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omments8.xml" ContentType="application/vnd.openxmlformats-officedocument.spreadsheetml.comments+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7.xml" ContentType="application/vnd.openxmlformats-officedocument.drawingml.chartshapes+xml"/>
  <Override PartName="/xl/charts/chart21.xml" ContentType="application/vnd.openxmlformats-officedocument.drawingml.chart+xml"/>
  <Override PartName="/xl/charts/style1.xml" ContentType="application/vnd.ms-office.chartstyle+xml"/>
  <Override PartName="/xl/charts/colors1.xml" ContentType="application/vnd.ms-office.chartcolorstyle+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style3.xml" ContentType="application/vnd.ms-office.chartstyle+xml"/>
  <Override PartName="/xl/charts/colors3.xml" ContentType="application/vnd.ms-office.chartcolorstyle+xml"/>
  <Override PartName="/xl/comments9.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updateLinks="never" codeName="ThisWorkbook" defaultThemeVersion="124226"/>
  <mc:AlternateContent xmlns:mc="http://schemas.openxmlformats.org/markup-compatibility/2006">
    <mc:Choice Requires="x15">
      <x15ac:absPath xmlns:x15ac="http://schemas.microsoft.com/office/spreadsheetml/2010/11/ac" url="https://escvic-my.sharepoint.com/personal/oscar_burns_esc_vic_gov_au/Documents/Documents/ESC Projects/Price Reviews/2025-26 Price Review/NEW 2025-26/material for wesbite update/"/>
    </mc:Choice>
  </mc:AlternateContent>
  <xr:revisionPtr revIDLastSave="0" documentId="8_{16B534C9-369B-432B-B241-141AF42E258D}" xr6:coauthVersionLast="47" xr6:coauthVersionMax="47" xr10:uidLastSave="{00000000-0000-0000-0000-000000000000}"/>
  <bookViews>
    <workbookView xWindow="-120" yWindow="-120" windowWidth="29040" windowHeight="15840" tabRatio="935" firstSheet="3" activeTab="5" xr2:uid="{00000000-000D-0000-FFFF-FFFF00000000}"/>
  </bookViews>
  <sheets>
    <sheet name="Contents" sheetId="5" r:id="rId1"/>
    <sheet name="ESC Adjustments log" sheetId="104" r:id="rId2"/>
    <sheet name="NEW Adjustments log" sheetId="105" r:id="rId3"/>
    <sheet name="Model Quality Check" sheetId="108" r:id="rId4"/>
    <sheet name="KeyAssumptionsPriceControl_FO" sheetId="40" r:id="rId5"/>
    <sheet name="Summary_FO" sheetId="42" r:id="rId6"/>
    <sheet name="Expenditure_Detail" sheetId="89" r:id="rId7"/>
    <sheet name="Opex_FO" sheetId="86" r:id="rId8"/>
    <sheet name="Opex_Breakdown" sheetId="12" r:id="rId9"/>
    <sheet name="Capex_FO input" sheetId="90" r:id="rId10"/>
    <sheet name="Capex_FO_AC" sheetId="30" r:id="rId11"/>
    <sheet name="RollForward_FO" sheetId="45" r:id="rId12"/>
    <sheet name="PrevPerAdj_FO" sheetId="62" r:id="rId13"/>
    <sheet name="RevenuePriceCap_FO" sheetId="36" r:id="rId14"/>
    <sheet name="RevenueTariffBasket_FO" sheetId="57" r:id="rId15"/>
    <sheet name="Rev&amp;RAV_FO" sheetId="41" r:id="rId16"/>
    <sheet name="NotPres_FO" sheetId="34" r:id="rId17"/>
    <sheet name="Finance&amp;Tax_FO" sheetId="56" r:id="rId18"/>
    <sheet name="Indicators_FO" sheetId="44" r:id="rId19"/>
    <sheet name="Outcomes" sheetId="92" r:id="rId20"/>
    <sheet name="Schedule 2" sheetId="109" r:id="rId21"/>
    <sheet name="Household Bill" sheetId="102" r:id="rId22"/>
    <sheet name="GSL" sheetId="93" r:id="rId23"/>
    <sheet name="Dashboard data" sheetId="98" r:id="rId24"/>
    <sheet name="Dashboard - Pricing" sheetId="99" r:id="rId25"/>
    <sheet name="Dashboard - Opex" sheetId="100" r:id="rId26"/>
    <sheet name="Dashboard - Capex" sheetId="101" r:id="rId27"/>
    <sheet name="Determination Lookup" sheetId="107" r:id="rId28"/>
    <sheet name="General_BL" sheetId="81" state="hidden" r:id="rId29"/>
  </sheets>
  <definedNames>
    <definedName name="_xlnm._FilterDatabase" localSheetId="9" hidden="1">'Capex_FO input'!$E$42:$M$55</definedName>
    <definedName name="_xlnm._FilterDatabase" localSheetId="28" hidden="1">General_BL!$F$9:$F$15</definedName>
    <definedName name="_xlnm._FilterDatabase" localSheetId="8" hidden="1">Opex_Breakdown!$C$148:$J$153</definedName>
    <definedName name="_xlnm._FilterDatabase" localSheetId="13" hidden="1">RevenuePriceCap_FO!$E$65:$AG$440</definedName>
    <definedName name="_xlnm._FilterDatabase" localSheetId="14" hidden="1">RevenueTariffBasket_FO!$D$68:$AG$443</definedName>
    <definedName name="Asset_category">General_BL!$I$9:$I$13</definedName>
    <definedName name="Asset_Class">General_BL!$F$9:$F$14</definedName>
    <definedName name="Capital_Type">General_BL!$I$24:$I$28</definedName>
    <definedName name="Cost_Driver">General_BL!$C$24:$C$27</definedName>
    <definedName name="CPI">ROUND(1+'Schedule 2'!$E$10,6)</definedName>
    <definedName name="Depr_Deferral">General_BL!$F$24:$F$43</definedName>
    <definedName name="Depreciation_Method">General_BL!$C$10</definedName>
    <definedName name="Fixed_or_Var">General_BL!$F$48:$F$50</definedName>
    <definedName name="HL_Home">Contents!$B$7</definedName>
    <definedName name="Hybrid_Price">General_BL!$F$71:$F$75</definedName>
    <definedName name="kk">General_BL!$F$64:$G$66</definedName>
    <definedName name="Model_Name">Contents!$H$7</definedName>
    <definedName name="Pre_RP_Estimate">Capex_FO_AC!$AZ$10</definedName>
    <definedName name="Price_Asset_Class">General_BL!$C$48:$C$54</definedName>
    <definedName name="Price_Control">General_BL!$F$64:$F$66</definedName>
    <definedName name="Pricing_Unit">General_BL!$C$63:$C$73</definedName>
    <definedName name="RRR" comment="Regulatory Rate of Return (RRR)">KeyAssumptionsPriceControl_FO!$AF$42</definedName>
    <definedName name="Service">General_BL!$F$9:$F$17</definedName>
    <definedName name="wacc">KeyAssumptionsPriceControl_FO!$O$42</definedName>
    <definedName name="wacc_1stper">KeyAssumptionsPriceControl_FO!$K$42</definedName>
    <definedName name="wacc_2ndper">KeyAssumptionsPriceControl_FO!$M$42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6" i="109" l="1" a="1"/>
  <c r="E156" i="109" s="1"/>
  <c r="E134" i="109" a="1"/>
  <c r="E134" i="109" s="1"/>
  <c r="I54" i="56" l="1"/>
  <c r="I55" i="56"/>
  <c r="I56" i="56"/>
  <c r="I57" i="56"/>
  <c r="I58" i="56"/>
  <c r="D54" i="56"/>
  <c r="D55" i="56"/>
  <c r="D56" i="56"/>
  <c r="D57" i="56"/>
  <c r="D58" i="56"/>
  <c r="AG61" i="12" l="1"/>
  <c r="AF61" i="12"/>
  <c r="AE61" i="12"/>
  <c r="AD61" i="12"/>
  <c r="AC61" i="12"/>
  <c r="AB61" i="12"/>
  <c r="AA61" i="12"/>
  <c r="Z61" i="12"/>
  <c r="Y61" i="12"/>
  <c r="X61" i="12"/>
  <c r="I84" i="109" l="1"/>
  <c r="H84" i="109"/>
  <c r="G84" i="109"/>
  <c r="I83" i="109"/>
  <c r="H83" i="109"/>
  <c r="G83" i="109"/>
  <c r="I82" i="109"/>
  <c r="H82" i="109"/>
  <c r="G82" i="109"/>
  <c r="I78" i="109"/>
  <c r="I79" i="109" s="1"/>
  <c r="H78" i="109"/>
  <c r="H79" i="109" s="1"/>
  <c r="G78" i="109"/>
  <c r="G79" i="109" s="1"/>
  <c r="I77" i="109"/>
  <c r="H77" i="109"/>
  <c r="G77" i="109"/>
  <c r="I76" i="109"/>
  <c r="H76" i="109"/>
  <c r="G76" i="109"/>
  <c r="I75" i="109"/>
  <c r="H75" i="109"/>
  <c r="G75" i="109"/>
  <c r="I74" i="109"/>
  <c r="H74" i="109"/>
  <c r="G74" i="109"/>
  <c r="I71" i="109"/>
  <c r="H71" i="109"/>
  <c r="G71" i="109"/>
  <c r="I70" i="109"/>
  <c r="H70" i="109"/>
  <c r="G70" i="109"/>
  <c r="I69" i="109"/>
  <c r="H69" i="109"/>
  <c r="G69" i="109"/>
  <c r="I68" i="109"/>
  <c r="H68" i="109"/>
  <c r="G68" i="109"/>
  <c r="I67" i="109"/>
  <c r="H67" i="109"/>
  <c r="G67" i="109"/>
  <c r="I63" i="109"/>
  <c r="H63" i="109"/>
  <c r="G63" i="109"/>
  <c r="I61" i="109"/>
  <c r="I62" i="109" s="1"/>
  <c r="H61" i="109"/>
  <c r="H62" i="109" s="1"/>
  <c r="G61" i="109"/>
  <c r="G62" i="109" s="1"/>
  <c r="I60" i="109"/>
  <c r="H60" i="109"/>
  <c r="G60" i="109"/>
  <c r="I59" i="109"/>
  <c r="H59" i="109"/>
  <c r="G59" i="109"/>
  <c r="I58" i="109"/>
  <c r="H58" i="109"/>
  <c r="G58" i="109"/>
  <c r="I51" i="109"/>
  <c r="H51" i="109"/>
  <c r="G51" i="109"/>
  <c r="I50" i="109"/>
  <c r="H50" i="109"/>
  <c r="G50" i="109"/>
  <c r="I49" i="109"/>
  <c r="H49" i="109"/>
  <c r="G49" i="109"/>
  <c r="I48" i="109"/>
  <c r="H48" i="109"/>
  <c r="G48" i="109"/>
  <c r="I47" i="109"/>
  <c r="H47" i="109"/>
  <c r="G47" i="109"/>
  <c r="I46" i="109"/>
  <c r="H46" i="109"/>
  <c r="G46" i="109"/>
  <c r="I45" i="109"/>
  <c r="H45" i="109"/>
  <c r="G45" i="109"/>
  <c r="I39" i="109"/>
  <c r="I52" i="109" s="1"/>
  <c r="H39" i="109"/>
  <c r="H52" i="109" s="1"/>
  <c r="G39" i="109"/>
  <c r="G52" i="109" s="1"/>
  <c r="I38" i="109"/>
  <c r="H38" i="109"/>
  <c r="G38" i="109"/>
  <c r="I37" i="109"/>
  <c r="H37" i="109"/>
  <c r="G37" i="109"/>
  <c r="I36" i="109"/>
  <c r="H36" i="109"/>
  <c r="G36" i="109"/>
  <c r="I35" i="109"/>
  <c r="H35" i="109"/>
  <c r="G35" i="109"/>
  <c r="I34" i="109"/>
  <c r="H34" i="109"/>
  <c r="G34" i="109"/>
  <c r="I33" i="109"/>
  <c r="H33" i="109"/>
  <c r="G33" i="109"/>
  <c r="I32" i="109"/>
  <c r="H32" i="109"/>
  <c r="G32" i="109"/>
  <c r="I29" i="109"/>
  <c r="H29" i="109"/>
  <c r="G29" i="109"/>
  <c r="I28" i="109"/>
  <c r="I42" i="109" s="1"/>
  <c r="I55" i="109" s="1"/>
  <c r="H28" i="109"/>
  <c r="H42" i="109" s="1"/>
  <c r="H55" i="109" s="1"/>
  <c r="G28" i="109"/>
  <c r="G42" i="109" s="1"/>
  <c r="G55" i="109" s="1"/>
  <c r="I27" i="109"/>
  <c r="I41" i="109" s="1"/>
  <c r="I54" i="109" s="1"/>
  <c r="H27" i="109"/>
  <c r="H41" i="109" s="1"/>
  <c r="H54" i="109" s="1"/>
  <c r="G27" i="109"/>
  <c r="G41" i="109" s="1"/>
  <c r="G54" i="109" s="1"/>
  <c r="I26" i="109"/>
  <c r="I40" i="109" s="1"/>
  <c r="I53" i="109" s="1"/>
  <c r="H26" i="109"/>
  <c r="H40" i="109" s="1"/>
  <c r="H53" i="109" s="1"/>
  <c r="G26" i="109"/>
  <c r="G40" i="109" s="1"/>
  <c r="G53" i="109" s="1"/>
  <c r="I25" i="109"/>
  <c r="H25" i="109"/>
  <c r="G25" i="109"/>
  <c r="I24" i="109"/>
  <c r="H24" i="109"/>
  <c r="G24" i="109"/>
  <c r="I23" i="109"/>
  <c r="H23" i="109"/>
  <c r="G23" i="109"/>
  <c r="I22" i="109"/>
  <c r="H22" i="109"/>
  <c r="G22" i="109"/>
  <c r="I21" i="109"/>
  <c r="H21" i="109"/>
  <c r="G21" i="109"/>
  <c r="I20" i="109"/>
  <c r="H20" i="109"/>
  <c r="G20" i="109"/>
  <c r="I19" i="109"/>
  <c r="H19" i="109"/>
  <c r="G19" i="109"/>
  <c r="I18" i="109"/>
  <c r="H18" i="109"/>
  <c r="G18" i="109"/>
  <c r="I14" i="109"/>
  <c r="H14" i="109"/>
  <c r="G14" i="109"/>
  <c r="I13" i="109"/>
  <c r="H13" i="109"/>
  <c r="G13" i="109"/>
  <c r="F84" i="109"/>
  <c r="F83" i="109"/>
  <c r="F82" i="109"/>
  <c r="F78" i="109"/>
  <c r="F79" i="109" s="1"/>
  <c r="F77" i="109"/>
  <c r="F76" i="109"/>
  <c r="F75" i="109"/>
  <c r="F74" i="109"/>
  <c r="F71" i="109"/>
  <c r="F70" i="109"/>
  <c r="F69" i="109"/>
  <c r="F68" i="109"/>
  <c r="F67" i="109"/>
  <c r="F63" i="109"/>
  <c r="F61" i="109"/>
  <c r="F62" i="109" s="1"/>
  <c r="F60" i="109"/>
  <c r="F59" i="109"/>
  <c r="F58" i="109"/>
  <c r="F51" i="109"/>
  <c r="F50" i="109"/>
  <c r="F49" i="109"/>
  <c r="F48" i="109"/>
  <c r="F47" i="109"/>
  <c r="F46" i="109"/>
  <c r="F45" i="109"/>
  <c r="F39" i="109"/>
  <c r="F52" i="109" s="1"/>
  <c r="F38" i="109"/>
  <c r="F37" i="109"/>
  <c r="F36" i="109"/>
  <c r="F35" i="109"/>
  <c r="F34" i="109"/>
  <c r="F33" i="109"/>
  <c r="F32" i="109"/>
  <c r="F29" i="109"/>
  <c r="F28" i="109"/>
  <c r="F42" i="109" s="1"/>
  <c r="F55" i="109" s="1"/>
  <c r="F27" i="109"/>
  <c r="F41" i="109" s="1"/>
  <c r="F54" i="109" s="1"/>
  <c r="F26" i="109"/>
  <c r="F40" i="109" s="1"/>
  <c r="F53" i="109" s="1"/>
  <c r="F25" i="109"/>
  <c r="F24" i="109"/>
  <c r="F23" i="109"/>
  <c r="F22" i="109"/>
  <c r="F21" i="109"/>
  <c r="F20" i="109"/>
  <c r="F19" i="109"/>
  <c r="F18" i="109"/>
  <c r="F14" i="109"/>
  <c r="F13" i="109"/>
  <c r="E123" i="109" a="1"/>
  <c r="E123" i="109" s="1"/>
  <c r="Q37" i="107"/>
  <c r="P37" i="107"/>
  <c r="O37" i="107"/>
  <c r="N37" i="107"/>
  <c r="M37" i="107"/>
  <c r="L37" i="107"/>
  <c r="K37" i="107"/>
  <c r="J37" i="107"/>
  <c r="Q18" i="105" l="1"/>
  <c r="Q19" i="105"/>
  <c r="Q20" i="105"/>
  <c r="Q17" i="105"/>
  <c r="Q22" i="105"/>
  <c r="Q21" i="105"/>
  <c r="Q15" i="105"/>
  <c r="Q14" i="105"/>
  <c r="Q13" i="105"/>
  <c r="Q12" i="105"/>
  <c r="Q10" i="105"/>
  <c r="Q9" i="105"/>
  <c r="Q8" i="105"/>
  <c r="Q7" i="105"/>
  <c r="O22" i="105" l="1"/>
  <c r="O21" i="105"/>
  <c r="O15" i="105"/>
  <c r="O14" i="105"/>
  <c r="O10" i="105"/>
  <c r="O9" i="105"/>
  <c r="D84" i="109" l="1"/>
  <c r="D83" i="109"/>
  <c r="D82" i="109"/>
  <c r="D78" i="109"/>
  <c r="D77" i="109"/>
  <c r="D76" i="109"/>
  <c r="D75" i="109"/>
  <c r="D74" i="109"/>
  <c r="D71" i="109"/>
  <c r="D70" i="109"/>
  <c r="D69" i="109"/>
  <c r="D68" i="109"/>
  <c r="D67" i="109"/>
  <c r="D63" i="109"/>
  <c r="D61" i="109"/>
  <c r="D62" i="109" s="1"/>
  <c r="D60" i="109"/>
  <c r="D59" i="109"/>
  <c r="D58" i="109"/>
  <c r="D51" i="109"/>
  <c r="D50" i="109"/>
  <c r="D49" i="109"/>
  <c r="D48" i="109"/>
  <c r="D47" i="109"/>
  <c r="D46" i="109"/>
  <c r="D45" i="109"/>
  <c r="D39" i="109"/>
  <c r="D38" i="109"/>
  <c r="D37" i="109"/>
  <c r="D36" i="109"/>
  <c r="D35" i="109"/>
  <c r="D34" i="109"/>
  <c r="D33" i="109"/>
  <c r="D32" i="109"/>
  <c r="D29" i="109"/>
  <c r="D28" i="109"/>
  <c r="D27" i="109"/>
  <c r="D26" i="109"/>
  <c r="D25" i="109"/>
  <c r="D24" i="109"/>
  <c r="D23" i="109"/>
  <c r="D22" i="109"/>
  <c r="D21" i="109"/>
  <c r="D20" i="109"/>
  <c r="D19" i="109"/>
  <c r="D18" i="109"/>
  <c r="D14" i="109"/>
  <c r="D13" i="109"/>
  <c r="AV52" i="90" l="1"/>
  <c r="AW52" i="90"/>
  <c r="AX52" i="90"/>
  <c r="AY52" i="90"/>
  <c r="AZ52" i="90"/>
  <c r="BV52" i="90" s="1"/>
  <c r="BK52" i="90" s="1"/>
  <c r="BA52" i="90"/>
  <c r="BW52" i="90" s="1"/>
  <c r="BL52" i="90" s="1"/>
  <c r="BB52" i="90"/>
  <c r="BX52" i="90" s="1"/>
  <c r="BM52" i="90" s="1"/>
  <c r="BC52" i="90"/>
  <c r="BY52" i="90" s="1"/>
  <c r="BN52" i="90" s="1"/>
  <c r="BD52" i="90"/>
  <c r="BZ52" i="90" s="1"/>
  <c r="BO52" i="90" s="1"/>
  <c r="BE52" i="90"/>
  <c r="CA52" i="90" s="1"/>
  <c r="BP52" i="90" s="1"/>
  <c r="BG52" i="90"/>
  <c r="BH52" i="90"/>
  <c r="BR52" i="90"/>
  <c r="BS52" i="90"/>
  <c r="BT52" i="90"/>
  <c r="BI52" i="90" s="1"/>
  <c r="BU52" i="90"/>
  <c r="BJ52" i="90" s="1"/>
  <c r="CC52" i="90"/>
  <c r="CN52" i="90" s="1"/>
  <c r="X55" i="56" s="1"/>
  <c r="CD52" i="90"/>
  <c r="CO52" i="90" s="1"/>
  <c r="Y55" i="56" s="1"/>
  <c r="CE52" i="90"/>
  <c r="CP52" i="90" s="1"/>
  <c r="Z55" i="56" s="1"/>
  <c r="CF52" i="90"/>
  <c r="CQ52" i="90" s="1"/>
  <c r="AA55" i="56" s="1"/>
  <c r="CG52" i="90"/>
  <c r="CR52" i="90" s="1"/>
  <c r="AB55" i="56" s="1"/>
  <c r="CH52" i="90"/>
  <c r="CS52" i="90" s="1"/>
  <c r="AC55" i="56" s="1"/>
  <c r="CI52" i="90"/>
  <c r="CJ52" i="90"/>
  <c r="CK52" i="90"/>
  <c r="CV52" i="90" s="1"/>
  <c r="AF55" i="56" s="1"/>
  <c r="CL52" i="90"/>
  <c r="CW52" i="90" s="1"/>
  <c r="AG55" i="56" s="1"/>
  <c r="CU52" i="90"/>
  <c r="AE55" i="56" s="1"/>
  <c r="AV53" i="90"/>
  <c r="AW53" i="90"/>
  <c r="AX53" i="90"/>
  <c r="BT53" i="90" s="1"/>
  <c r="BI53" i="90" s="1"/>
  <c r="AY53" i="90"/>
  <c r="BU53" i="90" s="1"/>
  <c r="BJ53" i="90" s="1"/>
  <c r="AZ53" i="90"/>
  <c r="BV53" i="90" s="1"/>
  <c r="BK53" i="90" s="1"/>
  <c r="BA53" i="90"/>
  <c r="BW53" i="90" s="1"/>
  <c r="BL53" i="90" s="1"/>
  <c r="BB53" i="90"/>
  <c r="BX53" i="90" s="1"/>
  <c r="BM53" i="90" s="1"/>
  <c r="BC53" i="90"/>
  <c r="BY53" i="90" s="1"/>
  <c r="BN53" i="90" s="1"/>
  <c r="BD53" i="90"/>
  <c r="BZ53" i="90" s="1"/>
  <c r="BO53" i="90" s="1"/>
  <c r="BE53" i="90"/>
  <c r="CA53" i="90" s="1"/>
  <c r="BR53" i="90"/>
  <c r="BG53" i="90" s="1"/>
  <c r="BS53" i="90"/>
  <c r="BH53" i="90" s="1"/>
  <c r="CC53" i="90"/>
  <c r="CN53" i="90" s="1"/>
  <c r="X56" i="56" s="1"/>
  <c r="CD53" i="90"/>
  <c r="CO53" i="90" s="1"/>
  <c r="Y56" i="56" s="1"/>
  <c r="CE53" i="90"/>
  <c r="CP53" i="90" s="1"/>
  <c r="Z56" i="56" s="1"/>
  <c r="CF53" i="90"/>
  <c r="CQ53" i="90" s="1"/>
  <c r="AA56" i="56" s="1"/>
  <c r="CG53" i="90"/>
  <c r="CH53" i="90"/>
  <c r="CI53" i="90"/>
  <c r="CT53" i="90" s="1"/>
  <c r="AD56" i="56" s="1"/>
  <c r="CJ53" i="90"/>
  <c r="CU53" i="90" s="1"/>
  <c r="AE56" i="56" s="1"/>
  <c r="CK53" i="90"/>
  <c r="CV53" i="90" s="1"/>
  <c r="AF56" i="56" s="1"/>
  <c r="CL53" i="90"/>
  <c r="CW53" i="90" s="1"/>
  <c r="AG56" i="56" s="1"/>
  <c r="CS53" i="90"/>
  <c r="AC56" i="56" s="1"/>
  <c r="AV54" i="90"/>
  <c r="BT54" i="90" s="1"/>
  <c r="AW54" i="90"/>
  <c r="AX54" i="90"/>
  <c r="AY54" i="90"/>
  <c r="BU54" i="90" s="1"/>
  <c r="BJ54" i="90" s="1"/>
  <c r="AZ54" i="90"/>
  <c r="BV54" i="90" s="1"/>
  <c r="BK54" i="90" s="1"/>
  <c r="BA54" i="90"/>
  <c r="BW54" i="90" s="1"/>
  <c r="BL54" i="90" s="1"/>
  <c r="BB54" i="90"/>
  <c r="BX54" i="90" s="1"/>
  <c r="BM54" i="90" s="1"/>
  <c r="BC54" i="90"/>
  <c r="BY54" i="90" s="1"/>
  <c r="BN54" i="90" s="1"/>
  <c r="BD54" i="90"/>
  <c r="BE54" i="90"/>
  <c r="BG54" i="90"/>
  <c r="BH54" i="90"/>
  <c r="BR54" i="90"/>
  <c r="BS54" i="90"/>
  <c r="BZ54" i="90"/>
  <c r="CA54" i="90"/>
  <c r="CC54" i="90"/>
  <c r="CN54" i="90" s="1"/>
  <c r="X57" i="56" s="1"/>
  <c r="CD54" i="90"/>
  <c r="CO54" i="90" s="1"/>
  <c r="Y57" i="56" s="1"/>
  <c r="CE54" i="90"/>
  <c r="CF54" i="90"/>
  <c r="CG54" i="90"/>
  <c r="CR54" i="90" s="1"/>
  <c r="AB57" i="56" s="1"/>
  <c r="CH54" i="90"/>
  <c r="CS54" i="90" s="1"/>
  <c r="AC57" i="56" s="1"/>
  <c r="CI54" i="90"/>
  <c r="CT54" i="90" s="1"/>
  <c r="AD57" i="56" s="1"/>
  <c r="CJ54" i="90"/>
  <c r="CU54" i="90" s="1"/>
  <c r="AE57" i="56" s="1"/>
  <c r="CK54" i="90"/>
  <c r="CV54" i="90" s="1"/>
  <c r="AF57" i="56" s="1"/>
  <c r="CL54" i="90"/>
  <c r="CW54" i="90" s="1"/>
  <c r="AG57" i="56" s="1"/>
  <c r="CQ54" i="90"/>
  <c r="AA57" i="56" s="1"/>
  <c r="BO54" i="90" l="1"/>
  <c r="BP54" i="90"/>
  <c r="BI54" i="90"/>
  <c r="BP53" i="90"/>
  <c r="CR53" i="90"/>
  <c r="AB56" i="56" s="1"/>
  <c r="CP54" i="90"/>
  <c r="Z57" i="56" s="1"/>
  <c r="CT52" i="90"/>
  <c r="AD55" i="56" s="1"/>
  <c r="W17" i="86" l="1"/>
  <c r="X17" i="86" s="1"/>
  <c r="Y17" i="86" s="1"/>
  <c r="Z17" i="86" s="1"/>
  <c r="AA17" i="86" s="1"/>
  <c r="AB17" i="86" s="1"/>
  <c r="AC17" i="86" s="1"/>
  <c r="AD17" i="86" s="1"/>
  <c r="AE17" i="86" s="1"/>
  <c r="AF17" i="86" s="1"/>
  <c r="AG17" i="86" s="1"/>
  <c r="W15" i="86"/>
  <c r="X15" i="86" s="1"/>
  <c r="Y15" i="86" s="1"/>
  <c r="Z15" i="86" s="1"/>
  <c r="AA15" i="86" s="1"/>
  <c r="AB15" i="86" s="1"/>
  <c r="AC15" i="86" s="1"/>
  <c r="AD15" i="86" s="1"/>
  <c r="AE15" i="86" s="1"/>
  <c r="AF15" i="86" s="1"/>
  <c r="AG15" i="86" s="1"/>
  <c r="T11" i="102"/>
  <c r="S11" i="102"/>
  <c r="R11" i="102"/>
  <c r="Q11" i="102"/>
  <c r="P11" i="102"/>
  <c r="O11" i="102"/>
  <c r="N11" i="102"/>
  <c r="M11" i="102"/>
  <c r="L11" i="102"/>
  <c r="K11" i="102"/>
  <c r="J11" i="102"/>
  <c r="T14" i="102"/>
  <c r="S14" i="102"/>
  <c r="R14" i="102"/>
  <c r="Q14" i="102"/>
  <c r="P14" i="102"/>
  <c r="O14" i="102"/>
  <c r="N14" i="102"/>
  <c r="M14" i="102"/>
  <c r="L14" i="102"/>
  <c r="K14" i="102"/>
  <c r="T10" i="102"/>
  <c r="S10" i="102"/>
  <c r="R10" i="102"/>
  <c r="Q10" i="102"/>
  <c r="P10" i="102"/>
  <c r="O10" i="102"/>
  <c r="N10" i="102"/>
  <c r="M10" i="102"/>
  <c r="L10" i="102"/>
  <c r="K10" i="102"/>
  <c r="J14" i="102"/>
  <c r="J10" i="102"/>
  <c r="L87" i="102" l="1"/>
  <c r="M87" i="102"/>
  <c r="N87" i="102"/>
  <c r="O87" i="102"/>
  <c r="P87" i="102"/>
  <c r="Q87" i="102"/>
  <c r="R87" i="102"/>
  <c r="S87" i="102"/>
  <c r="T87" i="102"/>
  <c r="K87" i="102"/>
  <c r="L86" i="102"/>
  <c r="M86" i="102" s="1"/>
  <c r="N86" i="102" s="1"/>
  <c r="O86" i="102" s="1"/>
  <c r="P86" i="102" s="1"/>
  <c r="Q86" i="102" s="1"/>
  <c r="R86" i="102" s="1"/>
  <c r="S86" i="102" s="1"/>
  <c r="T86" i="102" s="1"/>
  <c r="K86" i="102"/>
  <c r="AJ19" i="41" l="1"/>
  <c r="AJ18" i="41"/>
  <c r="AJ17" i="41"/>
  <c r="AJ15" i="41"/>
  <c r="AE15" i="40" l="1"/>
  <c r="U19" i="86" l="1"/>
  <c r="U15" i="86"/>
  <c r="T15" i="86"/>
  <c r="U17" i="86"/>
  <c r="B2" i="105" l="1"/>
  <c r="O87" i="41" l="1"/>
  <c r="P87" i="41"/>
  <c r="Q87" i="41"/>
  <c r="O115" i="41"/>
  <c r="Q115" i="41"/>
  <c r="R115" i="41"/>
  <c r="S115" i="41"/>
  <c r="T115" i="41"/>
  <c r="U115" i="41"/>
  <c r="V115" i="41"/>
  <c r="W115" i="41"/>
  <c r="O112" i="41"/>
  <c r="P112" i="41"/>
  <c r="Q112" i="41"/>
  <c r="R112" i="41"/>
  <c r="S112" i="41"/>
  <c r="T112" i="41"/>
  <c r="U112" i="41"/>
  <c r="V112" i="41"/>
  <c r="W112" i="41"/>
  <c r="O91" i="41"/>
  <c r="P91" i="41"/>
  <c r="Q91" i="41"/>
  <c r="R91" i="41"/>
  <c r="S91" i="41"/>
  <c r="T91" i="41"/>
  <c r="U91" i="41"/>
  <c r="V91" i="41"/>
  <c r="O92" i="41"/>
  <c r="P92" i="41"/>
  <c r="Q92" i="41"/>
  <c r="R92" i="41"/>
  <c r="S92" i="41"/>
  <c r="T92" i="41"/>
  <c r="U92" i="41"/>
  <c r="V92" i="41"/>
  <c r="W92" i="41"/>
  <c r="O102" i="41"/>
  <c r="P102" i="41"/>
  <c r="Q102" i="41"/>
  <c r="R102" i="41"/>
  <c r="S102" i="41"/>
  <c r="T102" i="41"/>
  <c r="U102" i="41"/>
  <c r="V102" i="41"/>
  <c r="W102" i="41"/>
  <c r="O61" i="44" l="1"/>
  <c r="O51" i="44"/>
  <c r="O41" i="44"/>
  <c r="O28" i="44"/>
  <c r="O20" i="44"/>
  <c r="E162" i="109" l="1" a="1"/>
  <c r="E162" i="109" s="1"/>
  <c r="E161" i="109" a="1"/>
  <c r="E161" i="109" s="1"/>
  <c r="E160" i="109" a="1"/>
  <c r="E160" i="109" s="1"/>
  <c r="E159" i="109" a="1"/>
  <c r="E159" i="109" s="1"/>
  <c r="E13" i="109" a="1"/>
  <c r="E13" i="109" s="1"/>
  <c r="E14" i="109" a="1"/>
  <c r="E14" i="109" s="1"/>
  <c r="E29" i="109" a="1"/>
  <c r="E29" i="109" s="1"/>
  <c r="E28" i="109" a="1"/>
  <c r="E28" i="109" s="1"/>
  <c r="E27" i="109" a="1"/>
  <c r="E27" i="109" s="1"/>
  <c r="E26" i="109" a="1"/>
  <c r="E26" i="109" s="1"/>
  <c r="E25" i="109" a="1"/>
  <c r="E25" i="109" s="1"/>
  <c r="E24" i="109" a="1"/>
  <c r="E24" i="109" s="1"/>
  <c r="E23" i="109" a="1"/>
  <c r="E23" i="109" s="1"/>
  <c r="E22" i="109" a="1"/>
  <c r="E22" i="109" s="1"/>
  <c r="E21" i="109" a="1"/>
  <c r="E21" i="109" s="1"/>
  <c r="E20" i="109" a="1"/>
  <c r="E20" i="109" s="1"/>
  <c r="E19" i="109" a="1"/>
  <c r="E19" i="109" s="1"/>
  <c r="E18" i="109" a="1"/>
  <c r="E18" i="109" s="1"/>
  <c r="E42" i="109" a="1"/>
  <c r="E42" i="109" s="1"/>
  <c r="E41" i="109" a="1"/>
  <c r="E41" i="109" s="1"/>
  <c r="E40" i="109" a="1"/>
  <c r="E40" i="109" s="1"/>
  <c r="E39" i="109" a="1"/>
  <c r="E39" i="109" s="1"/>
  <c r="E38" i="109" a="1"/>
  <c r="E38" i="109" s="1"/>
  <c r="E37" i="109" a="1"/>
  <c r="E37" i="109" s="1"/>
  <c r="E36" i="109" a="1"/>
  <c r="E36" i="109" s="1"/>
  <c r="E35" i="109" a="1"/>
  <c r="E35" i="109" s="1"/>
  <c r="E34" i="109" a="1"/>
  <c r="E34" i="109" s="1"/>
  <c r="E33" i="109" a="1"/>
  <c r="E33" i="109" s="1"/>
  <c r="E32" i="109" a="1"/>
  <c r="E32" i="109" s="1"/>
  <c r="E45" i="109" a="1"/>
  <c r="E45" i="109" s="1"/>
  <c r="E46" i="109" a="1"/>
  <c r="E46" i="109" s="1"/>
  <c r="E47" i="109" a="1"/>
  <c r="E47" i="109" s="1"/>
  <c r="E48" i="109" a="1"/>
  <c r="E48" i="109" s="1"/>
  <c r="E49" i="109" a="1"/>
  <c r="E49" i="109" s="1"/>
  <c r="E50" i="109" a="1"/>
  <c r="E50" i="109" s="1"/>
  <c r="E51" i="109" a="1"/>
  <c r="E51" i="109" s="1"/>
  <c r="E52" i="109" a="1"/>
  <c r="E52" i="109" s="1"/>
  <c r="E53" i="109" a="1"/>
  <c r="E53" i="109" s="1"/>
  <c r="E54" i="109" a="1"/>
  <c r="E54" i="109" s="1"/>
  <c r="E55" i="109" a="1"/>
  <c r="E55" i="109" s="1"/>
  <c r="E63" i="109" a="1"/>
  <c r="E63" i="109" s="1"/>
  <c r="E62" i="109" a="1"/>
  <c r="E62" i="109" s="1"/>
  <c r="E61" i="109" a="1"/>
  <c r="E61" i="109" s="1"/>
  <c r="E60" i="109" a="1"/>
  <c r="E60" i="109" s="1"/>
  <c r="E59" i="109" a="1"/>
  <c r="E59" i="109" s="1"/>
  <c r="E58" i="109" a="1"/>
  <c r="E58" i="109" s="1"/>
  <c r="E71" i="109" a="1"/>
  <c r="E71" i="109" s="1"/>
  <c r="E70" i="109" a="1"/>
  <c r="E70" i="109" s="1"/>
  <c r="E69" i="109" a="1"/>
  <c r="E69" i="109" s="1"/>
  <c r="E68" i="109" a="1"/>
  <c r="E68" i="109" s="1"/>
  <c r="E67" i="109" a="1"/>
  <c r="E67" i="109" s="1"/>
  <c r="E79" i="109" a="1"/>
  <c r="E79" i="109" s="1"/>
  <c r="E78" i="109" a="1"/>
  <c r="E78" i="109" s="1"/>
  <c r="E77" i="109" a="1"/>
  <c r="E77" i="109" s="1"/>
  <c r="E76" i="109" a="1"/>
  <c r="E76" i="109" s="1"/>
  <c r="E75" i="109" a="1"/>
  <c r="E75" i="109" s="1"/>
  <c r="E74" i="109" a="1"/>
  <c r="E74" i="109" s="1"/>
  <c r="E82" i="109" a="1"/>
  <c r="E82" i="109" s="1"/>
  <c r="E83" i="109" a="1"/>
  <c r="E83" i="109" s="1"/>
  <c r="E84" i="109" a="1"/>
  <c r="E84" i="109" s="1"/>
  <c r="E86" i="109" a="1"/>
  <c r="E86" i="109" s="1"/>
  <c r="E88" i="109" a="1"/>
  <c r="E88" i="109" s="1"/>
  <c r="E97" i="109" a="1"/>
  <c r="E97" i="109" s="1"/>
  <c r="E96" i="109" a="1"/>
  <c r="E96" i="109" s="1"/>
  <c r="E95" i="109" a="1"/>
  <c r="E95" i="109" s="1"/>
  <c r="E94" i="109" a="1"/>
  <c r="E94" i="109" s="1"/>
  <c r="E93" i="109" a="1"/>
  <c r="E93" i="109" s="1"/>
  <c r="E92" i="109" a="1"/>
  <c r="E92" i="109" s="1"/>
  <c r="E91" i="109" a="1"/>
  <c r="E91" i="109" s="1"/>
  <c r="E155" i="109" a="1"/>
  <c r="E155" i="109" s="1"/>
  <c r="E154" i="109" a="1"/>
  <c r="E154" i="109" s="1"/>
  <c r="E153" i="109" a="1"/>
  <c r="E153" i="109" s="1"/>
  <c r="E152" i="109" a="1"/>
  <c r="E152" i="109" s="1"/>
  <c r="E151" i="109" a="1"/>
  <c r="E151" i="109" s="1"/>
  <c r="E150" i="109" a="1"/>
  <c r="E150" i="109" s="1"/>
  <c r="E149" i="109" a="1"/>
  <c r="E149" i="109" s="1"/>
  <c r="E148" i="109" a="1"/>
  <c r="E148" i="109" s="1"/>
  <c r="E146" i="109" a="1"/>
  <c r="E146" i="109" s="1"/>
  <c r="E144" i="109" a="1"/>
  <c r="E144" i="109" s="1"/>
  <c r="E143" i="109" a="1"/>
  <c r="E143" i="109" s="1"/>
  <c r="E142" i="109" a="1"/>
  <c r="E142" i="109" s="1"/>
  <c r="E141" i="109" a="1"/>
  <c r="E141" i="109" s="1"/>
  <c r="E140" i="109" a="1"/>
  <c r="E140" i="109" s="1"/>
  <c r="E139" i="109" a="1"/>
  <c r="E139" i="109" s="1"/>
  <c r="E138" i="109" a="1"/>
  <c r="E138" i="109" s="1"/>
  <c r="E137" i="109" a="1"/>
  <c r="E137" i="109" s="1"/>
  <c r="E136" i="109" a="1"/>
  <c r="E136" i="109" s="1"/>
  <c r="E133" i="109" a="1"/>
  <c r="E133" i="109" s="1"/>
  <c r="E132" i="109" a="1"/>
  <c r="E132" i="109" s="1"/>
  <c r="E131" i="109" a="1"/>
  <c r="E131" i="109" s="1"/>
  <c r="E130" i="109" a="1"/>
  <c r="E130" i="109" s="1"/>
  <c r="E129" i="109" a="1"/>
  <c r="E129" i="109" s="1"/>
  <c r="E128" i="109" a="1"/>
  <c r="E128" i="109" s="1"/>
  <c r="E127" i="109" a="1"/>
  <c r="E127" i="109" s="1"/>
  <c r="E126" i="109" a="1"/>
  <c r="E126" i="109" s="1"/>
  <c r="E125" i="109" a="1"/>
  <c r="E125" i="109" s="1"/>
  <c r="E122" i="109" a="1"/>
  <c r="E122" i="109" s="1"/>
  <c r="E121" i="109" a="1"/>
  <c r="E121" i="109" s="1"/>
  <c r="E120" i="109" a="1"/>
  <c r="E120" i="109" s="1"/>
  <c r="E119" i="109" a="1"/>
  <c r="E119" i="109" s="1"/>
  <c r="E118" i="109" a="1"/>
  <c r="E118" i="109" s="1"/>
  <c r="E117" i="109" a="1"/>
  <c r="E117" i="109" s="1"/>
  <c r="E116" i="109" a="1"/>
  <c r="E116" i="109" s="1"/>
  <c r="E115" i="109" a="1"/>
  <c r="E115" i="109" s="1"/>
  <c r="E114" i="109" a="1"/>
  <c r="E114" i="109" s="1"/>
  <c r="E113" i="109" a="1"/>
  <c r="E113" i="109" s="1"/>
  <c r="E112" i="109" a="1"/>
  <c r="E112" i="109" s="1"/>
  <c r="E111" i="109" a="1"/>
  <c r="E111" i="109" s="1"/>
  <c r="E110" i="109" a="1"/>
  <c r="E110" i="109" s="1"/>
  <c r="E109" i="109" a="1"/>
  <c r="E109" i="109" s="1"/>
  <c r="E108" i="109" a="1"/>
  <c r="E108" i="109" s="1"/>
  <c r="E107" i="109" a="1"/>
  <c r="E107" i="109" s="1"/>
  <c r="E106" i="109" a="1"/>
  <c r="E106" i="109" s="1"/>
  <c r="E105" i="109" a="1"/>
  <c r="E105" i="109" s="1"/>
  <c r="E104" i="109" a="1"/>
  <c r="E104" i="109" s="1"/>
  <c r="E103" i="109" a="1"/>
  <c r="E103" i="109" s="1"/>
  <c r="E102" i="109" a="1"/>
  <c r="E102" i="109" s="1"/>
  <c r="E101" i="109" a="1"/>
  <c r="E101" i="109" s="1"/>
  <c r="E100" i="109" a="1"/>
  <c r="E100" i="109" s="1"/>
  <c r="T17" i="86"/>
  <c r="AJ17" i="30" l="1"/>
  <c r="H13" i="86"/>
  <c r="H11" i="86"/>
  <c r="J86" i="102" l="1"/>
  <c r="I86" i="102"/>
  <c r="H86" i="102"/>
  <c r="G86" i="102"/>
  <c r="F86" i="102"/>
  <c r="E86" i="102"/>
  <c r="D86" i="102"/>
  <c r="C86" i="102"/>
  <c r="B4" i="109" l="1"/>
  <c r="R260" i="36" l="1"/>
  <c r="R293" i="36"/>
  <c r="S188" i="36"/>
  <c r="V182" i="36"/>
  <c r="U182" i="36"/>
  <c r="T182" i="36"/>
  <c r="S182" i="36"/>
  <c r="V179" i="36"/>
  <c r="U179" i="36"/>
  <c r="T179" i="36"/>
  <c r="S179" i="36"/>
  <c r="V176" i="36"/>
  <c r="U176" i="36"/>
  <c r="T176" i="36"/>
  <c r="S176" i="36"/>
  <c r="V173" i="36"/>
  <c r="U173" i="36"/>
  <c r="T173" i="36"/>
  <c r="S173" i="36"/>
  <c r="W173" i="36"/>
  <c r="S170" i="36"/>
  <c r="T170" i="36"/>
  <c r="U170" i="36"/>
  <c r="V170" i="36"/>
  <c r="R167" i="36"/>
  <c r="S167" i="36"/>
  <c r="T167" i="36"/>
  <c r="U167" i="36"/>
  <c r="R164" i="36"/>
  <c r="S164" i="36"/>
  <c r="T164" i="36"/>
  <c r="U164" i="36"/>
  <c r="U143" i="36"/>
  <c r="T143" i="36"/>
  <c r="S143" i="36"/>
  <c r="V143" i="36"/>
  <c r="AF119" i="36"/>
  <c r="AE119" i="36"/>
  <c r="AD119" i="36"/>
  <c r="AC119" i="36"/>
  <c r="AB119" i="36"/>
  <c r="AA119" i="36"/>
  <c r="Z119" i="36"/>
  <c r="Y119" i="36"/>
  <c r="X119" i="36"/>
  <c r="W119" i="36"/>
  <c r="V119" i="36"/>
  <c r="U119" i="36"/>
  <c r="T119" i="36"/>
  <c r="S119" i="36"/>
  <c r="V74" i="36"/>
  <c r="U74" i="36"/>
  <c r="T74" i="36"/>
  <c r="S74" i="36"/>
  <c r="W68" i="36"/>
  <c r="V68" i="36"/>
  <c r="U68" i="36"/>
  <c r="T68" i="36"/>
  <c r="S68" i="36"/>
  <c r="R68" i="36"/>
  <c r="O52" i="36"/>
  <c r="P52" i="36"/>
  <c r="Q52" i="36"/>
  <c r="R52" i="36"/>
  <c r="R101" i="89" l="1"/>
  <c r="Q101" i="89"/>
  <c r="P101" i="89"/>
  <c r="P95" i="89"/>
  <c r="Q95" i="89"/>
  <c r="R95" i="89"/>
  <c r="P74" i="89"/>
  <c r="Q74" i="89"/>
  <c r="R74" i="89"/>
  <c r="X37" i="93" l="1"/>
  <c r="O169" i="44"/>
  <c r="O155" i="44"/>
  <c r="P41" i="44"/>
  <c r="Q28" i="44"/>
  <c r="P28" i="44"/>
  <c r="P20" i="44"/>
  <c r="X54" i="41"/>
  <c r="X19" i="41"/>
  <c r="I46" i="56"/>
  <c r="O53" i="34"/>
  <c r="O38" i="34"/>
  <c r="O12" i="34"/>
  <c r="AZ67" i="36"/>
  <c r="P260" i="36"/>
  <c r="S146" i="36"/>
  <c r="R74" i="36"/>
  <c r="P71" i="36"/>
  <c r="O68" i="36"/>
  <c r="S52" i="36"/>
  <c r="O46" i="36"/>
  <c r="O54" i="36" s="1"/>
  <c r="O12" i="36" s="1"/>
  <c r="O21" i="34"/>
  <c r="O18" i="34"/>
  <c r="O17" i="34"/>
  <c r="O16" i="34"/>
  <c r="X14" i="62"/>
  <c r="P12" i="62"/>
  <c r="O19" i="34" l="1"/>
  <c r="AG95" i="30" l="1"/>
  <c r="AB95" i="30"/>
  <c r="W95" i="30"/>
  <c r="X77" i="30"/>
  <c r="Y52" i="30"/>
  <c r="X85" i="30"/>
  <c r="X47" i="30"/>
  <c r="O42" i="30"/>
  <c r="O12" i="30" s="1"/>
  <c r="AV43" i="90"/>
  <c r="O42" i="90"/>
  <c r="D20" i="90"/>
  <c r="D19" i="90"/>
  <c r="O143" i="12"/>
  <c r="Q142" i="12"/>
  <c r="O142" i="12"/>
  <c r="O56" i="12" s="1"/>
  <c r="O134" i="12"/>
  <c r="P134" i="12"/>
  <c r="O116" i="12"/>
  <c r="W111" i="12"/>
  <c r="O24" i="12"/>
  <c r="W18" i="86" l="1"/>
  <c r="W20" i="86"/>
  <c r="R130" i="89"/>
  <c r="T119" i="89"/>
  <c r="T120" i="89" s="1"/>
  <c r="S119" i="89"/>
  <c r="S120" i="89" s="1"/>
  <c r="R119" i="89"/>
  <c r="O119" i="89"/>
  <c r="O108" i="89"/>
  <c r="S95" i="89"/>
  <c r="S101" i="89"/>
  <c r="O79" i="89"/>
  <c r="O73" i="89"/>
  <c r="Z49" i="89"/>
  <c r="W49" i="89"/>
  <c r="W48" i="89"/>
  <c r="W13" i="89" s="1"/>
  <c r="O40" i="89"/>
  <c r="P108" i="89"/>
  <c r="O34" i="40"/>
  <c r="T15" i="108" l="1"/>
  <c r="B61" i="104"/>
  <c r="Q12" i="62"/>
  <c r="R12" i="62"/>
  <c r="AG111" i="12"/>
  <c r="AB111" i="12"/>
  <c r="AZ69" i="57" l="1"/>
  <c r="AZ70" i="57"/>
  <c r="AZ72" i="57"/>
  <c r="AZ73" i="57"/>
  <c r="AZ75" i="57"/>
  <c r="AZ76" i="57"/>
  <c r="AZ78" i="57"/>
  <c r="AZ79" i="57"/>
  <c r="AZ81" i="57"/>
  <c r="AZ82" i="57"/>
  <c r="AZ84" i="57"/>
  <c r="AZ85" i="57"/>
  <c r="AZ87" i="57"/>
  <c r="AZ88" i="57"/>
  <c r="AZ90" i="57"/>
  <c r="AZ91" i="57"/>
  <c r="AZ93" i="57"/>
  <c r="AZ94" i="57"/>
  <c r="AZ96" i="57"/>
  <c r="AZ97" i="57"/>
  <c r="AZ99" i="57"/>
  <c r="AZ100" i="57"/>
  <c r="AZ102" i="57"/>
  <c r="AZ103" i="57"/>
  <c r="AZ105" i="57"/>
  <c r="AZ106" i="57"/>
  <c r="AZ108" i="57"/>
  <c r="AZ109" i="57"/>
  <c r="AZ111" i="57"/>
  <c r="AZ112" i="57"/>
  <c r="AZ114" i="57"/>
  <c r="AZ115" i="57"/>
  <c r="AZ117" i="57"/>
  <c r="AZ118" i="57"/>
  <c r="AZ120" i="57"/>
  <c r="AZ121" i="57"/>
  <c r="AZ123" i="57"/>
  <c r="AZ124" i="57"/>
  <c r="AZ126" i="57"/>
  <c r="AZ127" i="57"/>
  <c r="AZ129" i="57"/>
  <c r="AZ130" i="57"/>
  <c r="AZ132" i="57"/>
  <c r="AZ133" i="57"/>
  <c r="AZ135" i="57"/>
  <c r="AZ136" i="57"/>
  <c r="AZ138" i="57"/>
  <c r="AZ139" i="57"/>
  <c r="AZ141" i="57"/>
  <c r="AZ142" i="57"/>
  <c r="AZ144" i="57"/>
  <c r="AZ145" i="57"/>
  <c r="AZ147" i="57"/>
  <c r="AZ148" i="57"/>
  <c r="AZ150" i="57"/>
  <c r="AZ151" i="57"/>
  <c r="AZ153" i="57"/>
  <c r="AZ154" i="57"/>
  <c r="AZ156" i="57"/>
  <c r="AZ157" i="57"/>
  <c r="AZ159" i="57"/>
  <c r="AZ160" i="57"/>
  <c r="AZ162" i="57"/>
  <c r="AZ163" i="57"/>
  <c r="AZ165" i="57"/>
  <c r="AZ166" i="57"/>
  <c r="AZ168" i="57"/>
  <c r="AZ169" i="57"/>
  <c r="AZ171" i="57"/>
  <c r="AZ172" i="57"/>
  <c r="AZ174" i="57"/>
  <c r="AZ175" i="57"/>
  <c r="AZ177" i="57"/>
  <c r="AZ178" i="57"/>
  <c r="AZ180" i="57"/>
  <c r="AZ181" i="57"/>
  <c r="AZ183" i="57"/>
  <c r="AZ184" i="57"/>
  <c r="AZ186" i="57"/>
  <c r="AZ187" i="57"/>
  <c r="AZ189" i="57"/>
  <c r="AZ190" i="57"/>
  <c r="AZ192" i="57"/>
  <c r="AZ193" i="57"/>
  <c r="AZ195" i="57"/>
  <c r="AZ196" i="57"/>
  <c r="AZ198" i="57"/>
  <c r="AZ199" i="57"/>
  <c r="AZ201" i="57"/>
  <c r="AZ202" i="57"/>
  <c r="AZ204" i="57"/>
  <c r="AZ205" i="57"/>
  <c r="AZ207" i="57"/>
  <c r="AZ208" i="57"/>
  <c r="AZ210" i="57"/>
  <c r="AZ211" i="57"/>
  <c r="AZ213" i="57"/>
  <c r="AZ214" i="57"/>
  <c r="AZ216" i="57"/>
  <c r="AZ217" i="57"/>
  <c r="AZ219" i="57"/>
  <c r="AZ220" i="57"/>
  <c r="AZ222" i="57"/>
  <c r="AZ223" i="57"/>
  <c r="AZ225" i="57"/>
  <c r="AZ226" i="57"/>
  <c r="AZ228" i="57"/>
  <c r="AZ229" i="57"/>
  <c r="AZ231" i="57"/>
  <c r="AZ232" i="57"/>
  <c r="AZ234" i="57"/>
  <c r="AZ235" i="57"/>
  <c r="AZ237" i="57"/>
  <c r="AZ238" i="57"/>
  <c r="AZ240" i="57"/>
  <c r="AZ241" i="57"/>
  <c r="AZ243" i="57"/>
  <c r="AZ244" i="57"/>
  <c r="AZ246" i="57"/>
  <c r="AZ247" i="57"/>
  <c r="AZ249" i="57"/>
  <c r="AZ250" i="57"/>
  <c r="AZ252" i="57"/>
  <c r="AZ253" i="57"/>
  <c r="AZ255" i="57"/>
  <c r="AZ256" i="57"/>
  <c r="AZ258" i="57"/>
  <c r="AZ259" i="57"/>
  <c r="AZ261" i="57"/>
  <c r="AZ262" i="57"/>
  <c r="AZ264" i="57"/>
  <c r="AZ265" i="57"/>
  <c r="AZ267" i="57"/>
  <c r="AZ268" i="57"/>
  <c r="AZ270" i="57"/>
  <c r="AZ271" i="57"/>
  <c r="AZ273" i="57"/>
  <c r="AZ274" i="57"/>
  <c r="AZ276" i="57"/>
  <c r="AZ277" i="57"/>
  <c r="AZ279" i="57"/>
  <c r="AZ280" i="57"/>
  <c r="AZ282" i="57"/>
  <c r="AZ283" i="57"/>
  <c r="AZ285" i="57"/>
  <c r="AZ286" i="57"/>
  <c r="AZ288" i="57"/>
  <c r="AZ289" i="57"/>
  <c r="AZ291" i="57"/>
  <c r="AZ292" i="57"/>
  <c r="AZ294" i="57"/>
  <c r="AZ295" i="57"/>
  <c r="AZ297" i="57"/>
  <c r="AZ298" i="57"/>
  <c r="AZ300" i="57"/>
  <c r="AZ301" i="57"/>
  <c r="AZ303" i="57"/>
  <c r="AZ304" i="57"/>
  <c r="AZ306" i="57"/>
  <c r="AZ307" i="57"/>
  <c r="AZ309" i="57"/>
  <c r="AZ310" i="57"/>
  <c r="AZ312" i="57"/>
  <c r="AZ313" i="57"/>
  <c r="AZ315" i="57"/>
  <c r="AZ316" i="57"/>
  <c r="AZ318" i="57"/>
  <c r="BA69" i="57"/>
  <c r="BB69" i="57"/>
  <c r="BC69" i="57"/>
  <c r="BA70" i="57"/>
  <c r="BB70" i="57"/>
  <c r="BC70" i="57"/>
  <c r="BA72" i="57"/>
  <c r="BB72" i="57"/>
  <c r="BC72" i="57"/>
  <c r="BA73" i="57"/>
  <c r="BB73" i="57"/>
  <c r="BC73" i="57"/>
  <c r="BA75" i="57"/>
  <c r="BB75" i="57"/>
  <c r="BC75" i="57"/>
  <c r="BA76" i="57"/>
  <c r="BB76" i="57"/>
  <c r="BC76" i="57"/>
  <c r="BA78" i="57"/>
  <c r="BB78" i="57"/>
  <c r="BC78" i="57"/>
  <c r="BA79" i="57"/>
  <c r="BB79" i="57"/>
  <c r="BC79" i="57"/>
  <c r="BA81" i="57"/>
  <c r="BB81" i="57"/>
  <c r="BC81" i="57"/>
  <c r="BA82" i="57"/>
  <c r="BB82" i="57"/>
  <c r="BC82" i="57"/>
  <c r="BA84" i="57"/>
  <c r="BB84" i="57"/>
  <c r="BC84" i="57"/>
  <c r="BA85" i="57"/>
  <c r="BB85" i="57"/>
  <c r="BC85" i="57"/>
  <c r="BA87" i="57"/>
  <c r="BB87" i="57"/>
  <c r="BC87" i="57"/>
  <c r="BA88" i="57"/>
  <c r="BB88" i="57"/>
  <c r="BC88" i="57"/>
  <c r="BA90" i="57"/>
  <c r="BB90" i="57"/>
  <c r="BC90" i="57"/>
  <c r="BA91" i="57"/>
  <c r="BB91" i="57"/>
  <c r="BC91" i="57"/>
  <c r="BA93" i="57"/>
  <c r="BB93" i="57"/>
  <c r="BC93" i="57"/>
  <c r="BA94" i="57"/>
  <c r="BB94" i="57"/>
  <c r="BC94" i="57"/>
  <c r="BA96" i="57"/>
  <c r="BB96" i="57"/>
  <c r="BC96" i="57"/>
  <c r="BA97" i="57"/>
  <c r="BB97" i="57"/>
  <c r="BC97" i="57"/>
  <c r="BA99" i="57"/>
  <c r="BB99" i="57"/>
  <c r="BC99" i="57"/>
  <c r="BA100" i="57"/>
  <c r="BB100" i="57"/>
  <c r="BC100" i="57"/>
  <c r="BA102" i="57"/>
  <c r="BB102" i="57"/>
  <c r="BC102" i="57"/>
  <c r="BA103" i="57"/>
  <c r="BB103" i="57"/>
  <c r="BC103" i="57"/>
  <c r="BA105" i="57"/>
  <c r="BB105" i="57"/>
  <c r="BC105" i="57"/>
  <c r="BA106" i="57"/>
  <c r="BB106" i="57"/>
  <c r="BC106" i="57"/>
  <c r="BA108" i="57"/>
  <c r="BB108" i="57"/>
  <c r="BC108" i="57"/>
  <c r="BA109" i="57"/>
  <c r="BB109" i="57"/>
  <c r="BC109" i="57"/>
  <c r="BA111" i="57"/>
  <c r="BB111" i="57"/>
  <c r="BC111" i="57"/>
  <c r="BA112" i="57"/>
  <c r="BB112" i="57"/>
  <c r="BC112" i="57"/>
  <c r="BA114" i="57"/>
  <c r="BB114" i="57"/>
  <c r="BC114" i="57"/>
  <c r="BA115" i="57"/>
  <c r="BB115" i="57"/>
  <c r="BC115" i="57"/>
  <c r="BA117" i="57"/>
  <c r="BB117" i="57"/>
  <c r="BC117" i="57"/>
  <c r="BA118" i="57"/>
  <c r="BB118" i="57"/>
  <c r="BC118" i="57"/>
  <c r="BA120" i="57"/>
  <c r="BB120" i="57"/>
  <c r="BC120" i="57"/>
  <c r="BA121" i="57"/>
  <c r="BB121" i="57"/>
  <c r="BC121" i="57"/>
  <c r="BA123" i="57"/>
  <c r="BB123" i="57"/>
  <c r="BC123" i="57"/>
  <c r="BA124" i="57"/>
  <c r="BB124" i="57"/>
  <c r="BC124" i="57"/>
  <c r="BA126" i="57"/>
  <c r="BB126" i="57"/>
  <c r="BC126" i="57"/>
  <c r="BA127" i="57"/>
  <c r="BB127" i="57"/>
  <c r="BC127" i="57"/>
  <c r="BA129" i="57"/>
  <c r="BB129" i="57"/>
  <c r="BC129" i="57"/>
  <c r="BA130" i="57"/>
  <c r="BB130" i="57"/>
  <c r="BC130" i="57"/>
  <c r="BA132" i="57"/>
  <c r="BB132" i="57"/>
  <c r="BC132" i="57"/>
  <c r="BA133" i="57"/>
  <c r="BB133" i="57"/>
  <c r="BC133" i="57"/>
  <c r="BA135" i="57"/>
  <c r="BB135" i="57"/>
  <c r="BC135" i="57"/>
  <c r="BA136" i="57"/>
  <c r="BB136" i="57"/>
  <c r="BC136" i="57"/>
  <c r="BA138" i="57"/>
  <c r="BB138" i="57"/>
  <c r="BC138" i="57"/>
  <c r="BA139" i="57"/>
  <c r="BB139" i="57"/>
  <c r="BC139" i="57"/>
  <c r="BA141" i="57"/>
  <c r="BB141" i="57"/>
  <c r="BC141" i="57"/>
  <c r="BA142" i="57"/>
  <c r="BB142" i="57"/>
  <c r="BC142" i="57"/>
  <c r="BA144" i="57"/>
  <c r="BB144" i="57"/>
  <c r="BC144" i="57"/>
  <c r="BA145" i="57"/>
  <c r="BB145" i="57"/>
  <c r="BC145" i="57"/>
  <c r="BA147" i="57"/>
  <c r="BB147" i="57"/>
  <c r="BC147" i="57"/>
  <c r="BA148" i="57"/>
  <c r="BB148" i="57"/>
  <c r="BC148" i="57"/>
  <c r="BA150" i="57"/>
  <c r="BB150" i="57"/>
  <c r="BC150" i="57"/>
  <c r="BA151" i="57"/>
  <c r="BB151" i="57"/>
  <c r="BC151" i="57"/>
  <c r="BA153" i="57"/>
  <c r="BB153" i="57"/>
  <c r="BC153" i="57"/>
  <c r="BA154" i="57"/>
  <c r="BB154" i="57"/>
  <c r="BC154" i="57"/>
  <c r="BA156" i="57"/>
  <c r="BB156" i="57"/>
  <c r="BC156" i="57"/>
  <c r="BA157" i="57"/>
  <c r="BB157" i="57"/>
  <c r="BC157" i="57"/>
  <c r="BA159" i="57"/>
  <c r="BB159" i="57"/>
  <c r="BC159" i="57"/>
  <c r="BA160" i="57"/>
  <c r="BB160" i="57"/>
  <c r="BC160" i="57"/>
  <c r="BA162" i="57"/>
  <c r="BB162" i="57"/>
  <c r="BC162" i="57"/>
  <c r="BA163" i="57"/>
  <c r="BB163" i="57"/>
  <c r="BC163" i="57"/>
  <c r="BA165" i="57"/>
  <c r="BB165" i="57"/>
  <c r="BC165" i="57"/>
  <c r="BA166" i="57"/>
  <c r="BB166" i="57"/>
  <c r="BC166" i="57"/>
  <c r="BA168" i="57"/>
  <c r="BB168" i="57"/>
  <c r="BC168" i="57"/>
  <c r="BA169" i="57"/>
  <c r="BB169" i="57"/>
  <c r="BC169" i="57"/>
  <c r="BA171" i="57"/>
  <c r="BB171" i="57"/>
  <c r="BC171" i="57"/>
  <c r="BA172" i="57"/>
  <c r="BB172" i="57"/>
  <c r="BC172" i="57"/>
  <c r="BA174" i="57"/>
  <c r="BB174" i="57"/>
  <c r="BC174" i="57"/>
  <c r="BA175" i="57"/>
  <c r="BB175" i="57"/>
  <c r="BC175" i="57"/>
  <c r="BA177" i="57"/>
  <c r="BB177" i="57"/>
  <c r="BC177" i="57"/>
  <c r="BA178" i="57"/>
  <c r="BB178" i="57"/>
  <c r="BC178" i="57"/>
  <c r="BA180" i="57"/>
  <c r="BB180" i="57"/>
  <c r="BC180" i="57"/>
  <c r="BA181" i="57"/>
  <c r="BB181" i="57"/>
  <c r="BC181" i="57"/>
  <c r="BA183" i="57"/>
  <c r="BB183" i="57"/>
  <c r="BC183" i="57"/>
  <c r="BA184" i="57"/>
  <c r="BB184" i="57"/>
  <c r="BC184" i="57"/>
  <c r="BA186" i="57"/>
  <c r="BB186" i="57"/>
  <c r="BC186" i="57"/>
  <c r="BA187" i="57"/>
  <c r="BB187" i="57"/>
  <c r="BC187" i="57"/>
  <c r="BA189" i="57"/>
  <c r="BB189" i="57"/>
  <c r="BC189" i="57"/>
  <c r="BA190" i="57"/>
  <c r="BB190" i="57"/>
  <c r="BC190" i="57"/>
  <c r="BA192" i="57"/>
  <c r="BB192" i="57"/>
  <c r="BC192" i="57"/>
  <c r="BA193" i="57"/>
  <c r="BB193" i="57"/>
  <c r="BC193" i="57"/>
  <c r="BA195" i="57"/>
  <c r="BB195" i="57"/>
  <c r="BC195" i="57"/>
  <c r="BA196" i="57"/>
  <c r="BB196" i="57"/>
  <c r="BC196" i="57"/>
  <c r="BA198" i="57"/>
  <c r="BB198" i="57"/>
  <c r="BC198" i="57"/>
  <c r="BA199" i="57"/>
  <c r="BB199" i="57"/>
  <c r="BC199" i="57"/>
  <c r="BA201" i="57"/>
  <c r="BB201" i="57"/>
  <c r="BC201" i="57"/>
  <c r="BA202" i="57"/>
  <c r="BB202" i="57"/>
  <c r="BC202" i="57"/>
  <c r="BA204" i="57"/>
  <c r="BB204" i="57"/>
  <c r="BC204" i="57"/>
  <c r="BA205" i="57"/>
  <c r="BB205" i="57"/>
  <c r="BC205" i="57"/>
  <c r="BA207" i="57"/>
  <c r="BB207" i="57"/>
  <c r="BC207" i="57"/>
  <c r="BA208" i="57"/>
  <c r="BB208" i="57"/>
  <c r="BC208" i="57"/>
  <c r="BA210" i="57"/>
  <c r="BB210" i="57"/>
  <c r="BC210" i="57"/>
  <c r="BA211" i="57"/>
  <c r="BB211" i="57"/>
  <c r="BC211" i="57"/>
  <c r="BA213" i="57"/>
  <c r="BB213" i="57"/>
  <c r="BC213" i="57"/>
  <c r="BA214" i="57"/>
  <c r="BB214" i="57"/>
  <c r="BC214" i="57"/>
  <c r="BA216" i="57"/>
  <c r="BB216" i="57"/>
  <c r="BC216" i="57"/>
  <c r="BA217" i="57"/>
  <c r="BB217" i="57"/>
  <c r="BC217" i="57"/>
  <c r="BA219" i="57"/>
  <c r="BB219" i="57"/>
  <c r="BC219" i="57"/>
  <c r="BA220" i="57"/>
  <c r="BB220" i="57"/>
  <c r="BC220" i="57"/>
  <c r="BA222" i="57"/>
  <c r="BB222" i="57"/>
  <c r="BC222" i="57"/>
  <c r="BA223" i="57"/>
  <c r="BB223" i="57"/>
  <c r="BC223" i="57"/>
  <c r="BA225" i="57"/>
  <c r="BB225" i="57"/>
  <c r="BC225" i="57"/>
  <c r="BA226" i="57"/>
  <c r="BB226" i="57"/>
  <c r="BC226" i="57"/>
  <c r="BA228" i="57"/>
  <c r="BB228" i="57"/>
  <c r="BC228" i="57"/>
  <c r="BA229" i="57"/>
  <c r="BB229" i="57"/>
  <c r="BC229" i="57"/>
  <c r="BA231" i="57"/>
  <c r="BB231" i="57"/>
  <c r="BC231" i="57"/>
  <c r="BA232" i="57"/>
  <c r="BB232" i="57"/>
  <c r="BC232" i="57"/>
  <c r="BA234" i="57"/>
  <c r="BB234" i="57"/>
  <c r="BC234" i="57"/>
  <c r="BA235" i="57"/>
  <c r="BB235" i="57"/>
  <c r="BC235" i="57"/>
  <c r="BA237" i="57"/>
  <c r="BB237" i="57"/>
  <c r="BC237" i="57"/>
  <c r="BA238" i="57"/>
  <c r="BB238" i="57"/>
  <c r="BC238" i="57"/>
  <c r="BA240" i="57"/>
  <c r="BB240" i="57"/>
  <c r="BC240" i="57"/>
  <c r="BA241" i="57"/>
  <c r="BB241" i="57"/>
  <c r="BC241" i="57"/>
  <c r="BA243" i="57"/>
  <c r="BB243" i="57"/>
  <c r="BC243" i="57"/>
  <c r="BA244" i="57"/>
  <c r="BB244" i="57"/>
  <c r="BC244" i="57"/>
  <c r="BA246" i="57"/>
  <c r="BB246" i="57"/>
  <c r="BC246" i="57"/>
  <c r="BA247" i="57"/>
  <c r="BB247" i="57"/>
  <c r="BC247" i="57"/>
  <c r="BA249" i="57"/>
  <c r="BB249" i="57"/>
  <c r="BC249" i="57"/>
  <c r="BA250" i="57"/>
  <c r="BB250" i="57"/>
  <c r="BC250" i="57"/>
  <c r="BA252" i="57"/>
  <c r="BB252" i="57"/>
  <c r="BC252" i="57"/>
  <c r="BA253" i="57"/>
  <c r="BB253" i="57"/>
  <c r="BC253" i="57"/>
  <c r="BA255" i="57"/>
  <c r="BB255" i="57"/>
  <c r="BC255" i="57"/>
  <c r="BA256" i="57"/>
  <c r="BB256" i="57"/>
  <c r="BC256" i="57"/>
  <c r="BA258" i="57"/>
  <c r="BB258" i="57"/>
  <c r="BC258" i="57"/>
  <c r="BA259" i="57"/>
  <c r="BB259" i="57"/>
  <c r="BC259" i="57"/>
  <c r="BA261" i="57"/>
  <c r="BB261" i="57"/>
  <c r="BC261" i="57"/>
  <c r="BA262" i="57"/>
  <c r="BB262" i="57"/>
  <c r="BC262" i="57"/>
  <c r="BA264" i="57"/>
  <c r="BB264" i="57"/>
  <c r="BC264" i="57"/>
  <c r="BA265" i="57"/>
  <c r="BB265" i="57"/>
  <c r="BC265" i="57"/>
  <c r="BA267" i="57"/>
  <c r="BB267" i="57"/>
  <c r="BC267" i="57"/>
  <c r="BA268" i="57"/>
  <c r="BB268" i="57"/>
  <c r="BC268" i="57"/>
  <c r="BA270" i="57"/>
  <c r="BB270" i="57"/>
  <c r="BC270" i="57"/>
  <c r="BA271" i="57"/>
  <c r="BB271" i="57"/>
  <c r="BC271" i="57"/>
  <c r="BA273" i="57"/>
  <c r="BB273" i="57"/>
  <c r="BC273" i="57"/>
  <c r="BA274" i="57"/>
  <c r="BB274" i="57"/>
  <c r="BC274" i="57"/>
  <c r="BA276" i="57"/>
  <c r="BB276" i="57"/>
  <c r="BC276" i="57"/>
  <c r="BA277" i="57"/>
  <c r="BB277" i="57"/>
  <c r="BC277" i="57"/>
  <c r="BA279" i="57"/>
  <c r="BB279" i="57"/>
  <c r="BC279" i="57"/>
  <c r="BA280" i="57"/>
  <c r="BB280" i="57"/>
  <c r="BC280" i="57"/>
  <c r="BA282" i="57"/>
  <c r="BB282" i="57"/>
  <c r="BC282" i="57"/>
  <c r="BA283" i="57"/>
  <c r="BB283" i="57"/>
  <c r="BC283" i="57"/>
  <c r="BA285" i="57"/>
  <c r="BB285" i="57"/>
  <c r="BC285" i="57"/>
  <c r="BA286" i="57"/>
  <c r="BB286" i="57"/>
  <c r="BC286" i="57"/>
  <c r="BA288" i="57"/>
  <c r="BB288" i="57"/>
  <c r="BC288" i="57"/>
  <c r="BA289" i="57"/>
  <c r="BB289" i="57"/>
  <c r="BC289" i="57"/>
  <c r="BA291" i="57"/>
  <c r="BB291" i="57"/>
  <c r="BC291" i="57"/>
  <c r="BA292" i="57"/>
  <c r="BB292" i="57"/>
  <c r="BC292" i="57"/>
  <c r="BA294" i="57"/>
  <c r="BB294" i="57"/>
  <c r="BC294" i="57"/>
  <c r="BA295" i="57"/>
  <c r="BB295" i="57"/>
  <c r="BC295" i="57"/>
  <c r="BA297" i="57"/>
  <c r="BB297" i="57"/>
  <c r="BC297" i="57"/>
  <c r="BA298" i="57"/>
  <c r="BB298" i="57"/>
  <c r="BC298" i="57"/>
  <c r="BA300" i="57"/>
  <c r="BB300" i="57"/>
  <c r="BC300" i="57"/>
  <c r="BA301" i="57"/>
  <c r="BB301" i="57"/>
  <c r="BC301" i="57"/>
  <c r="BA303" i="57"/>
  <c r="BB303" i="57"/>
  <c r="BC303" i="57"/>
  <c r="BA304" i="57"/>
  <c r="BB304" i="57"/>
  <c r="BC304" i="57"/>
  <c r="BA306" i="57"/>
  <c r="BB306" i="57"/>
  <c r="BC306" i="57"/>
  <c r="BA307" i="57"/>
  <c r="BB307" i="57"/>
  <c r="BC307" i="57"/>
  <c r="BA309" i="57"/>
  <c r="BB309" i="57"/>
  <c r="BC309" i="57"/>
  <c r="BA310" i="57"/>
  <c r="BB310" i="57"/>
  <c r="BC310" i="57"/>
  <c r="BA312" i="57"/>
  <c r="BB312" i="57"/>
  <c r="BC312" i="57"/>
  <c r="BA313" i="57"/>
  <c r="BB313" i="57"/>
  <c r="BC313" i="57"/>
  <c r="BA315" i="57"/>
  <c r="BB315" i="57"/>
  <c r="BC315" i="57"/>
  <c r="BA316" i="57"/>
  <c r="BB316" i="57"/>
  <c r="BC316" i="57"/>
  <c r="BA318" i="57"/>
  <c r="BB318" i="57"/>
  <c r="BC318" i="57"/>
  <c r="BM67" i="57"/>
  <c r="BU67" i="57" s="1"/>
  <c r="CN67" i="57" s="1"/>
  <c r="DA67" i="57" s="1"/>
  <c r="DN67" i="57" s="1"/>
  <c r="BH67" i="57"/>
  <c r="BT67" i="57" s="1"/>
  <c r="CI67" i="57" s="1"/>
  <c r="CW67" i="57" s="1"/>
  <c r="DJ67" i="57" s="1"/>
  <c r="AZ67" i="57"/>
  <c r="BS67" i="57" s="1"/>
  <c r="CA67" i="57" s="1"/>
  <c r="O55" i="57"/>
  <c r="P55" i="57"/>
  <c r="Q55" i="57"/>
  <c r="R55" i="57"/>
  <c r="S55" i="57"/>
  <c r="T55" i="57"/>
  <c r="U55" i="57"/>
  <c r="V55" i="57"/>
  <c r="W55" i="57"/>
  <c r="P12" i="5"/>
  <c r="P13" i="5" s="1"/>
  <c r="P14" i="5" s="1"/>
  <c r="P15" i="5" s="1"/>
  <c r="P11" i="5"/>
  <c r="B7" i="12" l="1"/>
  <c r="W46" i="12"/>
  <c r="AZ66" i="36" l="1"/>
  <c r="BA66" i="36"/>
  <c r="BB66" i="36"/>
  <c r="BA67" i="36"/>
  <c r="BB67" i="36"/>
  <c r="AZ69" i="36"/>
  <c r="BA69" i="36"/>
  <c r="BB69" i="36"/>
  <c r="AZ70" i="36"/>
  <c r="BA70" i="36"/>
  <c r="BB70" i="36"/>
  <c r="AZ72" i="36"/>
  <c r="BA72" i="36"/>
  <c r="BB72" i="36"/>
  <c r="AZ73" i="36"/>
  <c r="BA73" i="36"/>
  <c r="BB73" i="36"/>
  <c r="AZ75" i="36"/>
  <c r="BA75" i="36"/>
  <c r="BB75" i="36"/>
  <c r="AZ76" i="36"/>
  <c r="BA76" i="36"/>
  <c r="BB76" i="36"/>
  <c r="AZ78" i="36"/>
  <c r="BA78" i="36"/>
  <c r="BB78" i="36"/>
  <c r="AZ79" i="36"/>
  <c r="BA79" i="36"/>
  <c r="BB79" i="36"/>
  <c r="AZ81" i="36"/>
  <c r="BA81" i="36"/>
  <c r="BB81" i="36"/>
  <c r="AZ82" i="36"/>
  <c r="BA82" i="36"/>
  <c r="BB82" i="36"/>
  <c r="AZ84" i="36"/>
  <c r="BA84" i="36"/>
  <c r="BB84" i="36"/>
  <c r="AZ85" i="36"/>
  <c r="BA85" i="36"/>
  <c r="BB85" i="36"/>
  <c r="AZ87" i="36"/>
  <c r="BA87" i="36"/>
  <c r="BB87" i="36"/>
  <c r="AZ88" i="36"/>
  <c r="BA88" i="36"/>
  <c r="BB88" i="36"/>
  <c r="AZ90" i="36"/>
  <c r="BA90" i="36"/>
  <c r="BB90" i="36"/>
  <c r="AZ91" i="36"/>
  <c r="BA91" i="36"/>
  <c r="BB91" i="36"/>
  <c r="AZ93" i="36"/>
  <c r="BA93" i="36"/>
  <c r="BB93" i="36"/>
  <c r="AZ94" i="36"/>
  <c r="BA94" i="36"/>
  <c r="BB94" i="36"/>
  <c r="AZ96" i="36"/>
  <c r="BA96" i="36"/>
  <c r="BB96" i="36"/>
  <c r="AZ97" i="36"/>
  <c r="BA97" i="36"/>
  <c r="BB97" i="36"/>
  <c r="AZ99" i="36"/>
  <c r="BA99" i="36"/>
  <c r="BB99" i="36"/>
  <c r="AZ100" i="36"/>
  <c r="BA100" i="36"/>
  <c r="BB100" i="36"/>
  <c r="AZ102" i="36"/>
  <c r="BA102" i="36"/>
  <c r="BB102" i="36"/>
  <c r="AZ103" i="36"/>
  <c r="BA103" i="36"/>
  <c r="BB103" i="36"/>
  <c r="AZ105" i="36"/>
  <c r="BA105" i="36"/>
  <c r="BB105" i="36"/>
  <c r="AZ106" i="36"/>
  <c r="BA106" i="36"/>
  <c r="BB106" i="36"/>
  <c r="AZ108" i="36"/>
  <c r="BA108" i="36"/>
  <c r="BB108" i="36"/>
  <c r="AZ109" i="36"/>
  <c r="BA109" i="36"/>
  <c r="BB109" i="36"/>
  <c r="AZ111" i="36"/>
  <c r="BA111" i="36"/>
  <c r="BB111" i="36"/>
  <c r="AZ112" i="36"/>
  <c r="BA112" i="36"/>
  <c r="BB112" i="36"/>
  <c r="AZ114" i="36"/>
  <c r="BA114" i="36"/>
  <c r="BB114" i="36"/>
  <c r="AZ115" i="36"/>
  <c r="BA115" i="36"/>
  <c r="AZ117" i="36"/>
  <c r="BA117" i="36"/>
  <c r="BB117" i="36"/>
  <c r="AZ118" i="36"/>
  <c r="BA118" i="36"/>
  <c r="BB118" i="36"/>
  <c r="AZ120" i="36"/>
  <c r="BA120" i="36"/>
  <c r="BB120" i="36"/>
  <c r="AZ121" i="36"/>
  <c r="BA121" i="36"/>
  <c r="BB121" i="36"/>
  <c r="AZ123" i="36"/>
  <c r="BA123" i="36"/>
  <c r="BB123" i="36"/>
  <c r="AZ124" i="36"/>
  <c r="BA124" i="36"/>
  <c r="BB124" i="36"/>
  <c r="AZ126" i="36"/>
  <c r="BA126" i="36"/>
  <c r="BB126" i="36"/>
  <c r="AZ127" i="36"/>
  <c r="BA127" i="36"/>
  <c r="BB127" i="36"/>
  <c r="AZ129" i="36"/>
  <c r="BA129" i="36"/>
  <c r="BB129" i="36"/>
  <c r="AZ130" i="36"/>
  <c r="BA130" i="36"/>
  <c r="BB130" i="36"/>
  <c r="AZ132" i="36"/>
  <c r="BA132" i="36"/>
  <c r="BB132" i="36"/>
  <c r="AZ133" i="36"/>
  <c r="BA133" i="36"/>
  <c r="BB133" i="36"/>
  <c r="AZ135" i="36"/>
  <c r="BA135" i="36"/>
  <c r="BB135" i="36"/>
  <c r="AZ136" i="36"/>
  <c r="BA136" i="36"/>
  <c r="BB136" i="36"/>
  <c r="AZ138" i="36"/>
  <c r="BA138" i="36"/>
  <c r="BB138" i="36"/>
  <c r="AZ139" i="36"/>
  <c r="BA139" i="36"/>
  <c r="BB139" i="36"/>
  <c r="AZ141" i="36"/>
  <c r="BA141" i="36"/>
  <c r="BB141" i="36"/>
  <c r="AZ142" i="36"/>
  <c r="BA142" i="36"/>
  <c r="BB142" i="36"/>
  <c r="AZ144" i="36"/>
  <c r="BA144" i="36"/>
  <c r="BB144" i="36"/>
  <c r="AZ145" i="36"/>
  <c r="BA145" i="36"/>
  <c r="BB145" i="36"/>
  <c r="AZ147" i="36"/>
  <c r="BA147" i="36"/>
  <c r="BB147" i="36"/>
  <c r="AZ148" i="36"/>
  <c r="BA148" i="36"/>
  <c r="BB148" i="36"/>
  <c r="AZ150" i="36"/>
  <c r="BA150" i="36"/>
  <c r="BB150" i="36"/>
  <c r="AZ151" i="36"/>
  <c r="BA151" i="36"/>
  <c r="BB151" i="36"/>
  <c r="AZ153" i="36"/>
  <c r="BA153" i="36"/>
  <c r="BB153" i="36"/>
  <c r="AZ154" i="36"/>
  <c r="BA154" i="36"/>
  <c r="BB154" i="36"/>
  <c r="AZ156" i="36"/>
  <c r="BA156" i="36"/>
  <c r="BB156" i="36"/>
  <c r="AZ157" i="36"/>
  <c r="BA157" i="36"/>
  <c r="BB157" i="36"/>
  <c r="AZ159" i="36"/>
  <c r="BA159" i="36"/>
  <c r="BB159" i="36"/>
  <c r="AZ160" i="36"/>
  <c r="BA160" i="36"/>
  <c r="BB160" i="36"/>
  <c r="AZ162" i="36"/>
  <c r="BA162" i="36"/>
  <c r="BB162" i="36"/>
  <c r="AZ163" i="36"/>
  <c r="BA163" i="36"/>
  <c r="BB163" i="36"/>
  <c r="AZ165" i="36"/>
  <c r="BA165" i="36"/>
  <c r="BB165" i="36"/>
  <c r="AZ166" i="36"/>
  <c r="BA166" i="36"/>
  <c r="BB166" i="36"/>
  <c r="AZ168" i="36"/>
  <c r="BA168" i="36"/>
  <c r="BB168" i="36"/>
  <c r="AZ169" i="36"/>
  <c r="BA169" i="36"/>
  <c r="BB169" i="36"/>
  <c r="AZ171" i="36"/>
  <c r="BA171" i="36"/>
  <c r="BB171" i="36"/>
  <c r="AZ172" i="36"/>
  <c r="BA172" i="36"/>
  <c r="BB172" i="36"/>
  <c r="AZ174" i="36"/>
  <c r="BA174" i="36"/>
  <c r="BB174" i="36"/>
  <c r="AZ175" i="36"/>
  <c r="BA175" i="36"/>
  <c r="BB175" i="36"/>
  <c r="AZ177" i="36"/>
  <c r="BA177" i="36"/>
  <c r="BB177" i="36"/>
  <c r="AZ178" i="36"/>
  <c r="BA178" i="36"/>
  <c r="BB178" i="36"/>
  <c r="AZ180" i="36"/>
  <c r="BA180" i="36"/>
  <c r="BB180" i="36"/>
  <c r="AZ181" i="36"/>
  <c r="BA181" i="36"/>
  <c r="BB181" i="36"/>
  <c r="AZ183" i="36"/>
  <c r="BA183" i="36"/>
  <c r="BB183" i="36"/>
  <c r="AZ184" i="36"/>
  <c r="BA184" i="36"/>
  <c r="BB184" i="36"/>
  <c r="AZ186" i="36"/>
  <c r="BA186" i="36"/>
  <c r="BB186" i="36"/>
  <c r="AZ187" i="36"/>
  <c r="BA187" i="36"/>
  <c r="BB187" i="36"/>
  <c r="AZ189" i="36"/>
  <c r="BA189" i="36"/>
  <c r="BB189" i="36"/>
  <c r="AZ190" i="36"/>
  <c r="BA190" i="36"/>
  <c r="BB190" i="36"/>
  <c r="AZ192" i="36"/>
  <c r="BA192" i="36"/>
  <c r="BB192" i="36"/>
  <c r="AZ193" i="36"/>
  <c r="BA193" i="36"/>
  <c r="BB193" i="36"/>
  <c r="AZ195" i="36"/>
  <c r="BA195" i="36"/>
  <c r="BB195" i="36"/>
  <c r="AZ196" i="36"/>
  <c r="BA196" i="36"/>
  <c r="BB196" i="36"/>
  <c r="AZ198" i="36"/>
  <c r="BA198" i="36"/>
  <c r="BB198" i="36"/>
  <c r="AZ199" i="36"/>
  <c r="BA199" i="36"/>
  <c r="BB199" i="36"/>
  <c r="AZ201" i="36"/>
  <c r="BA201" i="36"/>
  <c r="BB201" i="36"/>
  <c r="AZ202" i="36"/>
  <c r="BA202" i="36"/>
  <c r="BB202" i="36"/>
  <c r="AZ204" i="36"/>
  <c r="BA204" i="36"/>
  <c r="BB204" i="36"/>
  <c r="AZ205" i="36"/>
  <c r="BA205" i="36"/>
  <c r="BB205" i="36"/>
  <c r="AZ207" i="36"/>
  <c r="BA207" i="36"/>
  <c r="BB207" i="36"/>
  <c r="AZ208" i="36"/>
  <c r="BA208" i="36"/>
  <c r="BB208" i="36"/>
  <c r="AZ210" i="36"/>
  <c r="BA210" i="36"/>
  <c r="BB210" i="36"/>
  <c r="AZ211" i="36"/>
  <c r="BA211" i="36"/>
  <c r="BB211" i="36"/>
  <c r="AZ213" i="36"/>
  <c r="BA213" i="36"/>
  <c r="BB213" i="36"/>
  <c r="AZ214" i="36"/>
  <c r="BA214" i="36"/>
  <c r="BB214" i="36"/>
  <c r="AZ216" i="36"/>
  <c r="BA216" i="36"/>
  <c r="BB216" i="36"/>
  <c r="AZ217" i="36"/>
  <c r="BA217" i="36"/>
  <c r="BB217" i="36"/>
  <c r="AZ219" i="36"/>
  <c r="BA219" i="36"/>
  <c r="BB219" i="36"/>
  <c r="AZ220" i="36"/>
  <c r="BA220" i="36"/>
  <c r="BB220" i="36"/>
  <c r="AZ222" i="36"/>
  <c r="BA222" i="36"/>
  <c r="BB222" i="36"/>
  <c r="AZ223" i="36"/>
  <c r="BA223" i="36"/>
  <c r="BB223" i="36"/>
  <c r="AZ225" i="36"/>
  <c r="BA225" i="36"/>
  <c r="BB225" i="36"/>
  <c r="AZ226" i="36"/>
  <c r="BA226" i="36"/>
  <c r="BB226" i="36"/>
  <c r="AZ228" i="36"/>
  <c r="BA228" i="36"/>
  <c r="BB228" i="36"/>
  <c r="AZ229" i="36"/>
  <c r="BA229" i="36"/>
  <c r="BB229" i="36"/>
  <c r="AZ231" i="36"/>
  <c r="BA231" i="36"/>
  <c r="BB231" i="36"/>
  <c r="AZ232" i="36"/>
  <c r="BA232" i="36"/>
  <c r="BB232" i="36"/>
  <c r="AZ234" i="36"/>
  <c r="BA234" i="36"/>
  <c r="BB234" i="36"/>
  <c r="AZ235" i="36"/>
  <c r="BA235" i="36"/>
  <c r="BB235" i="36"/>
  <c r="AZ237" i="36"/>
  <c r="BA237" i="36"/>
  <c r="BB237" i="36"/>
  <c r="AZ238" i="36"/>
  <c r="BA238" i="36"/>
  <c r="BB238" i="36"/>
  <c r="AZ240" i="36"/>
  <c r="BA240" i="36"/>
  <c r="BB240" i="36"/>
  <c r="AZ241" i="36"/>
  <c r="BA241" i="36"/>
  <c r="BB241" i="36"/>
  <c r="AZ243" i="36"/>
  <c r="BA243" i="36"/>
  <c r="BB243" i="36"/>
  <c r="AZ244" i="36"/>
  <c r="BA244" i="36"/>
  <c r="BB244" i="36"/>
  <c r="AZ246" i="36"/>
  <c r="BA246" i="36"/>
  <c r="BB246" i="36"/>
  <c r="AZ247" i="36"/>
  <c r="BA247" i="36"/>
  <c r="BB247" i="36"/>
  <c r="AZ249" i="36"/>
  <c r="BA249" i="36"/>
  <c r="BB249" i="36"/>
  <c r="AZ250" i="36"/>
  <c r="BA250" i="36"/>
  <c r="BB250" i="36"/>
  <c r="AZ252" i="36"/>
  <c r="BA252" i="36"/>
  <c r="BB252" i="36"/>
  <c r="AZ253" i="36"/>
  <c r="BA253" i="36"/>
  <c r="BB253" i="36"/>
  <c r="AZ255" i="36"/>
  <c r="BA255" i="36"/>
  <c r="BB255" i="36"/>
  <c r="AZ256" i="36"/>
  <c r="BA256" i="36"/>
  <c r="BB256" i="36"/>
  <c r="AZ258" i="36"/>
  <c r="BA258" i="36"/>
  <c r="BB258" i="36"/>
  <c r="AZ259" i="36"/>
  <c r="BA259" i="36"/>
  <c r="BB259" i="36"/>
  <c r="AZ261" i="36"/>
  <c r="BA261" i="36"/>
  <c r="BB261" i="36"/>
  <c r="AZ262" i="36"/>
  <c r="BA262" i="36"/>
  <c r="BB262" i="36"/>
  <c r="AZ264" i="36"/>
  <c r="BA264" i="36"/>
  <c r="BB264" i="36"/>
  <c r="AZ265" i="36"/>
  <c r="BA265" i="36"/>
  <c r="BB265" i="36"/>
  <c r="AZ267" i="36"/>
  <c r="BA267" i="36"/>
  <c r="BB267" i="36"/>
  <c r="AZ268" i="36"/>
  <c r="BA268" i="36"/>
  <c r="BB268" i="36"/>
  <c r="AZ270" i="36"/>
  <c r="BA270" i="36"/>
  <c r="BB270" i="36"/>
  <c r="AZ271" i="36"/>
  <c r="BA271" i="36"/>
  <c r="BB271" i="36"/>
  <c r="AZ273" i="36"/>
  <c r="BA273" i="36"/>
  <c r="BB273" i="36"/>
  <c r="AZ274" i="36"/>
  <c r="BA274" i="36"/>
  <c r="BB274" i="36"/>
  <c r="AZ276" i="36"/>
  <c r="BA276" i="36"/>
  <c r="BB276" i="36"/>
  <c r="AZ277" i="36"/>
  <c r="BA277" i="36"/>
  <c r="BB277" i="36"/>
  <c r="AZ279" i="36"/>
  <c r="BA279" i="36"/>
  <c r="BB279" i="36"/>
  <c r="AZ280" i="36"/>
  <c r="BA280" i="36"/>
  <c r="BB280" i="36"/>
  <c r="AZ282" i="36"/>
  <c r="BA282" i="36"/>
  <c r="BB282" i="36"/>
  <c r="AZ283" i="36"/>
  <c r="BA283" i="36"/>
  <c r="BB283" i="36"/>
  <c r="AZ285" i="36"/>
  <c r="BA285" i="36"/>
  <c r="BB285" i="36"/>
  <c r="AZ286" i="36"/>
  <c r="BA286" i="36"/>
  <c r="BB286" i="36"/>
  <c r="AZ288" i="36"/>
  <c r="BA288" i="36"/>
  <c r="BB288" i="36"/>
  <c r="AZ289" i="36"/>
  <c r="BA289" i="36"/>
  <c r="BB289" i="36"/>
  <c r="AZ291" i="36"/>
  <c r="BA291" i="36"/>
  <c r="BB291" i="36"/>
  <c r="AZ292" i="36"/>
  <c r="BA292" i="36"/>
  <c r="BB292" i="36"/>
  <c r="AZ294" i="36"/>
  <c r="BA294" i="36"/>
  <c r="BB294" i="36"/>
  <c r="AZ295" i="36"/>
  <c r="BA295" i="36"/>
  <c r="BB295" i="36"/>
  <c r="AZ297" i="36"/>
  <c r="BA297" i="36"/>
  <c r="BB297" i="36"/>
  <c r="AZ298" i="36"/>
  <c r="BA298" i="36"/>
  <c r="BB298" i="36"/>
  <c r="AZ300" i="36"/>
  <c r="BA300" i="36"/>
  <c r="BB300" i="36"/>
  <c r="AZ301" i="36"/>
  <c r="BA301" i="36"/>
  <c r="BB301" i="36"/>
  <c r="AZ303" i="36"/>
  <c r="BA303" i="36"/>
  <c r="BB303" i="36"/>
  <c r="AZ304" i="36"/>
  <c r="BA304" i="36"/>
  <c r="BB304" i="36"/>
  <c r="AZ306" i="36"/>
  <c r="BA306" i="36"/>
  <c r="BB306" i="36"/>
  <c r="AZ307" i="36"/>
  <c r="BA307" i="36"/>
  <c r="BB307" i="36"/>
  <c r="AZ309" i="36"/>
  <c r="BA309" i="36"/>
  <c r="BB309" i="36"/>
  <c r="AZ310" i="36"/>
  <c r="BA310" i="36"/>
  <c r="BB310" i="36"/>
  <c r="AZ312" i="36"/>
  <c r="BA312" i="36"/>
  <c r="BB312" i="36"/>
  <c r="AZ313" i="36"/>
  <c r="BA313" i="36"/>
  <c r="BB313" i="36"/>
  <c r="AZ315" i="36"/>
  <c r="BA315" i="36"/>
  <c r="BB315" i="36"/>
  <c r="AZ316" i="36"/>
  <c r="BA316" i="36"/>
  <c r="BB316" i="36"/>
  <c r="AZ318" i="36"/>
  <c r="BA318" i="36"/>
  <c r="BB318" i="36"/>
  <c r="AZ319" i="36"/>
  <c r="BA319" i="36"/>
  <c r="BB319" i="36"/>
  <c r="AZ321" i="36"/>
  <c r="BA321" i="36"/>
  <c r="BB321" i="36"/>
  <c r="AZ322" i="36"/>
  <c r="BA322" i="36"/>
  <c r="BB322" i="36"/>
  <c r="AZ324" i="36"/>
  <c r="BA324" i="36"/>
  <c r="BB324" i="36"/>
  <c r="AZ325" i="36"/>
  <c r="BA325" i="36"/>
  <c r="BB325" i="36"/>
  <c r="AZ327" i="36"/>
  <c r="BA327" i="36"/>
  <c r="BB327" i="36"/>
  <c r="AZ328" i="36"/>
  <c r="BA328" i="36"/>
  <c r="BB328" i="36"/>
  <c r="AZ330" i="36"/>
  <c r="BA330" i="36"/>
  <c r="BB330" i="36"/>
  <c r="AZ331" i="36"/>
  <c r="BA331" i="36"/>
  <c r="BB331" i="36"/>
  <c r="AZ333" i="36"/>
  <c r="BA333" i="36"/>
  <c r="BB333" i="36"/>
  <c r="AZ334" i="36"/>
  <c r="BA334" i="36"/>
  <c r="BB334" i="36"/>
  <c r="AZ336" i="36"/>
  <c r="BA336" i="36"/>
  <c r="BB336" i="36"/>
  <c r="AZ337" i="36"/>
  <c r="BA337" i="36"/>
  <c r="BB337" i="36"/>
  <c r="AZ339" i="36"/>
  <c r="BA339" i="36"/>
  <c r="BB339" i="36"/>
  <c r="AZ340" i="36"/>
  <c r="BA340" i="36"/>
  <c r="BB340" i="36"/>
  <c r="AZ342" i="36"/>
  <c r="BA342" i="36"/>
  <c r="BB342" i="36"/>
  <c r="AZ343" i="36"/>
  <c r="BA343" i="36"/>
  <c r="BB343" i="36"/>
  <c r="AZ345" i="36"/>
  <c r="BA345" i="36"/>
  <c r="BB345" i="36"/>
  <c r="AZ346" i="36"/>
  <c r="BA346" i="36"/>
  <c r="BB346" i="36"/>
  <c r="AZ348" i="36"/>
  <c r="BA348" i="36"/>
  <c r="BB348" i="36"/>
  <c r="AZ349" i="36"/>
  <c r="BA349" i="36"/>
  <c r="BB349" i="36"/>
  <c r="AZ351" i="36"/>
  <c r="BA351" i="36"/>
  <c r="BB351" i="36"/>
  <c r="AZ352" i="36"/>
  <c r="BA352" i="36"/>
  <c r="BB352" i="36"/>
  <c r="AZ354" i="36"/>
  <c r="BA354" i="36"/>
  <c r="BB354" i="36"/>
  <c r="AZ355" i="36"/>
  <c r="BA355" i="36"/>
  <c r="BB355" i="36"/>
  <c r="AZ357" i="36"/>
  <c r="BA357" i="36"/>
  <c r="BB357" i="36"/>
  <c r="AZ358" i="36"/>
  <c r="BA358" i="36"/>
  <c r="BB358" i="36"/>
  <c r="AZ360" i="36"/>
  <c r="BA360" i="36"/>
  <c r="BB360" i="36"/>
  <c r="AZ361" i="36"/>
  <c r="BA361" i="36"/>
  <c r="BB361" i="36"/>
  <c r="AZ363" i="36"/>
  <c r="BA363" i="36"/>
  <c r="BB363" i="36"/>
  <c r="AZ364" i="36"/>
  <c r="BA364" i="36"/>
  <c r="BB364" i="36"/>
  <c r="AZ366" i="36"/>
  <c r="BA366" i="36"/>
  <c r="BB366" i="36"/>
  <c r="AZ367" i="36"/>
  <c r="BA367" i="36"/>
  <c r="BB367" i="36"/>
  <c r="AZ369" i="36"/>
  <c r="BA369" i="36"/>
  <c r="BB369" i="36"/>
  <c r="AZ370" i="36"/>
  <c r="BA370" i="36"/>
  <c r="BB370" i="36"/>
  <c r="AZ372" i="36"/>
  <c r="BA372" i="36"/>
  <c r="BB372" i="36"/>
  <c r="AZ373" i="36"/>
  <c r="BA373" i="36"/>
  <c r="BB373" i="36"/>
  <c r="AZ375" i="36"/>
  <c r="BA375" i="36"/>
  <c r="BB375" i="36"/>
  <c r="AZ376" i="36"/>
  <c r="BA376" i="36"/>
  <c r="BB376" i="36"/>
  <c r="AZ378" i="36"/>
  <c r="BA378" i="36"/>
  <c r="BB378" i="36"/>
  <c r="AZ379" i="36"/>
  <c r="BA379" i="36"/>
  <c r="BB379" i="36"/>
  <c r="AZ381" i="36"/>
  <c r="BA381" i="36"/>
  <c r="BB381" i="36"/>
  <c r="AZ382" i="36"/>
  <c r="BA382" i="36"/>
  <c r="BB382" i="36"/>
  <c r="AZ384" i="36"/>
  <c r="BA384" i="36"/>
  <c r="BB384" i="36"/>
  <c r="AZ385" i="36"/>
  <c r="BA385" i="36"/>
  <c r="BB385" i="36"/>
  <c r="AZ387" i="36"/>
  <c r="BA387" i="36"/>
  <c r="BB387" i="36"/>
  <c r="AZ388" i="36"/>
  <c r="BA388" i="36"/>
  <c r="BB388" i="36"/>
  <c r="AZ390" i="36"/>
  <c r="BA390" i="36"/>
  <c r="BB390" i="36"/>
  <c r="AZ391" i="36"/>
  <c r="BA391" i="36"/>
  <c r="BB391" i="36"/>
  <c r="AZ393" i="36"/>
  <c r="BA393" i="36"/>
  <c r="BB393" i="36"/>
  <c r="AZ394" i="36"/>
  <c r="BA394" i="36"/>
  <c r="BB394" i="36"/>
  <c r="AZ396" i="36"/>
  <c r="BA396" i="36"/>
  <c r="BB396" i="36"/>
  <c r="AZ397" i="36"/>
  <c r="BA397" i="36"/>
  <c r="BB397" i="36"/>
  <c r="AZ399" i="36"/>
  <c r="BA399" i="36"/>
  <c r="BB399" i="36"/>
  <c r="AZ400" i="36"/>
  <c r="BA400" i="36"/>
  <c r="BB400" i="36"/>
  <c r="AZ402" i="36"/>
  <c r="BA402" i="36"/>
  <c r="BB402" i="36"/>
  <c r="AZ403" i="36"/>
  <c r="BA403" i="36"/>
  <c r="BB403" i="36"/>
  <c r="AZ405" i="36"/>
  <c r="BA405" i="36"/>
  <c r="BB405" i="36"/>
  <c r="AZ406" i="36"/>
  <c r="BA406" i="36"/>
  <c r="BB406" i="36"/>
  <c r="AZ408" i="36"/>
  <c r="BA408" i="36"/>
  <c r="BB408" i="36"/>
  <c r="AZ409" i="36"/>
  <c r="BA409" i="36"/>
  <c r="BB409" i="36"/>
  <c r="AZ411" i="36"/>
  <c r="BA411" i="36"/>
  <c r="BB411" i="36"/>
  <c r="AZ412" i="36"/>
  <c r="BA412" i="36"/>
  <c r="BB412" i="36"/>
  <c r="AZ414" i="36"/>
  <c r="BA414" i="36"/>
  <c r="BB414" i="36"/>
  <c r="AZ415" i="36"/>
  <c r="BA415" i="36"/>
  <c r="BB415" i="36"/>
  <c r="AZ417" i="36"/>
  <c r="BA417" i="36"/>
  <c r="BB417" i="36"/>
  <c r="AZ418" i="36"/>
  <c r="BA418" i="36"/>
  <c r="BB418" i="36"/>
  <c r="AZ420" i="36"/>
  <c r="BA420" i="36"/>
  <c r="BB420" i="36"/>
  <c r="AZ421" i="36"/>
  <c r="BA421" i="36"/>
  <c r="BB421" i="36"/>
  <c r="AZ423" i="36"/>
  <c r="BA423" i="36"/>
  <c r="BB423" i="36"/>
  <c r="AZ424" i="36"/>
  <c r="BA424" i="36"/>
  <c r="BB424" i="36"/>
  <c r="AZ426" i="36"/>
  <c r="BA426" i="36"/>
  <c r="BB426" i="36"/>
  <c r="AZ427" i="36"/>
  <c r="BA427" i="36"/>
  <c r="BB427" i="36"/>
  <c r="AZ429" i="36"/>
  <c r="BA429" i="36"/>
  <c r="BB429" i="36"/>
  <c r="AZ430" i="36"/>
  <c r="BA430" i="36"/>
  <c r="BB430" i="36"/>
  <c r="AZ432" i="36"/>
  <c r="BA432" i="36"/>
  <c r="BB432" i="36"/>
  <c r="AZ433" i="36"/>
  <c r="BA433" i="36"/>
  <c r="BB433" i="36"/>
  <c r="AZ435" i="36"/>
  <c r="BA435" i="36"/>
  <c r="BB435" i="36"/>
  <c r="AZ436" i="36"/>
  <c r="BA436" i="36"/>
  <c r="BB436" i="36"/>
  <c r="AZ438" i="36"/>
  <c r="BA438" i="36"/>
  <c r="BB438" i="36"/>
  <c r="AZ439" i="36"/>
  <c r="BA439" i="36"/>
  <c r="BB439" i="36"/>
  <c r="BM64" i="36" l="1"/>
  <c r="BU64" i="36" s="1"/>
  <c r="CN64" i="36" s="1"/>
  <c r="DA64" i="36" s="1"/>
  <c r="DO64" i="36" s="1"/>
  <c r="BH64" i="36"/>
  <c r="BT64" i="36" s="1"/>
  <c r="CI64" i="36" s="1"/>
  <c r="CW64" i="36" s="1"/>
  <c r="DK64" i="36" s="1"/>
  <c r="AZ64" i="36"/>
  <c r="BS64" i="36" s="1"/>
  <c r="CA64" i="36" s="1"/>
  <c r="CA52" i="36" s="1"/>
  <c r="T17" i="102"/>
  <c r="T19" i="102"/>
  <c r="J184" i="44" l="1"/>
  <c r="AB46" i="108" l="1"/>
  <c r="AC46" i="108"/>
  <c r="AD46" i="108"/>
  <c r="T44" i="108"/>
  <c r="T42" i="108"/>
  <c r="O28" i="12" l="1"/>
  <c r="M6" i="108" l="1"/>
  <c r="M7" i="108" s="1"/>
  <c r="L7" i="108"/>
  <c r="B2" i="108"/>
  <c r="AG92" i="41"/>
  <c r="AF92" i="41"/>
  <c r="AE92" i="41"/>
  <c r="AD92" i="41"/>
  <c r="AC92" i="41"/>
  <c r="AB92" i="41"/>
  <c r="AA92" i="41"/>
  <c r="Z92" i="41"/>
  <c r="Y92" i="41"/>
  <c r="X92" i="41"/>
  <c r="N6" i="108" l="1"/>
  <c r="N7" i="108" s="1"/>
  <c r="O6" i="108" l="1"/>
  <c r="O7" i="108" s="1"/>
  <c r="P6" i="108"/>
  <c r="P7" i="108" l="1"/>
  <c r="Q6" i="108"/>
  <c r="R6" i="108" l="1"/>
  <c r="Q7" i="108"/>
  <c r="S6" i="108" l="1"/>
  <c r="R7" i="108"/>
  <c r="T6" i="108" l="1"/>
  <c r="S7" i="108"/>
  <c r="U6" i="108" l="1"/>
  <c r="T7" i="108"/>
  <c r="V6" i="108" l="1"/>
  <c r="U7" i="108"/>
  <c r="W6" i="108" l="1"/>
  <c r="V7" i="108"/>
  <c r="X6" i="108" l="1"/>
  <c r="W7" i="108"/>
  <c r="Y6" i="108" l="1"/>
  <c r="X7" i="108"/>
  <c r="Z6" i="108" l="1"/>
  <c r="Y7" i="108"/>
  <c r="AA6" i="108" l="1"/>
  <c r="Z7" i="108"/>
  <c r="AB6" i="108" l="1"/>
  <c r="AA7" i="108"/>
  <c r="AC6" i="108" l="1"/>
  <c r="AB7" i="108"/>
  <c r="AD6" i="108" l="1"/>
  <c r="AD7" i="108" s="1"/>
  <c r="AC7" i="108"/>
  <c r="Z101" i="98" l="1"/>
  <c r="AA101" i="98"/>
  <c r="AB101" i="98"/>
  <c r="AC101" i="98"/>
  <c r="AD101" i="98"/>
  <c r="AE101" i="98"/>
  <c r="AF101" i="98"/>
  <c r="AG101" i="98"/>
  <c r="AH101" i="98"/>
  <c r="AI101" i="98"/>
  <c r="AJ101" i="98"/>
  <c r="AK101" i="98"/>
  <c r="Y93" i="98"/>
  <c r="Z93" i="98"/>
  <c r="AA93" i="98"/>
  <c r="AB93" i="98"/>
  <c r="AC93" i="98"/>
  <c r="AD93" i="98"/>
  <c r="AE93" i="98"/>
  <c r="AF93" i="98"/>
  <c r="AG93" i="98"/>
  <c r="AH93" i="98"/>
  <c r="AI93" i="98"/>
  <c r="AJ93" i="98"/>
  <c r="AK93" i="98"/>
  <c r="AO72" i="98" l="1"/>
  <c r="AO75" i="98"/>
  <c r="AO78" i="98" s="1"/>
  <c r="AO83" i="98" s="1"/>
  <c r="AO88" i="98" s="1"/>
  <c r="AO93" i="98" s="1"/>
  <c r="AL72" i="98"/>
  <c r="AM72" i="98"/>
  <c r="AM75" i="98" s="1"/>
  <c r="AM78" i="98" s="1"/>
  <c r="AM83" i="98" s="1"/>
  <c r="AM88" i="98" s="1"/>
  <c r="AM93" i="98" s="1"/>
  <c r="AN72" i="98"/>
  <c r="AL75" i="98"/>
  <c r="AL78" i="98" s="1"/>
  <c r="AL83" i="98" s="1"/>
  <c r="AL88" i="98" s="1"/>
  <c r="AL93" i="98" s="1"/>
  <c r="AN75" i="98"/>
  <c r="AN78" i="98" s="1"/>
  <c r="AN83" i="98" s="1"/>
  <c r="AN88" i="98" s="1"/>
  <c r="AN93" i="98" s="1"/>
  <c r="AO61" i="98"/>
  <c r="AN61" i="98"/>
  <c r="AM61" i="98"/>
  <c r="AL61" i="98"/>
  <c r="AK61" i="98"/>
  <c r="AJ61" i="98"/>
  <c r="AI61" i="98"/>
  <c r="AH61" i="98"/>
  <c r="AG61" i="98"/>
  <c r="AO60" i="98"/>
  <c r="AN60" i="98"/>
  <c r="AM60" i="98"/>
  <c r="AL60" i="98"/>
  <c r="AK60" i="98"/>
  <c r="AJ60" i="98"/>
  <c r="AI60" i="98"/>
  <c r="AH60" i="98"/>
  <c r="AG60" i="98"/>
  <c r="AO59" i="98"/>
  <c r="AN59" i="98"/>
  <c r="AM59" i="98"/>
  <c r="AL59" i="98"/>
  <c r="AK59" i="98"/>
  <c r="AJ59" i="98"/>
  <c r="AI59" i="98"/>
  <c r="AH59" i="98"/>
  <c r="AG59" i="98"/>
  <c r="AO58" i="98"/>
  <c r="AN58" i="98"/>
  <c r="AM58" i="98"/>
  <c r="AL58" i="98"/>
  <c r="AK58" i="98"/>
  <c r="AJ58" i="98"/>
  <c r="AI58" i="98"/>
  <c r="AH58" i="98"/>
  <c r="AG58" i="98"/>
  <c r="AO57" i="98"/>
  <c r="AN57" i="98"/>
  <c r="AM57" i="98"/>
  <c r="AL57" i="98"/>
  <c r="AK57" i="98"/>
  <c r="AJ57" i="98"/>
  <c r="AI57" i="98"/>
  <c r="AH57" i="98"/>
  <c r="AG57" i="98"/>
  <c r="AF61" i="98"/>
  <c r="AF60" i="98"/>
  <c r="AF59" i="98"/>
  <c r="AF58" i="98"/>
  <c r="AF57" i="98"/>
  <c r="AG50" i="98"/>
  <c r="AH50" i="98"/>
  <c r="AI50" i="98"/>
  <c r="AJ50" i="98"/>
  <c r="AK50" i="98"/>
  <c r="AL50" i="98"/>
  <c r="AM50" i="98"/>
  <c r="AN50" i="98"/>
  <c r="AO50" i="98"/>
  <c r="AG51" i="98"/>
  <c r="AH51" i="98"/>
  <c r="AI51" i="98"/>
  <c r="AJ51" i="98"/>
  <c r="AK51" i="98"/>
  <c r="AL51" i="98"/>
  <c r="AM51" i="98"/>
  <c r="AN51" i="98"/>
  <c r="AO51" i="98"/>
  <c r="AG52" i="98"/>
  <c r="AH52" i="98"/>
  <c r="AI52" i="98"/>
  <c r="AJ52" i="98"/>
  <c r="AK52" i="98"/>
  <c r="AL52" i="98"/>
  <c r="AM52" i="98"/>
  <c r="AN52" i="98"/>
  <c r="AO52" i="98"/>
  <c r="AG53" i="98"/>
  <c r="AH53" i="98"/>
  <c r="AI53" i="98"/>
  <c r="AJ53" i="98"/>
  <c r="AK53" i="98"/>
  <c r="AL53" i="98"/>
  <c r="AM53" i="98"/>
  <c r="AN53" i="98"/>
  <c r="AO53" i="98"/>
  <c r="AF53" i="98"/>
  <c r="AF52" i="98"/>
  <c r="AF51" i="98"/>
  <c r="AF50" i="98"/>
  <c r="AO46" i="98"/>
  <c r="AN46" i="98"/>
  <c r="AM46" i="98"/>
  <c r="AL46" i="98"/>
  <c r="AK46" i="98"/>
  <c r="AJ46" i="98"/>
  <c r="AI46" i="98"/>
  <c r="AH46" i="98"/>
  <c r="AG46" i="98"/>
  <c r="AO45" i="98"/>
  <c r="AN45" i="98"/>
  <c r="AM45" i="98"/>
  <c r="AL45" i="98"/>
  <c r="AK45" i="98"/>
  <c r="AJ45" i="98"/>
  <c r="AI45" i="98"/>
  <c r="AH45" i="98"/>
  <c r="AG45" i="98"/>
  <c r="AO44" i="98"/>
  <c r="AN44" i="98"/>
  <c r="AM44" i="98"/>
  <c r="AL44" i="98"/>
  <c r="AK44" i="98"/>
  <c r="AJ44" i="98"/>
  <c r="AI44" i="98"/>
  <c r="AH44" i="98"/>
  <c r="AG44" i="98"/>
  <c r="AO43" i="98"/>
  <c r="AN43" i="98"/>
  <c r="AM43" i="98"/>
  <c r="AL43" i="98"/>
  <c r="AK43" i="98"/>
  <c r="AJ43" i="98"/>
  <c r="AI43" i="98"/>
  <c r="AH43" i="98"/>
  <c r="AG43" i="98"/>
  <c r="AF46" i="98"/>
  <c r="AF45" i="98"/>
  <c r="AF44" i="98"/>
  <c r="AF43" i="98"/>
  <c r="AO32" i="98"/>
  <c r="AN32" i="98"/>
  <c r="AM32" i="98"/>
  <c r="AL32" i="98"/>
  <c r="AK32" i="98"/>
  <c r="AJ32" i="98"/>
  <c r="AI32" i="98"/>
  <c r="AH32" i="98"/>
  <c r="AG32" i="98"/>
  <c r="AO31" i="98"/>
  <c r="AN31" i="98"/>
  <c r="AM31" i="98"/>
  <c r="AL31" i="98"/>
  <c r="AK31" i="98"/>
  <c r="AJ31" i="98"/>
  <c r="AI31" i="98"/>
  <c r="AH31" i="98"/>
  <c r="AG31" i="98"/>
  <c r="AF32" i="98"/>
  <c r="AF31" i="98"/>
  <c r="AI47" i="98" l="1"/>
  <c r="AO54" i="98"/>
  <c r="AH54" i="98"/>
  <c r="AF62" i="98"/>
  <c r="AL62" i="98"/>
  <c r="AM62" i="98"/>
  <c r="AN62" i="98"/>
  <c r="AO62" i="98"/>
  <c r="AN47" i="98"/>
  <c r="AO47" i="98"/>
  <c r="AL47" i="98"/>
  <c r="AJ54" i="98"/>
  <c r="AM54" i="98"/>
  <c r="AM47" i="98"/>
  <c r="AI54" i="98"/>
  <c r="AL54" i="98"/>
  <c r="AN54" i="98"/>
  <c r="AK54" i="98"/>
  <c r="AG54" i="98"/>
  <c r="AO24" i="98"/>
  <c r="AN24" i="98"/>
  <c r="AM24" i="98"/>
  <c r="AL24" i="98"/>
  <c r="AK24" i="98"/>
  <c r="AJ24" i="98"/>
  <c r="AI24" i="98"/>
  <c r="AH24" i="98"/>
  <c r="AG24" i="98"/>
  <c r="AO23" i="98"/>
  <c r="AN23" i="98"/>
  <c r="AM23" i="98"/>
  <c r="AL23" i="98"/>
  <c r="AK23" i="98"/>
  <c r="AJ23" i="98"/>
  <c r="AI23" i="98"/>
  <c r="AH23" i="98"/>
  <c r="AG23" i="98"/>
  <c r="AF23" i="98"/>
  <c r="AF24" i="98"/>
  <c r="Y6" i="98"/>
  <c r="Z6" i="98"/>
  <c r="AA6" i="98"/>
  <c r="AB6" i="98"/>
  <c r="AC6" i="98"/>
  <c r="AD6" i="98"/>
  <c r="AE6" i="98"/>
  <c r="Y7" i="98"/>
  <c r="Z7" i="98"/>
  <c r="AA7" i="98"/>
  <c r="AB7" i="98"/>
  <c r="AC7" i="98"/>
  <c r="AD7" i="98"/>
  <c r="AE7" i="98"/>
  <c r="Y8" i="98"/>
  <c r="Z8" i="98"/>
  <c r="AA8" i="98"/>
  <c r="AB8" i="98"/>
  <c r="AC8" i="98"/>
  <c r="AD8" i="98"/>
  <c r="AE8" i="98"/>
  <c r="X6" i="98"/>
  <c r="X7" i="98"/>
  <c r="X8" i="98"/>
  <c r="AL3" i="98"/>
  <c r="AM3" i="98"/>
  <c r="AN3" i="98"/>
  <c r="AO3" i="98"/>
  <c r="T149" i="98" l="1"/>
  <c r="S149" i="98"/>
  <c r="R149" i="98"/>
  <c r="Q149" i="98"/>
  <c r="P149" i="98"/>
  <c r="O149" i="98"/>
  <c r="N149" i="98"/>
  <c r="M149" i="98"/>
  <c r="L149" i="98"/>
  <c r="K149" i="98"/>
  <c r="T148" i="98"/>
  <c r="S148" i="98"/>
  <c r="R148" i="98"/>
  <c r="Q148" i="98"/>
  <c r="P148" i="98"/>
  <c r="O148" i="98"/>
  <c r="N148" i="98"/>
  <c r="M148" i="98"/>
  <c r="L148" i="98"/>
  <c r="K148" i="98"/>
  <c r="T147" i="98"/>
  <c r="S147" i="98"/>
  <c r="R147" i="98"/>
  <c r="Q147" i="98"/>
  <c r="P147" i="98"/>
  <c r="O147" i="98"/>
  <c r="N147" i="98"/>
  <c r="M147" i="98"/>
  <c r="L147" i="98"/>
  <c r="K147" i="98"/>
  <c r="T146" i="98"/>
  <c r="S146" i="98"/>
  <c r="R146" i="98"/>
  <c r="Q146" i="98"/>
  <c r="P146" i="98"/>
  <c r="O146" i="98"/>
  <c r="N146" i="98"/>
  <c r="M146" i="98"/>
  <c r="L146" i="98"/>
  <c r="K146" i="98"/>
  <c r="T145" i="98"/>
  <c r="S145" i="98"/>
  <c r="R145" i="98"/>
  <c r="Q145" i="98"/>
  <c r="P145" i="98"/>
  <c r="O145" i="98"/>
  <c r="N145" i="98"/>
  <c r="M145" i="98"/>
  <c r="L145" i="98"/>
  <c r="Y95" i="98"/>
  <c r="Z95" i="98"/>
  <c r="AA95" i="98"/>
  <c r="AB95" i="98"/>
  <c r="AC95" i="98"/>
  <c r="AD95" i="98"/>
  <c r="AE95" i="98"/>
  <c r="AF95" i="98"/>
  <c r="X95" i="98"/>
  <c r="AE79" i="98"/>
  <c r="D69" i="98"/>
  <c r="E69" i="98"/>
  <c r="F69" i="98"/>
  <c r="G69" i="98"/>
  <c r="H69" i="98"/>
  <c r="I69" i="98"/>
  <c r="J69" i="98"/>
  <c r="K69" i="98"/>
  <c r="L69" i="98"/>
  <c r="M69" i="98"/>
  <c r="N69" i="98"/>
  <c r="O69" i="98"/>
  <c r="P69" i="98"/>
  <c r="Q69" i="98"/>
  <c r="R69" i="98"/>
  <c r="S69" i="98"/>
  <c r="T69" i="98"/>
  <c r="D71" i="98"/>
  <c r="E71" i="98"/>
  <c r="F71" i="98"/>
  <c r="G71" i="98"/>
  <c r="H71" i="98"/>
  <c r="I71" i="98"/>
  <c r="J71" i="98"/>
  <c r="K71" i="98"/>
  <c r="L71" i="98"/>
  <c r="M71" i="98"/>
  <c r="N71" i="98"/>
  <c r="O71" i="98"/>
  <c r="P71" i="98"/>
  <c r="Q71" i="98"/>
  <c r="R71" i="98"/>
  <c r="S71" i="98"/>
  <c r="T71" i="98"/>
  <c r="D72" i="98"/>
  <c r="E72" i="98"/>
  <c r="F72" i="98"/>
  <c r="G72" i="98"/>
  <c r="H72" i="98"/>
  <c r="I72" i="98"/>
  <c r="J72" i="98"/>
  <c r="K72" i="98"/>
  <c r="L72" i="98"/>
  <c r="M72" i="98"/>
  <c r="N72" i="98"/>
  <c r="O72" i="98"/>
  <c r="P72" i="98"/>
  <c r="Q72" i="98"/>
  <c r="R72" i="98"/>
  <c r="S72" i="98"/>
  <c r="T72" i="98"/>
  <c r="D73" i="98"/>
  <c r="E73" i="98"/>
  <c r="F73" i="98"/>
  <c r="G73" i="98"/>
  <c r="H73" i="98"/>
  <c r="I73" i="98"/>
  <c r="J73" i="98"/>
  <c r="K73" i="98"/>
  <c r="L73" i="98"/>
  <c r="M73" i="98"/>
  <c r="N73" i="98"/>
  <c r="O73" i="98"/>
  <c r="P73" i="98"/>
  <c r="Q73" i="98"/>
  <c r="R73" i="98"/>
  <c r="S73" i="98"/>
  <c r="T73" i="98"/>
  <c r="D74" i="98"/>
  <c r="E74" i="98"/>
  <c r="F74" i="98"/>
  <c r="G74" i="98"/>
  <c r="H74" i="98"/>
  <c r="I74" i="98"/>
  <c r="J74" i="98"/>
  <c r="K74" i="98"/>
  <c r="L74" i="98"/>
  <c r="M74" i="98"/>
  <c r="N74" i="98"/>
  <c r="O74" i="98"/>
  <c r="P74" i="98"/>
  <c r="Q74" i="98"/>
  <c r="R74" i="98"/>
  <c r="S74" i="98"/>
  <c r="T74" i="98"/>
  <c r="D75" i="98"/>
  <c r="E75" i="98"/>
  <c r="F75" i="98"/>
  <c r="G75" i="98"/>
  <c r="H75" i="98"/>
  <c r="I75" i="98"/>
  <c r="J75" i="98"/>
  <c r="K75" i="98"/>
  <c r="L75" i="98"/>
  <c r="M75" i="98"/>
  <c r="N75" i="98"/>
  <c r="O75" i="98"/>
  <c r="P75" i="98"/>
  <c r="Q75" i="98"/>
  <c r="R75" i="98"/>
  <c r="S75" i="98"/>
  <c r="T75" i="98"/>
  <c r="D76" i="98"/>
  <c r="E76" i="98"/>
  <c r="F76" i="98"/>
  <c r="G76" i="98"/>
  <c r="H76" i="98"/>
  <c r="I76" i="98"/>
  <c r="J76" i="98"/>
  <c r="K76" i="98"/>
  <c r="L76" i="98"/>
  <c r="M76" i="98"/>
  <c r="N76" i="98"/>
  <c r="O76" i="98"/>
  <c r="P76" i="98"/>
  <c r="Q76" i="98"/>
  <c r="R76" i="98"/>
  <c r="S76" i="98"/>
  <c r="T76" i="98"/>
  <c r="C71" i="98"/>
  <c r="C72" i="98"/>
  <c r="C73" i="98"/>
  <c r="C74" i="98"/>
  <c r="C75" i="98"/>
  <c r="C76" i="98"/>
  <c r="C69" i="98"/>
  <c r="D58" i="98"/>
  <c r="E58" i="98"/>
  <c r="F58" i="98"/>
  <c r="G58" i="98"/>
  <c r="H58" i="98"/>
  <c r="I58" i="98"/>
  <c r="J58" i="98"/>
  <c r="K58" i="98"/>
  <c r="L58" i="98"/>
  <c r="M58" i="98"/>
  <c r="N58" i="98"/>
  <c r="O58" i="98"/>
  <c r="P58" i="98"/>
  <c r="Q58" i="98"/>
  <c r="R58" i="98"/>
  <c r="S58" i="98"/>
  <c r="T58" i="98"/>
  <c r="D60" i="98"/>
  <c r="E60" i="98"/>
  <c r="F60" i="98"/>
  <c r="G60" i="98"/>
  <c r="H60" i="98"/>
  <c r="I60" i="98"/>
  <c r="J60" i="98"/>
  <c r="K60" i="98"/>
  <c r="L60" i="98"/>
  <c r="M60" i="98"/>
  <c r="N60" i="98"/>
  <c r="O60" i="98"/>
  <c r="P60" i="98"/>
  <c r="Q60" i="98"/>
  <c r="R60" i="98"/>
  <c r="S60" i="98"/>
  <c r="T60" i="98"/>
  <c r="D61" i="98"/>
  <c r="E61" i="98"/>
  <c r="F61" i="98"/>
  <c r="G61" i="98"/>
  <c r="H61" i="98"/>
  <c r="I61" i="98"/>
  <c r="J61" i="98"/>
  <c r="K61" i="98"/>
  <c r="L61" i="98"/>
  <c r="M61" i="98"/>
  <c r="N61" i="98"/>
  <c r="O61" i="98"/>
  <c r="P61" i="98"/>
  <c r="Q61" i="98"/>
  <c r="R61" i="98"/>
  <c r="S61" i="98"/>
  <c r="T61" i="98"/>
  <c r="D62" i="98"/>
  <c r="E62" i="98"/>
  <c r="F62" i="98"/>
  <c r="G62" i="98"/>
  <c r="H62" i="98"/>
  <c r="I62" i="98"/>
  <c r="J62" i="98"/>
  <c r="K62" i="98"/>
  <c r="L62" i="98"/>
  <c r="M62" i="98"/>
  <c r="N62" i="98"/>
  <c r="O62" i="98"/>
  <c r="P62" i="98"/>
  <c r="Q62" i="98"/>
  <c r="R62" i="98"/>
  <c r="S62" i="98"/>
  <c r="T62" i="98"/>
  <c r="D63" i="98"/>
  <c r="E63" i="98"/>
  <c r="F63" i="98"/>
  <c r="G63" i="98"/>
  <c r="H63" i="98"/>
  <c r="I63" i="98"/>
  <c r="J63" i="98"/>
  <c r="K63" i="98"/>
  <c r="L63" i="98"/>
  <c r="M63" i="98"/>
  <c r="N63" i="98"/>
  <c r="O63" i="98"/>
  <c r="P63" i="98"/>
  <c r="Q63" i="98"/>
  <c r="R63" i="98"/>
  <c r="S63" i="98"/>
  <c r="T63" i="98"/>
  <c r="D64" i="98"/>
  <c r="E64" i="98"/>
  <c r="F64" i="98"/>
  <c r="G64" i="98"/>
  <c r="H64" i="98"/>
  <c r="I64" i="98"/>
  <c r="J64" i="98"/>
  <c r="K64" i="98"/>
  <c r="L64" i="98"/>
  <c r="M64" i="98"/>
  <c r="N64" i="98"/>
  <c r="O64" i="98"/>
  <c r="P64" i="98"/>
  <c r="Q64" i="98"/>
  <c r="R64" i="98"/>
  <c r="S64" i="98"/>
  <c r="T64" i="98"/>
  <c r="D65" i="98"/>
  <c r="E65" i="98"/>
  <c r="F65" i="98"/>
  <c r="G65" i="98"/>
  <c r="H65" i="98"/>
  <c r="I65" i="98"/>
  <c r="J65" i="98"/>
  <c r="K65" i="98"/>
  <c r="L65" i="98"/>
  <c r="M65" i="98"/>
  <c r="N65" i="98"/>
  <c r="O65" i="98"/>
  <c r="P65" i="98"/>
  <c r="Q65" i="98"/>
  <c r="R65" i="98"/>
  <c r="S65" i="98"/>
  <c r="T65" i="98"/>
  <c r="C60" i="98"/>
  <c r="C61" i="98"/>
  <c r="C62" i="98"/>
  <c r="C63" i="98"/>
  <c r="C64" i="98"/>
  <c r="C65" i="98"/>
  <c r="C58" i="98"/>
  <c r="S150" i="98" l="1"/>
  <c r="L150" i="98"/>
  <c r="T150" i="98"/>
  <c r="M150" i="98"/>
  <c r="O150" i="98"/>
  <c r="N150" i="98"/>
  <c r="P150" i="98"/>
  <c r="Q150" i="98"/>
  <c r="R150" i="98"/>
  <c r="C12" i="98" l="1"/>
  <c r="T4" i="98"/>
  <c r="T23" i="98" s="1"/>
  <c r="T36" i="98" s="1"/>
  <c r="T57" i="98" s="1"/>
  <c r="T68" i="98" s="1"/>
  <c r="D4" i="98"/>
  <c r="E4" i="98"/>
  <c r="F4" i="98"/>
  <c r="AA3" i="98" s="1"/>
  <c r="G4" i="98"/>
  <c r="H4" i="98"/>
  <c r="I4" i="98"/>
  <c r="J4" i="98"/>
  <c r="K4" i="98"/>
  <c r="L4" i="98"/>
  <c r="M4" i="98"/>
  <c r="N4" i="98"/>
  <c r="AI3" i="98" s="1"/>
  <c r="O4" i="98"/>
  <c r="P4" i="98"/>
  <c r="Q4" i="98"/>
  <c r="R4" i="98"/>
  <c r="R23" i="98" s="1"/>
  <c r="R36" i="98" s="1"/>
  <c r="R57" i="98" s="1"/>
  <c r="R68" i="98" s="1"/>
  <c r="S4" i="98"/>
  <c r="S23" i="98" s="1"/>
  <c r="S36" i="98" s="1"/>
  <c r="S57" i="98" s="1"/>
  <c r="S68" i="98" s="1"/>
  <c r="C4" i="98"/>
  <c r="F23" i="98" l="1"/>
  <c r="F36" i="98" s="1"/>
  <c r="F57" i="98" s="1"/>
  <c r="F68" i="98" s="1"/>
  <c r="E23" i="98"/>
  <c r="E36" i="98" s="1"/>
  <c r="E57" i="98" s="1"/>
  <c r="E68" i="98" s="1"/>
  <c r="Z3" i="98"/>
  <c r="D23" i="98"/>
  <c r="D36" i="98" s="1"/>
  <c r="D57" i="98" s="1"/>
  <c r="D68" i="98" s="1"/>
  <c r="Y3" i="98"/>
  <c r="L23" i="98"/>
  <c r="L36" i="98" s="1"/>
  <c r="L57" i="98" s="1"/>
  <c r="L68" i="98" s="1"/>
  <c r="AG3" i="98"/>
  <c r="K23" i="98"/>
  <c r="K36" i="98" s="1"/>
  <c r="K57" i="98" s="1"/>
  <c r="K68" i="98" s="1"/>
  <c r="K79" i="98" s="1"/>
  <c r="K82" i="98" s="1"/>
  <c r="K85" i="98" s="1"/>
  <c r="K90" i="98" s="1"/>
  <c r="K94" i="98" s="1"/>
  <c r="K98" i="98" s="1"/>
  <c r="L169" i="98" s="1"/>
  <c r="AF3" i="98"/>
  <c r="J23" i="98"/>
  <c r="J36" i="98" s="1"/>
  <c r="J57" i="98" s="1"/>
  <c r="J68" i="98" s="1"/>
  <c r="AE3" i="98"/>
  <c r="I23" i="98"/>
  <c r="I36" i="98" s="1"/>
  <c r="I57" i="98" s="1"/>
  <c r="I68" i="98" s="1"/>
  <c r="AD3" i="98"/>
  <c r="N23" i="98"/>
  <c r="N36" i="98" s="1"/>
  <c r="N57" i="98" s="1"/>
  <c r="N68" i="98" s="1"/>
  <c r="AI72" i="98" s="1"/>
  <c r="AI75" i="98" s="1"/>
  <c r="AI78" i="98" s="1"/>
  <c r="AI83" i="98" s="1"/>
  <c r="AI88" i="98" s="1"/>
  <c r="C23" i="98"/>
  <c r="C36" i="98" s="1"/>
  <c r="C57" i="98" s="1"/>
  <c r="C68" i="98" s="1"/>
  <c r="X72" i="98" s="1"/>
  <c r="X75" i="98" s="1"/>
  <c r="X78" i="98" s="1"/>
  <c r="X83" i="98" s="1"/>
  <c r="X88" i="98" s="1"/>
  <c r="X93" i="98" s="1"/>
  <c r="Y101" i="98" s="1"/>
  <c r="X3" i="98"/>
  <c r="P23" i="98"/>
  <c r="P36" i="98" s="1"/>
  <c r="P57" i="98" s="1"/>
  <c r="P68" i="98" s="1"/>
  <c r="P79" i="98" s="1"/>
  <c r="P82" i="98" s="1"/>
  <c r="P85" i="98" s="1"/>
  <c r="P90" i="98" s="1"/>
  <c r="P94" i="98" s="1"/>
  <c r="P98" i="98" s="1"/>
  <c r="AK3" i="98"/>
  <c r="O23" i="98"/>
  <c r="O36" i="98" s="1"/>
  <c r="O57" i="98" s="1"/>
  <c r="O68" i="98" s="1"/>
  <c r="AJ3" i="98"/>
  <c r="G23" i="98"/>
  <c r="G36" i="98" s="1"/>
  <c r="G57" i="98" s="1"/>
  <c r="G68" i="98" s="1"/>
  <c r="AB3" i="98"/>
  <c r="M23" i="98"/>
  <c r="M36" i="98" s="1"/>
  <c r="M57" i="98" s="1"/>
  <c r="M68" i="98" s="1"/>
  <c r="AH72" i="98" s="1"/>
  <c r="AH75" i="98" s="1"/>
  <c r="AH78" i="98" s="1"/>
  <c r="AH83" i="98" s="1"/>
  <c r="AH88" i="98" s="1"/>
  <c r="AH3" i="98"/>
  <c r="Q23" i="98"/>
  <c r="Q36" i="98" s="1"/>
  <c r="Q57" i="98" s="1"/>
  <c r="Q68" i="98" s="1"/>
  <c r="H23" i="98"/>
  <c r="H36" i="98" s="1"/>
  <c r="H57" i="98" s="1"/>
  <c r="H68" i="98" s="1"/>
  <c r="AC3" i="98"/>
  <c r="S79" i="98"/>
  <c r="S82" i="98" s="1"/>
  <c r="S85" i="98" s="1"/>
  <c r="S90" i="98" s="1"/>
  <c r="S94" i="98" s="1"/>
  <c r="S98" i="98" s="1"/>
  <c r="T79" i="98"/>
  <c r="T82" i="98" s="1"/>
  <c r="T85" i="98" s="1"/>
  <c r="T90" i="98" s="1"/>
  <c r="T94" i="98" s="1"/>
  <c r="T98" i="98" s="1"/>
  <c r="R79" i="98"/>
  <c r="R82" i="98" s="1"/>
  <c r="R85" i="98" s="1"/>
  <c r="R90" i="98" s="1"/>
  <c r="R94" i="98" s="1"/>
  <c r="R98" i="98" s="1"/>
  <c r="Y72" i="98"/>
  <c r="Y75" i="98" s="1"/>
  <c r="Y78" i="98" s="1"/>
  <c r="Y83" i="98" s="1"/>
  <c r="Y88" i="98" s="1"/>
  <c r="D79" i="98"/>
  <c r="D82" i="98" s="1"/>
  <c r="D85" i="98" s="1"/>
  <c r="D90" i="98" s="1"/>
  <c r="D94" i="98" s="1"/>
  <c r="D98" i="98" s="1"/>
  <c r="E169" i="98" s="1"/>
  <c r="AD72" i="98"/>
  <c r="AD75" i="98" s="1"/>
  <c r="AD78" i="98" s="1"/>
  <c r="AD83" i="98" s="1"/>
  <c r="AD88" i="98" s="1"/>
  <c r="I79" i="98"/>
  <c r="I82" i="98" s="1"/>
  <c r="I85" i="98" s="1"/>
  <c r="I90" i="98" s="1"/>
  <c r="I94" i="98" s="1"/>
  <c r="I98" i="98" s="1"/>
  <c r="J169" i="98" s="1"/>
  <c r="N79" i="98"/>
  <c r="N82" i="98" s="1"/>
  <c r="N85" i="98" s="1"/>
  <c r="N90" i="98" s="1"/>
  <c r="N94" i="98" s="1"/>
  <c r="N98" i="98" s="1"/>
  <c r="O169" i="98" s="1"/>
  <c r="AF72" i="98"/>
  <c r="AF75" i="98" s="1"/>
  <c r="AF78" i="98" s="1"/>
  <c r="AF83" i="98" s="1"/>
  <c r="AF88" i="98" s="1"/>
  <c r="AE72" i="98"/>
  <c r="AE75" i="98" s="1"/>
  <c r="AE78" i="98" s="1"/>
  <c r="AE83" i="98" s="1"/>
  <c r="AE88" i="98" s="1"/>
  <c r="J79" i="98"/>
  <c r="J82" i="98" s="1"/>
  <c r="J85" i="98" s="1"/>
  <c r="J90" i="98" s="1"/>
  <c r="J94" i="98" s="1"/>
  <c r="J98" i="98" s="1"/>
  <c r="K169" i="98" s="1"/>
  <c r="AC72" i="98"/>
  <c r="AC75" i="98" s="1"/>
  <c r="AC78" i="98" s="1"/>
  <c r="AC83" i="98" s="1"/>
  <c r="AC88" i="98" s="1"/>
  <c r="H79" i="98"/>
  <c r="H82" i="98" s="1"/>
  <c r="H85" i="98" s="1"/>
  <c r="H90" i="98" s="1"/>
  <c r="H94" i="98" s="1"/>
  <c r="H98" i="98" s="1"/>
  <c r="I169" i="98" s="1"/>
  <c r="AJ72" i="98"/>
  <c r="AJ75" i="98" s="1"/>
  <c r="AJ78" i="98" s="1"/>
  <c r="AJ83" i="98" s="1"/>
  <c r="AJ88" i="98" s="1"/>
  <c r="O79" i="98"/>
  <c r="O82" i="98" s="1"/>
  <c r="O85" i="98" s="1"/>
  <c r="O90" i="98" s="1"/>
  <c r="O94" i="98" s="1"/>
  <c r="O98" i="98" s="1"/>
  <c r="P169" i="98" s="1"/>
  <c r="AG72" i="98"/>
  <c r="AG75" i="98" s="1"/>
  <c r="AG78" i="98" s="1"/>
  <c r="AG83" i="98" s="1"/>
  <c r="AG88" i="98" s="1"/>
  <c r="L79" i="98"/>
  <c r="L82" i="98" s="1"/>
  <c r="L85" i="98" s="1"/>
  <c r="L90" i="98" s="1"/>
  <c r="L94" i="98" s="1"/>
  <c r="L98" i="98" s="1"/>
  <c r="M169" i="98" s="1"/>
  <c r="AK72" i="98"/>
  <c r="AK75" i="98" s="1"/>
  <c r="AK78" i="98" s="1"/>
  <c r="AK83" i="98" s="1"/>
  <c r="AK88" i="98" s="1"/>
  <c r="F79" i="98"/>
  <c r="F82" i="98" s="1"/>
  <c r="F85" i="98" s="1"/>
  <c r="F90" i="98" s="1"/>
  <c r="F94" i="98" s="1"/>
  <c r="F98" i="98" s="1"/>
  <c r="G169" i="98" s="1"/>
  <c r="AA72" i="98"/>
  <c r="AA75" i="98" s="1"/>
  <c r="AA78" i="98" s="1"/>
  <c r="AA83" i="98" s="1"/>
  <c r="AA88" i="98" s="1"/>
  <c r="AB72" i="98"/>
  <c r="AB75" i="98" s="1"/>
  <c r="AB78" i="98" s="1"/>
  <c r="AB83" i="98" s="1"/>
  <c r="AB88" i="98" s="1"/>
  <c r="G79" i="98"/>
  <c r="G82" i="98" s="1"/>
  <c r="G85" i="98" s="1"/>
  <c r="G90" i="98" s="1"/>
  <c r="G94" i="98" s="1"/>
  <c r="G98" i="98" s="1"/>
  <c r="H169" i="98" s="1"/>
  <c r="Z72" i="98"/>
  <c r="Z75" i="98" s="1"/>
  <c r="Z78" i="98" s="1"/>
  <c r="Z83" i="98" s="1"/>
  <c r="Z88" i="98" s="1"/>
  <c r="E79" i="98"/>
  <c r="E82" i="98" s="1"/>
  <c r="E85" i="98" s="1"/>
  <c r="E90" i="98" s="1"/>
  <c r="E94" i="98" s="1"/>
  <c r="E98" i="98" s="1"/>
  <c r="F169" i="98" s="1"/>
  <c r="O35" i="40"/>
  <c r="O36" i="40"/>
  <c r="O37" i="40"/>
  <c r="O38" i="40"/>
  <c r="O39" i="40"/>
  <c r="O40" i="40"/>
  <c r="M35" i="40"/>
  <c r="M36" i="40"/>
  <c r="M37" i="40"/>
  <c r="M38" i="40"/>
  <c r="M39" i="40"/>
  <c r="M40" i="40"/>
  <c r="M34" i="40"/>
  <c r="M42" i="40" s="1"/>
  <c r="K34" i="40"/>
  <c r="K35" i="40"/>
  <c r="K36" i="40"/>
  <c r="K37" i="40"/>
  <c r="K38" i="40"/>
  <c r="K39" i="40"/>
  <c r="K40" i="40"/>
  <c r="H105" i="102"/>
  <c r="I105" i="102"/>
  <c r="J105" i="102"/>
  <c r="H106" i="102"/>
  <c r="I106" i="102"/>
  <c r="J106" i="102"/>
  <c r="H110" i="102"/>
  <c r="I110" i="102"/>
  <c r="J110" i="102"/>
  <c r="H111" i="102"/>
  <c r="I111" i="102"/>
  <c r="J111" i="102"/>
  <c r="H112" i="102"/>
  <c r="I112" i="102"/>
  <c r="J112" i="102"/>
  <c r="H113" i="102"/>
  <c r="I113" i="102"/>
  <c r="J113" i="102"/>
  <c r="H114" i="102"/>
  <c r="I114" i="102"/>
  <c r="J114" i="102"/>
  <c r="H115" i="102"/>
  <c r="I115" i="102"/>
  <c r="J115" i="102"/>
  <c r="H116" i="102"/>
  <c r="I116" i="102"/>
  <c r="J116" i="102"/>
  <c r="H117" i="102"/>
  <c r="I117" i="102"/>
  <c r="J117" i="102"/>
  <c r="H118" i="102"/>
  <c r="I118" i="102"/>
  <c r="J118" i="102"/>
  <c r="H119" i="102"/>
  <c r="I119" i="102"/>
  <c r="J119" i="102"/>
  <c r="H120" i="102"/>
  <c r="I120" i="102"/>
  <c r="J120" i="102"/>
  <c r="H121" i="102"/>
  <c r="I121" i="102"/>
  <c r="J121" i="102"/>
  <c r="H17" i="102"/>
  <c r="I17" i="102"/>
  <c r="J17" i="102"/>
  <c r="H19" i="102"/>
  <c r="I19" i="102"/>
  <c r="J19" i="102"/>
  <c r="H55" i="102"/>
  <c r="H62" i="102" s="1"/>
  <c r="I55" i="102"/>
  <c r="I62" i="102" s="1"/>
  <c r="J55" i="102"/>
  <c r="J62" i="102" s="1"/>
  <c r="H56" i="102"/>
  <c r="I56" i="102"/>
  <c r="J56" i="102"/>
  <c r="H57" i="102"/>
  <c r="I57" i="102"/>
  <c r="J57" i="102"/>
  <c r="H58" i="102"/>
  <c r="I58" i="102"/>
  <c r="J58" i="102"/>
  <c r="H59" i="102"/>
  <c r="H64" i="102" s="1"/>
  <c r="I59" i="102"/>
  <c r="I64" i="102" s="1"/>
  <c r="J59" i="102"/>
  <c r="J64" i="102" s="1"/>
  <c r="H60" i="102"/>
  <c r="I60" i="102"/>
  <c r="J60" i="102"/>
  <c r="C6" i="102"/>
  <c r="H127" i="102" l="1"/>
  <c r="O42" i="40"/>
  <c r="K42" i="40"/>
  <c r="J128" i="102"/>
  <c r="J149" i="102" s="1"/>
  <c r="I126" i="102"/>
  <c r="I147" i="102" s="1"/>
  <c r="I128" i="102"/>
  <c r="I138" i="102" s="1"/>
  <c r="I139" i="102" s="1"/>
  <c r="J127" i="102"/>
  <c r="J148" i="102" s="1"/>
  <c r="I122" i="102"/>
  <c r="J126" i="102"/>
  <c r="J147" i="102" s="1"/>
  <c r="I127" i="102"/>
  <c r="I136" i="102" s="1"/>
  <c r="I137" i="102" s="1"/>
  <c r="J125" i="102"/>
  <c r="H126" i="102"/>
  <c r="H134" i="102" s="1"/>
  <c r="H135" i="102" s="1"/>
  <c r="I125" i="102"/>
  <c r="I146" i="102" s="1"/>
  <c r="H125" i="102"/>
  <c r="H132" i="102" s="1"/>
  <c r="J122" i="102"/>
  <c r="H122" i="102"/>
  <c r="H128" i="102"/>
  <c r="H138" i="102" s="1"/>
  <c r="H139" i="102" s="1"/>
  <c r="C79" i="98"/>
  <c r="C82" i="98" s="1"/>
  <c r="C85" i="98" s="1"/>
  <c r="C90" i="98" s="1"/>
  <c r="C94" i="98" s="1"/>
  <c r="C98" i="98" s="1"/>
  <c r="D169" i="98" s="1"/>
  <c r="M79" i="98"/>
  <c r="M82" i="98" s="1"/>
  <c r="M85" i="98" s="1"/>
  <c r="M90" i="98" s="1"/>
  <c r="M94" i="98" s="1"/>
  <c r="M98" i="98" s="1"/>
  <c r="N169" i="98" s="1"/>
  <c r="Q79" i="98"/>
  <c r="Q82" i="98" s="1"/>
  <c r="Q85" i="98" s="1"/>
  <c r="Q90" i="98" s="1"/>
  <c r="Q94" i="98" s="1"/>
  <c r="Q98" i="98" s="1"/>
  <c r="J87" i="102"/>
  <c r="I87" i="102"/>
  <c r="H87" i="102"/>
  <c r="I134" i="102"/>
  <c r="I135" i="102" s="1"/>
  <c r="H136" i="102"/>
  <c r="H137" i="102" s="1"/>
  <c r="H148" i="102"/>
  <c r="H147" i="102" l="1"/>
  <c r="J138" i="102"/>
  <c r="J139" i="102" s="1"/>
  <c r="I149" i="102"/>
  <c r="J136" i="102"/>
  <c r="J137" i="102" s="1"/>
  <c r="J129" i="102"/>
  <c r="J134" i="102"/>
  <c r="J135" i="102" s="1"/>
  <c r="J146" i="102"/>
  <c r="J132" i="102"/>
  <c r="J133" i="102" s="1"/>
  <c r="H146" i="102"/>
  <c r="I132" i="102"/>
  <c r="I140" i="102" s="1"/>
  <c r="H129" i="102"/>
  <c r="I129" i="102"/>
  <c r="I148" i="102"/>
  <c r="I150" i="102" s="1"/>
  <c r="H149" i="102"/>
  <c r="H140" i="102"/>
  <c r="J150" i="102"/>
  <c r="H133" i="102"/>
  <c r="H141" i="102" s="1"/>
  <c r="J141" i="102" l="1"/>
  <c r="I133" i="102"/>
  <c r="I141" i="102" s="1"/>
  <c r="J140" i="102"/>
  <c r="H150" i="102"/>
  <c r="H65" i="102" s="1"/>
  <c r="H142" i="102"/>
  <c r="H143" i="102" s="1"/>
  <c r="H18" i="102"/>
  <c r="H20" i="102"/>
  <c r="H151" i="102"/>
  <c r="I65" i="102"/>
  <c r="I20" i="102"/>
  <c r="I151" i="102"/>
  <c r="J142" i="102"/>
  <c r="J18" i="102" s="1"/>
  <c r="J151" i="102"/>
  <c r="J65" i="102"/>
  <c r="J20" i="102"/>
  <c r="I142" i="102"/>
  <c r="I143" i="102" s="1"/>
  <c r="H26" i="102" l="1"/>
  <c r="H63" i="102"/>
  <c r="H67" i="102" s="1"/>
  <c r="H75" i="102" s="1"/>
  <c r="H90" i="102" s="1"/>
  <c r="I18" i="102"/>
  <c r="I23" i="102" s="1"/>
  <c r="I63" i="102"/>
  <c r="I68" i="102" s="1"/>
  <c r="I78" i="102" s="1"/>
  <c r="I93" i="102" s="1"/>
  <c r="J26" i="102"/>
  <c r="J27" i="102" s="1"/>
  <c r="J23" i="102"/>
  <c r="J63" i="102"/>
  <c r="J143" i="102"/>
  <c r="H23" i="102"/>
  <c r="H68" i="102" l="1"/>
  <c r="H78" i="102" s="1"/>
  <c r="H93" i="102" s="1"/>
  <c r="I26" i="102"/>
  <c r="I27" i="102" s="1"/>
  <c r="I67" i="102"/>
  <c r="I75" i="102" s="1"/>
  <c r="I90" i="102" s="1"/>
  <c r="J24" i="102"/>
  <c r="I76" i="102"/>
  <c r="I91" i="102"/>
  <c r="I79" i="102"/>
  <c r="I24" i="102"/>
  <c r="J68" i="102"/>
  <c r="J78" i="102" s="1"/>
  <c r="J93" i="102" s="1"/>
  <c r="J67" i="102"/>
  <c r="J75" i="102" s="1"/>
  <c r="J90" i="102" s="1"/>
  <c r="I94" i="102" l="1"/>
  <c r="J76" i="102"/>
  <c r="J91" i="102"/>
  <c r="J79" i="102"/>
  <c r="J94" i="102"/>
  <c r="P61" i="44" l="1"/>
  <c r="Q61" i="44"/>
  <c r="Q20" i="44"/>
  <c r="Q41" i="44"/>
  <c r="P51" i="44"/>
  <c r="Q51" i="44"/>
  <c r="AC28" i="36" l="1"/>
  <c r="AC28" i="57" s="1"/>
  <c r="X28" i="36"/>
  <c r="X28" i="57" s="1"/>
  <c r="AK23" i="42" l="1"/>
  <c r="AJ23" i="42"/>
  <c r="AI30" i="42"/>
  <c r="AI29" i="42"/>
  <c r="AI28" i="42"/>
  <c r="AI23" i="42"/>
  <c r="AG23" i="30"/>
  <c r="AF23" i="30"/>
  <c r="AE23" i="30"/>
  <c r="AD23" i="30"/>
  <c r="AC23" i="30"/>
  <c r="AB23" i="30"/>
  <c r="AA23" i="30"/>
  <c r="Z23" i="30"/>
  <c r="F54" i="107" l="1"/>
  <c r="F49" i="107"/>
  <c r="F48" i="107"/>
  <c r="F47" i="107"/>
  <c r="F46" i="107"/>
  <c r="F45" i="107"/>
  <c r="F44" i="107"/>
  <c r="F43" i="107"/>
  <c r="F42" i="107"/>
  <c r="F41" i="107"/>
  <c r="F40" i="107"/>
  <c r="F39" i="107"/>
  <c r="F38" i="107"/>
  <c r="F37" i="107"/>
  <c r="F36" i="107"/>
  <c r="F35" i="107"/>
  <c r="B2" i="107"/>
  <c r="B17" i="107" l="1"/>
  <c r="C17" i="107" s="1"/>
  <c r="F17" i="107" s="1"/>
  <c r="B26" i="107"/>
  <c r="C26" i="107" s="1"/>
  <c r="F26" i="107" s="1"/>
  <c r="B27" i="107"/>
  <c r="B53" i="107"/>
  <c r="C53" i="107" s="1"/>
  <c r="F53" i="107" s="1"/>
  <c r="B51" i="107"/>
  <c r="C51" i="107" s="1"/>
  <c r="F51" i="107" s="1"/>
  <c r="B52" i="107"/>
  <c r="C52" i="107" s="1"/>
  <c r="F52" i="107" s="1"/>
  <c r="B20" i="107"/>
  <c r="B18" i="107"/>
  <c r="B8" i="107"/>
  <c r="G8" i="107" s="1"/>
  <c r="B10" i="107"/>
  <c r="G10" i="107" s="1"/>
  <c r="B13" i="107"/>
  <c r="C13" i="107" s="1"/>
  <c r="G17" i="107"/>
  <c r="B15" i="107"/>
  <c r="C15" i="107" s="1"/>
  <c r="B36" i="107"/>
  <c r="G36" i="107" s="1"/>
  <c r="B49" i="107"/>
  <c r="G49" i="107" s="1"/>
  <c r="B12" i="107"/>
  <c r="C12" i="107" s="1"/>
  <c r="B9" i="107"/>
  <c r="C9" i="107" s="1"/>
  <c r="B14" i="107"/>
  <c r="C14" i="107" s="1"/>
  <c r="B48" i="107"/>
  <c r="G48" i="107" s="1"/>
  <c r="B43" i="107"/>
  <c r="G43" i="107" s="1"/>
  <c r="B35" i="107"/>
  <c r="G35" i="107" s="1"/>
  <c r="B40" i="107"/>
  <c r="G40" i="107" s="1"/>
  <c r="B25" i="107"/>
  <c r="C25" i="107" s="1"/>
  <c r="F25" i="107" s="1"/>
  <c r="B21" i="107"/>
  <c r="B54" i="107"/>
  <c r="B37" i="107"/>
  <c r="G37" i="107" s="1"/>
  <c r="B16" i="107"/>
  <c r="C16" i="107" s="1"/>
  <c r="B47" i="107"/>
  <c r="G47" i="107" s="1"/>
  <c r="B42" i="107"/>
  <c r="G42" i="107" s="1"/>
  <c r="B19" i="107"/>
  <c r="B39" i="107"/>
  <c r="G39" i="107" s="1"/>
  <c r="B22" i="107"/>
  <c r="B46" i="107"/>
  <c r="G46" i="107" s="1"/>
  <c r="B41" i="107"/>
  <c r="G41" i="107" s="1"/>
  <c r="B24" i="107"/>
  <c r="C24" i="107" s="1"/>
  <c r="F24" i="107" s="1"/>
  <c r="B45" i="107"/>
  <c r="G45" i="107" s="1"/>
  <c r="B38" i="107"/>
  <c r="G38" i="107" s="1"/>
  <c r="B11" i="107"/>
  <c r="C11" i="107" s="1"/>
  <c r="B44" i="107"/>
  <c r="G44" i="107" s="1"/>
  <c r="C8" i="107" l="1"/>
  <c r="F8" i="107" s="1"/>
  <c r="I26" i="107"/>
  <c r="C20" i="107"/>
  <c r="G20" i="107"/>
  <c r="G18" i="107"/>
  <c r="C18" i="107"/>
  <c r="F18" i="107" s="1"/>
  <c r="L24" i="107"/>
  <c r="R15" i="86" s="1"/>
  <c r="S24" i="107"/>
  <c r="K24" i="107"/>
  <c r="Q15" i="86" s="1"/>
  <c r="R24" i="107"/>
  <c r="J24" i="107"/>
  <c r="P15" i="86" s="1"/>
  <c r="M24" i="107"/>
  <c r="S15" i="86" s="1"/>
  <c r="Q24" i="107"/>
  <c r="I24" i="107"/>
  <c r="O15" i="86" s="1"/>
  <c r="P24" i="107"/>
  <c r="C22" i="107"/>
  <c r="F22" i="107" s="1"/>
  <c r="G22" i="107"/>
  <c r="G21" i="107"/>
  <c r="C21" i="107"/>
  <c r="C19" i="107"/>
  <c r="G19" i="107"/>
  <c r="R25" i="107"/>
  <c r="J25" i="107"/>
  <c r="P17" i="86" s="1"/>
  <c r="Q25" i="107"/>
  <c r="P25" i="107"/>
  <c r="I25" i="107"/>
  <c r="O17" i="86" s="1"/>
  <c r="M25" i="107"/>
  <c r="S17" i="86" s="1"/>
  <c r="K25" i="107"/>
  <c r="Q17" i="86" s="1"/>
  <c r="L25" i="107"/>
  <c r="R17" i="86" s="1"/>
  <c r="S25" i="107"/>
  <c r="C10" i="107"/>
  <c r="F10" i="107" s="1"/>
  <c r="S26" i="107"/>
  <c r="K26" i="107"/>
  <c r="Q19" i="86" s="1"/>
  <c r="R26" i="107"/>
  <c r="J26" i="107"/>
  <c r="P19" i="86" s="1"/>
  <c r="L26" i="107"/>
  <c r="R19" i="86" s="1"/>
  <c r="Q26" i="107"/>
  <c r="O19" i="86"/>
  <c r="P26" i="107"/>
  <c r="T19" i="86"/>
  <c r="M26" i="107"/>
  <c r="S19" i="86" s="1"/>
  <c r="G13" i="107"/>
  <c r="F13" i="107"/>
  <c r="F16" i="107"/>
  <c r="G16" i="107"/>
  <c r="C27" i="107"/>
  <c r="F27" i="107" s="1"/>
  <c r="F19" i="107"/>
  <c r="F14" i="107"/>
  <c r="G14" i="107"/>
  <c r="G15" i="107"/>
  <c r="F15" i="107"/>
  <c r="G11" i="107"/>
  <c r="F11" i="107"/>
  <c r="F21" i="107"/>
  <c r="F9" i="107"/>
  <c r="G9" i="107"/>
  <c r="F20" i="107"/>
  <c r="G12" i="107"/>
  <c r="F12" i="107"/>
  <c r="P16" i="86" l="1"/>
  <c r="X89" i="98"/>
  <c r="P27" i="107"/>
  <c r="V14" i="89" s="1"/>
  <c r="O27" i="107"/>
  <c r="U14" i="89" s="1"/>
  <c r="N27" i="107"/>
  <c r="T14" i="89" s="1"/>
  <c r="M27" i="107"/>
  <c r="S14" i="89" s="1"/>
  <c r="L27" i="107"/>
  <c r="R14" i="89" s="1"/>
  <c r="R27" i="107"/>
  <c r="X14" i="89" s="1"/>
  <c r="J27" i="107"/>
  <c r="P14" i="89" s="1"/>
  <c r="Q27" i="107"/>
  <c r="W14" i="89" s="1"/>
  <c r="I27" i="107"/>
  <c r="O14" i="89" s="1"/>
  <c r="S27" i="107"/>
  <c r="Y14" i="89" s="1"/>
  <c r="K27" i="107"/>
  <c r="Q14" i="89" s="1"/>
  <c r="J183" i="44" l="1"/>
  <c r="J79" i="44"/>
  <c r="J182" i="44" s="1"/>
  <c r="H79" i="44"/>
  <c r="H182" i="44" s="1"/>
  <c r="F79" i="44"/>
  <c r="F182" i="44" s="1"/>
  <c r="AE73" i="98" l="1"/>
  <c r="AE76" i="98"/>
  <c r="AG99" i="30"/>
  <c r="AF99" i="30"/>
  <c r="AE99" i="30"/>
  <c r="AD99" i="30"/>
  <c r="AC99" i="30"/>
  <c r="AB99" i="30"/>
  <c r="AA99" i="30"/>
  <c r="Z99" i="30"/>
  <c r="Y99" i="30"/>
  <c r="X99" i="30"/>
  <c r="AB100" i="30" s="1"/>
  <c r="V99" i="30"/>
  <c r="U99" i="30"/>
  <c r="T99" i="30"/>
  <c r="S99" i="30"/>
  <c r="R99" i="30"/>
  <c r="Q99" i="30"/>
  <c r="P99" i="30"/>
  <c r="O99" i="30"/>
  <c r="W99" i="30"/>
  <c r="AG100" i="30" l="1"/>
  <c r="W100" i="30"/>
  <c r="AH73" i="98" l="1"/>
  <c r="Q116" i="12"/>
  <c r="P116" i="12"/>
  <c r="P142" i="12"/>
  <c r="P143" i="12"/>
  <c r="Q143" i="12"/>
  <c r="O144" i="12"/>
  <c r="O78" i="12" s="1"/>
  <c r="P144" i="12"/>
  <c r="P78" i="12" s="1"/>
  <c r="Q144" i="12"/>
  <c r="Q78" i="12" s="1"/>
  <c r="O145" i="12"/>
  <c r="O89" i="12" s="1"/>
  <c r="P145" i="12"/>
  <c r="Q145" i="12"/>
  <c r="Q89" i="12" s="1"/>
  <c r="Z22" i="12"/>
  <c r="AA22" i="12"/>
  <c r="AB22" i="12"/>
  <c r="AC22" i="12"/>
  <c r="AD22" i="12"/>
  <c r="AE22" i="12"/>
  <c r="AF22" i="12"/>
  <c r="AG22" i="12"/>
  <c r="V78" i="86"/>
  <c r="P21" i="89"/>
  <c r="AF15" i="89"/>
  <c r="AE15" i="89"/>
  <c r="AD15" i="89"/>
  <c r="AC15" i="89"/>
  <c r="AB15" i="89"/>
  <c r="AA15" i="89"/>
  <c r="Z15" i="89"/>
  <c r="AG15" i="89"/>
  <c r="P89" i="12" l="1"/>
  <c r="Q146" i="12"/>
  <c r="O146" i="12"/>
  <c r="P146" i="12"/>
  <c r="H14" i="86" l="1"/>
  <c r="F13" i="86"/>
  <c r="F11" i="86"/>
  <c r="R314" i="36"/>
  <c r="AF87" i="41"/>
  <c r="AE87" i="41"/>
  <c r="AD87" i="41"/>
  <c r="AC87" i="41"/>
  <c r="AB87" i="41"/>
  <c r="AA87" i="41"/>
  <c r="Z87" i="41"/>
  <c r="Y87" i="41"/>
  <c r="X87" i="41"/>
  <c r="W87" i="41"/>
  <c r="V87" i="41"/>
  <c r="U87" i="41"/>
  <c r="T87" i="41"/>
  <c r="S87" i="41"/>
  <c r="R87" i="41"/>
  <c r="B36" i="90"/>
  <c r="C4" i="41"/>
  <c r="F97" i="41" s="1"/>
  <c r="Q16" i="86"/>
  <c r="P18" i="86"/>
  <c r="Q18" i="86"/>
  <c r="R18" i="86"/>
  <c r="Q90" i="30"/>
  <c r="P90" i="30"/>
  <c r="O90" i="30"/>
  <c r="Q82" i="30"/>
  <c r="P82" i="30"/>
  <c r="O82" i="30"/>
  <c r="Q70" i="30"/>
  <c r="P70" i="30"/>
  <c r="O70" i="30"/>
  <c r="Q63" i="30"/>
  <c r="P63" i="30"/>
  <c r="O63" i="30"/>
  <c r="Q56" i="30"/>
  <c r="P56" i="30"/>
  <c r="O56" i="30"/>
  <c r="Q49" i="30"/>
  <c r="P49" i="30"/>
  <c r="O49" i="30"/>
  <c r="Q42" i="30"/>
  <c r="P42" i="30"/>
  <c r="O194" i="44"/>
  <c r="P194" i="44"/>
  <c r="Q194" i="44"/>
  <c r="O132" i="44"/>
  <c r="O208" i="44" s="1"/>
  <c r="P132" i="44"/>
  <c r="P208" i="44" s="1"/>
  <c r="Q132" i="44"/>
  <c r="Q208" i="44" s="1"/>
  <c r="O138" i="44"/>
  <c r="P138" i="44"/>
  <c r="Q138" i="44"/>
  <c r="O91" i="44"/>
  <c r="P91" i="44"/>
  <c r="Q91" i="44"/>
  <c r="O100" i="44"/>
  <c r="P100" i="44"/>
  <c r="Q100" i="44"/>
  <c r="O159" i="44"/>
  <c r="O192" i="44" s="1"/>
  <c r="O187" i="44"/>
  <c r="O249" i="44" l="1"/>
  <c r="O240" i="44"/>
  <c r="O232" i="44"/>
  <c r="O251" i="44"/>
  <c r="O241" i="44"/>
  <c r="R16" i="86"/>
  <c r="O230" i="44"/>
  <c r="B7" i="62" l="1"/>
  <c r="B7" i="30"/>
  <c r="B7" i="45" s="1"/>
  <c r="O38" i="90"/>
  <c r="Z38" i="90" s="1"/>
  <c r="AK38" i="90" s="1"/>
  <c r="AV38" i="90" s="1"/>
  <c r="BG38" i="90" s="1"/>
  <c r="BR38" i="90" s="1"/>
  <c r="C7" i="36"/>
  <c r="Q248" i="34"/>
  <c r="P248" i="34"/>
  <c r="O248" i="34"/>
  <c r="Q233" i="34"/>
  <c r="P233" i="34"/>
  <c r="O233" i="34"/>
  <c r="Q218" i="34"/>
  <c r="P218" i="34"/>
  <c r="O218" i="34"/>
  <c r="Q203" i="34"/>
  <c r="P203" i="34"/>
  <c r="O203" i="34"/>
  <c r="Q188" i="34"/>
  <c r="P188" i="34"/>
  <c r="O188" i="34"/>
  <c r="Q173" i="34"/>
  <c r="P173" i="34"/>
  <c r="O173" i="34"/>
  <c r="Q158" i="34"/>
  <c r="P158" i="34"/>
  <c r="O158" i="34"/>
  <c r="Q143" i="34"/>
  <c r="P143" i="34"/>
  <c r="O143" i="34"/>
  <c r="Q128" i="34"/>
  <c r="P128" i="34"/>
  <c r="O128" i="34"/>
  <c r="Q113" i="34"/>
  <c r="P113" i="34"/>
  <c r="O113" i="34"/>
  <c r="Q98" i="34"/>
  <c r="P98" i="34"/>
  <c r="O98" i="34"/>
  <c r="Q83" i="34"/>
  <c r="P83" i="34"/>
  <c r="O83" i="34"/>
  <c r="Q68" i="34"/>
  <c r="P68" i="34"/>
  <c r="O68" i="34"/>
  <c r="Q53" i="34"/>
  <c r="P53" i="34"/>
  <c r="Q38" i="34"/>
  <c r="P38" i="34"/>
  <c r="O67" i="12"/>
  <c r="P67" i="12"/>
  <c r="C70" i="98" s="1"/>
  <c r="C77" i="98" s="1"/>
  <c r="Q67" i="12"/>
  <c r="D70" i="98" s="1"/>
  <c r="P56" i="12"/>
  <c r="C59" i="98" s="1"/>
  <c r="Q56" i="12"/>
  <c r="D59" i="98" s="1"/>
  <c r="AG20" i="86"/>
  <c r="AF20" i="86"/>
  <c r="AE20" i="86"/>
  <c r="AD20" i="86"/>
  <c r="AC20" i="86"/>
  <c r="AB20" i="86"/>
  <c r="AA20" i="86"/>
  <c r="Z20" i="86"/>
  <c r="Y20" i="86"/>
  <c r="X20" i="86"/>
  <c r="V20" i="86"/>
  <c r="U20" i="86"/>
  <c r="T20" i="86"/>
  <c r="S20" i="86"/>
  <c r="R20" i="86"/>
  <c r="Q20" i="86"/>
  <c r="P20" i="86"/>
  <c r="I39" i="36" l="1"/>
  <c r="I56" i="36" s="1"/>
  <c r="I58" i="36" s="1"/>
  <c r="I60" i="36" s="1"/>
  <c r="C7" i="57"/>
  <c r="H42" i="57" s="1"/>
  <c r="H57" i="57" s="1"/>
  <c r="H59" i="57" s="1"/>
  <c r="H61" i="57" s="1"/>
  <c r="O74" i="12"/>
  <c r="O13" i="12" s="1"/>
  <c r="O33" i="12"/>
  <c r="Q74" i="12"/>
  <c r="B7" i="34"/>
  <c r="G24" i="56" s="1"/>
  <c r="S16" i="86"/>
  <c r="S18" i="86"/>
  <c r="P119" i="89"/>
  <c r="P120" i="89" s="1"/>
  <c r="Q119" i="89"/>
  <c r="Q25" i="89" s="1"/>
  <c r="O130" i="89"/>
  <c r="O29" i="89" s="1"/>
  <c r="P130" i="89"/>
  <c r="Q130" i="89"/>
  <c r="O105" i="89"/>
  <c r="P105" i="89"/>
  <c r="Q105" i="89"/>
  <c r="R105" i="89"/>
  <c r="O88" i="89"/>
  <c r="P88" i="89"/>
  <c r="Q88" i="89"/>
  <c r="Q89" i="89" s="1"/>
  <c r="O94" i="89"/>
  <c r="P94" i="89"/>
  <c r="Q94" i="89"/>
  <c r="O100" i="89"/>
  <c r="P100" i="89"/>
  <c r="Q100" i="89"/>
  <c r="P40" i="89"/>
  <c r="P41" i="89" s="1"/>
  <c r="Q40" i="89"/>
  <c r="O48" i="89"/>
  <c r="O13" i="89" s="1"/>
  <c r="O15" i="89" s="1"/>
  <c r="P48" i="89"/>
  <c r="Q48" i="89"/>
  <c r="O49" i="89"/>
  <c r="P49" i="89"/>
  <c r="Q49" i="89"/>
  <c r="O67" i="89"/>
  <c r="P67" i="89"/>
  <c r="Q67" i="89"/>
  <c r="P73" i="89"/>
  <c r="Q73" i="89"/>
  <c r="P79" i="89"/>
  <c r="P80" i="89" s="1"/>
  <c r="Q79" i="89"/>
  <c r="Q80" i="89" s="1"/>
  <c r="Z5" i="89"/>
  <c r="Z6" i="89" s="1"/>
  <c r="K6" i="89"/>
  <c r="L6" i="89"/>
  <c r="M6" i="89"/>
  <c r="N6" i="89"/>
  <c r="O6" i="89"/>
  <c r="P6" i="89"/>
  <c r="Q6" i="89"/>
  <c r="R6" i="89"/>
  <c r="S6" i="89"/>
  <c r="T6" i="89"/>
  <c r="U6" i="89"/>
  <c r="V6" i="89"/>
  <c r="W6" i="89"/>
  <c r="X6" i="89"/>
  <c r="Y6" i="89"/>
  <c r="Z5" i="86"/>
  <c r="AA5" i="86" s="1"/>
  <c r="K6" i="86"/>
  <c r="L6" i="86"/>
  <c r="M6" i="86"/>
  <c r="N6" i="86"/>
  <c r="O6" i="86"/>
  <c r="P6" i="86"/>
  <c r="Q6" i="86"/>
  <c r="R6" i="86"/>
  <c r="S6" i="86"/>
  <c r="T6" i="86"/>
  <c r="U6" i="86"/>
  <c r="V6" i="86"/>
  <c r="I123" i="98" s="1"/>
  <c r="I152" i="98" s="1"/>
  <c r="W6" i="86"/>
  <c r="J123" i="98" s="1"/>
  <c r="J152" i="98" s="1"/>
  <c r="X6" i="86"/>
  <c r="K123" i="98" s="1"/>
  <c r="Y6" i="86"/>
  <c r="L123" i="98" s="1"/>
  <c r="Q41" i="89" l="1"/>
  <c r="K152" i="98"/>
  <c r="K144" i="98"/>
  <c r="K107" i="98"/>
  <c r="K112" i="98"/>
  <c r="K118" i="98"/>
  <c r="K102" i="98"/>
  <c r="K134" i="98"/>
  <c r="Z6" i="86"/>
  <c r="M123" i="98" s="1"/>
  <c r="L152" i="98"/>
  <c r="L107" i="98"/>
  <c r="L102" i="98"/>
  <c r="L144" i="98"/>
  <c r="L112" i="98"/>
  <c r="L118" i="98"/>
  <c r="L134" i="98"/>
  <c r="P68" i="89"/>
  <c r="Q68" i="89"/>
  <c r="Y76" i="98"/>
  <c r="Q13" i="89"/>
  <c r="Q15" i="89" s="1"/>
  <c r="X76" i="98"/>
  <c r="P13" i="89"/>
  <c r="P15" i="89" s="1"/>
  <c r="P89" i="89"/>
  <c r="P51" i="89"/>
  <c r="X79" i="98"/>
  <c r="X73" i="98"/>
  <c r="O17" i="89"/>
  <c r="O51" i="89"/>
  <c r="X84" i="98"/>
  <c r="P29" i="89"/>
  <c r="Y84" i="98"/>
  <c r="Q29" i="89"/>
  <c r="Q17" i="89"/>
  <c r="Q51" i="89"/>
  <c r="Y79" i="98"/>
  <c r="Y73" i="98"/>
  <c r="P50" i="89"/>
  <c r="P17" i="89"/>
  <c r="P25" i="89"/>
  <c r="O25" i="89"/>
  <c r="Q120" i="89"/>
  <c r="P131" i="89"/>
  <c r="Q131" i="89"/>
  <c r="Q50" i="89"/>
  <c r="O50" i="89"/>
  <c r="O52" i="89" s="1"/>
  <c r="AA5" i="89"/>
  <c r="AA6" i="89" s="1"/>
  <c r="AA6" i="86"/>
  <c r="N123" i="98" s="1"/>
  <c r="AB5" i="86"/>
  <c r="N152" i="98" l="1"/>
  <c r="N144" i="98"/>
  <c r="N112" i="98"/>
  <c r="N107" i="98"/>
  <c r="N118" i="98"/>
  <c r="N102" i="98"/>
  <c r="N134" i="98"/>
  <c r="M152" i="98"/>
  <c r="M107" i="98"/>
  <c r="M144" i="98"/>
  <c r="M134" i="98"/>
  <c r="M112" i="98"/>
  <c r="M118" i="98"/>
  <c r="M102" i="98"/>
  <c r="AB5" i="89"/>
  <c r="AB6" i="89" s="1"/>
  <c r="Q52" i="89"/>
  <c r="P52" i="89"/>
  <c r="AB6" i="86"/>
  <c r="O123" i="98" s="1"/>
  <c r="AC5" i="86"/>
  <c r="O152" i="98" l="1"/>
  <c r="O112" i="98"/>
  <c r="O118" i="98"/>
  <c r="O144" i="98"/>
  <c r="O102" i="98"/>
  <c r="O134" i="98"/>
  <c r="O107" i="98"/>
  <c r="AC5" i="89"/>
  <c r="AD5" i="89"/>
  <c r="AC6" i="89"/>
  <c r="AC6" i="86"/>
  <c r="P123" i="98" s="1"/>
  <c r="AD5" i="86"/>
  <c r="P152" i="98" l="1"/>
  <c r="P112" i="98"/>
  <c r="P118" i="98"/>
  <c r="P107" i="98"/>
  <c r="P144" i="98"/>
  <c r="P102" i="98"/>
  <c r="P134" i="98"/>
  <c r="AD6" i="89"/>
  <c r="AE5" i="89"/>
  <c r="AD6" i="86"/>
  <c r="Q123" i="98" s="1"/>
  <c r="AE5" i="86"/>
  <c r="Q152" i="98" l="1"/>
  <c r="Q112" i="98"/>
  <c r="Q107" i="98"/>
  <c r="Q118" i="98"/>
  <c r="Q144" i="98"/>
  <c r="Q102" i="98"/>
  <c r="Q134" i="98"/>
  <c r="AE6" i="89"/>
  <c r="AF5" i="89"/>
  <c r="AF5" i="86"/>
  <c r="AE6" i="86"/>
  <c r="R123" i="98" s="1"/>
  <c r="R152" i="98" l="1"/>
  <c r="R118" i="98"/>
  <c r="R144" i="98"/>
  <c r="R102" i="98"/>
  <c r="R107" i="98"/>
  <c r="R112" i="98"/>
  <c r="R134" i="98"/>
  <c r="AG5" i="89"/>
  <c r="AG6" i="89" s="1"/>
  <c r="AF6" i="89"/>
  <c r="AF6" i="86"/>
  <c r="S123" i="98" s="1"/>
  <c r="AG5" i="86"/>
  <c r="AG6" i="86" s="1"/>
  <c r="T123" i="98" s="1"/>
  <c r="T152" i="98" l="1"/>
  <c r="T118" i="98"/>
  <c r="T144" i="98"/>
  <c r="T102" i="98"/>
  <c r="T112" i="98"/>
  <c r="T107" i="98"/>
  <c r="T134" i="98"/>
  <c r="S152" i="98"/>
  <c r="S118" i="98"/>
  <c r="S144" i="98"/>
  <c r="S102" i="98"/>
  <c r="S107" i="98"/>
  <c r="S112" i="98"/>
  <c r="S134" i="98"/>
  <c r="AD26" i="40"/>
  <c r="AC26" i="40"/>
  <c r="AB26" i="40"/>
  <c r="AA26" i="40"/>
  <c r="Z26" i="40"/>
  <c r="Y26" i="40"/>
  <c r="X26" i="40"/>
  <c r="W26" i="40"/>
  <c r="V26" i="40"/>
  <c r="T24" i="40"/>
  <c r="U24" i="40"/>
  <c r="V24" i="40"/>
  <c r="W24" i="40"/>
  <c r="X24" i="40"/>
  <c r="Y24" i="40"/>
  <c r="Z24" i="40"/>
  <c r="AA24" i="40"/>
  <c r="AB24" i="40"/>
  <c r="AC24" i="40"/>
  <c r="AD24" i="40"/>
  <c r="AE24" i="40"/>
  <c r="AF24" i="40"/>
  <c r="AG24" i="40"/>
  <c r="AH24" i="40"/>
  <c r="AI24" i="40"/>
  <c r="AJ24" i="40"/>
  <c r="AK24" i="40"/>
  <c r="AL24" i="40"/>
  <c r="AM24" i="40"/>
  <c r="AN24" i="40"/>
  <c r="AO24" i="40"/>
  <c r="AE26" i="40"/>
  <c r="W91" i="41" s="1"/>
  <c r="AA23" i="40"/>
  <c r="AE14" i="40"/>
  <c r="W122" i="12" s="1"/>
  <c r="W85" i="41"/>
  <c r="W14" i="40"/>
  <c r="O84" i="41" s="1"/>
  <c r="X14" i="40"/>
  <c r="P84" i="41" s="1"/>
  <c r="Y14" i="40"/>
  <c r="Q84" i="41" s="1"/>
  <c r="Z14" i="40"/>
  <c r="R84" i="41" s="1"/>
  <c r="AA14" i="40"/>
  <c r="S84" i="41" s="1"/>
  <c r="AB14" i="40"/>
  <c r="T84" i="41" s="1"/>
  <c r="AC14" i="40"/>
  <c r="U84" i="41" s="1"/>
  <c r="AD14" i="40"/>
  <c r="V84" i="41" s="1"/>
  <c r="W15" i="40"/>
  <c r="H8" i="107" s="1"/>
  <c r="X15" i="40"/>
  <c r="P85" i="41" s="1"/>
  <c r="Y15" i="40"/>
  <c r="Q85" i="41" s="1"/>
  <c r="Z15" i="40"/>
  <c r="R85" i="41" s="1"/>
  <c r="AA15" i="40"/>
  <c r="S85" i="41" s="1"/>
  <c r="AB15" i="40"/>
  <c r="T85" i="41" s="1"/>
  <c r="AC15" i="40"/>
  <c r="U85" i="41" s="1"/>
  <c r="AD15" i="40"/>
  <c r="V85" i="41" s="1"/>
  <c r="Q111" i="41" l="1"/>
  <c r="R111" i="41"/>
  <c r="L8" i="107"/>
  <c r="R8" i="107"/>
  <c r="S8" i="107"/>
  <c r="K8" i="107"/>
  <c r="J8" i="107"/>
  <c r="I8" i="107"/>
  <c r="Q8" i="107"/>
  <c r="P8" i="107"/>
  <c r="N8" i="107"/>
  <c r="O8" i="107"/>
  <c r="M8" i="107"/>
  <c r="P111" i="41"/>
  <c r="S111" i="41"/>
  <c r="V111" i="41"/>
  <c r="U111" i="41"/>
  <c r="T111" i="41"/>
  <c r="W111" i="41"/>
  <c r="H17" i="107"/>
  <c r="H18" i="107"/>
  <c r="H10" i="107"/>
  <c r="H20" i="107"/>
  <c r="H19" i="107"/>
  <c r="H22" i="107"/>
  <c r="H21" i="107"/>
  <c r="H11" i="107"/>
  <c r="H13" i="107"/>
  <c r="H14" i="107"/>
  <c r="H16" i="107"/>
  <c r="H9" i="107"/>
  <c r="H15" i="107"/>
  <c r="H12" i="107"/>
  <c r="O85" i="41"/>
  <c r="W84" i="41"/>
  <c r="AE23" i="40"/>
  <c r="AF26" i="40" s="1"/>
  <c r="X91" i="41" s="1"/>
  <c r="AH6" i="40"/>
  <c r="AI6" i="40" s="1"/>
  <c r="AI7" i="40" s="1"/>
  <c r="T7" i="40"/>
  <c r="U7" i="40"/>
  <c r="V7" i="40"/>
  <c r="W7" i="40"/>
  <c r="X7" i="40"/>
  <c r="Y7" i="40"/>
  <c r="Z7" i="40"/>
  <c r="AA7" i="40"/>
  <c r="AB7" i="40"/>
  <c r="Z7" i="93"/>
  <c r="Y7" i="93"/>
  <c r="X7" i="93"/>
  <c r="W7" i="93"/>
  <c r="V7" i="93"/>
  <c r="U7" i="93"/>
  <c r="T7" i="93"/>
  <c r="S7" i="93"/>
  <c r="R7" i="93"/>
  <c r="Q7" i="93"/>
  <c r="P7" i="93"/>
  <c r="O7" i="93"/>
  <c r="N7" i="93"/>
  <c r="M7" i="93"/>
  <c r="L7" i="93"/>
  <c r="K7" i="93"/>
  <c r="Y6" i="93"/>
  <c r="AA7" i="93" s="1"/>
  <c r="X6" i="93"/>
  <c r="Z7" i="92"/>
  <c r="Y7" i="92"/>
  <c r="X7" i="92"/>
  <c r="W7" i="92"/>
  <c r="V7" i="92"/>
  <c r="U7" i="92"/>
  <c r="T7" i="92"/>
  <c r="S7" i="92"/>
  <c r="R7" i="92"/>
  <c r="Q7" i="92"/>
  <c r="P7" i="92"/>
  <c r="O7" i="92"/>
  <c r="N7" i="92"/>
  <c r="M7" i="92"/>
  <c r="L7" i="92"/>
  <c r="K7" i="92"/>
  <c r="Y6" i="92"/>
  <c r="AA7" i="92" s="1"/>
  <c r="X6" i="92"/>
  <c r="Y7" i="44"/>
  <c r="X7" i="44"/>
  <c r="W7" i="44"/>
  <c r="V7" i="44"/>
  <c r="U7" i="44"/>
  <c r="T7" i="44"/>
  <c r="S7" i="44"/>
  <c r="R7" i="44"/>
  <c r="Q7" i="44"/>
  <c r="P7" i="44"/>
  <c r="O7" i="44"/>
  <c r="N7" i="44"/>
  <c r="M7" i="44"/>
  <c r="L7" i="44"/>
  <c r="K7" i="44"/>
  <c r="X6" i="44"/>
  <c r="Z7" i="44" s="1"/>
  <c r="Y7" i="34"/>
  <c r="X7" i="34"/>
  <c r="W7" i="34"/>
  <c r="V7" i="34"/>
  <c r="U7" i="34"/>
  <c r="T7" i="34"/>
  <c r="S7" i="34"/>
  <c r="R7" i="34"/>
  <c r="Q7" i="34"/>
  <c r="P7" i="34"/>
  <c r="O7" i="34"/>
  <c r="N7" i="34"/>
  <c r="M7" i="34"/>
  <c r="L7" i="34"/>
  <c r="K7" i="34"/>
  <c r="X6" i="34"/>
  <c r="Z7" i="34" s="1"/>
  <c r="Y7" i="56"/>
  <c r="X7" i="56"/>
  <c r="W7" i="56"/>
  <c r="V7" i="56"/>
  <c r="U7" i="56"/>
  <c r="T7" i="56"/>
  <c r="S7" i="56"/>
  <c r="R7" i="56"/>
  <c r="Q7" i="56"/>
  <c r="P7" i="56"/>
  <c r="O7" i="56"/>
  <c r="N7" i="56"/>
  <c r="M7" i="56"/>
  <c r="L7" i="56"/>
  <c r="K7" i="56"/>
  <c r="X6" i="56"/>
  <c r="Z7" i="56" s="1"/>
  <c r="Z7" i="41"/>
  <c r="Y7" i="41"/>
  <c r="X7" i="41"/>
  <c r="W7" i="41"/>
  <c r="V7" i="41"/>
  <c r="U7" i="41"/>
  <c r="T7" i="41"/>
  <c r="S7" i="41"/>
  <c r="R7" i="41"/>
  <c r="Q7" i="41"/>
  <c r="P7" i="41"/>
  <c r="O7" i="41"/>
  <c r="N7" i="41"/>
  <c r="M7" i="41"/>
  <c r="L7" i="41"/>
  <c r="K7" i="41"/>
  <c r="Y6" i="41"/>
  <c r="AA7" i="41" s="1"/>
  <c r="X6" i="41"/>
  <c r="Y7" i="36"/>
  <c r="Y7" i="57" s="1"/>
  <c r="X7" i="36"/>
  <c r="X7" i="57" s="1"/>
  <c r="W7" i="36"/>
  <c r="W7" i="57" s="1"/>
  <c r="V7" i="36"/>
  <c r="V7" i="57" s="1"/>
  <c r="U7" i="36"/>
  <c r="U7" i="57" s="1"/>
  <c r="T7" i="36"/>
  <c r="T7" i="57" s="1"/>
  <c r="S7" i="36"/>
  <c r="S7" i="57" s="1"/>
  <c r="R7" i="36"/>
  <c r="R7" i="57" s="1"/>
  <c r="Q7" i="36"/>
  <c r="Q7" i="57" s="1"/>
  <c r="P7" i="36"/>
  <c r="P7" i="57" s="1"/>
  <c r="O7" i="36"/>
  <c r="O7" i="57" s="1"/>
  <c r="N7" i="36"/>
  <c r="M7" i="36"/>
  <c r="L7" i="36"/>
  <c r="K7" i="36"/>
  <c r="X6" i="36"/>
  <c r="Z7" i="36" s="1"/>
  <c r="Z7" i="57" s="1"/>
  <c r="O18" i="107" l="1"/>
  <c r="N18" i="107"/>
  <c r="M18" i="107"/>
  <c r="L18" i="107"/>
  <c r="S18" i="107"/>
  <c r="K18" i="107"/>
  <c r="R18" i="107"/>
  <c r="J18" i="107"/>
  <c r="Q18" i="107"/>
  <c r="I18" i="107"/>
  <c r="P18" i="107"/>
  <c r="N21" i="107"/>
  <c r="T26" i="89" s="1"/>
  <c r="M21" i="107"/>
  <c r="S26" i="89" s="1"/>
  <c r="L21" i="107"/>
  <c r="S21" i="107"/>
  <c r="Y26" i="89" s="1"/>
  <c r="K21" i="107"/>
  <c r="Q26" i="89" s="1"/>
  <c r="Q27" i="89" s="1"/>
  <c r="R21" i="107"/>
  <c r="J21" i="107"/>
  <c r="Q21" i="107"/>
  <c r="I21" i="107"/>
  <c r="O26" i="89" s="1"/>
  <c r="O27" i="89" s="1"/>
  <c r="P21" i="107"/>
  <c r="V26" i="89" s="1"/>
  <c r="O21" i="107"/>
  <c r="U26" i="89" s="1"/>
  <c r="S22" i="107"/>
  <c r="Y30" i="89" s="1"/>
  <c r="K22" i="107"/>
  <c r="Q30" i="89" s="1"/>
  <c r="Q31" i="89" s="1"/>
  <c r="R22" i="107"/>
  <c r="J22" i="107"/>
  <c r="Q22" i="107"/>
  <c r="W30" i="89" s="1"/>
  <c r="I22" i="107"/>
  <c r="P22" i="107"/>
  <c r="V30" i="89" s="1"/>
  <c r="O22" i="107"/>
  <c r="U30" i="89" s="1"/>
  <c r="N22" i="107"/>
  <c r="T30" i="89" s="1"/>
  <c r="L22" i="107"/>
  <c r="R30" i="89" s="1"/>
  <c r="M22" i="107"/>
  <c r="S30" i="89" s="1"/>
  <c r="S19" i="107"/>
  <c r="Y18" i="89" s="1"/>
  <c r="K19" i="107"/>
  <c r="Q18" i="89" s="1"/>
  <c r="Q19" i="89" s="1"/>
  <c r="Q19" i="107"/>
  <c r="W18" i="89" s="1"/>
  <c r="R19" i="107"/>
  <c r="X18" i="89" s="1"/>
  <c r="J19" i="107"/>
  <c r="I19" i="107"/>
  <c r="O18" i="89" s="1"/>
  <c r="O19" i="89" s="1"/>
  <c r="P19" i="107"/>
  <c r="V18" i="89" s="1"/>
  <c r="O19" i="107"/>
  <c r="U18" i="89" s="1"/>
  <c r="M19" i="107"/>
  <c r="N19" i="107"/>
  <c r="T18" i="89" s="1"/>
  <c r="L19" i="107"/>
  <c r="J9" i="107"/>
  <c r="Q9" i="107"/>
  <c r="I9" i="107"/>
  <c r="O47" i="41" s="1"/>
  <c r="P9" i="107"/>
  <c r="R9" i="107"/>
  <c r="O9" i="107"/>
  <c r="N9" i="107"/>
  <c r="M9" i="107"/>
  <c r="L9" i="107"/>
  <c r="S9" i="107"/>
  <c r="K9" i="107"/>
  <c r="Q20" i="107"/>
  <c r="I20" i="107"/>
  <c r="O22" i="89" s="1"/>
  <c r="P20" i="107"/>
  <c r="V22" i="89" s="1"/>
  <c r="O20" i="107"/>
  <c r="U22" i="89" s="1"/>
  <c r="N20" i="107"/>
  <c r="T22" i="89" s="1"/>
  <c r="M20" i="107"/>
  <c r="L20" i="107"/>
  <c r="R22" i="89" s="1"/>
  <c r="R20" i="107"/>
  <c r="X22" i="89" s="1"/>
  <c r="S20" i="107"/>
  <c r="K20" i="107"/>
  <c r="Q22" i="89" s="1"/>
  <c r="J20" i="107"/>
  <c r="K14" i="107"/>
  <c r="R14" i="107"/>
  <c r="J14" i="107"/>
  <c r="Q14" i="107"/>
  <c r="I14" i="107"/>
  <c r="P14" i="107"/>
  <c r="S14" i="107"/>
  <c r="O14" i="107"/>
  <c r="N14" i="107"/>
  <c r="L14" i="107"/>
  <c r="M14" i="107"/>
  <c r="P12" i="107"/>
  <c r="Q12" i="107"/>
  <c r="O12" i="107"/>
  <c r="N12" i="107"/>
  <c r="M12" i="107"/>
  <c r="L12" i="107"/>
  <c r="R12" i="107"/>
  <c r="I12" i="107"/>
  <c r="O16" i="45" s="1"/>
  <c r="S12" i="107"/>
  <c r="K12" i="107"/>
  <c r="J12" i="107"/>
  <c r="O15" i="107"/>
  <c r="M15" i="107"/>
  <c r="L15" i="107"/>
  <c r="N15" i="107"/>
  <c r="P15" i="107"/>
  <c r="S15" i="107"/>
  <c r="K15" i="107"/>
  <c r="Q15" i="107"/>
  <c r="R15" i="107"/>
  <c r="J15" i="107"/>
  <c r="I15" i="107"/>
  <c r="L16" i="107"/>
  <c r="S16" i="107"/>
  <c r="K16" i="107"/>
  <c r="J16" i="107"/>
  <c r="I16" i="107"/>
  <c r="R16" i="107"/>
  <c r="Q16" i="107"/>
  <c r="P16" i="107"/>
  <c r="N16" i="107"/>
  <c r="M16" i="107"/>
  <c r="O16" i="107"/>
  <c r="N10" i="107"/>
  <c r="K10" i="107"/>
  <c r="M10" i="107"/>
  <c r="L10" i="107"/>
  <c r="S10" i="107"/>
  <c r="O10" i="107"/>
  <c r="R10" i="107"/>
  <c r="J10" i="107"/>
  <c r="Q10" i="107"/>
  <c r="I10" i="107"/>
  <c r="O18" i="36" s="1"/>
  <c r="P10" i="107"/>
  <c r="M13" i="107"/>
  <c r="K13" i="107"/>
  <c r="J13" i="107"/>
  <c r="L13" i="107"/>
  <c r="R13" i="107"/>
  <c r="S13" i="107"/>
  <c r="Q13" i="107"/>
  <c r="I13" i="107"/>
  <c r="P13" i="107"/>
  <c r="O13" i="107"/>
  <c r="N13" i="107"/>
  <c r="Q17" i="107"/>
  <c r="I17" i="107"/>
  <c r="O17" i="107"/>
  <c r="J17" i="107"/>
  <c r="P17" i="107"/>
  <c r="R17" i="107"/>
  <c r="N17" i="107"/>
  <c r="M17" i="107"/>
  <c r="S17" i="107"/>
  <c r="L17" i="107"/>
  <c r="K17" i="107"/>
  <c r="S11" i="107"/>
  <c r="K11" i="107"/>
  <c r="I11" i="107"/>
  <c r="O15" i="45" s="1"/>
  <c r="R11" i="107"/>
  <c r="J11" i="107"/>
  <c r="Q11" i="107"/>
  <c r="L11" i="107"/>
  <c r="P11" i="107"/>
  <c r="O11" i="107"/>
  <c r="M11" i="107"/>
  <c r="N11" i="107"/>
  <c r="O111" i="41"/>
  <c r="Y6" i="44"/>
  <c r="AA7" i="44" s="1"/>
  <c r="AF32" i="40"/>
  <c r="AF38" i="40" s="1"/>
  <c r="R26" i="89"/>
  <c r="P26" i="89"/>
  <c r="P27" i="89" s="1"/>
  <c r="W26" i="89"/>
  <c r="X26" i="89"/>
  <c r="P30" i="89"/>
  <c r="P31" i="89" s="1"/>
  <c r="O30" i="89"/>
  <c r="O31" i="89" s="1"/>
  <c r="X30" i="89"/>
  <c r="P22" i="89"/>
  <c r="P23" i="89" s="1"/>
  <c r="W22" i="89"/>
  <c r="S22" i="89"/>
  <c r="Y22" i="89"/>
  <c r="P18" i="89"/>
  <c r="P19" i="89" s="1"/>
  <c r="S18" i="89"/>
  <c r="R18" i="89"/>
  <c r="Y36" i="86"/>
  <c r="O24" i="45"/>
  <c r="Y6" i="36"/>
  <c r="Z6" i="36" s="1"/>
  <c r="AB7" i="36" s="1"/>
  <c r="AB7" i="57" s="1"/>
  <c r="AF23" i="40"/>
  <c r="AH7" i="40"/>
  <c r="AJ6" i="40"/>
  <c r="Z6" i="93"/>
  <c r="Z6" i="92"/>
  <c r="Z6" i="41"/>
  <c r="Y6" i="56"/>
  <c r="Y6" i="34"/>
  <c r="O18" i="57" l="1"/>
  <c r="O23" i="41"/>
  <c r="O17" i="45"/>
  <c r="AA6" i="36"/>
  <c r="O33" i="42"/>
  <c r="O98" i="41"/>
  <c r="O107" i="41" s="1"/>
  <c r="Z6" i="44"/>
  <c r="AB7" i="44" s="1"/>
  <c r="O12" i="45"/>
  <c r="O37" i="41"/>
  <c r="O29" i="45"/>
  <c r="O41" i="41"/>
  <c r="O21" i="12"/>
  <c r="C170" i="98"/>
  <c r="AG102" i="98"/>
  <c r="X22" i="30"/>
  <c r="AG103" i="98"/>
  <c r="W21" i="12"/>
  <c r="K171" i="98"/>
  <c r="K170" i="98"/>
  <c r="AH103" i="98"/>
  <c r="AH102" i="98"/>
  <c r="Y22" i="30"/>
  <c r="AD102" i="98"/>
  <c r="U22" i="30"/>
  <c r="S21" i="12"/>
  <c r="G170" i="98"/>
  <c r="X21" i="12"/>
  <c r="L171" i="98"/>
  <c r="S22" i="30"/>
  <c r="AB102" i="98"/>
  <c r="AE102" i="98"/>
  <c r="V22" i="30"/>
  <c r="Q21" i="12"/>
  <c r="E170" i="98"/>
  <c r="AF103" i="98"/>
  <c r="AF102" i="98"/>
  <c r="W22" i="30"/>
  <c r="T22" i="30"/>
  <c r="AC102" i="98"/>
  <c r="T21" i="12"/>
  <c r="H170" i="98"/>
  <c r="M171" i="98"/>
  <c r="Y21" i="12"/>
  <c r="P21" i="12"/>
  <c r="D170" i="98"/>
  <c r="Z102" i="98"/>
  <c r="Q22" i="30"/>
  <c r="U21" i="12"/>
  <c r="I170" i="98"/>
  <c r="F170" i="98"/>
  <c r="R21" i="12"/>
  <c r="P22" i="30"/>
  <c r="Y102" i="98"/>
  <c r="AA102" i="98"/>
  <c r="R22" i="30"/>
  <c r="O22" i="30"/>
  <c r="X102" i="98"/>
  <c r="J170" i="98"/>
  <c r="V21" i="12"/>
  <c r="AA7" i="36"/>
  <c r="AA7" i="57" s="1"/>
  <c r="AG23" i="40"/>
  <c r="AG26" i="40"/>
  <c r="AK6" i="40"/>
  <c r="AJ7" i="40"/>
  <c r="AB7" i="93"/>
  <c r="AA6" i="93"/>
  <c r="AA6" i="92"/>
  <c r="AB7" i="92"/>
  <c r="AA7" i="34"/>
  <c r="Z6" i="34"/>
  <c r="AA7" i="56"/>
  <c r="Z6" i="56"/>
  <c r="AB7" i="41"/>
  <c r="AA6" i="41"/>
  <c r="AC7" i="36"/>
  <c r="AC7" i="57" s="1"/>
  <c r="AB6" i="36"/>
  <c r="AA6" i="44" l="1"/>
  <c r="AB6" i="44" s="1"/>
  <c r="AB20" i="30"/>
  <c r="O75" i="41"/>
  <c r="O49" i="41"/>
  <c r="AM21" i="30"/>
  <c r="W20" i="30"/>
  <c r="O71" i="41"/>
  <c r="AG32" i="40"/>
  <c r="AG38" i="40" s="1"/>
  <c r="Y91" i="41"/>
  <c r="AH23" i="40"/>
  <c r="AH26" i="40"/>
  <c r="AL6" i="40"/>
  <c r="AK7" i="40"/>
  <c r="AC7" i="93"/>
  <c r="AB6" i="93"/>
  <c r="AC7" i="92"/>
  <c r="AB6" i="92"/>
  <c r="AB7" i="56"/>
  <c r="AA6" i="56"/>
  <c r="AC7" i="41"/>
  <c r="AB6" i="41"/>
  <c r="AD7" i="36"/>
  <c r="AD7" i="57" s="1"/>
  <c r="AC6" i="36"/>
  <c r="AB7" i="34"/>
  <c r="AA6" i="34"/>
  <c r="AC7" i="44" l="1"/>
  <c r="AH32" i="40"/>
  <c r="AH38" i="40" s="1"/>
  <c r="Z91" i="41"/>
  <c r="AI23" i="40"/>
  <c r="AI26" i="40"/>
  <c r="AL7" i="40"/>
  <c r="AM6" i="40"/>
  <c r="AD7" i="93"/>
  <c r="AC6" i="93"/>
  <c r="AD7" i="92"/>
  <c r="AC6" i="92"/>
  <c r="AD7" i="44"/>
  <c r="AC6" i="44"/>
  <c r="AC7" i="34"/>
  <c r="AB6" i="34"/>
  <c r="AD7" i="41"/>
  <c r="AC6" i="41"/>
  <c r="AE7" i="36"/>
  <c r="AE7" i="57" s="1"/>
  <c r="AD6" i="36"/>
  <c r="AB6" i="56"/>
  <c r="AC7" i="56"/>
  <c r="AI32" i="40" l="1"/>
  <c r="AI38" i="40" s="1"/>
  <c r="AA91" i="41"/>
  <c r="AJ23" i="40"/>
  <c r="AJ26" i="40"/>
  <c r="AN6" i="40"/>
  <c r="AM7" i="40"/>
  <c r="AE7" i="93"/>
  <c r="AD6" i="93"/>
  <c r="AE7" i="92"/>
  <c r="AD6" i="92"/>
  <c r="AE7" i="44"/>
  <c r="AD6" i="44"/>
  <c r="AD7" i="56"/>
  <c r="AC6" i="56"/>
  <c r="AF7" i="36"/>
  <c r="AF7" i="57" s="1"/>
  <c r="AE6" i="36"/>
  <c r="AD6" i="41"/>
  <c r="AE7" i="41"/>
  <c r="AD7" i="34"/>
  <c r="AC6" i="34"/>
  <c r="AJ32" i="40" l="1"/>
  <c r="AJ38" i="40" s="1"/>
  <c r="AB91" i="41"/>
  <c r="AK23" i="40"/>
  <c r="AK26" i="40"/>
  <c r="AO6" i="40"/>
  <c r="AO7" i="40" s="1"/>
  <c r="AN7" i="40"/>
  <c r="AF7" i="93"/>
  <c r="AE6" i="93"/>
  <c r="AF7" i="92"/>
  <c r="AE6" i="92"/>
  <c r="AE6" i="44"/>
  <c r="AF7" i="44"/>
  <c r="AE7" i="34"/>
  <c r="AD6" i="34"/>
  <c r="AF7" i="41"/>
  <c r="AE6" i="41"/>
  <c r="AG7" i="36"/>
  <c r="AG7" i="57" s="1"/>
  <c r="AF6" i="36"/>
  <c r="AG6" i="36" s="1"/>
  <c r="AE7" i="56"/>
  <c r="AD6" i="56"/>
  <c r="AK32" i="40" l="1"/>
  <c r="AK38" i="40" s="1"/>
  <c r="AC91" i="41"/>
  <c r="AL23" i="40"/>
  <c r="AL26" i="40"/>
  <c r="AG7" i="93"/>
  <c r="AF6" i="93"/>
  <c r="AG6" i="93" s="1"/>
  <c r="AG7" i="92"/>
  <c r="AF6" i="92"/>
  <c r="AG6" i="92" s="1"/>
  <c r="AG7" i="44"/>
  <c r="AF6" i="44"/>
  <c r="AG6" i="44" s="1"/>
  <c r="AF7" i="56"/>
  <c r="AE6" i="56"/>
  <c r="AG7" i="41"/>
  <c r="AF6" i="41"/>
  <c r="AG6" i="41" s="1"/>
  <c r="AF7" i="34"/>
  <c r="AE6" i="34"/>
  <c r="AL32" i="40" l="1"/>
  <c r="AL38" i="40" s="1"/>
  <c r="AD91" i="41"/>
  <c r="AM23" i="40"/>
  <c r="AM26" i="40"/>
  <c r="AG7" i="34"/>
  <c r="AF6" i="34"/>
  <c r="AG6" i="34" s="1"/>
  <c r="AG7" i="56"/>
  <c r="AF6" i="56"/>
  <c r="AG6" i="56" s="1"/>
  <c r="AM32" i="40" l="1"/>
  <c r="AM38" i="40" s="1"/>
  <c r="AE91" i="41"/>
  <c r="AN23" i="40"/>
  <c r="AN26" i="40"/>
  <c r="Y7" i="45"/>
  <c r="X7" i="45"/>
  <c r="W7" i="45"/>
  <c r="V7" i="45"/>
  <c r="U7" i="45"/>
  <c r="T7" i="45"/>
  <c r="S7" i="45"/>
  <c r="R7" i="45"/>
  <c r="Q7" i="45"/>
  <c r="P7" i="45"/>
  <c r="O7" i="45"/>
  <c r="N7" i="45"/>
  <c r="M7" i="45"/>
  <c r="L7" i="45"/>
  <c r="K7" i="45"/>
  <c r="X6" i="45"/>
  <c r="Z7" i="45" s="1"/>
  <c r="Y7" i="62"/>
  <c r="X7" i="62"/>
  <c r="W7" i="62"/>
  <c r="V7" i="62"/>
  <c r="U7" i="62"/>
  <c r="T7" i="62"/>
  <c r="S7" i="62"/>
  <c r="R7" i="62"/>
  <c r="Q7" i="62"/>
  <c r="P7" i="62"/>
  <c r="O7" i="62"/>
  <c r="N7" i="62"/>
  <c r="M7" i="62"/>
  <c r="L7" i="62"/>
  <c r="K7" i="62"/>
  <c r="X6" i="62"/>
  <c r="Z7" i="62" s="1"/>
  <c r="Y7" i="42"/>
  <c r="X7" i="42"/>
  <c r="W7" i="42"/>
  <c r="V7" i="42"/>
  <c r="U7" i="42"/>
  <c r="T7" i="42"/>
  <c r="S7" i="42"/>
  <c r="R7" i="42"/>
  <c r="Q7" i="42"/>
  <c r="P7" i="42"/>
  <c r="O7" i="42"/>
  <c r="N7" i="42"/>
  <c r="M7" i="42"/>
  <c r="L7" i="42"/>
  <c r="K7" i="42"/>
  <c r="X6" i="42"/>
  <c r="Z7" i="42" s="1"/>
  <c r="Y7" i="30"/>
  <c r="X7" i="30"/>
  <c r="W7" i="30"/>
  <c r="V7" i="30"/>
  <c r="U7" i="30"/>
  <c r="T7" i="30"/>
  <c r="S7" i="30"/>
  <c r="R7" i="30"/>
  <c r="Q7" i="30"/>
  <c r="P7" i="30"/>
  <c r="O7" i="30"/>
  <c r="N7" i="30"/>
  <c r="M7" i="30"/>
  <c r="L7" i="30"/>
  <c r="K7" i="30"/>
  <c r="X6" i="30"/>
  <c r="Z7" i="30" s="1"/>
  <c r="AI40" i="90"/>
  <c r="AT40" i="90" s="1"/>
  <c r="BE40" i="90" s="1"/>
  <c r="BP40" i="90" s="1"/>
  <c r="CA40" i="90" s="1"/>
  <c r="CL40" i="90" s="1"/>
  <c r="CW40" i="90" s="1"/>
  <c r="AH40" i="90"/>
  <c r="AS40" i="90" s="1"/>
  <c r="BD40" i="90" s="1"/>
  <c r="BO40" i="90" s="1"/>
  <c r="BZ40" i="90" s="1"/>
  <c r="CK40" i="90" s="1"/>
  <c r="CV40" i="90" s="1"/>
  <c r="AG40" i="90"/>
  <c r="AR40" i="90" s="1"/>
  <c r="BC40" i="90" s="1"/>
  <c r="BN40" i="90" s="1"/>
  <c r="BY40" i="90" s="1"/>
  <c r="CJ40" i="90" s="1"/>
  <c r="CU40" i="90" s="1"/>
  <c r="AF40" i="90"/>
  <c r="AQ40" i="90" s="1"/>
  <c r="BB40" i="90" s="1"/>
  <c r="BM40" i="90" s="1"/>
  <c r="BX40" i="90" s="1"/>
  <c r="CI40" i="90" s="1"/>
  <c r="CT40" i="90" s="1"/>
  <c r="AE40" i="90"/>
  <c r="AP40" i="90" s="1"/>
  <c r="BA40" i="90" s="1"/>
  <c r="BL40" i="90" s="1"/>
  <c r="BW40" i="90" s="1"/>
  <c r="CH40" i="90" s="1"/>
  <c r="CS40" i="90" s="1"/>
  <c r="AD40" i="90"/>
  <c r="AO40" i="90" s="1"/>
  <c r="AZ40" i="90" s="1"/>
  <c r="BK40" i="90" s="1"/>
  <c r="BV40" i="90" s="1"/>
  <c r="CG40" i="90" s="1"/>
  <c r="CR40" i="90" s="1"/>
  <c r="AC40" i="90"/>
  <c r="AB40" i="90"/>
  <c r="AM40" i="90" s="1"/>
  <c r="AX40" i="90" s="1"/>
  <c r="BI40" i="90" s="1"/>
  <c r="BT40" i="90" s="1"/>
  <c r="CE40" i="90" s="1"/>
  <c r="CP40" i="90" s="1"/>
  <c r="AA40" i="90"/>
  <c r="AL40" i="90" s="1"/>
  <c r="AW40" i="90" s="1"/>
  <c r="BH40" i="90" s="1"/>
  <c r="BS40" i="90" s="1"/>
  <c r="CD40" i="90" s="1"/>
  <c r="CO40" i="90" s="1"/>
  <c r="Z40" i="90"/>
  <c r="AK40" i="90" s="1"/>
  <c r="AV40" i="90" s="1"/>
  <c r="BG40" i="90" s="1"/>
  <c r="BR40" i="90" s="1"/>
  <c r="AN40" i="90"/>
  <c r="AY40" i="90" s="1"/>
  <c r="BJ40" i="90" s="1"/>
  <c r="BU40" i="90" s="1"/>
  <c r="CF40" i="90" s="1"/>
  <c r="CQ40" i="90" s="1"/>
  <c r="Y7" i="12"/>
  <c r="Y141" i="12" s="1"/>
  <c r="X6" i="12"/>
  <c r="Z7" i="12" s="1"/>
  <c r="Z141" i="12" s="1"/>
  <c r="X7" i="12"/>
  <c r="W7" i="12"/>
  <c r="V7" i="12"/>
  <c r="U7" i="12"/>
  <c r="T7" i="12"/>
  <c r="S7" i="12"/>
  <c r="R7" i="12"/>
  <c r="Q7" i="12"/>
  <c r="P7" i="12"/>
  <c r="O7" i="12"/>
  <c r="N7" i="12"/>
  <c r="M7" i="12"/>
  <c r="L7" i="12"/>
  <c r="K7" i="12"/>
  <c r="G73" i="104"/>
  <c r="G74" i="104" s="1"/>
  <c r="F73" i="104"/>
  <c r="F74" i="104" s="1"/>
  <c r="E73" i="104"/>
  <c r="E74" i="104" s="1"/>
  <c r="D73" i="104"/>
  <c r="D74" i="104" s="1"/>
  <c r="C73" i="104"/>
  <c r="H71" i="104"/>
  <c r="H69" i="104"/>
  <c r="H68" i="104"/>
  <c r="H67" i="104"/>
  <c r="H66" i="104"/>
  <c r="H64" i="104"/>
  <c r="G50" i="104"/>
  <c r="G51" i="104" s="1"/>
  <c r="F50" i="104"/>
  <c r="F51" i="104" s="1"/>
  <c r="E50" i="104"/>
  <c r="E51" i="104" s="1"/>
  <c r="D50" i="104"/>
  <c r="C50" i="104"/>
  <c r="C51" i="104" s="1"/>
  <c r="H49" i="104"/>
  <c r="H48" i="104"/>
  <c r="H46" i="104"/>
  <c r="H45" i="104"/>
  <c r="H44" i="104"/>
  <c r="H43" i="104"/>
  <c r="H41" i="104"/>
  <c r="H37" i="104"/>
  <c r="H36" i="104"/>
  <c r="H35" i="104"/>
  <c r="H34" i="104"/>
  <c r="H33" i="104"/>
  <c r="H31" i="104"/>
  <c r="G38" i="104"/>
  <c r="F38" i="104"/>
  <c r="E38" i="104"/>
  <c r="D38" i="104"/>
  <c r="H30" i="104"/>
  <c r="H29" i="104"/>
  <c r="H28" i="104"/>
  <c r="E53" i="104"/>
  <c r="H7" i="104"/>
  <c r="C53" i="104"/>
  <c r="CC40" i="90" l="1"/>
  <c r="CN40" i="90" s="1"/>
  <c r="BR43" i="90"/>
  <c r="BG43" i="90" s="1"/>
  <c r="D54" i="104"/>
  <c r="F54" i="104"/>
  <c r="E54" i="104"/>
  <c r="G54" i="104"/>
  <c r="H73" i="104"/>
  <c r="H74" i="104" s="1"/>
  <c r="H50" i="104"/>
  <c r="H51" i="104" s="1"/>
  <c r="H38" i="104"/>
  <c r="AN32" i="40"/>
  <c r="AN38" i="40" s="1"/>
  <c r="AF91" i="41"/>
  <c r="Y6" i="12"/>
  <c r="AO23" i="40"/>
  <c r="AO26" i="40"/>
  <c r="E55" i="104"/>
  <c r="G39" i="104"/>
  <c r="Y6" i="45"/>
  <c r="Y6" i="42"/>
  <c r="Y6" i="62"/>
  <c r="Y6" i="30"/>
  <c r="F39" i="104"/>
  <c r="H53" i="104"/>
  <c r="D53" i="104"/>
  <c r="D39" i="104"/>
  <c r="D51" i="104"/>
  <c r="F53" i="104"/>
  <c r="F55" i="104" s="1"/>
  <c r="C74" i="104"/>
  <c r="C38" i="104"/>
  <c r="E39" i="104"/>
  <c r="G53" i="104"/>
  <c r="G55" i="104" s="1"/>
  <c r="H54" i="104" l="1"/>
  <c r="D55" i="104"/>
  <c r="H39" i="104"/>
  <c r="AO32" i="40"/>
  <c r="AO38" i="40" s="1"/>
  <c r="AG91" i="41"/>
  <c r="Z6" i="12"/>
  <c r="AA7" i="12"/>
  <c r="AA141" i="12" s="1"/>
  <c r="H55" i="104"/>
  <c r="AA7" i="62"/>
  <c r="Z6" i="62"/>
  <c r="AA7" i="42"/>
  <c r="Z6" i="42"/>
  <c r="AA7" i="45"/>
  <c r="Z6" i="45"/>
  <c r="AA7" i="30"/>
  <c r="Z6" i="30"/>
  <c r="C39" i="104"/>
  <c r="C54" i="104"/>
  <c r="C55" i="104" s="1"/>
  <c r="AA6" i="12" l="1"/>
  <c r="AB7" i="12"/>
  <c r="AB141" i="12" s="1"/>
  <c r="AB7" i="62"/>
  <c r="AA6" i="62"/>
  <c r="AB7" i="45"/>
  <c r="AA6" i="45"/>
  <c r="AB7" i="42"/>
  <c r="AA6" i="42"/>
  <c r="AA6" i="30"/>
  <c r="AB7" i="30"/>
  <c r="AB6" i="12" l="1"/>
  <c r="AC7" i="12"/>
  <c r="AC141" i="12" s="1"/>
  <c r="AC7" i="45"/>
  <c r="AB6" i="45"/>
  <c r="AC7" i="42"/>
  <c r="AB6" i="42"/>
  <c r="AC7" i="62"/>
  <c r="AB6" i="62"/>
  <c r="AB6" i="30"/>
  <c r="AC7" i="30"/>
  <c r="AC6" i="12" l="1"/>
  <c r="AD7" i="12"/>
  <c r="AD141" i="12" s="1"/>
  <c r="AD7" i="62"/>
  <c r="AC6" i="62"/>
  <c r="AC6" i="42"/>
  <c r="AD7" i="42"/>
  <c r="AD7" i="45"/>
  <c r="AC6" i="45"/>
  <c r="AD7" i="30"/>
  <c r="AC6" i="30"/>
  <c r="AE110" i="86"/>
  <c r="R126" i="98" s="1"/>
  <c r="AD110" i="86"/>
  <c r="Q126" i="98" s="1"/>
  <c r="AC110" i="86"/>
  <c r="AB110" i="86"/>
  <c r="O126" i="98" s="1"/>
  <c r="AA110" i="86"/>
  <c r="N126" i="98" s="1"/>
  <c r="Y110" i="86"/>
  <c r="L126" i="98" s="1"/>
  <c r="Z110" i="86"/>
  <c r="M126" i="98" s="1"/>
  <c r="L161" i="98" l="1"/>
  <c r="O161" i="98"/>
  <c r="P126" i="98"/>
  <c r="R161" i="98"/>
  <c r="N161" i="98"/>
  <c r="Q161" i="98"/>
  <c r="M161" i="98"/>
  <c r="AD6" i="12"/>
  <c r="AE7" i="12"/>
  <c r="AE141" i="12" s="1"/>
  <c r="AE7" i="45"/>
  <c r="AD6" i="45"/>
  <c r="AE7" i="42"/>
  <c r="AD6" i="42"/>
  <c r="AE7" i="62"/>
  <c r="AD6" i="62"/>
  <c r="AE7" i="30"/>
  <c r="AD6" i="30"/>
  <c r="P161" i="98" l="1"/>
  <c r="AE6" i="12"/>
  <c r="AF7" i="12"/>
  <c r="AF141" i="12" s="1"/>
  <c r="AF7" i="42"/>
  <c r="AE6" i="42"/>
  <c r="AF7" i="62"/>
  <c r="AE6" i="62"/>
  <c r="AF7" i="45"/>
  <c r="AE6" i="45"/>
  <c r="AE6" i="30"/>
  <c r="AF7" i="30"/>
  <c r="AF6" i="12" l="1"/>
  <c r="AG6" i="12" s="1"/>
  <c r="AH6" i="12" s="1"/>
  <c r="AG7" i="12"/>
  <c r="AG141" i="12" s="1"/>
  <c r="AG7" i="45"/>
  <c r="AF6" i="45"/>
  <c r="AG6" i="45" s="1"/>
  <c r="AG7" i="62"/>
  <c r="AF6" i="62"/>
  <c r="AG6" i="62" s="1"/>
  <c r="AG7" i="42"/>
  <c r="AF6" i="42"/>
  <c r="AG6" i="42" s="1"/>
  <c r="AG7" i="30"/>
  <c r="AF6" i="30"/>
  <c r="AG6" i="30" s="1"/>
  <c r="W42" i="90" l="1"/>
  <c r="X42" i="90"/>
  <c r="R224" i="36" l="1"/>
  <c r="R221" i="36"/>
  <c r="T42" i="90" l="1"/>
  <c r="P42" i="90"/>
  <c r="U42" i="90"/>
  <c r="Q42" i="90"/>
  <c r="R42" i="90"/>
  <c r="V42" i="90"/>
  <c r="S42" i="90"/>
  <c r="AJ69" i="36" l="1"/>
  <c r="AK69" i="36"/>
  <c r="AL69" i="36"/>
  <c r="AM69" i="36"/>
  <c r="AN69" i="36"/>
  <c r="AO69" i="36"/>
  <c r="AP69" i="36"/>
  <c r="AQ69" i="36"/>
  <c r="AR69" i="36"/>
  <c r="AS69" i="36"/>
  <c r="AJ70" i="36"/>
  <c r="AK70" i="36"/>
  <c r="AL70" i="36"/>
  <c r="AM70" i="36"/>
  <c r="AN70" i="36"/>
  <c r="AO70" i="36"/>
  <c r="AP70" i="36"/>
  <c r="AQ70" i="36"/>
  <c r="AR70" i="36"/>
  <c r="AS70" i="36"/>
  <c r="AJ72" i="36"/>
  <c r="AK72" i="36"/>
  <c r="AL72" i="36"/>
  <c r="AM72" i="36"/>
  <c r="AN72" i="36"/>
  <c r="AO72" i="36"/>
  <c r="AP72" i="36"/>
  <c r="AQ72" i="36"/>
  <c r="AR72" i="36"/>
  <c r="AS72" i="36"/>
  <c r="AJ73" i="36"/>
  <c r="AK73" i="36"/>
  <c r="AL73" i="36"/>
  <c r="AM73" i="36"/>
  <c r="AN73" i="36"/>
  <c r="AO73" i="36"/>
  <c r="AP73" i="36"/>
  <c r="AQ73" i="36"/>
  <c r="AR73" i="36"/>
  <c r="AS73" i="36"/>
  <c r="AJ75" i="36"/>
  <c r="AK75" i="36"/>
  <c r="AL75" i="36"/>
  <c r="AM75" i="36"/>
  <c r="AN75" i="36"/>
  <c r="AO75" i="36"/>
  <c r="AP75" i="36"/>
  <c r="AQ75" i="36"/>
  <c r="AR75" i="36"/>
  <c r="AS75" i="36"/>
  <c r="AJ76" i="36"/>
  <c r="AK76" i="36"/>
  <c r="AL76" i="36"/>
  <c r="AM76" i="36"/>
  <c r="AN76" i="36"/>
  <c r="AO76" i="36"/>
  <c r="AP76" i="36"/>
  <c r="AQ76" i="36"/>
  <c r="AR76" i="36"/>
  <c r="AS76" i="36"/>
  <c r="AJ78" i="36"/>
  <c r="AK78" i="36"/>
  <c r="AL78" i="36"/>
  <c r="AM78" i="36"/>
  <c r="AN78" i="36"/>
  <c r="AO78" i="36"/>
  <c r="AP78" i="36"/>
  <c r="AQ78" i="36"/>
  <c r="AR78" i="36"/>
  <c r="AS78" i="36"/>
  <c r="AJ79" i="36"/>
  <c r="AK79" i="36"/>
  <c r="AL79" i="36"/>
  <c r="AM79" i="36"/>
  <c r="AN79" i="36"/>
  <c r="AO79" i="36"/>
  <c r="AP79" i="36"/>
  <c r="AQ79" i="36"/>
  <c r="AR79" i="36"/>
  <c r="AS79" i="36"/>
  <c r="AJ81" i="36"/>
  <c r="AK81" i="36"/>
  <c r="AL81" i="36"/>
  <c r="AM81" i="36"/>
  <c r="AN81" i="36"/>
  <c r="AO81" i="36"/>
  <c r="AP81" i="36"/>
  <c r="AQ81" i="36"/>
  <c r="AR81" i="36"/>
  <c r="AS81" i="36"/>
  <c r="AJ82" i="36"/>
  <c r="AK82" i="36"/>
  <c r="AL82" i="36"/>
  <c r="AM82" i="36"/>
  <c r="AN82" i="36"/>
  <c r="AO82" i="36"/>
  <c r="AP82" i="36"/>
  <c r="AQ82" i="36"/>
  <c r="AR82" i="36"/>
  <c r="AS82" i="36"/>
  <c r="AJ84" i="36"/>
  <c r="AK84" i="36"/>
  <c r="AL84" i="36"/>
  <c r="AM84" i="36"/>
  <c r="AN84" i="36"/>
  <c r="AO84" i="36"/>
  <c r="AP84" i="36"/>
  <c r="AQ84" i="36"/>
  <c r="AR84" i="36"/>
  <c r="AS84" i="36"/>
  <c r="AJ85" i="36"/>
  <c r="AK85" i="36"/>
  <c r="AL85" i="36"/>
  <c r="AM85" i="36"/>
  <c r="AN85" i="36"/>
  <c r="AO85" i="36"/>
  <c r="AP85" i="36"/>
  <c r="AQ85" i="36"/>
  <c r="AR85" i="36"/>
  <c r="AS85" i="36"/>
  <c r="AJ87" i="36"/>
  <c r="AK87" i="36"/>
  <c r="AL87" i="36"/>
  <c r="AM87" i="36"/>
  <c r="AN87" i="36"/>
  <c r="AO87" i="36"/>
  <c r="AP87" i="36"/>
  <c r="AQ87" i="36"/>
  <c r="AR87" i="36"/>
  <c r="AS87" i="36"/>
  <c r="AJ88" i="36"/>
  <c r="AK88" i="36"/>
  <c r="AL88" i="36"/>
  <c r="AM88" i="36"/>
  <c r="AN88" i="36"/>
  <c r="AO88" i="36"/>
  <c r="AP88" i="36"/>
  <c r="AQ88" i="36"/>
  <c r="AR88" i="36"/>
  <c r="AS88" i="36"/>
  <c r="AJ90" i="36"/>
  <c r="AK90" i="36"/>
  <c r="AL90" i="36"/>
  <c r="AM90" i="36"/>
  <c r="AN90" i="36"/>
  <c r="AO90" i="36"/>
  <c r="AP90" i="36"/>
  <c r="AQ90" i="36"/>
  <c r="AR90" i="36"/>
  <c r="AS90" i="36"/>
  <c r="AJ91" i="36"/>
  <c r="AK91" i="36"/>
  <c r="AL91" i="36"/>
  <c r="AM91" i="36"/>
  <c r="AN91" i="36"/>
  <c r="AO91" i="36"/>
  <c r="AP91" i="36"/>
  <c r="AQ91" i="36"/>
  <c r="AR91" i="36"/>
  <c r="AS91" i="36"/>
  <c r="AJ93" i="36"/>
  <c r="AK93" i="36"/>
  <c r="AL93" i="36"/>
  <c r="AM93" i="36"/>
  <c r="AN93" i="36"/>
  <c r="AO93" i="36"/>
  <c r="AP93" i="36"/>
  <c r="AQ93" i="36"/>
  <c r="AR93" i="36"/>
  <c r="AS93" i="36"/>
  <c r="AJ94" i="36"/>
  <c r="AK94" i="36"/>
  <c r="AL94" i="36"/>
  <c r="AM94" i="36"/>
  <c r="AN94" i="36"/>
  <c r="AO94" i="36"/>
  <c r="AP94" i="36"/>
  <c r="AQ94" i="36"/>
  <c r="AR94" i="36"/>
  <c r="AS94" i="36"/>
  <c r="AJ96" i="36"/>
  <c r="AK96" i="36"/>
  <c r="AL96" i="36"/>
  <c r="AM96" i="36"/>
  <c r="AN96" i="36"/>
  <c r="AO96" i="36"/>
  <c r="AP96" i="36"/>
  <c r="AQ96" i="36"/>
  <c r="AR96" i="36"/>
  <c r="AS96" i="36"/>
  <c r="AJ97" i="36"/>
  <c r="AK97" i="36"/>
  <c r="AL97" i="36"/>
  <c r="AM97" i="36"/>
  <c r="AN97" i="36"/>
  <c r="AO97" i="36"/>
  <c r="AP97" i="36"/>
  <c r="AQ97" i="36"/>
  <c r="AR97" i="36"/>
  <c r="AS97" i="36"/>
  <c r="AJ99" i="36"/>
  <c r="AK99" i="36"/>
  <c r="AL99" i="36"/>
  <c r="AM99" i="36"/>
  <c r="AN99" i="36"/>
  <c r="AO99" i="36"/>
  <c r="AP99" i="36"/>
  <c r="AQ99" i="36"/>
  <c r="AR99" i="36"/>
  <c r="AS99" i="36"/>
  <c r="AJ100" i="36"/>
  <c r="AK100" i="36"/>
  <c r="AL100" i="36"/>
  <c r="AM100" i="36"/>
  <c r="AN100" i="36"/>
  <c r="AO100" i="36"/>
  <c r="AP100" i="36"/>
  <c r="AQ100" i="36"/>
  <c r="AR100" i="36"/>
  <c r="AS100" i="36"/>
  <c r="AJ102" i="36"/>
  <c r="AK102" i="36"/>
  <c r="AL102" i="36"/>
  <c r="AM102" i="36"/>
  <c r="AN102" i="36"/>
  <c r="AO102" i="36"/>
  <c r="AP102" i="36"/>
  <c r="AQ102" i="36"/>
  <c r="AR102" i="36"/>
  <c r="AS102" i="36"/>
  <c r="AJ103" i="36"/>
  <c r="AK103" i="36"/>
  <c r="AL103" i="36"/>
  <c r="AM103" i="36"/>
  <c r="AN103" i="36"/>
  <c r="AO103" i="36"/>
  <c r="AP103" i="36"/>
  <c r="AQ103" i="36"/>
  <c r="AR103" i="36"/>
  <c r="AS103" i="36"/>
  <c r="AJ105" i="36"/>
  <c r="AK105" i="36"/>
  <c r="AL105" i="36"/>
  <c r="AM105" i="36"/>
  <c r="AN105" i="36"/>
  <c r="AO105" i="36"/>
  <c r="AP105" i="36"/>
  <c r="AQ105" i="36"/>
  <c r="AR105" i="36"/>
  <c r="AS105" i="36"/>
  <c r="AJ106" i="36"/>
  <c r="AK106" i="36"/>
  <c r="AL106" i="36"/>
  <c r="AM106" i="36"/>
  <c r="AN106" i="36"/>
  <c r="AO106" i="36"/>
  <c r="AP106" i="36"/>
  <c r="AQ106" i="36"/>
  <c r="AR106" i="36"/>
  <c r="AS106" i="36"/>
  <c r="AJ108" i="36"/>
  <c r="AK108" i="36"/>
  <c r="AL108" i="36"/>
  <c r="AM108" i="36"/>
  <c r="AN108" i="36"/>
  <c r="AO108" i="36"/>
  <c r="AP108" i="36"/>
  <c r="AQ108" i="36"/>
  <c r="AR108" i="36"/>
  <c r="AS108" i="36"/>
  <c r="AJ109" i="36"/>
  <c r="AK109" i="36"/>
  <c r="AL109" i="36"/>
  <c r="AM109" i="36"/>
  <c r="AN109" i="36"/>
  <c r="AO109" i="36"/>
  <c r="AP109" i="36"/>
  <c r="AQ109" i="36"/>
  <c r="AR109" i="36"/>
  <c r="AS109" i="36"/>
  <c r="AJ111" i="36"/>
  <c r="AK111" i="36"/>
  <c r="AL111" i="36"/>
  <c r="AM111" i="36"/>
  <c r="AN111" i="36"/>
  <c r="AO111" i="36"/>
  <c r="AP111" i="36"/>
  <c r="AQ111" i="36"/>
  <c r="AR111" i="36"/>
  <c r="AS111" i="36"/>
  <c r="AJ112" i="36"/>
  <c r="AK112" i="36"/>
  <c r="AL112" i="36"/>
  <c r="AM112" i="36"/>
  <c r="AN112" i="36"/>
  <c r="AO112" i="36"/>
  <c r="AP112" i="36"/>
  <c r="AQ112" i="36"/>
  <c r="AR112" i="36"/>
  <c r="AS112" i="36"/>
  <c r="AJ114" i="36"/>
  <c r="AK114" i="36"/>
  <c r="AL114" i="36"/>
  <c r="AM114" i="36"/>
  <c r="AN114" i="36"/>
  <c r="AO114" i="36"/>
  <c r="AP114" i="36"/>
  <c r="AQ114" i="36"/>
  <c r="AR114" i="36"/>
  <c r="AS114" i="36"/>
  <c r="AJ115" i="36"/>
  <c r="AK115" i="36"/>
  <c r="AL115" i="36"/>
  <c r="AM115" i="36"/>
  <c r="AN115" i="36"/>
  <c r="AO115" i="36"/>
  <c r="AP115" i="36"/>
  <c r="AQ115" i="36"/>
  <c r="AR115" i="36"/>
  <c r="AS115" i="36"/>
  <c r="AJ117" i="36"/>
  <c r="AK117" i="36"/>
  <c r="AL117" i="36"/>
  <c r="AM117" i="36"/>
  <c r="AN117" i="36"/>
  <c r="AO117" i="36"/>
  <c r="AP117" i="36"/>
  <c r="AQ117" i="36"/>
  <c r="AR117" i="36"/>
  <c r="AS117" i="36"/>
  <c r="AJ118" i="36"/>
  <c r="AK118" i="36"/>
  <c r="AL118" i="36"/>
  <c r="AM118" i="36"/>
  <c r="AN118" i="36"/>
  <c r="AO118" i="36"/>
  <c r="AP118" i="36"/>
  <c r="AQ118" i="36"/>
  <c r="AR118" i="36"/>
  <c r="AS118" i="36"/>
  <c r="AJ120" i="36"/>
  <c r="AK120" i="36"/>
  <c r="AL120" i="36"/>
  <c r="AM120" i="36"/>
  <c r="AN120" i="36"/>
  <c r="AO120" i="36"/>
  <c r="AP120" i="36"/>
  <c r="AQ120" i="36"/>
  <c r="AR120" i="36"/>
  <c r="AS120" i="36"/>
  <c r="AJ121" i="36"/>
  <c r="AK121" i="36"/>
  <c r="AL121" i="36"/>
  <c r="AM121" i="36"/>
  <c r="AN121" i="36"/>
  <c r="AO121" i="36"/>
  <c r="AP121" i="36"/>
  <c r="AQ121" i="36"/>
  <c r="AR121" i="36"/>
  <c r="AS121" i="36"/>
  <c r="AJ123" i="36"/>
  <c r="AK123" i="36"/>
  <c r="AL123" i="36"/>
  <c r="AM123" i="36"/>
  <c r="AN123" i="36"/>
  <c r="AO123" i="36"/>
  <c r="AP123" i="36"/>
  <c r="AQ123" i="36"/>
  <c r="AR123" i="36"/>
  <c r="AS123" i="36"/>
  <c r="AJ124" i="36"/>
  <c r="AK124" i="36"/>
  <c r="AL124" i="36"/>
  <c r="AM124" i="36"/>
  <c r="AN124" i="36"/>
  <c r="AO124" i="36"/>
  <c r="AP124" i="36"/>
  <c r="AQ124" i="36"/>
  <c r="AR124" i="36"/>
  <c r="AS124" i="36"/>
  <c r="AJ126" i="36"/>
  <c r="AK126" i="36"/>
  <c r="AL126" i="36"/>
  <c r="AM126" i="36"/>
  <c r="AN126" i="36"/>
  <c r="AO126" i="36"/>
  <c r="AP126" i="36"/>
  <c r="AQ126" i="36"/>
  <c r="AR126" i="36"/>
  <c r="AS126" i="36"/>
  <c r="AJ127" i="36"/>
  <c r="AK127" i="36"/>
  <c r="AL127" i="36"/>
  <c r="AM127" i="36"/>
  <c r="AN127" i="36"/>
  <c r="AO127" i="36"/>
  <c r="AP127" i="36"/>
  <c r="AQ127" i="36"/>
  <c r="AR127" i="36"/>
  <c r="AS127" i="36"/>
  <c r="AJ129" i="36"/>
  <c r="AK129" i="36"/>
  <c r="AL129" i="36"/>
  <c r="AM129" i="36"/>
  <c r="AN129" i="36"/>
  <c r="AO129" i="36"/>
  <c r="AP129" i="36"/>
  <c r="AQ129" i="36"/>
  <c r="AR129" i="36"/>
  <c r="AS129" i="36"/>
  <c r="AJ130" i="36"/>
  <c r="AK130" i="36"/>
  <c r="AL130" i="36"/>
  <c r="AM130" i="36"/>
  <c r="AN130" i="36"/>
  <c r="AO130" i="36"/>
  <c r="AP130" i="36"/>
  <c r="AQ130" i="36"/>
  <c r="AR130" i="36"/>
  <c r="AS130" i="36"/>
  <c r="AJ132" i="36"/>
  <c r="AK132" i="36"/>
  <c r="AL132" i="36"/>
  <c r="AM132" i="36"/>
  <c r="AN132" i="36"/>
  <c r="AO132" i="36"/>
  <c r="AP132" i="36"/>
  <c r="AQ132" i="36"/>
  <c r="AR132" i="36"/>
  <c r="AS132" i="36"/>
  <c r="AJ133" i="36"/>
  <c r="AK133" i="36"/>
  <c r="AL133" i="36"/>
  <c r="AM133" i="36"/>
  <c r="AN133" i="36"/>
  <c r="AO133" i="36"/>
  <c r="AP133" i="36"/>
  <c r="AQ133" i="36"/>
  <c r="AR133" i="36"/>
  <c r="AS133" i="36"/>
  <c r="AJ135" i="36"/>
  <c r="AK135" i="36"/>
  <c r="AL135" i="36"/>
  <c r="AM135" i="36"/>
  <c r="AN135" i="36"/>
  <c r="AO135" i="36"/>
  <c r="AP135" i="36"/>
  <c r="AQ135" i="36"/>
  <c r="AR135" i="36"/>
  <c r="AS135" i="36"/>
  <c r="AJ136" i="36"/>
  <c r="AK136" i="36"/>
  <c r="AL136" i="36"/>
  <c r="AM136" i="36"/>
  <c r="AN136" i="36"/>
  <c r="AO136" i="36"/>
  <c r="AP136" i="36"/>
  <c r="AQ136" i="36"/>
  <c r="AR136" i="36"/>
  <c r="AS136" i="36"/>
  <c r="AJ138" i="36"/>
  <c r="AK138" i="36"/>
  <c r="AL138" i="36"/>
  <c r="AM138" i="36"/>
  <c r="AN138" i="36"/>
  <c r="AO138" i="36"/>
  <c r="AP138" i="36"/>
  <c r="AQ138" i="36"/>
  <c r="AR138" i="36"/>
  <c r="AS138" i="36"/>
  <c r="AJ139" i="36"/>
  <c r="AK139" i="36"/>
  <c r="AL139" i="36"/>
  <c r="AM139" i="36"/>
  <c r="AN139" i="36"/>
  <c r="AO139" i="36"/>
  <c r="AP139" i="36"/>
  <c r="AQ139" i="36"/>
  <c r="AR139" i="36"/>
  <c r="AS139" i="36"/>
  <c r="AJ141" i="36"/>
  <c r="AK141" i="36"/>
  <c r="AL141" i="36"/>
  <c r="AM141" i="36"/>
  <c r="AN141" i="36"/>
  <c r="AO141" i="36"/>
  <c r="AP141" i="36"/>
  <c r="AQ141" i="36"/>
  <c r="AR141" i="36"/>
  <c r="AS141" i="36"/>
  <c r="AJ142" i="36"/>
  <c r="AK142" i="36"/>
  <c r="AL142" i="36"/>
  <c r="AM142" i="36"/>
  <c r="AN142" i="36"/>
  <c r="AO142" i="36"/>
  <c r="AP142" i="36"/>
  <c r="AQ142" i="36"/>
  <c r="AR142" i="36"/>
  <c r="AS142" i="36"/>
  <c r="AJ144" i="36"/>
  <c r="AK144" i="36"/>
  <c r="AL144" i="36"/>
  <c r="AM144" i="36"/>
  <c r="AN144" i="36"/>
  <c r="AO144" i="36"/>
  <c r="AP144" i="36"/>
  <c r="AQ144" i="36"/>
  <c r="AR144" i="36"/>
  <c r="AS144" i="36"/>
  <c r="AJ145" i="36"/>
  <c r="AK145" i="36"/>
  <c r="AL145" i="36"/>
  <c r="AM145" i="36"/>
  <c r="AN145" i="36"/>
  <c r="AO145" i="36"/>
  <c r="AP145" i="36"/>
  <c r="AQ145" i="36"/>
  <c r="AR145" i="36"/>
  <c r="AS145" i="36"/>
  <c r="AJ147" i="36"/>
  <c r="AK147" i="36"/>
  <c r="AL147" i="36"/>
  <c r="AM147" i="36"/>
  <c r="AN147" i="36"/>
  <c r="AO147" i="36"/>
  <c r="AP147" i="36"/>
  <c r="AQ147" i="36"/>
  <c r="AR147" i="36"/>
  <c r="AS147" i="36"/>
  <c r="AJ148" i="36"/>
  <c r="AK148" i="36"/>
  <c r="AL148" i="36"/>
  <c r="AM148" i="36"/>
  <c r="AN148" i="36"/>
  <c r="AO148" i="36"/>
  <c r="AP148" i="36"/>
  <c r="AQ148" i="36"/>
  <c r="AR148" i="36"/>
  <c r="AS148" i="36"/>
  <c r="AJ150" i="36"/>
  <c r="AK150" i="36"/>
  <c r="AL150" i="36"/>
  <c r="AM150" i="36"/>
  <c r="AN150" i="36"/>
  <c r="AO150" i="36"/>
  <c r="AP150" i="36"/>
  <c r="AQ150" i="36"/>
  <c r="AR150" i="36"/>
  <c r="AS150" i="36"/>
  <c r="AJ151" i="36"/>
  <c r="AK151" i="36"/>
  <c r="AL151" i="36"/>
  <c r="AM151" i="36"/>
  <c r="AN151" i="36"/>
  <c r="AO151" i="36"/>
  <c r="AP151" i="36"/>
  <c r="AQ151" i="36"/>
  <c r="AR151" i="36"/>
  <c r="AS151" i="36"/>
  <c r="AJ153" i="36"/>
  <c r="AK153" i="36"/>
  <c r="AL153" i="36"/>
  <c r="AM153" i="36"/>
  <c r="AN153" i="36"/>
  <c r="AO153" i="36"/>
  <c r="AP153" i="36"/>
  <c r="AQ153" i="36"/>
  <c r="AR153" i="36"/>
  <c r="AS153" i="36"/>
  <c r="AJ154" i="36"/>
  <c r="AK154" i="36"/>
  <c r="AL154" i="36"/>
  <c r="AM154" i="36"/>
  <c r="AN154" i="36"/>
  <c r="AO154" i="36"/>
  <c r="AP154" i="36"/>
  <c r="AQ154" i="36"/>
  <c r="AR154" i="36"/>
  <c r="AS154" i="36"/>
  <c r="AJ156" i="36"/>
  <c r="AK156" i="36"/>
  <c r="AL156" i="36"/>
  <c r="AM156" i="36"/>
  <c r="AN156" i="36"/>
  <c r="AO156" i="36"/>
  <c r="AP156" i="36"/>
  <c r="AQ156" i="36"/>
  <c r="AR156" i="36"/>
  <c r="AS156" i="36"/>
  <c r="AJ157" i="36"/>
  <c r="AK157" i="36"/>
  <c r="AL157" i="36"/>
  <c r="AM157" i="36"/>
  <c r="AN157" i="36"/>
  <c r="AO157" i="36"/>
  <c r="AP157" i="36"/>
  <c r="AQ157" i="36"/>
  <c r="AR157" i="36"/>
  <c r="AS157" i="36"/>
  <c r="AJ159" i="36"/>
  <c r="AK159" i="36"/>
  <c r="AL159" i="36"/>
  <c r="AM159" i="36"/>
  <c r="AN159" i="36"/>
  <c r="AO159" i="36"/>
  <c r="AP159" i="36"/>
  <c r="AQ159" i="36"/>
  <c r="AR159" i="36"/>
  <c r="AS159" i="36"/>
  <c r="AJ160" i="36"/>
  <c r="AK160" i="36"/>
  <c r="AL160" i="36"/>
  <c r="AM160" i="36"/>
  <c r="AN160" i="36"/>
  <c r="AO160" i="36"/>
  <c r="AP160" i="36"/>
  <c r="AQ160" i="36"/>
  <c r="AR160" i="36"/>
  <c r="AS160" i="36"/>
  <c r="AJ162" i="36"/>
  <c r="AK162" i="36"/>
  <c r="AL162" i="36"/>
  <c r="AM162" i="36"/>
  <c r="AN162" i="36"/>
  <c r="AO162" i="36"/>
  <c r="AP162" i="36"/>
  <c r="AQ162" i="36"/>
  <c r="AR162" i="36"/>
  <c r="AS162" i="36"/>
  <c r="AJ163" i="36"/>
  <c r="AK163" i="36"/>
  <c r="AL163" i="36"/>
  <c r="AM163" i="36"/>
  <c r="AN163" i="36"/>
  <c r="AO163" i="36"/>
  <c r="AP163" i="36"/>
  <c r="AQ163" i="36"/>
  <c r="AR163" i="36"/>
  <c r="AS163" i="36"/>
  <c r="AJ165" i="36"/>
  <c r="AK165" i="36"/>
  <c r="AL165" i="36"/>
  <c r="AM165" i="36"/>
  <c r="AN165" i="36"/>
  <c r="AO165" i="36"/>
  <c r="AP165" i="36"/>
  <c r="AQ165" i="36"/>
  <c r="AR165" i="36"/>
  <c r="AS165" i="36"/>
  <c r="AJ166" i="36"/>
  <c r="AK166" i="36"/>
  <c r="AL166" i="36"/>
  <c r="AM166" i="36"/>
  <c r="AN166" i="36"/>
  <c r="AO166" i="36"/>
  <c r="AP166" i="36"/>
  <c r="AQ166" i="36"/>
  <c r="AR166" i="36"/>
  <c r="AS166" i="36"/>
  <c r="AJ168" i="36"/>
  <c r="AK168" i="36"/>
  <c r="AL168" i="36"/>
  <c r="AM168" i="36"/>
  <c r="AN168" i="36"/>
  <c r="AO168" i="36"/>
  <c r="AP168" i="36"/>
  <c r="AQ168" i="36"/>
  <c r="AR168" i="36"/>
  <c r="AS168" i="36"/>
  <c r="AJ169" i="36"/>
  <c r="AK169" i="36"/>
  <c r="AL169" i="36"/>
  <c r="AM169" i="36"/>
  <c r="AN169" i="36"/>
  <c r="AO169" i="36"/>
  <c r="AP169" i="36"/>
  <c r="AQ169" i="36"/>
  <c r="AR169" i="36"/>
  <c r="AS169" i="36"/>
  <c r="AJ171" i="36"/>
  <c r="AK171" i="36"/>
  <c r="AL171" i="36"/>
  <c r="AM171" i="36"/>
  <c r="AN171" i="36"/>
  <c r="AO171" i="36"/>
  <c r="AP171" i="36"/>
  <c r="AQ171" i="36"/>
  <c r="AR171" i="36"/>
  <c r="AS171" i="36"/>
  <c r="AJ172" i="36"/>
  <c r="AK172" i="36"/>
  <c r="AL172" i="36"/>
  <c r="AM172" i="36"/>
  <c r="AN172" i="36"/>
  <c r="AO172" i="36"/>
  <c r="AP172" i="36"/>
  <c r="AQ172" i="36"/>
  <c r="AR172" i="36"/>
  <c r="AS172" i="36"/>
  <c r="AJ174" i="36"/>
  <c r="AK174" i="36"/>
  <c r="AL174" i="36"/>
  <c r="AM174" i="36"/>
  <c r="AN174" i="36"/>
  <c r="AO174" i="36"/>
  <c r="AP174" i="36"/>
  <c r="AQ174" i="36"/>
  <c r="AR174" i="36"/>
  <c r="AS174" i="36"/>
  <c r="AJ175" i="36"/>
  <c r="AK175" i="36"/>
  <c r="AL175" i="36"/>
  <c r="AM175" i="36"/>
  <c r="AN175" i="36"/>
  <c r="AO175" i="36"/>
  <c r="AP175" i="36"/>
  <c r="AQ175" i="36"/>
  <c r="AR175" i="36"/>
  <c r="AS175" i="36"/>
  <c r="AJ177" i="36"/>
  <c r="AK177" i="36"/>
  <c r="AL177" i="36"/>
  <c r="AM177" i="36"/>
  <c r="AN177" i="36"/>
  <c r="AO177" i="36"/>
  <c r="AP177" i="36"/>
  <c r="AQ177" i="36"/>
  <c r="AR177" i="36"/>
  <c r="AS177" i="36"/>
  <c r="AJ178" i="36"/>
  <c r="AK178" i="36"/>
  <c r="AL178" i="36"/>
  <c r="AM178" i="36"/>
  <c r="AN178" i="36"/>
  <c r="AO178" i="36"/>
  <c r="AP178" i="36"/>
  <c r="AQ178" i="36"/>
  <c r="AR178" i="36"/>
  <c r="AS178" i="36"/>
  <c r="AJ180" i="36"/>
  <c r="AK180" i="36"/>
  <c r="AL180" i="36"/>
  <c r="AM180" i="36"/>
  <c r="AN180" i="36"/>
  <c r="AO180" i="36"/>
  <c r="AP180" i="36"/>
  <c r="AQ180" i="36"/>
  <c r="AR180" i="36"/>
  <c r="AS180" i="36"/>
  <c r="AJ181" i="36"/>
  <c r="AK181" i="36"/>
  <c r="AL181" i="36"/>
  <c r="AM181" i="36"/>
  <c r="AN181" i="36"/>
  <c r="AO181" i="36"/>
  <c r="AP181" i="36"/>
  <c r="AQ181" i="36"/>
  <c r="AR181" i="36"/>
  <c r="AS181" i="36"/>
  <c r="AJ183" i="36"/>
  <c r="AK183" i="36"/>
  <c r="AL183" i="36"/>
  <c r="AM183" i="36"/>
  <c r="AN183" i="36"/>
  <c r="AO183" i="36"/>
  <c r="AP183" i="36"/>
  <c r="AQ183" i="36"/>
  <c r="AR183" i="36"/>
  <c r="AS183" i="36"/>
  <c r="AJ184" i="36"/>
  <c r="AK184" i="36"/>
  <c r="AL184" i="36"/>
  <c r="AM184" i="36"/>
  <c r="AN184" i="36"/>
  <c r="AO184" i="36"/>
  <c r="AP184" i="36"/>
  <c r="AQ184" i="36"/>
  <c r="AR184" i="36"/>
  <c r="AS184" i="36"/>
  <c r="AJ186" i="36"/>
  <c r="AK186" i="36"/>
  <c r="AL186" i="36"/>
  <c r="AM186" i="36"/>
  <c r="AN186" i="36"/>
  <c r="AO186" i="36"/>
  <c r="AP186" i="36"/>
  <c r="AQ186" i="36"/>
  <c r="AR186" i="36"/>
  <c r="AS186" i="36"/>
  <c r="AJ187" i="36"/>
  <c r="AK187" i="36"/>
  <c r="AL187" i="36"/>
  <c r="AM187" i="36"/>
  <c r="AN187" i="36"/>
  <c r="AO187" i="36"/>
  <c r="AP187" i="36"/>
  <c r="AQ187" i="36"/>
  <c r="AR187" i="36"/>
  <c r="AS187" i="36"/>
  <c r="AJ189" i="36"/>
  <c r="AK189" i="36"/>
  <c r="AL189" i="36"/>
  <c r="AM189" i="36"/>
  <c r="AN189" i="36"/>
  <c r="AO189" i="36"/>
  <c r="AP189" i="36"/>
  <c r="AQ189" i="36"/>
  <c r="AR189" i="36"/>
  <c r="AS189" i="36"/>
  <c r="AJ190" i="36"/>
  <c r="AK190" i="36"/>
  <c r="AL190" i="36"/>
  <c r="AM190" i="36"/>
  <c r="AN190" i="36"/>
  <c r="AO190" i="36"/>
  <c r="AP190" i="36"/>
  <c r="AQ190" i="36"/>
  <c r="AR190" i="36"/>
  <c r="AS190" i="36"/>
  <c r="AJ192" i="36"/>
  <c r="AK192" i="36"/>
  <c r="AL192" i="36"/>
  <c r="AM192" i="36"/>
  <c r="AN192" i="36"/>
  <c r="AO192" i="36"/>
  <c r="AP192" i="36"/>
  <c r="AQ192" i="36"/>
  <c r="AR192" i="36"/>
  <c r="AS192" i="36"/>
  <c r="AJ193" i="36"/>
  <c r="AK193" i="36"/>
  <c r="AL193" i="36"/>
  <c r="AM193" i="36"/>
  <c r="AN193" i="36"/>
  <c r="AO193" i="36"/>
  <c r="AP193" i="36"/>
  <c r="AQ193" i="36"/>
  <c r="AR193" i="36"/>
  <c r="AS193" i="36"/>
  <c r="AJ195" i="36"/>
  <c r="AK195" i="36"/>
  <c r="AL195" i="36"/>
  <c r="AM195" i="36"/>
  <c r="AN195" i="36"/>
  <c r="AO195" i="36"/>
  <c r="AP195" i="36"/>
  <c r="AQ195" i="36"/>
  <c r="AR195" i="36"/>
  <c r="AS195" i="36"/>
  <c r="AJ196" i="36"/>
  <c r="AK196" i="36"/>
  <c r="AL196" i="36"/>
  <c r="AM196" i="36"/>
  <c r="AN196" i="36"/>
  <c r="AO196" i="36"/>
  <c r="AP196" i="36"/>
  <c r="AQ196" i="36"/>
  <c r="AR196" i="36"/>
  <c r="AS196" i="36"/>
  <c r="AJ198" i="36"/>
  <c r="AK198" i="36"/>
  <c r="AL198" i="36"/>
  <c r="AM198" i="36"/>
  <c r="AN198" i="36"/>
  <c r="AO198" i="36"/>
  <c r="AP198" i="36"/>
  <c r="AQ198" i="36"/>
  <c r="AR198" i="36"/>
  <c r="AS198" i="36"/>
  <c r="AJ199" i="36"/>
  <c r="AK199" i="36"/>
  <c r="AL199" i="36"/>
  <c r="AM199" i="36"/>
  <c r="AN199" i="36"/>
  <c r="AO199" i="36"/>
  <c r="AP199" i="36"/>
  <c r="AQ199" i="36"/>
  <c r="AR199" i="36"/>
  <c r="AS199" i="36"/>
  <c r="AJ201" i="36"/>
  <c r="AK201" i="36"/>
  <c r="AL201" i="36"/>
  <c r="AM201" i="36"/>
  <c r="AN201" i="36"/>
  <c r="AO201" i="36"/>
  <c r="AP201" i="36"/>
  <c r="AQ201" i="36"/>
  <c r="AR201" i="36"/>
  <c r="AS201" i="36"/>
  <c r="AJ202" i="36"/>
  <c r="AK202" i="36"/>
  <c r="AL202" i="36"/>
  <c r="AM202" i="36"/>
  <c r="AN202" i="36"/>
  <c r="AO202" i="36"/>
  <c r="AP202" i="36"/>
  <c r="AQ202" i="36"/>
  <c r="AR202" i="36"/>
  <c r="AS202" i="36"/>
  <c r="AJ204" i="36"/>
  <c r="AK204" i="36"/>
  <c r="AL204" i="36"/>
  <c r="AM204" i="36"/>
  <c r="AN204" i="36"/>
  <c r="AO204" i="36"/>
  <c r="AP204" i="36"/>
  <c r="AQ204" i="36"/>
  <c r="AR204" i="36"/>
  <c r="AS204" i="36"/>
  <c r="AJ205" i="36"/>
  <c r="AK205" i="36"/>
  <c r="AL205" i="36"/>
  <c r="AM205" i="36"/>
  <c r="AN205" i="36"/>
  <c r="AO205" i="36"/>
  <c r="AP205" i="36"/>
  <c r="AQ205" i="36"/>
  <c r="AR205" i="36"/>
  <c r="AS205" i="36"/>
  <c r="AJ207" i="36"/>
  <c r="AK207" i="36"/>
  <c r="AL207" i="36"/>
  <c r="AM207" i="36"/>
  <c r="AN207" i="36"/>
  <c r="AO207" i="36"/>
  <c r="AP207" i="36"/>
  <c r="AQ207" i="36"/>
  <c r="AR207" i="36"/>
  <c r="AS207" i="36"/>
  <c r="AJ208" i="36"/>
  <c r="AK208" i="36"/>
  <c r="AL208" i="36"/>
  <c r="AM208" i="36"/>
  <c r="AN208" i="36"/>
  <c r="AO208" i="36"/>
  <c r="AP208" i="36"/>
  <c r="AQ208" i="36"/>
  <c r="AR208" i="36"/>
  <c r="AS208" i="36"/>
  <c r="AJ210" i="36"/>
  <c r="AK210" i="36"/>
  <c r="AL210" i="36"/>
  <c r="AM210" i="36"/>
  <c r="AN210" i="36"/>
  <c r="AO210" i="36"/>
  <c r="AP210" i="36"/>
  <c r="AQ210" i="36"/>
  <c r="AR210" i="36"/>
  <c r="AS210" i="36"/>
  <c r="AJ211" i="36"/>
  <c r="AK211" i="36"/>
  <c r="AL211" i="36"/>
  <c r="AM211" i="36"/>
  <c r="AN211" i="36"/>
  <c r="AO211" i="36"/>
  <c r="AP211" i="36"/>
  <c r="AQ211" i="36"/>
  <c r="AR211" i="36"/>
  <c r="AS211" i="36"/>
  <c r="AJ213" i="36"/>
  <c r="AK213" i="36"/>
  <c r="AL213" i="36"/>
  <c r="AM213" i="36"/>
  <c r="AN213" i="36"/>
  <c r="AO213" i="36"/>
  <c r="AP213" i="36"/>
  <c r="AQ213" i="36"/>
  <c r="AR213" i="36"/>
  <c r="AS213" i="36"/>
  <c r="AJ214" i="36"/>
  <c r="AK214" i="36"/>
  <c r="AL214" i="36"/>
  <c r="AM214" i="36"/>
  <c r="AN214" i="36"/>
  <c r="AO214" i="36"/>
  <c r="AP214" i="36"/>
  <c r="AQ214" i="36"/>
  <c r="AR214" i="36"/>
  <c r="AS214" i="36"/>
  <c r="AJ216" i="36"/>
  <c r="AK216" i="36"/>
  <c r="AL216" i="36"/>
  <c r="AM216" i="36"/>
  <c r="AN216" i="36"/>
  <c r="AO216" i="36"/>
  <c r="AP216" i="36"/>
  <c r="AQ216" i="36"/>
  <c r="AR216" i="36"/>
  <c r="AS216" i="36"/>
  <c r="AJ217" i="36"/>
  <c r="AK217" i="36"/>
  <c r="AL217" i="36"/>
  <c r="AM217" i="36"/>
  <c r="AN217" i="36"/>
  <c r="AO217" i="36"/>
  <c r="AP217" i="36"/>
  <c r="AQ217" i="36"/>
  <c r="AR217" i="36"/>
  <c r="AS217" i="36"/>
  <c r="AJ219" i="36"/>
  <c r="AK219" i="36"/>
  <c r="AL219" i="36"/>
  <c r="AM219" i="36"/>
  <c r="AN219" i="36"/>
  <c r="AO219" i="36"/>
  <c r="AP219" i="36"/>
  <c r="AQ219" i="36"/>
  <c r="AR219" i="36"/>
  <c r="AS219" i="36"/>
  <c r="AJ220" i="36"/>
  <c r="AK220" i="36"/>
  <c r="AL220" i="36"/>
  <c r="AM220" i="36"/>
  <c r="AN220" i="36"/>
  <c r="AO220" i="36"/>
  <c r="AP220" i="36"/>
  <c r="AQ220" i="36"/>
  <c r="AR220" i="36"/>
  <c r="AS220" i="36"/>
  <c r="AJ222" i="36"/>
  <c r="AK222" i="36"/>
  <c r="AL222" i="36"/>
  <c r="AM222" i="36"/>
  <c r="AN222" i="36"/>
  <c r="AO222" i="36"/>
  <c r="AP222" i="36"/>
  <c r="AQ222" i="36"/>
  <c r="AR222" i="36"/>
  <c r="AS222" i="36"/>
  <c r="AJ223" i="36"/>
  <c r="AK223" i="36"/>
  <c r="AL223" i="36"/>
  <c r="AM223" i="36"/>
  <c r="AN223" i="36"/>
  <c r="AO223" i="36"/>
  <c r="AP223" i="36"/>
  <c r="AQ223" i="36"/>
  <c r="AR223" i="36"/>
  <c r="AS223" i="36"/>
  <c r="AJ225" i="36"/>
  <c r="AK225" i="36"/>
  <c r="AL225" i="36"/>
  <c r="AM225" i="36"/>
  <c r="AN225" i="36"/>
  <c r="AO225" i="36"/>
  <c r="AP225" i="36"/>
  <c r="AQ225" i="36"/>
  <c r="AR225" i="36"/>
  <c r="AS225" i="36"/>
  <c r="AJ226" i="36"/>
  <c r="AK226" i="36"/>
  <c r="AL226" i="36"/>
  <c r="AM226" i="36"/>
  <c r="AN226" i="36"/>
  <c r="AO226" i="36"/>
  <c r="AP226" i="36"/>
  <c r="AQ226" i="36"/>
  <c r="AR226" i="36"/>
  <c r="AS226" i="36"/>
  <c r="AJ228" i="36"/>
  <c r="AK228" i="36"/>
  <c r="AL228" i="36"/>
  <c r="AM228" i="36"/>
  <c r="AN228" i="36"/>
  <c r="AO228" i="36"/>
  <c r="AP228" i="36"/>
  <c r="AQ228" i="36"/>
  <c r="AR228" i="36"/>
  <c r="AS228" i="36"/>
  <c r="AJ229" i="36"/>
  <c r="AK229" i="36"/>
  <c r="AL229" i="36"/>
  <c r="AM229" i="36"/>
  <c r="AN229" i="36"/>
  <c r="AO229" i="36"/>
  <c r="AP229" i="36"/>
  <c r="AQ229" i="36"/>
  <c r="AR229" i="36"/>
  <c r="AS229" i="36"/>
  <c r="AJ231" i="36"/>
  <c r="AK231" i="36"/>
  <c r="AL231" i="36"/>
  <c r="AM231" i="36"/>
  <c r="AN231" i="36"/>
  <c r="AO231" i="36"/>
  <c r="AP231" i="36"/>
  <c r="AQ231" i="36"/>
  <c r="AR231" i="36"/>
  <c r="AS231" i="36"/>
  <c r="AJ232" i="36"/>
  <c r="AK232" i="36"/>
  <c r="AL232" i="36"/>
  <c r="AM232" i="36"/>
  <c r="AN232" i="36"/>
  <c r="AO232" i="36"/>
  <c r="AP232" i="36"/>
  <c r="AQ232" i="36"/>
  <c r="AR232" i="36"/>
  <c r="AS232" i="36"/>
  <c r="AJ234" i="36"/>
  <c r="AK234" i="36"/>
  <c r="AL234" i="36"/>
  <c r="AM234" i="36"/>
  <c r="AN234" i="36"/>
  <c r="AO234" i="36"/>
  <c r="AP234" i="36"/>
  <c r="AQ234" i="36"/>
  <c r="AR234" i="36"/>
  <c r="AS234" i="36"/>
  <c r="AJ235" i="36"/>
  <c r="AK235" i="36"/>
  <c r="AL235" i="36"/>
  <c r="AM235" i="36"/>
  <c r="AN235" i="36"/>
  <c r="AO235" i="36"/>
  <c r="AP235" i="36"/>
  <c r="AQ235" i="36"/>
  <c r="AR235" i="36"/>
  <c r="AS235" i="36"/>
  <c r="AJ237" i="36"/>
  <c r="AK237" i="36"/>
  <c r="AL237" i="36"/>
  <c r="AM237" i="36"/>
  <c r="AN237" i="36"/>
  <c r="AO237" i="36"/>
  <c r="AP237" i="36"/>
  <c r="AQ237" i="36"/>
  <c r="AR237" i="36"/>
  <c r="AS237" i="36"/>
  <c r="AJ238" i="36"/>
  <c r="AK238" i="36"/>
  <c r="AL238" i="36"/>
  <c r="AM238" i="36"/>
  <c r="AN238" i="36"/>
  <c r="AO238" i="36"/>
  <c r="AP238" i="36"/>
  <c r="AQ238" i="36"/>
  <c r="AR238" i="36"/>
  <c r="AS238" i="36"/>
  <c r="AJ240" i="36"/>
  <c r="AK240" i="36"/>
  <c r="AL240" i="36"/>
  <c r="AM240" i="36"/>
  <c r="AN240" i="36"/>
  <c r="AO240" i="36"/>
  <c r="AP240" i="36"/>
  <c r="AQ240" i="36"/>
  <c r="AR240" i="36"/>
  <c r="AS240" i="36"/>
  <c r="AJ241" i="36"/>
  <c r="AK241" i="36"/>
  <c r="AL241" i="36"/>
  <c r="AM241" i="36"/>
  <c r="AN241" i="36"/>
  <c r="AO241" i="36"/>
  <c r="AP241" i="36"/>
  <c r="AQ241" i="36"/>
  <c r="AR241" i="36"/>
  <c r="AS241" i="36"/>
  <c r="AJ243" i="36"/>
  <c r="AK243" i="36"/>
  <c r="AL243" i="36"/>
  <c r="AM243" i="36"/>
  <c r="AN243" i="36"/>
  <c r="AO243" i="36"/>
  <c r="AP243" i="36"/>
  <c r="AQ243" i="36"/>
  <c r="AR243" i="36"/>
  <c r="AS243" i="36"/>
  <c r="AJ244" i="36"/>
  <c r="AK244" i="36"/>
  <c r="AL244" i="36"/>
  <c r="AM244" i="36"/>
  <c r="AN244" i="36"/>
  <c r="AO244" i="36"/>
  <c r="AP244" i="36"/>
  <c r="AQ244" i="36"/>
  <c r="AR244" i="36"/>
  <c r="AS244" i="36"/>
  <c r="AJ246" i="36"/>
  <c r="AK246" i="36"/>
  <c r="AL246" i="36"/>
  <c r="AM246" i="36"/>
  <c r="AN246" i="36"/>
  <c r="AO246" i="36"/>
  <c r="AP246" i="36"/>
  <c r="AQ246" i="36"/>
  <c r="AR246" i="36"/>
  <c r="AS246" i="36"/>
  <c r="AJ247" i="36"/>
  <c r="AK247" i="36"/>
  <c r="AL247" i="36"/>
  <c r="AM247" i="36"/>
  <c r="AN247" i="36"/>
  <c r="AO247" i="36"/>
  <c r="AP247" i="36"/>
  <c r="AQ247" i="36"/>
  <c r="AR247" i="36"/>
  <c r="AS247" i="36"/>
  <c r="AJ249" i="36"/>
  <c r="AK249" i="36"/>
  <c r="AL249" i="36"/>
  <c r="AM249" i="36"/>
  <c r="AN249" i="36"/>
  <c r="AO249" i="36"/>
  <c r="AP249" i="36"/>
  <c r="AQ249" i="36"/>
  <c r="AR249" i="36"/>
  <c r="AS249" i="36"/>
  <c r="AJ250" i="36"/>
  <c r="AK250" i="36"/>
  <c r="AL250" i="36"/>
  <c r="AM250" i="36"/>
  <c r="AN250" i="36"/>
  <c r="AO250" i="36"/>
  <c r="AP250" i="36"/>
  <c r="AQ250" i="36"/>
  <c r="AR250" i="36"/>
  <c r="AS250" i="36"/>
  <c r="AJ252" i="36"/>
  <c r="AK252" i="36"/>
  <c r="AL252" i="36"/>
  <c r="AM252" i="36"/>
  <c r="AN252" i="36"/>
  <c r="AO252" i="36"/>
  <c r="AP252" i="36"/>
  <c r="AQ252" i="36"/>
  <c r="AR252" i="36"/>
  <c r="AS252" i="36"/>
  <c r="AJ253" i="36"/>
  <c r="AK253" i="36"/>
  <c r="AL253" i="36"/>
  <c r="AM253" i="36"/>
  <c r="AN253" i="36"/>
  <c r="AO253" i="36"/>
  <c r="AP253" i="36"/>
  <c r="AQ253" i="36"/>
  <c r="AR253" i="36"/>
  <c r="AS253" i="36"/>
  <c r="AJ255" i="36"/>
  <c r="AK255" i="36"/>
  <c r="AL255" i="36"/>
  <c r="AM255" i="36"/>
  <c r="AN255" i="36"/>
  <c r="AO255" i="36"/>
  <c r="AP255" i="36"/>
  <c r="AQ255" i="36"/>
  <c r="AR255" i="36"/>
  <c r="AS255" i="36"/>
  <c r="AJ256" i="36"/>
  <c r="AK256" i="36"/>
  <c r="AL256" i="36"/>
  <c r="AM256" i="36"/>
  <c r="AN256" i="36"/>
  <c r="AO256" i="36"/>
  <c r="AP256" i="36"/>
  <c r="AQ256" i="36"/>
  <c r="AR256" i="36"/>
  <c r="AS256" i="36"/>
  <c r="AJ258" i="36"/>
  <c r="AK258" i="36"/>
  <c r="AL258" i="36"/>
  <c r="AM258" i="36"/>
  <c r="AN258" i="36"/>
  <c r="AO258" i="36"/>
  <c r="AP258" i="36"/>
  <c r="AQ258" i="36"/>
  <c r="AR258" i="36"/>
  <c r="AS258" i="36"/>
  <c r="AJ259" i="36"/>
  <c r="AK259" i="36"/>
  <c r="AL259" i="36"/>
  <c r="AM259" i="36"/>
  <c r="AN259" i="36"/>
  <c r="AO259" i="36"/>
  <c r="AP259" i="36"/>
  <c r="AQ259" i="36"/>
  <c r="AR259" i="36"/>
  <c r="AS259" i="36"/>
  <c r="AJ261" i="36"/>
  <c r="AK261" i="36"/>
  <c r="AL261" i="36"/>
  <c r="AM261" i="36"/>
  <c r="AN261" i="36"/>
  <c r="AO261" i="36"/>
  <c r="AP261" i="36"/>
  <c r="AQ261" i="36"/>
  <c r="AR261" i="36"/>
  <c r="AS261" i="36"/>
  <c r="AJ262" i="36"/>
  <c r="AK262" i="36"/>
  <c r="AL262" i="36"/>
  <c r="AM262" i="36"/>
  <c r="AN262" i="36"/>
  <c r="AO262" i="36"/>
  <c r="AP262" i="36"/>
  <c r="AQ262" i="36"/>
  <c r="AR262" i="36"/>
  <c r="AS262" i="36"/>
  <c r="AJ264" i="36"/>
  <c r="AK264" i="36"/>
  <c r="AL264" i="36"/>
  <c r="AM264" i="36"/>
  <c r="AN264" i="36"/>
  <c r="AO264" i="36"/>
  <c r="AP264" i="36"/>
  <c r="AQ264" i="36"/>
  <c r="AR264" i="36"/>
  <c r="AS264" i="36"/>
  <c r="AJ265" i="36"/>
  <c r="AK265" i="36"/>
  <c r="AL265" i="36"/>
  <c r="AM265" i="36"/>
  <c r="AN265" i="36"/>
  <c r="AO265" i="36"/>
  <c r="AP265" i="36"/>
  <c r="AQ265" i="36"/>
  <c r="AR265" i="36"/>
  <c r="AS265" i="36"/>
  <c r="AJ267" i="36"/>
  <c r="AK267" i="36"/>
  <c r="AL267" i="36"/>
  <c r="AM267" i="36"/>
  <c r="AN267" i="36"/>
  <c r="AO267" i="36"/>
  <c r="AP267" i="36"/>
  <c r="AQ267" i="36"/>
  <c r="AR267" i="36"/>
  <c r="AS267" i="36"/>
  <c r="AJ268" i="36"/>
  <c r="AK268" i="36"/>
  <c r="AL268" i="36"/>
  <c r="AM268" i="36"/>
  <c r="AN268" i="36"/>
  <c r="AO268" i="36"/>
  <c r="AP268" i="36"/>
  <c r="AQ268" i="36"/>
  <c r="AR268" i="36"/>
  <c r="AS268" i="36"/>
  <c r="AJ270" i="36"/>
  <c r="AK270" i="36"/>
  <c r="AL270" i="36"/>
  <c r="AM270" i="36"/>
  <c r="AN270" i="36"/>
  <c r="AO270" i="36"/>
  <c r="AP270" i="36"/>
  <c r="AQ270" i="36"/>
  <c r="AR270" i="36"/>
  <c r="AS270" i="36"/>
  <c r="AJ271" i="36"/>
  <c r="AK271" i="36"/>
  <c r="AL271" i="36"/>
  <c r="AM271" i="36"/>
  <c r="AN271" i="36"/>
  <c r="AO271" i="36"/>
  <c r="AP271" i="36"/>
  <c r="AQ271" i="36"/>
  <c r="AR271" i="36"/>
  <c r="AS271" i="36"/>
  <c r="AJ273" i="36"/>
  <c r="AK273" i="36"/>
  <c r="AL273" i="36"/>
  <c r="AM273" i="36"/>
  <c r="AN273" i="36"/>
  <c r="AO273" i="36"/>
  <c r="AP273" i="36"/>
  <c r="AQ273" i="36"/>
  <c r="AR273" i="36"/>
  <c r="AS273" i="36"/>
  <c r="AJ274" i="36"/>
  <c r="AK274" i="36"/>
  <c r="AL274" i="36"/>
  <c r="AM274" i="36"/>
  <c r="AN274" i="36"/>
  <c r="AO274" i="36"/>
  <c r="AP274" i="36"/>
  <c r="AQ274" i="36"/>
  <c r="AR274" i="36"/>
  <c r="AS274" i="36"/>
  <c r="AJ276" i="36"/>
  <c r="AK276" i="36"/>
  <c r="AL276" i="36"/>
  <c r="AM276" i="36"/>
  <c r="AN276" i="36"/>
  <c r="AO276" i="36"/>
  <c r="AP276" i="36"/>
  <c r="AQ276" i="36"/>
  <c r="AR276" i="36"/>
  <c r="AS276" i="36"/>
  <c r="AJ277" i="36"/>
  <c r="AK277" i="36"/>
  <c r="AL277" i="36"/>
  <c r="AM277" i="36"/>
  <c r="AN277" i="36"/>
  <c r="AO277" i="36"/>
  <c r="AP277" i="36"/>
  <c r="AQ277" i="36"/>
  <c r="AR277" i="36"/>
  <c r="AS277" i="36"/>
  <c r="AJ279" i="36"/>
  <c r="AK279" i="36"/>
  <c r="AL279" i="36"/>
  <c r="AM279" i="36"/>
  <c r="AN279" i="36"/>
  <c r="AO279" i="36"/>
  <c r="AP279" i="36"/>
  <c r="AQ279" i="36"/>
  <c r="AR279" i="36"/>
  <c r="AS279" i="36"/>
  <c r="AJ280" i="36"/>
  <c r="AK280" i="36"/>
  <c r="AL280" i="36"/>
  <c r="AM280" i="36"/>
  <c r="AN280" i="36"/>
  <c r="AO280" i="36"/>
  <c r="AP280" i="36"/>
  <c r="AQ280" i="36"/>
  <c r="AR280" i="36"/>
  <c r="AS280" i="36"/>
  <c r="AJ282" i="36"/>
  <c r="AK282" i="36"/>
  <c r="AL282" i="36"/>
  <c r="AM282" i="36"/>
  <c r="AN282" i="36"/>
  <c r="AO282" i="36"/>
  <c r="AP282" i="36"/>
  <c r="AQ282" i="36"/>
  <c r="AR282" i="36"/>
  <c r="AS282" i="36"/>
  <c r="AJ283" i="36"/>
  <c r="AK283" i="36"/>
  <c r="AL283" i="36"/>
  <c r="AM283" i="36"/>
  <c r="AN283" i="36"/>
  <c r="AO283" i="36"/>
  <c r="AP283" i="36"/>
  <c r="AQ283" i="36"/>
  <c r="AR283" i="36"/>
  <c r="AS283" i="36"/>
  <c r="AJ285" i="36"/>
  <c r="AK285" i="36"/>
  <c r="AL285" i="36"/>
  <c r="AM285" i="36"/>
  <c r="AN285" i="36"/>
  <c r="AO285" i="36"/>
  <c r="AP285" i="36"/>
  <c r="AQ285" i="36"/>
  <c r="AR285" i="36"/>
  <c r="AS285" i="36"/>
  <c r="AJ286" i="36"/>
  <c r="AK286" i="36"/>
  <c r="AL286" i="36"/>
  <c r="AM286" i="36"/>
  <c r="AN286" i="36"/>
  <c r="AO286" i="36"/>
  <c r="AP286" i="36"/>
  <c r="AQ286" i="36"/>
  <c r="AR286" i="36"/>
  <c r="AS286" i="36"/>
  <c r="AJ288" i="36"/>
  <c r="AK288" i="36"/>
  <c r="AL288" i="36"/>
  <c r="AM288" i="36"/>
  <c r="AN288" i="36"/>
  <c r="AO288" i="36"/>
  <c r="AP288" i="36"/>
  <c r="AQ288" i="36"/>
  <c r="AR288" i="36"/>
  <c r="AS288" i="36"/>
  <c r="AJ289" i="36"/>
  <c r="AK289" i="36"/>
  <c r="AL289" i="36"/>
  <c r="AM289" i="36"/>
  <c r="AN289" i="36"/>
  <c r="AO289" i="36"/>
  <c r="AP289" i="36"/>
  <c r="AQ289" i="36"/>
  <c r="AR289" i="36"/>
  <c r="AS289" i="36"/>
  <c r="AJ291" i="36"/>
  <c r="AK291" i="36"/>
  <c r="AL291" i="36"/>
  <c r="AM291" i="36"/>
  <c r="AN291" i="36"/>
  <c r="AO291" i="36"/>
  <c r="AP291" i="36"/>
  <c r="AQ291" i="36"/>
  <c r="AR291" i="36"/>
  <c r="AS291" i="36"/>
  <c r="AJ292" i="36"/>
  <c r="AK292" i="36"/>
  <c r="AL292" i="36"/>
  <c r="AM292" i="36"/>
  <c r="AN292" i="36"/>
  <c r="AO292" i="36"/>
  <c r="AP292" i="36"/>
  <c r="AQ292" i="36"/>
  <c r="AR292" i="36"/>
  <c r="AS292" i="36"/>
  <c r="AJ294" i="36"/>
  <c r="AK294" i="36"/>
  <c r="AL294" i="36"/>
  <c r="AM294" i="36"/>
  <c r="AN294" i="36"/>
  <c r="AO294" i="36"/>
  <c r="AP294" i="36"/>
  <c r="AQ294" i="36"/>
  <c r="AR294" i="36"/>
  <c r="AS294" i="36"/>
  <c r="AJ295" i="36"/>
  <c r="AK295" i="36"/>
  <c r="AL295" i="36"/>
  <c r="AM295" i="36"/>
  <c r="AN295" i="36"/>
  <c r="AO295" i="36"/>
  <c r="AP295" i="36"/>
  <c r="AQ295" i="36"/>
  <c r="AR295" i="36"/>
  <c r="AS295" i="36"/>
  <c r="AJ297" i="36"/>
  <c r="AK297" i="36"/>
  <c r="AL297" i="36"/>
  <c r="AM297" i="36"/>
  <c r="AN297" i="36"/>
  <c r="AO297" i="36"/>
  <c r="AP297" i="36"/>
  <c r="AQ297" i="36"/>
  <c r="AR297" i="36"/>
  <c r="AS297" i="36"/>
  <c r="AJ298" i="36"/>
  <c r="AK298" i="36"/>
  <c r="AL298" i="36"/>
  <c r="AM298" i="36"/>
  <c r="AN298" i="36"/>
  <c r="AO298" i="36"/>
  <c r="AP298" i="36"/>
  <c r="AQ298" i="36"/>
  <c r="AR298" i="36"/>
  <c r="AS298" i="36"/>
  <c r="AJ300" i="36"/>
  <c r="AK300" i="36"/>
  <c r="AL300" i="36"/>
  <c r="AM300" i="36"/>
  <c r="AN300" i="36"/>
  <c r="AO300" i="36"/>
  <c r="AP300" i="36"/>
  <c r="AQ300" i="36"/>
  <c r="AR300" i="36"/>
  <c r="AS300" i="36"/>
  <c r="AJ301" i="36"/>
  <c r="AK301" i="36"/>
  <c r="AL301" i="36"/>
  <c r="AM301" i="36"/>
  <c r="AN301" i="36"/>
  <c r="AO301" i="36"/>
  <c r="AP301" i="36"/>
  <c r="AQ301" i="36"/>
  <c r="AR301" i="36"/>
  <c r="AS301" i="36"/>
  <c r="AJ303" i="36"/>
  <c r="AK303" i="36"/>
  <c r="AL303" i="36"/>
  <c r="AM303" i="36"/>
  <c r="AN303" i="36"/>
  <c r="AO303" i="36"/>
  <c r="AP303" i="36"/>
  <c r="AQ303" i="36"/>
  <c r="AR303" i="36"/>
  <c r="AS303" i="36"/>
  <c r="AJ304" i="36"/>
  <c r="AK304" i="36"/>
  <c r="AL304" i="36"/>
  <c r="AM304" i="36"/>
  <c r="AN304" i="36"/>
  <c r="AO304" i="36"/>
  <c r="AP304" i="36"/>
  <c r="AQ304" i="36"/>
  <c r="AR304" i="36"/>
  <c r="AS304" i="36"/>
  <c r="AJ306" i="36"/>
  <c r="AK306" i="36"/>
  <c r="AL306" i="36"/>
  <c r="AM306" i="36"/>
  <c r="AN306" i="36"/>
  <c r="AO306" i="36"/>
  <c r="AP306" i="36"/>
  <c r="AQ306" i="36"/>
  <c r="AR306" i="36"/>
  <c r="AS306" i="36"/>
  <c r="AJ307" i="36"/>
  <c r="AK307" i="36"/>
  <c r="AL307" i="36"/>
  <c r="AM307" i="36"/>
  <c r="AN307" i="36"/>
  <c r="AO307" i="36"/>
  <c r="AP307" i="36"/>
  <c r="AQ307" i="36"/>
  <c r="AR307" i="36"/>
  <c r="AS307" i="36"/>
  <c r="AJ309" i="36"/>
  <c r="AK309" i="36"/>
  <c r="AL309" i="36"/>
  <c r="AM309" i="36"/>
  <c r="AN309" i="36"/>
  <c r="AO309" i="36"/>
  <c r="AP309" i="36"/>
  <c r="AQ309" i="36"/>
  <c r="AR309" i="36"/>
  <c r="AS309" i="36"/>
  <c r="AJ310" i="36"/>
  <c r="AK310" i="36"/>
  <c r="AL310" i="36"/>
  <c r="AM310" i="36"/>
  <c r="AN310" i="36"/>
  <c r="AO310" i="36"/>
  <c r="AP310" i="36"/>
  <c r="AQ310" i="36"/>
  <c r="AR310" i="36"/>
  <c r="AS310" i="36"/>
  <c r="AJ312" i="36"/>
  <c r="AK312" i="36"/>
  <c r="AL312" i="36"/>
  <c r="AM312" i="36"/>
  <c r="AN312" i="36"/>
  <c r="AO312" i="36"/>
  <c r="AP312" i="36"/>
  <c r="AQ312" i="36"/>
  <c r="AR312" i="36"/>
  <c r="AS312" i="36"/>
  <c r="AJ313" i="36"/>
  <c r="AK313" i="36"/>
  <c r="AL313" i="36"/>
  <c r="AM313" i="36"/>
  <c r="AN313" i="36"/>
  <c r="AO313" i="36"/>
  <c r="AP313" i="36"/>
  <c r="AQ313" i="36"/>
  <c r="AR313" i="36"/>
  <c r="AS313" i="36"/>
  <c r="AJ315" i="36"/>
  <c r="AK315" i="36"/>
  <c r="AL315" i="36"/>
  <c r="AM315" i="36"/>
  <c r="AN315" i="36"/>
  <c r="AO315" i="36"/>
  <c r="AP315" i="36"/>
  <c r="AQ315" i="36"/>
  <c r="AR315" i="36"/>
  <c r="AS315" i="36"/>
  <c r="AJ316" i="36"/>
  <c r="AK316" i="36"/>
  <c r="AL316" i="36"/>
  <c r="AM316" i="36"/>
  <c r="AN316" i="36"/>
  <c r="AO316" i="36"/>
  <c r="AP316" i="36"/>
  <c r="AQ316" i="36"/>
  <c r="AR316" i="36"/>
  <c r="AS316" i="36"/>
  <c r="AJ318" i="36"/>
  <c r="AK318" i="36"/>
  <c r="AL318" i="36"/>
  <c r="AM318" i="36"/>
  <c r="AN318" i="36"/>
  <c r="AO318" i="36"/>
  <c r="AP318" i="36"/>
  <c r="AQ318" i="36"/>
  <c r="AR318" i="36"/>
  <c r="AS318" i="36"/>
  <c r="AJ319" i="36"/>
  <c r="AK319" i="36"/>
  <c r="AL319" i="36"/>
  <c r="AM319" i="36"/>
  <c r="AN319" i="36"/>
  <c r="AO319" i="36"/>
  <c r="AP319" i="36"/>
  <c r="AQ319" i="36"/>
  <c r="AR319" i="36"/>
  <c r="AS319" i="36"/>
  <c r="AJ321" i="36"/>
  <c r="AK321" i="36"/>
  <c r="AL321" i="36"/>
  <c r="AM321" i="36"/>
  <c r="AN321" i="36"/>
  <c r="AO321" i="36"/>
  <c r="AP321" i="36"/>
  <c r="AQ321" i="36"/>
  <c r="AR321" i="36"/>
  <c r="AS321" i="36"/>
  <c r="AJ322" i="36"/>
  <c r="AK322" i="36"/>
  <c r="AL322" i="36"/>
  <c r="AM322" i="36"/>
  <c r="AN322" i="36"/>
  <c r="AO322" i="36"/>
  <c r="AP322" i="36"/>
  <c r="AQ322" i="36"/>
  <c r="AR322" i="36"/>
  <c r="AS322" i="36"/>
  <c r="AJ324" i="36"/>
  <c r="AK324" i="36"/>
  <c r="AL324" i="36"/>
  <c r="AM324" i="36"/>
  <c r="AN324" i="36"/>
  <c r="AO324" i="36"/>
  <c r="AP324" i="36"/>
  <c r="AQ324" i="36"/>
  <c r="AR324" i="36"/>
  <c r="AS324" i="36"/>
  <c r="AJ325" i="36"/>
  <c r="AK325" i="36"/>
  <c r="AL325" i="36"/>
  <c r="AM325" i="36"/>
  <c r="AN325" i="36"/>
  <c r="AO325" i="36"/>
  <c r="AP325" i="36"/>
  <c r="AQ325" i="36"/>
  <c r="AR325" i="36"/>
  <c r="AS325" i="36"/>
  <c r="AJ327" i="36"/>
  <c r="AK327" i="36"/>
  <c r="AL327" i="36"/>
  <c r="AM327" i="36"/>
  <c r="AN327" i="36"/>
  <c r="AO327" i="36"/>
  <c r="AP327" i="36"/>
  <c r="AQ327" i="36"/>
  <c r="AR327" i="36"/>
  <c r="AS327" i="36"/>
  <c r="AJ328" i="36"/>
  <c r="AK328" i="36"/>
  <c r="AL328" i="36"/>
  <c r="AM328" i="36"/>
  <c r="AN328" i="36"/>
  <c r="AO328" i="36"/>
  <c r="AP328" i="36"/>
  <c r="AQ328" i="36"/>
  <c r="AR328" i="36"/>
  <c r="AS328" i="36"/>
  <c r="AJ330" i="36"/>
  <c r="AK330" i="36"/>
  <c r="AL330" i="36"/>
  <c r="AM330" i="36"/>
  <c r="AN330" i="36"/>
  <c r="AO330" i="36"/>
  <c r="AP330" i="36"/>
  <c r="AQ330" i="36"/>
  <c r="AR330" i="36"/>
  <c r="AS330" i="36"/>
  <c r="AJ331" i="36"/>
  <c r="AK331" i="36"/>
  <c r="AL331" i="36"/>
  <c r="AM331" i="36"/>
  <c r="AN331" i="36"/>
  <c r="AO331" i="36"/>
  <c r="AP331" i="36"/>
  <c r="AQ331" i="36"/>
  <c r="AR331" i="36"/>
  <c r="AS331" i="36"/>
  <c r="AJ333" i="36"/>
  <c r="AK333" i="36"/>
  <c r="AL333" i="36"/>
  <c r="AM333" i="36"/>
  <c r="AN333" i="36"/>
  <c r="AO333" i="36"/>
  <c r="AP333" i="36"/>
  <c r="AQ333" i="36"/>
  <c r="AR333" i="36"/>
  <c r="AS333" i="36"/>
  <c r="AJ334" i="36"/>
  <c r="AK334" i="36"/>
  <c r="AL334" i="36"/>
  <c r="AM334" i="36"/>
  <c r="AN334" i="36"/>
  <c r="AO334" i="36"/>
  <c r="AP334" i="36"/>
  <c r="AQ334" i="36"/>
  <c r="AR334" i="36"/>
  <c r="AS334" i="36"/>
  <c r="AJ336" i="36"/>
  <c r="AK336" i="36"/>
  <c r="AL336" i="36"/>
  <c r="AM336" i="36"/>
  <c r="AN336" i="36"/>
  <c r="AO336" i="36"/>
  <c r="AP336" i="36"/>
  <c r="AQ336" i="36"/>
  <c r="AR336" i="36"/>
  <c r="AS336" i="36"/>
  <c r="AJ337" i="36"/>
  <c r="AK337" i="36"/>
  <c r="AL337" i="36"/>
  <c r="AM337" i="36"/>
  <c r="AN337" i="36"/>
  <c r="AO337" i="36"/>
  <c r="AP337" i="36"/>
  <c r="AQ337" i="36"/>
  <c r="AR337" i="36"/>
  <c r="AS337" i="36"/>
  <c r="AJ339" i="36"/>
  <c r="AK339" i="36"/>
  <c r="AL339" i="36"/>
  <c r="AM339" i="36"/>
  <c r="AN339" i="36"/>
  <c r="AO339" i="36"/>
  <c r="AP339" i="36"/>
  <c r="AQ339" i="36"/>
  <c r="AR339" i="36"/>
  <c r="AS339" i="36"/>
  <c r="AJ340" i="36"/>
  <c r="AK340" i="36"/>
  <c r="AL340" i="36"/>
  <c r="AM340" i="36"/>
  <c r="AN340" i="36"/>
  <c r="AO340" i="36"/>
  <c r="AP340" i="36"/>
  <c r="AQ340" i="36"/>
  <c r="AR340" i="36"/>
  <c r="AS340" i="36"/>
  <c r="AJ342" i="36"/>
  <c r="AK342" i="36"/>
  <c r="AL342" i="36"/>
  <c r="AM342" i="36"/>
  <c r="AN342" i="36"/>
  <c r="AO342" i="36"/>
  <c r="AP342" i="36"/>
  <c r="AQ342" i="36"/>
  <c r="AR342" i="36"/>
  <c r="AS342" i="36"/>
  <c r="AJ343" i="36"/>
  <c r="AK343" i="36"/>
  <c r="AL343" i="36"/>
  <c r="AM343" i="36"/>
  <c r="AN343" i="36"/>
  <c r="AO343" i="36"/>
  <c r="AP343" i="36"/>
  <c r="AQ343" i="36"/>
  <c r="AR343" i="36"/>
  <c r="AS343" i="36"/>
  <c r="AJ345" i="36"/>
  <c r="AK345" i="36"/>
  <c r="AL345" i="36"/>
  <c r="AM345" i="36"/>
  <c r="AN345" i="36"/>
  <c r="AO345" i="36"/>
  <c r="AP345" i="36"/>
  <c r="AQ345" i="36"/>
  <c r="AR345" i="36"/>
  <c r="AS345" i="36"/>
  <c r="AJ346" i="36"/>
  <c r="AK346" i="36"/>
  <c r="AL346" i="36"/>
  <c r="AM346" i="36"/>
  <c r="AN346" i="36"/>
  <c r="AO346" i="36"/>
  <c r="AP346" i="36"/>
  <c r="AQ346" i="36"/>
  <c r="AR346" i="36"/>
  <c r="AS346" i="36"/>
  <c r="AJ348" i="36"/>
  <c r="AK348" i="36"/>
  <c r="AL348" i="36"/>
  <c r="AM348" i="36"/>
  <c r="AN348" i="36"/>
  <c r="AO348" i="36"/>
  <c r="AP348" i="36"/>
  <c r="AQ348" i="36"/>
  <c r="AR348" i="36"/>
  <c r="AS348" i="36"/>
  <c r="AJ349" i="36"/>
  <c r="AK349" i="36"/>
  <c r="AL349" i="36"/>
  <c r="AM349" i="36"/>
  <c r="AN349" i="36"/>
  <c r="AO349" i="36"/>
  <c r="AP349" i="36"/>
  <c r="AQ349" i="36"/>
  <c r="AR349" i="36"/>
  <c r="AS349" i="36"/>
  <c r="AJ351" i="36"/>
  <c r="AK351" i="36"/>
  <c r="AL351" i="36"/>
  <c r="AM351" i="36"/>
  <c r="AN351" i="36"/>
  <c r="AO351" i="36"/>
  <c r="AP351" i="36"/>
  <c r="AQ351" i="36"/>
  <c r="AR351" i="36"/>
  <c r="AS351" i="36"/>
  <c r="AJ352" i="36"/>
  <c r="AK352" i="36"/>
  <c r="AL352" i="36"/>
  <c r="AM352" i="36"/>
  <c r="AN352" i="36"/>
  <c r="AO352" i="36"/>
  <c r="AP352" i="36"/>
  <c r="AQ352" i="36"/>
  <c r="AR352" i="36"/>
  <c r="AS352" i="36"/>
  <c r="AJ354" i="36"/>
  <c r="AK354" i="36"/>
  <c r="AL354" i="36"/>
  <c r="AM354" i="36"/>
  <c r="AN354" i="36"/>
  <c r="AO354" i="36"/>
  <c r="AP354" i="36"/>
  <c r="AQ354" i="36"/>
  <c r="AR354" i="36"/>
  <c r="AS354" i="36"/>
  <c r="AJ355" i="36"/>
  <c r="AK355" i="36"/>
  <c r="AL355" i="36"/>
  <c r="AM355" i="36"/>
  <c r="AN355" i="36"/>
  <c r="AO355" i="36"/>
  <c r="AP355" i="36"/>
  <c r="AQ355" i="36"/>
  <c r="AR355" i="36"/>
  <c r="AS355" i="36"/>
  <c r="AJ357" i="36"/>
  <c r="AK357" i="36"/>
  <c r="AL357" i="36"/>
  <c r="AM357" i="36"/>
  <c r="AN357" i="36"/>
  <c r="AO357" i="36"/>
  <c r="AP357" i="36"/>
  <c r="AQ357" i="36"/>
  <c r="AR357" i="36"/>
  <c r="AS357" i="36"/>
  <c r="AJ358" i="36"/>
  <c r="AK358" i="36"/>
  <c r="AL358" i="36"/>
  <c r="AM358" i="36"/>
  <c r="AN358" i="36"/>
  <c r="AO358" i="36"/>
  <c r="AP358" i="36"/>
  <c r="AQ358" i="36"/>
  <c r="AR358" i="36"/>
  <c r="AS358" i="36"/>
  <c r="AJ360" i="36"/>
  <c r="AK360" i="36"/>
  <c r="AL360" i="36"/>
  <c r="AM360" i="36"/>
  <c r="AN360" i="36"/>
  <c r="AO360" i="36"/>
  <c r="AP360" i="36"/>
  <c r="AQ360" i="36"/>
  <c r="AR360" i="36"/>
  <c r="AS360" i="36"/>
  <c r="AJ361" i="36"/>
  <c r="AK361" i="36"/>
  <c r="AL361" i="36"/>
  <c r="AM361" i="36"/>
  <c r="AN361" i="36"/>
  <c r="AO361" i="36"/>
  <c r="AP361" i="36"/>
  <c r="AQ361" i="36"/>
  <c r="AR361" i="36"/>
  <c r="AS361" i="36"/>
  <c r="AJ363" i="36"/>
  <c r="AK363" i="36"/>
  <c r="AL363" i="36"/>
  <c r="AM363" i="36"/>
  <c r="AN363" i="36"/>
  <c r="AO363" i="36"/>
  <c r="AP363" i="36"/>
  <c r="AQ363" i="36"/>
  <c r="AR363" i="36"/>
  <c r="AS363" i="36"/>
  <c r="AJ364" i="36"/>
  <c r="AK364" i="36"/>
  <c r="AL364" i="36"/>
  <c r="AM364" i="36"/>
  <c r="AN364" i="36"/>
  <c r="AO364" i="36"/>
  <c r="AP364" i="36"/>
  <c r="AQ364" i="36"/>
  <c r="AR364" i="36"/>
  <c r="AS364" i="36"/>
  <c r="AJ366" i="36"/>
  <c r="AK366" i="36"/>
  <c r="AL366" i="36"/>
  <c r="AM366" i="36"/>
  <c r="AN366" i="36"/>
  <c r="AO366" i="36"/>
  <c r="AP366" i="36"/>
  <c r="AQ366" i="36"/>
  <c r="AR366" i="36"/>
  <c r="AS366" i="36"/>
  <c r="AJ367" i="36"/>
  <c r="AK367" i="36"/>
  <c r="AL367" i="36"/>
  <c r="AM367" i="36"/>
  <c r="AN367" i="36"/>
  <c r="AO367" i="36"/>
  <c r="AP367" i="36"/>
  <c r="AQ367" i="36"/>
  <c r="AR367" i="36"/>
  <c r="AS367" i="36"/>
  <c r="AJ369" i="36"/>
  <c r="AK369" i="36"/>
  <c r="AL369" i="36"/>
  <c r="AM369" i="36"/>
  <c r="AN369" i="36"/>
  <c r="AO369" i="36"/>
  <c r="AP369" i="36"/>
  <c r="AQ369" i="36"/>
  <c r="AR369" i="36"/>
  <c r="AS369" i="36"/>
  <c r="AJ370" i="36"/>
  <c r="AK370" i="36"/>
  <c r="AL370" i="36"/>
  <c r="AM370" i="36"/>
  <c r="AN370" i="36"/>
  <c r="AO370" i="36"/>
  <c r="AP370" i="36"/>
  <c r="AQ370" i="36"/>
  <c r="AR370" i="36"/>
  <c r="AS370" i="36"/>
  <c r="AJ372" i="36"/>
  <c r="AK372" i="36"/>
  <c r="AL372" i="36"/>
  <c r="AM372" i="36"/>
  <c r="AN372" i="36"/>
  <c r="AO372" i="36"/>
  <c r="AP372" i="36"/>
  <c r="AQ372" i="36"/>
  <c r="AR372" i="36"/>
  <c r="AS372" i="36"/>
  <c r="AJ373" i="36"/>
  <c r="AK373" i="36"/>
  <c r="AL373" i="36"/>
  <c r="AM373" i="36"/>
  <c r="AN373" i="36"/>
  <c r="AO373" i="36"/>
  <c r="AP373" i="36"/>
  <c r="AQ373" i="36"/>
  <c r="AR373" i="36"/>
  <c r="AS373" i="36"/>
  <c r="AJ375" i="36"/>
  <c r="AK375" i="36"/>
  <c r="AL375" i="36"/>
  <c r="AM375" i="36"/>
  <c r="AN375" i="36"/>
  <c r="AO375" i="36"/>
  <c r="AP375" i="36"/>
  <c r="AQ375" i="36"/>
  <c r="AR375" i="36"/>
  <c r="AS375" i="36"/>
  <c r="AJ376" i="36"/>
  <c r="AK376" i="36"/>
  <c r="AL376" i="36"/>
  <c r="AM376" i="36"/>
  <c r="AN376" i="36"/>
  <c r="AO376" i="36"/>
  <c r="AP376" i="36"/>
  <c r="AQ376" i="36"/>
  <c r="AR376" i="36"/>
  <c r="AS376" i="36"/>
  <c r="AJ378" i="36"/>
  <c r="AK378" i="36"/>
  <c r="AL378" i="36"/>
  <c r="AM378" i="36"/>
  <c r="AN378" i="36"/>
  <c r="AO378" i="36"/>
  <c r="AP378" i="36"/>
  <c r="AQ378" i="36"/>
  <c r="AR378" i="36"/>
  <c r="AS378" i="36"/>
  <c r="AJ379" i="36"/>
  <c r="AK379" i="36"/>
  <c r="AL379" i="36"/>
  <c r="AM379" i="36"/>
  <c r="AN379" i="36"/>
  <c r="AO379" i="36"/>
  <c r="AP379" i="36"/>
  <c r="AQ379" i="36"/>
  <c r="AR379" i="36"/>
  <c r="AS379" i="36"/>
  <c r="AJ381" i="36"/>
  <c r="AK381" i="36"/>
  <c r="AL381" i="36"/>
  <c r="AM381" i="36"/>
  <c r="AN381" i="36"/>
  <c r="AO381" i="36"/>
  <c r="AP381" i="36"/>
  <c r="AQ381" i="36"/>
  <c r="AR381" i="36"/>
  <c r="AS381" i="36"/>
  <c r="AJ382" i="36"/>
  <c r="AK382" i="36"/>
  <c r="AL382" i="36"/>
  <c r="AM382" i="36"/>
  <c r="AN382" i="36"/>
  <c r="AO382" i="36"/>
  <c r="AP382" i="36"/>
  <c r="AQ382" i="36"/>
  <c r="AR382" i="36"/>
  <c r="AS382" i="36"/>
  <c r="AJ384" i="36"/>
  <c r="AK384" i="36"/>
  <c r="AL384" i="36"/>
  <c r="AM384" i="36"/>
  <c r="AN384" i="36"/>
  <c r="AO384" i="36"/>
  <c r="AP384" i="36"/>
  <c r="AQ384" i="36"/>
  <c r="AR384" i="36"/>
  <c r="AS384" i="36"/>
  <c r="AJ385" i="36"/>
  <c r="AK385" i="36"/>
  <c r="AL385" i="36"/>
  <c r="AM385" i="36"/>
  <c r="AN385" i="36"/>
  <c r="AO385" i="36"/>
  <c r="AP385" i="36"/>
  <c r="AQ385" i="36"/>
  <c r="AR385" i="36"/>
  <c r="AS385" i="36"/>
  <c r="AJ387" i="36"/>
  <c r="AK387" i="36"/>
  <c r="AL387" i="36"/>
  <c r="AM387" i="36"/>
  <c r="AN387" i="36"/>
  <c r="AO387" i="36"/>
  <c r="AP387" i="36"/>
  <c r="AQ387" i="36"/>
  <c r="AR387" i="36"/>
  <c r="AS387" i="36"/>
  <c r="AJ388" i="36"/>
  <c r="AK388" i="36"/>
  <c r="AL388" i="36"/>
  <c r="AM388" i="36"/>
  <c r="AN388" i="36"/>
  <c r="AO388" i="36"/>
  <c r="AP388" i="36"/>
  <c r="AQ388" i="36"/>
  <c r="AR388" i="36"/>
  <c r="AS388" i="36"/>
  <c r="AJ390" i="36"/>
  <c r="AK390" i="36"/>
  <c r="AL390" i="36"/>
  <c r="AM390" i="36"/>
  <c r="AN390" i="36"/>
  <c r="AO390" i="36"/>
  <c r="AP390" i="36"/>
  <c r="AQ390" i="36"/>
  <c r="AR390" i="36"/>
  <c r="AS390" i="36"/>
  <c r="AJ391" i="36"/>
  <c r="AK391" i="36"/>
  <c r="AL391" i="36"/>
  <c r="AM391" i="36"/>
  <c r="AN391" i="36"/>
  <c r="AO391" i="36"/>
  <c r="AP391" i="36"/>
  <c r="AQ391" i="36"/>
  <c r="AR391" i="36"/>
  <c r="AS391" i="36"/>
  <c r="AJ393" i="36"/>
  <c r="AK393" i="36"/>
  <c r="AL393" i="36"/>
  <c r="AM393" i="36"/>
  <c r="AN393" i="36"/>
  <c r="AO393" i="36"/>
  <c r="AP393" i="36"/>
  <c r="AQ393" i="36"/>
  <c r="AR393" i="36"/>
  <c r="AS393" i="36"/>
  <c r="AJ394" i="36"/>
  <c r="AK394" i="36"/>
  <c r="AL394" i="36"/>
  <c r="AM394" i="36"/>
  <c r="AN394" i="36"/>
  <c r="AO394" i="36"/>
  <c r="AP394" i="36"/>
  <c r="AQ394" i="36"/>
  <c r="AR394" i="36"/>
  <c r="AS394" i="36"/>
  <c r="AJ396" i="36"/>
  <c r="AK396" i="36"/>
  <c r="AL396" i="36"/>
  <c r="AM396" i="36"/>
  <c r="AN396" i="36"/>
  <c r="AO396" i="36"/>
  <c r="AP396" i="36"/>
  <c r="AQ396" i="36"/>
  <c r="AR396" i="36"/>
  <c r="AS396" i="36"/>
  <c r="AJ397" i="36"/>
  <c r="AK397" i="36"/>
  <c r="AL397" i="36"/>
  <c r="AM397" i="36"/>
  <c r="AN397" i="36"/>
  <c r="AO397" i="36"/>
  <c r="AP397" i="36"/>
  <c r="AQ397" i="36"/>
  <c r="AR397" i="36"/>
  <c r="AS397" i="36"/>
  <c r="AJ399" i="36"/>
  <c r="AK399" i="36"/>
  <c r="AL399" i="36"/>
  <c r="AM399" i="36"/>
  <c r="AN399" i="36"/>
  <c r="AO399" i="36"/>
  <c r="AP399" i="36"/>
  <c r="AQ399" i="36"/>
  <c r="AR399" i="36"/>
  <c r="AS399" i="36"/>
  <c r="AJ400" i="36"/>
  <c r="AK400" i="36"/>
  <c r="AL400" i="36"/>
  <c r="AM400" i="36"/>
  <c r="AN400" i="36"/>
  <c r="AO400" i="36"/>
  <c r="AP400" i="36"/>
  <c r="AQ400" i="36"/>
  <c r="AR400" i="36"/>
  <c r="AS400" i="36"/>
  <c r="AJ402" i="36"/>
  <c r="AK402" i="36"/>
  <c r="AL402" i="36"/>
  <c r="AM402" i="36"/>
  <c r="AN402" i="36"/>
  <c r="AO402" i="36"/>
  <c r="AP402" i="36"/>
  <c r="AQ402" i="36"/>
  <c r="AR402" i="36"/>
  <c r="AS402" i="36"/>
  <c r="AJ403" i="36"/>
  <c r="AK403" i="36"/>
  <c r="AL403" i="36"/>
  <c r="AM403" i="36"/>
  <c r="AN403" i="36"/>
  <c r="AO403" i="36"/>
  <c r="AP403" i="36"/>
  <c r="AQ403" i="36"/>
  <c r="AR403" i="36"/>
  <c r="AS403" i="36"/>
  <c r="AJ405" i="36"/>
  <c r="AK405" i="36"/>
  <c r="AL405" i="36"/>
  <c r="AM405" i="36"/>
  <c r="AN405" i="36"/>
  <c r="AO405" i="36"/>
  <c r="AP405" i="36"/>
  <c r="AQ405" i="36"/>
  <c r="AR405" i="36"/>
  <c r="AS405" i="36"/>
  <c r="AJ406" i="36"/>
  <c r="AK406" i="36"/>
  <c r="AL406" i="36"/>
  <c r="AM406" i="36"/>
  <c r="AN406" i="36"/>
  <c r="AO406" i="36"/>
  <c r="AP406" i="36"/>
  <c r="AQ406" i="36"/>
  <c r="AR406" i="36"/>
  <c r="AS406" i="36"/>
  <c r="AJ408" i="36"/>
  <c r="AK408" i="36"/>
  <c r="AL408" i="36"/>
  <c r="AM408" i="36"/>
  <c r="AN408" i="36"/>
  <c r="AO408" i="36"/>
  <c r="AP408" i="36"/>
  <c r="AQ408" i="36"/>
  <c r="AR408" i="36"/>
  <c r="AS408" i="36"/>
  <c r="AJ409" i="36"/>
  <c r="AK409" i="36"/>
  <c r="AL409" i="36"/>
  <c r="AM409" i="36"/>
  <c r="AN409" i="36"/>
  <c r="AO409" i="36"/>
  <c r="AP409" i="36"/>
  <c r="AQ409" i="36"/>
  <c r="AR409" i="36"/>
  <c r="AS409" i="36"/>
  <c r="AJ411" i="36"/>
  <c r="AK411" i="36"/>
  <c r="AL411" i="36"/>
  <c r="AM411" i="36"/>
  <c r="AN411" i="36"/>
  <c r="AO411" i="36"/>
  <c r="AP411" i="36"/>
  <c r="AQ411" i="36"/>
  <c r="AR411" i="36"/>
  <c r="AS411" i="36"/>
  <c r="AJ412" i="36"/>
  <c r="AK412" i="36"/>
  <c r="AL412" i="36"/>
  <c r="AM412" i="36"/>
  <c r="AN412" i="36"/>
  <c r="AO412" i="36"/>
  <c r="AP412" i="36"/>
  <c r="AQ412" i="36"/>
  <c r="AR412" i="36"/>
  <c r="AS412" i="36"/>
  <c r="AJ414" i="36"/>
  <c r="AK414" i="36"/>
  <c r="AL414" i="36"/>
  <c r="AM414" i="36"/>
  <c r="AN414" i="36"/>
  <c r="AO414" i="36"/>
  <c r="AP414" i="36"/>
  <c r="AQ414" i="36"/>
  <c r="AR414" i="36"/>
  <c r="AS414" i="36"/>
  <c r="AJ415" i="36"/>
  <c r="AK415" i="36"/>
  <c r="AL415" i="36"/>
  <c r="AM415" i="36"/>
  <c r="AN415" i="36"/>
  <c r="AO415" i="36"/>
  <c r="AP415" i="36"/>
  <c r="AQ415" i="36"/>
  <c r="AR415" i="36"/>
  <c r="AS415" i="36"/>
  <c r="AJ417" i="36"/>
  <c r="AK417" i="36"/>
  <c r="AL417" i="36"/>
  <c r="AM417" i="36"/>
  <c r="AN417" i="36"/>
  <c r="AO417" i="36"/>
  <c r="AP417" i="36"/>
  <c r="AQ417" i="36"/>
  <c r="AR417" i="36"/>
  <c r="AS417" i="36"/>
  <c r="AJ418" i="36"/>
  <c r="AK418" i="36"/>
  <c r="AL418" i="36"/>
  <c r="AM418" i="36"/>
  <c r="AN418" i="36"/>
  <c r="AO418" i="36"/>
  <c r="AP418" i="36"/>
  <c r="AQ418" i="36"/>
  <c r="AR418" i="36"/>
  <c r="AS418" i="36"/>
  <c r="AJ420" i="36"/>
  <c r="AK420" i="36"/>
  <c r="AL420" i="36"/>
  <c r="AM420" i="36"/>
  <c r="AN420" i="36"/>
  <c r="AO420" i="36"/>
  <c r="AP420" i="36"/>
  <c r="AQ420" i="36"/>
  <c r="AR420" i="36"/>
  <c r="AS420" i="36"/>
  <c r="AJ421" i="36"/>
  <c r="AK421" i="36"/>
  <c r="AL421" i="36"/>
  <c r="AM421" i="36"/>
  <c r="AN421" i="36"/>
  <c r="AO421" i="36"/>
  <c r="AP421" i="36"/>
  <c r="AQ421" i="36"/>
  <c r="AR421" i="36"/>
  <c r="AS421" i="36"/>
  <c r="AJ423" i="36"/>
  <c r="AK423" i="36"/>
  <c r="AL423" i="36"/>
  <c r="AM423" i="36"/>
  <c r="AN423" i="36"/>
  <c r="AO423" i="36"/>
  <c r="AP423" i="36"/>
  <c r="AQ423" i="36"/>
  <c r="AR423" i="36"/>
  <c r="AS423" i="36"/>
  <c r="AJ424" i="36"/>
  <c r="AK424" i="36"/>
  <c r="AL424" i="36"/>
  <c r="AM424" i="36"/>
  <c r="AN424" i="36"/>
  <c r="AO424" i="36"/>
  <c r="AP424" i="36"/>
  <c r="AQ424" i="36"/>
  <c r="AR424" i="36"/>
  <c r="AS424" i="36"/>
  <c r="AJ426" i="36"/>
  <c r="AK426" i="36"/>
  <c r="AL426" i="36"/>
  <c r="AM426" i="36"/>
  <c r="AN426" i="36"/>
  <c r="AO426" i="36"/>
  <c r="AP426" i="36"/>
  <c r="AQ426" i="36"/>
  <c r="AR426" i="36"/>
  <c r="AS426" i="36"/>
  <c r="AJ427" i="36"/>
  <c r="AK427" i="36"/>
  <c r="AL427" i="36"/>
  <c r="AM427" i="36"/>
  <c r="AN427" i="36"/>
  <c r="AO427" i="36"/>
  <c r="AP427" i="36"/>
  <c r="AQ427" i="36"/>
  <c r="AR427" i="36"/>
  <c r="AS427" i="36"/>
  <c r="AJ429" i="36"/>
  <c r="AK429" i="36"/>
  <c r="AL429" i="36"/>
  <c r="AM429" i="36"/>
  <c r="AN429" i="36"/>
  <c r="AO429" i="36"/>
  <c r="AP429" i="36"/>
  <c r="AQ429" i="36"/>
  <c r="AR429" i="36"/>
  <c r="AS429" i="36"/>
  <c r="AJ430" i="36"/>
  <c r="AK430" i="36"/>
  <c r="AL430" i="36"/>
  <c r="AM430" i="36"/>
  <c r="AN430" i="36"/>
  <c r="AO430" i="36"/>
  <c r="AP430" i="36"/>
  <c r="AQ430" i="36"/>
  <c r="AR430" i="36"/>
  <c r="AS430" i="36"/>
  <c r="AJ432" i="36"/>
  <c r="AK432" i="36"/>
  <c r="AL432" i="36"/>
  <c r="AM432" i="36"/>
  <c r="AN432" i="36"/>
  <c r="AO432" i="36"/>
  <c r="AP432" i="36"/>
  <c r="AQ432" i="36"/>
  <c r="AR432" i="36"/>
  <c r="AS432" i="36"/>
  <c r="AJ433" i="36"/>
  <c r="AK433" i="36"/>
  <c r="AL433" i="36"/>
  <c r="AM433" i="36"/>
  <c r="AN433" i="36"/>
  <c r="AO433" i="36"/>
  <c r="AP433" i="36"/>
  <c r="AQ433" i="36"/>
  <c r="AR433" i="36"/>
  <c r="AS433" i="36"/>
  <c r="AJ435" i="36"/>
  <c r="AK435" i="36"/>
  <c r="AL435" i="36"/>
  <c r="AM435" i="36"/>
  <c r="AN435" i="36"/>
  <c r="AO435" i="36"/>
  <c r="AP435" i="36"/>
  <c r="AQ435" i="36"/>
  <c r="AR435" i="36"/>
  <c r="AS435" i="36"/>
  <c r="AJ436" i="36"/>
  <c r="AK436" i="36"/>
  <c r="AL436" i="36"/>
  <c r="AM436" i="36"/>
  <c r="AN436" i="36"/>
  <c r="AO436" i="36"/>
  <c r="AP436" i="36"/>
  <c r="AQ436" i="36"/>
  <c r="AR436" i="36"/>
  <c r="AS436" i="36"/>
  <c r="AJ438" i="36"/>
  <c r="AK438" i="36"/>
  <c r="AL438" i="36"/>
  <c r="AM438" i="36"/>
  <c r="AN438" i="36"/>
  <c r="AO438" i="36"/>
  <c r="AP438" i="36"/>
  <c r="AQ438" i="36"/>
  <c r="AR438" i="36"/>
  <c r="AS438" i="36"/>
  <c r="AJ439" i="36"/>
  <c r="AK439" i="36"/>
  <c r="AL439" i="36"/>
  <c r="AM439" i="36"/>
  <c r="AN439" i="36"/>
  <c r="AO439" i="36"/>
  <c r="AP439" i="36"/>
  <c r="AQ439" i="36"/>
  <c r="AR439" i="36"/>
  <c r="AS439" i="36"/>
  <c r="AJ66" i="36"/>
  <c r="AK66" i="36"/>
  <c r="AL66" i="36"/>
  <c r="AM66" i="36"/>
  <c r="AN66" i="36"/>
  <c r="AO66" i="36"/>
  <c r="AP66" i="36"/>
  <c r="AQ66" i="36"/>
  <c r="AR66" i="36"/>
  <c r="AS66" i="36"/>
  <c r="AJ67" i="36"/>
  <c r="AK67" i="36"/>
  <c r="AL67" i="36"/>
  <c r="AM67" i="36"/>
  <c r="AN67" i="36"/>
  <c r="AO67" i="36"/>
  <c r="AP67" i="36"/>
  <c r="AQ67" i="36"/>
  <c r="AR67" i="36"/>
  <c r="AS67" i="36"/>
  <c r="U116" i="36"/>
  <c r="V116" i="36"/>
  <c r="AG320" i="36"/>
  <c r="AS320" i="36" s="1"/>
  <c r="AF320" i="36"/>
  <c r="AR320" i="36" s="1"/>
  <c r="AE320" i="36"/>
  <c r="AQ320" i="36" s="1"/>
  <c r="AD320" i="36"/>
  <c r="AP320" i="36" s="1"/>
  <c r="AC320" i="36"/>
  <c r="AO320" i="36" s="1"/>
  <c r="AB320" i="36"/>
  <c r="AN320" i="36" s="1"/>
  <c r="AA320" i="36"/>
  <c r="AM320" i="36" s="1"/>
  <c r="Z320" i="36"/>
  <c r="AL320" i="36" s="1"/>
  <c r="Y320" i="36"/>
  <c r="AK320" i="36" s="1"/>
  <c r="X320" i="36"/>
  <c r="W320" i="36"/>
  <c r="V320" i="36"/>
  <c r="U320" i="36"/>
  <c r="T320" i="36"/>
  <c r="S320" i="36"/>
  <c r="R320" i="36"/>
  <c r="AG317" i="36"/>
  <c r="AS317" i="36" s="1"/>
  <c r="AF317" i="36"/>
  <c r="AR317" i="36" s="1"/>
  <c r="AE317" i="36"/>
  <c r="AQ317" i="36" s="1"/>
  <c r="AD317" i="36"/>
  <c r="AP317" i="36" s="1"/>
  <c r="AC317" i="36"/>
  <c r="AO317" i="36" s="1"/>
  <c r="AB317" i="36"/>
  <c r="AN317" i="36" s="1"/>
  <c r="AA317" i="36"/>
  <c r="AM317" i="36" s="1"/>
  <c r="Z317" i="36"/>
  <c r="AL317" i="36" s="1"/>
  <c r="Y317" i="36"/>
  <c r="AK317" i="36" s="1"/>
  <c r="X317" i="36"/>
  <c r="W317" i="36"/>
  <c r="V317" i="36"/>
  <c r="U317" i="36"/>
  <c r="T317" i="36"/>
  <c r="S317" i="36"/>
  <c r="R317" i="36"/>
  <c r="AG314" i="36"/>
  <c r="AS314" i="36" s="1"/>
  <c r="AF314" i="36"/>
  <c r="AR314" i="36" s="1"/>
  <c r="AE314" i="36"/>
  <c r="AQ314" i="36" s="1"/>
  <c r="AD314" i="36"/>
  <c r="AP314" i="36" s="1"/>
  <c r="AC314" i="36"/>
  <c r="AO314" i="36" s="1"/>
  <c r="AB314" i="36"/>
  <c r="AN314" i="36" s="1"/>
  <c r="AA314" i="36"/>
  <c r="AM314" i="36" s="1"/>
  <c r="Z314" i="36"/>
  <c r="AL314" i="36" s="1"/>
  <c r="Y314" i="36"/>
  <c r="AK314" i="36" s="1"/>
  <c r="X314" i="36"/>
  <c r="W314" i="36"/>
  <c r="V314" i="36"/>
  <c r="U314" i="36"/>
  <c r="T314" i="36"/>
  <c r="S314" i="36"/>
  <c r="AG311" i="36"/>
  <c r="AS311" i="36" s="1"/>
  <c r="AF311" i="36"/>
  <c r="AR311" i="36" s="1"/>
  <c r="AE311" i="36"/>
  <c r="AQ311" i="36" s="1"/>
  <c r="AD311" i="36"/>
  <c r="AP311" i="36" s="1"/>
  <c r="AC311" i="36"/>
  <c r="AO311" i="36" s="1"/>
  <c r="AB311" i="36"/>
  <c r="AN311" i="36" s="1"/>
  <c r="AA311" i="36"/>
  <c r="AM311" i="36" s="1"/>
  <c r="Z311" i="36"/>
  <c r="AL311" i="36" s="1"/>
  <c r="Y311" i="36"/>
  <c r="AK311" i="36" s="1"/>
  <c r="X311" i="36"/>
  <c r="W311" i="36"/>
  <c r="V311" i="36"/>
  <c r="U311" i="36"/>
  <c r="T311" i="36"/>
  <c r="S311" i="36"/>
  <c r="R311" i="36"/>
  <c r="AG308" i="36"/>
  <c r="AS308" i="36" s="1"/>
  <c r="AF308" i="36"/>
  <c r="AR308" i="36" s="1"/>
  <c r="AE308" i="36"/>
  <c r="AQ308" i="36" s="1"/>
  <c r="AD308" i="36"/>
  <c r="AP308" i="36" s="1"/>
  <c r="AC308" i="36"/>
  <c r="AO308" i="36" s="1"/>
  <c r="AB308" i="36"/>
  <c r="AN308" i="36" s="1"/>
  <c r="AA308" i="36"/>
  <c r="AM308" i="36" s="1"/>
  <c r="Z308" i="36"/>
  <c r="AL308" i="36" s="1"/>
  <c r="Y308" i="36"/>
  <c r="AK308" i="36" s="1"/>
  <c r="X308" i="36"/>
  <c r="W308" i="36"/>
  <c r="V308" i="36"/>
  <c r="U308" i="36"/>
  <c r="T308" i="36"/>
  <c r="S308" i="36"/>
  <c r="R308" i="36"/>
  <c r="AG305" i="36"/>
  <c r="AS305" i="36" s="1"/>
  <c r="AF305" i="36"/>
  <c r="AR305" i="36" s="1"/>
  <c r="AE305" i="36"/>
  <c r="AQ305" i="36" s="1"/>
  <c r="AD305" i="36"/>
  <c r="AP305" i="36" s="1"/>
  <c r="AC305" i="36"/>
  <c r="AO305" i="36" s="1"/>
  <c r="AB305" i="36"/>
  <c r="AN305" i="36" s="1"/>
  <c r="AA305" i="36"/>
  <c r="AM305" i="36" s="1"/>
  <c r="Z305" i="36"/>
  <c r="AL305" i="36" s="1"/>
  <c r="Y305" i="36"/>
  <c r="AK305" i="36" s="1"/>
  <c r="X305" i="36"/>
  <c r="W305" i="36"/>
  <c r="V305" i="36"/>
  <c r="U305" i="36"/>
  <c r="T305" i="36"/>
  <c r="S305" i="36"/>
  <c r="R305" i="36"/>
  <c r="AG302" i="36"/>
  <c r="AS302" i="36" s="1"/>
  <c r="AF302" i="36"/>
  <c r="AR302" i="36" s="1"/>
  <c r="AE302" i="36"/>
  <c r="AQ302" i="36" s="1"/>
  <c r="AD302" i="36"/>
  <c r="AP302" i="36" s="1"/>
  <c r="AC302" i="36"/>
  <c r="AO302" i="36" s="1"/>
  <c r="AB302" i="36"/>
  <c r="AN302" i="36" s="1"/>
  <c r="AA302" i="36"/>
  <c r="AM302" i="36" s="1"/>
  <c r="Z302" i="36"/>
  <c r="AL302" i="36" s="1"/>
  <c r="Y302" i="36"/>
  <c r="AK302" i="36" s="1"/>
  <c r="X302" i="36"/>
  <c r="W302" i="36"/>
  <c r="V302" i="36"/>
  <c r="U302" i="36"/>
  <c r="T302" i="36"/>
  <c r="S302" i="36"/>
  <c r="R302" i="36"/>
  <c r="AG299" i="36"/>
  <c r="AS299" i="36" s="1"/>
  <c r="AF299" i="36"/>
  <c r="AR299" i="36" s="1"/>
  <c r="AE299" i="36"/>
  <c r="AQ299" i="36" s="1"/>
  <c r="AD299" i="36"/>
  <c r="AP299" i="36" s="1"/>
  <c r="AC299" i="36"/>
  <c r="AO299" i="36" s="1"/>
  <c r="AB299" i="36"/>
  <c r="AN299" i="36" s="1"/>
  <c r="AA299" i="36"/>
  <c r="AM299" i="36" s="1"/>
  <c r="Z299" i="36"/>
  <c r="AL299" i="36" s="1"/>
  <c r="Y299" i="36"/>
  <c r="AK299" i="36" s="1"/>
  <c r="X299" i="36"/>
  <c r="W299" i="36"/>
  <c r="V299" i="36"/>
  <c r="U299" i="36"/>
  <c r="T299" i="36"/>
  <c r="S299" i="36"/>
  <c r="R299" i="36"/>
  <c r="AG296" i="36"/>
  <c r="AS296" i="36" s="1"/>
  <c r="AF296" i="36"/>
  <c r="AR296" i="36" s="1"/>
  <c r="AE296" i="36"/>
  <c r="AQ296" i="36" s="1"/>
  <c r="AD296" i="36"/>
  <c r="AP296" i="36" s="1"/>
  <c r="AC296" i="36"/>
  <c r="AO296" i="36" s="1"/>
  <c r="AB296" i="36"/>
  <c r="AN296" i="36" s="1"/>
  <c r="AA296" i="36"/>
  <c r="AM296" i="36" s="1"/>
  <c r="Z296" i="36"/>
  <c r="AL296" i="36" s="1"/>
  <c r="Y296" i="36"/>
  <c r="AK296" i="36" s="1"/>
  <c r="X296" i="36"/>
  <c r="W296" i="36"/>
  <c r="V296" i="36"/>
  <c r="U296" i="36"/>
  <c r="T296" i="36"/>
  <c r="S296" i="36"/>
  <c r="R296" i="36"/>
  <c r="AG293" i="36"/>
  <c r="AS293" i="36" s="1"/>
  <c r="AF293" i="36"/>
  <c r="AR293" i="36" s="1"/>
  <c r="AE293" i="36"/>
  <c r="AQ293" i="36" s="1"/>
  <c r="AD293" i="36"/>
  <c r="AP293" i="36" s="1"/>
  <c r="AC293" i="36"/>
  <c r="AO293" i="36" s="1"/>
  <c r="AB293" i="36"/>
  <c r="AN293" i="36" s="1"/>
  <c r="AA293" i="36"/>
  <c r="AM293" i="36" s="1"/>
  <c r="Z293" i="36"/>
  <c r="AL293" i="36" s="1"/>
  <c r="Y293" i="36"/>
  <c r="AK293" i="36" s="1"/>
  <c r="X293" i="36"/>
  <c r="W293" i="36"/>
  <c r="V293" i="36"/>
  <c r="U293" i="36"/>
  <c r="T293" i="36"/>
  <c r="S293" i="36"/>
  <c r="AG290" i="36"/>
  <c r="AS290" i="36" s="1"/>
  <c r="AF290" i="36"/>
  <c r="AR290" i="36" s="1"/>
  <c r="AE290" i="36"/>
  <c r="AQ290" i="36" s="1"/>
  <c r="AD290" i="36"/>
  <c r="AP290" i="36" s="1"/>
  <c r="AC290" i="36"/>
  <c r="AO290" i="36" s="1"/>
  <c r="AB290" i="36"/>
  <c r="AN290" i="36" s="1"/>
  <c r="AA290" i="36"/>
  <c r="AM290" i="36" s="1"/>
  <c r="Z290" i="36"/>
  <c r="AL290" i="36" s="1"/>
  <c r="Y290" i="36"/>
  <c r="AK290" i="36" s="1"/>
  <c r="X290" i="36"/>
  <c r="W290" i="36"/>
  <c r="V290" i="36"/>
  <c r="U290" i="36"/>
  <c r="T290" i="36"/>
  <c r="S290" i="36"/>
  <c r="R290" i="36"/>
  <c r="AG287" i="36"/>
  <c r="AS287" i="36" s="1"/>
  <c r="AF287" i="36"/>
  <c r="AR287" i="36" s="1"/>
  <c r="AE287" i="36"/>
  <c r="AQ287" i="36" s="1"/>
  <c r="AD287" i="36"/>
  <c r="AP287" i="36" s="1"/>
  <c r="AC287" i="36"/>
  <c r="AO287" i="36" s="1"/>
  <c r="AB287" i="36"/>
  <c r="AN287" i="36" s="1"/>
  <c r="AA287" i="36"/>
  <c r="AM287" i="36" s="1"/>
  <c r="Z287" i="36"/>
  <c r="AL287" i="36" s="1"/>
  <c r="Y287" i="36"/>
  <c r="AK287" i="36" s="1"/>
  <c r="X287" i="36"/>
  <c r="W287" i="36"/>
  <c r="V287" i="36"/>
  <c r="U287" i="36"/>
  <c r="T287" i="36"/>
  <c r="S287" i="36"/>
  <c r="R287" i="36"/>
  <c r="AG284" i="36"/>
  <c r="AS284" i="36" s="1"/>
  <c r="AF284" i="36"/>
  <c r="AR284" i="36" s="1"/>
  <c r="AE284" i="36"/>
  <c r="AQ284" i="36" s="1"/>
  <c r="AD284" i="36"/>
  <c r="AP284" i="36" s="1"/>
  <c r="AC284" i="36"/>
  <c r="AO284" i="36" s="1"/>
  <c r="AB284" i="36"/>
  <c r="AN284" i="36" s="1"/>
  <c r="AA284" i="36"/>
  <c r="AM284" i="36" s="1"/>
  <c r="Z284" i="36"/>
  <c r="AL284" i="36" s="1"/>
  <c r="Y284" i="36"/>
  <c r="AK284" i="36" s="1"/>
  <c r="X284" i="36"/>
  <c r="W284" i="36"/>
  <c r="V284" i="36"/>
  <c r="U284" i="36"/>
  <c r="T284" i="36"/>
  <c r="S284" i="36"/>
  <c r="R284" i="36"/>
  <c r="AG281" i="36"/>
  <c r="AS281" i="36" s="1"/>
  <c r="AF281" i="36"/>
  <c r="AR281" i="36" s="1"/>
  <c r="AE281" i="36"/>
  <c r="AQ281" i="36" s="1"/>
  <c r="AD281" i="36"/>
  <c r="AP281" i="36" s="1"/>
  <c r="AC281" i="36"/>
  <c r="AO281" i="36" s="1"/>
  <c r="AB281" i="36"/>
  <c r="AN281" i="36" s="1"/>
  <c r="AA281" i="36"/>
  <c r="AM281" i="36" s="1"/>
  <c r="Z281" i="36"/>
  <c r="AL281" i="36" s="1"/>
  <c r="Y281" i="36"/>
  <c r="AK281" i="36" s="1"/>
  <c r="X281" i="36"/>
  <c r="W281" i="36"/>
  <c r="V281" i="36"/>
  <c r="U281" i="36"/>
  <c r="T281" i="36"/>
  <c r="S281" i="36"/>
  <c r="R281" i="36"/>
  <c r="AG278" i="36"/>
  <c r="AS278" i="36" s="1"/>
  <c r="AF278" i="36"/>
  <c r="AR278" i="36" s="1"/>
  <c r="AE278" i="36"/>
  <c r="AQ278" i="36" s="1"/>
  <c r="AD278" i="36"/>
  <c r="AP278" i="36" s="1"/>
  <c r="AC278" i="36"/>
  <c r="AO278" i="36" s="1"/>
  <c r="AB278" i="36"/>
  <c r="AN278" i="36" s="1"/>
  <c r="AA278" i="36"/>
  <c r="AM278" i="36" s="1"/>
  <c r="Z278" i="36"/>
  <c r="AL278" i="36" s="1"/>
  <c r="Y278" i="36"/>
  <c r="AK278" i="36" s="1"/>
  <c r="X278" i="36"/>
  <c r="W278" i="36"/>
  <c r="V278" i="36"/>
  <c r="U278" i="36"/>
  <c r="T278" i="36"/>
  <c r="S278" i="36"/>
  <c r="R278" i="36"/>
  <c r="AG275" i="36"/>
  <c r="AS275" i="36" s="1"/>
  <c r="AF275" i="36"/>
  <c r="AR275" i="36" s="1"/>
  <c r="AE275" i="36"/>
  <c r="AQ275" i="36" s="1"/>
  <c r="AD275" i="36"/>
  <c r="AP275" i="36" s="1"/>
  <c r="AC275" i="36"/>
  <c r="AO275" i="36" s="1"/>
  <c r="AB275" i="36"/>
  <c r="AN275" i="36" s="1"/>
  <c r="AA275" i="36"/>
  <c r="AM275" i="36" s="1"/>
  <c r="Z275" i="36"/>
  <c r="AL275" i="36" s="1"/>
  <c r="Y275" i="36"/>
  <c r="AK275" i="36" s="1"/>
  <c r="X275" i="36"/>
  <c r="W275" i="36"/>
  <c r="V275" i="36"/>
  <c r="U275" i="36"/>
  <c r="T275" i="36"/>
  <c r="S275" i="36"/>
  <c r="R275" i="36"/>
  <c r="AG272" i="36"/>
  <c r="AS272" i="36" s="1"/>
  <c r="AF272" i="36"/>
  <c r="AR272" i="36" s="1"/>
  <c r="AE272" i="36"/>
  <c r="AQ272" i="36" s="1"/>
  <c r="AD272" i="36"/>
  <c r="AP272" i="36" s="1"/>
  <c r="AC272" i="36"/>
  <c r="AO272" i="36" s="1"/>
  <c r="AB272" i="36"/>
  <c r="AN272" i="36" s="1"/>
  <c r="AA272" i="36"/>
  <c r="AM272" i="36" s="1"/>
  <c r="Z272" i="36"/>
  <c r="AL272" i="36" s="1"/>
  <c r="Y272" i="36"/>
  <c r="AK272" i="36" s="1"/>
  <c r="X272" i="36"/>
  <c r="W272" i="36"/>
  <c r="V272" i="36"/>
  <c r="U272" i="36"/>
  <c r="T272" i="36"/>
  <c r="S272" i="36"/>
  <c r="R272" i="36"/>
  <c r="AG269" i="36"/>
  <c r="AS269" i="36" s="1"/>
  <c r="AF269" i="36"/>
  <c r="AR269" i="36" s="1"/>
  <c r="AE269" i="36"/>
  <c r="AQ269" i="36" s="1"/>
  <c r="AD269" i="36"/>
  <c r="AP269" i="36" s="1"/>
  <c r="AC269" i="36"/>
  <c r="AO269" i="36" s="1"/>
  <c r="AB269" i="36"/>
  <c r="AN269" i="36" s="1"/>
  <c r="AA269" i="36"/>
  <c r="AM269" i="36" s="1"/>
  <c r="Z269" i="36"/>
  <c r="AL269" i="36" s="1"/>
  <c r="Y269" i="36"/>
  <c r="AK269" i="36" s="1"/>
  <c r="X269" i="36"/>
  <c r="W269" i="36"/>
  <c r="V269" i="36"/>
  <c r="U269" i="36"/>
  <c r="T269" i="36"/>
  <c r="S269" i="36"/>
  <c r="R269" i="36"/>
  <c r="AG266" i="36"/>
  <c r="AS266" i="36" s="1"/>
  <c r="AF266" i="36"/>
  <c r="AR266" i="36" s="1"/>
  <c r="AE266" i="36"/>
  <c r="AQ266" i="36" s="1"/>
  <c r="AD266" i="36"/>
  <c r="AP266" i="36" s="1"/>
  <c r="AC266" i="36"/>
  <c r="AO266" i="36" s="1"/>
  <c r="AB266" i="36"/>
  <c r="AN266" i="36" s="1"/>
  <c r="AA266" i="36"/>
  <c r="AM266" i="36" s="1"/>
  <c r="Z266" i="36"/>
  <c r="AL266" i="36" s="1"/>
  <c r="Y266" i="36"/>
  <c r="AK266" i="36" s="1"/>
  <c r="X266" i="36"/>
  <c r="W266" i="36"/>
  <c r="V266" i="36"/>
  <c r="U266" i="36"/>
  <c r="T266" i="36"/>
  <c r="S266" i="36"/>
  <c r="R266" i="36"/>
  <c r="AG263" i="36"/>
  <c r="AS263" i="36" s="1"/>
  <c r="AF263" i="36"/>
  <c r="AR263" i="36" s="1"/>
  <c r="AE263" i="36"/>
  <c r="AQ263" i="36" s="1"/>
  <c r="AD263" i="36"/>
  <c r="AP263" i="36" s="1"/>
  <c r="AC263" i="36"/>
  <c r="AO263" i="36" s="1"/>
  <c r="AB263" i="36"/>
  <c r="AN263" i="36" s="1"/>
  <c r="AA263" i="36"/>
  <c r="AM263" i="36" s="1"/>
  <c r="Z263" i="36"/>
  <c r="AL263" i="36" s="1"/>
  <c r="Y263" i="36"/>
  <c r="AK263" i="36" s="1"/>
  <c r="X263" i="36"/>
  <c r="W263" i="36"/>
  <c r="V263" i="36"/>
  <c r="U263" i="36"/>
  <c r="T263" i="36"/>
  <c r="S263" i="36"/>
  <c r="R263" i="36"/>
  <c r="AG260" i="36"/>
  <c r="AS260" i="36" s="1"/>
  <c r="AF260" i="36"/>
  <c r="AR260" i="36" s="1"/>
  <c r="AE260" i="36"/>
  <c r="AQ260" i="36" s="1"/>
  <c r="AD260" i="36"/>
  <c r="AP260" i="36" s="1"/>
  <c r="AC260" i="36"/>
  <c r="AO260" i="36" s="1"/>
  <c r="AB260" i="36"/>
  <c r="AN260" i="36" s="1"/>
  <c r="AA260" i="36"/>
  <c r="AM260" i="36" s="1"/>
  <c r="Z260" i="36"/>
  <c r="AL260" i="36" s="1"/>
  <c r="Y260" i="36"/>
  <c r="AK260" i="36" s="1"/>
  <c r="X260" i="36"/>
  <c r="W260" i="36"/>
  <c r="V260" i="36"/>
  <c r="U260" i="36"/>
  <c r="T260" i="36"/>
  <c r="S260" i="36"/>
  <c r="AG257" i="36"/>
  <c r="AS257" i="36" s="1"/>
  <c r="AF257" i="36"/>
  <c r="AR257" i="36" s="1"/>
  <c r="AE257" i="36"/>
  <c r="AQ257" i="36" s="1"/>
  <c r="AD257" i="36"/>
  <c r="AP257" i="36" s="1"/>
  <c r="AC257" i="36"/>
  <c r="AO257" i="36" s="1"/>
  <c r="AB257" i="36"/>
  <c r="AN257" i="36" s="1"/>
  <c r="AA257" i="36"/>
  <c r="AM257" i="36" s="1"/>
  <c r="Z257" i="36"/>
  <c r="AL257" i="36" s="1"/>
  <c r="Y257" i="36"/>
  <c r="AK257" i="36" s="1"/>
  <c r="X257" i="36"/>
  <c r="W257" i="36"/>
  <c r="V257" i="36"/>
  <c r="U257" i="36"/>
  <c r="T257" i="36"/>
  <c r="S257" i="36"/>
  <c r="R257" i="36"/>
  <c r="AG254" i="36"/>
  <c r="AS254" i="36" s="1"/>
  <c r="AF254" i="36"/>
  <c r="AR254" i="36" s="1"/>
  <c r="AE254" i="36"/>
  <c r="AQ254" i="36" s="1"/>
  <c r="AD254" i="36"/>
  <c r="AP254" i="36" s="1"/>
  <c r="AC254" i="36"/>
  <c r="AO254" i="36" s="1"/>
  <c r="AB254" i="36"/>
  <c r="AN254" i="36" s="1"/>
  <c r="AA254" i="36"/>
  <c r="AM254" i="36" s="1"/>
  <c r="Z254" i="36"/>
  <c r="AL254" i="36" s="1"/>
  <c r="Y254" i="36"/>
  <c r="AK254" i="36" s="1"/>
  <c r="X254" i="36"/>
  <c r="W254" i="36"/>
  <c r="V254" i="36"/>
  <c r="U254" i="36"/>
  <c r="T254" i="36"/>
  <c r="S254" i="36"/>
  <c r="R254" i="36"/>
  <c r="AG251" i="36"/>
  <c r="AS251" i="36" s="1"/>
  <c r="AF251" i="36"/>
  <c r="AR251" i="36" s="1"/>
  <c r="AE251" i="36"/>
  <c r="AQ251" i="36" s="1"/>
  <c r="AD251" i="36"/>
  <c r="AP251" i="36" s="1"/>
  <c r="AC251" i="36"/>
  <c r="AO251" i="36" s="1"/>
  <c r="AB251" i="36"/>
  <c r="AN251" i="36" s="1"/>
  <c r="AA251" i="36"/>
  <c r="AM251" i="36" s="1"/>
  <c r="Z251" i="36"/>
  <c r="AL251" i="36" s="1"/>
  <c r="Y251" i="36"/>
  <c r="AK251" i="36" s="1"/>
  <c r="X251" i="36"/>
  <c r="W251" i="36"/>
  <c r="V251" i="36"/>
  <c r="U251" i="36"/>
  <c r="T251" i="36"/>
  <c r="S251" i="36"/>
  <c r="R251" i="36"/>
  <c r="AG248" i="36"/>
  <c r="AS248" i="36" s="1"/>
  <c r="AF248" i="36"/>
  <c r="AR248" i="36" s="1"/>
  <c r="AE248" i="36"/>
  <c r="AQ248" i="36" s="1"/>
  <c r="AD248" i="36"/>
  <c r="AP248" i="36" s="1"/>
  <c r="AC248" i="36"/>
  <c r="AO248" i="36" s="1"/>
  <c r="AB248" i="36"/>
  <c r="AN248" i="36" s="1"/>
  <c r="AA248" i="36"/>
  <c r="AM248" i="36" s="1"/>
  <c r="Z248" i="36"/>
  <c r="AL248" i="36" s="1"/>
  <c r="Y248" i="36"/>
  <c r="AK248" i="36" s="1"/>
  <c r="X248" i="36"/>
  <c r="W248" i="36"/>
  <c r="V248" i="36"/>
  <c r="U248" i="36"/>
  <c r="T248" i="36"/>
  <c r="S248" i="36"/>
  <c r="R248" i="36"/>
  <c r="AG245" i="36"/>
  <c r="AS245" i="36" s="1"/>
  <c r="AF245" i="36"/>
  <c r="AR245" i="36" s="1"/>
  <c r="AE245" i="36"/>
  <c r="AQ245" i="36" s="1"/>
  <c r="AD245" i="36"/>
  <c r="AP245" i="36" s="1"/>
  <c r="AC245" i="36"/>
  <c r="AO245" i="36" s="1"/>
  <c r="AB245" i="36"/>
  <c r="AN245" i="36" s="1"/>
  <c r="AA245" i="36"/>
  <c r="AM245" i="36" s="1"/>
  <c r="Z245" i="36"/>
  <c r="AL245" i="36" s="1"/>
  <c r="Y245" i="36"/>
  <c r="AK245" i="36" s="1"/>
  <c r="X245" i="36"/>
  <c r="W245" i="36"/>
  <c r="V245" i="36"/>
  <c r="U245" i="36"/>
  <c r="T245" i="36"/>
  <c r="S245" i="36"/>
  <c r="R245" i="36"/>
  <c r="AG242" i="36"/>
  <c r="AS242" i="36" s="1"/>
  <c r="AF242" i="36"/>
  <c r="AR242" i="36" s="1"/>
  <c r="AE242" i="36"/>
  <c r="AQ242" i="36" s="1"/>
  <c r="AD242" i="36"/>
  <c r="AP242" i="36" s="1"/>
  <c r="AC242" i="36"/>
  <c r="AO242" i="36" s="1"/>
  <c r="AB242" i="36"/>
  <c r="AN242" i="36" s="1"/>
  <c r="AA242" i="36"/>
  <c r="AM242" i="36" s="1"/>
  <c r="Z242" i="36"/>
  <c r="AL242" i="36" s="1"/>
  <c r="Y242" i="36"/>
  <c r="AK242" i="36" s="1"/>
  <c r="X242" i="36"/>
  <c r="W242" i="36"/>
  <c r="V242" i="36"/>
  <c r="U242" i="36"/>
  <c r="T242" i="36"/>
  <c r="S242" i="36"/>
  <c r="R242" i="36"/>
  <c r="AG239" i="36"/>
  <c r="AS239" i="36" s="1"/>
  <c r="AF239" i="36"/>
  <c r="AR239" i="36" s="1"/>
  <c r="AE239" i="36"/>
  <c r="AQ239" i="36" s="1"/>
  <c r="AD239" i="36"/>
  <c r="AP239" i="36" s="1"/>
  <c r="AC239" i="36"/>
  <c r="AO239" i="36" s="1"/>
  <c r="AB239" i="36"/>
  <c r="AN239" i="36" s="1"/>
  <c r="AA239" i="36"/>
  <c r="AM239" i="36" s="1"/>
  <c r="Z239" i="36"/>
  <c r="AL239" i="36" s="1"/>
  <c r="Y239" i="36"/>
  <c r="AK239" i="36" s="1"/>
  <c r="X239" i="36"/>
  <c r="W239" i="36"/>
  <c r="V239" i="36"/>
  <c r="U239" i="36"/>
  <c r="T239" i="36"/>
  <c r="S239" i="36"/>
  <c r="R239" i="36"/>
  <c r="AG236" i="36"/>
  <c r="AS236" i="36" s="1"/>
  <c r="AF236" i="36"/>
  <c r="AR236" i="36" s="1"/>
  <c r="AE236" i="36"/>
  <c r="AQ236" i="36" s="1"/>
  <c r="AD236" i="36"/>
  <c r="AP236" i="36" s="1"/>
  <c r="AC236" i="36"/>
  <c r="AO236" i="36" s="1"/>
  <c r="AB236" i="36"/>
  <c r="AN236" i="36" s="1"/>
  <c r="AA236" i="36"/>
  <c r="AM236" i="36" s="1"/>
  <c r="Z236" i="36"/>
  <c r="AL236" i="36" s="1"/>
  <c r="Y236" i="36"/>
  <c r="AK236" i="36" s="1"/>
  <c r="X236" i="36"/>
  <c r="W236" i="36"/>
  <c r="V236" i="36"/>
  <c r="U236" i="36"/>
  <c r="T236" i="36"/>
  <c r="S236" i="36"/>
  <c r="R236" i="36"/>
  <c r="AG233" i="36"/>
  <c r="AS233" i="36" s="1"/>
  <c r="AF233" i="36"/>
  <c r="AR233" i="36" s="1"/>
  <c r="AE233" i="36"/>
  <c r="AQ233" i="36" s="1"/>
  <c r="AD233" i="36"/>
  <c r="AP233" i="36" s="1"/>
  <c r="AC233" i="36"/>
  <c r="AO233" i="36" s="1"/>
  <c r="AB233" i="36"/>
  <c r="AN233" i="36" s="1"/>
  <c r="AA233" i="36"/>
  <c r="AM233" i="36" s="1"/>
  <c r="Z233" i="36"/>
  <c r="AL233" i="36" s="1"/>
  <c r="Y233" i="36"/>
  <c r="AK233" i="36" s="1"/>
  <c r="X233" i="36"/>
  <c r="W233" i="36"/>
  <c r="V233" i="36"/>
  <c r="U233" i="36"/>
  <c r="T233" i="36"/>
  <c r="S233" i="36"/>
  <c r="R233" i="36"/>
  <c r="AG230" i="36"/>
  <c r="AS230" i="36" s="1"/>
  <c r="AF230" i="36"/>
  <c r="AR230" i="36" s="1"/>
  <c r="AE230" i="36"/>
  <c r="AQ230" i="36" s="1"/>
  <c r="AD230" i="36"/>
  <c r="AP230" i="36" s="1"/>
  <c r="AC230" i="36"/>
  <c r="AO230" i="36" s="1"/>
  <c r="AB230" i="36"/>
  <c r="AN230" i="36" s="1"/>
  <c r="AA230" i="36"/>
  <c r="AM230" i="36" s="1"/>
  <c r="Z230" i="36"/>
  <c r="AL230" i="36" s="1"/>
  <c r="Y230" i="36"/>
  <c r="AK230" i="36" s="1"/>
  <c r="X230" i="36"/>
  <c r="W230" i="36"/>
  <c r="V230" i="36"/>
  <c r="U230" i="36"/>
  <c r="T230" i="36"/>
  <c r="S230" i="36"/>
  <c r="R230" i="36"/>
  <c r="AG227" i="36"/>
  <c r="AS227" i="36" s="1"/>
  <c r="AF227" i="36"/>
  <c r="AR227" i="36" s="1"/>
  <c r="AE227" i="36"/>
  <c r="AQ227" i="36" s="1"/>
  <c r="AD227" i="36"/>
  <c r="AP227" i="36" s="1"/>
  <c r="AC227" i="36"/>
  <c r="AO227" i="36" s="1"/>
  <c r="AB227" i="36"/>
  <c r="AN227" i="36" s="1"/>
  <c r="AA227" i="36"/>
  <c r="AM227" i="36" s="1"/>
  <c r="Z227" i="36"/>
  <c r="AL227" i="36" s="1"/>
  <c r="Y227" i="36"/>
  <c r="AK227" i="36" s="1"/>
  <c r="X227" i="36"/>
  <c r="W227" i="36"/>
  <c r="V227" i="36"/>
  <c r="U227" i="36"/>
  <c r="T227" i="36"/>
  <c r="S227" i="36"/>
  <c r="R227" i="36"/>
  <c r="AG224" i="36"/>
  <c r="AS224" i="36" s="1"/>
  <c r="AF224" i="36"/>
  <c r="AR224" i="36" s="1"/>
  <c r="AE224" i="36"/>
  <c r="AQ224" i="36" s="1"/>
  <c r="AD224" i="36"/>
  <c r="AP224" i="36" s="1"/>
  <c r="AC224" i="36"/>
  <c r="AO224" i="36" s="1"/>
  <c r="AB224" i="36"/>
  <c r="AN224" i="36" s="1"/>
  <c r="AA224" i="36"/>
  <c r="AM224" i="36" s="1"/>
  <c r="Z224" i="36"/>
  <c r="AL224" i="36" s="1"/>
  <c r="Y224" i="36"/>
  <c r="AK224" i="36" s="1"/>
  <c r="X224" i="36"/>
  <c r="W224" i="36"/>
  <c r="V224" i="36"/>
  <c r="U224" i="36"/>
  <c r="T224" i="36"/>
  <c r="S224" i="36"/>
  <c r="AG221" i="36"/>
  <c r="AS221" i="36" s="1"/>
  <c r="AF221" i="36"/>
  <c r="AR221" i="36" s="1"/>
  <c r="AE221" i="36"/>
  <c r="AQ221" i="36" s="1"/>
  <c r="AD221" i="36"/>
  <c r="AP221" i="36" s="1"/>
  <c r="AC221" i="36"/>
  <c r="AO221" i="36" s="1"/>
  <c r="AB221" i="36"/>
  <c r="AN221" i="36" s="1"/>
  <c r="AA221" i="36"/>
  <c r="AM221" i="36" s="1"/>
  <c r="Z221" i="36"/>
  <c r="AL221" i="36" s="1"/>
  <c r="Y221" i="36"/>
  <c r="AK221" i="36" s="1"/>
  <c r="X221" i="36"/>
  <c r="W221" i="36"/>
  <c r="V221" i="36"/>
  <c r="U221" i="36"/>
  <c r="T221" i="36"/>
  <c r="S221" i="36"/>
  <c r="AG218" i="36"/>
  <c r="AS218" i="36" s="1"/>
  <c r="AF218" i="36"/>
  <c r="AR218" i="36" s="1"/>
  <c r="AE218" i="36"/>
  <c r="AQ218" i="36" s="1"/>
  <c r="AD218" i="36"/>
  <c r="AP218" i="36" s="1"/>
  <c r="AC218" i="36"/>
  <c r="AO218" i="36" s="1"/>
  <c r="AB218" i="36"/>
  <c r="AN218" i="36" s="1"/>
  <c r="AA218" i="36"/>
  <c r="AM218" i="36" s="1"/>
  <c r="Z218" i="36"/>
  <c r="AL218" i="36" s="1"/>
  <c r="Y218" i="36"/>
  <c r="AK218" i="36" s="1"/>
  <c r="X218" i="36"/>
  <c r="W218" i="36"/>
  <c r="V218" i="36"/>
  <c r="U218" i="36"/>
  <c r="T218" i="36"/>
  <c r="S218" i="36"/>
  <c r="R218" i="36"/>
  <c r="AG215" i="36"/>
  <c r="AS215" i="36" s="1"/>
  <c r="AF215" i="36"/>
  <c r="AR215" i="36" s="1"/>
  <c r="AE215" i="36"/>
  <c r="AQ215" i="36" s="1"/>
  <c r="AD215" i="36"/>
  <c r="AP215" i="36" s="1"/>
  <c r="AC215" i="36"/>
  <c r="AO215" i="36" s="1"/>
  <c r="AB215" i="36"/>
  <c r="AN215" i="36" s="1"/>
  <c r="AA215" i="36"/>
  <c r="AM215" i="36" s="1"/>
  <c r="Z215" i="36"/>
  <c r="AL215" i="36" s="1"/>
  <c r="Y215" i="36"/>
  <c r="AK215" i="36" s="1"/>
  <c r="X215" i="36"/>
  <c r="W215" i="36"/>
  <c r="V215" i="36"/>
  <c r="U215" i="36"/>
  <c r="T215" i="36"/>
  <c r="S215" i="36"/>
  <c r="R215" i="36"/>
  <c r="AG212" i="36"/>
  <c r="AS212" i="36" s="1"/>
  <c r="AF212" i="36"/>
  <c r="AR212" i="36" s="1"/>
  <c r="AE212" i="36"/>
  <c r="AQ212" i="36" s="1"/>
  <c r="AD212" i="36"/>
  <c r="AP212" i="36" s="1"/>
  <c r="AC212" i="36"/>
  <c r="AO212" i="36" s="1"/>
  <c r="AB212" i="36"/>
  <c r="AN212" i="36" s="1"/>
  <c r="AA212" i="36"/>
  <c r="AM212" i="36" s="1"/>
  <c r="Z212" i="36"/>
  <c r="AL212" i="36" s="1"/>
  <c r="Y212" i="36"/>
  <c r="AK212" i="36" s="1"/>
  <c r="X212" i="36"/>
  <c r="W212" i="36"/>
  <c r="V212" i="36"/>
  <c r="U212" i="36"/>
  <c r="T212" i="36"/>
  <c r="S212" i="36"/>
  <c r="R212" i="36"/>
  <c r="AG209" i="36"/>
  <c r="AS209" i="36" s="1"/>
  <c r="AF209" i="36"/>
  <c r="AR209" i="36" s="1"/>
  <c r="AE209" i="36"/>
  <c r="AQ209" i="36" s="1"/>
  <c r="AD209" i="36"/>
  <c r="AP209" i="36" s="1"/>
  <c r="AC209" i="36"/>
  <c r="AO209" i="36" s="1"/>
  <c r="AB209" i="36"/>
  <c r="AN209" i="36" s="1"/>
  <c r="AA209" i="36"/>
  <c r="AM209" i="36" s="1"/>
  <c r="Z209" i="36"/>
  <c r="AL209" i="36" s="1"/>
  <c r="Y209" i="36"/>
  <c r="AK209" i="36" s="1"/>
  <c r="X209" i="36"/>
  <c r="W209" i="36"/>
  <c r="V209" i="36"/>
  <c r="U209" i="36"/>
  <c r="T209" i="36"/>
  <c r="S209" i="36"/>
  <c r="R209" i="36"/>
  <c r="AG206" i="36"/>
  <c r="AS206" i="36" s="1"/>
  <c r="AF206" i="36"/>
  <c r="AR206" i="36" s="1"/>
  <c r="AE206" i="36"/>
  <c r="AQ206" i="36" s="1"/>
  <c r="AD206" i="36"/>
  <c r="AP206" i="36" s="1"/>
  <c r="AC206" i="36"/>
  <c r="AO206" i="36" s="1"/>
  <c r="AB206" i="36"/>
  <c r="AN206" i="36" s="1"/>
  <c r="AA206" i="36"/>
  <c r="AM206" i="36" s="1"/>
  <c r="Z206" i="36"/>
  <c r="AL206" i="36" s="1"/>
  <c r="Y206" i="36"/>
  <c r="AK206" i="36" s="1"/>
  <c r="X206" i="36"/>
  <c r="W206" i="36"/>
  <c r="V206" i="36"/>
  <c r="U206" i="36"/>
  <c r="T206" i="36"/>
  <c r="S206" i="36"/>
  <c r="R206" i="36"/>
  <c r="AG203" i="36"/>
  <c r="AS203" i="36" s="1"/>
  <c r="AF203" i="36"/>
  <c r="AR203" i="36" s="1"/>
  <c r="AE203" i="36"/>
  <c r="AQ203" i="36" s="1"/>
  <c r="AD203" i="36"/>
  <c r="AP203" i="36" s="1"/>
  <c r="AC203" i="36"/>
  <c r="AO203" i="36" s="1"/>
  <c r="AB203" i="36"/>
  <c r="AN203" i="36" s="1"/>
  <c r="AA203" i="36"/>
  <c r="AM203" i="36" s="1"/>
  <c r="Z203" i="36"/>
  <c r="AL203" i="36" s="1"/>
  <c r="Y203" i="36"/>
  <c r="AK203" i="36" s="1"/>
  <c r="X203" i="36"/>
  <c r="W203" i="36"/>
  <c r="V203" i="36"/>
  <c r="U203" i="36"/>
  <c r="T203" i="36"/>
  <c r="S203" i="36"/>
  <c r="R203" i="36"/>
  <c r="AG200" i="36"/>
  <c r="AS200" i="36" s="1"/>
  <c r="AF200" i="36"/>
  <c r="AR200" i="36" s="1"/>
  <c r="AE200" i="36"/>
  <c r="AQ200" i="36" s="1"/>
  <c r="AD200" i="36"/>
  <c r="AP200" i="36" s="1"/>
  <c r="AC200" i="36"/>
  <c r="AO200" i="36" s="1"/>
  <c r="AB200" i="36"/>
  <c r="AN200" i="36" s="1"/>
  <c r="AA200" i="36"/>
  <c r="AM200" i="36" s="1"/>
  <c r="Z200" i="36"/>
  <c r="AL200" i="36" s="1"/>
  <c r="Y200" i="36"/>
  <c r="AK200" i="36" s="1"/>
  <c r="X200" i="36"/>
  <c r="W200" i="36"/>
  <c r="V200" i="36"/>
  <c r="U200" i="36"/>
  <c r="T200" i="36"/>
  <c r="S200" i="36"/>
  <c r="R200" i="36"/>
  <c r="AG197" i="36"/>
  <c r="AS197" i="36" s="1"/>
  <c r="AF197" i="36"/>
  <c r="AR197" i="36" s="1"/>
  <c r="AE197" i="36"/>
  <c r="AQ197" i="36" s="1"/>
  <c r="AD197" i="36"/>
  <c r="AP197" i="36" s="1"/>
  <c r="AC197" i="36"/>
  <c r="AO197" i="36" s="1"/>
  <c r="AB197" i="36"/>
  <c r="AN197" i="36" s="1"/>
  <c r="AA197" i="36"/>
  <c r="AM197" i="36" s="1"/>
  <c r="Z197" i="36"/>
  <c r="AL197" i="36" s="1"/>
  <c r="Y197" i="36"/>
  <c r="AK197" i="36" s="1"/>
  <c r="X197" i="36"/>
  <c r="W197" i="36"/>
  <c r="V197" i="36"/>
  <c r="U197" i="36"/>
  <c r="T197" i="36"/>
  <c r="S197" i="36"/>
  <c r="R197" i="36"/>
  <c r="AG194" i="36"/>
  <c r="AS194" i="36" s="1"/>
  <c r="AF194" i="36"/>
  <c r="AR194" i="36" s="1"/>
  <c r="AE194" i="36"/>
  <c r="AQ194" i="36" s="1"/>
  <c r="AD194" i="36"/>
  <c r="AP194" i="36" s="1"/>
  <c r="AC194" i="36"/>
  <c r="AO194" i="36" s="1"/>
  <c r="AB194" i="36"/>
  <c r="AN194" i="36" s="1"/>
  <c r="AA194" i="36"/>
  <c r="AM194" i="36" s="1"/>
  <c r="Z194" i="36"/>
  <c r="AL194" i="36" s="1"/>
  <c r="Y194" i="36"/>
  <c r="AK194" i="36" s="1"/>
  <c r="X194" i="36"/>
  <c r="W194" i="36"/>
  <c r="V194" i="36"/>
  <c r="U194" i="36"/>
  <c r="T194" i="36"/>
  <c r="S194" i="36"/>
  <c r="R194" i="36"/>
  <c r="AG191" i="36"/>
  <c r="AS191" i="36" s="1"/>
  <c r="AF191" i="36"/>
  <c r="AR191" i="36" s="1"/>
  <c r="AE191" i="36"/>
  <c r="AQ191" i="36" s="1"/>
  <c r="AD191" i="36"/>
  <c r="AP191" i="36" s="1"/>
  <c r="AC191" i="36"/>
  <c r="AO191" i="36" s="1"/>
  <c r="AB191" i="36"/>
  <c r="AN191" i="36" s="1"/>
  <c r="AA191" i="36"/>
  <c r="AM191" i="36" s="1"/>
  <c r="Z191" i="36"/>
  <c r="AL191" i="36" s="1"/>
  <c r="Y191" i="36"/>
  <c r="AK191" i="36" s="1"/>
  <c r="X191" i="36"/>
  <c r="W191" i="36"/>
  <c r="V191" i="36"/>
  <c r="U191" i="36"/>
  <c r="T191" i="36"/>
  <c r="S191" i="36"/>
  <c r="R191" i="36"/>
  <c r="AG188" i="36"/>
  <c r="AS188" i="36" s="1"/>
  <c r="AF188" i="36"/>
  <c r="AR188" i="36" s="1"/>
  <c r="AE188" i="36"/>
  <c r="AQ188" i="36" s="1"/>
  <c r="AD188" i="36"/>
  <c r="AP188" i="36" s="1"/>
  <c r="AC188" i="36"/>
  <c r="AO188" i="36" s="1"/>
  <c r="AB188" i="36"/>
  <c r="AN188" i="36" s="1"/>
  <c r="AA188" i="36"/>
  <c r="AM188" i="36" s="1"/>
  <c r="Z188" i="36"/>
  <c r="AL188" i="36" s="1"/>
  <c r="Y188" i="36"/>
  <c r="AK188" i="36" s="1"/>
  <c r="X188" i="36"/>
  <c r="W188" i="36"/>
  <c r="V188" i="36"/>
  <c r="U188" i="36"/>
  <c r="T188" i="36"/>
  <c r="R188" i="36"/>
  <c r="AG185" i="36"/>
  <c r="AS185" i="36" s="1"/>
  <c r="AF185" i="36"/>
  <c r="AR185" i="36" s="1"/>
  <c r="AE185" i="36"/>
  <c r="AQ185" i="36" s="1"/>
  <c r="AD185" i="36"/>
  <c r="AP185" i="36" s="1"/>
  <c r="AC185" i="36"/>
  <c r="AO185" i="36" s="1"/>
  <c r="AB185" i="36"/>
  <c r="AN185" i="36" s="1"/>
  <c r="AA185" i="36"/>
  <c r="AM185" i="36" s="1"/>
  <c r="Z185" i="36"/>
  <c r="AL185" i="36" s="1"/>
  <c r="Y185" i="36"/>
  <c r="AK185" i="36" s="1"/>
  <c r="X185" i="36"/>
  <c r="W185" i="36"/>
  <c r="V185" i="36"/>
  <c r="U185" i="36"/>
  <c r="T185" i="36"/>
  <c r="S185" i="36"/>
  <c r="R185" i="36"/>
  <c r="AG182" i="36"/>
  <c r="AS182" i="36" s="1"/>
  <c r="AF182" i="36"/>
  <c r="AR182" i="36" s="1"/>
  <c r="AE182" i="36"/>
  <c r="AQ182" i="36" s="1"/>
  <c r="AD182" i="36"/>
  <c r="AP182" i="36" s="1"/>
  <c r="AC182" i="36"/>
  <c r="AO182" i="36" s="1"/>
  <c r="AB182" i="36"/>
  <c r="AN182" i="36" s="1"/>
  <c r="AA182" i="36"/>
  <c r="AM182" i="36" s="1"/>
  <c r="Z182" i="36"/>
  <c r="AL182" i="36" s="1"/>
  <c r="Y182" i="36"/>
  <c r="AK182" i="36" s="1"/>
  <c r="X182" i="36"/>
  <c r="W182" i="36"/>
  <c r="R182" i="36"/>
  <c r="AG179" i="36"/>
  <c r="AS179" i="36" s="1"/>
  <c r="AF179" i="36"/>
  <c r="AR179" i="36" s="1"/>
  <c r="AE179" i="36"/>
  <c r="AQ179" i="36" s="1"/>
  <c r="AD179" i="36"/>
  <c r="AP179" i="36" s="1"/>
  <c r="AC179" i="36"/>
  <c r="AO179" i="36" s="1"/>
  <c r="AB179" i="36"/>
  <c r="AN179" i="36" s="1"/>
  <c r="AA179" i="36"/>
  <c r="AM179" i="36" s="1"/>
  <c r="Z179" i="36"/>
  <c r="AL179" i="36" s="1"/>
  <c r="Y179" i="36"/>
  <c r="AK179" i="36" s="1"/>
  <c r="X179" i="36"/>
  <c r="W179" i="36"/>
  <c r="R179" i="36"/>
  <c r="AG176" i="36"/>
  <c r="AS176" i="36" s="1"/>
  <c r="AF176" i="36"/>
  <c r="AR176" i="36" s="1"/>
  <c r="AE176" i="36"/>
  <c r="AQ176" i="36" s="1"/>
  <c r="AD176" i="36"/>
  <c r="AP176" i="36" s="1"/>
  <c r="AC176" i="36"/>
  <c r="AO176" i="36" s="1"/>
  <c r="AB176" i="36"/>
  <c r="AN176" i="36" s="1"/>
  <c r="AA176" i="36"/>
  <c r="AM176" i="36" s="1"/>
  <c r="Z176" i="36"/>
  <c r="AL176" i="36" s="1"/>
  <c r="Y176" i="36"/>
  <c r="AK176" i="36" s="1"/>
  <c r="X176" i="36"/>
  <c r="W176" i="36"/>
  <c r="R176" i="36"/>
  <c r="AG173" i="36"/>
  <c r="AS173" i="36" s="1"/>
  <c r="AF173" i="36"/>
  <c r="AR173" i="36" s="1"/>
  <c r="AE173" i="36"/>
  <c r="AQ173" i="36" s="1"/>
  <c r="AD173" i="36"/>
  <c r="AP173" i="36" s="1"/>
  <c r="AC173" i="36"/>
  <c r="AO173" i="36" s="1"/>
  <c r="AB173" i="36"/>
  <c r="AN173" i="36" s="1"/>
  <c r="AA173" i="36"/>
  <c r="AM173" i="36" s="1"/>
  <c r="Z173" i="36"/>
  <c r="AL173" i="36" s="1"/>
  <c r="Y173" i="36"/>
  <c r="AK173" i="36" s="1"/>
  <c r="X173" i="36"/>
  <c r="R173" i="36"/>
  <c r="AG170" i="36"/>
  <c r="AS170" i="36" s="1"/>
  <c r="AF170" i="36"/>
  <c r="AR170" i="36" s="1"/>
  <c r="AE170" i="36"/>
  <c r="AQ170" i="36" s="1"/>
  <c r="AD170" i="36"/>
  <c r="AP170" i="36" s="1"/>
  <c r="AC170" i="36"/>
  <c r="AO170" i="36" s="1"/>
  <c r="AB170" i="36"/>
  <c r="AN170" i="36" s="1"/>
  <c r="AA170" i="36"/>
  <c r="AM170" i="36" s="1"/>
  <c r="Z170" i="36"/>
  <c r="AL170" i="36" s="1"/>
  <c r="Y170" i="36"/>
  <c r="AK170" i="36" s="1"/>
  <c r="X170" i="36"/>
  <c r="W170" i="36"/>
  <c r="R170" i="36"/>
  <c r="AG167" i="36"/>
  <c r="AS167" i="36" s="1"/>
  <c r="AF167" i="36"/>
  <c r="AR167" i="36" s="1"/>
  <c r="AE167" i="36"/>
  <c r="AQ167" i="36" s="1"/>
  <c r="AD167" i="36"/>
  <c r="AP167" i="36" s="1"/>
  <c r="AC167" i="36"/>
  <c r="AO167" i="36" s="1"/>
  <c r="AB167" i="36"/>
  <c r="AN167" i="36" s="1"/>
  <c r="AA167" i="36"/>
  <c r="AM167" i="36" s="1"/>
  <c r="Z167" i="36"/>
  <c r="AL167" i="36" s="1"/>
  <c r="Y167" i="36"/>
  <c r="AK167" i="36" s="1"/>
  <c r="X167" i="36"/>
  <c r="W167" i="36"/>
  <c r="V167" i="36"/>
  <c r="AG164" i="36"/>
  <c r="AS164" i="36" s="1"/>
  <c r="AF164" i="36"/>
  <c r="AR164" i="36" s="1"/>
  <c r="AE164" i="36"/>
  <c r="AQ164" i="36" s="1"/>
  <c r="AD164" i="36"/>
  <c r="AP164" i="36" s="1"/>
  <c r="AC164" i="36"/>
  <c r="AO164" i="36" s="1"/>
  <c r="AB164" i="36"/>
  <c r="AN164" i="36" s="1"/>
  <c r="AA164" i="36"/>
  <c r="AM164" i="36" s="1"/>
  <c r="Z164" i="36"/>
  <c r="AL164" i="36" s="1"/>
  <c r="Y164" i="36"/>
  <c r="AK164" i="36" s="1"/>
  <c r="X164" i="36"/>
  <c r="W164" i="36"/>
  <c r="V164" i="36"/>
  <c r="AG161" i="36"/>
  <c r="AS161" i="36" s="1"/>
  <c r="AF161" i="36"/>
  <c r="AR161" i="36" s="1"/>
  <c r="AE161" i="36"/>
  <c r="AQ161" i="36" s="1"/>
  <c r="AD161" i="36"/>
  <c r="AP161" i="36" s="1"/>
  <c r="AC161" i="36"/>
  <c r="AO161" i="36" s="1"/>
  <c r="AB161" i="36"/>
  <c r="AN161" i="36" s="1"/>
  <c r="AA161" i="36"/>
  <c r="AM161" i="36" s="1"/>
  <c r="Z161" i="36"/>
  <c r="AL161" i="36" s="1"/>
  <c r="Y161" i="36"/>
  <c r="AK161" i="36" s="1"/>
  <c r="X161" i="36"/>
  <c r="W161" i="36"/>
  <c r="V161" i="36"/>
  <c r="U161" i="36"/>
  <c r="T161" i="36"/>
  <c r="S161" i="36"/>
  <c r="R161" i="36"/>
  <c r="AG158" i="36"/>
  <c r="AS158" i="36" s="1"/>
  <c r="AF158" i="36"/>
  <c r="AR158" i="36" s="1"/>
  <c r="AE158" i="36"/>
  <c r="AQ158" i="36" s="1"/>
  <c r="AD158" i="36"/>
  <c r="AP158" i="36" s="1"/>
  <c r="AC158" i="36"/>
  <c r="AO158" i="36" s="1"/>
  <c r="AB158" i="36"/>
  <c r="AN158" i="36" s="1"/>
  <c r="AA158" i="36"/>
  <c r="AM158" i="36" s="1"/>
  <c r="Z158" i="36"/>
  <c r="AL158" i="36" s="1"/>
  <c r="Y158" i="36"/>
  <c r="AK158" i="36" s="1"/>
  <c r="X158" i="36"/>
  <c r="W158" i="36"/>
  <c r="V158" i="36"/>
  <c r="U158" i="36"/>
  <c r="T158" i="36"/>
  <c r="S158" i="36"/>
  <c r="R158" i="36"/>
  <c r="AG155" i="36"/>
  <c r="AS155" i="36" s="1"/>
  <c r="AF155" i="36"/>
  <c r="AR155" i="36" s="1"/>
  <c r="AE155" i="36"/>
  <c r="AQ155" i="36" s="1"/>
  <c r="AD155" i="36"/>
  <c r="AP155" i="36" s="1"/>
  <c r="AC155" i="36"/>
  <c r="AO155" i="36" s="1"/>
  <c r="AB155" i="36"/>
  <c r="AN155" i="36" s="1"/>
  <c r="AA155" i="36"/>
  <c r="AM155" i="36" s="1"/>
  <c r="Z155" i="36"/>
  <c r="AL155" i="36" s="1"/>
  <c r="Y155" i="36"/>
  <c r="AK155" i="36" s="1"/>
  <c r="X155" i="36"/>
  <c r="W155" i="36"/>
  <c r="V155" i="36"/>
  <c r="U155" i="36"/>
  <c r="T155" i="36"/>
  <c r="S155" i="36"/>
  <c r="R155" i="36"/>
  <c r="AG152" i="36"/>
  <c r="AS152" i="36" s="1"/>
  <c r="AF152" i="36"/>
  <c r="AR152" i="36" s="1"/>
  <c r="AE152" i="36"/>
  <c r="AQ152" i="36" s="1"/>
  <c r="AD152" i="36"/>
  <c r="AP152" i="36" s="1"/>
  <c r="AC152" i="36"/>
  <c r="AO152" i="36" s="1"/>
  <c r="AB152" i="36"/>
  <c r="AN152" i="36" s="1"/>
  <c r="AA152" i="36"/>
  <c r="AM152" i="36" s="1"/>
  <c r="Z152" i="36"/>
  <c r="AL152" i="36" s="1"/>
  <c r="Y152" i="36"/>
  <c r="AK152" i="36" s="1"/>
  <c r="X152" i="36"/>
  <c r="W152" i="36"/>
  <c r="V152" i="36"/>
  <c r="U152" i="36"/>
  <c r="T152" i="36"/>
  <c r="S152" i="36"/>
  <c r="R152" i="36"/>
  <c r="AG149" i="36"/>
  <c r="AS149" i="36" s="1"/>
  <c r="AF149" i="36"/>
  <c r="AR149" i="36" s="1"/>
  <c r="AE149" i="36"/>
  <c r="AQ149" i="36" s="1"/>
  <c r="AD149" i="36"/>
  <c r="AP149" i="36" s="1"/>
  <c r="AC149" i="36"/>
  <c r="AO149" i="36" s="1"/>
  <c r="AB149" i="36"/>
  <c r="AN149" i="36" s="1"/>
  <c r="AA149" i="36"/>
  <c r="AM149" i="36" s="1"/>
  <c r="Z149" i="36"/>
  <c r="AL149" i="36" s="1"/>
  <c r="Y149" i="36"/>
  <c r="AK149" i="36" s="1"/>
  <c r="X149" i="36"/>
  <c r="W149" i="36"/>
  <c r="V149" i="36"/>
  <c r="U149" i="36"/>
  <c r="T149" i="36"/>
  <c r="S149" i="36"/>
  <c r="R149" i="36"/>
  <c r="AG146" i="36"/>
  <c r="AS146" i="36" s="1"/>
  <c r="AF146" i="36"/>
  <c r="AR146" i="36" s="1"/>
  <c r="AE146" i="36"/>
  <c r="AQ146" i="36" s="1"/>
  <c r="AD146" i="36"/>
  <c r="AP146" i="36" s="1"/>
  <c r="AC146" i="36"/>
  <c r="AO146" i="36" s="1"/>
  <c r="AB146" i="36"/>
  <c r="AN146" i="36" s="1"/>
  <c r="AA146" i="36"/>
  <c r="AM146" i="36" s="1"/>
  <c r="Z146" i="36"/>
  <c r="AL146" i="36" s="1"/>
  <c r="Y146" i="36"/>
  <c r="AK146" i="36" s="1"/>
  <c r="X146" i="36"/>
  <c r="W146" i="36"/>
  <c r="V146" i="36"/>
  <c r="U146" i="36"/>
  <c r="T146" i="36"/>
  <c r="R146" i="36"/>
  <c r="AG143" i="36"/>
  <c r="AS143" i="36" s="1"/>
  <c r="AF143" i="36"/>
  <c r="AR143" i="36" s="1"/>
  <c r="AE143" i="36"/>
  <c r="AQ143" i="36" s="1"/>
  <c r="AD143" i="36"/>
  <c r="AP143" i="36" s="1"/>
  <c r="AC143" i="36"/>
  <c r="AO143" i="36" s="1"/>
  <c r="AB143" i="36"/>
  <c r="AN143" i="36" s="1"/>
  <c r="AA143" i="36"/>
  <c r="AM143" i="36" s="1"/>
  <c r="Z143" i="36"/>
  <c r="AL143" i="36" s="1"/>
  <c r="Y143" i="36"/>
  <c r="AK143" i="36" s="1"/>
  <c r="X143" i="36"/>
  <c r="W143" i="36"/>
  <c r="R143" i="36"/>
  <c r="AG140" i="36"/>
  <c r="AS140" i="36" s="1"/>
  <c r="AF140" i="36"/>
  <c r="AR140" i="36" s="1"/>
  <c r="AE140" i="36"/>
  <c r="AQ140" i="36" s="1"/>
  <c r="AD140" i="36"/>
  <c r="AP140" i="36" s="1"/>
  <c r="AC140" i="36"/>
  <c r="AO140" i="36" s="1"/>
  <c r="AB140" i="36"/>
  <c r="AN140" i="36" s="1"/>
  <c r="AA140" i="36"/>
  <c r="AM140" i="36" s="1"/>
  <c r="Z140" i="36"/>
  <c r="AL140" i="36" s="1"/>
  <c r="Y140" i="36"/>
  <c r="AK140" i="36" s="1"/>
  <c r="X140" i="36"/>
  <c r="W140" i="36"/>
  <c r="V140" i="36"/>
  <c r="U140" i="36"/>
  <c r="T140" i="36"/>
  <c r="S140" i="36"/>
  <c r="R140" i="36"/>
  <c r="AG134" i="36"/>
  <c r="AS134" i="36" s="1"/>
  <c r="AF134" i="36"/>
  <c r="AR134" i="36" s="1"/>
  <c r="AE134" i="36"/>
  <c r="AQ134" i="36" s="1"/>
  <c r="AD134" i="36"/>
  <c r="AP134" i="36" s="1"/>
  <c r="AC134" i="36"/>
  <c r="AO134" i="36" s="1"/>
  <c r="AB134" i="36"/>
  <c r="AN134" i="36" s="1"/>
  <c r="AA134" i="36"/>
  <c r="AM134" i="36" s="1"/>
  <c r="Z134" i="36"/>
  <c r="AL134" i="36" s="1"/>
  <c r="Y134" i="36"/>
  <c r="AK134" i="36" s="1"/>
  <c r="X134" i="36"/>
  <c r="W134" i="36"/>
  <c r="V134" i="36"/>
  <c r="U134" i="36"/>
  <c r="T134" i="36"/>
  <c r="S134" i="36"/>
  <c r="R134" i="36"/>
  <c r="AG131" i="36"/>
  <c r="AS131" i="36" s="1"/>
  <c r="AF131" i="36"/>
  <c r="AR131" i="36" s="1"/>
  <c r="AE131" i="36"/>
  <c r="AQ131" i="36" s="1"/>
  <c r="AD131" i="36"/>
  <c r="AP131" i="36" s="1"/>
  <c r="AC131" i="36"/>
  <c r="AO131" i="36" s="1"/>
  <c r="AB131" i="36"/>
  <c r="AN131" i="36" s="1"/>
  <c r="AA131" i="36"/>
  <c r="AM131" i="36" s="1"/>
  <c r="Z131" i="36"/>
  <c r="AL131" i="36" s="1"/>
  <c r="Y131" i="36"/>
  <c r="AK131" i="36" s="1"/>
  <c r="X131" i="36"/>
  <c r="W131" i="36"/>
  <c r="V131" i="36"/>
  <c r="U131" i="36"/>
  <c r="T131" i="36"/>
  <c r="S131" i="36"/>
  <c r="R131" i="36"/>
  <c r="AG128" i="36"/>
  <c r="AS128" i="36" s="1"/>
  <c r="AF128" i="36"/>
  <c r="AR128" i="36" s="1"/>
  <c r="AE128" i="36"/>
  <c r="AQ128" i="36" s="1"/>
  <c r="AD128" i="36"/>
  <c r="AP128" i="36" s="1"/>
  <c r="AC128" i="36"/>
  <c r="AO128" i="36" s="1"/>
  <c r="AB128" i="36"/>
  <c r="AN128" i="36" s="1"/>
  <c r="AA128" i="36"/>
  <c r="AM128" i="36" s="1"/>
  <c r="Z128" i="36"/>
  <c r="AL128" i="36" s="1"/>
  <c r="Y128" i="36"/>
  <c r="AK128" i="36" s="1"/>
  <c r="X128" i="36"/>
  <c r="W128" i="36"/>
  <c r="V128" i="36"/>
  <c r="U128" i="36"/>
  <c r="T128" i="36"/>
  <c r="S128" i="36"/>
  <c r="R128" i="36"/>
  <c r="AG125" i="36"/>
  <c r="AS125" i="36" s="1"/>
  <c r="AF125" i="36"/>
  <c r="AR125" i="36" s="1"/>
  <c r="AE125" i="36"/>
  <c r="AQ125" i="36" s="1"/>
  <c r="AD125" i="36"/>
  <c r="AP125" i="36" s="1"/>
  <c r="AC125" i="36"/>
  <c r="AO125" i="36" s="1"/>
  <c r="AB125" i="36"/>
  <c r="AN125" i="36" s="1"/>
  <c r="AA125" i="36"/>
  <c r="AM125" i="36" s="1"/>
  <c r="Z125" i="36"/>
  <c r="AL125" i="36" s="1"/>
  <c r="Y125" i="36"/>
  <c r="AK125" i="36" s="1"/>
  <c r="X125" i="36"/>
  <c r="W125" i="36"/>
  <c r="V125" i="36"/>
  <c r="U125" i="36"/>
  <c r="T125" i="36"/>
  <c r="S125" i="36"/>
  <c r="R125" i="36"/>
  <c r="AG122" i="36"/>
  <c r="AS122" i="36" s="1"/>
  <c r="AF122" i="36"/>
  <c r="AR122" i="36" s="1"/>
  <c r="AE122" i="36"/>
  <c r="AQ122" i="36" s="1"/>
  <c r="AD122" i="36"/>
  <c r="AP122" i="36" s="1"/>
  <c r="AC122" i="36"/>
  <c r="AO122" i="36" s="1"/>
  <c r="AB122" i="36"/>
  <c r="AN122" i="36" s="1"/>
  <c r="AA122" i="36"/>
  <c r="AM122" i="36" s="1"/>
  <c r="Z122" i="36"/>
  <c r="AL122" i="36" s="1"/>
  <c r="Y122" i="36"/>
  <c r="AK122" i="36" s="1"/>
  <c r="X122" i="36"/>
  <c r="W122" i="36"/>
  <c r="V122" i="36"/>
  <c r="U122" i="36"/>
  <c r="T122" i="36"/>
  <c r="S122" i="36"/>
  <c r="R122" i="36"/>
  <c r="AG119" i="36"/>
  <c r="AS119" i="36" s="1"/>
  <c r="AR119" i="36"/>
  <c r="AQ119" i="36"/>
  <c r="AP119" i="36"/>
  <c r="AO119" i="36"/>
  <c r="AN119" i="36"/>
  <c r="AM119" i="36"/>
  <c r="AL119" i="36"/>
  <c r="AK119" i="36"/>
  <c r="R119" i="36"/>
  <c r="AG110" i="36"/>
  <c r="AS110" i="36" s="1"/>
  <c r="AF110" i="36"/>
  <c r="AR110" i="36" s="1"/>
  <c r="AE110" i="36"/>
  <c r="AQ110" i="36" s="1"/>
  <c r="AD110" i="36"/>
  <c r="AP110" i="36" s="1"/>
  <c r="AC110" i="36"/>
  <c r="AO110" i="36" s="1"/>
  <c r="AB110" i="36"/>
  <c r="AN110" i="36" s="1"/>
  <c r="AA110" i="36"/>
  <c r="AM110" i="36" s="1"/>
  <c r="Z110" i="36"/>
  <c r="AL110" i="36" s="1"/>
  <c r="Y110" i="36"/>
  <c r="AK110" i="36" s="1"/>
  <c r="X110" i="36"/>
  <c r="W110" i="36"/>
  <c r="V110" i="36"/>
  <c r="U110" i="36"/>
  <c r="T110" i="36"/>
  <c r="S110" i="36"/>
  <c r="R110" i="36"/>
  <c r="AG107" i="36"/>
  <c r="AS107" i="36" s="1"/>
  <c r="AF107" i="36"/>
  <c r="AR107" i="36" s="1"/>
  <c r="AE107" i="36"/>
  <c r="AQ107" i="36" s="1"/>
  <c r="AD107" i="36"/>
  <c r="AP107" i="36" s="1"/>
  <c r="AC107" i="36"/>
  <c r="AO107" i="36" s="1"/>
  <c r="AB107" i="36"/>
  <c r="AN107" i="36" s="1"/>
  <c r="AA107" i="36"/>
  <c r="AM107" i="36" s="1"/>
  <c r="Z107" i="36"/>
  <c r="AL107" i="36" s="1"/>
  <c r="Y107" i="36"/>
  <c r="AK107" i="36" s="1"/>
  <c r="X107" i="36"/>
  <c r="W107" i="36"/>
  <c r="V107" i="36"/>
  <c r="U107" i="36"/>
  <c r="T107" i="36"/>
  <c r="S107" i="36"/>
  <c r="R107" i="36"/>
  <c r="AG104" i="36"/>
  <c r="AS104" i="36" s="1"/>
  <c r="AF104" i="36"/>
  <c r="AR104" i="36" s="1"/>
  <c r="AE104" i="36"/>
  <c r="AQ104" i="36" s="1"/>
  <c r="AD104" i="36"/>
  <c r="AP104" i="36" s="1"/>
  <c r="AC104" i="36"/>
  <c r="AO104" i="36" s="1"/>
  <c r="AB104" i="36"/>
  <c r="AN104" i="36" s="1"/>
  <c r="AA104" i="36"/>
  <c r="AM104" i="36" s="1"/>
  <c r="Z104" i="36"/>
  <c r="AL104" i="36" s="1"/>
  <c r="Y104" i="36"/>
  <c r="AK104" i="36" s="1"/>
  <c r="X104" i="36"/>
  <c r="W104" i="36"/>
  <c r="V104" i="36"/>
  <c r="U104" i="36"/>
  <c r="T104" i="36"/>
  <c r="S104" i="36"/>
  <c r="R104" i="36"/>
  <c r="AG101" i="36"/>
  <c r="AS101" i="36" s="1"/>
  <c r="AF101" i="36"/>
  <c r="AR101" i="36" s="1"/>
  <c r="AE101" i="36"/>
  <c r="AQ101" i="36" s="1"/>
  <c r="AD101" i="36"/>
  <c r="AP101" i="36" s="1"/>
  <c r="AC101" i="36"/>
  <c r="AO101" i="36" s="1"/>
  <c r="AB101" i="36"/>
  <c r="AN101" i="36" s="1"/>
  <c r="AA101" i="36"/>
  <c r="AM101" i="36" s="1"/>
  <c r="Z101" i="36"/>
  <c r="AL101" i="36" s="1"/>
  <c r="Y101" i="36"/>
  <c r="AK101" i="36" s="1"/>
  <c r="X101" i="36"/>
  <c r="W101" i="36"/>
  <c r="V101" i="36"/>
  <c r="U101" i="36"/>
  <c r="T101" i="36"/>
  <c r="S101" i="36"/>
  <c r="R101" i="36"/>
  <c r="AG98" i="36"/>
  <c r="AS98" i="36" s="1"/>
  <c r="AF98" i="36"/>
  <c r="AR98" i="36" s="1"/>
  <c r="AE98" i="36"/>
  <c r="AQ98" i="36" s="1"/>
  <c r="AD98" i="36"/>
  <c r="AP98" i="36" s="1"/>
  <c r="AC98" i="36"/>
  <c r="AO98" i="36" s="1"/>
  <c r="AB98" i="36"/>
  <c r="AN98" i="36" s="1"/>
  <c r="AA98" i="36"/>
  <c r="AM98" i="36" s="1"/>
  <c r="Z98" i="36"/>
  <c r="AL98" i="36" s="1"/>
  <c r="Y98" i="36"/>
  <c r="AK98" i="36" s="1"/>
  <c r="X98" i="36"/>
  <c r="W98" i="36"/>
  <c r="V98" i="36"/>
  <c r="U98" i="36"/>
  <c r="T98" i="36"/>
  <c r="S98" i="36"/>
  <c r="R98" i="36"/>
  <c r="AG95" i="36"/>
  <c r="AS95" i="36" s="1"/>
  <c r="AF95" i="36"/>
  <c r="AR95" i="36" s="1"/>
  <c r="AE95" i="36"/>
  <c r="AQ95" i="36" s="1"/>
  <c r="AD95" i="36"/>
  <c r="AP95" i="36" s="1"/>
  <c r="AC95" i="36"/>
  <c r="AO95" i="36" s="1"/>
  <c r="AB95" i="36"/>
  <c r="AN95" i="36" s="1"/>
  <c r="AA95" i="36"/>
  <c r="AM95" i="36" s="1"/>
  <c r="Z95" i="36"/>
  <c r="AL95" i="36" s="1"/>
  <c r="Y95" i="36"/>
  <c r="AK95" i="36" s="1"/>
  <c r="X95" i="36"/>
  <c r="W95" i="36"/>
  <c r="V95" i="36"/>
  <c r="U95" i="36"/>
  <c r="T95" i="36"/>
  <c r="S95" i="36"/>
  <c r="R95" i="36"/>
  <c r="AG92" i="36"/>
  <c r="AS92" i="36" s="1"/>
  <c r="AF92" i="36"/>
  <c r="AR92" i="36" s="1"/>
  <c r="AE92" i="36"/>
  <c r="AQ92" i="36" s="1"/>
  <c r="AD92" i="36"/>
  <c r="AP92" i="36" s="1"/>
  <c r="AC92" i="36"/>
  <c r="AO92" i="36" s="1"/>
  <c r="AB92" i="36"/>
  <c r="AN92" i="36" s="1"/>
  <c r="AA92" i="36"/>
  <c r="AM92" i="36" s="1"/>
  <c r="Z92" i="36"/>
  <c r="AL92" i="36" s="1"/>
  <c r="Y92" i="36"/>
  <c r="AK92" i="36" s="1"/>
  <c r="X92" i="36"/>
  <c r="W92" i="36"/>
  <c r="V92" i="36"/>
  <c r="U92" i="36"/>
  <c r="T92" i="36"/>
  <c r="S92" i="36"/>
  <c r="R92" i="36"/>
  <c r="AG89" i="36"/>
  <c r="AS89" i="36" s="1"/>
  <c r="AF89" i="36"/>
  <c r="AR89" i="36" s="1"/>
  <c r="AE89" i="36"/>
  <c r="AQ89" i="36" s="1"/>
  <c r="AD89" i="36"/>
  <c r="AP89" i="36" s="1"/>
  <c r="AC89" i="36"/>
  <c r="AO89" i="36" s="1"/>
  <c r="AB89" i="36"/>
  <c r="AN89" i="36" s="1"/>
  <c r="AA89" i="36"/>
  <c r="AM89" i="36" s="1"/>
  <c r="Z89" i="36"/>
  <c r="AL89" i="36" s="1"/>
  <c r="Y89" i="36"/>
  <c r="AK89" i="36" s="1"/>
  <c r="X89" i="36"/>
  <c r="W89" i="36"/>
  <c r="V89" i="36"/>
  <c r="U89" i="36"/>
  <c r="T89" i="36"/>
  <c r="S89" i="36"/>
  <c r="R89" i="36"/>
  <c r="AG86" i="36"/>
  <c r="AS86" i="36" s="1"/>
  <c r="AF86" i="36"/>
  <c r="AR86" i="36" s="1"/>
  <c r="AE86" i="36"/>
  <c r="AQ86" i="36" s="1"/>
  <c r="AD86" i="36"/>
  <c r="AP86" i="36" s="1"/>
  <c r="AC86" i="36"/>
  <c r="AO86" i="36" s="1"/>
  <c r="AB86" i="36"/>
  <c r="AN86" i="36" s="1"/>
  <c r="AA86" i="36"/>
  <c r="AM86" i="36" s="1"/>
  <c r="Z86" i="36"/>
  <c r="AL86" i="36" s="1"/>
  <c r="Y86" i="36"/>
  <c r="AK86" i="36" s="1"/>
  <c r="X86" i="36"/>
  <c r="W86" i="36"/>
  <c r="V86" i="36"/>
  <c r="U86" i="36"/>
  <c r="T86" i="36"/>
  <c r="S86" i="36"/>
  <c r="R86" i="36"/>
  <c r="AG83" i="36"/>
  <c r="AS83" i="36" s="1"/>
  <c r="AF83" i="36"/>
  <c r="AR83" i="36" s="1"/>
  <c r="AE83" i="36"/>
  <c r="AQ83" i="36" s="1"/>
  <c r="AD83" i="36"/>
  <c r="AP83" i="36" s="1"/>
  <c r="AC83" i="36"/>
  <c r="AO83" i="36" s="1"/>
  <c r="AB83" i="36"/>
  <c r="AN83" i="36" s="1"/>
  <c r="AA83" i="36"/>
  <c r="AM83" i="36" s="1"/>
  <c r="Z83" i="36"/>
  <c r="AL83" i="36" s="1"/>
  <c r="Y83" i="36"/>
  <c r="AK83" i="36" s="1"/>
  <c r="X83" i="36"/>
  <c r="W83" i="36"/>
  <c r="V83" i="36"/>
  <c r="U83" i="36"/>
  <c r="T83" i="36"/>
  <c r="S83" i="36"/>
  <c r="R83" i="36"/>
  <c r="AG80" i="36"/>
  <c r="AS80" i="36" s="1"/>
  <c r="AF80" i="36"/>
  <c r="AR80" i="36" s="1"/>
  <c r="AE80" i="36"/>
  <c r="AQ80" i="36" s="1"/>
  <c r="AD80" i="36"/>
  <c r="AP80" i="36" s="1"/>
  <c r="AC80" i="36"/>
  <c r="AO80" i="36" s="1"/>
  <c r="AB80" i="36"/>
  <c r="AN80" i="36" s="1"/>
  <c r="AA80" i="36"/>
  <c r="AM80" i="36" s="1"/>
  <c r="Z80" i="36"/>
  <c r="AL80" i="36" s="1"/>
  <c r="Y80" i="36"/>
  <c r="AK80" i="36" s="1"/>
  <c r="X80" i="36"/>
  <c r="W80" i="36"/>
  <c r="V80" i="36"/>
  <c r="U80" i="36"/>
  <c r="T80" i="36"/>
  <c r="S80" i="36"/>
  <c r="R80" i="36"/>
  <c r="AG77" i="36"/>
  <c r="AS77" i="36" s="1"/>
  <c r="AF77" i="36"/>
  <c r="AR77" i="36" s="1"/>
  <c r="AE77" i="36"/>
  <c r="AQ77" i="36" s="1"/>
  <c r="AD77" i="36"/>
  <c r="AP77" i="36" s="1"/>
  <c r="AC77" i="36"/>
  <c r="AO77" i="36" s="1"/>
  <c r="AB77" i="36"/>
  <c r="AN77" i="36" s="1"/>
  <c r="AA77" i="36"/>
  <c r="AM77" i="36" s="1"/>
  <c r="Z77" i="36"/>
  <c r="AL77" i="36" s="1"/>
  <c r="Y77" i="36"/>
  <c r="AK77" i="36" s="1"/>
  <c r="X77" i="36"/>
  <c r="W77" i="36"/>
  <c r="V77" i="36"/>
  <c r="U77" i="36"/>
  <c r="T77" i="36"/>
  <c r="S77" i="36"/>
  <c r="R77" i="36"/>
  <c r="AG74" i="36"/>
  <c r="AS74" i="36" s="1"/>
  <c r="AF74" i="36"/>
  <c r="AR74" i="36" s="1"/>
  <c r="AE74" i="36"/>
  <c r="AQ74" i="36" s="1"/>
  <c r="AD74" i="36"/>
  <c r="AP74" i="36" s="1"/>
  <c r="AC74" i="36"/>
  <c r="AO74" i="36" s="1"/>
  <c r="AB74" i="36"/>
  <c r="AN74" i="36" s="1"/>
  <c r="AA74" i="36"/>
  <c r="AM74" i="36" s="1"/>
  <c r="Z74" i="36"/>
  <c r="AL74" i="36" s="1"/>
  <c r="Y74" i="36"/>
  <c r="AK74" i="36" s="1"/>
  <c r="X74" i="36"/>
  <c r="W74" i="36"/>
  <c r="AG71" i="36"/>
  <c r="AS71" i="36" s="1"/>
  <c r="AF71" i="36"/>
  <c r="AR71" i="36" s="1"/>
  <c r="AE71" i="36"/>
  <c r="AQ71" i="36" s="1"/>
  <c r="AD71" i="36"/>
  <c r="AP71" i="36" s="1"/>
  <c r="AC71" i="36"/>
  <c r="AO71" i="36" s="1"/>
  <c r="AB71" i="36"/>
  <c r="AN71" i="36" s="1"/>
  <c r="AA71" i="36"/>
  <c r="AM71" i="36" s="1"/>
  <c r="Z71" i="36"/>
  <c r="AL71" i="36" s="1"/>
  <c r="Y71" i="36"/>
  <c r="AK71" i="36" s="1"/>
  <c r="X71" i="36"/>
  <c r="W71" i="36"/>
  <c r="V71" i="36"/>
  <c r="U71" i="36"/>
  <c r="T71" i="36"/>
  <c r="S71" i="36"/>
  <c r="R71" i="36"/>
  <c r="AG68" i="36"/>
  <c r="AF68" i="36"/>
  <c r="AE68" i="36"/>
  <c r="AD68" i="36"/>
  <c r="AC68" i="36"/>
  <c r="AB68" i="36"/>
  <c r="AA68" i="36"/>
  <c r="Z68" i="36"/>
  <c r="Y68" i="36"/>
  <c r="X68" i="36"/>
  <c r="AG137" i="36"/>
  <c r="AS137" i="36" s="1"/>
  <c r="AF137" i="36"/>
  <c r="AR137" i="36" s="1"/>
  <c r="AE137" i="36"/>
  <c r="AQ137" i="36" s="1"/>
  <c r="AD137" i="36"/>
  <c r="AP137" i="36" s="1"/>
  <c r="AC137" i="36"/>
  <c r="AO137" i="36" s="1"/>
  <c r="AB137" i="36"/>
  <c r="AN137" i="36" s="1"/>
  <c r="AA137" i="36"/>
  <c r="AM137" i="36" s="1"/>
  <c r="Z137" i="36"/>
  <c r="AL137" i="36" s="1"/>
  <c r="Y137" i="36"/>
  <c r="AK137" i="36" s="1"/>
  <c r="X137" i="36"/>
  <c r="W137" i="36"/>
  <c r="V137" i="36"/>
  <c r="U137" i="36"/>
  <c r="T137" i="36"/>
  <c r="S137" i="36"/>
  <c r="R137" i="36"/>
  <c r="W116" i="36"/>
  <c r="AG113" i="36"/>
  <c r="AS113" i="36" s="1"/>
  <c r="AF113" i="36"/>
  <c r="AR113" i="36" s="1"/>
  <c r="AE113" i="36"/>
  <c r="AQ113" i="36" s="1"/>
  <c r="AD113" i="36"/>
  <c r="AP113" i="36" s="1"/>
  <c r="AC113" i="36"/>
  <c r="AO113" i="36" s="1"/>
  <c r="AB113" i="36"/>
  <c r="AN113" i="36" s="1"/>
  <c r="AA113" i="36"/>
  <c r="AM113" i="36" s="1"/>
  <c r="Z113" i="36"/>
  <c r="AL113" i="36" s="1"/>
  <c r="Y113" i="36"/>
  <c r="AK113" i="36" s="1"/>
  <c r="X113" i="36"/>
  <c r="W113" i="36"/>
  <c r="V113" i="36"/>
  <c r="U113" i="36"/>
  <c r="T113" i="36"/>
  <c r="S113" i="36"/>
  <c r="R113" i="36"/>
  <c r="AJ188" i="36" l="1"/>
  <c r="AJ191" i="36"/>
  <c r="AJ194" i="36"/>
  <c r="AJ197" i="36"/>
  <c r="AJ200" i="36"/>
  <c r="AJ203" i="36"/>
  <c r="AJ206" i="36"/>
  <c r="AJ209" i="36"/>
  <c r="AJ212" i="36"/>
  <c r="AJ215" i="36"/>
  <c r="AJ218" i="36"/>
  <c r="AJ71" i="36"/>
  <c r="AJ119" i="36"/>
  <c r="AJ122" i="36"/>
  <c r="AJ125" i="36"/>
  <c r="AJ128" i="36"/>
  <c r="AJ131" i="36"/>
  <c r="AJ134" i="36"/>
  <c r="AJ140" i="36"/>
  <c r="AJ164" i="36"/>
  <c r="AJ170" i="36"/>
  <c r="AJ176" i="36"/>
  <c r="AJ182" i="36"/>
  <c r="AJ185" i="36"/>
  <c r="AJ314" i="36"/>
  <c r="AJ317" i="36"/>
  <c r="AJ320" i="36"/>
  <c r="AJ293" i="36"/>
  <c r="AJ296" i="36"/>
  <c r="AJ299" i="36"/>
  <c r="AJ302" i="36"/>
  <c r="AJ305" i="36"/>
  <c r="AJ308" i="36"/>
  <c r="AJ311" i="36"/>
  <c r="AJ113" i="36"/>
  <c r="AJ74" i="36"/>
  <c r="AJ77" i="36"/>
  <c r="AJ80" i="36"/>
  <c r="AJ83" i="36"/>
  <c r="AJ86" i="36"/>
  <c r="AJ89" i="36"/>
  <c r="AJ92" i="36"/>
  <c r="AJ95" i="36"/>
  <c r="AJ98" i="36"/>
  <c r="AJ101" i="36"/>
  <c r="AJ104" i="36"/>
  <c r="AJ107" i="36"/>
  <c r="AJ110" i="36"/>
  <c r="AJ143" i="36"/>
  <c r="AJ146" i="36"/>
  <c r="AJ149" i="36"/>
  <c r="AJ152" i="36"/>
  <c r="AJ155" i="36"/>
  <c r="AJ158" i="36"/>
  <c r="AJ161" i="36"/>
  <c r="AJ167" i="36"/>
  <c r="AJ173" i="36"/>
  <c r="AJ179" i="36"/>
  <c r="AJ260" i="36"/>
  <c r="AJ263" i="36"/>
  <c r="AJ266" i="36"/>
  <c r="AJ269" i="36"/>
  <c r="AJ272" i="36"/>
  <c r="AJ275" i="36"/>
  <c r="AJ278" i="36"/>
  <c r="AJ281" i="36"/>
  <c r="AJ284" i="36"/>
  <c r="AJ287" i="36"/>
  <c r="AJ290" i="36"/>
  <c r="AJ137" i="36"/>
  <c r="AJ224" i="36"/>
  <c r="AJ227" i="36"/>
  <c r="AJ230" i="36"/>
  <c r="AJ233" i="36"/>
  <c r="AJ236" i="36"/>
  <c r="AJ239" i="36"/>
  <c r="AJ242" i="36"/>
  <c r="AJ245" i="36"/>
  <c r="AJ248" i="36"/>
  <c r="AJ251" i="36"/>
  <c r="AJ254" i="36"/>
  <c r="AJ257" i="36"/>
  <c r="AJ221" i="36"/>
  <c r="AQ68" i="36"/>
  <c r="AM68" i="36"/>
  <c r="AN68" i="36"/>
  <c r="AR68" i="36"/>
  <c r="AL68" i="36"/>
  <c r="AO68" i="36"/>
  <c r="AP68" i="36"/>
  <c r="AJ68" i="36"/>
  <c r="AK68" i="36"/>
  <c r="AS68" i="36"/>
  <c r="Y116" i="36"/>
  <c r="AK116" i="36" s="1"/>
  <c r="X116" i="36"/>
  <c r="S116" i="36"/>
  <c r="T116" i="36"/>
  <c r="AJ116" i="36" l="1"/>
  <c r="R116" i="36"/>
  <c r="BB115" i="36"/>
  <c r="Z116" i="36"/>
  <c r="AL116" i="36" l="1"/>
  <c r="AA116" i="36"/>
  <c r="AM116" i="36" l="1"/>
  <c r="AB116" i="36"/>
  <c r="AN116" i="36" l="1"/>
  <c r="AC116" i="36"/>
  <c r="AO116" i="36" l="1"/>
  <c r="AD116" i="36"/>
  <c r="AP116" i="36" l="1"/>
  <c r="AE116" i="36"/>
  <c r="AQ116" i="36" l="1"/>
  <c r="AG116" i="36"/>
  <c r="AF116" i="36"/>
  <c r="AR116" i="36" l="1"/>
  <c r="AS116" i="36"/>
  <c r="D51" i="44"/>
  <c r="D41" i="44"/>
  <c r="D28" i="44"/>
  <c r="D20" i="44"/>
  <c r="I421" i="36"/>
  <c r="H421" i="36"/>
  <c r="G421" i="36"/>
  <c r="F421" i="36"/>
  <c r="AG419" i="36"/>
  <c r="AS419" i="36" s="1"/>
  <c r="AF419" i="36"/>
  <c r="AR419" i="36" s="1"/>
  <c r="AE419" i="36"/>
  <c r="AQ419" i="36" s="1"/>
  <c r="AD419" i="36"/>
  <c r="AP419" i="36" s="1"/>
  <c r="AC419" i="36"/>
  <c r="AO419" i="36" s="1"/>
  <c r="AB419" i="36"/>
  <c r="AN419" i="36" s="1"/>
  <c r="AA419" i="36"/>
  <c r="AM419" i="36" s="1"/>
  <c r="Z419" i="36"/>
  <c r="AL419" i="36" s="1"/>
  <c r="Y419" i="36"/>
  <c r="AK419" i="36" s="1"/>
  <c r="X419" i="36"/>
  <c r="W419" i="36"/>
  <c r="V419" i="36"/>
  <c r="U419" i="36"/>
  <c r="T419" i="36"/>
  <c r="S419" i="36"/>
  <c r="R419" i="36"/>
  <c r="Q419" i="36"/>
  <c r="P419" i="36"/>
  <c r="O419" i="36"/>
  <c r="N419" i="36"/>
  <c r="M419" i="36"/>
  <c r="L419" i="36"/>
  <c r="K419" i="36"/>
  <c r="I419" i="36"/>
  <c r="H419" i="36"/>
  <c r="G419" i="36"/>
  <c r="F419" i="36"/>
  <c r="I418" i="36"/>
  <c r="H418" i="36"/>
  <c r="G418" i="36"/>
  <c r="F418" i="36"/>
  <c r="AG416" i="36"/>
  <c r="AS416" i="36" s="1"/>
  <c r="AF416" i="36"/>
  <c r="AR416" i="36" s="1"/>
  <c r="AE416" i="36"/>
  <c r="AQ416" i="36" s="1"/>
  <c r="AD416" i="36"/>
  <c r="AP416" i="36" s="1"/>
  <c r="AC416" i="36"/>
  <c r="AO416" i="36" s="1"/>
  <c r="AB416" i="36"/>
  <c r="AN416" i="36" s="1"/>
  <c r="AA416" i="36"/>
  <c r="AM416" i="36" s="1"/>
  <c r="Z416" i="36"/>
  <c r="AL416" i="36" s="1"/>
  <c r="Y416" i="36"/>
  <c r="AK416" i="36" s="1"/>
  <c r="X416" i="36"/>
  <c r="W416" i="36"/>
  <c r="V416" i="36"/>
  <c r="U416" i="36"/>
  <c r="T416" i="36"/>
  <c r="S416" i="36"/>
  <c r="R416" i="36"/>
  <c r="Q416" i="36"/>
  <c r="P416" i="36"/>
  <c r="O416" i="36"/>
  <c r="N416" i="36"/>
  <c r="M416" i="36"/>
  <c r="L416" i="36"/>
  <c r="K416" i="36"/>
  <c r="I416" i="36"/>
  <c r="H416" i="36"/>
  <c r="G416" i="36"/>
  <c r="F416" i="36"/>
  <c r="I415" i="36"/>
  <c r="H415" i="36"/>
  <c r="G415" i="36"/>
  <c r="F415" i="36"/>
  <c r="AG413" i="36"/>
  <c r="AS413" i="36" s="1"/>
  <c r="AF413" i="36"/>
  <c r="AR413" i="36" s="1"/>
  <c r="AE413" i="36"/>
  <c r="AQ413" i="36" s="1"/>
  <c r="AD413" i="36"/>
  <c r="AP413" i="36" s="1"/>
  <c r="AC413" i="36"/>
  <c r="AO413" i="36" s="1"/>
  <c r="AB413" i="36"/>
  <c r="AN413" i="36" s="1"/>
  <c r="AA413" i="36"/>
  <c r="AM413" i="36" s="1"/>
  <c r="Z413" i="36"/>
  <c r="AL413" i="36" s="1"/>
  <c r="Y413" i="36"/>
  <c r="AK413" i="36" s="1"/>
  <c r="X413" i="36"/>
  <c r="W413" i="36"/>
  <c r="V413" i="36"/>
  <c r="U413" i="36"/>
  <c r="T413" i="36"/>
  <c r="S413" i="36"/>
  <c r="R413" i="36"/>
  <c r="Q413" i="36"/>
  <c r="P413" i="36"/>
  <c r="O413" i="36"/>
  <c r="N413" i="36"/>
  <c r="M413" i="36"/>
  <c r="L413" i="36"/>
  <c r="K413" i="36"/>
  <c r="I413" i="36"/>
  <c r="H413" i="36"/>
  <c r="G413" i="36"/>
  <c r="F413" i="36"/>
  <c r="I412" i="36"/>
  <c r="H412" i="36"/>
  <c r="G412" i="36"/>
  <c r="F412" i="36"/>
  <c r="AG410" i="36"/>
  <c r="AS410" i="36" s="1"/>
  <c r="AF410" i="36"/>
  <c r="AR410" i="36" s="1"/>
  <c r="AE410" i="36"/>
  <c r="AQ410" i="36" s="1"/>
  <c r="AD410" i="36"/>
  <c r="AP410" i="36" s="1"/>
  <c r="AC410" i="36"/>
  <c r="AO410" i="36" s="1"/>
  <c r="AB410" i="36"/>
  <c r="AN410" i="36" s="1"/>
  <c r="AA410" i="36"/>
  <c r="AM410" i="36" s="1"/>
  <c r="Z410" i="36"/>
  <c r="AL410" i="36" s="1"/>
  <c r="Y410" i="36"/>
  <c r="AK410" i="36" s="1"/>
  <c r="X410" i="36"/>
  <c r="W410" i="36"/>
  <c r="V410" i="36"/>
  <c r="U410" i="36"/>
  <c r="T410" i="36"/>
  <c r="S410" i="36"/>
  <c r="R410" i="36"/>
  <c r="Q410" i="36"/>
  <c r="P410" i="36"/>
  <c r="O410" i="36"/>
  <c r="N410" i="36"/>
  <c r="M410" i="36"/>
  <c r="L410" i="36"/>
  <c r="K410" i="36"/>
  <c r="I410" i="36"/>
  <c r="H410" i="36"/>
  <c r="G410" i="36"/>
  <c r="F410" i="36"/>
  <c r="I409" i="36"/>
  <c r="H409" i="36"/>
  <c r="G409" i="36"/>
  <c r="F409" i="36"/>
  <c r="AG407" i="36"/>
  <c r="AS407" i="36" s="1"/>
  <c r="AF407" i="36"/>
  <c r="AR407" i="36" s="1"/>
  <c r="AE407" i="36"/>
  <c r="AQ407" i="36" s="1"/>
  <c r="AD407" i="36"/>
  <c r="AP407" i="36" s="1"/>
  <c r="AC407" i="36"/>
  <c r="AO407" i="36" s="1"/>
  <c r="AB407" i="36"/>
  <c r="AN407" i="36" s="1"/>
  <c r="AA407" i="36"/>
  <c r="AM407" i="36" s="1"/>
  <c r="Z407" i="36"/>
  <c r="AL407" i="36" s="1"/>
  <c r="Y407" i="36"/>
  <c r="AK407" i="36" s="1"/>
  <c r="X407" i="36"/>
  <c r="W407" i="36"/>
  <c r="V407" i="36"/>
  <c r="U407" i="36"/>
  <c r="T407" i="36"/>
  <c r="S407" i="36"/>
  <c r="R407" i="36"/>
  <c r="Q407" i="36"/>
  <c r="P407" i="36"/>
  <c r="O407" i="36"/>
  <c r="N407" i="36"/>
  <c r="M407" i="36"/>
  <c r="L407" i="36"/>
  <c r="K407" i="36"/>
  <c r="I407" i="36"/>
  <c r="H407" i="36"/>
  <c r="G407" i="36"/>
  <c r="F407" i="36"/>
  <c r="I406" i="36"/>
  <c r="H406" i="36"/>
  <c r="G406" i="36"/>
  <c r="F406" i="36"/>
  <c r="AG404" i="36"/>
  <c r="AS404" i="36" s="1"/>
  <c r="AF404" i="36"/>
  <c r="AR404" i="36" s="1"/>
  <c r="AE404" i="36"/>
  <c r="AQ404" i="36" s="1"/>
  <c r="AD404" i="36"/>
  <c r="AP404" i="36" s="1"/>
  <c r="AC404" i="36"/>
  <c r="AO404" i="36" s="1"/>
  <c r="AB404" i="36"/>
  <c r="AN404" i="36" s="1"/>
  <c r="AA404" i="36"/>
  <c r="AM404" i="36" s="1"/>
  <c r="Z404" i="36"/>
  <c r="AL404" i="36" s="1"/>
  <c r="Y404" i="36"/>
  <c r="AK404" i="36" s="1"/>
  <c r="X404" i="36"/>
  <c r="W404" i="36"/>
  <c r="V404" i="36"/>
  <c r="U404" i="36"/>
  <c r="T404" i="36"/>
  <c r="S404" i="36"/>
  <c r="R404" i="36"/>
  <c r="Q404" i="36"/>
  <c r="P404" i="36"/>
  <c r="O404" i="36"/>
  <c r="N404" i="36"/>
  <c r="M404" i="36"/>
  <c r="L404" i="36"/>
  <c r="K404" i="36"/>
  <c r="I404" i="36"/>
  <c r="H404" i="36"/>
  <c r="G404" i="36"/>
  <c r="F404" i="36"/>
  <c r="I403" i="36"/>
  <c r="H403" i="36"/>
  <c r="G403" i="36"/>
  <c r="F403" i="36"/>
  <c r="AG401" i="36"/>
  <c r="AS401" i="36" s="1"/>
  <c r="AF401" i="36"/>
  <c r="AR401" i="36" s="1"/>
  <c r="AE401" i="36"/>
  <c r="AQ401" i="36" s="1"/>
  <c r="AD401" i="36"/>
  <c r="AP401" i="36" s="1"/>
  <c r="AC401" i="36"/>
  <c r="AO401" i="36" s="1"/>
  <c r="AB401" i="36"/>
  <c r="AN401" i="36" s="1"/>
  <c r="AA401" i="36"/>
  <c r="AM401" i="36" s="1"/>
  <c r="Z401" i="36"/>
  <c r="AL401" i="36" s="1"/>
  <c r="Y401" i="36"/>
  <c r="AK401" i="36" s="1"/>
  <c r="X401" i="36"/>
  <c r="W401" i="36"/>
  <c r="V401" i="36"/>
  <c r="U401" i="36"/>
  <c r="T401" i="36"/>
  <c r="S401" i="36"/>
  <c r="R401" i="36"/>
  <c r="Q401" i="36"/>
  <c r="P401" i="36"/>
  <c r="O401" i="36"/>
  <c r="N401" i="36"/>
  <c r="M401" i="36"/>
  <c r="L401" i="36"/>
  <c r="K401" i="36"/>
  <c r="I401" i="36"/>
  <c r="H401" i="36"/>
  <c r="G401" i="36"/>
  <c r="F401" i="36"/>
  <c r="I400" i="36"/>
  <c r="H400" i="36"/>
  <c r="G400" i="36"/>
  <c r="F400" i="36"/>
  <c r="AG398" i="36"/>
  <c r="AS398" i="36" s="1"/>
  <c r="AF398" i="36"/>
  <c r="AR398" i="36" s="1"/>
  <c r="AE398" i="36"/>
  <c r="AQ398" i="36" s="1"/>
  <c r="AD398" i="36"/>
  <c r="AP398" i="36" s="1"/>
  <c r="AC398" i="36"/>
  <c r="AO398" i="36" s="1"/>
  <c r="AB398" i="36"/>
  <c r="AN398" i="36" s="1"/>
  <c r="AA398" i="36"/>
  <c r="AM398" i="36" s="1"/>
  <c r="Z398" i="36"/>
  <c r="AL398" i="36" s="1"/>
  <c r="Y398" i="36"/>
  <c r="AK398" i="36" s="1"/>
  <c r="X398" i="36"/>
  <c r="W398" i="36"/>
  <c r="V398" i="36"/>
  <c r="U398" i="36"/>
  <c r="T398" i="36"/>
  <c r="S398" i="36"/>
  <c r="R398" i="36"/>
  <c r="Q398" i="36"/>
  <c r="P398" i="36"/>
  <c r="O398" i="36"/>
  <c r="N398" i="36"/>
  <c r="M398" i="36"/>
  <c r="L398" i="36"/>
  <c r="K398" i="36"/>
  <c r="I398" i="36"/>
  <c r="H398" i="36"/>
  <c r="G398" i="36"/>
  <c r="F398" i="36"/>
  <c r="I397" i="36"/>
  <c r="H397" i="36"/>
  <c r="G397" i="36"/>
  <c r="F397" i="36"/>
  <c r="AG395" i="36"/>
  <c r="AS395" i="36" s="1"/>
  <c r="AF395" i="36"/>
  <c r="AR395" i="36" s="1"/>
  <c r="AE395" i="36"/>
  <c r="AQ395" i="36" s="1"/>
  <c r="AD395" i="36"/>
  <c r="AP395" i="36" s="1"/>
  <c r="AC395" i="36"/>
  <c r="AO395" i="36" s="1"/>
  <c r="AB395" i="36"/>
  <c r="AN395" i="36" s="1"/>
  <c r="AA395" i="36"/>
  <c r="AM395" i="36" s="1"/>
  <c r="Z395" i="36"/>
  <c r="AL395" i="36" s="1"/>
  <c r="Y395" i="36"/>
  <c r="AK395" i="36" s="1"/>
  <c r="X395" i="36"/>
  <c r="W395" i="36"/>
  <c r="V395" i="36"/>
  <c r="U395" i="36"/>
  <c r="T395" i="36"/>
  <c r="S395" i="36"/>
  <c r="R395" i="36"/>
  <c r="Q395" i="36"/>
  <c r="P395" i="36"/>
  <c r="O395" i="36"/>
  <c r="N395" i="36"/>
  <c r="M395" i="36"/>
  <c r="L395" i="36"/>
  <c r="K395" i="36"/>
  <c r="I395" i="36"/>
  <c r="H395" i="36"/>
  <c r="G395" i="36"/>
  <c r="F395" i="36"/>
  <c r="I394" i="36"/>
  <c r="H394" i="36"/>
  <c r="G394" i="36"/>
  <c r="F394" i="36"/>
  <c r="AG392" i="36"/>
  <c r="AS392" i="36" s="1"/>
  <c r="AF392" i="36"/>
  <c r="AR392" i="36" s="1"/>
  <c r="AE392" i="36"/>
  <c r="AQ392" i="36" s="1"/>
  <c r="AD392" i="36"/>
  <c r="AP392" i="36" s="1"/>
  <c r="AC392" i="36"/>
  <c r="AO392" i="36" s="1"/>
  <c r="AB392" i="36"/>
  <c r="AN392" i="36" s="1"/>
  <c r="AA392" i="36"/>
  <c r="AM392" i="36" s="1"/>
  <c r="Z392" i="36"/>
  <c r="AL392" i="36" s="1"/>
  <c r="Y392" i="36"/>
  <c r="AK392" i="36" s="1"/>
  <c r="X392" i="36"/>
  <c r="W392" i="36"/>
  <c r="V392" i="36"/>
  <c r="U392" i="36"/>
  <c r="T392" i="36"/>
  <c r="S392" i="36"/>
  <c r="R392" i="36"/>
  <c r="Q392" i="36"/>
  <c r="P392" i="36"/>
  <c r="O392" i="36"/>
  <c r="N392" i="36"/>
  <c r="M392" i="36"/>
  <c r="L392" i="36"/>
  <c r="K392" i="36"/>
  <c r="I392" i="36"/>
  <c r="H392" i="36"/>
  <c r="G392" i="36"/>
  <c r="F392" i="36"/>
  <c r="I391" i="36"/>
  <c r="H391" i="36"/>
  <c r="G391" i="36"/>
  <c r="F391" i="36"/>
  <c r="AG389" i="36"/>
  <c r="AS389" i="36" s="1"/>
  <c r="AF389" i="36"/>
  <c r="AR389" i="36" s="1"/>
  <c r="AE389" i="36"/>
  <c r="AQ389" i="36" s="1"/>
  <c r="AD389" i="36"/>
  <c r="AP389" i="36" s="1"/>
  <c r="AC389" i="36"/>
  <c r="AO389" i="36" s="1"/>
  <c r="AB389" i="36"/>
  <c r="AN389" i="36" s="1"/>
  <c r="AA389" i="36"/>
  <c r="AM389" i="36" s="1"/>
  <c r="Z389" i="36"/>
  <c r="AL389" i="36" s="1"/>
  <c r="Y389" i="36"/>
  <c r="AK389" i="36" s="1"/>
  <c r="X389" i="36"/>
  <c r="W389" i="36"/>
  <c r="V389" i="36"/>
  <c r="U389" i="36"/>
  <c r="T389" i="36"/>
  <c r="S389" i="36"/>
  <c r="R389" i="36"/>
  <c r="Q389" i="36"/>
  <c r="P389" i="36"/>
  <c r="O389" i="36"/>
  <c r="N389" i="36"/>
  <c r="M389" i="36"/>
  <c r="L389" i="36"/>
  <c r="K389" i="36"/>
  <c r="I389" i="36"/>
  <c r="H389" i="36"/>
  <c r="G389" i="36"/>
  <c r="F389" i="36"/>
  <c r="I388" i="36"/>
  <c r="H388" i="36"/>
  <c r="G388" i="36"/>
  <c r="F388" i="36"/>
  <c r="AG386" i="36"/>
  <c r="AS386" i="36" s="1"/>
  <c r="AF386" i="36"/>
  <c r="AR386" i="36" s="1"/>
  <c r="AE386" i="36"/>
  <c r="AQ386" i="36" s="1"/>
  <c r="AD386" i="36"/>
  <c r="AP386" i="36" s="1"/>
  <c r="AC386" i="36"/>
  <c r="AO386" i="36" s="1"/>
  <c r="AB386" i="36"/>
  <c r="AN386" i="36" s="1"/>
  <c r="AA386" i="36"/>
  <c r="AM386" i="36" s="1"/>
  <c r="Z386" i="36"/>
  <c r="AL386" i="36" s="1"/>
  <c r="Y386" i="36"/>
  <c r="AK386" i="36" s="1"/>
  <c r="X386" i="36"/>
  <c r="W386" i="36"/>
  <c r="V386" i="36"/>
  <c r="U386" i="36"/>
  <c r="T386" i="36"/>
  <c r="S386" i="36"/>
  <c r="R386" i="36"/>
  <c r="Q386" i="36"/>
  <c r="P386" i="36"/>
  <c r="O386" i="36"/>
  <c r="N386" i="36"/>
  <c r="M386" i="36"/>
  <c r="L386" i="36"/>
  <c r="K386" i="36"/>
  <c r="I386" i="36"/>
  <c r="H386" i="36"/>
  <c r="G386" i="36"/>
  <c r="F386" i="36"/>
  <c r="I385" i="36"/>
  <c r="H385" i="36"/>
  <c r="G385" i="36"/>
  <c r="F385" i="36"/>
  <c r="AG383" i="36"/>
  <c r="AS383" i="36" s="1"/>
  <c r="AF383" i="36"/>
  <c r="AR383" i="36" s="1"/>
  <c r="AE383" i="36"/>
  <c r="AQ383" i="36" s="1"/>
  <c r="AD383" i="36"/>
  <c r="AP383" i="36" s="1"/>
  <c r="AC383" i="36"/>
  <c r="AO383" i="36" s="1"/>
  <c r="AB383" i="36"/>
  <c r="AN383" i="36" s="1"/>
  <c r="AA383" i="36"/>
  <c r="AM383" i="36" s="1"/>
  <c r="Z383" i="36"/>
  <c r="AL383" i="36" s="1"/>
  <c r="Y383" i="36"/>
  <c r="AK383" i="36" s="1"/>
  <c r="X383" i="36"/>
  <c r="W383" i="36"/>
  <c r="V383" i="36"/>
  <c r="U383" i="36"/>
  <c r="T383" i="36"/>
  <c r="S383" i="36"/>
  <c r="R383" i="36"/>
  <c r="Q383" i="36"/>
  <c r="P383" i="36"/>
  <c r="O383" i="36"/>
  <c r="N383" i="36"/>
  <c r="M383" i="36"/>
  <c r="L383" i="36"/>
  <c r="K383" i="36"/>
  <c r="I383" i="36"/>
  <c r="H383" i="36"/>
  <c r="G383" i="36"/>
  <c r="F383" i="36"/>
  <c r="I382" i="36"/>
  <c r="H382" i="36"/>
  <c r="G382" i="36"/>
  <c r="F382" i="36"/>
  <c r="AG380" i="36"/>
  <c r="AS380" i="36" s="1"/>
  <c r="AF380" i="36"/>
  <c r="AR380" i="36" s="1"/>
  <c r="AE380" i="36"/>
  <c r="AQ380" i="36" s="1"/>
  <c r="AD380" i="36"/>
  <c r="AP380" i="36" s="1"/>
  <c r="AC380" i="36"/>
  <c r="AO380" i="36" s="1"/>
  <c r="AB380" i="36"/>
  <c r="AN380" i="36" s="1"/>
  <c r="AA380" i="36"/>
  <c r="AM380" i="36" s="1"/>
  <c r="Z380" i="36"/>
  <c r="AL380" i="36" s="1"/>
  <c r="Y380" i="36"/>
  <c r="AK380" i="36" s="1"/>
  <c r="X380" i="36"/>
  <c r="W380" i="36"/>
  <c r="V380" i="36"/>
  <c r="U380" i="36"/>
  <c r="T380" i="36"/>
  <c r="S380" i="36"/>
  <c r="R380" i="36"/>
  <c r="Q380" i="36"/>
  <c r="P380" i="36"/>
  <c r="O380" i="36"/>
  <c r="N380" i="36"/>
  <c r="M380" i="36"/>
  <c r="L380" i="36"/>
  <c r="K380" i="36"/>
  <c r="I380" i="36"/>
  <c r="H380" i="36"/>
  <c r="G380" i="36"/>
  <c r="F380" i="36"/>
  <c r="I379" i="36"/>
  <c r="H379" i="36"/>
  <c r="G379" i="36"/>
  <c r="F379" i="36"/>
  <c r="AG377" i="36"/>
  <c r="AS377" i="36" s="1"/>
  <c r="AF377" i="36"/>
  <c r="AR377" i="36" s="1"/>
  <c r="AE377" i="36"/>
  <c r="AQ377" i="36" s="1"/>
  <c r="AD377" i="36"/>
  <c r="AP377" i="36" s="1"/>
  <c r="AC377" i="36"/>
  <c r="AO377" i="36" s="1"/>
  <c r="AB377" i="36"/>
  <c r="AN377" i="36" s="1"/>
  <c r="AA377" i="36"/>
  <c r="AM377" i="36" s="1"/>
  <c r="Z377" i="36"/>
  <c r="AL377" i="36" s="1"/>
  <c r="Y377" i="36"/>
  <c r="AK377" i="36" s="1"/>
  <c r="X377" i="36"/>
  <c r="W377" i="36"/>
  <c r="V377" i="36"/>
  <c r="U377" i="36"/>
  <c r="T377" i="36"/>
  <c r="S377" i="36"/>
  <c r="R377" i="36"/>
  <c r="Q377" i="36"/>
  <c r="P377" i="36"/>
  <c r="O377" i="36"/>
  <c r="N377" i="36"/>
  <c r="M377" i="36"/>
  <c r="L377" i="36"/>
  <c r="K377" i="36"/>
  <c r="I377" i="36"/>
  <c r="H377" i="36"/>
  <c r="G377" i="36"/>
  <c r="F377" i="36"/>
  <c r="I376" i="36"/>
  <c r="H376" i="36"/>
  <c r="G376" i="36"/>
  <c r="F376" i="36"/>
  <c r="AG374" i="36"/>
  <c r="AS374" i="36" s="1"/>
  <c r="AF374" i="36"/>
  <c r="AR374" i="36" s="1"/>
  <c r="AE374" i="36"/>
  <c r="AQ374" i="36" s="1"/>
  <c r="AD374" i="36"/>
  <c r="AP374" i="36" s="1"/>
  <c r="AC374" i="36"/>
  <c r="AO374" i="36" s="1"/>
  <c r="AB374" i="36"/>
  <c r="AN374" i="36" s="1"/>
  <c r="AA374" i="36"/>
  <c r="AM374" i="36" s="1"/>
  <c r="Z374" i="36"/>
  <c r="AL374" i="36" s="1"/>
  <c r="Y374" i="36"/>
  <c r="AK374" i="36" s="1"/>
  <c r="X374" i="36"/>
  <c r="W374" i="36"/>
  <c r="V374" i="36"/>
  <c r="U374" i="36"/>
  <c r="T374" i="36"/>
  <c r="S374" i="36"/>
  <c r="R374" i="36"/>
  <c r="Q374" i="36"/>
  <c r="P374" i="36"/>
  <c r="O374" i="36"/>
  <c r="N374" i="36"/>
  <c r="M374" i="36"/>
  <c r="L374" i="36"/>
  <c r="K374" i="36"/>
  <c r="I374" i="36"/>
  <c r="H374" i="36"/>
  <c r="G374" i="36"/>
  <c r="F374" i="36"/>
  <c r="I373" i="36"/>
  <c r="H373" i="36"/>
  <c r="G373" i="36"/>
  <c r="F373" i="36"/>
  <c r="AG371" i="36"/>
  <c r="AS371" i="36" s="1"/>
  <c r="AF371" i="36"/>
  <c r="AR371" i="36" s="1"/>
  <c r="AE371" i="36"/>
  <c r="AQ371" i="36" s="1"/>
  <c r="AD371" i="36"/>
  <c r="AP371" i="36" s="1"/>
  <c r="AC371" i="36"/>
  <c r="AO371" i="36" s="1"/>
  <c r="AB371" i="36"/>
  <c r="AN371" i="36" s="1"/>
  <c r="AA371" i="36"/>
  <c r="AM371" i="36" s="1"/>
  <c r="Z371" i="36"/>
  <c r="AL371" i="36" s="1"/>
  <c r="Y371" i="36"/>
  <c r="AK371" i="36" s="1"/>
  <c r="X371" i="36"/>
  <c r="W371" i="36"/>
  <c r="V371" i="36"/>
  <c r="U371" i="36"/>
  <c r="T371" i="36"/>
  <c r="S371" i="36"/>
  <c r="R371" i="36"/>
  <c r="Q371" i="36"/>
  <c r="P371" i="36"/>
  <c r="O371" i="36"/>
  <c r="N371" i="36"/>
  <c r="M371" i="36"/>
  <c r="L371" i="36"/>
  <c r="K371" i="36"/>
  <c r="I371" i="36"/>
  <c r="H371" i="36"/>
  <c r="G371" i="36"/>
  <c r="F371" i="36"/>
  <c r="I370" i="36"/>
  <c r="H370" i="36"/>
  <c r="G370" i="36"/>
  <c r="F370" i="36"/>
  <c r="AG368" i="36"/>
  <c r="AS368" i="36" s="1"/>
  <c r="AF368" i="36"/>
  <c r="AR368" i="36" s="1"/>
  <c r="AE368" i="36"/>
  <c r="AQ368" i="36" s="1"/>
  <c r="AD368" i="36"/>
  <c r="AP368" i="36" s="1"/>
  <c r="AC368" i="36"/>
  <c r="AO368" i="36" s="1"/>
  <c r="AB368" i="36"/>
  <c r="AN368" i="36" s="1"/>
  <c r="AA368" i="36"/>
  <c r="AM368" i="36" s="1"/>
  <c r="Z368" i="36"/>
  <c r="AL368" i="36" s="1"/>
  <c r="Y368" i="36"/>
  <c r="AK368" i="36" s="1"/>
  <c r="X368" i="36"/>
  <c r="W368" i="36"/>
  <c r="V368" i="36"/>
  <c r="U368" i="36"/>
  <c r="T368" i="36"/>
  <c r="S368" i="36"/>
  <c r="R368" i="36"/>
  <c r="Q368" i="36"/>
  <c r="P368" i="36"/>
  <c r="O368" i="36"/>
  <c r="N368" i="36"/>
  <c r="M368" i="36"/>
  <c r="L368" i="36"/>
  <c r="K368" i="36"/>
  <c r="I368" i="36"/>
  <c r="H368" i="36"/>
  <c r="G368" i="36"/>
  <c r="F368" i="36"/>
  <c r="I367" i="36"/>
  <c r="H367" i="36"/>
  <c r="G367" i="36"/>
  <c r="F367" i="36"/>
  <c r="AG365" i="36"/>
  <c r="AS365" i="36" s="1"/>
  <c r="AF365" i="36"/>
  <c r="AR365" i="36" s="1"/>
  <c r="AE365" i="36"/>
  <c r="AQ365" i="36" s="1"/>
  <c r="AD365" i="36"/>
  <c r="AP365" i="36" s="1"/>
  <c r="AC365" i="36"/>
  <c r="AO365" i="36" s="1"/>
  <c r="AB365" i="36"/>
  <c r="AN365" i="36" s="1"/>
  <c r="AA365" i="36"/>
  <c r="AM365" i="36" s="1"/>
  <c r="Z365" i="36"/>
  <c r="AL365" i="36" s="1"/>
  <c r="Y365" i="36"/>
  <c r="AK365" i="36" s="1"/>
  <c r="X365" i="36"/>
  <c r="W365" i="36"/>
  <c r="V365" i="36"/>
  <c r="U365" i="36"/>
  <c r="T365" i="36"/>
  <c r="S365" i="36"/>
  <c r="R365" i="36"/>
  <c r="Q365" i="36"/>
  <c r="P365" i="36"/>
  <c r="O365" i="36"/>
  <c r="N365" i="36"/>
  <c r="M365" i="36"/>
  <c r="L365" i="36"/>
  <c r="K365" i="36"/>
  <c r="I365" i="36"/>
  <c r="H365" i="36"/>
  <c r="G365" i="36"/>
  <c r="F365" i="36"/>
  <c r="I364" i="36"/>
  <c r="H364" i="36"/>
  <c r="G364" i="36"/>
  <c r="F364" i="36"/>
  <c r="AG362" i="36"/>
  <c r="AS362" i="36" s="1"/>
  <c r="AF362" i="36"/>
  <c r="AR362" i="36" s="1"/>
  <c r="AE362" i="36"/>
  <c r="AQ362" i="36" s="1"/>
  <c r="AD362" i="36"/>
  <c r="AP362" i="36" s="1"/>
  <c r="AC362" i="36"/>
  <c r="AO362" i="36" s="1"/>
  <c r="AB362" i="36"/>
  <c r="AN362" i="36" s="1"/>
  <c r="AA362" i="36"/>
  <c r="AM362" i="36" s="1"/>
  <c r="Z362" i="36"/>
  <c r="AL362" i="36" s="1"/>
  <c r="Y362" i="36"/>
  <c r="AK362" i="36" s="1"/>
  <c r="X362" i="36"/>
  <c r="W362" i="36"/>
  <c r="V362" i="36"/>
  <c r="U362" i="36"/>
  <c r="T362" i="36"/>
  <c r="S362" i="36"/>
  <c r="R362" i="36"/>
  <c r="Q362" i="36"/>
  <c r="P362" i="36"/>
  <c r="O362" i="36"/>
  <c r="N362" i="36"/>
  <c r="M362" i="36"/>
  <c r="L362" i="36"/>
  <c r="K362" i="36"/>
  <c r="I362" i="36"/>
  <c r="H362" i="36"/>
  <c r="G362" i="36"/>
  <c r="F362" i="36"/>
  <c r="I361" i="36"/>
  <c r="H361" i="36"/>
  <c r="G361" i="36"/>
  <c r="F361" i="36"/>
  <c r="AG359" i="36"/>
  <c r="AS359" i="36" s="1"/>
  <c r="AF359" i="36"/>
  <c r="AR359" i="36" s="1"/>
  <c r="AE359" i="36"/>
  <c r="AQ359" i="36" s="1"/>
  <c r="AD359" i="36"/>
  <c r="AP359" i="36" s="1"/>
  <c r="AC359" i="36"/>
  <c r="AO359" i="36" s="1"/>
  <c r="AB359" i="36"/>
  <c r="AN359" i="36" s="1"/>
  <c r="AA359" i="36"/>
  <c r="AM359" i="36" s="1"/>
  <c r="Z359" i="36"/>
  <c r="AL359" i="36" s="1"/>
  <c r="Y359" i="36"/>
  <c r="AK359" i="36" s="1"/>
  <c r="X359" i="36"/>
  <c r="W359" i="36"/>
  <c r="V359" i="36"/>
  <c r="U359" i="36"/>
  <c r="T359" i="36"/>
  <c r="S359" i="36"/>
  <c r="R359" i="36"/>
  <c r="Q359" i="36"/>
  <c r="P359" i="36"/>
  <c r="O359" i="36"/>
  <c r="N359" i="36"/>
  <c r="M359" i="36"/>
  <c r="L359" i="36"/>
  <c r="K359" i="36"/>
  <c r="I359" i="36"/>
  <c r="H359" i="36"/>
  <c r="G359" i="36"/>
  <c r="F359" i="36"/>
  <c r="I358" i="36"/>
  <c r="H358" i="36"/>
  <c r="G358" i="36"/>
  <c r="F358" i="36"/>
  <c r="AG356" i="36"/>
  <c r="AS356" i="36" s="1"/>
  <c r="AF356" i="36"/>
  <c r="AR356" i="36" s="1"/>
  <c r="AE356" i="36"/>
  <c r="AQ356" i="36" s="1"/>
  <c r="AD356" i="36"/>
  <c r="AP356" i="36" s="1"/>
  <c r="AC356" i="36"/>
  <c r="AO356" i="36" s="1"/>
  <c r="AB356" i="36"/>
  <c r="AN356" i="36" s="1"/>
  <c r="AA356" i="36"/>
  <c r="AM356" i="36" s="1"/>
  <c r="Z356" i="36"/>
  <c r="AL356" i="36" s="1"/>
  <c r="Y356" i="36"/>
  <c r="AK356" i="36" s="1"/>
  <c r="X356" i="36"/>
  <c r="W356" i="36"/>
  <c r="V356" i="36"/>
  <c r="U356" i="36"/>
  <c r="T356" i="36"/>
  <c r="S356" i="36"/>
  <c r="R356" i="36"/>
  <c r="Q356" i="36"/>
  <c r="P356" i="36"/>
  <c r="O356" i="36"/>
  <c r="N356" i="36"/>
  <c r="M356" i="36"/>
  <c r="L356" i="36"/>
  <c r="K356" i="36"/>
  <c r="I356" i="36"/>
  <c r="H356" i="36"/>
  <c r="G356" i="36"/>
  <c r="F356" i="36"/>
  <c r="I355" i="36"/>
  <c r="H355" i="36"/>
  <c r="G355" i="36"/>
  <c r="F355" i="36"/>
  <c r="AG353" i="36"/>
  <c r="AS353" i="36" s="1"/>
  <c r="AF353" i="36"/>
  <c r="AR353" i="36" s="1"/>
  <c r="AE353" i="36"/>
  <c r="AQ353" i="36" s="1"/>
  <c r="AD353" i="36"/>
  <c r="AP353" i="36" s="1"/>
  <c r="AC353" i="36"/>
  <c r="AO353" i="36" s="1"/>
  <c r="AB353" i="36"/>
  <c r="AN353" i="36" s="1"/>
  <c r="AA353" i="36"/>
  <c r="AM353" i="36" s="1"/>
  <c r="Z353" i="36"/>
  <c r="AL353" i="36" s="1"/>
  <c r="Y353" i="36"/>
  <c r="AK353" i="36" s="1"/>
  <c r="X353" i="36"/>
  <c r="W353" i="36"/>
  <c r="V353" i="36"/>
  <c r="U353" i="36"/>
  <c r="T353" i="36"/>
  <c r="S353" i="36"/>
  <c r="R353" i="36"/>
  <c r="Q353" i="36"/>
  <c r="P353" i="36"/>
  <c r="O353" i="36"/>
  <c r="N353" i="36"/>
  <c r="M353" i="36"/>
  <c r="L353" i="36"/>
  <c r="K353" i="36"/>
  <c r="I353" i="36"/>
  <c r="H353" i="36"/>
  <c r="G353" i="36"/>
  <c r="F353" i="36"/>
  <c r="I352" i="36"/>
  <c r="H352" i="36"/>
  <c r="G352" i="36"/>
  <c r="F352" i="36"/>
  <c r="AG350" i="36"/>
  <c r="AS350" i="36" s="1"/>
  <c r="AF350" i="36"/>
  <c r="AR350" i="36" s="1"/>
  <c r="AE350" i="36"/>
  <c r="AQ350" i="36" s="1"/>
  <c r="AD350" i="36"/>
  <c r="AP350" i="36" s="1"/>
  <c r="AC350" i="36"/>
  <c r="AO350" i="36" s="1"/>
  <c r="AB350" i="36"/>
  <c r="AN350" i="36" s="1"/>
  <c r="AA350" i="36"/>
  <c r="AM350" i="36" s="1"/>
  <c r="Z350" i="36"/>
  <c r="AL350" i="36" s="1"/>
  <c r="Y350" i="36"/>
  <c r="AK350" i="36" s="1"/>
  <c r="X350" i="36"/>
  <c r="W350" i="36"/>
  <c r="V350" i="36"/>
  <c r="U350" i="36"/>
  <c r="T350" i="36"/>
  <c r="S350" i="36"/>
  <c r="R350" i="36"/>
  <c r="Q350" i="36"/>
  <c r="P350" i="36"/>
  <c r="O350" i="36"/>
  <c r="N350" i="36"/>
  <c r="M350" i="36"/>
  <c r="L350" i="36"/>
  <c r="K350" i="36"/>
  <c r="I350" i="36"/>
  <c r="H350" i="36"/>
  <c r="G350" i="36"/>
  <c r="F350" i="36"/>
  <c r="I349" i="36"/>
  <c r="H349" i="36"/>
  <c r="G349" i="36"/>
  <c r="F349" i="36"/>
  <c r="AG347" i="36"/>
  <c r="AS347" i="36" s="1"/>
  <c r="AF347" i="36"/>
  <c r="AR347" i="36" s="1"/>
  <c r="AE347" i="36"/>
  <c r="AQ347" i="36" s="1"/>
  <c r="AD347" i="36"/>
  <c r="AP347" i="36" s="1"/>
  <c r="AC347" i="36"/>
  <c r="AO347" i="36" s="1"/>
  <c r="AB347" i="36"/>
  <c r="AN347" i="36" s="1"/>
  <c r="AA347" i="36"/>
  <c r="AM347" i="36" s="1"/>
  <c r="Z347" i="36"/>
  <c r="AL347" i="36" s="1"/>
  <c r="Y347" i="36"/>
  <c r="AK347" i="36" s="1"/>
  <c r="X347" i="36"/>
  <c r="W347" i="36"/>
  <c r="V347" i="36"/>
  <c r="U347" i="36"/>
  <c r="T347" i="36"/>
  <c r="S347" i="36"/>
  <c r="R347" i="36"/>
  <c r="Q347" i="36"/>
  <c r="P347" i="36"/>
  <c r="O347" i="36"/>
  <c r="N347" i="36"/>
  <c r="M347" i="36"/>
  <c r="L347" i="36"/>
  <c r="K347" i="36"/>
  <c r="I347" i="36"/>
  <c r="H347" i="36"/>
  <c r="G347" i="36"/>
  <c r="F347" i="36"/>
  <c r="I346" i="36"/>
  <c r="H346" i="36"/>
  <c r="G346" i="36"/>
  <c r="F346" i="36"/>
  <c r="AG344" i="36"/>
  <c r="AS344" i="36" s="1"/>
  <c r="AF344" i="36"/>
  <c r="AR344" i="36" s="1"/>
  <c r="AE344" i="36"/>
  <c r="AQ344" i="36" s="1"/>
  <c r="AD344" i="36"/>
  <c r="AP344" i="36" s="1"/>
  <c r="AC344" i="36"/>
  <c r="AO344" i="36" s="1"/>
  <c r="AB344" i="36"/>
  <c r="AN344" i="36" s="1"/>
  <c r="AA344" i="36"/>
  <c r="AM344" i="36" s="1"/>
  <c r="Z344" i="36"/>
  <c r="AL344" i="36" s="1"/>
  <c r="Y344" i="36"/>
  <c r="AK344" i="36" s="1"/>
  <c r="X344" i="36"/>
  <c r="W344" i="36"/>
  <c r="V344" i="36"/>
  <c r="U344" i="36"/>
  <c r="T344" i="36"/>
  <c r="S344" i="36"/>
  <c r="R344" i="36"/>
  <c r="Q344" i="36"/>
  <c r="P344" i="36"/>
  <c r="O344" i="36"/>
  <c r="N344" i="36"/>
  <c r="M344" i="36"/>
  <c r="L344" i="36"/>
  <c r="K344" i="36"/>
  <c r="I344" i="36"/>
  <c r="H344" i="36"/>
  <c r="G344" i="36"/>
  <c r="F344" i="36"/>
  <c r="I343" i="36"/>
  <c r="H343" i="36"/>
  <c r="G343" i="36"/>
  <c r="F343" i="36"/>
  <c r="AG341" i="36"/>
  <c r="AS341" i="36" s="1"/>
  <c r="AF341" i="36"/>
  <c r="AR341" i="36" s="1"/>
  <c r="AE341" i="36"/>
  <c r="AQ341" i="36" s="1"/>
  <c r="AD341" i="36"/>
  <c r="AP341" i="36" s="1"/>
  <c r="AC341" i="36"/>
  <c r="AO341" i="36" s="1"/>
  <c r="AB341" i="36"/>
  <c r="AN341" i="36" s="1"/>
  <c r="AA341" i="36"/>
  <c r="AM341" i="36" s="1"/>
  <c r="Z341" i="36"/>
  <c r="AL341" i="36" s="1"/>
  <c r="Y341" i="36"/>
  <c r="AK341" i="36" s="1"/>
  <c r="X341" i="36"/>
  <c r="W341" i="36"/>
  <c r="V341" i="36"/>
  <c r="U341" i="36"/>
  <c r="T341" i="36"/>
  <c r="S341" i="36"/>
  <c r="R341" i="36"/>
  <c r="Q341" i="36"/>
  <c r="P341" i="36"/>
  <c r="O341" i="36"/>
  <c r="N341" i="36"/>
  <c r="M341" i="36"/>
  <c r="L341" i="36"/>
  <c r="K341" i="36"/>
  <c r="I341" i="36"/>
  <c r="H341" i="36"/>
  <c r="G341" i="36"/>
  <c r="F341" i="36"/>
  <c r="I340" i="36"/>
  <c r="H340" i="36"/>
  <c r="G340" i="36"/>
  <c r="F340" i="36"/>
  <c r="AG338" i="36"/>
  <c r="AS338" i="36" s="1"/>
  <c r="AF338" i="36"/>
  <c r="AR338" i="36" s="1"/>
  <c r="AE338" i="36"/>
  <c r="AQ338" i="36" s="1"/>
  <c r="AD338" i="36"/>
  <c r="AP338" i="36" s="1"/>
  <c r="AC338" i="36"/>
  <c r="AO338" i="36" s="1"/>
  <c r="AB338" i="36"/>
  <c r="AN338" i="36" s="1"/>
  <c r="AA338" i="36"/>
  <c r="AM338" i="36" s="1"/>
  <c r="Z338" i="36"/>
  <c r="AL338" i="36" s="1"/>
  <c r="Y338" i="36"/>
  <c r="AK338" i="36" s="1"/>
  <c r="X338" i="36"/>
  <c r="W338" i="36"/>
  <c r="V338" i="36"/>
  <c r="U338" i="36"/>
  <c r="T338" i="36"/>
  <c r="S338" i="36"/>
  <c r="R338" i="36"/>
  <c r="Q338" i="36"/>
  <c r="P338" i="36"/>
  <c r="O338" i="36"/>
  <c r="N338" i="36"/>
  <c r="M338" i="36"/>
  <c r="L338" i="36"/>
  <c r="K338" i="36"/>
  <c r="I338" i="36"/>
  <c r="H338" i="36"/>
  <c r="G338" i="36"/>
  <c r="F338" i="36"/>
  <c r="I337" i="36"/>
  <c r="H337" i="36"/>
  <c r="G337" i="36"/>
  <c r="F337" i="36"/>
  <c r="AG335" i="36"/>
  <c r="AS335" i="36" s="1"/>
  <c r="AF335" i="36"/>
  <c r="AR335" i="36" s="1"/>
  <c r="AE335" i="36"/>
  <c r="AQ335" i="36" s="1"/>
  <c r="AD335" i="36"/>
  <c r="AP335" i="36" s="1"/>
  <c r="AC335" i="36"/>
  <c r="AO335" i="36" s="1"/>
  <c r="AB335" i="36"/>
  <c r="AN335" i="36" s="1"/>
  <c r="AA335" i="36"/>
  <c r="AM335" i="36" s="1"/>
  <c r="Z335" i="36"/>
  <c r="AL335" i="36" s="1"/>
  <c r="Y335" i="36"/>
  <c r="AK335" i="36" s="1"/>
  <c r="X335" i="36"/>
  <c r="W335" i="36"/>
  <c r="V335" i="36"/>
  <c r="U335" i="36"/>
  <c r="T335" i="36"/>
  <c r="S335" i="36"/>
  <c r="R335" i="36"/>
  <c r="Q335" i="36"/>
  <c r="P335" i="36"/>
  <c r="O335" i="36"/>
  <c r="N335" i="36"/>
  <c r="M335" i="36"/>
  <c r="L335" i="36"/>
  <c r="K335" i="36"/>
  <c r="I335" i="36"/>
  <c r="H335" i="36"/>
  <c r="G335" i="36"/>
  <c r="F335" i="36"/>
  <c r="I334" i="36"/>
  <c r="H334" i="36"/>
  <c r="G334" i="36"/>
  <c r="F334" i="36"/>
  <c r="AG332" i="36"/>
  <c r="AS332" i="36" s="1"/>
  <c r="AF332" i="36"/>
  <c r="AR332" i="36" s="1"/>
  <c r="AE332" i="36"/>
  <c r="AQ332" i="36" s="1"/>
  <c r="AD332" i="36"/>
  <c r="AP332" i="36" s="1"/>
  <c r="AC332" i="36"/>
  <c r="AO332" i="36" s="1"/>
  <c r="AB332" i="36"/>
  <c r="AN332" i="36" s="1"/>
  <c r="AA332" i="36"/>
  <c r="AM332" i="36" s="1"/>
  <c r="Z332" i="36"/>
  <c r="AL332" i="36" s="1"/>
  <c r="Y332" i="36"/>
  <c r="AK332" i="36" s="1"/>
  <c r="X332" i="36"/>
  <c r="W332" i="36"/>
  <c r="V332" i="36"/>
  <c r="U332" i="36"/>
  <c r="T332" i="36"/>
  <c r="S332" i="36"/>
  <c r="R332" i="36"/>
  <c r="Q332" i="36"/>
  <c r="P332" i="36"/>
  <c r="O332" i="36"/>
  <c r="N332" i="36"/>
  <c r="M332" i="36"/>
  <c r="L332" i="36"/>
  <c r="K332" i="36"/>
  <c r="I332" i="36"/>
  <c r="H332" i="36"/>
  <c r="G332" i="36"/>
  <c r="F332" i="36"/>
  <c r="I331" i="36"/>
  <c r="H331" i="36"/>
  <c r="G331" i="36"/>
  <c r="F331" i="36"/>
  <c r="AG329" i="36"/>
  <c r="AS329" i="36" s="1"/>
  <c r="AF329" i="36"/>
  <c r="AR329" i="36" s="1"/>
  <c r="AE329" i="36"/>
  <c r="AQ329" i="36" s="1"/>
  <c r="AD329" i="36"/>
  <c r="AP329" i="36" s="1"/>
  <c r="AC329" i="36"/>
  <c r="AO329" i="36" s="1"/>
  <c r="AB329" i="36"/>
  <c r="AN329" i="36" s="1"/>
  <c r="AA329" i="36"/>
  <c r="AM329" i="36" s="1"/>
  <c r="Z329" i="36"/>
  <c r="AL329" i="36" s="1"/>
  <c r="Y329" i="36"/>
  <c r="AK329" i="36" s="1"/>
  <c r="X329" i="36"/>
  <c r="W329" i="36"/>
  <c r="V329" i="36"/>
  <c r="U329" i="36"/>
  <c r="T329" i="36"/>
  <c r="S329" i="36"/>
  <c r="R329" i="36"/>
  <c r="Q329" i="36"/>
  <c r="P329" i="36"/>
  <c r="O329" i="36"/>
  <c r="N329" i="36"/>
  <c r="M329" i="36"/>
  <c r="L329" i="36"/>
  <c r="K329" i="36"/>
  <c r="I329" i="36"/>
  <c r="H329" i="36"/>
  <c r="G329" i="36"/>
  <c r="F329" i="36"/>
  <c r="I328" i="36"/>
  <c r="H328" i="36"/>
  <c r="G328" i="36"/>
  <c r="F328" i="36"/>
  <c r="AG326" i="36"/>
  <c r="AS326" i="36" s="1"/>
  <c r="AF326" i="36"/>
  <c r="AR326" i="36" s="1"/>
  <c r="AE326" i="36"/>
  <c r="AQ326" i="36" s="1"/>
  <c r="AD326" i="36"/>
  <c r="AP326" i="36" s="1"/>
  <c r="AC326" i="36"/>
  <c r="AO326" i="36" s="1"/>
  <c r="AB326" i="36"/>
  <c r="AN326" i="36" s="1"/>
  <c r="AA326" i="36"/>
  <c r="AM326" i="36" s="1"/>
  <c r="Z326" i="36"/>
  <c r="AL326" i="36" s="1"/>
  <c r="Y326" i="36"/>
  <c r="AK326" i="36" s="1"/>
  <c r="X326" i="36"/>
  <c r="W326" i="36"/>
  <c r="V326" i="36"/>
  <c r="U326" i="36"/>
  <c r="T326" i="36"/>
  <c r="S326" i="36"/>
  <c r="R326" i="36"/>
  <c r="Q326" i="36"/>
  <c r="P326" i="36"/>
  <c r="O326" i="36"/>
  <c r="N326" i="36"/>
  <c r="M326" i="36"/>
  <c r="L326" i="36"/>
  <c r="K326" i="36"/>
  <c r="I326" i="36"/>
  <c r="H326" i="36"/>
  <c r="G326" i="36"/>
  <c r="F326" i="36"/>
  <c r="I325" i="36"/>
  <c r="H325" i="36"/>
  <c r="G325" i="36"/>
  <c r="F325" i="36"/>
  <c r="AG323" i="36"/>
  <c r="AS323" i="36" s="1"/>
  <c r="AF323" i="36"/>
  <c r="AR323" i="36" s="1"/>
  <c r="AE323" i="36"/>
  <c r="AD323" i="36"/>
  <c r="AC323" i="36"/>
  <c r="AB323" i="36"/>
  <c r="AA323" i="36"/>
  <c r="Z323" i="36"/>
  <c r="Y323" i="36"/>
  <c r="X323" i="36"/>
  <c r="W323" i="36"/>
  <c r="V323" i="36"/>
  <c r="U323" i="36"/>
  <c r="T323" i="36"/>
  <c r="S323" i="36"/>
  <c r="R323" i="36"/>
  <c r="Q323" i="36"/>
  <c r="P323" i="36"/>
  <c r="O323" i="36"/>
  <c r="N323" i="36"/>
  <c r="M323" i="36"/>
  <c r="L323" i="36"/>
  <c r="K323" i="36"/>
  <c r="I323" i="36"/>
  <c r="H323" i="36"/>
  <c r="G323" i="36"/>
  <c r="F323" i="36"/>
  <c r="I322" i="36"/>
  <c r="H322" i="36"/>
  <c r="G322" i="36"/>
  <c r="F322" i="36"/>
  <c r="Q320" i="36"/>
  <c r="P320" i="36"/>
  <c r="O320" i="36"/>
  <c r="N320" i="36"/>
  <c r="M320" i="36"/>
  <c r="L320" i="36"/>
  <c r="K320" i="36"/>
  <c r="I320" i="36"/>
  <c r="H320" i="36"/>
  <c r="G320" i="36"/>
  <c r="F320" i="36"/>
  <c r="I319" i="36"/>
  <c r="H319" i="36"/>
  <c r="G319" i="36"/>
  <c r="F319" i="36"/>
  <c r="Q317" i="36"/>
  <c r="P317" i="36"/>
  <c r="O317" i="36"/>
  <c r="N317" i="36"/>
  <c r="M317" i="36"/>
  <c r="L317" i="36"/>
  <c r="K317" i="36"/>
  <c r="I317" i="36"/>
  <c r="H317" i="36"/>
  <c r="G317" i="36"/>
  <c r="F317" i="36"/>
  <c r="I316" i="36"/>
  <c r="H316" i="36"/>
  <c r="G316" i="36"/>
  <c r="F316" i="36"/>
  <c r="Q314" i="36"/>
  <c r="P314" i="36"/>
  <c r="O314" i="36"/>
  <c r="N314" i="36"/>
  <c r="M314" i="36"/>
  <c r="L314" i="36"/>
  <c r="K314" i="36"/>
  <c r="I314" i="36"/>
  <c r="H314" i="36"/>
  <c r="G314" i="36"/>
  <c r="F314" i="36"/>
  <c r="I313" i="36"/>
  <c r="H313" i="36"/>
  <c r="G313" i="36"/>
  <c r="F313" i="36"/>
  <c r="Q311" i="36"/>
  <c r="P311" i="36"/>
  <c r="O311" i="36"/>
  <c r="N311" i="36"/>
  <c r="M311" i="36"/>
  <c r="L311" i="36"/>
  <c r="K311" i="36"/>
  <c r="I311" i="36"/>
  <c r="H311" i="36"/>
  <c r="G311" i="36"/>
  <c r="F311" i="36"/>
  <c r="I310" i="36"/>
  <c r="H310" i="36"/>
  <c r="G310" i="36"/>
  <c r="F310" i="36"/>
  <c r="Q308" i="36"/>
  <c r="P308" i="36"/>
  <c r="O308" i="36"/>
  <c r="N308" i="36"/>
  <c r="M308" i="36"/>
  <c r="L308" i="36"/>
  <c r="K308" i="36"/>
  <c r="I308" i="36"/>
  <c r="H308" i="36"/>
  <c r="G308" i="36"/>
  <c r="F308" i="36"/>
  <c r="I307" i="36"/>
  <c r="H307" i="36"/>
  <c r="G307" i="36"/>
  <c r="F307" i="36"/>
  <c r="Q305" i="36"/>
  <c r="P305" i="36"/>
  <c r="O305" i="36"/>
  <c r="N305" i="36"/>
  <c r="M305" i="36"/>
  <c r="L305" i="36"/>
  <c r="K305" i="36"/>
  <c r="I305" i="36"/>
  <c r="H305" i="36"/>
  <c r="G305" i="36"/>
  <c r="F305" i="36"/>
  <c r="I304" i="36"/>
  <c r="H304" i="36"/>
  <c r="G304" i="36"/>
  <c r="F304" i="36"/>
  <c r="Q302" i="36"/>
  <c r="P302" i="36"/>
  <c r="O302" i="36"/>
  <c r="N302" i="36"/>
  <c r="M302" i="36"/>
  <c r="L302" i="36"/>
  <c r="K302" i="36"/>
  <c r="I302" i="36"/>
  <c r="H302" i="36"/>
  <c r="G302" i="36"/>
  <c r="F302" i="36"/>
  <c r="I301" i="36"/>
  <c r="H301" i="36"/>
  <c r="G301" i="36"/>
  <c r="F301" i="36"/>
  <c r="Q299" i="36"/>
  <c r="P299" i="36"/>
  <c r="O299" i="36"/>
  <c r="N299" i="36"/>
  <c r="M299" i="36"/>
  <c r="L299" i="36"/>
  <c r="K299" i="36"/>
  <c r="I299" i="36"/>
  <c r="H299" i="36"/>
  <c r="G299" i="36"/>
  <c r="F299" i="36"/>
  <c r="I298" i="36"/>
  <c r="H298" i="36"/>
  <c r="G298" i="36"/>
  <c r="F298" i="36"/>
  <c r="Q296" i="36"/>
  <c r="P296" i="36"/>
  <c r="O296" i="36"/>
  <c r="N296" i="36"/>
  <c r="M296" i="36"/>
  <c r="L296" i="36"/>
  <c r="K296" i="36"/>
  <c r="I296" i="36"/>
  <c r="H296" i="36"/>
  <c r="G296" i="36"/>
  <c r="F296" i="36"/>
  <c r="I295" i="36"/>
  <c r="H295" i="36"/>
  <c r="G295" i="36"/>
  <c r="F295" i="36"/>
  <c r="Q293" i="36"/>
  <c r="P293" i="36"/>
  <c r="O293" i="36"/>
  <c r="N293" i="36"/>
  <c r="M293" i="36"/>
  <c r="L293" i="36"/>
  <c r="K293" i="36"/>
  <c r="I293" i="36"/>
  <c r="H293" i="36"/>
  <c r="G293" i="36"/>
  <c r="F293" i="36"/>
  <c r="I292" i="36"/>
  <c r="H292" i="36"/>
  <c r="G292" i="36"/>
  <c r="F292" i="36"/>
  <c r="Q290" i="36"/>
  <c r="P290" i="36"/>
  <c r="O290" i="36"/>
  <c r="N290" i="36"/>
  <c r="M290" i="36"/>
  <c r="L290" i="36"/>
  <c r="K290" i="36"/>
  <c r="I290" i="36"/>
  <c r="H290" i="36"/>
  <c r="G290" i="36"/>
  <c r="F290" i="36"/>
  <c r="I289" i="36"/>
  <c r="H289" i="36"/>
  <c r="G289" i="36"/>
  <c r="F289" i="36"/>
  <c r="Q287" i="36"/>
  <c r="P287" i="36"/>
  <c r="O287" i="36"/>
  <c r="N287" i="36"/>
  <c r="M287" i="36"/>
  <c r="L287" i="36"/>
  <c r="K287" i="36"/>
  <c r="I287" i="36"/>
  <c r="H287" i="36"/>
  <c r="G287" i="36"/>
  <c r="F287" i="36"/>
  <c r="I286" i="36"/>
  <c r="H286" i="36"/>
  <c r="G286" i="36"/>
  <c r="F286" i="36"/>
  <c r="Q284" i="36"/>
  <c r="P284" i="36"/>
  <c r="O284" i="36"/>
  <c r="N284" i="36"/>
  <c r="M284" i="36"/>
  <c r="L284" i="36"/>
  <c r="K284" i="36"/>
  <c r="I284" i="36"/>
  <c r="H284" i="36"/>
  <c r="G284" i="36"/>
  <c r="F284" i="36"/>
  <c r="I283" i="36"/>
  <c r="H283" i="36"/>
  <c r="G283" i="36"/>
  <c r="F283" i="36"/>
  <c r="Q281" i="36"/>
  <c r="P281" i="36"/>
  <c r="O281" i="36"/>
  <c r="N281" i="36"/>
  <c r="M281" i="36"/>
  <c r="L281" i="36"/>
  <c r="K281" i="36"/>
  <c r="I281" i="36"/>
  <c r="H281" i="36"/>
  <c r="G281" i="36"/>
  <c r="F281" i="36"/>
  <c r="I280" i="36"/>
  <c r="H280" i="36"/>
  <c r="G280" i="36"/>
  <c r="F280" i="36"/>
  <c r="Q278" i="36"/>
  <c r="P278" i="36"/>
  <c r="O278" i="36"/>
  <c r="N278" i="36"/>
  <c r="M278" i="36"/>
  <c r="L278" i="36"/>
  <c r="K278" i="36"/>
  <c r="I278" i="36"/>
  <c r="H278" i="36"/>
  <c r="G278" i="36"/>
  <c r="F278" i="36"/>
  <c r="I277" i="36"/>
  <c r="H277" i="36"/>
  <c r="G277" i="36"/>
  <c r="F277" i="36"/>
  <c r="Q275" i="36"/>
  <c r="P275" i="36"/>
  <c r="O275" i="36"/>
  <c r="N275" i="36"/>
  <c r="M275" i="36"/>
  <c r="L275" i="36"/>
  <c r="K275" i="36"/>
  <c r="I275" i="36"/>
  <c r="H275" i="36"/>
  <c r="G275" i="36"/>
  <c r="F275" i="36"/>
  <c r="I274" i="36"/>
  <c r="H274" i="36"/>
  <c r="G274" i="36"/>
  <c r="F274" i="36"/>
  <c r="Q272" i="36"/>
  <c r="P272" i="36"/>
  <c r="O272" i="36"/>
  <c r="N272" i="36"/>
  <c r="M272" i="36"/>
  <c r="L272" i="36"/>
  <c r="K272" i="36"/>
  <c r="I272" i="36"/>
  <c r="H272" i="36"/>
  <c r="G272" i="36"/>
  <c r="F272" i="36"/>
  <c r="I271" i="36"/>
  <c r="H271" i="36"/>
  <c r="G271" i="36"/>
  <c r="F271" i="36"/>
  <c r="Q269" i="36"/>
  <c r="P269" i="36"/>
  <c r="O269" i="36"/>
  <c r="N269" i="36"/>
  <c r="M269" i="36"/>
  <c r="L269" i="36"/>
  <c r="K269" i="36"/>
  <c r="I269" i="36"/>
  <c r="H269" i="36"/>
  <c r="G269" i="36"/>
  <c r="F269" i="36"/>
  <c r="I268" i="36"/>
  <c r="H268" i="36"/>
  <c r="G268" i="36"/>
  <c r="F268" i="36"/>
  <c r="Q266" i="36"/>
  <c r="P266" i="36"/>
  <c r="O266" i="36"/>
  <c r="N266" i="36"/>
  <c r="M266" i="36"/>
  <c r="L266" i="36"/>
  <c r="K266" i="36"/>
  <c r="I266" i="36"/>
  <c r="H266" i="36"/>
  <c r="G266" i="36"/>
  <c r="F266" i="36"/>
  <c r="I265" i="36"/>
  <c r="H265" i="36"/>
  <c r="G265" i="36"/>
  <c r="F265" i="36"/>
  <c r="Q263" i="36"/>
  <c r="P263" i="36"/>
  <c r="O263" i="36"/>
  <c r="N263" i="36"/>
  <c r="M263" i="36"/>
  <c r="L263" i="36"/>
  <c r="K263" i="36"/>
  <c r="I263" i="36"/>
  <c r="H263" i="36"/>
  <c r="G263" i="36"/>
  <c r="F263" i="36"/>
  <c r="I262" i="36"/>
  <c r="H262" i="36"/>
  <c r="G262" i="36"/>
  <c r="F262" i="36"/>
  <c r="Q260" i="36"/>
  <c r="O260" i="36"/>
  <c r="N260" i="36"/>
  <c r="M260" i="36"/>
  <c r="L260" i="36"/>
  <c r="K260" i="36"/>
  <c r="I260" i="36"/>
  <c r="H260" i="36"/>
  <c r="G260" i="36"/>
  <c r="F260" i="36"/>
  <c r="I259" i="36"/>
  <c r="H259" i="36"/>
  <c r="G259" i="36"/>
  <c r="F259" i="36"/>
  <c r="Q257" i="36"/>
  <c r="P257" i="36"/>
  <c r="O257" i="36"/>
  <c r="N257" i="36"/>
  <c r="M257" i="36"/>
  <c r="L257" i="36"/>
  <c r="K257" i="36"/>
  <c r="I257" i="36"/>
  <c r="H257" i="36"/>
  <c r="G257" i="36"/>
  <c r="F257" i="36"/>
  <c r="I256" i="36"/>
  <c r="H256" i="36"/>
  <c r="G256" i="36"/>
  <c r="F256" i="36"/>
  <c r="Q254" i="36"/>
  <c r="P254" i="36"/>
  <c r="O254" i="36"/>
  <c r="N254" i="36"/>
  <c r="M254" i="36"/>
  <c r="L254" i="36"/>
  <c r="K254" i="36"/>
  <c r="I254" i="36"/>
  <c r="H254" i="36"/>
  <c r="G254" i="36"/>
  <c r="F254" i="36"/>
  <c r="I253" i="36"/>
  <c r="H253" i="36"/>
  <c r="G253" i="36"/>
  <c r="F253" i="36"/>
  <c r="Q251" i="36"/>
  <c r="P251" i="36"/>
  <c r="O251" i="36"/>
  <c r="N251" i="36"/>
  <c r="M251" i="36"/>
  <c r="L251" i="36"/>
  <c r="K251" i="36"/>
  <c r="I251" i="36"/>
  <c r="H251" i="36"/>
  <c r="G251" i="36"/>
  <c r="F251" i="36"/>
  <c r="I250" i="36"/>
  <c r="H250" i="36"/>
  <c r="G250" i="36"/>
  <c r="F250" i="36"/>
  <c r="Q248" i="36"/>
  <c r="P248" i="36"/>
  <c r="O248" i="36"/>
  <c r="N248" i="36"/>
  <c r="M248" i="36"/>
  <c r="L248" i="36"/>
  <c r="K248" i="36"/>
  <c r="I248" i="36"/>
  <c r="H248" i="36"/>
  <c r="G248" i="36"/>
  <c r="F248" i="36"/>
  <c r="I247" i="36"/>
  <c r="H247" i="36"/>
  <c r="G247" i="36"/>
  <c r="F247" i="36"/>
  <c r="Q245" i="36"/>
  <c r="P245" i="36"/>
  <c r="O245" i="36"/>
  <c r="N245" i="36"/>
  <c r="M245" i="36"/>
  <c r="L245" i="36"/>
  <c r="K245" i="36"/>
  <c r="I245" i="36"/>
  <c r="H245" i="36"/>
  <c r="G245" i="36"/>
  <c r="F245" i="36"/>
  <c r="I244" i="36"/>
  <c r="H244" i="36"/>
  <c r="G244" i="36"/>
  <c r="F244" i="36"/>
  <c r="Q242" i="36"/>
  <c r="P242" i="36"/>
  <c r="O242" i="36"/>
  <c r="N242" i="36"/>
  <c r="M242" i="36"/>
  <c r="L242" i="36"/>
  <c r="K242" i="36"/>
  <c r="I242" i="36"/>
  <c r="H242" i="36"/>
  <c r="G242" i="36"/>
  <c r="F242" i="36"/>
  <c r="I241" i="36"/>
  <c r="H241" i="36"/>
  <c r="G241" i="36"/>
  <c r="F241" i="36"/>
  <c r="Q239" i="36"/>
  <c r="P239" i="36"/>
  <c r="O239" i="36"/>
  <c r="N239" i="36"/>
  <c r="M239" i="36"/>
  <c r="L239" i="36"/>
  <c r="K239" i="36"/>
  <c r="I239" i="36"/>
  <c r="H239" i="36"/>
  <c r="G239" i="36"/>
  <c r="F239" i="36"/>
  <c r="I238" i="36"/>
  <c r="H238" i="36"/>
  <c r="G238" i="36"/>
  <c r="F238" i="36"/>
  <c r="Q236" i="36"/>
  <c r="P236" i="36"/>
  <c r="O236" i="36"/>
  <c r="N236" i="36"/>
  <c r="M236" i="36"/>
  <c r="L236" i="36"/>
  <c r="K236" i="36"/>
  <c r="I236" i="36"/>
  <c r="H236" i="36"/>
  <c r="G236" i="36"/>
  <c r="F236" i="36"/>
  <c r="I235" i="36"/>
  <c r="H235" i="36"/>
  <c r="G235" i="36"/>
  <c r="F235" i="36"/>
  <c r="Q233" i="36"/>
  <c r="P233" i="36"/>
  <c r="O233" i="36"/>
  <c r="N233" i="36"/>
  <c r="M233" i="36"/>
  <c r="L233" i="36"/>
  <c r="K233" i="36"/>
  <c r="I233" i="36"/>
  <c r="H233" i="36"/>
  <c r="G233" i="36"/>
  <c r="F233" i="36"/>
  <c r="I232" i="36"/>
  <c r="H232" i="36"/>
  <c r="G232" i="36"/>
  <c r="F232" i="36"/>
  <c r="Q230" i="36"/>
  <c r="P230" i="36"/>
  <c r="O230" i="36"/>
  <c r="N230" i="36"/>
  <c r="M230" i="36"/>
  <c r="L230" i="36"/>
  <c r="K230" i="36"/>
  <c r="I230" i="36"/>
  <c r="H230" i="36"/>
  <c r="G230" i="36"/>
  <c r="F230" i="36"/>
  <c r="I229" i="36"/>
  <c r="H229" i="36"/>
  <c r="G229" i="36"/>
  <c r="F229" i="36"/>
  <c r="Q227" i="36"/>
  <c r="P227" i="36"/>
  <c r="O227" i="36"/>
  <c r="N227" i="36"/>
  <c r="M227" i="36"/>
  <c r="L227" i="36"/>
  <c r="K227" i="36"/>
  <c r="I227" i="36"/>
  <c r="H227" i="36"/>
  <c r="G227" i="36"/>
  <c r="F227" i="36"/>
  <c r="I226" i="36"/>
  <c r="H226" i="36"/>
  <c r="G226" i="36"/>
  <c r="F226" i="36"/>
  <c r="Q224" i="36"/>
  <c r="P224" i="36"/>
  <c r="O224" i="36"/>
  <c r="N224" i="36"/>
  <c r="M224" i="36"/>
  <c r="L224" i="36"/>
  <c r="K224" i="36"/>
  <c r="I224" i="36"/>
  <c r="H224" i="36"/>
  <c r="G224" i="36"/>
  <c r="F224" i="36"/>
  <c r="I223" i="36"/>
  <c r="H223" i="36"/>
  <c r="G223" i="36"/>
  <c r="F223" i="36"/>
  <c r="Q221" i="36"/>
  <c r="P221" i="36"/>
  <c r="O221" i="36"/>
  <c r="N221" i="36"/>
  <c r="M221" i="36"/>
  <c r="L221" i="36"/>
  <c r="K221" i="36"/>
  <c r="I221" i="36"/>
  <c r="H221" i="36"/>
  <c r="G221" i="36"/>
  <c r="F221" i="36"/>
  <c r="I220" i="36"/>
  <c r="H220" i="36"/>
  <c r="G220" i="36"/>
  <c r="F220" i="36"/>
  <c r="Q218" i="36"/>
  <c r="P218" i="36"/>
  <c r="O218" i="36"/>
  <c r="N218" i="36"/>
  <c r="M218" i="36"/>
  <c r="L218" i="36"/>
  <c r="K218" i="36"/>
  <c r="I218" i="36"/>
  <c r="H218" i="36"/>
  <c r="G218" i="36"/>
  <c r="F218" i="36"/>
  <c r="I217" i="36"/>
  <c r="H217" i="36"/>
  <c r="G217" i="36"/>
  <c r="F217" i="36"/>
  <c r="Q215" i="36"/>
  <c r="P215" i="36"/>
  <c r="O215" i="36"/>
  <c r="N215" i="36"/>
  <c r="M215" i="36"/>
  <c r="L215" i="36"/>
  <c r="K215" i="36"/>
  <c r="I215" i="36"/>
  <c r="H215" i="36"/>
  <c r="G215" i="36"/>
  <c r="F215" i="36"/>
  <c r="I214" i="36"/>
  <c r="H214" i="36"/>
  <c r="G214" i="36"/>
  <c r="F214" i="36"/>
  <c r="Q212" i="36"/>
  <c r="P212" i="36"/>
  <c r="O212" i="36"/>
  <c r="N212" i="36"/>
  <c r="M212" i="36"/>
  <c r="L212" i="36"/>
  <c r="K212" i="36"/>
  <c r="I212" i="36"/>
  <c r="H212" i="36"/>
  <c r="G212" i="36"/>
  <c r="F212" i="36"/>
  <c r="I211" i="36"/>
  <c r="H211" i="36"/>
  <c r="G211" i="36"/>
  <c r="F211" i="36"/>
  <c r="Q209" i="36"/>
  <c r="P209" i="36"/>
  <c r="O209" i="36"/>
  <c r="N209" i="36"/>
  <c r="M209" i="36"/>
  <c r="L209" i="36"/>
  <c r="K209" i="36"/>
  <c r="I209" i="36"/>
  <c r="H209" i="36"/>
  <c r="G209" i="36"/>
  <c r="F209" i="36"/>
  <c r="I208" i="36"/>
  <c r="H208" i="36"/>
  <c r="G208" i="36"/>
  <c r="F208" i="36"/>
  <c r="Q206" i="36"/>
  <c r="P206" i="36"/>
  <c r="O206" i="36"/>
  <c r="N206" i="36"/>
  <c r="M206" i="36"/>
  <c r="L206" i="36"/>
  <c r="K206" i="36"/>
  <c r="I206" i="36"/>
  <c r="H206" i="36"/>
  <c r="G206" i="36"/>
  <c r="F206" i="36"/>
  <c r="I205" i="36"/>
  <c r="H205" i="36"/>
  <c r="G205" i="36"/>
  <c r="F205" i="36"/>
  <c r="Q203" i="36"/>
  <c r="P203" i="36"/>
  <c r="O203" i="36"/>
  <c r="N203" i="36"/>
  <c r="M203" i="36"/>
  <c r="L203" i="36"/>
  <c r="K203" i="36"/>
  <c r="I203" i="36"/>
  <c r="H203" i="36"/>
  <c r="G203" i="36"/>
  <c r="F203" i="36"/>
  <c r="I202" i="36"/>
  <c r="H202" i="36"/>
  <c r="G202" i="36"/>
  <c r="F202" i="36"/>
  <c r="Q200" i="36"/>
  <c r="P200" i="36"/>
  <c r="O200" i="36"/>
  <c r="N200" i="36"/>
  <c r="M200" i="36"/>
  <c r="L200" i="36"/>
  <c r="K200" i="36"/>
  <c r="I200" i="36"/>
  <c r="H200" i="36"/>
  <c r="G200" i="36"/>
  <c r="F200" i="36"/>
  <c r="I199" i="36"/>
  <c r="H199" i="36"/>
  <c r="G199" i="36"/>
  <c r="F199" i="36"/>
  <c r="Q197" i="36"/>
  <c r="P197" i="36"/>
  <c r="O197" i="36"/>
  <c r="N197" i="36"/>
  <c r="M197" i="36"/>
  <c r="L197" i="36"/>
  <c r="K197" i="36"/>
  <c r="I197" i="36"/>
  <c r="H197" i="36"/>
  <c r="G197" i="36"/>
  <c r="F197" i="36"/>
  <c r="I196" i="36"/>
  <c r="H196" i="36"/>
  <c r="G196" i="36"/>
  <c r="F196" i="36"/>
  <c r="Q194" i="36"/>
  <c r="P194" i="36"/>
  <c r="O194" i="36"/>
  <c r="N194" i="36"/>
  <c r="M194" i="36"/>
  <c r="L194" i="36"/>
  <c r="K194" i="36"/>
  <c r="I194" i="36"/>
  <c r="H194" i="36"/>
  <c r="G194" i="36"/>
  <c r="F194" i="36"/>
  <c r="I193" i="36"/>
  <c r="H193" i="36"/>
  <c r="G193" i="36"/>
  <c r="F193" i="36"/>
  <c r="Q191" i="36"/>
  <c r="P191" i="36"/>
  <c r="O191" i="36"/>
  <c r="N191" i="36"/>
  <c r="M191" i="36"/>
  <c r="L191" i="36"/>
  <c r="K191" i="36"/>
  <c r="I191" i="36"/>
  <c r="H191" i="36"/>
  <c r="G191" i="36"/>
  <c r="F191" i="36"/>
  <c r="I190" i="36"/>
  <c r="H190" i="36"/>
  <c r="G190" i="36"/>
  <c r="F190" i="36"/>
  <c r="Q188" i="36"/>
  <c r="P188" i="36"/>
  <c r="O188" i="36"/>
  <c r="N188" i="36"/>
  <c r="M188" i="36"/>
  <c r="L188" i="36"/>
  <c r="K188" i="36"/>
  <c r="I188" i="36"/>
  <c r="H188" i="36"/>
  <c r="G188" i="36"/>
  <c r="F188" i="36"/>
  <c r="I187" i="36"/>
  <c r="H187" i="36"/>
  <c r="G187" i="36"/>
  <c r="F187" i="36"/>
  <c r="Q185" i="36"/>
  <c r="P185" i="36"/>
  <c r="O185" i="36"/>
  <c r="N185" i="36"/>
  <c r="M185" i="36"/>
  <c r="L185" i="36"/>
  <c r="K185" i="36"/>
  <c r="I185" i="36"/>
  <c r="H185" i="36"/>
  <c r="G185" i="36"/>
  <c r="F185" i="36"/>
  <c r="I184" i="36"/>
  <c r="H184" i="36"/>
  <c r="G184" i="36"/>
  <c r="F184" i="36"/>
  <c r="Q182" i="36"/>
  <c r="P182" i="36"/>
  <c r="O182" i="36"/>
  <c r="N182" i="36"/>
  <c r="M182" i="36"/>
  <c r="L182" i="36"/>
  <c r="K182" i="36"/>
  <c r="I182" i="36"/>
  <c r="H182" i="36"/>
  <c r="G182" i="36"/>
  <c r="F182" i="36"/>
  <c r="I181" i="36"/>
  <c r="H181" i="36"/>
  <c r="G181" i="36"/>
  <c r="F181" i="36"/>
  <c r="Q179" i="36"/>
  <c r="P179" i="36"/>
  <c r="O179" i="36"/>
  <c r="N179" i="36"/>
  <c r="M179" i="36"/>
  <c r="L179" i="36"/>
  <c r="K179" i="36"/>
  <c r="I179" i="36"/>
  <c r="H179" i="36"/>
  <c r="G179" i="36"/>
  <c r="F179" i="36"/>
  <c r="I178" i="36"/>
  <c r="H178" i="36"/>
  <c r="G178" i="36"/>
  <c r="F178" i="36"/>
  <c r="Q176" i="36"/>
  <c r="P176" i="36"/>
  <c r="O176" i="36"/>
  <c r="N176" i="36"/>
  <c r="M176" i="36"/>
  <c r="L176" i="36"/>
  <c r="K176" i="36"/>
  <c r="I176" i="36"/>
  <c r="H176" i="36"/>
  <c r="G176" i="36"/>
  <c r="F176" i="36"/>
  <c r="I175" i="36"/>
  <c r="H175" i="36"/>
  <c r="G175" i="36"/>
  <c r="F175" i="36"/>
  <c r="Q173" i="36"/>
  <c r="P173" i="36"/>
  <c r="O173" i="36"/>
  <c r="N173" i="36"/>
  <c r="M173" i="36"/>
  <c r="L173" i="36"/>
  <c r="K173" i="36"/>
  <c r="I173" i="36"/>
  <c r="H173" i="36"/>
  <c r="G173" i="36"/>
  <c r="F173" i="36"/>
  <c r="I172" i="36"/>
  <c r="H172" i="36"/>
  <c r="G172" i="36"/>
  <c r="F172" i="36"/>
  <c r="Q170" i="36"/>
  <c r="P170" i="36"/>
  <c r="O170" i="36"/>
  <c r="N170" i="36"/>
  <c r="M170" i="36"/>
  <c r="L170" i="36"/>
  <c r="K170" i="36"/>
  <c r="I170" i="36"/>
  <c r="H170" i="36"/>
  <c r="G170" i="36"/>
  <c r="F170" i="36"/>
  <c r="I169" i="36"/>
  <c r="H169" i="36"/>
  <c r="G169" i="36"/>
  <c r="F169" i="36"/>
  <c r="Q167" i="36"/>
  <c r="P167" i="36"/>
  <c r="O167" i="36"/>
  <c r="N167" i="36"/>
  <c r="M167" i="36"/>
  <c r="L167" i="36"/>
  <c r="K167" i="36"/>
  <c r="I167" i="36"/>
  <c r="H167" i="36"/>
  <c r="G167" i="36"/>
  <c r="F167" i="36"/>
  <c r="I166" i="36"/>
  <c r="H166" i="36"/>
  <c r="G166" i="36"/>
  <c r="F166" i="36"/>
  <c r="Q164" i="36"/>
  <c r="P164" i="36"/>
  <c r="O164" i="36"/>
  <c r="N164" i="36"/>
  <c r="M164" i="36"/>
  <c r="L164" i="36"/>
  <c r="K164" i="36"/>
  <c r="I164" i="36"/>
  <c r="H164" i="36"/>
  <c r="G164" i="36"/>
  <c r="F164" i="36"/>
  <c r="I163" i="36"/>
  <c r="H163" i="36"/>
  <c r="G163" i="36"/>
  <c r="F163" i="36"/>
  <c r="Q161" i="36"/>
  <c r="P161" i="36"/>
  <c r="O161" i="36"/>
  <c r="N161" i="36"/>
  <c r="M161" i="36"/>
  <c r="L161" i="36"/>
  <c r="K161" i="36"/>
  <c r="I161" i="36"/>
  <c r="H161" i="36"/>
  <c r="G161" i="36"/>
  <c r="F161" i="36"/>
  <c r="I160" i="36"/>
  <c r="H160" i="36"/>
  <c r="G160" i="36"/>
  <c r="F160" i="36"/>
  <c r="Q158" i="36"/>
  <c r="P158" i="36"/>
  <c r="O158" i="36"/>
  <c r="N158" i="36"/>
  <c r="M158" i="36"/>
  <c r="L158" i="36"/>
  <c r="K158" i="36"/>
  <c r="I158" i="36"/>
  <c r="H158" i="36"/>
  <c r="G158" i="36"/>
  <c r="F158" i="36"/>
  <c r="I157" i="36"/>
  <c r="H157" i="36"/>
  <c r="G157" i="36"/>
  <c r="F157" i="36"/>
  <c r="Q155" i="36"/>
  <c r="P155" i="36"/>
  <c r="O155" i="36"/>
  <c r="N155" i="36"/>
  <c r="M155" i="36"/>
  <c r="L155" i="36"/>
  <c r="K155" i="36"/>
  <c r="I155" i="36"/>
  <c r="H155" i="36"/>
  <c r="G155" i="36"/>
  <c r="F155" i="36"/>
  <c r="I154" i="36"/>
  <c r="H154" i="36"/>
  <c r="G154" i="36"/>
  <c r="F154" i="36"/>
  <c r="Q152" i="36"/>
  <c r="P152" i="36"/>
  <c r="O152" i="36"/>
  <c r="N152" i="36"/>
  <c r="M152" i="36"/>
  <c r="L152" i="36"/>
  <c r="K152" i="36"/>
  <c r="I152" i="36"/>
  <c r="H152" i="36"/>
  <c r="G152" i="36"/>
  <c r="F152" i="36"/>
  <c r="I151" i="36"/>
  <c r="H151" i="36"/>
  <c r="G151" i="36"/>
  <c r="F151" i="36"/>
  <c r="Q149" i="36"/>
  <c r="P149" i="36"/>
  <c r="O149" i="36"/>
  <c r="N149" i="36"/>
  <c r="M149" i="36"/>
  <c r="L149" i="36"/>
  <c r="K149" i="36"/>
  <c r="I149" i="36"/>
  <c r="H149" i="36"/>
  <c r="G149" i="36"/>
  <c r="F149" i="36"/>
  <c r="I148" i="36"/>
  <c r="H148" i="36"/>
  <c r="G148" i="36"/>
  <c r="F148" i="36"/>
  <c r="Q146" i="36"/>
  <c r="P146" i="36"/>
  <c r="O146" i="36"/>
  <c r="N146" i="36"/>
  <c r="M146" i="36"/>
  <c r="L146" i="36"/>
  <c r="K146" i="36"/>
  <c r="I146" i="36"/>
  <c r="H146" i="36"/>
  <c r="G146" i="36"/>
  <c r="F146" i="36"/>
  <c r="I145" i="36"/>
  <c r="H145" i="36"/>
  <c r="G145" i="36"/>
  <c r="F145" i="36"/>
  <c r="Q143" i="36"/>
  <c r="P143" i="36"/>
  <c r="O143" i="36"/>
  <c r="N143" i="36"/>
  <c r="M143" i="36"/>
  <c r="L143" i="36"/>
  <c r="K143" i="36"/>
  <c r="I143" i="36"/>
  <c r="H143" i="36"/>
  <c r="G143" i="36"/>
  <c r="F143" i="36"/>
  <c r="I142" i="36"/>
  <c r="H142" i="36"/>
  <c r="G142" i="36"/>
  <c r="F142" i="36"/>
  <c r="Q140" i="36"/>
  <c r="P140" i="36"/>
  <c r="O140" i="36"/>
  <c r="N140" i="36"/>
  <c r="M140" i="36"/>
  <c r="L140" i="36"/>
  <c r="K140" i="36"/>
  <c r="I140" i="36"/>
  <c r="H140" i="36"/>
  <c r="G140" i="36"/>
  <c r="F140" i="36"/>
  <c r="I139" i="36"/>
  <c r="H139" i="36"/>
  <c r="G139" i="36"/>
  <c r="F139" i="36"/>
  <c r="Q137" i="36"/>
  <c r="P137" i="36"/>
  <c r="O137" i="36"/>
  <c r="N137" i="36"/>
  <c r="M137" i="36"/>
  <c r="L137" i="36"/>
  <c r="K137" i="36"/>
  <c r="I137" i="36"/>
  <c r="H137" i="36"/>
  <c r="G137" i="36"/>
  <c r="F137" i="36"/>
  <c r="I136" i="36"/>
  <c r="H136" i="36"/>
  <c r="G136" i="36"/>
  <c r="F136" i="36"/>
  <c r="Q134" i="36"/>
  <c r="P134" i="36"/>
  <c r="O134" i="36"/>
  <c r="N134" i="36"/>
  <c r="M134" i="36"/>
  <c r="L134" i="36"/>
  <c r="K134" i="36"/>
  <c r="I134" i="36"/>
  <c r="H134" i="36"/>
  <c r="G134" i="36"/>
  <c r="F134" i="36"/>
  <c r="I133" i="36"/>
  <c r="H133" i="36"/>
  <c r="G133" i="36"/>
  <c r="F133" i="36"/>
  <c r="Q131" i="36"/>
  <c r="P131" i="36"/>
  <c r="O131" i="36"/>
  <c r="N131" i="36"/>
  <c r="M131" i="36"/>
  <c r="L131" i="36"/>
  <c r="K131" i="36"/>
  <c r="I131" i="36"/>
  <c r="H131" i="36"/>
  <c r="G131" i="36"/>
  <c r="F131" i="36"/>
  <c r="I130" i="36"/>
  <c r="H130" i="36"/>
  <c r="G130" i="36"/>
  <c r="F130" i="36"/>
  <c r="Q128" i="36"/>
  <c r="P128" i="36"/>
  <c r="O128" i="36"/>
  <c r="N128" i="36"/>
  <c r="M128" i="36"/>
  <c r="L128" i="36"/>
  <c r="K128" i="36"/>
  <c r="I128" i="36"/>
  <c r="H128" i="36"/>
  <c r="G128" i="36"/>
  <c r="F128" i="36"/>
  <c r="I127" i="36"/>
  <c r="H127" i="36"/>
  <c r="G127" i="36"/>
  <c r="F127" i="36"/>
  <c r="Q125" i="36"/>
  <c r="P125" i="36"/>
  <c r="O125" i="36"/>
  <c r="N125" i="36"/>
  <c r="M125" i="36"/>
  <c r="L125" i="36"/>
  <c r="K125" i="36"/>
  <c r="I125" i="36"/>
  <c r="H125" i="36"/>
  <c r="G125" i="36"/>
  <c r="F125" i="36"/>
  <c r="I124" i="36"/>
  <c r="H124" i="36"/>
  <c r="G124" i="36"/>
  <c r="F124" i="36"/>
  <c r="Q122" i="36"/>
  <c r="P122" i="36"/>
  <c r="O122" i="36"/>
  <c r="N122" i="36"/>
  <c r="M122" i="36"/>
  <c r="L122" i="36"/>
  <c r="K122" i="36"/>
  <c r="I122" i="36"/>
  <c r="H122" i="36"/>
  <c r="G122" i="36"/>
  <c r="F122" i="36"/>
  <c r="I121" i="36"/>
  <c r="H121" i="36"/>
  <c r="G121" i="36"/>
  <c r="F121" i="36"/>
  <c r="Q119" i="36"/>
  <c r="P119" i="36"/>
  <c r="O119" i="36"/>
  <c r="N119" i="36"/>
  <c r="M119" i="36"/>
  <c r="L119" i="36"/>
  <c r="K119" i="36"/>
  <c r="I119" i="36"/>
  <c r="H119" i="36"/>
  <c r="G119" i="36"/>
  <c r="F119" i="36"/>
  <c r="I118" i="36"/>
  <c r="H118" i="36"/>
  <c r="G118" i="36"/>
  <c r="F118" i="36"/>
  <c r="Q116" i="36"/>
  <c r="P116" i="36"/>
  <c r="O116" i="36"/>
  <c r="N116" i="36"/>
  <c r="M116" i="36"/>
  <c r="L116" i="36"/>
  <c r="K116" i="36"/>
  <c r="I116" i="36"/>
  <c r="H116" i="36"/>
  <c r="G116" i="36"/>
  <c r="F116" i="36"/>
  <c r="I115" i="36"/>
  <c r="H115" i="36"/>
  <c r="G115" i="36"/>
  <c r="F115" i="36"/>
  <c r="Q113" i="36"/>
  <c r="P113" i="36"/>
  <c r="O113" i="36"/>
  <c r="N113" i="36"/>
  <c r="M113" i="36"/>
  <c r="L113" i="36"/>
  <c r="K113" i="36"/>
  <c r="I113" i="36"/>
  <c r="H113" i="36"/>
  <c r="G113" i="36"/>
  <c r="F113" i="36"/>
  <c r="I112" i="36"/>
  <c r="H112" i="36"/>
  <c r="G112" i="36"/>
  <c r="F112" i="36"/>
  <c r="Q110" i="36"/>
  <c r="P110" i="36"/>
  <c r="O110" i="36"/>
  <c r="N110" i="36"/>
  <c r="M110" i="36"/>
  <c r="L110" i="36"/>
  <c r="K110" i="36"/>
  <c r="I110" i="36"/>
  <c r="H110" i="36"/>
  <c r="G110" i="36"/>
  <c r="F110" i="36"/>
  <c r="I109" i="36"/>
  <c r="H109" i="36"/>
  <c r="G109" i="36"/>
  <c r="F109" i="36"/>
  <c r="Q107" i="36"/>
  <c r="P107" i="36"/>
  <c r="O107" i="36"/>
  <c r="N107" i="36"/>
  <c r="M107" i="36"/>
  <c r="L107" i="36"/>
  <c r="K107" i="36"/>
  <c r="I107" i="36"/>
  <c r="H107" i="36"/>
  <c r="G107" i="36"/>
  <c r="F107" i="36"/>
  <c r="I106" i="36"/>
  <c r="H106" i="36"/>
  <c r="G106" i="36"/>
  <c r="F106" i="36"/>
  <c r="Q104" i="36"/>
  <c r="P104" i="36"/>
  <c r="O104" i="36"/>
  <c r="N104" i="36"/>
  <c r="M104" i="36"/>
  <c r="L104" i="36"/>
  <c r="K104" i="36"/>
  <c r="I104" i="36"/>
  <c r="H104" i="36"/>
  <c r="G104" i="36"/>
  <c r="F104" i="36"/>
  <c r="I103" i="36"/>
  <c r="H103" i="36"/>
  <c r="G103" i="36"/>
  <c r="F103" i="36"/>
  <c r="Q101" i="36"/>
  <c r="P101" i="36"/>
  <c r="O101" i="36"/>
  <c r="N101" i="36"/>
  <c r="M101" i="36"/>
  <c r="L101" i="36"/>
  <c r="K101" i="36"/>
  <c r="I101" i="36"/>
  <c r="H101" i="36"/>
  <c r="G101" i="36"/>
  <c r="F101" i="36"/>
  <c r="I100" i="36"/>
  <c r="H100" i="36"/>
  <c r="G100" i="36"/>
  <c r="F100" i="36"/>
  <c r="Q98" i="36"/>
  <c r="P98" i="36"/>
  <c r="O98" i="36"/>
  <c r="N98" i="36"/>
  <c r="M98" i="36"/>
  <c r="L98" i="36"/>
  <c r="K98" i="36"/>
  <c r="I98" i="36"/>
  <c r="H98" i="36"/>
  <c r="G98" i="36"/>
  <c r="F98" i="36"/>
  <c r="I97" i="36"/>
  <c r="H97" i="36"/>
  <c r="G97" i="36"/>
  <c r="F97" i="36"/>
  <c r="Q95" i="36"/>
  <c r="P95" i="36"/>
  <c r="O95" i="36"/>
  <c r="N95" i="36"/>
  <c r="M95" i="36"/>
  <c r="L95" i="36"/>
  <c r="K95" i="36"/>
  <c r="I95" i="36"/>
  <c r="H95" i="36"/>
  <c r="G95" i="36"/>
  <c r="F95" i="36"/>
  <c r="I94" i="36"/>
  <c r="H94" i="36"/>
  <c r="G94" i="36"/>
  <c r="F94" i="36"/>
  <c r="Q92" i="36"/>
  <c r="P92" i="36"/>
  <c r="O92" i="36"/>
  <c r="N92" i="36"/>
  <c r="M92" i="36"/>
  <c r="L92" i="36"/>
  <c r="K92" i="36"/>
  <c r="I92" i="36"/>
  <c r="H92" i="36"/>
  <c r="G92" i="36"/>
  <c r="F92" i="36"/>
  <c r="I91" i="36"/>
  <c r="H91" i="36"/>
  <c r="G91" i="36"/>
  <c r="F91" i="36"/>
  <c r="Q89" i="36"/>
  <c r="P89" i="36"/>
  <c r="O89" i="36"/>
  <c r="N89" i="36"/>
  <c r="M89" i="36"/>
  <c r="L89" i="36"/>
  <c r="K89" i="36"/>
  <c r="I89" i="36"/>
  <c r="H89" i="36"/>
  <c r="G89" i="36"/>
  <c r="F89" i="36"/>
  <c r="I88" i="36"/>
  <c r="H88" i="36"/>
  <c r="G88" i="36"/>
  <c r="F88" i="36"/>
  <c r="Q86" i="36"/>
  <c r="P86" i="36"/>
  <c r="O86" i="36"/>
  <c r="N86" i="36"/>
  <c r="M86" i="36"/>
  <c r="L86" i="36"/>
  <c r="K86" i="36"/>
  <c r="I86" i="36"/>
  <c r="H86" i="36"/>
  <c r="G86" i="36"/>
  <c r="F86" i="36"/>
  <c r="I85" i="36"/>
  <c r="H85" i="36"/>
  <c r="G85" i="36"/>
  <c r="F85" i="36"/>
  <c r="Q83" i="36"/>
  <c r="P83" i="36"/>
  <c r="O83" i="36"/>
  <c r="N83" i="36"/>
  <c r="M83" i="36"/>
  <c r="L83" i="36"/>
  <c r="K83" i="36"/>
  <c r="I83" i="36"/>
  <c r="H83" i="36"/>
  <c r="G83" i="36"/>
  <c r="F83" i="36"/>
  <c r="I82" i="36"/>
  <c r="H82" i="36"/>
  <c r="G82" i="36"/>
  <c r="F82" i="36"/>
  <c r="Q80" i="36"/>
  <c r="P80" i="36"/>
  <c r="O80" i="36"/>
  <c r="N80" i="36"/>
  <c r="M80" i="36"/>
  <c r="L80" i="36"/>
  <c r="K80" i="36"/>
  <c r="I80" i="36"/>
  <c r="H80" i="36"/>
  <c r="G80" i="36"/>
  <c r="F80" i="36"/>
  <c r="I79" i="36"/>
  <c r="H79" i="36"/>
  <c r="G79" i="36"/>
  <c r="F79" i="36"/>
  <c r="Q77" i="36"/>
  <c r="P77" i="36"/>
  <c r="O77" i="36"/>
  <c r="N77" i="36"/>
  <c r="M77" i="36"/>
  <c r="L77" i="36"/>
  <c r="K77" i="36"/>
  <c r="I77" i="36"/>
  <c r="H77" i="36"/>
  <c r="G77" i="36"/>
  <c r="F77" i="36"/>
  <c r="I76" i="36"/>
  <c r="H76" i="36"/>
  <c r="G76" i="36"/>
  <c r="F76" i="36"/>
  <c r="Q74" i="36"/>
  <c r="P74" i="36"/>
  <c r="O74" i="36"/>
  <c r="N74" i="36"/>
  <c r="M74" i="36"/>
  <c r="L74" i="36"/>
  <c r="K74" i="36"/>
  <c r="I74" i="36"/>
  <c r="H74" i="36"/>
  <c r="G74" i="36"/>
  <c r="F74" i="36"/>
  <c r="I73" i="36"/>
  <c r="H73" i="36"/>
  <c r="G73" i="36"/>
  <c r="F73" i="36"/>
  <c r="Q71" i="36"/>
  <c r="O71" i="36"/>
  <c r="N71" i="36"/>
  <c r="M71" i="36"/>
  <c r="L71" i="36"/>
  <c r="K71" i="36"/>
  <c r="I71" i="36"/>
  <c r="H71" i="36"/>
  <c r="G71" i="36"/>
  <c r="F71" i="36"/>
  <c r="I70" i="36"/>
  <c r="H70" i="36"/>
  <c r="G70" i="36"/>
  <c r="F70" i="36"/>
  <c r="Q68" i="36"/>
  <c r="P68" i="36"/>
  <c r="N68" i="36"/>
  <c r="M68" i="36"/>
  <c r="L68" i="36"/>
  <c r="K68" i="36"/>
  <c r="I68" i="36"/>
  <c r="H68" i="36"/>
  <c r="G68" i="36"/>
  <c r="F68" i="36"/>
  <c r="I67" i="36"/>
  <c r="H67" i="36"/>
  <c r="G67" i="36"/>
  <c r="F67" i="36"/>
  <c r="AJ332" i="36" l="1"/>
  <c r="AJ356" i="36"/>
  <c r="AJ380" i="36"/>
  <c r="AJ404" i="36"/>
  <c r="AJ335" i="36"/>
  <c r="AJ329" i="36"/>
  <c r="AJ353" i="36"/>
  <c r="AJ377" i="36"/>
  <c r="AJ401" i="36"/>
  <c r="AJ326" i="36"/>
  <c r="AJ350" i="36"/>
  <c r="AJ374" i="36"/>
  <c r="AJ398" i="36"/>
  <c r="AJ347" i="36"/>
  <c r="AJ371" i="36"/>
  <c r="AJ395" i="36"/>
  <c r="AJ419" i="36"/>
  <c r="AJ359" i="36"/>
  <c r="AJ407" i="36"/>
  <c r="AJ344" i="36"/>
  <c r="AJ368" i="36"/>
  <c r="AJ392" i="36"/>
  <c r="AJ416" i="36"/>
  <c r="AJ341" i="36"/>
  <c r="AJ365" i="36"/>
  <c r="AJ389" i="36"/>
  <c r="AJ413" i="36"/>
  <c r="AJ383" i="36"/>
  <c r="AJ338" i="36"/>
  <c r="AJ362" i="36"/>
  <c r="AJ386" i="36"/>
  <c r="AJ410" i="36"/>
  <c r="AZ191" i="36"/>
  <c r="BA338" i="36"/>
  <c r="BA386" i="36"/>
  <c r="AZ407" i="36"/>
  <c r="BB341" i="36"/>
  <c r="BB365" i="36"/>
  <c r="BB413" i="36"/>
  <c r="AZ215" i="36"/>
  <c r="AZ239" i="36"/>
  <c r="AZ335" i="36"/>
  <c r="AZ359" i="36"/>
  <c r="AZ251" i="36"/>
  <c r="AZ275" i="36"/>
  <c r="AZ323" i="36"/>
  <c r="AZ347" i="36"/>
  <c r="AZ95" i="36"/>
  <c r="AZ119" i="36"/>
  <c r="AZ143" i="36"/>
  <c r="BA362" i="36"/>
  <c r="AZ383" i="36"/>
  <c r="AZ80" i="36"/>
  <c r="AZ152" i="36"/>
  <c r="AZ176" i="36"/>
  <c r="AZ200" i="36"/>
  <c r="BA347" i="36"/>
  <c r="AZ368" i="36"/>
  <c r="BA371" i="36"/>
  <c r="BB374" i="36"/>
  <c r="AZ392" i="36"/>
  <c r="BA395" i="36"/>
  <c r="AZ167" i="36"/>
  <c r="AZ287" i="36"/>
  <c r="BB389" i="36"/>
  <c r="AZ413" i="36"/>
  <c r="BA416" i="36"/>
  <c r="BB419" i="36"/>
  <c r="AZ71" i="36"/>
  <c r="AZ263" i="36"/>
  <c r="AZ311" i="36"/>
  <c r="BA410" i="36"/>
  <c r="AZ74" i="36"/>
  <c r="AZ146" i="36"/>
  <c r="AZ218" i="36"/>
  <c r="AZ314" i="36"/>
  <c r="AZ338" i="36"/>
  <c r="BA341" i="36"/>
  <c r="AZ362" i="36"/>
  <c r="BA365" i="36"/>
  <c r="AZ386" i="36"/>
  <c r="BA389" i="36"/>
  <c r="BB392" i="36"/>
  <c r="AZ272" i="36"/>
  <c r="BB398" i="36"/>
  <c r="AZ101" i="36"/>
  <c r="AZ266" i="36"/>
  <c r="AZ290" i="36"/>
  <c r="BB344" i="36"/>
  <c r="BB368" i="36"/>
  <c r="AZ89" i="36"/>
  <c r="AZ233" i="36"/>
  <c r="AZ329" i="36"/>
  <c r="BA332" i="36"/>
  <c r="AZ353" i="36"/>
  <c r="BA356" i="36"/>
  <c r="AZ377" i="36"/>
  <c r="BA380" i="36"/>
  <c r="AZ401" i="36"/>
  <c r="BA404" i="36"/>
  <c r="AZ326" i="36"/>
  <c r="BA329" i="36"/>
  <c r="BB332" i="36"/>
  <c r="AZ350" i="36"/>
  <c r="BA353" i="36"/>
  <c r="AZ374" i="36"/>
  <c r="BA377" i="36"/>
  <c r="BA326" i="36"/>
  <c r="BA350" i="36"/>
  <c r="BB353" i="36"/>
  <c r="AZ344" i="36"/>
  <c r="AZ341" i="36"/>
  <c r="AZ98" i="36"/>
  <c r="AZ122" i="36"/>
  <c r="AZ170" i="36"/>
  <c r="AZ194" i="36"/>
  <c r="AZ242" i="36"/>
  <c r="AZ68" i="36"/>
  <c r="BA71" i="36"/>
  <c r="BB71" i="36"/>
  <c r="AZ92" i="36"/>
  <c r="BA95" i="36"/>
  <c r="BB95" i="36"/>
  <c r="AZ116" i="36"/>
  <c r="BA119" i="36"/>
  <c r="BB119" i="36"/>
  <c r="AZ140" i="36"/>
  <c r="BA143" i="36"/>
  <c r="BB143" i="36"/>
  <c r="AZ164" i="36"/>
  <c r="BB167" i="36"/>
  <c r="BA167" i="36"/>
  <c r="AZ188" i="36"/>
  <c r="BA191" i="36"/>
  <c r="BB191" i="36"/>
  <c r="AZ212" i="36"/>
  <c r="BA215" i="36"/>
  <c r="BB215" i="36"/>
  <c r="AZ236" i="36"/>
  <c r="BA239" i="36"/>
  <c r="BB239" i="36"/>
  <c r="AZ260" i="36"/>
  <c r="BA263" i="36"/>
  <c r="BB263" i="36"/>
  <c r="AZ284" i="36"/>
  <c r="BA287" i="36"/>
  <c r="BB287" i="36"/>
  <c r="AZ308" i="36"/>
  <c r="BA311" i="36"/>
  <c r="BB311" i="36"/>
  <c r="AZ332" i="36"/>
  <c r="BA335" i="36"/>
  <c r="BB338" i="36"/>
  <c r="AZ356" i="36"/>
  <c r="BA359" i="36"/>
  <c r="BB362" i="36"/>
  <c r="AZ380" i="36"/>
  <c r="BA383" i="36"/>
  <c r="BB386" i="36"/>
  <c r="AZ404" i="36"/>
  <c r="BA407" i="36"/>
  <c r="BB410" i="36"/>
  <c r="AZ113" i="36"/>
  <c r="BA116" i="36"/>
  <c r="BB116" i="36"/>
  <c r="AZ137" i="36"/>
  <c r="BA140" i="36"/>
  <c r="BB140" i="36"/>
  <c r="AZ161" i="36"/>
  <c r="BA164" i="36"/>
  <c r="BB164" i="36"/>
  <c r="AZ185" i="36"/>
  <c r="BA188" i="36"/>
  <c r="BB188" i="36"/>
  <c r="AZ209" i="36"/>
  <c r="BA212" i="36"/>
  <c r="BB212" i="36"/>
  <c r="BA236" i="36"/>
  <c r="BB236" i="36"/>
  <c r="AZ257" i="36"/>
  <c r="BA260" i="36"/>
  <c r="BB260" i="36"/>
  <c r="AZ281" i="36"/>
  <c r="BA284" i="36"/>
  <c r="BB284" i="36"/>
  <c r="AZ305" i="36"/>
  <c r="BA308" i="36"/>
  <c r="BB308" i="36"/>
  <c r="BB335" i="36"/>
  <c r="BB359" i="36"/>
  <c r="BB383" i="36"/>
  <c r="BB407" i="36"/>
  <c r="BA146" i="36"/>
  <c r="BB146" i="36"/>
  <c r="AZ86" i="36"/>
  <c r="BA89" i="36"/>
  <c r="BB89" i="36"/>
  <c r="AZ110" i="36"/>
  <c r="BA113" i="36"/>
  <c r="BB113" i="36"/>
  <c r="AZ134" i="36"/>
  <c r="BA137" i="36"/>
  <c r="BB137" i="36"/>
  <c r="AZ158" i="36"/>
  <c r="BA161" i="36"/>
  <c r="BB161" i="36"/>
  <c r="AZ182" i="36"/>
  <c r="BA185" i="36"/>
  <c r="BB185" i="36"/>
  <c r="AZ206" i="36"/>
  <c r="BA209" i="36"/>
  <c r="BB209" i="36"/>
  <c r="AZ230" i="36"/>
  <c r="BA233" i="36"/>
  <c r="BB233" i="36"/>
  <c r="AZ254" i="36"/>
  <c r="BA257" i="36"/>
  <c r="BB257" i="36"/>
  <c r="AZ278" i="36"/>
  <c r="BA281" i="36"/>
  <c r="BB281" i="36"/>
  <c r="AZ302" i="36"/>
  <c r="BA305" i="36"/>
  <c r="BB305" i="36"/>
  <c r="BB356" i="36"/>
  <c r="BB380" i="36"/>
  <c r="AZ398" i="36"/>
  <c r="BA401" i="36"/>
  <c r="BB404" i="36"/>
  <c r="BA74" i="36"/>
  <c r="BB74" i="36"/>
  <c r="BA98" i="36"/>
  <c r="BB98" i="36"/>
  <c r="BA122" i="36"/>
  <c r="BB122" i="36"/>
  <c r="BA170" i="36"/>
  <c r="BB170" i="36"/>
  <c r="BA314" i="36"/>
  <c r="BB314" i="36"/>
  <c r="BA68" i="36"/>
  <c r="BB68" i="36"/>
  <c r="AZ83" i="36"/>
  <c r="BA86" i="36"/>
  <c r="BB86" i="36"/>
  <c r="AZ107" i="36"/>
  <c r="BA110" i="36"/>
  <c r="BB110" i="36"/>
  <c r="AZ131" i="36"/>
  <c r="BA134" i="36"/>
  <c r="BB134" i="36"/>
  <c r="AZ155" i="36"/>
  <c r="BA158" i="36"/>
  <c r="BB158" i="36"/>
  <c r="AZ179" i="36"/>
  <c r="BA182" i="36"/>
  <c r="BB182" i="36"/>
  <c r="AZ203" i="36"/>
  <c r="BA206" i="36"/>
  <c r="BB206" i="36"/>
  <c r="AZ227" i="36"/>
  <c r="BA230" i="36"/>
  <c r="BB230" i="36"/>
  <c r="BA254" i="36"/>
  <c r="BB254" i="36"/>
  <c r="BA278" i="36"/>
  <c r="BB278" i="36"/>
  <c r="AZ299" i="36"/>
  <c r="BA302" i="36"/>
  <c r="BB302" i="36"/>
  <c r="BB329" i="36"/>
  <c r="AZ371" i="36"/>
  <c r="BA374" i="36"/>
  <c r="BB377" i="36"/>
  <c r="AZ395" i="36"/>
  <c r="BA398" i="36"/>
  <c r="BB401" i="36"/>
  <c r="AZ419" i="36"/>
  <c r="BA290" i="36"/>
  <c r="BB290" i="36"/>
  <c r="BA92" i="36"/>
  <c r="BB92" i="36"/>
  <c r="BA83" i="36"/>
  <c r="BB83" i="36"/>
  <c r="AZ104" i="36"/>
  <c r="BA107" i="36"/>
  <c r="BB107" i="36"/>
  <c r="AZ128" i="36"/>
  <c r="BA131" i="36"/>
  <c r="BB131" i="36"/>
  <c r="BA155" i="36"/>
  <c r="BB155" i="36"/>
  <c r="BA179" i="36"/>
  <c r="BB179" i="36"/>
  <c r="BA203" i="36"/>
  <c r="BB203" i="36"/>
  <c r="AZ224" i="36"/>
  <c r="BA227" i="36"/>
  <c r="BB227" i="36"/>
  <c r="AZ248" i="36"/>
  <c r="BA251" i="36"/>
  <c r="BB251" i="36"/>
  <c r="BA275" i="36"/>
  <c r="BB275" i="36"/>
  <c r="AZ296" i="36"/>
  <c r="BA299" i="36"/>
  <c r="BB299" i="36"/>
  <c r="AZ320" i="36"/>
  <c r="BA323" i="36"/>
  <c r="BB326" i="36"/>
  <c r="BB350" i="36"/>
  <c r="AZ416" i="36"/>
  <c r="BA419" i="36"/>
  <c r="BA194" i="36"/>
  <c r="BB194" i="36"/>
  <c r="BA242" i="36"/>
  <c r="BB242" i="36"/>
  <c r="AZ77" i="36"/>
  <c r="BA80" i="36"/>
  <c r="BB80" i="36"/>
  <c r="BA104" i="36"/>
  <c r="BB104" i="36"/>
  <c r="AZ125" i="36"/>
  <c r="BA128" i="36"/>
  <c r="BB128" i="36"/>
  <c r="AZ149" i="36"/>
  <c r="BA152" i="36"/>
  <c r="BB152" i="36"/>
  <c r="AZ173" i="36"/>
  <c r="BA176" i="36"/>
  <c r="BB176" i="36"/>
  <c r="AZ197" i="36"/>
  <c r="BA200" i="36"/>
  <c r="BB200" i="36"/>
  <c r="AZ221" i="36"/>
  <c r="BA224" i="36"/>
  <c r="BB224" i="36"/>
  <c r="AZ245" i="36"/>
  <c r="BA248" i="36"/>
  <c r="BB248" i="36"/>
  <c r="AZ269" i="36"/>
  <c r="BA272" i="36"/>
  <c r="BB272" i="36"/>
  <c r="AZ293" i="36"/>
  <c r="BA296" i="36"/>
  <c r="BB296" i="36"/>
  <c r="AZ317" i="36"/>
  <c r="BA320" i="36"/>
  <c r="BB320" i="36"/>
  <c r="BB323" i="36"/>
  <c r="BA344" i="36"/>
  <c r="BB347" i="36"/>
  <c r="AZ365" i="36"/>
  <c r="BA368" i="36"/>
  <c r="BB371" i="36"/>
  <c r="AZ389" i="36"/>
  <c r="BA392" i="36"/>
  <c r="BB395" i="36"/>
  <c r="BA218" i="36"/>
  <c r="BB218" i="36"/>
  <c r="BA266" i="36"/>
  <c r="BB266" i="36"/>
  <c r="BA77" i="36"/>
  <c r="BB77" i="36"/>
  <c r="BA101" i="36"/>
  <c r="BB101" i="36"/>
  <c r="BA125" i="36"/>
  <c r="BB125" i="36"/>
  <c r="BA149" i="36"/>
  <c r="BB149" i="36"/>
  <c r="BA173" i="36"/>
  <c r="BB173" i="36"/>
  <c r="BA197" i="36"/>
  <c r="BB197" i="36"/>
  <c r="BA221" i="36"/>
  <c r="BB221" i="36"/>
  <c r="BA245" i="36"/>
  <c r="BB245" i="36"/>
  <c r="BA269" i="36"/>
  <c r="BB269" i="36"/>
  <c r="BA293" i="36"/>
  <c r="BB293" i="36"/>
  <c r="BA317" i="36"/>
  <c r="BB317" i="36"/>
  <c r="AZ410" i="36"/>
  <c r="BA413" i="36"/>
  <c r="BB416" i="36"/>
  <c r="AP323" i="36"/>
  <c r="AQ323" i="36"/>
  <c r="AJ323" i="36"/>
  <c r="AK323" i="36"/>
  <c r="AL323" i="36"/>
  <c r="AM323" i="36"/>
  <c r="AN323" i="36"/>
  <c r="AO323" i="36"/>
  <c r="AY89" i="102"/>
  <c r="AX89" i="102"/>
  <c r="AW89" i="102"/>
  <c r="AV89" i="102"/>
  <c r="AU89" i="102"/>
  <c r="AT89" i="102"/>
  <c r="AS89" i="102"/>
  <c r="AR89" i="102"/>
  <c r="AQ89" i="102"/>
  <c r="AP89" i="102"/>
  <c r="AO89" i="102"/>
  <c r="AN89" i="102"/>
  <c r="AM89" i="102"/>
  <c r="AL89" i="102"/>
  <c r="AK89" i="102"/>
  <c r="G87" i="102"/>
  <c r="F87" i="102"/>
  <c r="E87" i="102"/>
  <c r="D87" i="102"/>
  <c r="B85" i="102"/>
  <c r="C84" i="102"/>
  <c r="C85" i="102" s="1"/>
  <c r="AW440" i="36" l="1"/>
  <c r="BX440" i="36" s="1"/>
  <c r="DK439" i="36"/>
  <c r="CW439" i="36"/>
  <c r="BQ439" i="36"/>
  <c r="BP439" i="36"/>
  <c r="BO439" i="36"/>
  <c r="BN439" i="36"/>
  <c r="BM439" i="36"/>
  <c r="BL439" i="36"/>
  <c r="BK439" i="36"/>
  <c r="BJ439" i="36"/>
  <c r="BI439" i="36"/>
  <c r="BH439" i="36"/>
  <c r="BG439" i="36"/>
  <c r="BF439" i="36"/>
  <c r="BE439" i="36"/>
  <c r="BD439" i="36"/>
  <c r="BC439" i="36"/>
  <c r="AW439" i="36"/>
  <c r="DK438" i="36"/>
  <c r="CW438" i="36"/>
  <c r="BQ438" i="36"/>
  <c r="BP438" i="36"/>
  <c r="BO438" i="36"/>
  <c r="BN438" i="36"/>
  <c r="BM438" i="36"/>
  <c r="BL438" i="36"/>
  <c r="BK438" i="36"/>
  <c r="BJ438" i="36"/>
  <c r="BI438" i="36"/>
  <c r="BH438" i="36"/>
  <c r="BG438" i="36"/>
  <c r="BF438" i="36"/>
  <c r="BE438" i="36"/>
  <c r="BD438" i="36"/>
  <c r="BC438" i="36"/>
  <c r="AY438" i="36"/>
  <c r="AX438" i="36"/>
  <c r="CU438" i="36" s="1"/>
  <c r="DH438" i="36" s="1"/>
  <c r="AW438" i="36"/>
  <c r="BX438" i="36" s="1"/>
  <c r="AW437" i="36"/>
  <c r="CT437" i="36" s="1"/>
  <c r="DG437" i="36" s="1"/>
  <c r="DK436" i="36"/>
  <c r="CW436" i="36"/>
  <c r="BQ436" i="36"/>
  <c r="BP436" i="36"/>
  <c r="BO436" i="36"/>
  <c r="BN436" i="36"/>
  <c r="BM436" i="36"/>
  <c r="BL436" i="36"/>
  <c r="BK436" i="36"/>
  <c r="BJ436" i="36"/>
  <c r="BI436" i="36"/>
  <c r="BH436" i="36"/>
  <c r="BG436" i="36"/>
  <c r="BF436" i="36"/>
  <c r="BE436" i="36"/>
  <c r="BD436" i="36"/>
  <c r="BC436" i="36"/>
  <c r="AW436" i="36"/>
  <c r="DK435" i="36"/>
  <c r="CW435" i="36"/>
  <c r="BQ435" i="36"/>
  <c r="BP435" i="36"/>
  <c r="BO435" i="36"/>
  <c r="BN435" i="36"/>
  <c r="BM435" i="36"/>
  <c r="BL435" i="36"/>
  <c r="BK435" i="36"/>
  <c r="BJ435" i="36"/>
  <c r="BI435" i="36"/>
  <c r="BH435" i="36"/>
  <c r="BG435" i="36"/>
  <c r="BF435" i="36"/>
  <c r="BE435" i="36"/>
  <c r="BD435" i="36"/>
  <c r="BC435" i="36"/>
  <c r="AY435" i="36"/>
  <c r="AX435" i="36"/>
  <c r="CU435" i="36" s="1"/>
  <c r="DH435" i="36" s="1"/>
  <c r="AW435" i="36"/>
  <c r="CT435" i="36" s="1"/>
  <c r="DG435" i="36" s="1"/>
  <c r="AW434" i="36"/>
  <c r="CT434" i="36" s="1"/>
  <c r="DG434" i="36" s="1"/>
  <c r="DK433" i="36"/>
  <c r="CW433" i="36"/>
  <c r="BQ433" i="36"/>
  <c r="BP433" i="36"/>
  <c r="BO433" i="36"/>
  <c r="BN433" i="36"/>
  <c r="BM433" i="36"/>
  <c r="BL433" i="36"/>
  <c r="BK433" i="36"/>
  <c r="BJ433" i="36"/>
  <c r="BI433" i="36"/>
  <c r="BH433" i="36"/>
  <c r="BG433" i="36"/>
  <c r="BF433" i="36"/>
  <c r="BE433" i="36"/>
  <c r="BD433" i="36"/>
  <c r="BC433" i="36"/>
  <c r="AW433" i="36"/>
  <c r="CT433" i="36" s="1"/>
  <c r="DG433" i="36" s="1"/>
  <c r="DK432" i="36"/>
  <c r="CW432" i="36"/>
  <c r="BQ432" i="36"/>
  <c r="BP432" i="36"/>
  <c r="BO432" i="36"/>
  <c r="BN432" i="36"/>
  <c r="BM432" i="36"/>
  <c r="BL432" i="36"/>
  <c r="BK432" i="36"/>
  <c r="BJ432" i="36"/>
  <c r="BI432" i="36"/>
  <c r="BH432" i="36"/>
  <c r="BG432" i="36"/>
  <c r="BF432" i="36"/>
  <c r="BE432" i="36"/>
  <c r="BD432" i="36"/>
  <c r="BC432" i="36"/>
  <c r="AY432" i="36"/>
  <c r="BZ432" i="36" s="1"/>
  <c r="AX432" i="36"/>
  <c r="CU432" i="36" s="1"/>
  <c r="DH432" i="36" s="1"/>
  <c r="AW432" i="36"/>
  <c r="BX432" i="36" s="1"/>
  <c r="AW431" i="36"/>
  <c r="DK430" i="36"/>
  <c r="CW430" i="36"/>
  <c r="BQ430" i="36"/>
  <c r="BP430" i="36"/>
  <c r="BO430" i="36"/>
  <c r="BN430" i="36"/>
  <c r="BM430" i="36"/>
  <c r="BL430" i="36"/>
  <c r="BK430" i="36"/>
  <c r="BJ430" i="36"/>
  <c r="BI430" i="36"/>
  <c r="BH430" i="36"/>
  <c r="BG430" i="36"/>
  <c r="BF430" i="36"/>
  <c r="BE430" i="36"/>
  <c r="BD430" i="36"/>
  <c r="BC430" i="36"/>
  <c r="AW430" i="36"/>
  <c r="CT430" i="36" s="1"/>
  <c r="DG430" i="36" s="1"/>
  <c r="DK429" i="36"/>
  <c r="CW429" i="36"/>
  <c r="BQ429" i="36"/>
  <c r="BP429" i="36"/>
  <c r="BO429" i="36"/>
  <c r="BN429" i="36"/>
  <c r="BM429" i="36"/>
  <c r="BL429" i="36"/>
  <c r="BK429" i="36"/>
  <c r="BJ429" i="36"/>
  <c r="BI429" i="36"/>
  <c r="BH429" i="36"/>
  <c r="BG429" i="36"/>
  <c r="BF429" i="36"/>
  <c r="BE429" i="36"/>
  <c r="BD429" i="36"/>
  <c r="BC429" i="36"/>
  <c r="AY429" i="36"/>
  <c r="CV429" i="36" s="1"/>
  <c r="DI429" i="36" s="1"/>
  <c r="AX429" i="36"/>
  <c r="BY429" i="36" s="1"/>
  <c r="AW429" i="36"/>
  <c r="BX429" i="36" s="1"/>
  <c r="AW428" i="36"/>
  <c r="BX428" i="36" s="1"/>
  <c r="DK427" i="36"/>
  <c r="CW427" i="36"/>
  <c r="BQ427" i="36"/>
  <c r="BP427" i="36"/>
  <c r="BO427" i="36"/>
  <c r="BN427" i="36"/>
  <c r="BM427" i="36"/>
  <c r="BL427" i="36"/>
  <c r="BK427" i="36"/>
  <c r="BJ427" i="36"/>
  <c r="BI427" i="36"/>
  <c r="BH427" i="36"/>
  <c r="BG427" i="36"/>
  <c r="BF427" i="36"/>
  <c r="BE427" i="36"/>
  <c r="BD427" i="36"/>
  <c r="BC427" i="36"/>
  <c r="AW427" i="36"/>
  <c r="CT427" i="36" s="1"/>
  <c r="DG427" i="36" s="1"/>
  <c r="DK426" i="36"/>
  <c r="CW426" i="36"/>
  <c r="BQ426" i="36"/>
  <c r="BP426" i="36"/>
  <c r="BO426" i="36"/>
  <c r="BN426" i="36"/>
  <c r="BM426" i="36"/>
  <c r="BL426" i="36"/>
  <c r="BK426" i="36"/>
  <c r="BJ426" i="36"/>
  <c r="BI426" i="36"/>
  <c r="BH426" i="36"/>
  <c r="BG426" i="36"/>
  <c r="BF426" i="36"/>
  <c r="BE426" i="36"/>
  <c r="BD426" i="36"/>
  <c r="BC426" i="36"/>
  <c r="AY426" i="36"/>
  <c r="BZ426" i="36" s="1"/>
  <c r="AX426" i="36"/>
  <c r="CU426" i="36" s="1"/>
  <c r="DH426" i="36" s="1"/>
  <c r="AW426" i="36"/>
  <c r="AW425" i="36"/>
  <c r="CT425" i="36" s="1"/>
  <c r="DG425" i="36" s="1"/>
  <c r="DK424" i="36"/>
  <c r="CW424" i="36"/>
  <c r="BQ424" i="36"/>
  <c r="BP424" i="36"/>
  <c r="BO424" i="36"/>
  <c r="BN424" i="36"/>
  <c r="BM424" i="36"/>
  <c r="BL424" i="36"/>
  <c r="BK424" i="36"/>
  <c r="BJ424" i="36"/>
  <c r="BI424" i="36"/>
  <c r="BH424" i="36"/>
  <c r="BG424" i="36"/>
  <c r="BF424" i="36"/>
  <c r="BE424" i="36"/>
  <c r="BD424" i="36"/>
  <c r="BC424" i="36"/>
  <c r="AW424" i="36"/>
  <c r="DK423" i="36"/>
  <c r="CW423" i="36"/>
  <c r="BQ423" i="36"/>
  <c r="BP423" i="36"/>
  <c r="BO423" i="36"/>
  <c r="BN423" i="36"/>
  <c r="BM423" i="36"/>
  <c r="BL423" i="36"/>
  <c r="BK423" i="36"/>
  <c r="BJ423" i="36"/>
  <c r="BI423" i="36"/>
  <c r="BH423" i="36"/>
  <c r="BG423" i="36"/>
  <c r="BF423" i="36"/>
  <c r="BE423" i="36"/>
  <c r="BD423" i="36"/>
  <c r="BC423" i="36"/>
  <c r="AY423" i="36"/>
  <c r="CV423" i="36" s="1"/>
  <c r="DI423" i="36" s="1"/>
  <c r="AX423" i="36"/>
  <c r="CU423" i="36" s="1"/>
  <c r="DH423" i="36" s="1"/>
  <c r="AW423" i="36"/>
  <c r="AW422" i="36"/>
  <c r="CT422" i="36" s="1"/>
  <c r="DG422" i="36" s="1"/>
  <c r="DK421" i="36"/>
  <c r="CW421" i="36"/>
  <c r="BQ421" i="36"/>
  <c r="BP421" i="36"/>
  <c r="BO421" i="36"/>
  <c r="BN421" i="36"/>
  <c r="BM421" i="36"/>
  <c r="BL421" i="36"/>
  <c r="BK421" i="36"/>
  <c r="BJ421" i="36"/>
  <c r="BI421" i="36"/>
  <c r="BH421" i="36"/>
  <c r="BG421" i="36"/>
  <c r="BF421" i="36"/>
  <c r="BE421" i="36"/>
  <c r="BD421" i="36"/>
  <c r="BC421" i="36"/>
  <c r="AY421" i="36"/>
  <c r="BZ421" i="36" s="1"/>
  <c r="AX421" i="36"/>
  <c r="AW421" i="36"/>
  <c r="CT421" i="36" s="1"/>
  <c r="DG421" i="36" s="1"/>
  <c r="DK420" i="36"/>
  <c r="CW420" i="36"/>
  <c r="BQ420" i="36"/>
  <c r="BP420" i="36"/>
  <c r="BO420" i="36"/>
  <c r="BN420" i="36"/>
  <c r="BM420" i="36"/>
  <c r="BL420" i="36"/>
  <c r="BK420" i="36"/>
  <c r="BJ420" i="36"/>
  <c r="BI420" i="36"/>
  <c r="BH420" i="36"/>
  <c r="BG420" i="36"/>
  <c r="BF420" i="36"/>
  <c r="BE420" i="36"/>
  <c r="BD420" i="36"/>
  <c r="BC420" i="36"/>
  <c r="AY420" i="36"/>
  <c r="CV420" i="36" s="1"/>
  <c r="DI420" i="36" s="1"/>
  <c r="AX420" i="36"/>
  <c r="AW420" i="36"/>
  <c r="CT420" i="36" s="1"/>
  <c r="DG420" i="36" s="1"/>
  <c r="DK419" i="36"/>
  <c r="CW419" i="36"/>
  <c r="BQ419" i="36"/>
  <c r="BP419" i="36"/>
  <c r="BO419" i="36"/>
  <c r="BN419" i="36"/>
  <c r="BM419" i="36"/>
  <c r="BL419" i="36"/>
  <c r="BK419" i="36"/>
  <c r="BJ419" i="36"/>
  <c r="BI419" i="36"/>
  <c r="BH419" i="36"/>
  <c r="BG419" i="36"/>
  <c r="BF419" i="36"/>
  <c r="BE419" i="36"/>
  <c r="BD419" i="36"/>
  <c r="BC419" i="36"/>
  <c r="AY419" i="36"/>
  <c r="CV419" i="36" s="1"/>
  <c r="DI419" i="36" s="1"/>
  <c r="AX419" i="36"/>
  <c r="CU419" i="36" s="1"/>
  <c r="DH419" i="36" s="1"/>
  <c r="AW419" i="36"/>
  <c r="BX419" i="36" s="1"/>
  <c r="DK418" i="36"/>
  <c r="CW418" i="36"/>
  <c r="BQ418" i="36"/>
  <c r="BP418" i="36"/>
  <c r="BO418" i="36"/>
  <c r="BN418" i="36"/>
  <c r="BM418" i="36"/>
  <c r="BL418" i="36"/>
  <c r="BK418" i="36"/>
  <c r="BJ418" i="36"/>
  <c r="BI418" i="36"/>
  <c r="BH418" i="36"/>
  <c r="BG418" i="36"/>
  <c r="BF418" i="36"/>
  <c r="BE418" i="36"/>
  <c r="BD418" i="36"/>
  <c r="BC418" i="36"/>
  <c r="AY418" i="36"/>
  <c r="AX418" i="36"/>
  <c r="CU418" i="36" s="1"/>
  <c r="DH418" i="36" s="1"/>
  <c r="AW418" i="36"/>
  <c r="DK417" i="36"/>
  <c r="CW417" i="36"/>
  <c r="BQ417" i="36"/>
  <c r="BP417" i="36"/>
  <c r="BO417" i="36"/>
  <c r="BN417" i="36"/>
  <c r="BM417" i="36"/>
  <c r="BL417" i="36"/>
  <c r="BK417" i="36"/>
  <c r="BJ417" i="36"/>
  <c r="BI417" i="36"/>
  <c r="BH417" i="36"/>
  <c r="BG417" i="36"/>
  <c r="BF417" i="36"/>
  <c r="BE417" i="36"/>
  <c r="BD417" i="36"/>
  <c r="BC417" i="36"/>
  <c r="AY417" i="36"/>
  <c r="AX417" i="36"/>
  <c r="CU417" i="36" s="1"/>
  <c r="DH417" i="36" s="1"/>
  <c r="AW417" i="36"/>
  <c r="DK416" i="36"/>
  <c r="CW416" i="36"/>
  <c r="BQ416" i="36"/>
  <c r="BP416" i="36"/>
  <c r="BO416" i="36"/>
  <c r="BN416" i="36"/>
  <c r="BM416" i="36"/>
  <c r="BL416" i="36"/>
  <c r="BK416" i="36"/>
  <c r="BJ416" i="36"/>
  <c r="BI416" i="36"/>
  <c r="BH416" i="36"/>
  <c r="BG416" i="36"/>
  <c r="BF416" i="36"/>
  <c r="BE416" i="36"/>
  <c r="BD416" i="36"/>
  <c r="BC416" i="36"/>
  <c r="AY416" i="36"/>
  <c r="AX416" i="36"/>
  <c r="CU416" i="36" s="1"/>
  <c r="DH416" i="36" s="1"/>
  <c r="AW416" i="36"/>
  <c r="BX416" i="36" s="1"/>
  <c r="DK415" i="36"/>
  <c r="CW415" i="36"/>
  <c r="BQ415" i="36"/>
  <c r="BP415" i="36"/>
  <c r="BO415" i="36"/>
  <c r="BN415" i="36"/>
  <c r="BM415" i="36"/>
  <c r="BL415" i="36"/>
  <c r="BK415" i="36"/>
  <c r="BJ415" i="36"/>
  <c r="BI415" i="36"/>
  <c r="BH415" i="36"/>
  <c r="BG415" i="36"/>
  <c r="BF415" i="36"/>
  <c r="BE415" i="36"/>
  <c r="BD415" i="36"/>
  <c r="BC415" i="36"/>
  <c r="AY415" i="36"/>
  <c r="BZ415" i="36" s="1"/>
  <c r="AX415" i="36"/>
  <c r="AW415" i="36"/>
  <c r="DK414" i="36"/>
  <c r="CW414" i="36"/>
  <c r="BQ414" i="36"/>
  <c r="BP414" i="36"/>
  <c r="BO414" i="36"/>
  <c r="BN414" i="36"/>
  <c r="BM414" i="36"/>
  <c r="BL414" i="36"/>
  <c r="BK414" i="36"/>
  <c r="BJ414" i="36"/>
  <c r="BI414" i="36"/>
  <c r="BH414" i="36"/>
  <c r="BG414" i="36"/>
  <c r="BF414" i="36"/>
  <c r="BE414" i="36"/>
  <c r="BD414" i="36"/>
  <c r="BC414" i="36"/>
  <c r="AY414" i="36"/>
  <c r="BZ414" i="36" s="1"/>
  <c r="AX414" i="36"/>
  <c r="CU414" i="36" s="1"/>
  <c r="DH414" i="36" s="1"/>
  <c r="AW414" i="36"/>
  <c r="CT414" i="36" s="1"/>
  <c r="DG414" i="36" s="1"/>
  <c r="DK413" i="36"/>
  <c r="CW413" i="36"/>
  <c r="BQ413" i="36"/>
  <c r="BP413" i="36"/>
  <c r="BO413" i="36"/>
  <c r="BN413" i="36"/>
  <c r="BM413" i="36"/>
  <c r="BL413" i="36"/>
  <c r="BK413" i="36"/>
  <c r="BJ413" i="36"/>
  <c r="BI413" i="36"/>
  <c r="BH413" i="36"/>
  <c r="BG413" i="36"/>
  <c r="BF413" i="36"/>
  <c r="BE413" i="36"/>
  <c r="BD413" i="36"/>
  <c r="BC413" i="36"/>
  <c r="AY413" i="36"/>
  <c r="AX413" i="36"/>
  <c r="AW413" i="36"/>
  <c r="DK412" i="36"/>
  <c r="CW412" i="36"/>
  <c r="BQ412" i="36"/>
  <c r="BP412" i="36"/>
  <c r="BO412" i="36"/>
  <c r="BN412" i="36"/>
  <c r="BM412" i="36"/>
  <c r="BL412" i="36"/>
  <c r="BK412" i="36"/>
  <c r="BJ412" i="36"/>
  <c r="BI412" i="36"/>
  <c r="BH412" i="36"/>
  <c r="BG412" i="36"/>
  <c r="BF412" i="36"/>
  <c r="BE412" i="36"/>
  <c r="BD412" i="36"/>
  <c r="BC412" i="36"/>
  <c r="AY412" i="36"/>
  <c r="BZ412" i="36" s="1"/>
  <c r="AX412" i="36"/>
  <c r="AW412" i="36"/>
  <c r="CT412" i="36" s="1"/>
  <c r="DG412" i="36" s="1"/>
  <c r="DK411" i="36"/>
  <c r="CW411" i="36"/>
  <c r="BQ411" i="36"/>
  <c r="BP411" i="36"/>
  <c r="BO411" i="36"/>
  <c r="BN411" i="36"/>
  <c r="BM411" i="36"/>
  <c r="BL411" i="36"/>
  <c r="BK411" i="36"/>
  <c r="BJ411" i="36"/>
  <c r="BI411" i="36"/>
  <c r="BH411" i="36"/>
  <c r="BG411" i="36"/>
  <c r="BF411" i="36"/>
  <c r="BE411" i="36"/>
  <c r="BD411" i="36"/>
  <c r="BC411" i="36"/>
  <c r="AY411" i="36"/>
  <c r="BZ411" i="36" s="1"/>
  <c r="AX411" i="36"/>
  <c r="AW411" i="36"/>
  <c r="DK410" i="36"/>
  <c r="CW410" i="36"/>
  <c r="BQ410" i="36"/>
  <c r="BP410" i="36"/>
  <c r="BO410" i="36"/>
  <c r="BN410" i="36"/>
  <c r="BM410" i="36"/>
  <c r="BL410" i="36"/>
  <c r="BK410" i="36"/>
  <c r="BJ410" i="36"/>
  <c r="BI410" i="36"/>
  <c r="BH410" i="36"/>
  <c r="BG410" i="36"/>
  <c r="BF410" i="36"/>
  <c r="BE410" i="36"/>
  <c r="BD410" i="36"/>
  <c r="BC410" i="36"/>
  <c r="AY410" i="36"/>
  <c r="AX410" i="36"/>
  <c r="AW410" i="36"/>
  <c r="BX410" i="36" s="1"/>
  <c r="DK409" i="36"/>
  <c r="CW409" i="36"/>
  <c r="BQ409" i="36"/>
  <c r="BP409" i="36"/>
  <c r="BO409" i="36"/>
  <c r="BN409" i="36"/>
  <c r="BM409" i="36"/>
  <c r="BL409" i="36"/>
  <c r="BK409" i="36"/>
  <c r="BJ409" i="36"/>
  <c r="BI409" i="36"/>
  <c r="BH409" i="36"/>
  <c r="BG409" i="36"/>
  <c r="BF409" i="36"/>
  <c r="BE409" i="36"/>
  <c r="BD409" i="36"/>
  <c r="BC409" i="36"/>
  <c r="AY409" i="36"/>
  <c r="BZ409" i="36" s="1"/>
  <c r="AX409" i="36"/>
  <c r="AW409" i="36"/>
  <c r="CT409" i="36" s="1"/>
  <c r="DG409" i="36" s="1"/>
  <c r="DK408" i="36"/>
  <c r="CW408" i="36"/>
  <c r="BQ408" i="36"/>
  <c r="BP408" i="36"/>
  <c r="BO408" i="36"/>
  <c r="BN408" i="36"/>
  <c r="BM408" i="36"/>
  <c r="BL408" i="36"/>
  <c r="BK408" i="36"/>
  <c r="BJ408" i="36"/>
  <c r="BI408" i="36"/>
  <c r="BH408" i="36"/>
  <c r="BG408" i="36"/>
  <c r="BF408" i="36"/>
  <c r="BE408" i="36"/>
  <c r="BD408" i="36"/>
  <c r="BC408" i="36"/>
  <c r="AY408" i="36"/>
  <c r="AX408" i="36"/>
  <c r="BY408" i="36" s="1"/>
  <c r="AW408" i="36"/>
  <c r="DK407" i="36"/>
  <c r="CW407" i="36"/>
  <c r="BQ407" i="36"/>
  <c r="BP407" i="36"/>
  <c r="BO407" i="36"/>
  <c r="BN407" i="36"/>
  <c r="BM407" i="36"/>
  <c r="BL407" i="36"/>
  <c r="BK407" i="36"/>
  <c r="BJ407" i="36"/>
  <c r="BI407" i="36"/>
  <c r="BH407" i="36"/>
  <c r="BG407" i="36"/>
  <c r="BF407" i="36"/>
  <c r="BE407" i="36"/>
  <c r="BD407" i="36"/>
  <c r="BC407" i="36"/>
  <c r="AY407" i="36"/>
  <c r="AX407" i="36"/>
  <c r="CU407" i="36" s="1"/>
  <c r="DH407" i="36" s="1"/>
  <c r="AW407" i="36"/>
  <c r="CT407" i="36" s="1"/>
  <c r="DG407" i="36" s="1"/>
  <c r="DK406" i="36"/>
  <c r="CW406" i="36"/>
  <c r="BQ406" i="36"/>
  <c r="BP406" i="36"/>
  <c r="BO406" i="36"/>
  <c r="BN406" i="36"/>
  <c r="BM406" i="36"/>
  <c r="BL406" i="36"/>
  <c r="BK406" i="36"/>
  <c r="BJ406" i="36"/>
  <c r="BI406" i="36"/>
  <c r="BH406" i="36"/>
  <c r="BG406" i="36"/>
  <c r="BF406" i="36"/>
  <c r="BE406" i="36"/>
  <c r="BD406" i="36"/>
  <c r="BC406" i="36"/>
  <c r="AY406" i="36"/>
  <c r="AX406" i="36"/>
  <c r="BY406" i="36" s="1"/>
  <c r="AW406" i="36"/>
  <c r="CT406" i="36" s="1"/>
  <c r="DG406" i="36" s="1"/>
  <c r="DK405" i="36"/>
  <c r="CW405" i="36"/>
  <c r="BQ405" i="36"/>
  <c r="BP405" i="36"/>
  <c r="BO405" i="36"/>
  <c r="BN405" i="36"/>
  <c r="BM405" i="36"/>
  <c r="BL405" i="36"/>
  <c r="BK405" i="36"/>
  <c r="BJ405" i="36"/>
  <c r="BI405" i="36"/>
  <c r="BH405" i="36"/>
  <c r="BG405" i="36"/>
  <c r="BF405" i="36"/>
  <c r="BE405" i="36"/>
  <c r="BD405" i="36"/>
  <c r="BC405" i="36"/>
  <c r="AY405" i="36"/>
  <c r="BZ405" i="36" s="1"/>
  <c r="AX405" i="36"/>
  <c r="AW405" i="36"/>
  <c r="CT405" i="36" s="1"/>
  <c r="DG405" i="36" s="1"/>
  <c r="DK404" i="36"/>
  <c r="CW404" i="36"/>
  <c r="BQ404" i="36"/>
  <c r="BP404" i="36"/>
  <c r="BO404" i="36"/>
  <c r="BN404" i="36"/>
  <c r="BM404" i="36"/>
  <c r="BL404" i="36"/>
  <c r="BK404" i="36"/>
  <c r="BJ404" i="36"/>
  <c r="BI404" i="36"/>
  <c r="BH404" i="36"/>
  <c r="BG404" i="36"/>
  <c r="BF404" i="36"/>
  <c r="BE404" i="36"/>
  <c r="BD404" i="36"/>
  <c r="BC404" i="36"/>
  <c r="AY404" i="36"/>
  <c r="BZ404" i="36" s="1"/>
  <c r="AX404" i="36"/>
  <c r="AW404" i="36"/>
  <c r="DK403" i="36"/>
  <c r="CW403" i="36"/>
  <c r="BQ403" i="36"/>
  <c r="BP403" i="36"/>
  <c r="BO403" i="36"/>
  <c r="BN403" i="36"/>
  <c r="BM403" i="36"/>
  <c r="BL403" i="36"/>
  <c r="BK403" i="36"/>
  <c r="BJ403" i="36"/>
  <c r="BI403" i="36"/>
  <c r="BH403" i="36"/>
  <c r="BG403" i="36"/>
  <c r="BF403" i="36"/>
  <c r="BE403" i="36"/>
  <c r="BD403" i="36"/>
  <c r="BC403" i="36"/>
  <c r="AY403" i="36"/>
  <c r="BZ403" i="36" s="1"/>
  <c r="AX403" i="36"/>
  <c r="AW403" i="36"/>
  <c r="DK402" i="36"/>
  <c r="CW402" i="36"/>
  <c r="BQ402" i="36"/>
  <c r="BP402" i="36"/>
  <c r="BO402" i="36"/>
  <c r="BN402" i="36"/>
  <c r="BM402" i="36"/>
  <c r="BL402" i="36"/>
  <c r="BK402" i="36"/>
  <c r="BJ402" i="36"/>
  <c r="BI402" i="36"/>
  <c r="BH402" i="36"/>
  <c r="BG402" i="36"/>
  <c r="BF402" i="36"/>
  <c r="BE402" i="36"/>
  <c r="BD402" i="36"/>
  <c r="BC402" i="36"/>
  <c r="AY402" i="36"/>
  <c r="AX402" i="36"/>
  <c r="AW402" i="36"/>
  <c r="CT402" i="36" s="1"/>
  <c r="DG402" i="36" s="1"/>
  <c r="DK401" i="36"/>
  <c r="CW401" i="36"/>
  <c r="BQ401" i="36"/>
  <c r="BP401" i="36"/>
  <c r="BO401" i="36"/>
  <c r="BN401" i="36"/>
  <c r="BM401" i="36"/>
  <c r="BL401" i="36"/>
  <c r="BK401" i="36"/>
  <c r="BJ401" i="36"/>
  <c r="BI401" i="36"/>
  <c r="BH401" i="36"/>
  <c r="BG401" i="36"/>
  <c r="BF401" i="36"/>
  <c r="BE401" i="36"/>
  <c r="BD401" i="36"/>
  <c r="BC401" i="36"/>
  <c r="AY401" i="36"/>
  <c r="BZ401" i="36" s="1"/>
  <c r="AX401" i="36"/>
  <c r="BY401" i="36" s="1"/>
  <c r="AW401" i="36"/>
  <c r="DK400" i="36"/>
  <c r="CW400" i="36"/>
  <c r="BQ400" i="36"/>
  <c r="BP400" i="36"/>
  <c r="BO400" i="36"/>
  <c r="BN400" i="36"/>
  <c r="BM400" i="36"/>
  <c r="BL400" i="36"/>
  <c r="BK400" i="36"/>
  <c r="BJ400" i="36"/>
  <c r="BI400" i="36"/>
  <c r="BH400" i="36"/>
  <c r="BG400" i="36"/>
  <c r="BF400" i="36"/>
  <c r="BE400" i="36"/>
  <c r="BD400" i="36"/>
  <c r="BC400" i="36"/>
  <c r="AY400" i="36"/>
  <c r="CV400" i="36" s="1"/>
  <c r="DI400" i="36" s="1"/>
  <c r="AX400" i="36"/>
  <c r="AW400" i="36"/>
  <c r="BX400" i="36" s="1"/>
  <c r="DK399" i="36"/>
  <c r="CW399" i="36"/>
  <c r="BQ399" i="36"/>
  <c r="BP399" i="36"/>
  <c r="BO399" i="36"/>
  <c r="BN399" i="36"/>
  <c r="BM399" i="36"/>
  <c r="BL399" i="36"/>
  <c r="BK399" i="36"/>
  <c r="BJ399" i="36"/>
  <c r="BI399" i="36"/>
  <c r="BH399" i="36"/>
  <c r="BG399" i="36"/>
  <c r="BF399" i="36"/>
  <c r="BE399" i="36"/>
  <c r="BD399" i="36"/>
  <c r="BC399" i="36"/>
  <c r="AY399" i="36"/>
  <c r="CV399" i="36" s="1"/>
  <c r="DI399" i="36" s="1"/>
  <c r="AX399" i="36"/>
  <c r="BY399" i="36" s="1"/>
  <c r="AW399" i="36"/>
  <c r="BX399" i="36" s="1"/>
  <c r="DK398" i="36"/>
  <c r="CW398" i="36"/>
  <c r="BQ398" i="36"/>
  <c r="BP398" i="36"/>
  <c r="BO398" i="36"/>
  <c r="BN398" i="36"/>
  <c r="BM398" i="36"/>
  <c r="BL398" i="36"/>
  <c r="BK398" i="36"/>
  <c r="BJ398" i="36"/>
  <c r="BI398" i="36"/>
  <c r="BH398" i="36"/>
  <c r="BG398" i="36"/>
  <c r="BF398" i="36"/>
  <c r="BE398" i="36"/>
  <c r="BD398" i="36"/>
  <c r="BC398" i="36"/>
  <c r="AY398" i="36"/>
  <c r="AX398" i="36"/>
  <c r="CU398" i="36" s="1"/>
  <c r="DH398" i="36" s="1"/>
  <c r="AW398" i="36"/>
  <c r="CT398" i="36" s="1"/>
  <c r="DG398" i="36" s="1"/>
  <c r="DK397" i="36"/>
  <c r="CW397" i="36"/>
  <c r="BQ397" i="36"/>
  <c r="BP397" i="36"/>
  <c r="BO397" i="36"/>
  <c r="BN397" i="36"/>
  <c r="BM397" i="36"/>
  <c r="BL397" i="36"/>
  <c r="BK397" i="36"/>
  <c r="BJ397" i="36"/>
  <c r="BI397" i="36"/>
  <c r="BH397" i="36"/>
  <c r="BG397" i="36"/>
  <c r="BF397" i="36"/>
  <c r="BE397" i="36"/>
  <c r="BD397" i="36"/>
  <c r="BC397" i="36"/>
  <c r="AY397" i="36"/>
  <c r="AX397" i="36"/>
  <c r="AW397" i="36"/>
  <c r="DK396" i="36"/>
  <c r="CW396" i="36"/>
  <c r="BQ396" i="36"/>
  <c r="BP396" i="36"/>
  <c r="BO396" i="36"/>
  <c r="BN396" i="36"/>
  <c r="BM396" i="36"/>
  <c r="BL396" i="36"/>
  <c r="BK396" i="36"/>
  <c r="BJ396" i="36"/>
  <c r="BI396" i="36"/>
  <c r="BH396" i="36"/>
  <c r="BG396" i="36"/>
  <c r="BF396" i="36"/>
  <c r="BE396" i="36"/>
  <c r="BD396" i="36"/>
  <c r="BC396" i="36"/>
  <c r="AY396" i="36"/>
  <c r="CV396" i="36" s="1"/>
  <c r="DI396" i="36" s="1"/>
  <c r="AX396" i="36"/>
  <c r="BY396" i="36" s="1"/>
  <c r="AW396" i="36"/>
  <c r="DK395" i="36"/>
  <c r="CW395" i="36"/>
  <c r="BQ395" i="36"/>
  <c r="BP395" i="36"/>
  <c r="BO395" i="36"/>
  <c r="BN395" i="36"/>
  <c r="BM395" i="36"/>
  <c r="BL395" i="36"/>
  <c r="BK395" i="36"/>
  <c r="BJ395" i="36"/>
  <c r="BI395" i="36"/>
  <c r="BH395" i="36"/>
  <c r="BG395" i="36"/>
  <c r="BF395" i="36"/>
  <c r="BE395" i="36"/>
  <c r="BD395" i="36"/>
  <c r="BC395" i="36"/>
  <c r="AY395" i="36"/>
  <c r="CV395" i="36" s="1"/>
  <c r="DI395" i="36" s="1"/>
  <c r="AX395" i="36"/>
  <c r="CU395" i="36" s="1"/>
  <c r="DH395" i="36" s="1"/>
  <c r="AW395" i="36"/>
  <c r="DK394" i="36"/>
  <c r="CW394" i="36"/>
  <c r="BQ394" i="36"/>
  <c r="BP394" i="36"/>
  <c r="BO394" i="36"/>
  <c r="BN394" i="36"/>
  <c r="BM394" i="36"/>
  <c r="BL394" i="36"/>
  <c r="BK394" i="36"/>
  <c r="BJ394" i="36"/>
  <c r="BI394" i="36"/>
  <c r="BH394" i="36"/>
  <c r="BG394" i="36"/>
  <c r="BF394" i="36"/>
  <c r="BE394" i="36"/>
  <c r="BD394" i="36"/>
  <c r="BC394" i="36"/>
  <c r="AY394" i="36"/>
  <c r="CV394" i="36" s="1"/>
  <c r="DI394" i="36" s="1"/>
  <c r="AX394" i="36"/>
  <c r="CU394" i="36" s="1"/>
  <c r="DH394" i="36" s="1"/>
  <c r="AW394" i="36"/>
  <c r="BX394" i="36" s="1"/>
  <c r="DK393" i="36"/>
  <c r="CW393" i="36"/>
  <c r="BQ393" i="36"/>
  <c r="BP393" i="36"/>
  <c r="BO393" i="36"/>
  <c r="BN393" i="36"/>
  <c r="BM393" i="36"/>
  <c r="BL393" i="36"/>
  <c r="BK393" i="36"/>
  <c r="BJ393" i="36"/>
  <c r="BI393" i="36"/>
  <c r="BH393" i="36"/>
  <c r="BG393" i="36"/>
  <c r="BF393" i="36"/>
  <c r="BE393" i="36"/>
  <c r="BD393" i="36"/>
  <c r="BC393" i="36"/>
  <c r="AY393" i="36"/>
  <c r="AX393" i="36"/>
  <c r="BY393" i="36" s="1"/>
  <c r="AW393" i="36"/>
  <c r="CT393" i="36" s="1"/>
  <c r="DG393" i="36" s="1"/>
  <c r="DK392" i="36"/>
  <c r="CW392" i="36"/>
  <c r="BQ392" i="36"/>
  <c r="BP392" i="36"/>
  <c r="BO392" i="36"/>
  <c r="BN392" i="36"/>
  <c r="BM392" i="36"/>
  <c r="BL392" i="36"/>
  <c r="BK392" i="36"/>
  <c r="BJ392" i="36"/>
  <c r="BI392" i="36"/>
  <c r="BH392" i="36"/>
  <c r="BG392" i="36"/>
  <c r="BF392" i="36"/>
  <c r="BE392" i="36"/>
  <c r="BD392" i="36"/>
  <c r="BC392" i="36"/>
  <c r="AY392" i="36"/>
  <c r="CV392" i="36" s="1"/>
  <c r="DI392" i="36" s="1"/>
  <c r="AX392" i="36"/>
  <c r="AW392" i="36"/>
  <c r="BX392" i="36" s="1"/>
  <c r="DK391" i="36"/>
  <c r="CW391" i="36"/>
  <c r="BQ391" i="36"/>
  <c r="BP391" i="36"/>
  <c r="BO391" i="36"/>
  <c r="BN391" i="36"/>
  <c r="BM391" i="36"/>
  <c r="BL391" i="36"/>
  <c r="BK391" i="36"/>
  <c r="BJ391" i="36"/>
  <c r="BI391" i="36"/>
  <c r="BH391" i="36"/>
  <c r="BG391" i="36"/>
  <c r="BF391" i="36"/>
  <c r="BE391" i="36"/>
  <c r="BD391" i="36"/>
  <c r="BC391" i="36"/>
  <c r="AY391" i="36"/>
  <c r="CV391" i="36" s="1"/>
  <c r="DI391" i="36" s="1"/>
  <c r="AX391" i="36"/>
  <c r="BY391" i="36" s="1"/>
  <c r="AW391" i="36"/>
  <c r="BX391" i="36" s="1"/>
  <c r="DK390" i="36"/>
  <c r="CW390" i="36"/>
  <c r="BQ390" i="36"/>
  <c r="BP390" i="36"/>
  <c r="BO390" i="36"/>
  <c r="BN390" i="36"/>
  <c r="BM390" i="36"/>
  <c r="BL390" i="36"/>
  <c r="BK390" i="36"/>
  <c r="BJ390" i="36"/>
  <c r="BI390" i="36"/>
  <c r="BH390" i="36"/>
  <c r="BG390" i="36"/>
  <c r="BF390" i="36"/>
  <c r="BE390" i="36"/>
  <c r="BD390" i="36"/>
  <c r="BC390" i="36"/>
  <c r="AY390" i="36"/>
  <c r="AX390" i="36"/>
  <c r="CU390" i="36" s="1"/>
  <c r="DH390" i="36" s="1"/>
  <c r="AW390" i="36"/>
  <c r="BX390" i="36" s="1"/>
  <c r="DK389" i="36"/>
  <c r="CW389" i="36"/>
  <c r="BQ389" i="36"/>
  <c r="BP389" i="36"/>
  <c r="BO389" i="36"/>
  <c r="BN389" i="36"/>
  <c r="BM389" i="36"/>
  <c r="BL389" i="36"/>
  <c r="BK389" i="36"/>
  <c r="BJ389" i="36"/>
  <c r="BI389" i="36"/>
  <c r="BH389" i="36"/>
  <c r="BG389" i="36"/>
  <c r="BF389" i="36"/>
  <c r="BE389" i="36"/>
  <c r="BD389" i="36"/>
  <c r="BC389" i="36"/>
  <c r="AY389" i="36"/>
  <c r="AX389" i="36"/>
  <c r="CU389" i="36" s="1"/>
  <c r="DH389" i="36" s="1"/>
  <c r="AW389" i="36"/>
  <c r="CT389" i="36" s="1"/>
  <c r="DG389" i="36" s="1"/>
  <c r="DK388" i="36"/>
  <c r="CW388" i="36"/>
  <c r="BQ388" i="36"/>
  <c r="BP388" i="36"/>
  <c r="BO388" i="36"/>
  <c r="BN388" i="36"/>
  <c r="BM388" i="36"/>
  <c r="BL388" i="36"/>
  <c r="BK388" i="36"/>
  <c r="BJ388" i="36"/>
  <c r="BI388" i="36"/>
  <c r="BH388" i="36"/>
  <c r="BG388" i="36"/>
  <c r="BF388" i="36"/>
  <c r="BE388" i="36"/>
  <c r="BD388" i="36"/>
  <c r="BC388" i="36"/>
  <c r="AY388" i="36"/>
  <c r="CV388" i="36" s="1"/>
  <c r="DI388" i="36" s="1"/>
  <c r="AX388" i="36"/>
  <c r="BY388" i="36" s="1"/>
  <c r="AW388" i="36"/>
  <c r="BX388" i="36" s="1"/>
  <c r="DK387" i="36"/>
  <c r="CW387" i="36"/>
  <c r="BQ387" i="36"/>
  <c r="BP387" i="36"/>
  <c r="BO387" i="36"/>
  <c r="BN387" i="36"/>
  <c r="BM387" i="36"/>
  <c r="BL387" i="36"/>
  <c r="BK387" i="36"/>
  <c r="BJ387" i="36"/>
  <c r="BI387" i="36"/>
  <c r="BH387" i="36"/>
  <c r="BG387" i="36"/>
  <c r="BF387" i="36"/>
  <c r="BE387" i="36"/>
  <c r="BD387" i="36"/>
  <c r="BC387" i="36"/>
  <c r="AY387" i="36"/>
  <c r="BZ387" i="36" s="1"/>
  <c r="AX387" i="36"/>
  <c r="AW387" i="36"/>
  <c r="DK386" i="36"/>
  <c r="CW386" i="36"/>
  <c r="BQ386" i="36"/>
  <c r="BP386" i="36"/>
  <c r="BO386" i="36"/>
  <c r="BN386" i="36"/>
  <c r="BM386" i="36"/>
  <c r="BL386" i="36"/>
  <c r="BK386" i="36"/>
  <c r="BJ386" i="36"/>
  <c r="BI386" i="36"/>
  <c r="BH386" i="36"/>
  <c r="BG386" i="36"/>
  <c r="BF386" i="36"/>
  <c r="BE386" i="36"/>
  <c r="BD386" i="36"/>
  <c r="BC386" i="36"/>
  <c r="AY386" i="36"/>
  <c r="CV386" i="36" s="1"/>
  <c r="DI386" i="36" s="1"/>
  <c r="AX386" i="36"/>
  <c r="AW386" i="36"/>
  <c r="DK385" i="36"/>
  <c r="CW385" i="36"/>
  <c r="BQ385" i="36"/>
  <c r="BP385" i="36"/>
  <c r="BO385" i="36"/>
  <c r="BN385" i="36"/>
  <c r="BM385" i="36"/>
  <c r="BL385" i="36"/>
  <c r="BK385" i="36"/>
  <c r="BJ385" i="36"/>
  <c r="BI385" i="36"/>
  <c r="BH385" i="36"/>
  <c r="BG385" i="36"/>
  <c r="BF385" i="36"/>
  <c r="BE385" i="36"/>
  <c r="BD385" i="36"/>
  <c r="BC385" i="36"/>
  <c r="AY385" i="36"/>
  <c r="AX385" i="36"/>
  <c r="CU385" i="36" s="1"/>
  <c r="DH385" i="36" s="1"/>
  <c r="AW385" i="36"/>
  <c r="BX385" i="36" s="1"/>
  <c r="DK384" i="36"/>
  <c r="CW384" i="36"/>
  <c r="BQ384" i="36"/>
  <c r="BP384" i="36"/>
  <c r="BO384" i="36"/>
  <c r="BN384" i="36"/>
  <c r="BM384" i="36"/>
  <c r="BL384" i="36"/>
  <c r="BK384" i="36"/>
  <c r="BJ384" i="36"/>
  <c r="BI384" i="36"/>
  <c r="BH384" i="36"/>
  <c r="BG384" i="36"/>
  <c r="BF384" i="36"/>
  <c r="BE384" i="36"/>
  <c r="BD384" i="36"/>
  <c r="BC384" i="36"/>
  <c r="AY384" i="36"/>
  <c r="BZ384" i="36" s="1"/>
  <c r="AX384" i="36"/>
  <c r="BY384" i="36" s="1"/>
  <c r="AW384" i="36"/>
  <c r="CT384" i="36" s="1"/>
  <c r="DG384" i="36" s="1"/>
  <c r="DK383" i="36"/>
  <c r="CW383" i="36"/>
  <c r="BQ383" i="36"/>
  <c r="BP383" i="36"/>
  <c r="BO383" i="36"/>
  <c r="BN383" i="36"/>
  <c r="BM383" i="36"/>
  <c r="BL383" i="36"/>
  <c r="BK383" i="36"/>
  <c r="BJ383" i="36"/>
  <c r="BI383" i="36"/>
  <c r="BH383" i="36"/>
  <c r="BG383" i="36"/>
  <c r="BF383" i="36"/>
  <c r="BE383" i="36"/>
  <c r="BD383" i="36"/>
  <c r="BC383" i="36"/>
  <c r="AY383" i="36"/>
  <c r="CV383" i="36" s="1"/>
  <c r="DI383" i="36" s="1"/>
  <c r="AX383" i="36"/>
  <c r="AW383" i="36"/>
  <c r="CT383" i="36" s="1"/>
  <c r="DG383" i="36" s="1"/>
  <c r="DK382" i="36"/>
  <c r="CW382" i="36"/>
  <c r="BQ382" i="36"/>
  <c r="BP382" i="36"/>
  <c r="BO382" i="36"/>
  <c r="BN382" i="36"/>
  <c r="BM382" i="36"/>
  <c r="BL382" i="36"/>
  <c r="BK382" i="36"/>
  <c r="BJ382" i="36"/>
  <c r="BI382" i="36"/>
  <c r="BH382" i="36"/>
  <c r="BG382" i="36"/>
  <c r="BF382" i="36"/>
  <c r="BE382" i="36"/>
  <c r="BD382" i="36"/>
  <c r="BC382" i="36"/>
  <c r="AY382" i="36"/>
  <c r="BZ382" i="36" s="1"/>
  <c r="AX382" i="36"/>
  <c r="CU382" i="36" s="1"/>
  <c r="DH382" i="36" s="1"/>
  <c r="AW382" i="36"/>
  <c r="CT382" i="36" s="1"/>
  <c r="DG382" i="36" s="1"/>
  <c r="DK381" i="36"/>
  <c r="CW381" i="36"/>
  <c r="BQ381" i="36"/>
  <c r="BP381" i="36"/>
  <c r="BO381" i="36"/>
  <c r="BN381" i="36"/>
  <c r="BM381" i="36"/>
  <c r="BL381" i="36"/>
  <c r="BK381" i="36"/>
  <c r="BJ381" i="36"/>
  <c r="BI381" i="36"/>
  <c r="BH381" i="36"/>
  <c r="BG381" i="36"/>
  <c r="BF381" i="36"/>
  <c r="BE381" i="36"/>
  <c r="BD381" i="36"/>
  <c r="BC381" i="36"/>
  <c r="AY381" i="36"/>
  <c r="AX381" i="36"/>
  <c r="CU381" i="36" s="1"/>
  <c r="DH381" i="36" s="1"/>
  <c r="AW381" i="36"/>
  <c r="DK380" i="36"/>
  <c r="CW380" i="36"/>
  <c r="BQ380" i="36"/>
  <c r="BP380" i="36"/>
  <c r="BO380" i="36"/>
  <c r="BN380" i="36"/>
  <c r="BM380" i="36"/>
  <c r="BL380" i="36"/>
  <c r="BK380" i="36"/>
  <c r="BJ380" i="36"/>
  <c r="BI380" i="36"/>
  <c r="BH380" i="36"/>
  <c r="BG380" i="36"/>
  <c r="BF380" i="36"/>
  <c r="BE380" i="36"/>
  <c r="BD380" i="36"/>
  <c r="BC380" i="36"/>
  <c r="AY380" i="36"/>
  <c r="BZ380" i="36" s="1"/>
  <c r="AX380" i="36"/>
  <c r="AW380" i="36"/>
  <c r="CT380" i="36" s="1"/>
  <c r="DG380" i="36" s="1"/>
  <c r="DK379" i="36"/>
  <c r="CW379" i="36"/>
  <c r="BQ379" i="36"/>
  <c r="BP379" i="36"/>
  <c r="BO379" i="36"/>
  <c r="BN379" i="36"/>
  <c r="BM379" i="36"/>
  <c r="BL379" i="36"/>
  <c r="BK379" i="36"/>
  <c r="BJ379" i="36"/>
  <c r="BI379" i="36"/>
  <c r="BH379" i="36"/>
  <c r="BG379" i="36"/>
  <c r="BF379" i="36"/>
  <c r="BE379" i="36"/>
  <c r="BD379" i="36"/>
  <c r="BC379" i="36"/>
  <c r="AY379" i="36"/>
  <c r="BZ379" i="36" s="1"/>
  <c r="AX379" i="36"/>
  <c r="CU379" i="36" s="1"/>
  <c r="DH379" i="36" s="1"/>
  <c r="AW379" i="36"/>
  <c r="DK378" i="36"/>
  <c r="CW378" i="36"/>
  <c r="BQ378" i="36"/>
  <c r="BP378" i="36"/>
  <c r="BO378" i="36"/>
  <c r="BN378" i="36"/>
  <c r="BM378" i="36"/>
  <c r="BL378" i="36"/>
  <c r="BK378" i="36"/>
  <c r="BJ378" i="36"/>
  <c r="BI378" i="36"/>
  <c r="BH378" i="36"/>
  <c r="BG378" i="36"/>
  <c r="BF378" i="36"/>
  <c r="BE378" i="36"/>
  <c r="BD378" i="36"/>
  <c r="BC378" i="36"/>
  <c r="AY378" i="36"/>
  <c r="BZ378" i="36" s="1"/>
  <c r="AX378" i="36"/>
  <c r="CU378" i="36" s="1"/>
  <c r="DH378" i="36" s="1"/>
  <c r="AW378" i="36"/>
  <c r="DK377" i="36"/>
  <c r="CW377" i="36"/>
  <c r="BQ377" i="36"/>
  <c r="BP377" i="36"/>
  <c r="BO377" i="36"/>
  <c r="BN377" i="36"/>
  <c r="BM377" i="36"/>
  <c r="BL377" i="36"/>
  <c r="BK377" i="36"/>
  <c r="BJ377" i="36"/>
  <c r="BI377" i="36"/>
  <c r="BH377" i="36"/>
  <c r="BG377" i="36"/>
  <c r="BF377" i="36"/>
  <c r="BE377" i="36"/>
  <c r="BD377" i="36"/>
  <c r="BC377" i="36"/>
  <c r="AY377" i="36"/>
  <c r="BZ377" i="36" s="1"/>
  <c r="AX377" i="36"/>
  <c r="AW377" i="36"/>
  <c r="DK376" i="36"/>
  <c r="CW376" i="36"/>
  <c r="BQ376" i="36"/>
  <c r="BP376" i="36"/>
  <c r="BO376" i="36"/>
  <c r="BN376" i="36"/>
  <c r="BM376" i="36"/>
  <c r="BL376" i="36"/>
  <c r="BK376" i="36"/>
  <c r="BJ376" i="36"/>
  <c r="BI376" i="36"/>
  <c r="BH376" i="36"/>
  <c r="BG376" i="36"/>
  <c r="BF376" i="36"/>
  <c r="BE376" i="36"/>
  <c r="BD376" i="36"/>
  <c r="BC376" i="36"/>
  <c r="AY376" i="36"/>
  <c r="CV376" i="36" s="1"/>
  <c r="DI376" i="36" s="1"/>
  <c r="AX376" i="36"/>
  <c r="CU376" i="36" s="1"/>
  <c r="DH376" i="36" s="1"/>
  <c r="AW376" i="36"/>
  <c r="DK375" i="36"/>
  <c r="CW375" i="36"/>
  <c r="BQ375" i="36"/>
  <c r="BP375" i="36"/>
  <c r="BO375" i="36"/>
  <c r="BN375" i="36"/>
  <c r="BM375" i="36"/>
  <c r="BL375" i="36"/>
  <c r="BK375" i="36"/>
  <c r="BJ375" i="36"/>
  <c r="BI375" i="36"/>
  <c r="BH375" i="36"/>
  <c r="BG375" i="36"/>
  <c r="BF375" i="36"/>
  <c r="BE375" i="36"/>
  <c r="BD375" i="36"/>
  <c r="BC375" i="36"/>
  <c r="AY375" i="36"/>
  <c r="CV375" i="36" s="1"/>
  <c r="DI375" i="36" s="1"/>
  <c r="AX375" i="36"/>
  <c r="CU375" i="36" s="1"/>
  <c r="DH375" i="36" s="1"/>
  <c r="AW375" i="36"/>
  <c r="CT375" i="36" s="1"/>
  <c r="DG375" i="36" s="1"/>
  <c r="DK374" i="36"/>
  <c r="CW374" i="36"/>
  <c r="BQ374" i="36"/>
  <c r="BP374" i="36"/>
  <c r="BO374" i="36"/>
  <c r="BN374" i="36"/>
  <c r="BM374" i="36"/>
  <c r="BL374" i="36"/>
  <c r="BK374" i="36"/>
  <c r="BJ374" i="36"/>
  <c r="BI374" i="36"/>
  <c r="BH374" i="36"/>
  <c r="BG374" i="36"/>
  <c r="BF374" i="36"/>
  <c r="BE374" i="36"/>
  <c r="BD374" i="36"/>
  <c r="BC374" i="36"/>
  <c r="AY374" i="36"/>
  <c r="BZ374" i="36" s="1"/>
  <c r="AX374" i="36"/>
  <c r="BY374" i="36" s="1"/>
  <c r="AW374" i="36"/>
  <c r="DK373" i="36"/>
  <c r="CW373" i="36"/>
  <c r="BQ373" i="36"/>
  <c r="BP373" i="36"/>
  <c r="BO373" i="36"/>
  <c r="BN373" i="36"/>
  <c r="BM373" i="36"/>
  <c r="BL373" i="36"/>
  <c r="BK373" i="36"/>
  <c r="BJ373" i="36"/>
  <c r="BI373" i="36"/>
  <c r="BH373" i="36"/>
  <c r="BG373" i="36"/>
  <c r="BF373" i="36"/>
  <c r="BE373" i="36"/>
  <c r="BD373" i="36"/>
  <c r="BC373" i="36"/>
  <c r="AY373" i="36"/>
  <c r="CV373" i="36" s="1"/>
  <c r="DI373" i="36" s="1"/>
  <c r="AX373" i="36"/>
  <c r="BY373" i="36" s="1"/>
  <c r="AW373" i="36"/>
  <c r="CT373" i="36" s="1"/>
  <c r="DG373" i="36" s="1"/>
  <c r="DK372" i="36"/>
  <c r="CW372" i="36"/>
  <c r="BQ372" i="36"/>
  <c r="BP372" i="36"/>
  <c r="BO372" i="36"/>
  <c r="BN372" i="36"/>
  <c r="BM372" i="36"/>
  <c r="BL372" i="36"/>
  <c r="BK372" i="36"/>
  <c r="BJ372" i="36"/>
  <c r="BI372" i="36"/>
  <c r="BH372" i="36"/>
  <c r="BG372" i="36"/>
  <c r="BF372" i="36"/>
  <c r="BE372" i="36"/>
  <c r="BD372" i="36"/>
  <c r="BC372" i="36"/>
  <c r="AY372" i="36"/>
  <c r="AX372" i="36"/>
  <c r="CU372" i="36" s="1"/>
  <c r="DH372" i="36" s="1"/>
  <c r="AW372" i="36"/>
  <c r="DK371" i="36"/>
  <c r="CW371" i="36"/>
  <c r="BQ371" i="36"/>
  <c r="BP371" i="36"/>
  <c r="BO371" i="36"/>
  <c r="BN371" i="36"/>
  <c r="BM371" i="36"/>
  <c r="BL371" i="36"/>
  <c r="BK371" i="36"/>
  <c r="BJ371" i="36"/>
  <c r="BI371" i="36"/>
  <c r="BH371" i="36"/>
  <c r="BG371" i="36"/>
  <c r="BF371" i="36"/>
  <c r="BE371" i="36"/>
  <c r="BD371" i="36"/>
  <c r="BC371" i="36"/>
  <c r="AY371" i="36"/>
  <c r="CV371" i="36" s="1"/>
  <c r="DI371" i="36" s="1"/>
  <c r="AX371" i="36"/>
  <c r="CU371" i="36" s="1"/>
  <c r="DH371" i="36" s="1"/>
  <c r="AW371" i="36"/>
  <c r="CT371" i="36" s="1"/>
  <c r="DG371" i="36" s="1"/>
  <c r="DK370" i="36"/>
  <c r="CW370" i="36"/>
  <c r="BQ370" i="36"/>
  <c r="BP370" i="36"/>
  <c r="BO370" i="36"/>
  <c r="BN370" i="36"/>
  <c r="BM370" i="36"/>
  <c r="BL370" i="36"/>
  <c r="BK370" i="36"/>
  <c r="BJ370" i="36"/>
  <c r="BI370" i="36"/>
  <c r="BH370" i="36"/>
  <c r="BG370" i="36"/>
  <c r="BF370" i="36"/>
  <c r="BE370" i="36"/>
  <c r="BD370" i="36"/>
  <c r="BC370" i="36"/>
  <c r="AY370" i="36"/>
  <c r="BZ370" i="36" s="1"/>
  <c r="AX370" i="36"/>
  <c r="CU370" i="36" s="1"/>
  <c r="DH370" i="36" s="1"/>
  <c r="AW370" i="36"/>
  <c r="BX370" i="36" s="1"/>
  <c r="DK369" i="36"/>
  <c r="CW369" i="36"/>
  <c r="BQ369" i="36"/>
  <c r="BP369" i="36"/>
  <c r="BO369" i="36"/>
  <c r="BN369" i="36"/>
  <c r="BM369" i="36"/>
  <c r="BL369" i="36"/>
  <c r="BK369" i="36"/>
  <c r="BJ369" i="36"/>
  <c r="BI369" i="36"/>
  <c r="BH369" i="36"/>
  <c r="BG369" i="36"/>
  <c r="BF369" i="36"/>
  <c r="BE369" i="36"/>
  <c r="BD369" i="36"/>
  <c r="BC369" i="36"/>
  <c r="AY369" i="36"/>
  <c r="BZ369" i="36" s="1"/>
  <c r="AX369" i="36"/>
  <c r="BY369" i="36" s="1"/>
  <c r="AW369" i="36"/>
  <c r="CT369" i="36" s="1"/>
  <c r="DG369" i="36" s="1"/>
  <c r="DK368" i="36"/>
  <c r="CW368" i="36"/>
  <c r="BQ368" i="36"/>
  <c r="BP368" i="36"/>
  <c r="BO368" i="36"/>
  <c r="BN368" i="36"/>
  <c r="BM368" i="36"/>
  <c r="BL368" i="36"/>
  <c r="BK368" i="36"/>
  <c r="BJ368" i="36"/>
  <c r="BI368" i="36"/>
  <c r="BH368" i="36"/>
  <c r="BG368" i="36"/>
  <c r="BF368" i="36"/>
  <c r="BE368" i="36"/>
  <c r="BD368" i="36"/>
  <c r="BC368" i="36"/>
  <c r="AY368" i="36"/>
  <c r="CV368" i="36" s="1"/>
  <c r="DI368" i="36" s="1"/>
  <c r="AX368" i="36"/>
  <c r="AW368" i="36"/>
  <c r="BX368" i="36" s="1"/>
  <c r="DK367" i="36"/>
  <c r="CW367" i="36"/>
  <c r="BQ367" i="36"/>
  <c r="BP367" i="36"/>
  <c r="BO367" i="36"/>
  <c r="BN367" i="36"/>
  <c r="BM367" i="36"/>
  <c r="BL367" i="36"/>
  <c r="BK367" i="36"/>
  <c r="BJ367" i="36"/>
  <c r="BI367" i="36"/>
  <c r="BH367" i="36"/>
  <c r="BG367" i="36"/>
  <c r="BF367" i="36"/>
  <c r="BE367" i="36"/>
  <c r="BD367" i="36"/>
  <c r="BC367" i="36"/>
  <c r="AY367" i="36"/>
  <c r="BZ367" i="36" s="1"/>
  <c r="AX367" i="36"/>
  <c r="AW367" i="36"/>
  <c r="BX367" i="36" s="1"/>
  <c r="DK366" i="36"/>
  <c r="CW366" i="36"/>
  <c r="BQ366" i="36"/>
  <c r="BP366" i="36"/>
  <c r="BO366" i="36"/>
  <c r="BN366" i="36"/>
  <c r="BM366" i="36"/>
  <c r="BL366" i="36"/>
  <c r="BK366" i="36"/>
  <c r="BJ366" i="36"/>
  <c r="BI366" i="36"/>
  <c r="BH366" i="36"/>
  <c r="BG366" i="36"/>
  <c r="BF366" i="36"/>
  <c r="BE366" i="36"/>
  <c r="BD366" i="36"/>
  <c r="BC366" i="36"/>
  <c r="AY366" i="36"/>
  <c r="CV366" i="36" s="1"/>
  <c r="DI366" i="36" s="1"/>
  <c r="AX366" i="36"/>
  <c r="BY366" i="36" s="1"/>
  <c r="AW366" i="36"/>
  <c r="BX366" i="36" s="1"/>
  <c r="DK365" i="36"/>
  <c r="CW365" i="36"/>
  <c r="BQ365" i="36"/>
  <c r="BP365" i="36"/>
  <c r="BO365" i="36"/>
  <c r="BN365" i="36"/>
  <c r="BM365" i="36"/>
  <c r="BL365" i="36"/>
  <c r="BK365" i="36"/>
  <c r="BJ365" i="36"/>
  <c r="BI365" i="36"/>
  <c r="BH365" i="36"/>
  <c r="BG365" i="36"/>
  <c r="BF365" i="36"/>
  <c r="BE365" i="36"/>
  <c r="BD365" i="36"/>
  <c r="BC365" i="36"/>
  <c r="AY365" i="36"/>
  <c r="AX365" i="36"/>
  <c r="AW365" i="36"/>
  <c r="CT365" i="36" s="1"/>
  <c r="DG365" i="36" s="1"/>
  <c r="DK364" i="36"/>
  <c r="CW364" i="36"/>
  <c r="BQ364" i="36"/>
  <c r="BP364" i="36"/>
  <c r="BO364" i="36"/>
  <c r="BN364" i="36"/>
  <c r="BM364" i="36"/>
  <c r="BL364" i="36"/>
  <c r="BK364" i="36"/>
  <c r="BJ364" i="36"/>
  <c r="BI364" i="36"/>
  <c r="BH364" i="36"/>
  <c r="BG364" i="36"/>
  <c r="BF364" i="36"/>
  <c r="BE364" i="36"/>
  <c r="BD364" i="36"/>
  <c r="BC364" i="36"/>
  <c r="AY364" i="36"/>
  <c r="CV364" i="36" s="1"/>
  <c r="DI364" i="36" s="1"/>
  <c r="AX364" i="36"/>
  <c r="BY364" i="36" s="1"/>
  <c r="AW364" i="36"/>
  <c r="BX364" i="36" s="1"/>
  <c r="DK363" i="36"/>
  <c r="CW363" i="36"/>
  <c r="BQ363" i="36"/>
  <c r="BP363" i="36"/>
  <c r="BO363" i="36"/>
  <c r="BN363" i="36"/>
  <c r="BM363" i="36"/>
  <c r="BL363" i="36"/>
  <c r="BK363" i="36"/>
  <c r="BJ363" i="36"/>
  <c r="BI363" i="36"/>
  <c r="BH363" i="36"/>
  <c r="BG363" i="36"/>
  <c r="BF363" i="36"/>
  <c r="BE363" i="36"/>
  <c r="BD363" i="36"/>
  <c r="BC363" i="36"/>
  <c r="AY363" i="36"/>
  <c r="AX363" i="36"/>
  <c r="CU363" i="36" s="1"/>
  <c r="DH363" i="36" s="1"/>
  <c r="AW363" i="36"/>
  <c r="BX363" i="36" s="1"/>
  <c r="DK362" i="36"/>
  <c r="CW362" i="36"/>
  <c r="BQ362" i="36"/>
  <c r="BP362" i="36"/>
  <c r="BO362" i="36"/>
  <c r="BN362" i="36"/>
  <c r="BM362" i="36"/>
  <c r="BL362" i="36"/>
  <c r="BK362" i="36"/>
  <c r="BJ362" i="36"/>
  <c r="BI362" i="36"/>
  <c r="BH362" i="36"/>
  <c r="BG362" i="36"/>
  <c r="BF362" i="36"/>
  <c r="BE362" i="36"/>
  <c r="BD362" i="36"/>
  <c r="BC362" i="36"/>
  <c r="AY362" i="36"/>
  <c r="AX362" i="36"/>
  <c r="AW362" i="36"/>
  <c r="CT362" i="36" s="1"/>
  <c r="DG362" i="36" s="1"/>
  <c r="DK361" i="36"/>
  <c r="CW361" i="36"/>
  <c r="BQ361" i="36"/>
  <c r="BP361" i="36"/>
  <c r="BO361" i="36"/>
  <c r="BN361" i="36"/>
  <c r="BM361" i="36"/>
  <c r="BL361" i="36"/>
  <c r="BK361" i="36"/>
  <c r="BJ361" i="36"/>
  <c r="BI361" i="36"/>
  <c r="BH361" i="36"/>
  <c r="BG361" i="36"/>
  <c r="BF361" i="36"/>
  <c r="BE361" i="36"/>
  <c r="BD361" i="36"/>
  <c r="BC361" i="36"/>
  <c r="AY361" i="36"/>
  <c r="BZ361" i="36" s="1"/>
  <c r="AX361" i="36"/>
  <c r="AW361" i="36"/>
  <c r="BX361" i="36" s="1"/>
  <c r="DK360" i="36"/>
  <c r="CW360" i="36"/>
  <c r="BQ360" i="36"/>
  <c r="BP360" i="36"/>
  <c r="BO360" i="36"/>
  <c r="BN360" i="36"/>
  <c r="BM360" i="36"/>
  <c r="BL360" i="36"/>
  <c r="BK360" i="36"/>
  <c r="BJ360" i="36"/>
  <c r="BI360" i="36"/>
  <c r="BH360" i="36"/>
  <c r="BG360" i="36"/>
  <c r="BF360" i="36"/>
  <c r="BE360" i="36"/>
  <c r="BD360" i="36"/>
  <c r="BC360" i="36"/>
  <c r="AY360" i="36"/>
  <c r="CV360" i="36" s="1"/>
  <c r="DI360" i="36" s="1"/>
  <c r="AX360" i="36"/>
  <c r="BY360" i="36" s="1"/>
  <c r="AW360" i="36"/>
  <c r="BX360" i="36" s="1"/>
  <c r="DK359" i="36"/>
  <c r="CW359" i="36"/>
  <c r="BQ359" i="36"/>
  <c r="BP359" i="36"/>
  <c r="BO359" i="36"/>
  <c r="BN359" i="36"/>
  <c r="BM359" i="36"/>
  <c r="BL359" i="36"/>
  <c r="BK359" i="36"/>
  <c r="BJ359" i="36"/>
  <c r="BI359" i="36"/>
  <c r="BH359" i="36"/>
  <c r="BG359" i="36"/>
  <c r="BF359" i="36"/>
  <c r="BE359" i="36"/>
  <c r="BD359" i="36"/>
  <c r="BC359" i="36"/>
  <c r="AY359" i="36"/>
  <c r="AX359" i="36"/>
  <c r="CU359" i="36" s="1"/>
  <c r="DH359" i="36" s="1"/>
  <c r="AW359" i="36"/>
  <c r="DK358" i="36"/>
  <c r="CW358" i="36"/>
  <c r="BQ358" i="36"/>
  <c r="BP358" i="36"/>
  <c r="BO358" i="36"/>
  <c r="BN358" i="36"/>
  <c r="BM358" i="36"/>
  <c r="BL358" i="36"/>
  <c r="BK358" i="36"/>
  <c r="BJ358" i="36"/>
  <c r="BI358" i="36"/>
  <c r="BH358" i="36"/>
  <c r="BG358" i="36"/>
  <c r="BF358" i="36"/>
  <c r="BE358" i="36"/>
  <c r="BD358" i="36"/>
  <c r="BC358" i="36"/>
  <c r="AY358" i="36"/>
  <c r="CV358" i="36" s="1"/>
  <c r="DI358" i="36" s="1"/>
  <c r="AX358" i="36"/>
  <c r="CU358" i="36" s="1"/>
  <c r="DH358" i="36" s="1"/>
  <c r="AW358" i="36"/>
  <c r="DK357" i="36"/>
  <c r="CW357" i="36"/>
  <c r="BQ357" i="36"/>
  <c r="BP357" i="36"/>
  <c r="BO357" i="36"/>
  <c r="BN357" i="36"/>
  <c r="BM357" i="36"/>
  <c r="BL357" i="36"/>
  <c r="BK357" i="36"/>
  <c r="BJ357" i="36"/>
  <c r="BI357" i="36"/>
  <c r="BH357" i="36"/>
  <c r="BG357" i="36"/>
  <c r="BF357" i="36"/>
  <c r="BE357" i="36"/>
  <c r="BD357" i="36"/>
  <c r="BC357" i="36"/>
  <c r="AY357" i="36"/>
  <c r="BZ357" i="36" s="1"/>
  <c r="AX357" i="36"/>
  <c r="BY357" i="36" s="1"/>
  <c r="AW357" i="36"/>
  <c r="DK356" i="36"/>
  <c r="CW356" i="36"/>
  <c r="BQ356" i="36"/>
  <c r="BP356" i="36"/>
  <c r="BO356" i="36"/>
  <c r="BN356" i="36"/>
  <c r="BM356" i="36"/>
  <c r="BL356" i="36"/>
  <c r="BK356" i="36"/>
  <c r="BJ356" i="36"/>
  <c r="BI356" i="36"/>
  <c r="BH356" i="36"/>
  <c r="BG356" i="36"/>
  <c r="BF356" i="36"/>
  <c r="BE356" i="36"/>
  <c r="BD356" i="36"/>
  <c r="BC356" i="36"/>
  <c r="AY356" i="36"/>
  <c r="CV356" i="36" s="1"/>
  <c r="DI356" i="36" s="1"/>
  <c r="AX356" i="36"/>
  <c r="BY356" i="36" s="1"/>
  <c r="AW356" i="36"/>
  <c r="BX356" i="36" s="1"/>
  <c r="DK355" i="36"/>
  <c r="CW355" i="36"/>
  <c r="BQ355" i="36"/>
  <c r="BP355" i="36"/>
  <c r="BO355" i="36"/>
  <c r="BN355" i="36"/>
  <c r="BM355" i="36"/>
  <c r="BL355" i="36"/>
  <c r="BK355" i="36"/>
  <c r="BJ355" i="36"/>
  <c r="BI355" i="36"/>
  <c r="BH355" i="36"/>
  <c r="BG355" i="36"/>
  <c r="BF355" i="36"/>
  <c r="BE355" i="36"/>
  <c r="BD355" i="36"/>
  <c r="BC355" i="36"/>
  <c r="AY355" i="36"/>
  <c r="BZ355" i="36" s="1"/>
  <c r="AX355" i="36"/>
  <c r="BY355" i="36" s="1"/>
  <c r="AW355" i="36"/>
  <c r="DK354" i="36"/>
  <c r="CW354" i="36"/>
  <c r="BQ354" i="36"/>
  <c r="BP354" i="36"/>
  <c r="BO354" i="36"/>
  <c r="BN354" i="36"/>
  <c r="BM354" i="36"/>
  <c r="BL354" i="36"/>
  <c r="BK354" i="36"/>
  <c r="BJ354" i="36"/>
  <c r="BI354" i="36"/>
  <c r="BH354" i="36"/>
  <c r="BG354" i="36"/>
  <c r="BF354" i="36"/>
  <c r="BE354" i="36"/>
  <c r="BD354" i="36"/>
  <c r="BC354" i="36"/>
  <c r="AY354" i="36"/>
  <c r="AX354" i="36"/>
  <c r="CU354" i="36" s="1"/>
  <c r="DH354" i="36" s="1"/>
  <c r="AW354" i="36"/>
  <c r="CT354" i="36" s="1"/>
  <c r="DG354" i="36" s="1"/>
  <c r="DK353" i="36"/>
  <c r="CW353" i="36"/>
  <c r="BQ353" i="36"/>
  <c r="BP353" i="36"/>
  <c r="BO353" i="36"/>
  <c r="BN353" i="36"/>
  <c r="BM353" i="36"/>
  <c r="BL353" i="36"/>
  <c r="BK353" i="36"/>
  <c r="BJ353" i="36"/>
  <c r="BI353" i="36"/>
  <c r="BH353" i="36"/>
  <c r="BG353" i="36"/>
  <c r="BF353" i="36"/>
  <c r="BE353" i="36"/>
  <c r="BD353" i="36"/>
  <c r="BC353" i="36"/>
  <c r="AY353" i="36"/>
  <c r="AX353" i="36"/>
  <c r="AW353" i="36"/>
  <c r="BX353" i="36" s="1"/>
  <c r="DK352" i="36"/>
  <c r="CW352" i="36"/>
  <c r="BQ352" i="36"/>
  <c r="BP352" i="36"/>
  <c r="BO352" i="36"/>
  <c r="BN352" i="36"/>
  <c r="BM352" i="36"/>
  <c r="BL352" i="36"/>
  <c r="BK352" i="36"/>
  <c r="BJ352" i="36"/>
  <c r="BI352" i="36"/>
  <c r="BH352" i="36"/>
  <c r="BG352" i="36"/>
  <c r="BF352" i="36"/>
  <c r="BE352" i="36"/>
  <c r="BD352" i="36"/>
  <c r="BC352" i="36"/>
  <c r="AY352" i="36"/>
  <c r="CV352" i="36" s="1"/>
  <c r="DI352" i="36" s="1"/>
  <c r="AX352" i="36"/>
  <c r="AW352" i="36"/>
  <c r="DK351" i="36"/>
  <c r="CW351" i="36"/>
  <c r="BQ351" i="36"/>
  <c r="BP351" i="36"/>
  <c r="BO351" i="36"/>
  <c r="BN351" i="36"/>
  <c r="BM351" i="36"/>
  <c r="BL351" i="36"/>
  <c r="BK351" i="36"/>
  <c r="BJ351" i="36"/>
  <c r="BI351" i="36"/>
  <c r="BH351" i="36"/>
  <c r="BG351" i="36"/>
  <c r="BF351" i="36"/>
  <c r="BE351" i="36"/>
  <c r="BD351" i="36"/>
  <c r="BC351" i="36"/>
  <c r="AY351" i="36"/>
  <c r="CV351" i="36" s="1"/>
  <c r="DI351" i="36" s="1"/>
  <c r="AX351" i="36"/>
  <c r="BY351" i="36" s="1"/>
  <c r="AW351" i="36"/>
  <c r="BX351" i="36" s="1"/>
  <c r="DK350" i="36"/>
  <c r="CW350" i="36"/>
  <c r="BQ350" i="36"/>
  <c r="BP350" i="36"/>
  <c r="BO350" i="36"/>
  <c r="BN350" i="36"/>
  <c r="BM350" i="36"/>
  <c r="BL350" i="36"/>
  <c r="BK350" i="36"/>
  <c r="BJ350" i="36"/>
  <c r="BI350" i="36"/>
  <c r="BH350" i="36"/>
  <c r="BG350" i="36"/>
  <c r="BF350" i="36"/>
  <c r="BE350" i="36"/>
  <c r="BD350" i="36"/>
  <c r="BC350" i="36"/>
  <c r="AY350" i="36"/>
  <c r="AX350" i="36"/>
  <c r="CU350" i="36" s="1"/>
  <c r="DH350" i="36" s="1"/>
  <c r="AW350" i="36"/>
  <c r="CT350" i="36" s="1"/>
  <c r="DG350" i="36" s="1"/>
  <c r="DK349" i="36"/>
  <c r="CW349" i="36"/>
  <c r="BQ349" i="36"/>
  <c r="BP349" i="36"/>
  <c r="BO349" i="36"/>
  <c r="BN349" i="36"/>
  <c r="BM349" i="36"/>
  <c r="BL349" i="36"/>
  <c r="BK349" i="36"/>
  <c r="BJ349" i="36"/>
  <c r="BI349" i="36"/>
  <c r="BH349" i="36"/>
  <c r="BG349" i="36"/>
  <c r="BF349" i="36"/>
  <c r="BE349" i="36"/>
  <c r="BD349" i="36"/>
  <c r="BC349" i="36"/>
  <c r="AY349" i="36"/>
  <c r="AX349" i="36"/>
  <c r="BY349" i="36" s="1"/>
  <c r="AW349" i="36"/>
  <c r="CT349" i="36" s="1"/>
  <c r="DG349" i="36" s="1"/>
  <c r="DK348" i="36"/>
  <c r="CW348" i="36"/>
  <c r="BQ348" i="36"/>
  <c r="BP348" i="36"/>
  <c r="BO348" i="36"/>
  <c r="BN348" i="36"/>
  <c r="BM348" i="36"/>
  <c r="BL348" i="36"/>
  <c r="BK348" i="36"/>
  <c r="BJ348" i="36"/>
  <c r="BI348" i="36"/>
  <c r="BH348" i="36"/>
  <c r="BG348" i="36"/>
  <c r="BF348" i="36"/>
  <c r="BE348" i="36"/>
  <c r="BD348" i="36"/>
  <c r="BC348" i="36"/>
  <c r="AY348" i="36"/>
  <c r="BZ348" i="36" s="1"/>
  <c r="AX348" i="36"/>
  <c r="AW348" i="36"/>
  <c r="BX348" i="36" s="1"/>
  <c r="DK347" i="36"/>
  <c r="CW347" i="36"/>
  <c r="BQ347" i="36"/>
  <c r="BP347" i="36"/>
  <c r="BO347" i="36"/>
  <c r="BN347" i="36"/>
  <c r="BM347" i="36"/>
  <c r="BL347" i="36"/>
  <c r="BK347" i="36"/>
  <c r="BJ347" i="36"/>
  <c r="BI347" i="36"/>
  <c r="BH347" i="36"/>
  <c r="BG347" i="36"/>
  <c r="BF347" i="36"/>
  <c r="BE347" i="36"/>
  <c r="BD347" i="36"/>
  <c r="BC347" i="36"/>
  <c r="AY347" i="36"/>
  <c r="BZ347" i="36" s="1"/>
  <c r="AX347" i="36"/>
  <c r="CU347" i="36" s="1"/>
  <c r="DH347" i="36" s="1"/>
  <c r="AW347" i="36"/>
  <c r="DK346" i="36"/>
  <c r="CW346" i="36"/>
  <c r="BQ346" i="36"/>
  <c r="BP346" i="36"/>
  <c r="BO346" i="36"/>
  <c r="BN346" i="36"/>
  <c r="BM346" i="36"/>
  <c r="BL346" i="36"/>
  <c r="BK346" i="36"/>
  <c r="BJ346" i="36"/>
  <c r="BI346" i="36"/>
  <c r="BH346" i="36"/>
  <c r="BG346" i="36"/>
  <c r="BF346" i="36"/>
  <c r="BE346" i="36"/>
  <c r="BD346" i="36"/>
  <c r="BC346" i="36"/>
  <c r="AY346" i="36"/>
  <c r="AX346" i="36"/>
  <c r="AW346" i="36"/>
  <c r="BX346" i="36" s="1"/>
  <c r="DK345" i="36"/>
  <c r="CW345" i="36"/>
  <c r="BQ345" i="36"/>
  <c r="BP345" i="36"/>
  <c r="BO345" i="36"/>
  <c r="BN345" i="36"/>
  <c r="BM345" i="36"/>
  <c r="BL345" i="36"/>
  <c r="BK345" i="36"/>
  <c r="BJ345" i="36"/>
  <c r="BI345" i="36"/>
  <c r="BH345" i="36"/>
  <c r="BG345" i="36"/>
  <c r="BF345" i="36"/>
  <c r="BE345" i="36"/>
  <c r="BD345" i="36"/>
  <c r="BC345" i="36"/>
  <c r="AY345" i="36"/>
  <c r="BZ345" i="36" s="1"/>
  <c r="AX345" i="36"/>
  <c r="AW345" i="36"/>
  <c r="DK344" i="36"/>
  <c r="CW344" i="36"/>
  <c r="BQ344" i="36"/>
  <c r="BP344" i="36"/>
  <c r="BO344" i="36"/>
  <c r="BN344" i="36"/>
  <c r="BM344" i="36"/>
  <c r="BL344" i="36"/>
  <c r="BK344" i="36"/>
  <c r="BJ344" i="36"/>
  <c r="BI344" i="36"/>
  <c r="BH344" i="36"/>
  <c r="BG344" i="36"/>
  <c r="BF344" i="36"/>
  <c r="BE344" i="36"/>
  <c r="BD344" i="36"/>
  <c r="BC344" i="36"/>
  <c r="AY344" i="36"/>
  <c r="CV344" i="36" s="1"/>
  <c r="DI344" i="36" s="1"/>
  <c r="AX344" i="36"/>
  <c r="AW344" i="36"/>
  <c r="BX344" i="36" s="1"/>
  <c r="DK343" i="36"/>
  <c r="CW343" i="36"/>
  <c r="BQ343" i="36"/>
  <c r="BP343" i="36"/>
  <c r="BO343" i="36"/>
  <c r="BN343" i="36"/>
  <c r="BM343" i="36"/>
  <c r="BL343" i="36"/>
  <c r="BK343" i="36"/>
  <c r="BJ343" i="36"/>
  <c r="BI343" i="36"/>
  <c r="BH343" i="36"/>
  <c r="BG343" i="36"/>
  <c r="BF343" i="36"/>
  <c r="BE343" i="36"/>
  <c r="BD343" i="36"/>
  <c r="BC343" i="36"/>
  <c r="AY343" i="36"/>
  <c r="CV343" i="36" s="1"/>
  <c r="DI343" i="36" s="1"/>
  <c r="AX343" i="36"/>
  <c r="BY343" i="36" s="1"/>
  <c r="AW343" i="36"/>
  <c r="BX343" i="36" s="1"/>
  <c r="DK342" i="36"/>
  <c r="CW342" i="36"/>
  <c r="BQ342" i="36"/>
  <c r="BP342" i="36"/>
  <c r="BO342" i="36"/>
  <c r="BN342" i="36"/>
  <c r="BM342" i="36"/>
  <c r="BL342" i="36"/>
  <c r="BK342" i="36"/>
  <c r="BJ342" i="36"/>
  <c r="BI342" i="36"/>
  <c r="BH342" i="36"/>
  <c r="BG342" i="36"/>
  <c r="BF342" i="36"/>
  <c r="BE342" i="36"/>
  <c r="BD342" i="36"/>
  <c r="BC342" i="36"/>
  <c r="AY342" i="36"/>
  <c r="BZ342" i="36" s="1"/>
  <c r="AX342" i="36"/>
  <c r="AW342" i="36"/>
  <c r="DK341" i="36"/>
  <c r="CW341" i="36"/>
  <c r="BQ341" i="36"/>
  <c r="BP341" i="36"/>
  <c r="BO341" i="36"/>
  <c r="BN341" i="36"/>
  <c r="BM341" i="36"/>
  <c r="BL341" i="36"/>
  <c r="BK341" i="36"/>
  <c r="BJ341" i="36"/>
  <c r="BI341" i="36"/>
  <c r="BH341" i="36"/>
  <c r="BG341" i="36"/>
  <c r="BF341" i="36"/>
  <c r="BE341" i="36"/>
  <c r="BD341" i="36"/>
  <c r="BC341" i="36"/>
  <c r="AY341" i="36"/>
  <c r="CV341" i="36" s="1"/>
  <c r="DI341" i="36" s="1"/>
  <c r="AX341" i="36"/>
  <c r="CU341" i="36" s="1"/>
  <c r="DH341" i="36" s="1"/>
  <c r="AW341" i="36"/>
  <c r="DK340" i="36"/>
  <c r="CW340" i="36"/>
  <c r="BQ340" i="36"/>
  <c r="BP340" i="36"/>
  <c r="BO340" i="36"/>
  <c r="BN340" i="36"/>
  <c r="BM340" i="36"/>
  <c r="BL340" i="36"/>
  <c r="BK340" i="36"/>
  <c r="BJ340" i="36"/>
  <c r="BI340" i="36"/>
  <c r="BH340" i="36"/>
  <c r="BG340" i="36"/>
  <c r="BF340" i="36"/>
  <c r="BE340" i="36"/>
  <c r="BD340" i="36"/>
  <c r="BC340" i="36"/>
  <c r="AY340" i="36"/>
  <c r="CV340" i="36" s="1"/>
  <c r="DI340" i="36" s="1"/>
  <c r="AX340" i="36"/>
  <c r="AW340" i="36"/>
  <c r="BX340" i="36" s="1"/>
  <c r="DK339" i="36"/>
  <c r="CW339" i="36"/>
  <c r="BQ339" i="36"/>
  <c r="BP339" i="36"/>
  <c r="BO339" i="36"/>
  <c r="BN339" i="36"/>
  <c r="BM339" i="36"/>
  <c r="BL339" i="36"/>
  <c r="BK339" i="36"/>
  <c r="BJ339" i="36"/>
  <c r="BI339" i="36"/>
  <c r="BH339" i="36"/>
  <c r="BG339" i="36"/>
  <c r="BF339" i="36"/>
  <c r="BE339" i="36"/>
  <c r="BD339" i="36"/>
  <c r="BC339" i="36"/>
  <c r="AY339" i="36"/>
  <c r="CV339" i="36" s="1"/>
  <c r="DI339" i="36" s="1"/>
  <c r="AX339" i="36"/>
  <c r="CU339" i="36" s="1"/>
  <c r="DH339" i="36" s="1"/>
  <c r="AW339" i="36"/>
  <c r="DK338" i="36"/>
  <c r="CW338" i="36"/>
  <c r="BQ338" i="36"/>
  <c r="BP338" i="36"/>
  <c r="BO338" i="36"/>
  <c r="BN338" i="36"/>
  <c r="BM338" i="36"/>
  <c r="BL338" i="36"/>
  <c r="BK338" i="36"/>
  <c r="BJ338" i="36"/>
  <c r="BI338" i="36"/>
  <c r="BH338" i="36"/>
  <c r="BG338" i="36"/>
  <c r="BF338" i="36"/>
  <c r="BE338" i="36"/>
  <c r="BD338" i="36"/>
  <c r="BC338" i="36"/>
  <c r="AY338" i="36"/>
  <c r="CV338" i="36" s="1"/>
  <c r="DI338" i="36" s="1"/>
  <c r="AX338" i="36"/>
  <c r="AW338" i="36"/>
  <c r="CT338" i="36" s="1"/>
  <c r="DG338" i="36" s="1"/>
  <c r="DK337" i="36"/>
  <c r="CW337" i="36"/>
  <c r="BQ337" i="36"/>
  <c r="BP337" i="36"/>
  <c r="BO337" i="36"/>
  <c r="BN337" i="36"/>
  <c r="BM337" i="36"/>
  <c r="BL337" i="36"/>
  <c r="BK337" i="36"/>
  <c r="BJ337" i="36"/>
  <c r="BI337" i="36"/>
  <c r="BH337" i="36"/>
  <c r="BG337" i="36"/>
  <c r="BF337" i="36"/>
  <c r="BE337" i="36"/>
  <c r="BD337" i="36"/>
  <c r="BC337" i="36"/>
  <c r="AY337" i="36"/>
  <c r="AX337" i="36"/>
  <c r="AW337" i="36"/>
  <c r="DK336" i="36"/>
  <c r="CW336" i="36"/>
  <c r="BQ336" i="36"/>
  <c r="BP336" i="36"/>
  <c r="BO336" i="36"/>
  <c r="BN336" i="36"/>
  <c r="BM336" i="36"/>
  <c r="BL336" i="36"/>
  <c r="BK336" i="36"/>
  <c r="BJ336" i="36"/>
  <c r="BI336" i="36"/>
  <c r="BH336" i="36"/>
  <c r="BG336" i="36"/>
  <c r="BF336" i="36"/>
  <c r="BE336" i="36"/>
  <c r="BD336" i="36"/>
  <c r="BC336" i="36"/>
  <c r="AY336" i="36"/>
  <c r="CV336" i="36" s="1"/>
  <c r="DI336" i="36" s="1"/>
  <c r="AX336" i="36"/>
  <c r="CU336" i="36" s="1"/>
  <c r="DH336" i="36" s="1"/>
  <c r="AW336" i="36"/>
  <c r="DK335" i="36"/>
  <c r="CW335" i="36"/>
  <c r="BQ335" i="36"/>
  <c r="BP335" i="36"/>
  <c r="BO335" i="36"/>
  <c r="BN335" i="36"/>
  <c r="BM335" i="36"/>
  <c r="BL335" i="36"/>
  <c r="BK335" i="36"/>
  <c r="BJ335" i="36"/>
  <c r="BI335" i="36"/>
  <c r="BH335" i="36"/>
  <c r="BG335" i="36"/>
  <c r="BF335" i="36"/>
  <c r="BE335" i="36"/>
  <c r="BD335" i="36"/>
  <c r="BC335" i="36"/>
  <c r="AY335" i="36"/>
  <c r="CV335" i="36" s="1"/>
  <c r="DI335" i="36" s="1"/>
  <c r="AX335" i="36"/>
  <c r="CU335" i="36" s="1"/>
  <c r="DH335" i="36" s="1"/>
  <c r="AW335" i="36"/>
  <c r="BX335" i="36" s="1"/>
  <c r="DK334" i="36"/>
  <c r="CW334" i="36"/>
  <c r="BQ334" i="36"/>
  <c r="BP334" i="36"/>
  <c r="BO334" i="36"/>
  <c r="BN334" i="36"/>
  <c r="BM334" i="36"/>
  <c r="BL334" i="36"/>
  <c r="BK334" i="36"/>
  <c r="BJ334" i="36"/>
  <c r="BI334" i="36"/>
  <c r="BH334" i="36"/>
  <c r="BG334" i="36"/>
  <c r="BF334" i="36"/>
  <c r="BE334" i="36"/>
  <c r="BD334" i="36"/>
  <c r="BC334" i="36"/>
  <c r="AY334" i="36"/>
  <c r="AX334" i="36"/>
  <c r="CU334" i="36" s="1"/>
  <c r="DH334" i="36" s="1"/>
  <c r="AW334" i="36"/>
  <c r="BX334" i="36" s="1"/>
  <c r="DK333" i="36"/>
  <c r="CW333" i="36"/>
  <c r="BQ333" i="36"/>
  <c r="BP333" i="36"/>
  <c r="BO333" i="36"/>
  <c r="BN333" i="36"/>
  <c r="BM333" i="36"/>
  <c r="BL333" i="36"/>
  <c r="BK333" i="36"/>
  <c r="BJ333" i="36"/>
  <c r="BI333" i="36"/>
  <c r="BH333" i="36"/>
  <c r="BG333" i="36"/>
  <c r="BF333" i="36"/>
  <c r="BE333" i="36"/>
  <c r="BD333" i="36"/>
  <c r="BC333" i="36"/>
  <c r="AY333" i="36"/>
  <c r="BZ333" i="36" s="1"/>
  <c r="AX333" i="36"/>
  <c r="AW333" i="36"/>
  <c r="CT333" i="36" s="1"/>
  <c r="DG333" i="36" s="1"/>
  <c r="DK332" i="36"/>
  <c r="CW332" i="36"/>
  <c r="BQ332" i="36"/>
  <c r="BP332" i="36"/>
  <c r="BO332" i="36"/>
  <c r="BN332" i="36"/>
  <c r="BM332" i="36"/>
  <c r="BL332" i="36"/>
  <c r="BK332" i="36"/>
  <c r="BJ332" i="36"/>
  <c r="BI332" i="36"/>
  <c r="BH332" i="36"/>
  <c r="BG332" i="36"/>
  <c r="BF332" i="36"/>
  <c r="BE332" i="36"/>
  <c r="BD332" i="36"/>
  <c r="BC332" i="36"/>
  <c r="AY332" i="36"/>
  <c r="AX332" i="36"/>
  <c r="BY332" i="36" s="1"/>
  <c r="AW332" i="36"/>
  <c r="CT332" i="36" s="1"/>
  <c r="DG332" i="36" s="1"/>
  <c r="DK331" i="36"/>
  <c r="CW331" i="36"/>
  <c r="BQ331" i="36"/>
  <c r="BP331" i="36"/>
  <c r="BO331" i="36"/>
  <c r="BN331" i="36"/>
  <c r="BM331" i="36"/>
  <c r="BL331" i="36"/>
  <c r="BK331" i="36"/>
  <c r="BJ331" i="36"/>
  <c r="BI331" i="36"/>
  <c r="BH331" i="36"/>
  <c r="BG331" i="36"/>
  <c r="BF331" i="36"/>
  <c r="BE331" i="36"/>
  <c r="BD331" i="36"/>
  <c r="BC331" i="36"/>
  <c r="AY331" i="36"/>
  <c r="CV331" i="36" s="1"/>
  <c r="DI331" i="36" s="1"/>
  <c r="AX331" i="36"/>
  <c r="BY331" i="36" s="1"/>
  <c r="AW331" i="36"/>
  <c r="BX331" i="36" s="1"/>
  <c r="DK330" i="36"/>
  <c r="CW330" i="36"/>
  <c r="BQ330" i="36"/>
  <c r="BP330" i="36"/>
  <c r="BO330" i="36"/>
  <c r="BN330" i="36"/>
  <c r="BM330" i="36"/>
  <c r="BL330" i="36"/>
  <c r="BK330" i="36"/>
  <c r="BJ330" i="36"/>
  <c r="BI330" i="36"/>
  <c r="BH330" i="36"/>
  <c r="BG330" i="36"/>
  <c r="BF330" i="36"/>
  <c r="BE330" i="36"/>
  <c r="BD330" i="36"/>
  <c r="BC330" i="36"/>
  <c r="AY330" i="36"/>
  <c r="AX330" i="36"/>
  <c r="BY330" i="36" s="1"/>
  <c r="AW330" i="36"/>
  <c r="CT330" i="36" s="1"/>
  <c r="DG330" i="36" s="1"/>
  <c r="DK329" i="36"/>
  <c r="CW329" i="36"/>
  <c r="BQ329" i="36"/>
  <c r="BP329" i="36"/>
  <c r="BO329" i="36"/>
  <c r="BN329" i="36"/>
  <c r="BM329" i="36"/>
  <c r="BL329" i="36"/>
  <c r="BK329" i="36"/>
  <c r="BJ329" i="36"/>
  <c r="BI329" i="36"/>
  <c r="BH329" i="36"/>
  <c r="BG329" i="36"/>
  <c r="BF329" i="36"/>
  <c r="BE329" i="36"/>
  <c r="BD329" i="36"/>
  <c r="BC329" i="36"/>
  <c r="AY329" i="36"/>
  <c r="BZ329" i="36" s="1"/>
  <c r="AX329" i="36"/>
  <c r="CU329" i="36" s="1"/>
  <c r="DH329" i="36" s="1"/>
  <c r="AW329" i="36"/>
  <c r="CT329" i="36" s="1"/>
  <c r="DG329" i="36" s="1"/>
  <c r="DK328" i="36"/>
  <c r="CW328" i="36"/>
  <c r="BQ328" i="36"/>
  <c r="BP328" i="36"/>
  <c r="BO328" i="36"/>
  <c r="BN328" i="36"/>
  <c r="BM328" i="36"/>
  <c r="BL328" i="36"/>
  <c r="BK328" i="36"/>
  <c r="BJ328" i="36"/>
  <c r="BI328" i="36"/>
  <c r="BH328" i="36"/>
  <c r="BG328" i="36"/>
  <c r="BF328" i="36"/>
  <c r="BE328" i="36"/>
  <c r="BD328" i="36"/>
  <c r="BC328" i="36"/>
  <c r="AY328" i="36"/>
  <c r="BZ328" i="36" s="1"/>
  <c r="AX328" i="36"/>
  <c r="BY328" i="36" s="1"/>
  <c r="AW328" i="36"/>
  <c r="DK327" i="36"/>
  <c r="CW327" i="36"/>
  <c r="BQ327" i="36"/>
  <c r="BP327" i="36"/>
  <c r="BO327" i="36"/>
  <c r="BN327" i="36"/>
  <c r="BM327" i="36"/>
  <c r="BL327" i="36"/>
  <c r="BK327" i="36"/>
  <c r="BJ327" i="36"/>
  <c r="BI327" i="36"/>
  <c r="BH327" i="36"/>
  <c r="BG327" i="36"/>
  <c r="BF327" i="36"/>
  <c r="BE327" i="36"/>
  <c r="BD327" i="36"/>
  <c r="BC327" i="36"/>
  <c r="AY327" i="36"/>
  <c r="CV327" i="36" s="1"/>
  <c r="DI327" i="36" s="1"/>
  <c r="AX327" i="36"/>
  <c r="CU327" i="36" s="1"/>
  <c r="DH327" i="36" s="1"/>
  <c r="AW327" i="36"/>
  <c r="BX327" i="36" s="1"/>
  <c r="DK326" i="36"/>
  <c r="CW326" i="36"/>
  <c r="BQ326" i="36"/>
  <c r="BP326" i="36"/>
  <c r="BO326" i="36"/>
  <c r="BN326" i="36"/>
  <c r="BM326" i="36"/>
  <c r="BL326" i="36"/>
  <c r="BK326" i="36"/>
  <c r="BJ326" i="36"/>
  <c r="BI326" i="36"/>
  <c r="BH326" i="36"/>
  <c r="BG326" i="36"/>
  <c r="BF326" i="36"/>
  <c r="BE326" i="36"/>
  <c r="BD326" i="36"/>
  <c r="BC326" i="36"/>
  <c r="AY326" i="36"/>
  <c r="BZ326" i="36" s="1"/>
  <c r="AX326" i="36"/>
  <c r="CU326" i="36" s="1"/>
  <c r="DH326" i="36" s="1"/>
  <c r="AW326" i="36"/>
  <c r="DK325" i="36"/>
  <c r="CW325" i="36"/>
  <c r="BQ325" i="36"/>
  <c r="BP325" i="36"/>
  <c r="BO325" i="36"/>
  <c r="BN325" i="36"/>
  <c r="BM325" i="36"/>
  <c r="BL325" i="36"/>
  <c r="BK325" i="36"/>
  <c r="BJ325" i="36"/>
  <c r="BI325" i="36"/>
  <c r="BH325" i="36"/>
  <c r="BG325" i="36"/>
  <c r="BF325" i="36"/>
  <c r="BE325" i="36"/>
  <c r="BD325" i="36"/>
  <c r="BC325" i="36"/>
  <c r="AY325" i="36"/>
  <c r="AX325" i="36"/>
  <c r="AW325" i="36"/>
  <c r="CT325" i="36" s="1"/>
  <c r="DG325" i="36" s="1"/>
  <c r="DK324" i="36"/>
  <c r="CW324" i="36"/>
  <c r="BQ324" i="36"/>
  <c r="BP324" i="36"/>
  <c r="BO324" i="36"/>
  <c r="BN324" i="36"/>
  <c r="BM324" i="36"/>
  <c r="BL324" i="36"/>
  <c r="BK324" i="36"/>
  <c r="BJ324" i="36"/>
  <c r="BI324" i="36"/>
  <c r="BH324" i="36"/>
  <c r="BG324" i="36"/>
  <c r="BF324" i="36"/>
  <c r="BE324" i="36"/>
  <c r="BD324" i="36"/>
  <c r="BC324" i="36"/>
  <c r="AY324" i="36"/>
  <c r="CV324" i="36" s="1"/>
  <c r="DI324" i="36" s="1"/>
  <c r="AX324" i="36"/>
  <c r="BY324" i="36" s="1"/>
  <c r="AW324" i="36"/>
  <c r="BX324" i="36" s="1"/>
  <c r="DK323" i="36"/>
  <c r="CW323" i="36"/>
  <c r="BQ323" i="36"/>
  <c r="BP323" i="36"/>
  <c r="BO323" i="36"/>
  <c r="BN323" i="36"/>
  <c r="BM323" i="36"/>
  <c r="BL323" i="36"/>
  <c r="BK323" i="36"/>
  <c r="BJ323" i="36"/>
  <c r="BI323" i="36"/>
  <c r="BH323" i="36"/>
  <c r="BG323" i="36"/>
  <c r="BF323" i="36"/>
  <c r="BE323" i="36"/>
  <c r="BD323" i="36"/>
  <c r="BC323" i="36"/>
  <c r="AY323" i="36"/>
  <c r="CV323" i="36" s="1"/>
  <c r="DI323" i="36" s="1"/>
  <c r="AX323" i="36"/>
  <c r="BY323" i="36" s="1"/>
  <c r="AW323" i="36"/>
  <c r="BX323" i="36" s="1"/>
  <c r="DK322" i="36"/>
  <c r="CW322" i="36"/>
  <c r="BQ322" i="36"/>
  <c r="BP322" i="36"/>
  <c r="BO322" i="36"/>
  <c r="BN322" i="36"/>
  <c r="BM322" i="36"/>
  <c r="BL322" i="36"/>
  <c r="BK322" i="36"/>
  <c r="BJ322" i="36"/>
  <c r="BI322" i="36"/>
  <c r="BH322" i="36"/>
  <c r="BG322" i="36"/>
  <c r="BF322" i="36"/>
  <c r="BE322" i="36"/>
  <c r="BD322" i="36"/>
  <c r="BC322" i="36"/>
  <c r="AY322" i="36"/>
  <c r="AX322" i="36"/>
  <c r="BY322" i="36" s="1"/>
  <c r="AW322" i="36"/>
  <c r="DK321" i="36"/>
  <c r="CW321" i="36"/>
  <c r="BQ321" i="36"/>
  <c r="BP321" i="36"/>
  <c r="BO321" i="36"/>
  <c r="BN321" i="36"/>
  <c r="BM321" i="36"/>
  <c r="BL321" i="36"/>
  <c r="BK321" i="36"/>
  <c r="BJ321" i="36"/>
  <c r="BI321" i="36"/>
  <c r="BH321" i="36"/>
  <c r="BG321" i="36"/>
  <c r="BF321" i="36"/>
  <c r="BE321" i="36"/>
  <c r="BD321" i="36"/>
  <c r="BC321" i="36"/>
  <c r="AY321" i="36"/>
  <c r="BZ321" i="36" s="1"/>
  <c r="AX321" i="36"/>
  <c r="AW321" i="36"/>
  <c r="CT321" i="36" s="1"/>
  <c r="DG321" i="36" s="1"/>
  <c r="DK320" i="36"/>
  <c r="CW320" i="36"/>
  <c r="BQ320" i="36"/>
  <c r="BP320" i="36"/>
  <c r="BO320" i="36"/>
  <c r="BN320" i="36"/>
  <c r="BM320" i="36"/>
  <c r="BL320" i="36"/>
  <c r="BK320" i="36"/>
  <c r="BJ320" i="36"/>
  <c r="BI320" i="36"/>
  <c r="BH320" i="36"/>
  <c r="BG320" i="36"/>
  <c r="BF320" i="36"/>
  <c r="BE320" i="36"/>
  <c r="BD320" i="36"/>
  <c r="BC320" i="36"/>
  <c r="AY320" i="36"/>
  <c r="CV320" i="36" s="1"/>
  <c r="DI320" i="36" s="1"/>
  <c r="AX320" i="36"/>
  <c r="BY320" i="36" s="1"/>
  <c r="AW320" i="36"/>
  <c r="DK319" i="36"/>
  <c r="CW319" i="36"/>
  <c r="BQ319" i="36"/>
  <c r="BP319" i="36"/>
  <c r="BO319" i="36"/>
  <c r="BN319" i="36"/>
  <c r="BM319" i="36"/>
  <c r="BL319" i="36"/>
  <c r="BK319" i="36"/>
  <c r="BJ319" i="36"/>
  <c r="BI319" i="36"/>
  <c r="BH319" i="36"/>
  <c r="BG319" i="36"/>
  <c r="BF319" i="36"/>
  <c r="BE319" i="36"/>
  <c r="BD319" i="36"/>
  <c r="BC319" i="36"/>
  <c r="AY319" i="36"/>
  <c r="CV319" i="36" s="1"/>
  <c r="DI319" i="36" s="1"/>
  <c r="AX319" i="36"/>
  <c r="CU319" i="36" s="1"/>
  <c r="DH319" i="36" s="1"/>
  <c r="AW319" i="36"/>
  <c r="BX319" i="36" s="1"/>
  <c r="DK318" i="36"/>
  <c r="CW318" i="36"/>
  <c r="BQ318" i="36"/>
  <c r="BP318" i="36"/>
  <c r="BO318" i="36"/>
  <c r="BN318" i="36"/>
  <c r="BM318" i="36"/>
  <c r="BL318" i="36"/>
  <c r="BK318" i="36"/>
  <c r="BJ318" i="36"/>
  <c r="BI318" i="36"/>
  <c r="BH318" i="36"/>
  <c r="BG318" i="36"/>
  <c r="BF318" i="36"/>
  <c r="BE318" i="36"/>
  <c r="BD318" i="36"/>
  <c r="BC318" i="36"/>
  <c r="AY318" i="36"/>
  <c r="AX318" i="36"/>
  <c r="CU318" i="36" s="1"/>
  <c r="DH318" i="36" s="1"/>
  <c r="AW318" i="36"/>
  <c r="CT318" i="36" s="1"/>
  <c r="DG318" i="36" s="1"/>
  <c r="DK317" i="36"/>
  <c r="CW317" i="36"/>
  <c r="BQ317" i="36"/>
  <c r="BP317" i="36"/>
  <c r="BO317" i="36"/>
  <c r="BN317" i="36"/>
  <c r="BM317" i="36"/>
  <c r="BL317" i="36"/>
  <c r="BK317" i="36"/>
  <c r="BJ317" i="36"/>
  <c r="BI317" i="36"/>
  <c r="BH317" i="36"/>
  <c r="BG317" i="36"/>
  <c r="BF317" i="36"/>
  <c r="BE317" i="36"/>
  <c r="BD317" i="36"/>
  <c r="BC317" i="36"/>
  <c r="AY317" i="36"/>
  <c r="BZ317" i="36" s="1"/>
  <c r="AX317" i="36"/>
  <c r="CU317" i="36" s="1"/>
  <c r="DH317" i="36" s="1"/>
  <c r="AW317" i="36"/>
  <c r="BX317" i="36" s="1"/>
  <c r="DK316" i="36"/>
  <c r="CW316" i="36"/>
  <c r="BQ316" i="36"/>
  <c r="BP316" i="36"/>
  <c r="BO316" i="36"/>
  <c r="BN316" i="36"/>
  <c r="BM316" i="36"/>
  <c r="BL316" i="36"/>
  <c r="BK316" i="36"/>
  <c r="BJ316" i="36"/>
  <c r="BI316" i="36"/>
  <c r="BH316" i="36"/>
  <c r="BG316" i="36"/>
  <c r="BF316" i="36"/>
  <c r="BE316" i="36"/>
  <c r="BD316" i="36"/>
  <c r="BC316" i="36"/>
  <c r="AY316" i="36"/>
  <c r="BZ316" i="36" s="1"/>
  <c r="AX316" i="36"/>
  <c r="BY316" i="36" s="1"/>
  <c r="AW316" i="36"/>
  <c r="CT316" i="36" s="1"/>
  <c r="DG316" i="36" s="1"/>
  <c r="DK315" i="36"/>
  <c r="CW315" i="36"/>
  <c r="BQ315" i="36"/>
  <c r="BP315" i="36"/>
  <c r="BO315" i="36"/>
  <c r="BN315" i="36"/>
  <c r="BM315" i="36"/>
  <c r="BL315" i="36"/>
  <c r="BK315" i="36"/>
  <c r="BJ315" i="36"/>
  <c r="BI315" i="36"/>
  <c r="BH315" i="36"/>
  <c r="BG315" i="36"/>
  <c r="BF315" i="36"/>
  <c r="BE315" i="36"/>
  <c r="BD315" i="36"/>
  <c r="BC315" i="36"/>
  <c r="AY315" i="36"/>
  <c r="CV315" i="36" s="1"/>
  <c r="DI315" i="36" s="1"/>
  <c r="AX315" i="36"/>
  <c r="BY315" i="36" s="1"/>
  <c r="AW315" i="36"/>
  <c r="DK314" i="36"/>
  <c r="CW314" i="36"/>
  <c r="BQ314" i="36"/>
  <c r="BP314" i="36"/>
  <c r="BO314" i="36"/>
  <c r="BN314" i="36"/>
  <c r="BM314" i="36"/>
  <c r="BL314" i="36"/>
  <c r="BK314" i="36"/>
  <c r="BJ314" i="36"/>
  <c r="BI314" i="36"/>
  <c r="BH314" i="36"/>
  <c r="BG314" i="36"/>
  <c r="BF314" i="36"/>
  <c r="BE314" i="36"/>
  <c r="BD314" i="36"/>
  <c r="BC314" i="36"/>
  <c r="AY314" i="36"/>
  <c r="AX314" i="36"/>
  <c r="CU314" i="36" s="1"/>
  <c r="DH314" i="36" s="1"/>
  <c r="AW314" i="36"/>
  <c r="DK313" i="36"/>
  <c r="CW313" i="36"/>
  <c r="BQ313" i="36"/>
  <c r="BP313" i="36"/>
  <c r="BO313" i="36"/>
  <c r="BN313" i="36"/>
  <c r="BM313" i="36"/>
  <c r="BL313" i="36"/>
  <c r="BK313" i="36"/>
  <c r="BJ313" i="36"/>
  <c r="BI313" i="36"/>
  <c r="BH313" i="36"/>
  <c r="BG313" i="36"/>
  <c r="BF313" i="36"/>
  <c r="BE313" i="36"/>
  <c r="BD313" i="36"/>
  <c r="BC313" i="36"/>
  <c r="AY313" i="36"/>
  <c r="BZ313" i="36" s="1"/>
  <c r="AX313" i="36"/>
  <c r="AW313" i="36"/>
  <c r="CT313" i="36" s="1"/>
  <c r="DG313" i="36" s="1"/>
  <c r="DK312" i="36"/>
  <c r="CW312" i="36"/>
  <c r="BQ312" i="36"/>
  <c r="BP312" i="36"/>
  <c r="BO312" i="36"/>
  <c r="BN312" i="36"/>
  <c r="BM312" i="36"/>
  <c r="BL312" i="36"/>
  <c r="BK312" i="36"/>
  <c r="BJ312" i="36"/>
  <c r="BI312" i="36"/>
  <c r="BH312" i="36"/>
  <c r="BG312" i="36"/>
  <c r="BF312" i="36"/>
  <c r="BE312" i="36"/>
  <c r="BD312" i="36"/>
  <c r="BC312" i="36"/>
  <c r="AY312" i="36"/>
  <c r="CV312" i="36" s="1"/>
  <c r="DI312" i="36" s="1"/>
  <c r="AX312" i="36"/>
  <c r="BY312" i="36" s="1"/>
  <c r="AW312" i="36"/>
  <c r="DK311" i="36"/>
  <c r="CW311" i="36"/>
  <c r="BQ311" i="36"/>
  <c r="BP311" i="36"/>
  <c r="BO311" i="36"/>
  <c r="BN311" i="36"/>
  <c r="BM311" i="36"/>
  <c r="BL311" i="36"/>
  <c r="BK311" i="36"/>
  <c r="BJ311" i="36"/>
  <c r="BI311" i="36"/>
  <c r="BH311" i="36"/>
  <c r="BG311" i="36"/>
  <c r="BF311" i="36"/>
  <c r="BE311" i="36"/>
  <c r="BD311" i="36"/>
  <c r="BC311" i="36"/>
  <c r="AY311" i="36"/>
  <c r="BZ311" i="36" s="1"/>
  <c r="AX311" i="36"/>
  <c r="BY311" i="36" s="1"/>
  <c r="AW311" i="36"/>
  <c r="BX311" i="36" s="1"/>
  <c r="DK310" i="36"/>
  <c r="CW310" i="36"/>
  <c r="BQ310" i="36"/>
  <c r="BP310" i="36"/>
  <c r="BO310" i="36"/>
  <c r="BN310" i="36"/>
  <c r="BM310" i="36"/>
  <c r="BL310" i="36"/>
  <c r="BK310" i="36"/>
  <c r="BJ310" i="36"/>
  <c r="BI310" i="36"/>
  <c r="BH310" i="36"/>
  <c r="BG310" i="36"/>
  <c r="BF310" i="36"/>
  <c r="BE310" i="36"/>
  <c r="BD310" i="36"/>
  <c r="BC310" i="36"/>
  <c r="AY310" i="36"/>
  <c r="AX310" i="36"/>
  <c r="CU310" i="36" s="1"/>
  <c r="DH310" i="36" s="1"/>
  <c r="AW310" i="36"/>
  <c r="BX310" i="36" s="1"/>
  <c r="DK309" i="36"/>
  <c r="CW309" i="36"/>
  <c r="BQ309" i="36"/>
  <c r="BP309" i="36"/>
  <c r="BO309" i="36"/>
  <c r="BN309" i="36"/>
  <c r="BM309" i="36"/>
  <c r="BL309" i="36"/>
  <c r="BK309" i="36"/>
  <c r="BJ309" i="36"/>
  <c r="BI309" i="36"/>
  <c r="BH309" i="36"/>
  <c r="BG309" i="36"/>
  <c r="BF309" i="36"/>
  <c r="BE309" i="36"/>
  <c r="BD309" i="36"/>
  <c r="BC309" i="36"/>
  <c r="AY309" i="36"/>
  <c r="CV309" i="36" s="1"/>
  <c r="DI309" i="36" s="1"/>
  <c r="AX309" i="36"/>
  <c r="AW309" i="36"/>
  <c r="BX309" i="36" s="1"/>
  <c r="DK308" i="36"/>
  <c r="CW308" i="36"/>
  <c r="BQ308" i="36"/>
  <c r="BP308" i="36"/>
  <c r="BO308" i="36"/>
  <c r="BN308" i="36"/>
  <c r="BM308" i="36"/>
  <c r="BL308" i="36"/>
  <c r="BK308" i="36"/>
  <c r="BJ308" i="36"/>
  <c r="BI308" i="36"/>
  <c r="BH308" i="36"/>
  <c r="BG308" i="36"/>
  <c r="BF308" i="36"/>
  <c r="BE308" i="36"/>
  <c r="BD308" i="36"/>
  <c r="BC308" i="36"/>
  <c r="AY308" i="36"/>
  <c r="BZ308" i="36" s="1"/>
  <c r="AX308" i="36"/>
  <c r="BY308" i="36" s="1"/>
  <c r="AW308" i="36"/>
  <c r="CT308" i="36" s="1"/>
  <c r="DG308" i="36" s="1"/>
  <c r="DK307" i="36"/>
  <c r="CW307" i="36"/>
  <c r="BQ307" i="36"/>
  <c r="BP307" i="36"/>
  <c r="BO307" i="36"/>
  <c r="BN307" i="36"/>
  <c r="BM307" i="36"/>
  <c r="BL307" i="36"/>
  <c r="BK307" i="36"/>
  <c r="BJ307" i="36"/>
  <c r="BI307" i="36"/>
  <c r="BH307" i="36"/>
  <c r="BG307" i="36"/>
  <c r="BF307" i="36"/>
  <c r="BE307" i="36"/>
  <c r="BD307" i="36"/>
  <c r="BC307" i="36"/>
  <c r="AY307" i="36"/>
  <c r="CV307" i="36" s="1"/>
  <c r="DI307" i="36" s="1"/>
  <c r="AX307" i="36"/>
  <c r="BY307" i="36" s="1"/>
  <c r="AW307" i="36"/>
  <c r="BX307" i="36" s="1"/>
  <c r="DK306" i="36"/>
  <c r="CW306" i="36"/>
  <c r="BQ306" i="36"/>
  <c r="BP306" i="36"/>
  <c r="BO306" i="36"/>
  <c r="BN306" i="36"/>
  <c r="BM306" i="36"/>
  <c r="BL306" i="36"/>
  <c r="BK306" i="36"/>
  <c r="BJ306" i="36"/>
  <c r="BI306" i="36"/>
  <c r="BH306" i="36"/>
  <c r="BG306" i="36"/>
  <c r="BF306" i="36"/>
  <c r="BE306" i="36"/>
  <c r="BD306" i="36"/>
  <c r="BC306" i="36"/>
  <c r="AY306" i="36"/>
  <c r="CV306" i="36" s="1"/>
  <c r="DI306" i="36" s="1"/>
  <c r="AX306" i="36"/>
  <c r="AW306" i="36"/>
  <c r="BX306" i="36" s="1"/>
  <c r="DK305" i="36"/>
  <c r="CW305" i="36"/>
  <c r="BQ305" i="36"/>
  <c r="BP305" i="36"/>
  <c r="BO305" i="36"/>
  <c r="BN305" i="36"/>
  <c r="BM305" i="36"/>
  <c r="BL305" i="36"/>
  <c r="BK305" i="36"/>
  <c r="BJ305" i="36"/>
  <c r="BI305" i="36"/>
  <c r="BH305" i="36"/>
  <c r="BG305" i="36"/>
  <c r="BF305" i="36"/>
  <c r="BE305" i="36"/>
  <c r="BD305" i="36"/>
  <c r="BC305" i="36"/>
  <c r="AY305" i="36"/>
  <c r="BZ305" i="36" s="1"/>
  <c r="AX305" i="36"/>
  <c r="AW305" i="36"/>
  <c r="CT305" i="36" s="1"/>
  <c r="DG305" i="36" s="1"/>
  <c r="DK304" i="36"/>
  <c r="CW304" i="36"/>
  <c r="BQ304" i="36"/>
  <c r="BP304" i="36"/>
  <c r="BO304" i="36"/>
  <c r="BN304" i="36"/>
  <c r="BM304" i="36"/>
  <c r="BL304" i="36"/>
  <c r="BK304" i="36"/>
  <c r="BJ304" i="36"/>
  <c r="BI304" i="36"/>
  <c r="BH304" i="36"/>
  <c r="BG304" i="36"/>
  <c r="BF304" i="36"/>
  <c r="BE304" i="36"/>
  <c r="BD304" i="36"/>
  <c r="BC304" i="36"/>
  <c r="AY304" i="36"/>
  <c r="CV304" i="36" s="1"/>
  <c r="DI304" i="36" s="1"/>
  <c r="AX304" i="36"/>
  <c r="BY304" i="36" s="1"/>
  <c r="AW304" i="36"/>
  <c r="DK303" i="36"/>
  <c r="CW303" i="36"/>
  <c r="BQ303" i="36"/>
  <c r="BP303" i="36"/>
  <c r="BO303" i="36"/>
  <c r="BN303" i="36"/>
  <c r="BM303" i="36"/>
  <c r="BL303" i="36"/>
  <c r="BK303" i="36"/>
  <c r="BJ303" i="36"/>
  <c r="BI303" i="36"/>
  <c r="BH303" i="36"/>
  <c r="BG303" i="36"/>
  <c r="BF303" i="36"/>
  <c r="BE303" i="36"/>
  <c r="BD303" i="36"/>
  <c r="BC303" i="36"/>
  <c r="AY303" i="36"/>
  <c r="CV303" i="36" s="1"/>
  <c r="DI303" i="36" s="1"/>
  <c r="AX303" i="36"/>
  <c r="BY303" i="36" s="1"/>
  <c r="AW303" i="36"/>
  <c r="BX303" i="36" s="1"/>
  <c r="DK302" i="36"/>
  <c r="CW302" i="36"/>
  <c r="BQ302" i="36"/>
  <c r="BP302" i="36"/>
  <c r="BO302" i="36"/>
  <c r="BN302" i="36"/>
  <c r="BM302" i="36"/>
  <c r="BL302" i="36"/>
  <c r="BK302" i="36"/>
  <c r="BJ302" i="36"/>
  <c r="BI302" i="36"/>
  <c r="BH302" i="36"/>
  <c r="BG302" i="36"/>
  <c r="BF302" i="36"/>
  <c r="BE302" i="36"/>
  <c r="BD302" i="36"/>
  <c r="BC302" i="36"/>
  <c r="AY302" i="36"/>
  <c r="BZ302" i="36" s="1"/>
  <c r="AX302" i="36"/>
  <c r="AW302" i="36"/>
  <c r="BX302" i="36" s="1"/>
  <c r="DK301" i="36"/>
  <c r="CW301" i="36"/>
  <c r="BQ301" i="36"/>
  <c r="BP301" i="36"/>
  <c r="BO301" i="36"/>
  <c r="BN301" i="36"/>
  <c r="BM301" i="36"/>
  <c r="BL301" i="36"/>
  <c r="BK301" i="36"/>
  <c r="BJ301" i="36"/>
  <c r="BI301" i="36"/>
  <c r="BH301" i="36"/>
  <c r="BG301" i="36"/>
  <c r="BF301" i="36"/>
  <c r="BE301" i="36"/>
  <c r="BD301" i="36"/>
  <c r="BC301" i="36"/>
  <c r="AY301" i="36"/>
  <c r="CV301" i="36" s="1"/>
  <c r="DI301" i="36" s="1"/>
  <c r="AX301" i="36"/>
  <c r="CU301" i="36" s="1"/>
  <c r="DH301" i="36" s="1"/>
  <c r="AW301" i="36"/>
  <c r="DK300" i="36"/>
  <c r="CW300" i="36"/>
  <c r="BQ300" i="36"/>
  <c r="BP300" i="36"/>
  <c r="BO300" i="36"/>
  <c r="BN300" i="36"/>
  <c r="BM300" i="36"/>
  <c r="BL300" i="36"/>
  <c r="BK300" i="36"/>
  <c r="BJ300" i="36"/>
  <c r="BI300" i="36"/>
  <c r="BH300" i="36"/>
  <c r="BG300" i="36"/>
  <c r="BF300" i="36"/>
  <c r="BE300" i="36"/>
  <c r="BD300" i="36"/>
  <c r="BC300" i="36"/>
  <c r="AY300" i="36"/>
  <c r="BZ300" i="36" s="1"/>
  <c r="AX300" i="36"/>
  <c r="AW300" i="36"/>
  <c r="DK299" i="36"/>
  <c r="CW299" i="36"/>
  <c r="BQ299" i="36"/>
  <c r="BP299" i="36"/>
  <c r="BO299" i="36"/>
  <c r="BN299" i="36"/>
  <c r="BM299" i="36"/>
  <c r="BL299" i="36"/>
  <c r="BK299" i="36"/>
  <c r="BJ299" i="36"/>
  <c r="BI299" i="36"/>
  <c r="BH299" i="36"/>
  <c r="BG299" i="36"/>
  <c r="BF299" i="36"/>
  <c r="BE299" i="36"/>
  <c r="BD299" i="36"/>
  <c r="BC299" i="36"/>
  <c r="AY299" i="36"/>
  <c r="CV299" i="36" s="1"/>
  <c r="DI299" i="36" s="1"/>
  <c r="AX299" i="36"/>
  <c r="BY299" i="36" s="1"/>
  <c r="AW299" i="36"/>
  <c r="DK298" i="36"/>
  <c r="CW298" i="36"/>
  <c r="BQ298" i="36"/>
  <c r="BP298" i="36"/>
  <c r="BO298" i="36"/>
  <c r="BN298" i="36"/>
  <c r="BM298" i="36"/>
  <c r="BL298" i="36"/>
  <c r="BK298" i="36"/>
  <c r="BJ298" i="36"/>
  <c r="BI298" i="36"/>
  <c r="BH298" i="36"/>
  <c r="BG298" i="36"/>
  <c r="BF298" i="36"/>
  <c r="BE298" i="36"/>
  <c r="BD298" i="36"/>
  <c r="BC298" i="36"/>
  <c r="AY298" i="36"/>
  <c r="AX298" i="36"/>
  <c r="AW298" i="36"/>
  <c r="DK297" i="36"/>
  <c r="CW297" i="36"/>
  <c r="BQ297" i="36"/>
  <c r="BP297" i="36"/>
  <c r="BO297" i="36"/>
  <c r="BN297" i="36"/>
  <c r="BM297" i="36"/>
  <c r="BL297" i="36"/>
  <c r="BK297" i="36"/>
  <c r="BJ297" i="36"/>
  <c r="BI297" i="36"/>
  <c r="BH297" i="36"/>
  <c r="BG297" i="36"/>
  <c r="BF297" i="36"/>
  <c r="BE297" i="36"/>
  <c r="BD297" i="36"/>
  <c r="BC297" i="36"/>
  <c r="AY297" i="36"/>
  <c r="AX297" i="36"/>
  <c r="CU297" i="36" s="1"/>
  <c r="DH297" i="36" s="1"/>
  <c r="AW297" i="36"/>
  <c r="CT297" i="36" s="1"/>
  <c r="DG297" i="36" s="1"/>
  <c r="DK296" i="36"/>
  <c r="CW296" i="36"/>
  <c r="BQ296" i="36"/>
  <c r="BP296" i="36"/>
  <c r="BO296" i="36"/>
  <c r="BN296" i="36"/>
  <c r="BM296" i="36"/>
  <c r="BL296" i="36"/>
  <c r="BK296" i="36"/>
  <c r="BJ296" i="36"/>
  <c r="BI296" i="36"/>
  <c r="BH296" i="36"/>
  <c r="BG296" i="36"/>
  <c r="BF296" i="36"/>
  <c r="BE296" i="36"/>
  <c r="BD296" i="36"/>
  <c r="BC296" i="36"/>
  <c r="AY296" i="36"/>
  <c r="CV296" i="36" s="1"/>
  <c r="DI296" i="36" s="1"/>
  <c r="AX296" i="36"/>
  <c r="BY296" i="36" s="1"/>
  <c r="AW296" i="36"/>
  <c r="BX296" i="36" s="1"/>
  <c r="DK295" i="36"/>
  <c r="CW295" i="36"/>
  <c r="BQ295" i="36"/>
  <c r="BP295" i="36"/>
  <c r="BO295" i="36"/>
  <c r="BN295" i="36"/>
  <c r="BM295" i="36"/>
  <c r="BL295" i="36"/>
  <c r="BK295" i="36"/>
  <c r="BJ295" i="36"/>
  <c r="BI295" i="36"/>
  <c r="BH295" i="36"/>
  <c r="BG295" i="36"/>
  <c r="BF295" i="36"/>
  <c r="BE295" i="36"/>
  <c r="BD295" i="36"/>
  <c r="BC295" i="36"/>
  <c r="AY295" i="36"/>
  <c r="CV295" i="36" s="1"/>
  <c r="DI295" i="36" s="1"/>
  <c r="AX295" i="36"/>
  <c r="BY295" i="36" s="1"/>
  <c r="AW295" i="36"/>
  <c r="BX295" i="36" s="1"/>
  <c r="DK294" i="36"/>
  <c r="CW294" i="36"/>
  <c r="BQ294" i="36"/>
  <c r="BP294" i="36"/>
  <c r="BO294" i="36"/>
  <c r="BN294" i="36"/>
  <c r="BM294" i="36"/>
  <c r="BL294" i="36"/>
  <c r="BK294" i="36"/>
  <c r="BJ294" i="36"/>
  <c r="BI294" i="36"/>
  <c r="BH294" i="36"/>
  <c r="BG294" i="36"/>
  <c r="BF294" i="36"/>
  <c r="BE294" i="36"/>
  <c r="BD294" i="36"/>
  <c r="BC294" i="36"/>
  <c r="AY294" i="36"/>
  <c r="BZ294" i="36" s="1"/>
  <c r="AX294" i="36"/>
  <c r="CU294" i="36" s="1"/>
  <c r="DH294" i="36" s="1"/>
  <c r="AW294" i="36"/>
  <c r="BX294" i="36" s="1"/>
  <c r="DK293" i="36"/>
  <c r="CW293" i="36"/>
  <c r="BQ293" i="36"/>
  <c r="BP293" i="36"/>
  <c r="BO293" i="36"/>
  <c r="BN293" i="36"/>
  <c r="BM293" i="36"/>
  <c r="BL293" i="36"/>
  <c r="BK293" i="36"/>
  <c r="BJ293" i="36"/>
  <c r="BI293" i="36"/>
  <c r="BH293" i="36"/>
  <c r="BG293" i="36"/>
  <c r="BF293" i="36"/>
  <c r="BE293" i="36"/>
  <c r="BD293" i="36"/>
  <c r="BC293" i="36"/>
  <c r="AY293" i="36"/>
  <c r="CV293" i="36" s="1"/>
  <c r="DI293" i="36" s="1"/>
  <c r="AX293" i="36"/>
  <c r="AW293" i="36"/>
  <c r="CT293" i="36" s="1"/>
  <c r="DG293" i="36" s="1"/>
  <c r="DK292" i="36"/>
  <c r="CW292" i="36"/>
  <c r="BQ292" i="36"/>
  <c r="BP292" i="36"/>
  <c r="BO292" i="36"/>
  <c r="BN292" i="36"/>
  <c r="BM292" i="36"/>
  <c r="BL292" i="36"/>
  <c r="BK292" i="36"/>
  <c r="BJ292" i="36"/>
  <c r="BI292" i="36"/>
  <c r="BH292" i="36"/>
  <c r="BG292" i="36"/>
  <c r="BF292" i="36"/>
  <c r="BE292" i="36"/>
  <c r="BD292" i="36"/>
  <c r="BC292" i="36"/>
  <c r="AY292" i="36"/>
  <c r="BZ292" i="36" s="1"/>
  <c r="AX292" i="36"/>
  <c r="BY292" i="36" s="1"/>
  <c r="AW292" i="36"/>
  <c r="DK291" i="36"/>
  <c r="CW291" i="36"/>
  <c r="BQ291" i="36"/>
  <c r="BP291" i="36"/>
  <c r="BO291" i="36"/>
  <c r="BN291" i="36"/>
  <c r="BM291" i="36"/>
  <c r="BL291" i="36"/>
  <c r="BK291" i="36"/>
  <c r="BJ291" i="36"/>
  <c r="BI291" i="36"/>
  <c r="BH291" i="36"/>
  <c r="BG291" i="36"/>
  <c r="BF291" i="36"/>
  <c r="BE291" i="36"/>
  <c r="BD291" i="36"/>
  <c r="BC291" i="36"/>
  <c r="AY291" i="36"/>
  <c r="CV291" i="36" s="1"/>
  <c r="DI291" i="36" s="1"/>
  <c r="AX291" i="36"/>
  <c r="BY291" i="36" s="1"/>
  <c r="AW291" i="36"/>
  <c r="DK290" i="36"/>
  <c r="CW290" i="36"/>
  <c r="BQ290" i="36"/>
  <c r="BP290" i="36"/>
  <c r="BO290" i="36"/>
  <c r="BN290" i="36"/>
  <c r="BM290" i="36"/>
  <c r="BL290" i="36"/>
  <c r="BK290" i="36"/>
  <c r="BJ290" i="36"/>
  <c r="BI290" i="36"/>
  <c r="BH290" i="36"/>
  <c r="BG290" i="36"/>
  <c r="BF290" i="36"/>
  <c r="BE290" i="36"/>
  <c r="BD290" i="36"/>
  <c r="BC290" i="36"/>
  <c r="AY290" i="36"/>
  <c r="AX290" i="36"/>
  <c r="AW290" i="36"/>
  <c r="BX290" i="36" s="1"/>
  <c r="DK289" i="36"/>
  <c r="CW289" i="36"/>
  <c r="BQ289" i="36"/>
  <c r="BP289" i="36"/>
  <c r="BO289" i="36"/>
  <c r="BN289" i="36"/>
  <c r="BM289" i="36"/>
  <c r="BL289" i="36"/>
  <c r="BK289" i="36"/>
  <c r="BJ289" i="36"/>
  <c r="BI289" i="36"/>
  <c r="BH289" i="36"/>
  <c r="BG289" i="36"/>
  <c r="BF289" i="36"/>
  <c r="BE289" i="36"/>
  <c r="BD289" i="36"/>
  <c r="BC289" i="36"/>
  <c r="AY289" i="36"/>
  <c r="AX289" i="36"/>
  <c r="AW289" i="36"/>
  <c r="CT289" i="36" s="1"/>
  <c r="DG289" i="36" s="1"/>
  <c r="DK288" i="36"/>
  <c r="CW288" i="36"/>
  <c r="BQ288" i="36"/>
  <c r="BP288" i="36"/>
  <c r="BO288" i="36"/>
  <c r="BN288" i="36"/>
  <c r="BM288" i="36"/>
  <c r="BL288" i="36"/>
  <c r="BK288" i="36"/>
  <c r="BJ288" i="36"/>
  <c r="BI288" i="36"/>
  <c r="BH288" i="36"/>
  <c r="BG288" i="36"/>
  <c r="BF288" i="36"/>
  <c r="BE288" i="36"/>
  <c r="BD288" i="36"/>
  <c r="BC288" i="36"/>
  <c r="AY288" i="36"/>
  <c r="AX288" i="36"/>
  <c r="BY288" i="36" s="1"/>
  <c r="AW288" i="36"/>
  <c r="CT288" i="36" s="1"/>
  <c r="DG288" i="36" s="1"/>
  <c r="DK287" i="36"/>
  <c r="CW287" i="36"/>
  <c r="BQ287" i="36"/>
  <c r="BP287" i="36"/>
  <c r="BO287" i="36"/>
  <c r="BN287" i="36"/>
  <c r="BM287" i="36"/>
  <c r="BL287" i="36"/>
  <c r="BK287" i="36"/>
  <c r="BJ287" i="36"/>
  <c r="BI287" i="36"/>
  <c r="BH287" i="36"/>
  <c r="BG287" i="36"/>
  <c r="BF287" i="36"/>
  <c r="BE287" i="36"/>
  <c r="BD287" i="36"/>
  <c r="BC287" i="36"/>
  <c r="AY287" i="36"/>
  <c r="CV287" i="36" s="1"/>
  <c r="DI287" i="36" s="1"/>
  <c r="AX287" i="36"/>
  <c r="BY287" i="36" s="1"/>
  <c r="AW287" i="36"/>
  <c r="DK286" i="36"/>
  <c r="CW286" i="36"/>
  <c r="BQ286" i="36"/>
  <c r="BP286" i="36"/>
  <c r="BO286" i="36"/>
  <c r="BN286" i="36"/>
  <c r="BM286" i="36"/>
  <c r="BL286" i="36"/>
  <c r="BK286" i="36"/>
  <c r="BJ286" i="36"/>
  <c r="BI286" i="36"/>
  <c r="BH286" i="36"/>
  <c r="BG286" i="36"/>
  <c r="BF286" i="36"/>
  <c r="BE286" i="36"/>
  <c r="BD286" i="36"/>
  <c r="BC286" i="36"/>
  <c r="AY286" i="36"/>
  <c r="AX286" i="36"/>
  <c r="AW286" i="36"/>
  <c r="DK285" i="36"/>
  <c r="CW285" i="36"/>
  <c r="BQ285" i="36"/>
  <c r="BP285" i="36"/>
  <c r="BO285" i="36"/>
  <c r="BN285" i="36"/>
  <c r="BM285" i="36"/>
  <c r="BL285" i="36"/>
  <c r="BK285" i="36"/>
  <c r="BJ285" i="36"/>
  <c r="BI285" i="36"/>
  <c r="BH285" i="36"/>
  <c r="BG285" i="36"/>
  <c r="BF285" i="36"/>
  <c r="BE285" i="36"/>
  <c r="BD285" i="36"/>
  <c r="BC285" i="36"/>
  <c r="AY285" i="36"/>
  <c r="AX285" i="36"/>
  <c r="BY285" i="36" s="1"/>
  <c r="AW285" i="36"/>
  <c r="DK284" i="36"/>
  <c r="CW284" i="36"/>
  <c r="BQ284" i="36"/>
  <c r="BP284" i="36"/>
  <c r="BO284" i="36"/>
  <c r="BN284" i="36"/>
  <c r="BM284" i="36"/>
  <c r="BL284" i="36"/>
  <c r="BK284" i="36"/>
  <c r="BJ284" i="36"/>
  <c r="BI284" i="36"/>
  <c r="BH284" i="36"/>
  <c r="BG284" i="36"/>
  <c r="BF284" i="36"/>
  <c r="BE284" i="36"/>
  <c r="BD284" i="36"/>
  <c r="BC284" i="36"/>
  <c r="AY284" i="36"/>
  <c r="BZ284" i="36" s="1"/>
  <c r="AX284" i="36"/>
  <c r="CU284" i="36" s="1"/>
  <c r="DH284" i="36" s="1"/>
  <c r="AW284" i="36"/>
  <c r="DK283" i="36"/>
  <c r="CW283" i="36"/>
  <c r="BQ283" i="36"/>
  <c r="BP283" i="36"/>
  <c r="BO283" i="36"/>
  <c r="BN283" i="36"/>
  <c r="BM283" i="36"/>
  <c r="BL283" i="36"/>
  <c r="BK283" i="36"/>
  <c r="BJ283" i="36"/>
  <c r="BI283" i="36"/>
  <c r="BH283" i="36"/>
  <c r="BG283" i="36"/>
  <c r="BF283" i="36"/>
  <c r="BE283" i="36"/>
  <c r="BD283" i="36"/>
  <c r="BC283" i="36"/>
  <c r="AY283" i="36"/>
  <c r="BZ283" i="36" s="1"/>
  <c r="AX283" i="36"/>
  <c r="CU283" i="36" s="1"/>
  <c r="DH283" i="36" s="1"/>
  <c r="AW283" i="36"/>
  <c r="DK282" i="36"/>
  <c r="CW282" i="36"/>
  <c r="BQ282" i="36"/>
  <c r="BP282" i="36"/>
  <c r="BO282" i="36"/>
  <c r="BN282" i="36"/>
  <c r="BM282" i="36"/>
  <c r="BL282" i="36"/>
  <c r="BK282" i="36"/>
  <c r="BJ282" i="36"/>
  <c r="BI282" i="36"/>
  <c r="BH282" i="36"/>
  <c r="BG282" i="36"/>
  <c r="BF282" i="36"/>
  <c r="BE282" i="36"/>
  <c r="BD282" i="36"/>
  <c r="BC282" i="36"/>
  <c r="AY282" i="36"/>
  <c r="CV282" i="36" s="1"/>
  <c r="DI282" i="36" s="1"/>
  <c r="AX282" i="36"/>
  <c r="BY282" i="36" s="1"/>
  <c r="AW282" i="36"/>
  <c r="BX282" i="36" s="1"/>
  <c r="DK281" i="36"/>
  <c r="CW281" i="36"/>
  <c r="BQ281" i="36"/>
  <c r="BP281" i="36"/>
  <c r="BO281" i="36"/>
  <c r="BN281" i="36"/>
  <c r="BM281" i="36"/>
  <c r="BL281" i="36"/>
  <c r="BK281" i="36"/>
  <c r="BJ281" i="36"/>
  <c r="BI281" i="36"/>
  <c r="BH281" i="36"/>
  <c r="BG281" i="36"/>
  <c r="BF281" i="36"/>
  <c r="BE281" i="36"/>
  <c r="BD281" i="36"/>
  <c r="BC281" i="36"/>
  <c r="AY281" i="36"/>
  <c r="CV281" i="36" s="1"/>
  <c r="DI281" i="36" s="1"/>
  <c r="AX281" i="36"/>
  <c r="CU281" i="36" s="1"/>
  <c r="DH281" i="36" s="1"/>
  <c r="AW281" i="36"/>
  <c r="BX281" i="36" s="1"/>
  <c r="DK280" i="36"/>
  <c r="CW280" i="36"/>
  <c r="BQ280" i="36"/>
  <c r="BP280" i="36"/>
  <c r="BO280" i="36"/>
  <c r="BN280" i="36"/>
  <c r="BM280" i="36"/>
  <c r="BL280" i="36"/>
  <c r="BK280" i="36"/>
  <c r="BJ280" i="36"/>
  <c r="BI280" i="36"/>
  <c r="BH280" i="36"/>
  <c r="BG280" i="36"/>
  <c r="BF280" i="36"/>
  <c r="BE280" i="36"/>
  <c r="BD280" i="36"/>
  <c r="BC280" i="36"/>
  <c r="AY280" i="36"/>
  <c r="CV280" i="36" s="1"/>
  <c r="DI280" i="36" s="1"/>
  <c r="AX280" i="36"/>
  <c r="CU280" i="36" s="1"/>
  <c r="DH280" i="36" s="1"/>
  <c r="AW280" i="36"/>
  <c r="DK279" i="36"/>
  <c r="CW279" i="36"/>
  <c r="BQ279" i="36"/>
  <c r="BP279" i="36"/>
  <c r="BO279" i="36"/>
  <c r="BN279" i="36"/>
  <c r="BM279" i="36"/>
  <c r="BL279" i="36"/>
  <c r="BK279" i="36"/>
  <c r="BJ279" i="36"/>
  <c r="BI279" i="36"/>
  <c r="BH279" i="36"/>
  <c r="BG279" i="36"/>
  <c r="BF279" i="36"/>
  <c r="BE279" i="36"/>
  <c r="BD279" i="36"/>
  <c r="BC279" i="36"/>
  <c r="AY279" i="36"/>
  <c r="BZ279" i="36" s="1"/>
  <c r="AX279" i="36"/>
  <c r="BY279" i="36" s="1"/>
  <c r="AW279" i="36"/>
  <c r="DK278" i="36"/>
  <c r="CW278" i="36"/>
  <c r="BQ278" i="36"/>
  <c r="BP278" i="36"/>
  <c r="BO278" i="36"/>
  <c r="BN278" i="36"/>
  <c r="BM278" i="36"/>
  <c r="BL278" i="36"/>
  <c r="BK278" i="36"/>
  <c r="BJ278" i="36"/>
  <c r="BI278" i="36"/>
  <c r="BH278" i="36"/>
  <c r="BG278" i="36"/>
  <c r="BF278" i="36"/>
  <c r="BE278" i="36"/>
  <c r="BD278" i="36"/>
  <c r="BC278" i="36"/>
  <c r="AY278" i="36"/>
  <c r="CV278" i="36" s="1"/>
  <c r="DI278" i="36" s="1"/>
  <c r="AX278" i="36"/>
  <c r="BY278" i="36" s="1"/>
  <c r="AW278" i="36"/>
  <c r="CT278" i="36" s="1"/>
  <c r="DG278" i="36" s="1"/>
  <c r="DK277" i="36"/>
  <c r="CW277" i="36"/>
  <c r="BQ277" i="36"/>
  <c r="BP277" i="36"/>
  <c r="BO277" i="36"/>
  <c r="BN277" i="36"/>
  <c r="BM277" i="36"/>
  <c r="BL277" i="36"/>
  <c r="BK277" i="36"/>
  <c r="BJ277" i="36"/>
  <c r="BI277" i="36"/>
  <c r="BH277" i="36"/>
  <c r="BG277" i="36"/>
  <c r="BF277" i="36"/>
  <c r="BE277" i="36"/>
  <c r="BD277" i="36"/>
  <c r="BC277" i="36"/>
  <c r="AY277" i="36"/>
  <c r="CV277" i="36" s="1"/>
  <c r="DI277" i="36" s="1"/>
  <c r="AX277" i="36"/>
  <c r="BY277" i="36" s="1"/>
  <c r="AW277" i="36"/>
  <c r="CT277" i="36" s="1"/>
  <c r="DG277" i="36" s="1"/>
  <c r="DK276" i="36"/>
  <c r="CW276" i="36"/>
  <c r="BQ276" i="36"/>
  <c r="BP276" i="36"/>
  <c r="BO276" i="36"/>
  <c r="BN276" i="36"/>
  <c r="BM276" i="36"/>
  <c r="BL276" i="36"/>
  <c r="BK276" i="36"/>
  <c r="BJ276" i="36"/>
  <c r="BI276" i="36"/>
  <c r="BH276" i="36"/>
  <c r="BG276" i="36"/>
  <c r="BF276" i="36"/>
  <c r="BE276" i="36"/>
  <c r="BD276" i="36"/>
  <c r="BC276" i="36"/>
  <c r="AY276" i="36"/>
  <c r="BZ276" i="36" s="1"/>
  <c r="AX276" i="36"/>
  <c r="AW276" i="36"/>
  <c r="DK275" i="36"/>
  <c r="CW275" i="36"/>
  <c r="BQ275" i="36"/>
  <c r="BP275" i="36"/>
  <c r="BO275" i="36"/>
  <c r="BN275" i="36"/>
  <c r="BM275" i="36"/>
  <c r="BL275" i="36"/>
  <c r="BK275" i="36"/>
  <c r="BJ275" i="36"/>
  <c r="BI275" i="36"/>
  <c r="BH275" i="36"/>
  <c r="BG275" i="36"/>
  <c r="BF275" i="36"/>
  <c r="BE275" i="36"/>
  <c r="BD275" i="36"/>
  <c r="BC275" i="36"/>
  <c r="AY275" i="36"/>
  <c r="CV275" i="36" s="1"/>
  <c r="DI275" i="36" s="1"/>
  <c r="AX275" i="36"/>
  <c r="BY275" i="36" s="1"/>
  <c r="AW275" i="36"/>
  <c r="DK274" i="36"/>
  <c r="CW274" i="36"/>
  <c r="BQ274" i="36"/>
  <c r="BP274" i="36"/>
  <c r="BO274" i="36"/>
  <c r="BN274" i="36"/>
  <c r="BM274" i="36"/>
  <c r="BL274" i="36"/>
  <c r="BK274" i="36"/>
  <c r="BJ274" i="36"/>
  <c r="BI274" i="36"/>
  <c r="BH274" i="36"/>
  <c r="BG274" i="36"/>
  <c r="BF274" i="36"/>
  <c r="BE274" i="36"/>
  <c r="BD274" i="36"/>
  <c r="BC274" i="36"/>
  <c r="AY274" i="36"/>
  <c r="CV274" i="36" s="1"/>
  <c r="DI274" i="36" s="1"/>
  <c r="AX274" i="36"/>
  <c r="BY274" i="36" s="1"/>
  <c r="AW274" i="36"/>
  <c r="BX274" i="36" s="1"/>
  <c r="DK273" i="36"/>
  <c r="CW273" i="36"/>
  <c r="BQ273" i="36"/>
  <c r="BP273" i="36"/>
  <c r="BO273" i="36"/>
  <c r="BN273" i="36"/>
  <c r="BM273" i="36"/>
  <c r="BL273" i="36"/>
  <c r="BK273" i="36"/>
  <c r="BJ273" i="36"/>
  <c r="BI273" i="36"/>
  <c r="BH273" i="36"/>
  <c r="BG273" i="36"/>
  <c r="BF273" i="36"/>
  <c r="BE273" i="36"/>
  <c r="BD273" i="36"/>
  <c r="BC273" i="36"/>
  <c r="AY273" i="36"/>
  <c r="CV273" i="36" s="1"/>
  <c r="DI273" i="36" s="1"/>
  <c r="AX273" i="36"/>
  <c r="CU273" i="36" s="1"/>
  <c r="DH273" i="36" s="1"/>
  <c r="AW273" i="36"/>
  <c r="BX273" i="36" s="1"/>
  <c r="DK272" i="36"/>
  <c r="CW272" i="36"/>
  <c r="BQ272" i="36"/>
  <c r="BP272" i="36"/>
  <c r="BO272" i="36"/>
  <c r="BN272" i="36"/>
  <c r="BM272" i="36"/>
  <c r="BL272" i="36"/>
  <c r="BK272" i="36"/>
  <c r="BJ272" i="36"/>
  <c r="BI272" i="36"/>
  <c r="BH272" i="36"/>
  <c r="BG272" i="36"/>
  <c r="BF272" i="36"/>
  <c r="BE272" i="36"/>
  <c r="BD272" i="36"/>
  <c r="BC272" i="36"/>
  <c r="AY272" i="36"/>
  <c r="AX272" i="36"/>
  <c r="BY272" i="36" s="1"/>
  <c r="AW272" i="36"/>
  <c r="CT272" i="36" s="1"/>
  <c r="DG272" i="36" s="1"/>
  <c r="DK271" i="36"/>
  <c r="CW271" i="36"/>
  <c r="BQ271" i="36"/>
  <c r="BP271" i="36"/>
  <c r="BO271" i="36"/>
  <c r="BN271" i="36"/>
  <c r="BM271" i="36"/>
  <c r="BL271" i="36"/>
  <c r="BK271" i="36"/>
  <c r="BJ271" i="36"/>
  <c r="BI271" i="36"/>
  <c r="BH271" i="36"/>
  <c r="BG271" i="36"/>
  <c r="BF271" i="36"/>
  <c r="BE271" i="36"/>
  <c r="BD271" i="36"/>
  <c r="BC271" i="36"/>
  <c r="AY271" i="36"/>
  <c r="CV271" i="36" s="1"/>
  <c r="DI271" i="36" s="1"/>
  <c r="AX271" i="36"/>
  <c r="BY271" i="36" s="1"/>
  <c r="AW271" i="36"/>
  <c r="DK270" i="36"/>
  <c r="CW270" i="36"/>
  <c r="BQ270" i="36"/>
  <c r="BP270" i="36"/>
  <c r="BO270" i="36"/>
  <c r="BN270" i="36"/>
  <c r="BM270" i="36"/>
  <c r="BL270" i="36"/>
  <c r="BK270" i="36"/>
  <c r="BJ270" i="36"/>
  <c r="BI270" i="36"/>
  <c r="BH270" i="36"/>
  <c r="BG270" i="36"/>
  <c r="BF270" i="36"/>
  <c r="BE270" i="36"/>
  <c r="BD270" i="36"/>
  <c r="BC270" i="36"/>
  <c r="AY270" i="36"/>
  <c r="AX270" i="36"/>
  <c r="AW270" i="36"/>
  <c r="DK269" i="36"/>
  <c r="CW269" i="36"/>
  <c r="BQ269" i="36"/>
  <c r="BP269" i="36"/>
  <c r="BO269" i="36"/>
  <c r="BN269" i="36"/>
  <c r="BM269" i="36"/>
  <c r="BL269" i="36"/>
  <c r="BK269" i="36"/>
  <c r="BJ269" i="36"/>
  <c r="BI269" i="36"/>
  <c r="BH269" i="36"/>
  <c r="BG269" i="36"/>
  <c r="BF269" i="36"/>
  <c r="BE269" i="36"/>
  <c r="BD269" i="36"/>
  <c r="BC269" i="36"/>
  <c r="AY269" i="36"/>
  <c r="BZ269" i="36" s="1"/>
  <c r="AX269" i="36"/>
  <c r="AW269" i="36"/>
  <c r="CT269" i="36" s="1"/>
  <c r="DG269" i="36" s="1"/>
  <c r="DK268" i="36"/>
  <c r="CW268" i="36"/>
  <c r="BQ268" i="36"/>
  <c r="BP268" i="36"/>
  <c r="BO268" i="36"/>
  <c r="BN268" i="36"/>
  <c r="BM268" i="36"/>
  <c r="BL268" i="36"/>
  <c r="BK268" i="36"/>
  <c r="BJ268" i="36"/>
  <c r="BI268" i="36"/>
  <c r="BH268" i="36"/>
  <c r="BG268" i="36"/>
  <c r="BF268" i="36"/>
  <c r="BE268" i="36"/>
  <c r="BD268" i="36"/>
  <c r="BC268" i="36"/>
  <c r="AY268" i="36"/>
  <c r="BZ268" i="36" s="1"/>
  <c r="AX268" i="36"/>
  <c r="BY268" i="36" s="1"/>
  <c r="AW268" i="36"/>
  <c r="DK267" i="36"/>
  <c r="CW267" i="36"/>
  <c r="BQ267" i="36"/>
  <c r="BP267" i="36"/>
  <c r="BO267" i="36"/>
  <c r="BN267" i="36"/>
  <c r="BM267" i="36"/>
  <c r="BL267" i="36"/>
  <c r="BK267" i="36"/>
  <c r="BJ267" i="36"/>
  <c r="BI267" i="36"/>
  <c r="BH267" i="36"/>
  <c r="BG267" i="36"/>
  <c r="BF267" i="36"/>
  <c r="BE267" i="36"/>
  <c r="BD267" i="36"/>
  <c r="BC267" i="36"/>
  <c r="AY267" i="36"/>
  <c r="CV267" i="36" s="1"/>
  <c r="DI267" i="36" s="1"/>
  <c r="AX267" i="36"/>
  <c r="CU267" i="36" s="1"/>
  <c r="DH267" i="36" s="1"/>
  <c r="AW267" i="36"/>
  <c r="BX267" i="36" s="1"/>
  <c r="DK266" i="36"/>
  <c r="CW266" i="36"/>
  <c r="BQ266" i="36"/>
  <c r="BP266" i="36"/>
  <c r="BO266" i="36"/>
  <c r="BN266" i="36"/>
  <c r="BM266" i="36"/>
  <c r="BL266" i="36"/>
  <c r="BK266" i="36"/>
  <c r="BJ266" i="36"/>
  <c r="BI266" i="36"/>
  <c r="BH266" i="36"/>
  <c r="BG266" i="36"/>
  <c r="BF266" i="36"/>
  <c r="BE266" i="36"/>
  <c r="BD266" i="36"/>
  <c r="BC266" i="36"/>
  <c r="AY266" i="36"/>
  <c r="BZ266" i="36" s="1"/>
  <c r="AX266" i="36"/>
  <c r="AW266" i="36"/>
  <c r="BX266" i="36" s="1"/>
  <c r="DK265" i="36"/>
  <c r="CW265" i="36"/>
  <c r="BQ265" i="36"/>
  <c r="BP265" i="36"/>
  <c r="BO265" i="36"/>
  <c r="BN265" i="36"/>
  <c r="BM265" i="36"/>
  <c r="BL265" i="36"/>
  <c r="BK265" i="36"/>
  <c r="BJ265" i="36"/>
  <c r="BI265" i="36"/>
  <c r="BH265" i="36"/>
  <c r="BG265" i="36"/>
  <c r="BF265" i="36"/>
  <c r="BE265" i="36"/>
  <c r="BD265" i="36"/>
  <c r="BC265" i="36"/>
  <c r="AY265" i="36"/>
  <c r="BZ265" i="36" s="1"/>
  <c r="AX265" i="36"/>
  <c r="AW265" i="36"/>
  <c r="CT265" i="36" s="1"/>
  <c r="DG265" i="36" s="1"/>
  <c r="DK264" i="36"/>
  <c r="CW264" i="36"/>
  <c r="BQ264" i="36"/>
  <c r="BP264" i="36"/>
  <c r="BO264" i="36"/>
  <c r="BN264" i="36"/>
  <c r="BM264" i="36"/>
  <c r="BL264" i="36"/>
  <c r="BK264" i="36"/>
  <c r="BJ264" i="36"/>
  <c r="BI264" i="36"/>
  <c r="BH264" i="36"/>
  <c r="BG264" i="36"/>
  <c r="BF264" i="36"/>
  <c r="BE264" i="36"/>
  <c r="BD264" i="36"/>
  <c r="BC264" i="36"/>
  <c r="AY264" i="36"/>
  <c r="CV264" i="36" s="1"/>
  <c r="DI264" i="36" s="1"/>
  <c r="AX264" i="36"/>
  <c r="BY264" i="36" s="1"/>
  <c r="AW264" i="36"/>
  <c r="DK263" i="36"/>
  <c r="CW263" i="36"/>
  <c r="BQ263" i="36"/>
  <c r="BP263" i="36"/>
  <c r="BO263" i="36"/>
  <c r="BN263" i="36"/>
  <c r="BM263" i="36"/>
  <c r="BL263" i="36"/>
  <c r="BK263" i="36"/>
  <c r="BJ263" i="36"/>
  <c r="BI263" i="36"/>
  <c r="BH263" i="36"/>
  <c r="BG263" i="36"/>
  <c r="BF263" i="36"/>
  <c r="BE263" i="36"/>
  <c r="BD263" i="36"/>
  <c r="BC263" i="36"/>
  <c r="AY263" i="36"/>
  <c r="CV263" i="36" s="1"/>
  <c r="DI263" i="36" s="1"/>
  <c r="AX263" i="36"/>
  <c r="BY263" i="36" s="1"/>
  <c r="AW263" i="36"/>
  <c r="BX263" i="36" s="1"/>
  <c r="DK262" i="36"/>
  <c r="CW262" i="36"/>
  <c r="BQ262" i="36"/>
  <c r="BP262" i="36"/>
  <c r="BO262" i="36"/>
  <c r="BN262" i="36"/>
  <c r="BM262" i="36"/>
  <c r="BL262" i="36"/>
  <c r="BK262" i="36"/>
  <c r="BJ262" i="36"/>
  <c r="BI262" i="36"/>
  <c r="BH262" i="36"/>
  <c r="BG262" i="36"/>
  <c r="BF262" i="36"/>
  <c r="BE262" i="36"/>
  <c r="BD262" i="36"/>
  <c r="BC262" i="36"/>
  <c r="AY262" i="36"/>
  <c r="AX262" i="36"/>
  <c r="CU262" i="36" s="1"/>
  <c r="DH262" i="36" s="1"/>
  <c r="AW262" i="36"/>
  <c r="CT262" i="36" s="1"/>
  <c r="DG262" i="36" s="1"/>
  <c r="DK261" i="36"/>
  <c r="CW261" i="36"/>
  <c r="BQ261" i="36"/>
  <c r="BP261" i="36"/>
  <c r="BO261" i="36"/>
  <c r="BN261" i="36"/>
  <c r="BM261" i="36"/>
  <c r="BL261" i="36"/>
  <c r="BK261" i="36"/>
  <c r="BJ261" i="36"/>
  <c r="BI261" i="36"/>
  <c r="BH261" i="36"/>
  <c r="BG261" i="36"/>
  <c r="BF261" i="36"/>
  <c r="BE261" i="36"/>
  <c r="BD261" i="36"/>
  <c r="BC261" i="36"/>
  <c r="AY261" i="36"/>
  <c r="AX261" i="36"/>
  <c r="AW261" i="36"/>
  <c r="DK260" i="36"/>
  <c r="CW260" i="36"/>
  <c r="BQ260" i="36"/>
  <c r="BP260" i="36"/>
  <c r="BO260" i="36"/>
  <c r="BN260" i="36"/>
  <c r="BM260" i="36"/>
  <c r="BL260" i="36"/>
  <c r="BK260" i="36"/>
  <c r="BJ260" i="36"/>
  <c r="BI260" i="36"/>
  <c r="BH260" i="36"/>
  <c r="BG260" i="36"/>
  <c r="BF260" i="36"/>
  <c r="BE260" i="36"/>
  <c r="BD260" i="36"/>
  <c r="BC260" i="36"/>
  <c r="AY260" i="36"/>
  <c r="BZ260" i="36" s="1"/>
  <c r="AX260" i="36"/>
  <c r="BY260" i="36" s="1"/>
  <c r="AW260" i="36"/>
  <c r="DK259" i="36"/>
  <c r="CW259" i="36"/>
  <c r="BQ259" i="36"/>
  <c r="BP259" i="36"/>
  <c r="BO259" i="36"/>
  <c r="BN259" i="36"/>
  <c r="BM259" i="36"/>
  <c r="BL259" i="36"/>
  <c r="BK259" i="36"/>
  <c r="BJ259" i="36"/>
  <c r="BI259" i="36"/>
  <c r="BH259" i="36"/>
  <c r="BG259" i="36"/>
  <c r="BF259" i="36"/>
  <c r="BE259" i="36"/>
  <c r="BD259" i="36"/>
  <c r="BC259" i="36"/>
  <c r="AY259" i="36"/>
  <c r="BZ259" i="36" s="1"/>
  <c r="AX259" i="36"/>
  <c r="CU259" i="36" s="1"/>
  <c r="DH259" i="36" s="1"/>
  <c r="AW259" i="36"/>
  <c r="BX259" i="36" s="1"/>
  <c r="DK258" i="36"/>
  <c r="CW258" i="36"/>
  <c r="BQ258" i="36"/>
  <c r="BP258" i="36"/>
  <c r="BO258" i="36"/>
  <c r="BN258" i="36"/>
  <c r="BM258" i="36"/>
  <c r="BL258" i="36"/>
  <c r="BK258" i="36"/>
  <c r="BJ258" i="36"/>
  <c r="BI258" i="36"/>
  <c r="BH258" i="36"/>
  <c r="BG258" i="36"/>
  <c r="BF258" i="36"/>
  <c r="BE258" i="36"/>
  <c r="BD258" i="36"/>
  <c r="BC258" i="36"/>
  <c r="AY258" i="36"/>
  <c r="CV258" i="36" s="1"/>
  <c r="DI258" i="36" s="1"/>
  <c r="AX258" i="36"/>
  <c r="CU258" i="36" s="1"/>
  <c r="DH258" i="36" s="1"/>
  <c r="AW258" i="36"/>
  <c r="BX258" i="36" s="1"/>
  <c r="DK257" i="36"/>
  <c r="CW257" i="36"/>
  <c r="BQ257" i="36"/>
  <c r="BP257" i="36"/>
  <c r="BO257" i="36"/>
  <c r="BN257" i="36"/>
  <c r="BM257" i="36"/>
  <c r="BL257" i="36"/>
  <c r="BK257" i="36"/>
  <c r="BJ257" i="36"/>
  <c r="BI257" i="36"/>
  <c r="BH257" i="36"/>
  <c r="BG257" i="36"/>
  <c r="BF257" i="36"/>
  <c r="BE257" i="36"/>
  <c r="BD257" i="36"/>
  <c r="BC257" i="36"/>
  <c r="AY257" i="36"/>
  <c r="BZ257" i="36" s="1"/>
  <c r="AX257" i="36"/>
  <c r="AW257" i="36"/>
  <c r="BX257" i="36" s="1"/>
  <c r="DK256" i="36"/>
  <c r="CW256" i="36"/>
  <c r="BQ256" i="36"/>
  <c r="BP256" i="36"/>
  <c r="BO256" i="36"/>
  <c r="BN256" i="36"/>
  <c r="BM256" i="36"/>
  <c r="BL256" i="36"/>
  <c r="BK256" i="36"/>
  <c r="BJ256" i="36"/>
  <c r="BI256" i="36"/>
  <c r="BH256" i="36"/>
  <c r="BG256" i="36"/>
  <c r="BF256" i="36"/>
  <c r="BE256" i="36"/>
  <c r="BD256" i="36"/>
  <c r="BC256" i="36"/>
  <c r="AY256" i="36"/>
  <c r="CV256" i="36" s="1"/>
  <c r="DI256" i="36" s="1"/>
  <c r="AX256" i="36"/>
  <c r="AW256" i="36"/>
  <c r="BX256" i="36" s="1"/>
  <c r="DK255" i="36"/>
  <c r="CW255" i="36"/>
  <c r="BQ255" i="36"/>
  <c r="BP255" i="36"/>
  <c r="BO255" i="36"/>
  <c r="BN255" i="36"/>
  <c r="BM255" i="36"/>
  <c r="BL255" i="36"/>
  <c r="BK255" i="36"/>
  <c r="BJ255" i="36"/>
  <c r="BI255" i="36"/>
  <c r="BH255" i="36"/>
  <c r="BG255" i="36"/>
  <c r="BF255" i="36"/>
  <c r="BE255" i="36"/>
  <c r="BD255" i="36"/>
  <c r="BC255" i="36"/>
  <c r="AY255" i="36"/>
  <c r="CV255" i="36" s="1"/>
  <c r="DI255" i="36" s="1"/>
  <c r="AX255" i="36"/>
  <c r="BY255" i="36" s="1"/>
  <c r="AW255" i="36"/>
  <c r="DK254" i="36"/>
  <c r="CW254" i="36"/>
  <c r="BQ254" i="36"/>
  <c r="BP254" i="36"/>
  <c r="BO254" i="36"/>
  <c r="BN254" i="36"/>
  <c r="BM254" i="36"/>
  <c r="BL254" i="36"/>
  <c r="BK254" i="36"/>
  <c r="BJ254" i="36"/>
  <c r="BI254" i="36"/>
  <c r="BH254" i="36"/>
  <c r="BG254" i="36"/>
  <c r="BF254" i="36"/>
  <c r="BE254" i="36"/>
  <c r="BD254" i="36"/>
  <c r="BC254" i="36"/>
  <c r="AY254" i="36"/>
  <c r="AX254" i="36"/>
  <c r="CU254" i="36" s="1"/>
  <c r="DH254" i="36" s="1"/>
  <c r="AW254" i="36"/>
  <c r="CT254" i="36" s="1"/>
  <c r="DG254" i="36" s="1"/>
  <c r="DK253" i="36"/>
  <c r="CW253" i="36"/>
  <c r="BQ253" i="36"/>
  <c r="BP253" i="36"/>
  <c r="BO253" i="36"/>
  <c r="BN253" i="36"/>
  <c r="BM253" i="36"/>
  <c r="BL253" i="36"/>
  <c r="BK253" i="36"/>
  <c r="BJ253" i="36"/>
  <c r="BI253" i="36"/>
  <c r="BH253" i="36"/>
  <c r="BG253" i="36"/>
  <c r="BF253" i="36"/>
  <c r="BE253" i="36"/>
  <c r="BD253" i="36"/>
  <c r="BC253" i="36"/>
  <c r="AY253" i="36"/>
  <c r="BZ253" i="36" s="1"/>
  <c r="AX253" i="36"/>
  <c r="BY253" i="36" s="1"/>
  <c r="AW253" i="36"/>
  <c r="DK252" i="36"/>
  <c r="CW252" i="36"/>
  <c r="BQ252" i="36"/>
  <c r="BP252" i="36"/>
  <c r="BO252" i="36"/>
  <c r="BN252" i="36"/>
  <c r="BM252" i="36"/>
  <c r="BL252" i="36"/>
  <c r="BK252" i="36"/>
  <c r="BJ252" i="36"/>
  <c r="BI252" i="36"/>
  <c r="BH252" i="36"/>
  <c r="BG252" i="36"/>
  <c r="BF252" i="36"/>
  <c r="BE252" i="36"/>
  <c r="BD252" i="36"/>
  <c r="BC252" i="36"/>
  <c r="AY252" i="36"/>
  <c r="BZ252" i="36" s="1"/>
  <c r="AX252" i="36"/>
  <c r="BY252" i="36" s="1"/>
  <c r="AW252" i="36"/>
  <c r="DK251" i="36"/>
  <c r="CW251" i="36"/>
  <c r="BQ251" i="36"/>
  <c r="BP251" i="36"/>
  <c r="BO251" i="36"/>
  <c r="BN251" i="36"/>
  <c r="BM251" i="36"/>
  <c r="BL251" i="36"/>
  <c r="BK251" i="36"/>
  <c r="BJ251" i="36"/>
  <c r="BI251" i="36"/>
  <c r="BH251" i="36"/>
  <c r="BG251" i="36"/>
  <c r="BF251" i="36"/>
  <c r="BE251" i="36"/>
  <c r="BD251" i="36"/>
  <c r="BC251" i="36"/>
  <c r="AY251" i="36"/>
  <c r="CV251" i="36" s="1"/>
  <c r="DI251" i="36" s="1"/>
  <c r="AX251" i="36"/>
  <c r="CU251" i="36" s="1"/>
  <c r="DH251" i="36" s="1"/>
  <c r="AW251" i="36"/>
  <c r="BX251" i="36" s="1"/>
  <c r="DK250" i="36"/>
  <c r="CW250" i="36"/>
  <c r="BQ250" i="36"/>
  <c r="BP250" i="36"/>
  <c r="BO250" i="36"/>
  <c r="BN250" i="36"/>
  <c r="BM250" i="36"/>
  <c r="BL250" i="36"/>
  <c r="BK250" i="36"/>
  <c r="BJ250" i="36"/>
  <c r="BI250" i="36"/>
  <c r="BH250" i="36"/>
  <c r="BG250" i="36"/>
  <c r="BF250" i="36"/>
  <c r="BE250" i="36"/>
  <c r="BD250" i="36"/>
  <c r="BC250" i="36"/>
  <c r="AY250" i="36"/>
  <c r="CV250" i="36" s="1"/>
  <c r="DI250" i="36" s="1"/>
  <c r="AX250" i="36"/>
  <c r="AW250" i="36"/>
  <c r="DK249" i="36"/>
  <c r="CW249" i="36"/>
  <c r="BQ249" i="36"/>
  <c r="BP249" i="36"/>
  <c r="BO249" i="36"/>
  <c r="BN249" i="36"/>
  <c r="BM249" i="36"/>
  <c r="BL249" i="36"/>
  <c r="BK249" i="36"/>
  <c r="BJ249" i="36"/>
  <c r="BI249" i="36"/>
  <c r="BH249" i="36"/>
  <c r="BG249" i="36"/>
  <c r="BF249" i="36"/>
  <c r="BE249" i="36"/>
  <c r="BD249" i="36"/>
  <c r="BC249" i="36"/>
  <c r="AY249" i="36"/>
  <c r="BZ249" i="36" s="1"/>
  <c r="AX249" i="36"/>
  <c r="AW249" i="36"/>
  <c r="CT249" i="36" s="1"/>
  <c r="DG249" i="36" s="1"/>
  <c r="DK248" i="36"/>
  <c r="CW248" i="36"/>
  <c r="BQ248" i="36"/>
  <c r="BP248" i="36"/>
  <c r="BO248" i="36"/>
  <c r="BN248" i="36"/>
  <c r="BM248" i="36"/>
  <c r="BL248" i="36"/>
  <c r="BK248" i="36"/>
  <c r="BJ248" i="36"/>
  <c r="BI248" i="36"/>
  <c r="BH248" i="36"/>
  <c r="BG248" i="36"/>
  <c r="BF248" i="36"/>
  <c r="BE248" i="36"/>
  <c r="BD248" i="36"/>
  <c r="BC248" i="36"/>
  <c r="AY248" i="36"/>
  <c r="CV248" i="36" s="1"/>
  <c r="DI248" i="36" s="1"/>
  <c r="AX248" i="36"/>
  <c r="AW248" i="36"/>
  <c r="BX248" i="36" s="1"/>
  <c r="DK247" i="36"/>
  <c r="CW247" i="36"/>
  <c r="BQ247" i="36"/>
  <c r="BP247" i="36"/>
  <c r="BO247" i="36"/>
  <c r="BN247" i="36"/>
  <c r="BM247" i="36"/>
  <c r="BL247" i="36"/>
  <c r="BK247" i="36"/>
  <c r="BJ247" i="36"/>
  <c r="BI247" i="36"/>
  <c r="BH247" i="36"/>
  <c r="BG247" i="36"/>
  <c r="BF247" i="36"/>
  <c r="BE247" i="36"/>
  <c r="BD247" i="36"/>
  <c r="BC247" i="36"/>
  <c r="AY247" i="36"/>
  <c r="CV247" i="36" s="1"/>
  <c r="DI247" i="36" s="1"/>
  <c r="AX247" i="36"/>
  <c r="BY247" i="36" s="1"/>
  <c r="AW247" i="36"/>
  <c r="BX247" i="36" s="1"/>
  <c r="DK246" i="36"/>
  <c r="CW246" i="36"/>
  <c r="BQ246" i="36"/>
  <c r="BP246" i="36"/>
  <c r="BO246" i="36"/>
  <c r="BN246" i="36"/>
  <c r="BM246" i="36"/>
  <c r="BL246" i="36"/>
  <c r="BK246" i="36"/>
  <c r="BJ246" i="36"/>
  <c r="BI246" i="36"/>
  <c r="BH246" i="36"/>
  <c r="BG246" i="36"/>
  <c r="BF246" i="36"/>
  <c r="BE246" i="36"/>
  <c r="BD246" i="36"/>
  <c r="BC246" i="36"/>
  <c r="AY246" i="36"/>
  <c r="AX246" i="36"/>
  <c r="CU246" i="36" s="1"/>
  <c r="DH246" i="36" s="1"/>
  <c r="AW246" i="36"/>
  <c r="DK245" i="36"/>
  <c r="CW245" i="36"/>
  <c r="BQ245" i="36"/>
  <c r="BP245" i="36"/>
  <c r="BO245" i="36"/>
  <c r="BN245" i="36"/>
  <c r="BM245" i="36"/>
  <c r="BL245" i="36"/>
  <c r="BK245" i="36"/>
  <c r="BJ245" i="36"/>
  <c r="BI245" i="36"/>
  <c r="BH245" i="36"/>
  <c r="BG245" i="36"/>
  <c r="BF245" i="36"/>
  <c r="BE245" i="36"/>
  <c r="BD245" i="36"/>
  <c r="BC245" i="36"/>
  <c r="AY245" i="36"/>
  <c r="AX245" i="36"/>
  <c r="BY245" i="36" s="1"/>
  <c r="AW245" i="36"/>
  <c r="CT245" i="36" s="1"/>
  <c r="DG245" i="36" s="1"/>
  <c r="DK244" i="36"/>
  <c r="CW244" i="36"/>
  <c r="BQ244" i="36"/>
  <c r="BP244" i="36"/>
  <c r="BO244" i="36"/>
  <c r="BN244" i="36"/>
  <c r="BM244" i="36"/>
  <c r="BL244" i="36"/>
  <c r="BK244" i="36"/>
  <c r="BJ244" i="36"/>
  <c r="BI244" i="36"/>
  <c r="BH244" i="36"/>
  <c r="BG244" i="36"/>
  <c r="BF244" i="36"/>
  <c r="BE244" i="36"/>
  <c r="BD244" i="36"/>
  <c r="BC244" i="36"/>
  <c r="AY244" i="36"/>
  <c r="BZ244" i="36" s="1"/>
  <c r="AX244" i="36"/>
  <c r="BY244" i="36" s="1"/>
  <c r="AW244" i="36"/>
  <c r="DK243" i="36"/>
  <c r="CW243" i="36"/>
  <c r="BQ243" i="36"/>
  <c r="BP243" i="36"/>
  <c r="BO243" i="36"/>
  <c r="BN243" i="36"/>
  <c r="BM243" i="36"/>
  <c r="BL243" i="36"/>
  <c r="BK243" i="36"/>
  <c r="BJ243" i="36"/>
  <c r="BI243" i="36"/>
  <c r="BH243" i="36"/>
  <c r="BG243" i="36"/>
  <c r="BF243" i="36"/>
  <c r="BE243" i="36"/>
  <c r="BD243" i="36"/>
  <c r="BC243" i="36"/>
  <c r="AY243" i="36"/>
  <c r="AX243" i="36"/>
  <c r="CU243" i="36" s="1"/>
  <c r="DH243" i="36" s="1"/>
  <c r="AW243" i="36"/>
  <c r="DK242" i="36"/>
  <c r="CW242" i="36"/>
  <c r="BQ242" i="36"/>
  <c r="BP242" i="36"/>
  <c r="BO242" i="36"/>
  <c r="BN242" i="36"/>
  <c r="BM242" i="36"/>
  <c r="BL242" i="36"/>
  <c r="BK242" i="36"/>
  <c r="BJ242" i="36"/>
  <c r="BI242" i="36"/>
  <c r="BH242" i="36"/>
  <c r="BG242" i="36"/>
  <c r="BF242" i="36"/>
  <c r="BE242" i="36"/>
  <c r="BD242" i="36"/>
  <c r="BC242" i="36"/>
  <c r="AY242" i="36"/>
  <c r="CV242" i="36" s="1"/>
  <c r="DI242" i="36" s="1"/>
  <c r="AX242" i="36"/>
  <c r="AW242" i="36"/>
  <c r="BX242" i="36" s="1"/>
  <c r="DK241" i="36"/>
  <c r="CW241" i="36"/>
  <c r="BQ241" i="36"/>
  <c r="BP241" i="36"/>
  <c r="BO241" i="36"/>
  <c r="BN241" i="36"/>
  <c r="BM241" i="36"/>
  <c r="BL241" i="36"/>
  <c r="BK241" i="36"/>
  <c r="BJ241" i="36"/>
  <c r="BI241" i="36"/>
  <c r="BH241" i="36"/>
  <c r="BG241" i="36"/>
  <c r="BF241" i="36"/>
  <c r="BE241" i="36"/>
  <c r="BD241" i="36"/>
  <c r="BC241" i="36"/>
  <c r="AY241" i="36"/>
  <c r="AX241" i="36"/>
  <c r="AW241" i="36"/>
  <c r="CT241" i="36" s="1"/>
  <c r="DG241" i="36" s="1"/>
  <c r="DK240" i="36"/>
  <c r="CW240" i="36"/>
  <c r="BQ240" i="36"/>
  <c r="BP240" i="36"/>
  <c r="BO240" i="36"/>
  <c r="BN240" i="36"/>
  <c r="BM240" i="36"/>
  <c r="BL240" i="36"/>
  <c r="BK240" i="36"/>
  <c r="BJ240" i="36"/>
  <c r="BI240" i="36"/>
  <c r="BH240" i="36"/>
  <c r="BG240" i="36"/>
  <c r="BF240" i="36"/>
  <c r="BE240" i="36"/>
  <c r="BD240" i="36"/>
  <c r="BC240" i="36"/>
  <c r="AY240" i="36"/>
  <c r="CV240" i="36" s="1"/>
  <c r="DI240" i="36" s="1"/>
  <c r="AX240" i="36"/>
  <c r="AW240" i="36"/>
  <c r="BX240" i="36" s="1"/>
  <c r="DK239" i="36"/>
  <c r="CW239" i="36"/>
  <c r="BQ239" i="36"/>
  <c r="BP239" i="36"/>
  <c r="BO239" i="36"/>
  <c r="BN239" i="36"/>
  <c r="BM239" i="36"/>
  <c r="BL239" i="36"/>
  <c r="BK239" i="36"/>
  <c r="BJ239" i="36"/>
  <c r="BI239" i="36"/>
  <c r="BH239" i="36"/>
  <c r="BG239" i="36"/>
  <c r="BF239" i="36"/>
  <c r="BE239" i="36"/>
  <c r="BD239" i="36"/>
  <c r="BC239" i="36"/>
  <c r="AY239" i="36"/>
  <c r="CV239" i="36" s="1"/>
  <c r="DI239" i="36" s="1"/>
  <c r="AX239" i="36"/>
  <c r="BY239" i="36" s="1"/>
  <c r="AW239" i="36"/>
  <c r="DK238" i="36"/>
  <c r="CW238" i="36"/>
  <c r="BQ238" i="36"/>
  <c r="BP238" i="36"/>
  <c r="BO238" i="36"/>
  <c r="BN238" i="36"/>
  <c r="BM238" i="36"/>
  <c r="BL238" i="36"/>
  <c r="BK238" i="36"/>
  <c r="BJ238" i="36"/>
  <c r="BI238" i="36"/>
  <c r="BH238" i="36"/>
  <c r="BG238" i="36"/>
  <c r="BF238" i="36"/>
  <c r="BE238" i="36"/>
  <c r="BD238" i="36"/>
  <c r="BC238" i="36"/>
  <c r="AY238" i="36"/>
  <c r="AX238" i="36"/>
  <c r="AW238" i="36"/>
  <c r="CT238" i="36" s="1"/>
  <c r="DG238" i="36" s="1"/>
  <c r="DK237" i="36"/>
  <c r="CW237" i="36"/>
  <c r="BQ237" i="36"/>
  <c r="BP237" i="36"/>
  <c r="BO237" i="36"/>
  <c r="BN237" i="36"/>
  <c r="BM237" i="36"/>
  <c r="BL237" i="36"/>
  <c r="BK237" i="36"/>
  <c r="BJ237" i="36"/>
  <c r="BI237" i="36"/>
  <c r="BH237" i="36"/>
  <c r="BG237" i="36"/>
  <c r="BF237" i="36"/>
  <c r="BE237" i="36"/>
  <c r="BD237" i="36"/>
  <c r="BC237" i="36"/>
  <c r="AY237" i="36"/>
  <c r="BZ237" i="36" s="1"/>
  <c r="AX237" i="36"/>
  <c r="CU237" i="36" s="1"/>
  <c r="DH237" i="36" s="1"/>
  <c r="AW237" i="36"/>
  <c r="DK236" i="36"/>
  <c r="CW236" i="36"/>
  <c r="BQ236" i="36"/>
  <c r="BP236" i="36"/>
  <c r="BO236" i="36"/>
  <c r="BN236" i="36"/>
  <c r="BM236" i="36"/>
  <c r="BL236" i="36"/>
  <c r="BK236" i="36"/>
  <c r="BJ236" i="36"/>
  <c r="BI236" i="36"/>
  <c r="BH236" i="36"/>
  <c r="BG236" i="36"/>
  <c r="BF236" i="36"/>
  <c r="BE236" i="36"/>
  <c r="BD236" i="36"/>
  <c r="BC236" i="36"/>
  <c r="AY236" i="36"/>
  <c r="AX236" i="36"/>
  <c r="BY236" i="36" s="1"/>
  <c r="AW236" i="36"/>
  <c r="DK235" i="36"/>
  <c r="CW235" i="36"/>
  <c r="BQ235" i="36"/>
  <c r="BP235" i="36"/>
  <c r="BO235" i="36"/>
  <c r="BN235" i="36"/>
  <c r="BM235" i="36"/>
  <c r="BL235" i="36"/>
  <c r="BK235" i="36"/>
  <c r="BJ235" i="36"/>
  <c r="BI235" i="36"/>
  <c r="BH235" i="36"/>
  <c r="BG235" i="36"/>
  <c r="BF235" i="36"/>
  <c r="BE235" i="36"/>
  <c r="BD235" i="36"/>
  <c r="BC235" i="36"/>
  <c r="AY235" i="36"/>
  <c r="BZ235" i="36" s="1"/>
  <c r="AX235" i="36"/>
  <c r="BY235" i="36" s="1"/>
  <c r="AW235" i="36"/>
  <c r="BX235" i="36" s="1"/>
  <c r="DK234" i="36"/>
  <c r="CW234" i="36"/>
  <c r="BQ234" i="36"/>
  <c r="BP234" i="36"/>
  <c r="BO234" i="36"/>
  <c r="BN234" i="36"/>
  <c r="BM234" i="36"/>
  <c r="BL234" i="36"/>
  <c r="BK234" i="36"/>
  <c r="BJ234" i="36"/>
  <c r="BI234" i="36"/>
  <c r="BH234" i="36"/>
  <c r="BG234" i="36"/>
  <c r="BF234" i="36"/>
  <c r="BE234" i="36"/>
  <c r="BD234" i="36"/>
  <c r="BC234" i="36"/>
  <c r="AY234" i="36"/>
  <c r="CV234" i="36" s="1"/>
  <c r="DI234" i="36" s="1"/>
  <c r="AX234" i="36"/>
  <c r="CU234" i="36" s="1"/>
  <c r="DH234" i="36" s="1"/>
  <c r="AW234" i="36"/>
  <c r="BX234" i="36" s="1"/>
  <c r="DK233" i="36"/>
  <c r="CW233" i="36"/>
  <c r="BQ233" i="36"/>
  <c r="BP233" i="36"/>
  <c r="BO233" i="36"/>
  <c r="BN233" i="36"/>
  <c r="BM233" i="36"/>
  <c r="BL233" i="36"/>
  <c r="BK233" i="36"/>
  <c r="BJ233" i="36"/>
  <c r="BI233" i="36"/>
  <c r="BH233" i="36"/>
  <c r="BG233" i="36"/>
  <c r="BF233" i="36"/>
  <c r="BE233" i="36"/>
  <c r="BD233" i="36"/>
  <c r="BC233" i="36"/>
  <c r="AY233" i="36"/>
  <c r="AX233" i="36"/>
  <c r="AW233" i="36"/>
  <c r="CT233" i="36" s="1"/>
  <c r="DG233" i="36" s="1"/>
  <c r="DK232" i="36"/>
  <c r="CW232" i="36"/>
  <c r="BQ232" i="36"/>
  <c r="BP232" i="36"/>
  <c r="BO232" i="36"/>
  <c r="BN232" i="36"/>
  <c r="BM232" i="36"/>
  <c r="BL232" i="36"/>
  <c r="BK232" i="36"/>
  <c r="BJ232" i="36"/>
  <c r="BI232" i="36"/>
  <c r="BH232" i="36"/>
  <c r="BG232" i="36"/>
  <c r="BF232" i="36"/>
  <c r="BE232" i="36"/>
  <c r="BD232" i="36"/>
  <c r="BC232" i="36"/>
  <c r="AY232" i="36"/>
  <c r="BZ232" i="36" s="1"/>
  <c r="AX232" i="36"/>
  <c r="AW232" i="36"/>
  <c r="BX232" i="36" s="1"/>
  <c r="DK231" i="36"/>
  <c r="CW231" i="36"/>
  <c r="BQ231" i="36"/>
  <c r="BP231" i="36"/>
  <c r="BO231" i="36"/>
  <c r="BN231" i="36"/>
  <c r="BM231" i="36"/>
  <c r="BL231" i="36"/>
  <c r="BK231" i="36"/>
  <c r="BJ231" i="36"/>
  <c r="BI231" i="36"/>
  <c r="BH231" i="36"/>
  <c r="BG231" i="36"/>
  <c r="BF231" i="36"/>
  <c r="BE231" i="36"/>
  <c r="BD231" i="36"/>
  <c r="BC231" i="36"/>
  <c r="AY231" i="36"/>
  <c r="CV231" i="36" s="1"/>
  <c r="DI231" i="36" s="1"/>
  <c r="AX231" i="36"/>
  <c r="AW231" i="36"/>
  <c r="BX231" i="36" s="1"/>
  <c r="DK230" i="36"/>
  <c r="CW230" i="36"/>
  <c r="BQ230" i="36"/>
  <c r="BP230" i="36"/>
  <c r="BO230" i="36"/>
  <c r="BN230" i="36"/>
  <c r="BM230" i="36"/>
  <c r="BL230" i="36"/>
  <c r="BK230" i="36"/>
  <c r="BJ230" i="36"/>
  <c r="BI230" i="36"/>
  <c r="BH230" i="36"/>
  <c r="BG230" i="36"/>
  <c r="BF230" i="36"/>
  <c r="BE230" i="36"/>
  <c r="BD230" i="36"/>
  <c r="BC230" i="36"/>
  <c r="AY230" i="36"/>
  <c r="CV230" i="36" s="1"/>
  <c r="DI230" i="36" s="1"/>
  <c r="AX230" i="36"/>
  <c r="CU230" i="36" s="1"/>
  <c r="DH230" i="36" s="1"/>
  <c r="AW230" i="36"/>
  <c r="BX230" i="36" s="1"/>
  <c r="DK229" i="36"/>
  <c r="CW229" i="36"/>
  <c r="BQ229" i="36"/>
  <c r="BP229" i="36"/>
  <c r="BO229" i="36"/>
  <c r="BN229" i="36"/>
  <c r="BM229" i="36"/>
  <c r="BL229" i="36"/>
  <c r="BK229" i="36"/>
  <c r="BJ229" i="36"/>
  <c r="BI229" i="36"/>
  <c r="BH229" i="36"/>
  <c r="BG229" i="36"/>
  <c r="BF229" i="36"/>
  <c r="BE229" i="36"/>
  <c r="BD229" i="36"/>
  <c r="BC229" i="36"/>
  <c r="AY229" i="36"/>
  <c r="CV229" i="36" s="1"/>
  <c r="DI229" i="36" s="1"/>
  <c r="AX229" i="36"/>
  <c r="CU229" i="36" s="1"/>
  <c r="DH229" i="36" s="1"/>
  <c r="AW229" i="36"/>
  <c r="DK228" i="36"/>
  <c r="CW228" i="36"/>
  <c r="BQ228" i="36"/>
  <c r="BP228" i="36"/>
  <c r="BO228" i="36"/>
  <c r="BN228" i="36"/>
  <c r="BM228" i="36"/>
  <c r="BL228" i="36"/>
  <c r="BK228" i="36"/>
  <c r="BJ228" i="36"/>
  <c r="BI228" i="36"/>
  <c r="BH228" i="36"/>
  <c r="BG228" i="36"/>
  <c r="BF228" i="36"/>
  <c r="BE228" i="36"/>
  <c r="BD228" i="36"/>
  <c r="BC228" i="36"/>
  <c r="AY228" i="36"/>
  <c r="CV228" i="36" s="1"/>
  <c r="DI228" i="36" s="1"/>
  <c r="AX228" i="36"/>
  <c r="CU228" i="36" s="1"/>
  <c r="DH228" i="36" s="1"/>
  <c r="AW228" i="36"/>
  <c r="DK227" i="36"/>
  <c r="CW227" i="36"/>
  <c r="BQ227" i="36"/>
  <c r="BP227" i="36"/>
  <c r="BO227" i="36"/>
  <c r="BN227" i="36"/>
  <c r="BM227" i="36"/>
  <c r="BL227" i="36"/>
  <c r="BK227" i="36"/>
  <c r="BJ227" i="36"/>
  <c r="BI227" i="36"/>
  <c r="BH227" i="36"/>
  <c r="BG227" i="36"/>
  <c r="BF227" i="36"/>
  <c r="BE227" i="36"/>
  <c r="BD227" i="36"/>
  <c r="BC227" i="36"/>
  <c r="AY227" i="36"/>
  <c r="AX227" i="36"/>
  <c r="CU227" i="36" s="1"/>
  <c r="DH227" i="36" s="1"/>
  <c r="AW227" i="36"/>
  <c r="BX227" i="36" s="1"/>
  <c r="DK226" i="36"/>
  <c r="CW226" i="36"/>
  <c r="BQ226" i="36"/>
  <c r="BP226" i="36"/>
  <c r="BO226" i="36"/>
  <c r="BN226" i="36"/>
  <c r="BM226" i="36"/>
  <c r="BL226" i="36"/>
  <c r="BK226" i="36"/>
  <c r="BJ226" i="36"/>
  <c r="BI226" i="36"/>
  <c r="BH226" i="36"/>
  <c r="BG226" i="36"/>
  <c r="BF226" i="36"/>
  <c r="BE226" i="36"/>
  <c r="BD226" i="36"/>
  <c r="BC226" i="36"/>
  <c r="AY226" i="36"/>
  <c r="BZ226" i="36" s="1"/>
  <c r="AX226" i="36"/>
  <c r="AW226" i="36"/>
  <c r="DK225" i="36"/>
  <c r="CW225" i="36"/>
  <c r="BQ225" i="36"/>
  <c r="BP225" i="36"/>
  <c r="BO225" i="36"/>
  <c r="BN225" i="36"/>
  <c r="BM225" i="36"/>
  <c r="BL225" i="36"/>
  <c r="BK225" i="36"/>
  <c r="BJ225" i="36"/>
  <c r="BI225" i="36"/>
  <c r="BH225" i="36"/>
  <c r="BG225" i="36"/>
  <c r="BF225" i="36"/>
  <c r="BE225" i="36"/>
  <c r="BD225" i="36"/>
  <c r="BC225" i="36"/>
  <c r="AY225" i="36"/>
  <c r="CV225" i="36" s="1"/>
  <c r="DI225" i="36" s="1"/>
  <c r="AX225" i="36"/>
  <c r="BY225" i="36" s="1"/>
  <c r="AW225" i="36"/>
  <c r="BX225" i="36" s="1"/>
  <c r="DK224" i="36"/>
  <c r="CW224" i="36"/>
  <c r="BQ224" i="36"/>
  <c r="BP224" i="36"/>
  <c r="BO224" i="36"/>
  <c r="BN224" i="36"/>
  <c r="BM224" i="36"/>
  <c r="BL224" i="36"/>
  <c r="BK224" i="36"/>
  <c r="BJ224" i="36"/>
  <c r="BI224" i="36"/>
  <c r="BH224" i="36"/>
  <c r="BG224" i="36"/>
  <c r="BF224" i="36"/>
  <c r="BE224" i="36"/>
  <c r="BD224" i="36"/>
  <c r="BC224" i="36"/>
  <c r="AY224" i="36"/>
  <c r="CV224" i="36" s="1"/>
  <c r="DI224" i="36" s="1"/>
  <c r="AX224" i="36"/>
  <c r="AW224" i="36"/>
  <c r="CT224" i="36" s="1"/>
  <c r="DG224" i="36" s="1"/>
  <c r="DK223" i="36"/>
  <c r="CW223" i="36"/>
  <c r="BQ223" i="36"/>
  <c r="BP223" i="36"/>
  <c r="BO223" i="36"/>
  <c r="BN223" i="36"/>
  <c r="BM223" i="36"/>
  <c r="BL223" i="36"/>
  <c r="BK223" i="36"/>
  <c r="BJ223" i="36"/>
  <c r="BI223" i="36"/>
  <c r="BH223" i="36"/>
  <c r="BG223" i="36"/>
  <c r="BF223" i="36"/>
  <c r="BE223" i="36"/>
  <c r="BD223" i="36"/>
  <c r="BC223" i="36"/>
  <c r="AY223" i="36"/>
  <c r="BZ223" i="36" s="1"/>
  <c r="AX223" i="36"/>
  <c r="CU223" i="36" s="1"/>
  <c r="DH223" i="36" s="1"/>
  <c r="AW223" i="36"/>
  <c r="CT223" i="36" s="1"/>
  <c r="DG223" i="36" s="1"/>
  <c r="DK222" i="36"/>
  <c r="CW222" i="36"/>
  <c r="BQ222" i="36"/>
  <c r="BP222" i="36"/>
  <c r="BO222" i="36"/>
  <c r="BN222" i="36"/>
  <c r="BM222" i="36"/>
  <c r="BL222" i="36"/>
  <c r="BK222" i="36"/>
  <c r="BJ222" i="36"/>
  <c r="BI222" i="36"/>
  <c r="BH222" i="36"/>
  <c r="BG222" i="36"/>
  <c r="BF222" i="36"/>
  <c r="BE222" i="36"/>
  <c r="BD222" i="36"/>
  <c r="BC222" i="36"/>
  <c r="AY222" i="36"/>
  <c r="AX222" i="36"/>
  <c r="CU222" i="36" s="1"/>
  <c r="DH222" i="36" s="1"/>
  <c r="AW222" i="36"/>
  <c r="CT222" i="36" s="1"/>
  <c r="DG222" i="36" s="1"/>
  <c r="DK221" i="36"/>
  <c r="CW221" i="36"/>
  <c r="BQ221" i="36"/>
  <c r="BP221" i="36"/>
  <c r="BO221" i="36"/>
  <c r="BN221" i="36"/>
  <c r="BM221" i="36"/>
  <c r="BL221" i="36"/>
  <c r="BK221" i="36"/>
  <c r="BJ221" i="36"/>
  <c r="BI221" i="36"/>
  <c r="BH221" i="36"/>
  <c r="BG221" i="36"/>
  <c r="BF221" i="36"/>
  <c r="BE221" i="36"/>
  <c r="BD221" i="36"/>
  <c r="BC221" i="36"/>
  <c r="AY221" i="36"/>
  <c r="BZ221" i="36" s="1"/>
  <c r="AX221" i="36"/>
  <c r="AW221" i="36"/>
  <c r="DK220" i="36"/>
  <c r="CW220" i="36"/>
  <c r="BQ220" i="36"/>
  <c r="BP220" i="36"/>
  <c r="BO220" i="36"/>
  <c r="BN220" i="36"/>
  <c r="BM220" i="36"/>
  <c r="BL220" i="36"/>
  <c r="BK220" i="36"/>
  <c r="BJ220" i="36"/>
  <c r="BI220" i="36"/>
  <c r="BH220" i="36"/>
  <c r="BG220" i="36"/>
  <c r="BF220" i="36"/>
  <c r="BE220" i="36"/>
  <c r="BD220" i="36"/>
  <c r="BC220" i="36"/>
  <c r="AY220" i="36"/>
  <c r="AX220" i="36"/>
  <c r="CU220" i="36" s="1"/>
  <c r="DH220" i="36" s="1"/>
  <c r="AW220" i="36"/>
  <c r="BX220" i="36" s="1"/>
  <c r="DK219" i="36"/>
  <c r="CW219" i="36"/>
  <c r="BQ219" i="36"/>
  <c r="BP219" i="36"/>
  <c r="BO219" i="36"/>
  <c r="BN219" i="36"/>
  <c r="BM219" i="36"/>
  <c r="BL219" i="36"/>
  <c r="BK219" i="36"/>
  <c r="BJ219" i="36"/>
  <c r="BI219" i="36"/>
  <c r="BH219" i="36"/>
  <c r="BG219" i="36"/>
  <c r="BF219" i="36"/>
  <c r="BE219" i="36"/>
  <c r="BD219" i="36"/>
  <c r="BC219" i="36"/>
  <c r="AY219" i="36"/>
  <c r="AX219" i="36"/>
  <c r="AW219" i="36"/>
  <c r="BX219" i="36" s="1"/>
  <c r="DK218" i="36"/>
  <c r="CW218" i="36"/>
  <c r="BQ218" i="36"/>
  <c r="BP218" i="36"/>
  <c r="BO218" i="36"/>
  <c r="BN218" i="36"/>
  <c r="BM218" i="36"/>
  <c r="BL218" i="36"/>
  <c r="BK218" i="36"/>
  <c r="BJ218" i="36"/>
  <c r="BI218" i="36"/>
  <c r="BH218" i="36"/>
  <c r="BG218" i="36"/>
  <c r="BF218" i="36"/>
  <c r="BE218" i="36"/>
  <c r="BD218" i="36"/>
  <c r="BC218" i="36"/>
  <c r="AY218" i="36"/>
  <c r="CV218" i="36" s="1"/>
  <c r="DI218" i="36" s="1"/>
  <c r="AX218" i="36"/>
  <c r="BY218" i="36" s="1"/>
  <c r="AW218" i="36"/>
  <c r="CT218" i="36" s="1"/>
  <c r="DG218" i="36" s="1"/>
  <c r="DK217" i="36"/>
  <c r="CW217" i="36"/>
  <c r="BQ217" i="36"/>
  <c r="BP217" i="36"/>
  <c r="BO217" i="36"/>
  <c r="BN217" i="36"/>
  <c r="BM217" i="36"/>
  <c r="BL217" i="36"/>
  <c r="BK217" i="36"/>
  <c r="BJ217" i="36"/>
  <c r="BI217" i="36"/>
  <c r="BH217" i="36"/>
  <c r="BG217" i="36"/>
  <c r="BF217" i="36"/>
  <c r="BE217" i="36"/>
  <c r="BD217" i="36"/>
  <c r="BC217" i="36"/>
  <c r="AY217" i="36"/>
  <c r="CV217" i="36" s="1"/>
  <c r="DI217" i="36" s="1"/>
  <c r="AX217" i="36"/>
  <c r="BY217" i="36" s="1"/>
  <c r="AW217" i="36"/>
  <c r="DK216" i="36"/>
  <c r="CW216" i="36"/>
  <c r="BQ216" i="36"/>
  <c r="BP216" i="36"/>
  <c r="BO216" i="36"/>
  <c r="BN216" i="36"/>
  <c r="BM216" i="36"/>
  <c r="BL216" i="36"/>
  <c r="BK216" i="36"/>
  <c r="BJ216" i="36"/>
  <c r="BI216" i="36"/>
  <c r="BH216" i="36"/>
  <c r="BG216" i="36"/>
  <c r="BF216" i="36"/>
  <c r="BE216" i="36"/>
  <c r="BD216" i="36"/>
  <c r="BC216" i="36"/>
  <c r="AY216" i="36"/>
  <c r="AX216" i="36"/>
  <c r="BY216" i="36" s="1"/>
  <c r="AW216" i="36"/>
  <c r="DK215" i="36"/>
  <c r="CW215" i="36"/>
  <c r="BQ215" i="36"/>
  <c r="BP215" i="36"/>
  <c r="BO215" i="36"/>
  <c r="BN215" i="36"/>
  <c r="BM215" i="36"/>
  <c r="BL215" i="36"/>
  <c r="BK215" i="36"/>
  <c r="BJ215" i="36"/>
  <c r="BI215" i="36"/>
  <c r="BH215" i="36"/>
  <c r="BG215" i="36"/>
  <c r="BF215" i="36"/>
  <c r="BE215" i="36"/>
  <c r="BD215" i="36"/>
  <c r="BC215" i="36"/>
  <c r="AY215" i="36"/>
  <c r="BZ215" i="36" s="1"/>
  <c r="AX215" i="36"/>
  <c r="CU215" i="36" s="1"/>
  <c r="DH215" i="36" s="1"/>
  <c r="AW215" i="36"/>
  <c r="CT215" i="36" s="1"/>
  <c r="DG215" i="36" s="1"/>
  <c r="DK214" i="36"/>
  <c r="CW214" i="36"/>
  <c r="BQ214" i="36"/>
  <c r="BP214" i="36"/>
  <c r="BO214" i="36"/>
  <c r="BN214" i="36"/>
  <c r="BM214" i="36"/>
  <c r="BL214" i="36"/>
  <c r="BK214" i="36"/>
  <c r="BJ214" i="36"/>
  <c r="BI214" i="36"/>
  <c r="BH214" i="36"/>
  <c r="BG214" i="36"/>
  <c r="BF214" i="36"/>
  <c r="BE214" i="36"/>
  <c r="BD214" i="36"/>
  <c r="BC214" i="36"/>
  <c r="AY214" i="36"/>
  <c r="BZ214" i="36" s="1"/>
  <c r="AX214" i="36"/>
  <c r="CU214" i="36" s="1"/>
  <c r="DH214" i="36" s="1"/>
  <c r="AW214" i="36"/>
  <c r="CT214" i="36" s="1"/>
  <c r="DG214" i="36" s="1"/>
  <c r="DK213" i="36"/>
  <c r="CW213" i="36"/>
  <c r="BQ213" i="36"/>
  <c r="BP213" i="36"/>
  <c r="BO213" i="36"/>
  <c r="BN213" i="36"/>
  <c r="BM213" i="36"/>
  <c r="BL213" i="36"/>
  <c r="BK213" i="36"/>
  <c r="BJ213" i="36"/>
  <c r="BI213" i="36"/>
  <c r="BH213" i="36"/>
  <c r="BG213" i="36"/>
  <c r="BF213" i="36"/>
  <c r="BE213" i="36"/>
  <c r="BD213" i="36"/>
  <c r="BC213" i="36"/>
  <c r="AY213" i="36"/>
  <c r="CV213" i="36" s="1"/>
  <c r="DI213" i="36" s="1"/>
  <c r="AX213" i="36"/>
  <c r="AW213" i="36"/>
  <c r="BX213" i="36" s="1"/>
  <c r="DK212" i="36"/>
  <c r="CW212" i="36"/>
  <c r="BQ212" i="36"/>
  <c r="BP212" i="36"/>
  <c r="BO212" i="36"/>
  <c r="BN212" i="36"/>
  <c r="BM212" i="36"/>
  <c r="BL212" i="36"/>
  <c r="BK212" i="36"/>
  <c r="BJ212" i="36"/>
  <c r="BI212" i="36"/>
  <c r="BH212" i="36"/>
  <c r="BG212" i="36"/>
  <c r="BF212" i="36"/>
  <c r="BE212" i="36"/>
  <c r="BD212" i="36"/>
  <c r="BC212" i="36"/>
  <c r="AY212" i="36"/>
  <c r="BZ212" i="36" s="1"/>
  <c r="AX212" i="36"/>
  <c r="CU212" i="36" s="1"/>
  <c r="DH212" i="36" s="1"/>
  <c r="AW212" i="36"/>
  <c r="DK211" i="36"/>
  <c r="CW211" i="36"/>
  <c r="BQ211" i="36"/>
  <c r="BP211" i="36"/>
  <c r="BO211" i="36"/>
  <c r="BN211" i="36"/>
  <c r="BM211" i="36"/>
  <c r="BL211" i="36"/>
  <c r="BK211" i="36"/>
  <c r="BJ211" i="36"/>
  <c r="BI211" i="36"/>
  <c r="BH211" i="36"/>
  <c r="BG211" i="36"/>
  <c r="BF211" i="36"/>
  <c r="BE211" i="36"/>
  <c r="BD211" i="36"/>
  <c r="BC211" i="36"/>
  <c r="AY211" i="36"/>
  <c r="AX211" i="36"/>
  <c r="AW211" i="36"/>
  <c r="CT211" i="36" s="1"/>
  <c r="DG211" i="36" s="1"/>
  <c r="DK210" i="36"/>
  <c r="CW210" i="36"/>
  <c r="BQ210" i="36"/>
  <c r="BP210" i="36"/>
  <c r="BO210" i="36"/>
  <c r="BN210" i="36"/>
  <c r="BM210" i="36"/>
  <c r="BL210" i="36"/>
  <c r="BK210" i="36"/>
  <c r="BJ210" i="36"/>
  <c r="BI210" i="36"/>
  <c r="BH210" i="36"/>
  <c r="BG210" i="36"/>
  <c r="BF210" i="36"/>
  <c r="BE210" i="36"/>
  <c r="BD210" i="36"/>
  <c r="BC210" i="36"/>
  <c r="AY210" i="36"/>
  <c r="BZ210" i="36" s="1"/>
  <c r="AX210" i="36"/>
  <c r="BY210" i="36" s="1"/>
  <c r="AW210" i="36"/>
  <c r="DK209" i="36"/>
  <c r="CW209" i="36"/>
  <c r="BQ209" i="36"/>
  <c r="BP209" i="36"/>
  <c r="BO209" i="36"/>
  <c r="BN209" i="36"/>
  <c r="BM209" i="36"/>
  <c r="BL209" i="36"/>
  <c r="BK209" i="36"/>
  <c r="BJ209" i="36"/>
  <c r="BI209" i="36"/>
  <c r="BH209" i="36"/>
  <c r="BG209" i="36"/>
  <c r="BF209" i="36"/>
  <c r="BE209" i="36"/>
  <c r="BD209" i="36"/>
  <c r="BC209" i="36"/>
  <c r="AY209" i="36"/>
  <c r="CV209" i="36" s="1"/>
  <c r="DI209" i="36" s="1"/>
  <c r="AX209" i="36"/>
  <c r="CU209" i="36" s="1"/>
  <c r="DH209" i="36" s="1"/>
  <c r="AW209" i="36"/>
  <c r="BX209" i="36" s="1"/>
  <c r="DK208" i="36"/>
  <c r="CW208" i="36"/>
  <c r="BQ208" i="36"/>
  <c r="BP208" i="36"/>
  <c r="BO208" i="36"/>
  <c r="BN208" i="36"/>
  <c r="BM208" i="36"/>
  <c r="BL208" i="36"/>
  <c r="BK208" i="36"/>
  <c r="BJ208" i="36"/>
  <c r="BI208" i="36"/>
  <c r="BH208" i="36"/>
  <c r="BG208" i="36"/>
  <c r="BF208" i="36"/>
  <c r="BE208" i="36"/>
  <c r="BD208" i="36"/>
  <c r="BC208" i="36"/>
  <c r="AY208" i="36"/>
  <c r="BZ208" i="36" s="1"/>
  <c r="AX208" i="36"/>
  <c r="AW208" i="36"/>
  <c r="BX208" i="36" s="1"/>
  <c r="DK207" i="36"/>
  <c r="CW207" i="36"/>
  <c r="BQ207" i="36"/>
  <c r="BP207" i="36"/>
  <c r="BO207" i="36"/>
  <c r="BN207" i="36"/>
  <c r="BM207" i="36"/>
  <c r="BL207" i="36"/>
  <c r="BK207" i="36"/>
  <c r="BJ207" i="36"/>
  <c r="BI207" i="36"/>
  <c r="BH207" i="36"/>
  <c r="BG207" i="36"/>
  <c r="BF207" i="36"/>
  <c r="BE207" i="36"/>
  <c r="BD207" i="36"/>
  <c r="BC207" i="36"/>
  <c r="AY207" i="36"/>
  <c r="BZ207" i="36" s="1"/>
  <c r="AX207" i="36"/>
  <c r="BY207" i="36" s="1"/>
  <c r="AW207" i="36"/>
  <c r="CT207" i="36" s="1"/>
  <c r="DG207" i="36" s="1"/>
  <c r="DK206" i="36"/>
  <c r="CW206" i="36"/>
  <c r="BQ206" i="36"/>
  <c r="BP206" i="36"/>
  <c r="BO206" i="36"/>
  <c r="BN206" i="36"/>
  <c r="BM206" i="36"/>
  <c r="BL206" i="36"/>
  <c r="BK206" i="36"/>
  <c r="BJ206" i="36"/>
  <c r="BI206" i="36"/>
  <c r="BH206" i="36"/>
  <c r="BG206" i="36"/>
  <c r="BF206" i="36"/>
  <c r="BE206" i="36"/>
  <c r="BD206" i="36"/>
  <c r="BC206" i="36"/>
  <c r="AY206" i="36"/>
  <c r="AX206" i="36"/>
  <c r="AW206" i="36"/>
  <c r="DK205" i="36"/>
  <c r="CW205" i="36"/>
  <c r="BQ205" i="36"/>
  <c r="BP205" i="36"/>
  <c r="BO205" i="36"/>
  <c r="BN205" i="36"/>
  <c r="BM205" i="36"/>
  <c r="BL205" i="36"/>
  <c r="BK205" i="36"/>
  <c r="BJ205" i="36"/>
  <c r="BI205" i="36"/>
  <c r="BH205" i="36"/>
  <c r="BG205" i="36"/>
  <c r="BF205" i="36"/>
  <c r="BE205" i="36"/>
  <c r="BD205" i="36"/>
  <c r="BC205" i="36"/>
  <c r="AY205" i="36"/>
  <c r="AX205" i="36"/>
  <c r="AW205" i="36"/>
  <c r="DK204" i="36"/>
  <c r="CW204" i="36"/>
  <c r="BQ204" i="36"/>
  <c r="BP204" i="36"/>
  <c r="BO204" i="36"/>
  <c r="BN204" i="36"/>
  <c r="BM204" i="36"/>
  <c r="BL204" i="36"/>
  <c r="BK204" i="36"/>
  <c r="BJ204" i="36"/>
  <c r="BI204" i="36"/>
  <c r="BH204" i="36"/>
  <c r="BG204" i="36"/>
  <c r="BF204" i="36"/>
  <c r="BE204" i="36"/>
  <c r="BD204" i="36"/>
  <c r="BC204" i="36"/>
  <c r="AY204" i="36"/>
  <c r="AX204" i="36"/>
  <c r="AW204" i="36"/>
  <c r="CT204" i="36" s="1"/>
  <c r="DG204" i="36" s="1"/>
  <c r="DK203" i="36"/>
  <c r="CW203" i="36"/>
  <c r="BQ203" i="36"/>
  <c r="BP203" i="36"/>
  <c r="BO203" i="36"/>
  <c r="BN203" i="36"/>
  <c r="BM203" i="36"/>
  <c r="BL203" i="36"/>
  <c r="BK203" i="36"/>
  <c r="BJ203" i="36"/>
  <c r="BI203" i="36"/>
  <c r="BH203" i="36"/>
  <c r="BG203" i="36"/>
  <c r="BF203" i="36"/>
  <c r="BE203" i="36"/>
  <c r="BD203" i="36"/>
  <c r="BC203" i="36"/>
  <c r="AY203" i="36"/>
  <c r="CV203" i="36" s="1"/>
  <c r="DI203" i="36" s="1"/>
  <c r="AX203" i="36"/>
  <c r="AW203" i="36"/>
  <c r="DK202" i="36"/>
  <c r="CW202" i="36"/>
  <c r="BQ202" i="36"/>
  <c r="BP202" i="36"/>
  <c r="BO202" i="36"/>
  <c r="BN202" i="36"/>
  <c r="BM202" i="36"/>
  <c r="BL202" i="36"/>
  <c r="BK202" i="36"/>
  <c r="BJ202" i="36"/>
  <c r="BI202" i="36"/>
  <c r="BH202" i="36"/>
  <c r="BG202" i="36"/>
  <c r="BF202" i="36"/>
  <c r="BE202" i="36"/>
  <c r="BD202" i="36"/>
  <c r="BC202" i="36"/>
  <c r="AY202" i="36"/>
  <c r="CV202" i="36" s="1"/>
  <c r="DI202" i="36" s="1"/>
  <c r="AX202" i="36"/>
  <c r="AW202" i="36"/>
  <c r="BX202" i="36" s="1"/>
  <c r="DK201" i="36"/>
  <c r="CW201" i="36"/>
  <c r="BQ201" i="36"/>
  <c r="BP201" i="36"/>
  <c r="BO201" i="36"/>
  <c r="BN201" i="36"/>
  <c r="BM201" i="36"/>
  <c r="BL201" i="36"/>
  <c r="BK201" i="36"/>
  <c r="BJ201" i="36"/>
  <c r="BI201" i="36"/>
  <c r="BH201" i="36"/>
  <c r="BG201" i="36"/>
  <c r="BF201" i="36"/>
  <c r="BE201" i="36"/>
  <c r="BD201" i="36"/>
  <c r="BC201" i="36"/>
  <c r="AY201" i="36"/>
  <c r="AX201" i="36"/>
  <c r="CU201" i="36" s="1"/>
  <c r="DH201" i="36" s="1"/>
  <c r="AW201" i="36"/>
  <c r="BX201" i="36" s="1"/>
  <c r="DK200" i="36"/>
  <c r="CW200" i="36"/>
  <c r="BQ200" i="36"/>
  <c r="BP200" i="36"/>
  <c r="BO200" i="36"/>
  <c r="BN200" i="36"/>
  <c r="BM200" i="36"/>
  <c r="BL200" i="36"/>
  <c r="BK200" i="36"/>
  <c r="BJ200" i="36"/>
  <c r="BI200" i="36"/>
  <c r="BH200" i="36"/>
  <c r="BG200" i="36"/>
  <c r="BF200" i="36"/>
  <c r="BE200" i="36"/>
  <c r="BD200" i="36"/>
  <c r="BC200" i="36"/>
  <c r="AY200" i="36"/>
  <c r="BZ200" i="36" s="1"/>
  <c r="AX200" i="36"/>
  <c r="AW200" i="36"/>
  <c r="DK199" i="36"/>
  <c r="CW199" i="36"/>
  <c r="BQ199" i="36"/>
  <c r="BP199" i="36"/>
  <c r="BO199" i="36"/>
  <c r="BN199" i="36"/>
  <c r="BM199" i="36"/>
  <c r="BL199" i="36"/>
  <c r="BK199" i="36"/>
  <c r="BJ199" i="36"/>
  <c r="BI199" i="36"/>
  <c r="BH199" i="36"/>
  <c r="BG199" i="36"/>
  <c r="BF199" i="36"/>
  <c r="BE199" i="36"/>
  <c r="BD199" i="36"/>
  <c r="BC199" i="36"/>
  <c r="AY199" i="36"/>
  <c r="CV199" i="36" s="1"/>
  <c r="DI199" i="36" s="1"/>
  <c r="AX199" i="36"/>
  <c r="CU199" i="36" s="1"/>
  <c r="DH199" i="36" s="1"/>
  <c r="AW199" i="36"/>
  <c r="CT199" i="36" s="1"/>
  <c r="DG199" i="36" s="1"/>
  <c r="DK198" i="36"/>
  <c r="CW198" i="36"/>
  <c r="BQ198" i="36"/>
  <c r="BP198" i="36"/>
  <c r="BO198" i="36"/>
  <c r="BN198" i="36"/>
  <c r="BM198" i="36"/>
  <c r="BL198" i="36"/>
  <c r="BK198" i="36"/>
  <c r="BJ198" i="36"/>
  <c r="BI198" i="36"/>
  <c r="BH198" i="36"/>
  <c r="BG198" i="36"/>
  <c r="BF198" i="36"/>
  <c r="BE198" i="36"/>
  <c r="BD198" i="36"/>
  <c r="BC198" i="36"/>
  <c r="AY198" i="36"/>
  <c r="CV198" i="36" s="1"/>
  <c r="DI198" i="36" s="1"/>
  <c r="AX198" i="36"/>
  <c r="BY198" i="36" s="1"/>
  <c r="AW198" i="36"/>
  <c r="BX198" i="36" s="1"/>
  <c r="DK197" i="36"/>
  <c r="CW197" i="36"/>
  <c r="BQ197" i="36"/>
  <c r="BP197" i="36"/>
  <c r="BO197" i="36"/>
  <c r="BN197" i="36"/>
  <c r="BM197" i="36"/>
  <c r="BL197" i="36"/>
  <c r="BK197" i="36"/>
  <c r="BJ197" i="36"/>
  <c r="BI197" i="36"/>
  <c r="BH197" i="36"/>
  <c r="BG197" i="36"/>
  <c r="BF197" i="36"/>
  <c r="BE197" i="36"/>
  <c r="BD197" i="36"/>
  <c r="BC197" i="36"/>
  <c r="AY197" i="36"/>
  <c r="AX197" i="36"/>
  <c r="AW197" i="36"/>
  <c r="DK196" i="36"/>
  <c r="CW196" i="36"/>
  <c r="BQ196" i="36"/>
  <c r="BP196" i="36"/>
  <c r="BO196" i="36"/>
  <c r="BN196" i="36"/>
  <c r="BM196" i="36"/>
  <c r="BL196" i="36"/>
  <c r="BK196" i="36"/>
  <c r="BJ196" i="36"/>
  <c r="BI196" i="36"/>
  <c r="BH196" i="36"/>
  <c r="BG196" i="36"/>
  <c r="BF196" i="36"/>
  <c r="BE196" i="36"/>
  <c r="BD196" i="36"/>
  <c r="BC196" i="36"/>
  <c r="AY196" i="36"/>
  <c r="AX196" i="36"/>
  <c r="BY196" i="36" s="1"/>
  <c r="AW196" i="36"/>
  <c r="DK195" i="36"/>
  <c r="CW195" i="36"/>
  <c r="BQ195" i="36"/>
  <c r="BP195" i="36"/>
  <c r="BO195" i="36"/>
  <c r="BN195" i="36"/>
  <c r="BM195" i="36"/>
  <c r="BL195" i="36"/>
  <c r="BK195" i="36"/>
  <c r="BJ195" i="36"/>
  <c r="BI195" i="36"/>
  <c r="BH195" i="36"/>
  <c r="BG195" i="36"/>
  <c r="BF195" i="36"/>
  <c r="BE195" i="36"/>
  <c r="BD195" i="36"/>
  <c r="BC195" i="36"/>
  <c r="AY195" i="36"/>
  <c r="AX195" i="36"/>
  <c r="BY195" i="36" s="1"/>
  <c r="AW195" i="36"/>
  <c r="CT195" i="36" s="1"/>
  <c r="DG195" i="36" s="1"/>
  <c r="DK194" i="36"/>
  <c r="CW194" i="36"/>
  <c r="BQ194" i="36"/>
  <c r="BP194" i="36"/>
  <c r="BO194" i="36"/>
  <c r="BN194" i="36"/>
  <c r="BM194" i="36"/>
  <c r="BL194" i="36"/>
  <c r="BK194" i="36"/>
  <c r="BJ194" i="36"/>
  <c r="BI194" i="36"/>
  <c r="BH194" i="36"/>
  <c r="BG194" i="36"/>
  <c r="BF194" i="36"/>
  <c r="BE194" i="36"/>
  <c r="BD194" i="36"/>
  <c r="BC194" i="36"/>
  <c r="AY194" i="36"/>
  <c r="AX194" i="36"/>
  <c r="AW194" i="36"/>
  <c r="CT194" i="36" s="1"/>
  <c r="DG194" i="36" s="1"/>
  <c r="DK193" i="36"/>
  <c r="CW193" i="36"/>
  <c r="BQ193" i="36"/>
  <c r="BP193" i="36"/>
  <c r="BO193" i="36"/>
  <c r="BN193" i="36"/>
  <c r="BM193" i="36"/>
  <c r="BL193" i="36"/>
  <c r="BK193" i="36"/>
  <c r="BJ193" i="36"/>
  <c r="BI193" i="36"/>
  <c r="BH193" i="36"/>
  <c r="BG193" i="36"/>
  <c r="BF193" i="36"/>
  <c r="BE193" i="36"/>
  <c r="BD193" i="36"/>
  <c r="BC193" i="36"/>
  <c r="AY193" i="36"/>
  <c r="CV193" i="36" s="1"/>
  <c r="DI193" i="36" s="1"/>
  <c r="AX193" i="36"/>
  <c r="AW193" i="36"/>
  <c r="DK192" i="36"/>
  <c r="CW192" i="36"/>
  <c r="BQ192" i="36"/>
  <c r="BP192" i="36"/>
  <c r="BO192" i="36"/>
  <c r="BN192" i="36"/>
  <c r="BM192" i="36"/>
  <c r="BL192" i="36"/>
  <c r="BK192" i="36"/>
  <c r="BJ192" i="36"/>
  <c r="BI192" i="36"/>
  <c r="BH192" i="36"/>
  <c r="BG192" i="36"/>
  <c r="BF192" i="36"/>
  <c r="BE192" i="36"/>
  <c r="BD192" i="36"/>
  <c r="BC192" i="36"/>
  <c r="AY192" i="36"/>
  <c r="BZ192" i="36" s="1"/>
  <c r="AX192" i="36"/>
  <c r="CU192" i="36" s="1"/>
  <c r="DH192" i="36" s="1"/>
  <c r="AW192" i="36"/>
  <c r="DK191" i="36"/>
  <c r="CW191" i="36"/>
  <c r="BQ191" i="36"/>
  <c r="BP191" i="36"/>
  <c r="BO191" i="36"/>
  <c r="BN191" i="36"/>
  <c r="BM191" i="36"/>
  <c r="BL191" i="36"/>
  <c r="BK191" i="36"/>
  <c r="BJ191" i="36"/>
  <c r="BI191" i="36"/>
  <c r="BH191" i="36"/>
  <c r="BG191" i="36"/>
  <c r="BF191" i="36"/>
  <c r="BE191" i="36"/>
  <c r="BD191" i="36"/>
  <c r="BC191" i="36"/>
  <c r="AY191" i="36"/>
  <c r="AX191" i="36"/>
  <c r="CU191" i="36" s="1"/>
  <c r="DH191" i="36" s="1"/>
  <c r="AW191" i="36"/>
  <c r="DK190" i="36"/>
  <c r="CW190" i="36"/>
  <c r="BQ190" i="36"/>
  <c r="BP190" i="36"/>
  <c r="BO190" i="36"/>
  <c r="BN190" i="36"/>
  <c r="BM190" i="36"/>
  <c r="BL190" i="36"/>
  <c r="BK190" i="36"/>
  <c r="BJ190" i="36"/>
  <c r="BI190" i="36"/>
  <c r="BH190" i="36"/>
  <c r="BG190" i="36"/>
  <c r="BF190" i="36"/>
  <c r="BE190" i="36"/>
  <c r="BD190" i="36"/>
  <c r="BC190" i="36"/>
  <c r="AY190" i="36"/>
  <c r="CV190" i="36" s="1"/>
  <c r="DI190" i="36" s="1"/>
  <c r="AX190" i="36"/>
  <c r="CU190" i="36" s="1"/>
  <c r="DH190" i="36" s="1"/>
  <c r="AW190" i="36"/>
  <c r="DK189" i="36"/>
  <c r="CW189" i="36"/>
  <c r="BQ189" i="36"/>
  <c r="BP189" i="36"/>
  <c r="BO189" i="36"/>
  <c r="BN189" i="36"/>
  <c r="BM189" i="36"/>
  <c r="BL189" i="36"/>
  <c r="BK189" i="36"/>
  <c r="BJ189" i="36"/>
  <c r="BI189" i="36"/>
  <c r="BH189" i="36"/>
  <c r="BG189" i="36"/>
  <c r="BF189" i="36"/>
  <c r="BE189" i="36"/>
  <c r="BD189" i="36"/>
  <c r="BC189" i="36"/>
  <c r="AY189" i="36"/>
  <c r="CV189" i="36" s="1"/>
  <c r="DI189" i="36" s="1"/>
  <c r="AX189" i="36"/>
  <c r="AW189" i="36"/>
  <c r="CT189" i="36" s="1"/>
  <c r="DG189" i="36" s="1"/>
  <c r="DK188" i="36"/>
  <c r="CW188" i="36"/>
  <c r="BQ188" i="36"/>
  <c r="BP188" i="36"/>
  <c r="BO188" i="36"/>
  <c r="BN188" i="36"/>
  <c r="BM188" i="36"/>
  <c r="BL188" i="36"/>
  <c r="BK188" i="36"/>
  <c r="BJ188" i="36"/>
  <c r="BI188" i="36"/>
  <c r="BH188" i="36"/>
  <c r="BG188" i="36"/>
  <c r="BF188" i="36"/>
  <c r="BE188" i="36"/>
  <c r="BD188" i="36"/>
  <c r="BC188" i="36"/>
  <c r="AY188" i="36"/>
  <c r="CV188" i="36" s="1"/>
  <c r="DI188" i="36" s="1"/>
  <c r="AX188" i="36"/>
  <c r="AW188" i="36"/>
  <c r="CT188" i="36" s="1"/>
  <c r="DG188" i="36" s="1"/>
  <c r="DK187" i="36"/>
  <c r="CW187" i="36"/>
  <c r="BQ187" i="36"/>
  <c r="BP187" i="36"/>
  <c r="BO187" i="36"/>
  <c r="BN187" i="36"/>
  <c r="BM187" i="36"/>
  <c r="BL187" i="36"/>
  <c r="BK187" i="36"/>
  <c r="BJ187" i="36"/>
  <c r="BI187" i="36"/>
  <c r="BH187" i="36"/>
  <c r="BG187" i="36"/>
  <c r="BF187" i="36"/>
  <c r="BE187" i="36"/>
  <c r="BD187" i="36"/>
  <c r="BC187" i="36"/>
  <c r="AY187" i="36"/>
  <c r="CV187" i="36" s="1"/>
  <c r="DI187" i="36" s="1"/>
  <c r="AX187" i="36"/>
  <c r="BY187" i="36" s="1"/>
  <c r="AW187" i="36"/>
  <c r="CT187" i="36" s="1"/>
  <c r="DG187" i="36" s="1"/>
  <c r="DK186" i="36"/>
  <c r="CW186" i="36"/>
  <c r="BQ186" i="36"/>
  <c r="BP186" i="36"/>
  <c r="BO186" i="36"/>
  <c r="BN186" i="36"/>
  <c r="BM186" i="36"/>
  <c r="BL186" i="36"/>
  <c r="BK186" i="36"/>
  <c r="BJ186" i="36"/>
  <c r="BI186" i="36"/>
  <c r="BH186" i="36"/>
  <c r="BG186" i="36"/>
  <c r="BF186" i="36"/>
  <c r="BE186" i="36"/>
  <c r="BD186" i="36"/>
  <c r="BC186" i="36"/>
  <c r="AY186" i="36"/>
  <c r="AX186" i="36"/>
  <c r="CU186" i="36" s="1"/>
  <c r="DH186" i="36" s="1"/>
  <c r="AW186" i="36"/>
  <c r="CT186" i="36" s="1"/>
  <c r="DG186" i="36" s="1"/>
  <c r="DK185" i="36"/>
  <c r="CW185" i="36"/>
  <c r="BQ185" i="36"/>
  <c r="BP185" i="36"/>
  <c r="BO185" i="36"/>
  <c r="BN185" i="36"/>
  <c r="BM185" i="36"/>
  <c r="BL185" i="36"/>
  <c r="BK185" i="36"/>
  <c r="BJ185" i="36"/>
  <c r="BI185" i="36"/>
  <c r="BH185" i="36"/>
  <c r="BG185" i="36"/>
  <c r="BF185" i="36"/>
  <c r="BE185" i="36"/>
  <c r="BD185" i="36"/>
  <c r="BC185" i="36"/>
  <c r="AY185" i="36"/>
  <c r="AX185" i="36"/>
  <c r="BY185" i="36" s="1"/>
  <c r="AW185" i="36"/>
  <c r="BX185" i="36" s="1"/>
  <c r="DK184" i="36"/>
  <c r="CW184" i="36"/>
  <c r="BQ184" i="36"/>
  <c r="BP184" i="36"/>
  <c r="BO184" i="36"/>
  <c r="BN184" i="36"/>
  <c r="BM184" i="36"/>
  <c r="BL184" i="36"/>
  <c r="BK184" i="36"/>
  <c r="BJ184" i="36"/>
  <c r="BI184" i="36"/>
  <c r="BH184" i="36"/>
  <c r="BG184" i="36"/>
  <c r="BF184" i="36"/>
  <c r="BE184" i="36"/>
  <c r="BD184" i="36"/>
  <c r="BC184" i="36"/>
  <c r="AY184" i="36"/>
  <c r="AX184" i="36"/>
  <c r="CU184" i="36" s="1"/>
  <c r="DH184" i="36" s="1"/>
  <c r="AW184" i="36"/>
  <c r="CT184" i="36" s="1"/>
  <c r="DG184" i="36" s="1"/>
  <c r="DK183" i="36"/>
  <c r="CW183" i="36"/>
  <c r="BQ183" i="36"/>
  <c r="BP183" i="36"/>
  <c r="BO183" i="36"/>
  <c r="BN183" i="36"/>
  <c r="BM183" i="36"/>
  <c r="BL183" i="36"/>
  <c r="BK183" i="36"/>
  <c r="BJ183" i="36"/>
  <c r="BI183" i="36"/>
  <c r="BH183" i="36"/>
  <c r="BG183" i="36"/>
  <c r="BF183" i="36"/>
  <c r="BE183" i="36"/>
  <c r="BD183" i="36"/>
  <c r="BC183" i="36"/>
  <c r="AY183" i="36"/>
  <c r="CV183" i="36" s="1"/>
  <c r="DI183" i="36" s="1"/>
  <c r="AX183" i="36"/>
  <c r="AW183" i="36"/>
  <c r="DK182" i="36"/>
  <c r="CW182" i="36"/>
  <c r="BQ182" i="36"/>
  <c r="BP182" i="36"/>
  <c r="BO182" i="36"/>
  <c r="BN182" i="36"/>
  <c r="BM182" i="36"/>
  <c r="BL182" i="36"/>
  <c r="BK182" i="36"/>
  <c r="BJ182" i="36"/>
  <c r="BI182" i="36"/>
  <c r="BH182" i="36"/>
  <c r="BG182" i="36"/>
  <c r="BF182" i="36"/>
  <c r="BE182" i="36"/>
  <c r="BD182" i="36"/>
  <c r="BC182" i="36"/>
  <c r="AY182" i="36"/>
  <c r="CV182" i="36" s="1"/>
  <c r="DI182" i="36" s="1"/>
  <c r="AX182" i="36"/>
  <c r="BY182" i="36" s="1"/>
  <c r="AW182" i="36"/>
  <c r="DK181" i="36"/>
  <c r="CW181" i="36"/>
  <c r="BQ181" i="36"/>
  <c r="BP181" i="36"/>
  <c r="BO181" i="36"/>
  <c r="BN181" i="36"/>
  <c r="BM181" i="36"/>
  <c r="BL181" i="36"/>
  <c r="BK181" i="36"/>
  <c r="BJ181" i="36"/>
  <c r="BI181" i="36"/>
  <c r="BH181" i="36"/>
  <c r="BG181" i="36"/>
  <c r="BF181" i="36"/>
  <c r="BE181" i="36"/>
  <c r="BD181" i="36"/>
  <c r="BC181" i="36"/>
  <c r="AY181" i="36"/>
  <c r="CV181" i="36" s="1"/>
  <c r="DI181" i="36" s="1"/>
  <c r="AX181" i="36"/>
  <c r="AW181" i="36"/>
  <c r="CT181" i="36" s="1"/>
  <c r="DG181" i="36" s="1"/>
  <c r="DK180" i="36"/>
  <c r="CW180" i="36"/>
  <c r="BQ180" i="36"/>
  <c r="BP180" i="36"/>
  <c r="BO180" i="36"/>
  <c r="BN180" i="36"/>
  <c r="BM180" i="36"/>
  <c r="BL180" i="36"/>
  <c r="BK180" i="36"/>
  <c r="BJ180" i="36"/>
  <c r="BI180" i="36"/>
  <c r="BH180" i="36"/>
  <c r="BG180" i="36"/>
  <c r="BF180" i="36"/>
  <c r="BE180" i="36"/>
  <c r="BD180" i="36"/>
  <c r="BC180" i="36"/>
  <c r="AY180" i="36"/>
  <c r="CV180" i="36" s="1"/>
  <c r="DI180" i="36" s="1"/>
  <c r="AX180" i="36"/>
  <c r="CU180" i="36" s="1"/>
  <c r="DH180" i="36" s="1"/>
  <c r="AW180" i="36"/>
  <c r="CT180" i="36" s="1"/>
  <c r="DG180" i="36" s="1"/>
  <c r="DK179" i="36"/>
  <c r="CW179" i="36"/>
  <c r="BQ179" i="36"/>
  <c r="BP179" i="36"/>
  <c r="BO179" i="36"/>
  <c r="BN179" i="36"/>
  <c r="BM179" i="36"/>
  <c r="BL179" i="36"/>
  <c r="BK179" i="36"/>
  <c r="BJ179" i="36"/>
  <c r="BI179" i="36"/>
  <c r="BH179" i="36"/>
  <c r="BG179" i="36"/>
  <c r="BF179" i="36"/>
  <c r="BE179" i="36"/>
  <c r="BD179" i="36"/>
  <c r="BC179" i="36"/>
  <c r="AY179" i="36"/>
  <c r="BZ179" i="36" s="1"/>
  <c r="AX179" i="36"/>
  <c r="BY179" i="36" s="1"/>
  <c r="AW179" i="36"/>
  <c r="CT179" i="36" s="1"/>
  <c r="DG179" i="36" s="1"/>
  <c r="DK178" i="36"/>
  <c r="CW178" i="36"/>
  <c r="BQ178" i="36"/>
  <c r="BP178" i="36"/>
  <c r="BO178" i="36"/>
  <c r="BN178" i="36"/>
  <c r="BM178" i="36"/>
  <c r="BL178" i="36"/>
  <c r="BK178" i="36"/>
  <c r="BJ178" i="36"/>
  <c r="BI178" i="36"/>
  <c r="BH178" i="36"/>
  <c r="BG178" i="36"/>
  <c r="BF178" i="36"/>
  <c r="BE178" i="36"/>
  <c r="BD178" i="36"/>
  <c r="BC178" i="36"/>
  <c r="AY178" i="36"/>
  <c r="CV178" i="36" s="1"/>
  <c r="DI178" i="36" s="1"/>
  <c r="AX178" i="36"/>
  <c r="CU178" i="36" s="1"/>
  <c r="DH178" i="36" s="1"/>
  <c r="AW178" i="36"/>
  <c r="DK177" i="36"/>
  <c r="CW177" i="36"/>
  <c r="BQ177" i="36"/>
  <c r="BP177" i="36"/>
  <c r="BO177" i="36"/>
  <c r="BN177" i="36"/>
  <c r="BM177" i="36"/>
  <c r="BL177" i="36"/>
  <c r="BK177" i="36"/>
  <c r="BJ177" i="36"/>
  <c r="BI177" i="36"/>
  <c r="BH177" i="36"/>
  <c r="BG177" i="36"/>
  <c r="BF177" i="36"/>
  <c r="BE177" i="36"/>
  <c r="BD177" i="36"/>
  <c r="BC177" i="36"/>
  <c r="AY177" i="36"/>
  <c r="AX177" i="36"/>
  <c r="CU177" i="36" s="1"/>
  <c r="DH177" i="36" s="1"/>
  <c r="AW177" i="36"/>
  <c r="BX177" i="36" s="1"/>
  <c r="DK176" i="36"/>
  <c r="CW176" i="36"/>
  <c r="BQ176" i="36"/>
  <c r="BP176" i="36"/>
  <c r="BO176" i="36"/>
  <c r="BN176" i="36"/>
  <c r="BM176" i="36"/>
  <c r="BL176" i="36"/>
  <c r="BK176" i="36"/>
  <c r="BJ176" i="36"/>
  <c r="BI176" i="36"/>
  <c r="BH176" i="36"/>
  <c r="BG176" i="36"/>
  <c r="BF176" i="36"/>
  <c r="BE176" i="36"/>
  <c r="BD176" i="36"/>
  <c r="BC176" i="36"/>
  <c r="AY176" i="36"/>
  <c r="AX176" i="36"/>
  <c r="CU176" i="36" s="1"/>
  <c r="DH176" i="36" s="1"/>
  <c r="AW176" i="36"/>
  <c r="CT176" i="36" s="1"/>
  <c r="DG176" i="36" s="1"/>
  <c r="DK175" i="36"/>
  <c r="CW175" i="36"/>
  <c r="BQ175" i="36"/>
  <c r="BP175" i="36"/>
  <c r="BO175" i="36"/>
  <c r="BN175" i="36"/>
  <c r="BM175" i="36"/>
  <c r="BL175" i="36"/>
  <c r="BK175" i="36"/>
  <c r="BJ175" i="36"/>
  <c r="BI175" i="36"/>
  <c r="BH175" i="36"/>
  <c r="BG175" i="36"/>
  <c r="BF175" i="36"/>
  <c r="BE175" i="36"/>
  <c r="BD175" i="36"/>
  <c r="BC175" i="36"/>
  <c r="AY175" i="36"/>
  <c r="AX175" i="36"/>
  <c r="AW175" i="36"/>
  <c r="CT175" i="36" s="1"/>
  <c r="DG175" i="36" s="1"/>
  <c r="DK174" i="36"/>
  <c r="CW174" i="36"/>
  <c r="BQ174" i="36"/>
  <c r="BP174" i="36"/>
  <c r="BO174" i="36"/>
  <c r="BN174" i="36"/>
  <c r="BM174" i="36"/>
  <c r="BL174" i="36"/>
  <c r="BK174" i="36"/>
  <c r="BJ174" i="36"/>
  <c r="BI174" i="36"/>
  <c r="BH174" i="36"/>
  <c r="BG174" i="36"/>
  <c r="BF174" i="36"/>
  <c r="BE174" i="36"/>
  <c r="BD174" i="36"/>
  <c r="BC174" i="36"/>
  <c r="AY174" i="36"/>
  <c r="CV174" i="36" s="1"/>
  <c r="DI174" i="36" s="1"/>
  <c r="AX174" i="36"/>
  <c r="BY174" i="36" s="1"/>
  <c r="AW174" i="36"/>
  <c r="DK173" i="36"/>
  <c r="CW173" i="36"/>
  <c r="BQ173" i="36"/>
  <c r="BP173" i="36"/>
  <c r="BO173" i="36"/>
  <c r="BN173" i="36"/>
  <c r="BM173" i="36"/>
  <c r="BL173" i="36"/>
  <c r="BK173" i="36"/>
  <c r="BJ173" i="36"/>
  <c r="BI173" i="36"/>
  <c r="BH173" i="36"/>
  <c r="BG173" i="36"/>
  <c r="BF173" i="36"/>
  <c r="BE173" i="36"/>
  <c r="BD173" i="36"/>
  <c r="BC173" i="36"/>
  <c r="AY173" i="36"/>
  <c r="AX173" i="36"/>
  <c r="BY173" i="36" s="1"/>
  <c r="AW173" i="36"/>
  <c r="CT173" i="36" s="1"/>
  <c r="DG173" i="36" s="1"/>
  <c r="DK172" i="36"/>
  <c r="CW172" i="36"/>
  <c r="BQ172" i="36"/>
  <c r="BP172" i="36"/>
  <c r="BO172" i="36"/>
  <c r="BN172" i="36"/>
  <c r="BM172" i="36"/>
  <c r="BL172" i="36"/>
  <c r="BK172" i="36"/>
  <c r="BJ172" i="36"/>
  <c r="BI172" i="36"/>
  <c r="BH172" i="36"/>
  <c r="BG172" i="36"/>
  <c r="BF172" i="36"/>
  <c r="BE172" i="36"/>
  <c r="BD172" i="36"/>
  <c r="BC172" i="36"/>
  <c r="AY172" i="36"/>
  <c r="AX172" i="36"/>
  <c r="CU172" i="36" s="1"/>
  <c r="DH172" i="36" s="1"/>
  <c r="AW172" i="36"/>
  <c r="DK171" i="36"/>
  <c r="CW171" i="36"/>
  <c r="BQ171" i="36"/>
  <c r="BP171" i="36"/>
  <c r="BO171" i="36"/>
  <c r="BN171" i="36"/>
  <c r="BM171" i="36"/>
  <c r="BL171" i="36"/>
  <c r="BK171" i="36"/>
  <c r="BJ171" i="36"/>
  <c r="BI171" i="36"/>
  <c r="BH171" i="36"/>
  <c r="BG171" i="36"/>
  <c r="BF171" i="36"/>
  <c r="BE171" i="36"/>
  <c r="BD171" i="36"/>
  <c r="BC171" i="36"/>
  <c r="AY171" i="36"/>
  <c r="CV171" i="36" s="1"/>
  <c r="DI171" i="36" s="1"/>
  <c r="AX171" i="36"/>
  <c r="AW171" i="36"/>
  <c r="DK170" i="36"/>
  <c r="CW170" i="36"/>
  <c r="BQ170" i="36"/>
  <c r="BP170" i="36"/>
  <c r="BO170" i="36"/>
  <c r="BN170" i="36"/>
  <c r="BM170" i="36"/>
  <c r="BL170" i="36"/>
  <c r="BK170" i="36"/>
  <c r="BJ170" i="36"/>
  <c r="BI170" i="36"/>
  <c r="BH170" i="36"/>
  <c r="BG170" i="36"/>
  <c r="BF170" i="36"/>
  <c r="BE170" i="36"/>
  <c r="BD170" i="36"/>
  <c r="BC170" i="36"/>
  <c r="AY170" i="36"/>
  <c r="CV170" i="36" s="1"/>
  <c r="DI170" i="36" s="1"/>
  <c r="AX170" i="36"/>
  <c r="AW170" i="36"/>
  <c r="BX170" i="36" s="1"/>
  <c r="DK169" i="36"/>
  <c r="CW169" i="36"/>
  <c r="BQ169" i="36"/>
  <c r="BP169" i="36"/>
  <c r="BO169" i="36"/>
  <c r="BN169" i="36"/>
  <c r="BM169" i="36"/>
  <c r="BL169" i="36"/>
  <c r="BK169" i="36"/>
  <c r="BJ169" i="36"/>
  <c r="BI169" i="36"/>
  <c r="BH169" i="36"/>
  <c r="BG169" i="36"/>
  <c r="BF169" i="36"/>
  <c r="BE169" i="36"/>
  <c r="BD169" i="36"/>
  <c r="BC169" i="36"/>
  <c r="AY169" i="36"/>
  <c r="CV169" i="36" s="1"/>
  <c r="DI169" i="36" s="1"/>
  <c r="AX169" i="36"/>
  <c r="AW169" i="36"/>
  <c r="DK168" i="36"/>
  <c r="CW168" i="36"/>
  <c r="BQ168" i="36"/>
  <c r="BP168" i="36"/>
  <c r="BO168" i="36"/>
  <c r="BN168" i="36"/>
  <c r="BM168" i="36"/>
  <c r="BL168" i="36"/>
  <c r="BK168" i="36"/>
  <c r="BJ168" i="36"/>
  <c r="BI168" i="36"/>
  <c r="BH168" i="36"/>
  <c r="BG168" i="36"/>
  <c r="BF168" i="36"/>
  <c r="BE168" i="36"/>
  <c r="BD168" i="36"/>
  <c r="BC168" i="36"/>
  <c r="AY168" i="36"/>
  <c r="BZ168" i="36" s="1"/>
  <c r="AX168" i="36"/>
  <c r="AW168" i="36"/>
  <c r="CT168" i="36" s="1"/>
  <c r="DG168" i="36" s="1"/>
  <c r="DK167" i="36"/>
  <c r="CW167" i="36"/>
  <c r="BQ167" i="36"/>
  <c r="BP167" i="36"/>
  <c r="BO167" i="36"/>
  <c r="BN167" i="36"/>
  <c r="BM167" i="36"/>
  <c r="BL167" i="36"/>
  <c r="BK167" i="36"/>
  <c r="BJ167" i="36"/>
  <c r="BI167" i="36"/>
  <c r="BH167" i="36"/>
  <c r="BG167" i="36"/>
  <c r="BF167" i="36"/>
  <c r="BE167" i="36"/>
  <c r="BD167" i="36"/>
  <c r="BC167" i="36"/>
  <c r="AY167" i="36"/>
  <c r="AX167" i="36"/>
  <c r="BY167" i="36" s="1"/>
  <c r="AW167" i="36"/>
  <c r="DK166" i="36"/>
  <c r="CW166" i="36"/>
  <c r="BQ166" i="36"/>
  <c r="BP166" i="36"/>
  <c r="BO166" i="36"/>
  <c r="BN166" i="36"/>
  <c r="BM166" i="36"/>
  <c r="BL166" i="36"/>
  <c r="BK166" i="36"/>
  <c r="BJ166" i="36"/>
  <c r="BI166" i="36"/>
  <c r="BH166" i="36"/>
  <c r="BG166" i="36"/>
  <c r="BF166" i="36"/>
  <c r="BE166" i="36"/>
  <c r="BD166" i="36"/>
  <c r="BC166" i="36"/>
  <c r="AY166" i="36"/>
  <c r="AX166" i="36"/>
  <c r="CU166" i="36" s="1"/>
  <c r="DH166" i="36" s="1"/>
  <c r="AW166" i="36"/>
  <c r="BX166" i="36" s="1"/>
  <c r="DK165" i="36"/>
  <c r="CW165" i="36"/>
  <c r="BQ165" i="36"/>
  <c r="BP165" i="36"/>
  <c r="BO165" i="36"/>
  <c r="BN165" i="36"/>
  <c r="BM165" i="36"/>
  <c r="BL165" i="36"/>
  <c r="BK165" i="36"/>
  <c r="BJ165" i="36"/>
  <c r="BI165" i="36"/>
  <c r="BH165" i="36"/>
  <c r="BG165" i="36"/>
  <c r="BF165" i="36"/>
  <c r="BE165" i="36"/>
  <c r="BD165" i="36"/>
  <c r="BC165" i="36"/>
  <c r="AY165" i="36"/>
  <c r="AX165" i="36"/>
  <c r="CU165" i="36" s="1"/>
  <c r="DH165" i="36" s="1"/>
  <c r="AW165" i="36"/>
  <c r="CT165" i="36" s="1"/>
  <c r="DG165" i="36" s="1"/>
  <c r="DK164" i="36"/>
  <c r="CW164" i="36"/>
  <c r="BQ164" i="36"/>
  <c r="BP164" i="36"/>
  <c r="BO164" i="36"/>
  <c r="BN164" i="36"/>
  <c r="BM164" i="36"/>
  <c r="BL164" i="36"/>
  <c r="BK164" i="36"/>
  <c r="BJ164" i="36"/>
  <c r="BI164" i="36"/>
  <c r="BH164" i="36"/>
  <c r="BG164" i="36"/>
  <c r="BF164" i="36"/>
  <c r="BE164" i="36"/>
  <c r="BD164" i="36"/>
  <c r="BC164" i="36"/>
  <c r="AY164" i="36"/>
  <c r="BZ164" i="36" s="1"/>
  <c r="AX164" i="36"/>
  <c r="BY164" i="36" s="1"/>
  <c r="AW164" i="36"/>
  <c r="BX164" i="36" s="1"/>
  <c r="DK163" i="36"/>
  <c r="CW163" i="36"/>
  <c r="BQ163" i="36"/>
  <c r="BP163" i="36"/>
  <c r="BO163" i="36"/>
  <c r="BN163" i="36"/>
  <c r="BM163" i="36"/>
  <c r="BL163" i="36"/>
  <c r="BK163" i="36"/>
  <c r="BJ163" i="36"/>
  <c r="BI163" i="36"/>
  <c r="BH163" i="36"/>
  <c r="BG163" i="36"/>
  <c r="BF163" i="36"/>
  <c r="BE163" i="36"/>
  <c r="BD163" i="36"/>
  <c r="BC163" i="36"/>
  <c r="AY163" i="36"/>
  <c r="CV163" i="36" s="1"/>
  <c r="DI163" i="36" s="1"/>
  <c r="AX163" i="36"/>
  <c r="BY163" i="36" s="1"/>
  <c r="AW163" i="36"/>
  <c r="DK162" i="36"/>
  <c r="CW162" i="36"/>
  <c r="BQ162" i="36"/>
  <c r="BP162" i="36"/>
  <c r="BO162" i="36"/>
  <c r="BN162" i="36"/>
  <c r="BM162" i="36"/>
  <c r="BL162" i="36"/>
  <c r="BK162" i="36"/>
  <c r="BJ162" i="36"/>
  <c r="BI162" i="36"/>
  <c r="BH162" i="36"/>
  <c r="BG162" i="36"/>
  <c r="BF162" i="36"/>
  <c r="BE162" i="36"/>
  <c r="BD162" i="36"/>
  <c r="BC162" i="36"/>
  <c r="AY162" i="36"/>
  <c r="CV162" i="36" s="1"/>
  <c r="DI162" i="36" s="1"/>
  <c r="AX162" i="36"/>
  <c r="AW162" i="36"/>
  <c r="BX162" i="36" s="1"/>
  <c r="DK161" i="36"/>
  <c r="CW161" i="36"/>
  <c r="BQ161" i="36"/>
  <c r="BP161" i="36"/>
  <c r="BO161" i="36"/>
  <c r="BN161" i="36"/>
  <c r="BM161" i="36"/>
  <c r="BL161" i="36"/>
  <c r="BK161" i="36"/>
  <c r="BJ161" i="36"/>
  <c r="BI161" i="36"/>
  <c r="BH161" i="36"/>
  <c r="BG161" i="36"/>
  <c r="BF161" i="36"/>
  <c r="BE161" i="36"/>
  <c r="BD161" i="36"/>
  <c r="BC161" i="36"/>
  <c r="AY161" i="36"/>
  <c r="BZ161" i="36" s="1"/>
  <c r="AX161" i="36"/>
  <c r="BY161" i="36" s="1"/>
  <c r="AW161" i="36"/>
  <c r="BX161" i="36" s="1"/>
  <c r="DK160" i="36"/>
  <c r="CW160" i="36"/>
  <c r="BQ160" i="36"/>
  <c r="BP160" i="36"/>
  <c r="BO160" i="36"/>
  <c r="BN160" i="36"/>
  <c r="BM160" i="36"/>
  <c r="BL160" i="36"/>
  <c r="BK160" i="36"/>
  <c r="BJ160" i="36"/>
  <c r="BI160" i="36"/>
  <c r="BH160" i="36"/>
  <c r="BG160" i="36"/>
  <c r="BF160" i="36"/>
  <c r="BE160" i="36"/>
  <c r="BD160" i="36"/>
  <c r="BC160" i="36"/>
  <c r="AY160" i="36"/>
  <c r="BZ160" i="36" s="1"/>
  <c r="AX160" i="36"/>
  <c r="AW160" i="36"/>
  <c r="CT160" i="36" s="1"/>
  <c r="DG160" i="36" s="1"/>
  <c r="DK159" i="36"/>
  <c r="CW159" i="36"/>
  <c r="BQ159" i="36"/>
  <c r="BP159" i="36"/>
  <c r="BO159" i="36"/>
  <c r="BN159" i="36"/>
  <c r="BM159" i="36"/>
  <c r="BL159" i="36"/>
  <c r="BK159" i="36"/>
  <c r="BJ159" i="36"/>
  <c r="BI159" i="36"/>
  <c r="BH159" i="36"/>
  <c r="BG159" i="36"/>
  <c r="BF159" i="36"/>
  <c r="BE159" i="36"/>
  <c r="BD159" i="36"/>
  <c r="BC159" i="36"/>
  <c r="AY159" i="36"/>
  <c r="CV159" i="36" s="1"/>
  <c r="DI159" i="36" s="1"/>
  <c r="AX159" i="36"/>
  <c r="BY159" i="36" s="1"/>
  <c r="AW159" i="36"/>
  <c r="CT159" i="36" s="1"/>
  <c r="DG159" i="36" s="1"/>
  <c r="DK158" i="36"/>
  <c r="CW158" i="36"/>
  <c r="BQ158" i="36"/>
  <c r="BP158" i="36"/>
  <c r="BO158" i="36"/>
  <c r="BN158" i="36"/>
  <c r="BM158" i="36"/>
  <c r="BL158" i="36"/>
  <c r="BK158" i="36"/>
  <c r="BJ158" i="36"/>
  <c r="BI158" i="36"/>
  <c r="BH158" i="36"/>
  <c r="BG158" i="36"/>
  <c r="BF158" i="36"/>
  <c r="BE158" i="36"/>
  <c r="BD158" i="36"/>
  <c r="BC158" i="36"/>
  <c r="AY158" i="36"/>
  <c r="BZ158" i="36" s="1"/>
  <c r="AX158" i="36"/>
  <c r="AW158" i="36"/>
  <c r="BX158" i="36" s="1"/>
  <c r="DK157" i="36"/>
  <c r="CW157" i="36"/>
  <c r="BQ157" i="36"/>
  <c r="BP157" i="36"/>
  <c r="BO157" i="36"/>
  <c r="BN157" i="36"/>
  <c r="BM157" i="36"/>
  <c r="BL157" i="36"/>
  <c r="BK157" i="36"/>
  <c r="BJ157" i="36"/>
  <c r="BI157" i="36"/>
  <c r="BH157" i="36"/>
  <c r="BG157" i="36"/>
  <c r="BF157" i="36"/>
  <c r="BE157" i="36"/>
  <c r="BD157" i="36"/>
  <c r="BC157" i="36"/>
  <c r="AY157" i="36"/>
  <c r="BZ157" i="36" s="1"/>
  <c r="AX157" i="36"/>
  <c r="CU157" i="36" s="1"/>
  <c r="DH157" i="36" s="1"/>
  <c r="AW157" i="36"/>
  <c r="DK156" i="36"/>
  <c r="CW156" i="36"/>
  <c r="BQ156" i="36"/>
  <c r="BP156" i="36"/>
  <c r="BO156" i="36"/>
  <c r="BN156" i="36"/>
  <c r="BM156" i="36"/>
  <c r="BL156" i="36"/>
  <c r="BK156" i="36"/>
  <c r="BJ156" i="36"/>
  <c r="BI156" i="36"/>
  <c r="BH156" i="36"/>
  <c r="BG156" i="36"/>
  <c r="BF156" i="36"/>
  <c r="BE156" i="36"/>
  <c r="BD156" i="36"/>
  <c r="BC156" i="36"/>
  <c r="AY156" i="36"/>
  <c r="AX156" i="36"/>
  <c r="CU156" i="36" s="1"/>
  <c r="DH156" i="36" s="1"/>
  <c r="AW156" i="36"/>
  <c r="CT156" i="36" s="1"/>
  <c r="DG156" i="36" s="1"/>
  <c r="DK155" i="36"/>
  <c r="CW155" i="36"/>
  <c r="BQ155" i="36"/>
  <c r="BP155" i="36"/>
  <c r="BO155" i="36"/>
  <c r="BN155" i="36"/>
  <c r="BM155" i="36"/>
  <c r="BL155" i="36"/>
  <c r="BK155" i="36"/>
  <c r="BJ155" i="36"/>
  <c r="BI155" i="36"/>
  <c r="BH155" i="36"/>
  <c r="BG155" i="36"/>
  <c r="BF155" i="36"/>
  <c r="BE155" i="36"/>
  <c r="BD155" i="36"/>
  <c r="BC155" i="36"/>
  <c r="AY155" i="36"/>
  <c r="BZ155" i="36" s="1"/>
  <c r="AX155" i="36"/>
  <c r="BY155" i="36" s="1"/>
  <c r="AW155" i="36"/>
  <c r="BX155" i="36" s="1"/>
  <c r="DK154" i="36"/>
  <c r="CW154" i="36"/>
  <c r="BQ154" i="36"/>
  <c r="BP154" i="36"/>
  <c r="BO154" i="36"/>
  <c r="BN154" i="36"/>
  <c r="BM154" i="36"/>
  <c r="BL154" i="36"/>
  <c r="BK154" i="36"/>
  <c r="BJ154" i="36"/>
  <c r="BI154" i="36"/>
  <c r="BH154" i="36"/>
  <c r="BG154" i="36"/>
  <c r="BF154" i="36"/>
  <c r="BE154" i="36"/>
  <c r="BD154" i="36"/>
  <c r="BC154" i="36"/>
  <c r="AY154" i="36"/>
  <c r="CV154" i="36" s="1"/>
  <c r="DI154" i="36" s="1"/>
  <c r="AX154" i="36"/>
  <c r="CU154" i="36" s="1"/>
  <c r="DH154" i="36" s="1"/>
  <c r="AW154" i="36"/>
  <c r="BX154" i="36" s="1"/>
  <c r="DK153" i="36"/>
  <c r="CW153" i="36"/>
  <c r="BQ153" i="36"/>
  <c r="BP153" i="36"/>
  <c r="BO153" i="36"/>
  <c r="BN153" i="36"/>
  <c r="BM153" i="36"/>
  <c r="BL153" i="36"/>
  <c r="BK153" i="36"/>
  <c r="BJ153" i="36"/>
  <c r="BI153" i="36"/>
  <c r="BH153" i="36"/>
  <c r="BG153" i="36"/>
  <c r="BF153" i="36"/>
  <c r="BE153" i="36"/>
  <c r="BD153" i="36"/>
  <c r="BC153" i="36"/>
  <c r="AY153" i="36"/>
  <c r="CV153" i="36" s="1"/>
  <c r="DI153" i="36" s="1"/>
  <c r="AX153" i="36"/>
  <c r="CU153" i="36" s="1"/>
  <c r="DH153" i="36" s="1"/>
  <c r="AW153" i="36"/>
  <c r="BX153" i="36" s="1"/>
  <c r="DK152" i="36"/>
  <c r="CW152" i="36"/>
  <c r="BQ152" i="36"/>
  <c r="BP152" i="36"/>
  <c r="BO152" i="36"/>
  <c r="BN152" i="36"/>
  <c r="BM152" i="36"/>
  <c r="BL152" i="36"/>
  <c r="BK152" i="36"/>
  <c r="BJ152" i="36"/>
  <c r="BI152" i="36"/>
  <c r="BH152" i="36"/>
  <c r="BG152" i="36"/>
  <c r="BF152" i="36"/>
  <c r="BE152" i="36"/>
  <c r="BD152" i="36"/>
  <c r="BC152" i="36"/>
  <c r="AY152" i="36"/>
  <c r="BZ152" i="36" s="1"/>
  <c r="AX152" i="36"/>
  <c r="BY152" i="36" s="1"/>
  <c r="AW152" i="36"/>
  <c r="CT152" i="36" s="1"/>
  <c r="DG152" i="36" s="1"/>
  <c r="DK151" i="36"/>
  <c r="CW151" i="36"/>
  <c r="BQ151" i="36"/>
  <c r="BP151" i="36"/>
  <c r="BO151" i="36"/>
  <c r="BN151" i="36"/>
  <c r="BM151" i="36"/>
  <c r="BL151" i="36"/>
  <c r="BK151" i="36"/>
  <c r="BJ151" i="36"/>
  <c r="BI151" i="36"/>
  <c r="BH151" i="36"/>
  <c r="BG151" i="36"/>
  <c r="BF151" i="36"/>
  <c r="BE151" i="36"/>
  <c r="BD151" i="36"/>
  <c r="BC151" i="36"/>
  <c r="AY151" i="36"/>
  <c r="CV151" i="36" s="1"/>
  <c r="DI151" i="36" s="1"/>
  <c r="AX151" i="36"/>
  <c r="BY151" i="36" s="1"/>
  <c r="AW151" i="36"/>
  <c r="DK150" i="36"/>
  <c r="CW150" i="36"/>
  <c r="BQ150" i="36"/>
  <c r="BP150" i="36"/>
  <c r="BO150" i="36"/>
  <c r="BN150" i="36"/>
  <c r="BM150" i="36"/>
  <c r="BL150" i="36"/>
  <c r="BK150" i="36"/>
  <c r="BJ150" i="36"/>
  <c r="BI150" i="36"/>
  <c r="BH150" i="36"/>
  <c r="BG150" i="36"/>
  <c r="BF150" i="36"/>
  <c r="BE150" i="36"/>
  <c r="BD150" i="36"/>
  <c r="BC150" i="36"/>
  <c r="AY150" i="36"/>
  <c r="BZ150" i="36" s="1"/>
  <c r="AX150" i="36"/>
  <c r="BY150" i="36" s="1"/>
  <c r="AW150" i="36"/>
  <c r="BX150" i="36" s="1"/>
  <c r="DK149" i="36"/>
  <c r="CW149" i="36"/>
  <c r="BQ149" i="36"/>
  <c r="BP149" i="36"/>
  <c r="BO149" i="36"/>
  <c r="BN149" i="36"/>
  <c r="BM149" i="36"/>
  <c r="BL149" i="36"/>
  <c r="BK149" i="36"/>
  <c r="BJ149" i="36"/>
  <c r="BI149" i="36"/>
  <c r="BH149" i="36"/>
  <c r="BG149" i="36"/>
  <c r="BF149" i="36"/>
  <c r="BE149" i="36"/>
  <c r="BD149" i="36"/>
  <c r="BC149" i="36"/>
  <c r="AY149" i="36"/>
  <c r="BZ149" i="36" s="1"/>
  <c r="AX149" i="36"/>
  <c r="AW149" i="36"/>
  <c r="CT149" i="36" s="1"/>
  <c r="DG149" i="36" s="1"/>
  <c r="DK148" i="36"/>
  <c r="CW148" i="36"/>
  <c r="BQ148" i="36"/>
  <c r="BP148" i="36"/>
  <c r="BO148" i="36"/>
  <c r="BN148" i="36"/>
  <c r="BM148" i="36"/>
  <c r="BL148" i="36"/>
  <c r="BK148" i="36"/>
  <c r="BJ148" i="36"/>
  <c r="BI148" i="36"/>
  <c r="BH148" i="36"/>
  <c r="BG148" i="36"/>
  <c r="BF148" i="36"/>
  <c r="BE148" i="36"/>
  <c r="BD148" i="36"/>
  <c r="BC148" i="36"/>
  <c r="AY148" i="36"/>
  <c r="BZ148" i="36" s="1"/>
  <c r="AX148" i="36"/>
  <c r="CU148" i="36" s="1"/>
  <c r="DH148" i="36" s="1"/>
  <c r="AW148" i="36"/>
  <c r="DK147" i="36"/>
  <c r="CW147" i="36"/>
  <c r="BQ147" i="36"/>
  <c r="BP147" i="36"/>
  <c r="BO147" i="36"/>
  <c r="BN147" i="36"/>
  <c r="BM147" i="36"/>
  <c r="BL147" i="36"/>
  <c r="BK147" i="36"/>
  <c r="BJ147" i="36"/>
  <c r="BI147" i="36"/>
  <c r="BH147" i="36"/>
  <c r="BG147" i="36"/>
  <c r="BF147" i="36"/>
  <c r="BE147" i="36"/>
  <c r="BD147" i="36"/>
  <c r="BC147" i="36"/>
  <c r="AY147" i="36"/>
  <c r="BZ147" i="36" s="1"/>
  <c r="AX147" i="36"/>
  <c r="AW147" i="36"/>
  <c r="BX147" i="36" s="1"/>
  <c r="DK146" i="36"/>
  <c r="CW146" i="36"/>
  <c r="BQ146" i="36"/>
  <c r="BP146" i="36"/>
  <c r="BO146" i="36"/>
  <c r="BN146" i="36"/>
  <c r="BM146" i="36"/>
  <c r="BL146" i="36"/>
  <c r="BK146" i="36"/>
  <c r="BJ146" i="36"/>
  <c r="BI146" i="36"/>
  <c r="BH146" i="36"/>
  <c r="BG146" i="36"/>
  <c r="BF146" i="36"/>
  <c r="BE146" i="36"/>
  <c r="BD146" i="36"/>
  <c r="BC146" i="36"/>
  <c r="AY146" i="36"/>
  <c r="CV146" i="36" s="1"/>
  <c r="DI146" i="36" s="1"/>
  <c r="AX146" i="36"/>
  <c r="CU146" i="36" s="1"/>
  <c r="DH146" i="36" s="1"/>
  <c r="AW146" i="36"/>
  <c r="BX146" i="36" s="1"/>
  <c r="DK145" i="36"/>
  <c r="CW145" i="36"/>
  <c r="BQ145" i="36"/>
  <c r="BP145" i="36"/>
  <c r="BO145" i="36"/>
  <c r="BN145" i="36"/>
  <c r="BM145" i="36"/>
  <c r="BL145" i="36"/>
  <c r="BK145" i="36"/>
  <c r="BJ145" i="36"/>
  <c r="BI145" i="36"/>
  <c r="BH145" i="36"/>
  <c r="BG145" i="36"/>
  <c r="BF145" i="36"/>
  <c r="BE145" i="36"/>
  <c r="BD145" i="36"/>
  <c r="BC145" i="36"/>
  <c r="AY145" i="36"/>
  <c r="CV145" i="36" s="1"/>
  <c r="DI145" i="36" s="1"/>
  <c r="AX145" i="36"/>
  <c r="CU145" i="36" s="1"/>
  <c r="DH145" i="36" s="1"/>
  <c r="AW145" i="36"/>
  <c r="BX145" i="36" s="1"/>
  <c r="DK144" i="36"/>
  <c r="CW144" i="36"/>
  <c r="BQ144" i="36"/>
  <c r="BP144" i="36"/>
  <c r="BO144" i="36"/>
  <c r="BN144" i="36"/>
  <c r="BM144" i="36"/>
  <c r="BL144" i="36"/>
  <c r="BK144" i="36"/>
  <c r="BJ144" i="36"/>
  <c r="BI144" i="36"/>
  <c r="BH144" i="36"/>
  <c r="BG144" i="36"/>
  <c r="BF144" i="36"/>
  <c r="BE144" i="36"/>
  <c r="BD144" i="36"/>
  <c r="BC144" i="36"/>
  <c r="AY144" i="36"/>
  <c r="BZ144" i="36" s="1"/>
  <c r="AX144" i="36"/>
  <c r="BY144" i="36" s="1"/>
  <c r="AW144" i="36"/>
  <c r="CT144" i="36" s="1"/>
  <c r="DG144" i="36" s="1"/>
  <c r="DK143" i="36"/>
  <c r="CW143" i="36"/>
  <c r="BQ143" i="36"/>
  <c r="BP143" i="36"/>
  <c r="BO143" i="36"/>
  <c r="BN143" i="36"/>
  <c r="BM143" i="36"/>
  <c r="BL143" i="36"/>
  <c r="BK143" i="36"/>
  <c r="BJ143" i="36"/>
  <c r="BI143" i="36"/>
  <c r="BH143" i="36"/>
  <c r="BG143" i="36"/>
  <c r="BF143" i="36"/>
  <c r="BE143" i="36"/>
  <c r="BD143" i="36"/>
  <c r="BC143" i="36"/>
  <c r="AY143" i="36"/>
  <c r="CV143" i="36" s="1"/>
  <c r="DI143" i="36" s="1"/>
  <c r="AX143" i="36"/>
  <c r="BY143" i="36" s="1"/>
  <c r="AW143" i="36"/>
  <c r="CT143" i="36" s="1"/>
  <c r="DG143" i="36" s="1"/>
  <c r="DK142" i="36"/>
  <c r="CW142" i="36"/>
  <c r="BQ142" i="36"/>
  <c r="BP142" i="36"/>
  <c r="BO142" i="36"/>
  <c r="BN142" i="36"/>
  <c r="BM142" i="36"/>
  <c r="BL142" i="36"/>
  <c r="BK142" i="36"/>
  <c r="BJ142" i="36"/>
  <c r="BI142" i="36"/>
  <c r="BH142" i="36"/>
  <c r="BG142" i="36"/>
  <c r="BF142" i="36"/>
  <c r="BE142" i="36"/>
  <c r="BD142" i="36"/>
  <c r="BC142" i="36"/>
  <c r="AY142" i="36"/>
  <c r="BZ142" i="36" s="1"/>
  <c r="AX142" i="36"/>
  <c r="CU142" i="36" s="1"/>
  <c r="DH142" i="36" s="1"/>
  <c r="AW142" i="36"/>
  <c r="BX142" i="36" s="1"/>
  <c r="DK141" i="36"/>
  <c r="CW141" i="36"/>
  <c r="BQ141" i="36"/>
  <c r="BP141" i="36"/>
  <c r="BO141" i="36"/>
  <c r="BN141" i="36"/>
  <c r="BM141" i="36"/>
  <c r="BL141" i="36"/>
  <c r="BK141" i="36"/>
  <c r="BJ141" i="36"/>
  <c r="BI141" i="36"/>
  <c r="BH141" i="36"/>
  <c r="BG141" i="36"/>
  <c r="BF141" i="36"/>
  <c r="BE141" i="36"/>
  <c r="BD141" i="36"/>
  <c r="BC141" i="36"/>
  <c r="AY141" i="36"/>
  <c r="BZ141" i="36" s="1"/>
  <c r="AX141" i="36"/>
  <c r="AW141" i="36"/>
  <c r="CT141" i="36" s="1"/>
  <c r="DG141" i="36" s="1"/>
  <c r="DK140" i="36"/>
  <c r="CW140" i="36"/>
  <c r="BQ140" i="36"/>
  <c r="BP140" i="36"/>
  <c r="BO140" i="36"/>
  <c r="BN140" i="36"/>
  <c r="BM140" i="36"/>
  <c r="BL140" i="36"/>
  <c r="BK140" i="36"/>
  <c r="BJ140" i="36"/>
  <c r="BI140" i="36"/>
  <c r="BH140" i="36"/>
  <c r="BG140" i="36"/>
  <c r="BF140" i="36"/>
  <c r="BE140" i="36"/>
  <c r="BD140" i="36"/>
  <c r="BC140" i="36"/>
  <c r="AY140" i="36"/>
  <c r="BZ140" i="36" s="1"/>
  <c r="AX140" i="36"/>
  <c r="BY140" i="36" s="1"/>
  <c r="AW140" i="36"/>
  <c r="DK139" i="36"/>
  <c r="CW139" i="36"/>
  <c r="BQ139" i="36"/>
  <c r="BP139" i="36"/>
  <c r="BO139" i="36"/>
  <c r="BN139" i="36"/>
  <c r="BM139" i="36"/>
  <c r="BL139" i="36"/>
  <c r="BK139" i="36"/>
  <c r="BJ139" i="36"/>
  <c r="BI139" i="36"/>
  <c r="BH139" i="36"/>
  <c r="BG139" i="36"/>
  <c r="BF139" i="36"/>
  <c r="BE139" i="36"/>
  <c r="BD139" i="36"/>
  <c r="BC139" i="36"/>
  <c r="AY139" i="36"/>
  <c r="CV139" i="36" s="1"/>
  <c r="DI139" i="36" s="1"/>
  <c r="AX139" i="36"/>
  <c r="BY139" i="36" s="1"/>
  <c r="AW139" i="36"/>
  <c r="CT139" i="36" s="1"/>
  <c r="DG139" i="36" s="1"/>
  <c r="DK138" i="36"/>
  <c r="CW138" i="36"/>
  <c r="BQ138" i="36"/>
  <c r="BP138" i="36"/>
  <c r="BO138" i="36"/>
  <c r="BN138" i="36"/>
  <c r="BM138" i="36"/>
  <c r="BL138" i="36"/>
  <c r="BK138" i="36"/>
  <c r="BJ138" i="36"/>
  <c r="BI138" i="36"/>
  <c r="BH138" i="36"/>
  <c r="BG138" i="36"/>
  <c r="BF138" i="36"/>
  <c r="BE138" i="36"/>
  <c r="BD138" i="36"/>
  <c r="BC138" i="36"/>
  <c r="AY138" i="36"/>
  <c r="CV138" i="36" s="1"/>
  <c r="DI138" i="36" s="1"/>
  <c r="AX138" i="36"/>
  <c r="AW138" i="36"/>
  <c r="DK137" i="36"/>
  <c r="CW137" i="36"/>
  <c r="BQ137" i="36"/>
  <c r="BP137" i="36"/>
  <c r="BO137" i="36"/>
  <c r="BN137" i="36"/>
  <c r="BM137" i="36"/>
  <c r="BL137" i="36"/>
  <c r="BK137" i="36"/>
  <c r="BJ137" i="36"/>
  <c r="BI137" i="36"/>
  <c r="BH137" i="36"/>
  <c r="BG137" i="36"/>
  <c r="BF137" i="36"/>
  <c r="BE137" i="36"/>
  <c r="BD137" i="36"/>
  <c r="BC137" i="36"/>
  <c r="AY137" i="36"/>
  <c r="AX137" i="36"/>
  <c r="AW137" i="36"/>
  <c r="CT137" i="36" s="1"/>
  <c r="DG137" i="36" s="1"/>
  <c r="DK136" i="36"/>
  <c r="CW136" i="36"/>
  <c r="BQ136" i="36"/>
  <c r="BP136" i="36"/>
  <c r="BO136" i="36"/>
  <c r="BN136" i="36"/>
  <c r="BM136" i="36"/>
  <c r="BL136" i="36"/>
  <c r="BK136" i="36"/>
  <c r="BJ136" i="36"/>
  <c r="BI136" i="36"/>
  <c r="BH136" i="36"/>
  <c r="BG136" i="36"/>
  <c r="BF136" i="36"/>
  <c r="BE136" i="36"/>
  <c r="BD136" i="36"/>
  <c r="BC136" i="36"/>
  <c r="AY136" i="36"/>
  <c r="BZ136" i="36" s="1"/>
  <c r="AX136" i="36"/>
  <c r="CU136" i="36" s="1"/>
  <c r="DH136" i="36" s="1"/>
  <c r="AW136" i="36"/>
  <c r="DK135" i="36"/>
  <c r="CW135" i="36"/>
  <c r="BQ135" i="36"/>
  <c r="BP135" i="36"/>
  <c r="BO135" i="36"/>
  <c r="BN135" i="36"/>
  <c r="BM135" i="36"/>
  <c r="BL135" i="36"/>
  <c r="BK135" i="36"/>
  <c r="BJ135" i="36"/>
  <c r="BI135" i="36"/>
  <c r="BH135" i="36"/>
  <c r="BG135" i="36"/>
  <c r="BF135" i="36"/>
  <c r="BE135" i="36"/>
  <c r="BD135" i="36"/>
  <c r="BC135" i="36"/>
  <c r="AY135" i="36"/>
  <c r="BZ135" i="36" s="1"/>
  <c r="AX135" i="36"/>
  <c r="BY135" i="36" s="1"/>
  <c r="AW135" i="36"/>
  <c r="CT135" i="36" s="1"/>
  <c r="DG135" i="36" s="1"/>
  <c r="DK134" i="36"/>
  <c r="CW134" i="36"/>
  <c r="BQ134" i="36"/>
  <c r="BP134" i="36"/>
  <c r="BO134" i="36"/>
  <c r="BN134" i="36"/>
  <c r="BM134" i="36"/>
  <c r="BL134" i="36"/>
  <c r="BK134" i="36"/>
  <c r="BJ134" i="36"/>
  <c r="BI134" i="36"/>
  <c r="BH134" i="36"/>
  <c r="BG134" i="36"/>
  <c r="BF134" i="36"/>
  <c r="BE134" i="36"/>
  <c r="BD134" i="36"/>
  <c r="BC134" i="36"/>
  <c r="AY134" i="36"/>
  <c r="CV134" i="36" s="1"/>
  <c r="DI134" i="36" s="1"/>
  <c r="AX134" i="36"/>
  <c r="CU134" i="36" s="1"/>
  <c r="DH134" i="36" s="1"/>
  <c r="AW134" i="36"/>
  <c r="CT134" i="36" s="1"/>
  <c r="DG134" i="36" s="1"/>
  <c r="DK133" i="36"/>
  <c r="CW133" i="36"/>
  <c r="BQ133" i="36"/>
  <c r="BP133" i="36"/>
  <c r="BO133" i="36"/>
  <c r="BN133" i="36"/>
  <c r="BM133" i="36"/>
  <c r="BL133" i="36"/>
  <c r="BK133" i="36"/>
  <c r="BJ133" i="36"/>
  <c r="BI133" i="36"/>
  <c r="BH133" i="36"/>
  <c r="BG133" i="36"/>
  <c r="BF133" i="36"/>
  <c r="BE133" i="36"/>
  <c r="BD133" i="36"/>
  <c r="BC133" i="36"/>
  <c r="AY133" i="36"/>
  <c r="AX133" i="36"/>
  <c r="CU133" i="36" s="1"/>
  <c r="DH133" i="36" s="1"/>
  <c r="AW133" i="36"/>
  <c r="CT133" i="36" s="1"/>
  <c r="DG133" i="36" s="1"/>
  <c r="DK132" i="36"/>
  <c r="CW132" i="36"/>
  <c r="BQ132" i="36"/>
  <c r="BP132" i="36"/>
  <c r="BO132" i="36"/>
  <c r="BN132" i="36"/>
  <c r="BM132" i="36"/>
  <c r="BL132" i="36"/>
  <c r="BK132" i="36"/>
  <c r="BJ132" i="36"/>
  <c r="BI132" i="36"/>
  <c r="BH132" i="36"/>
  <c r="BG132" i="36"/>
  <c r="BF132" i="36"/>
  <c r="BE132" i="36"/>
  <c r="BD132" i="36"/>
  <c r="BC132" i="36"/>
  <c r="AY132" i="36"/>
  <c r="BZ132" i="36" s="1"/>
  <c r="AX132" i="36"/>
  <c r="AW132" i="36"/>
  <c r="CT132" i="36" s="1"/>
  <c r="DG132" i="36" s="1"/>
  <c r="DK131" i="36"/>
  <c r="CW131" i="36"/>
  <c r="BQ131" i="36"/>
  <c r="BP131" i="36"/>
  <c r="BO131" i="36"/>
  <c r="BN131" i="36"/>
  <c r="BM131" i="36"/>
  <c r="BL131" i="36"/>
  <c r="BK131" i="36"/>
  <c r="BJ131" i="36"/>
  <c r="BI131" i="36"/>
  <c r="BH131" i="36"/>
  <c r="BG131" i="36"/>
  <c r="BF131" i="36"/>
  <c r="BE131" i="36"/>
  <c r="BD131" i="36"/>
  <c r="BC131" i="36"/>
  <c r="AY131" i="36"/>
  <c r="CV131" i="36" s="1"/>
  <c r="DI131" i="36" s="1"/>
  <c r="AX131" i="36"/>
  <c r="CU131" i="36" s="1"/>
  <c r="DH131" i="36" s="1"/>
  <c r="AW131" i="36"/>
  <c r="CT131" i="36" s="1"/>
  <c r="DG131" i="36" s="1"/>
  <c r="DK130" i="36"/>
  <c r="CW130" i="36"/>
  <c r="BQ130" i="36"/>
  <c r="BP130" i="36"/>
  <c r="BO130" i="36"/>
  <c r="BN130" i="36"/>
  <c r="BM130" i="36"/>
  <c r="BL130" i="36"/>
  <c r="BK130" i="36"/>
  <c r="BJ130" i="36"/>
  <c r="BI130" i="36"/>
  <c r="BH130" i="36"/>
  <c r="BG130" i="36"/>
  <c r="BF130" i="36"/>
  <c r="BE130" i="36"/>
  <c r="BD130" i="36"/>
  <c r="BC130" i="36"/>
  <c r="AY130" i="36"/>
  <c r="BZ130" i="36" s="1"/>
  <c r="AX130" i="36"/>
  <c r="CU130" i="36" s="1"/>
  <c r="DH130" i="36" s="1"/>
  <c r="AW130" i="36"/>
  <c r="BX130" i="36" s="1"/>
  <c r="DK129" i="36"/>
  <c r="CW129" i="36"/>
  <c r="BQ129" i="36"/>
  <c r="BP129" i="36"/>
  <c r="BO129" i="36"/>
  <c r="BN129" i="36"/>
  <c r="BM129" i="36"/>
  <c r="BL129" i="36"/>
  <c r="BK129" i="36"/>
  <c r="BJ129" i="36"/>
  <c r="BI129" i="36"/>
  <c r="BH129" i="36"/>
  <c r="BG129" i="36"/>
  <c r="BF129" i="36"/>
  <c r="BE129" i="36"/>
  <c r="BD129" i="36"/>
  <c r="BC129" i="36"/>
  <c r="AY129" i="36"/>
  <c r="CV129" i="36" s="1"/>
  <c r="DI129" i="36" s="1"/>
  <c r="AX129" i="36"/>
  <c r="CU129" i="36" s="1"/>
  <c r="DH129" i="36" s="1"/>
  <c r="AW129" i="36"/>
  <c r="CT129" i="36" s="1"/>
  <c r="DG129" i="36" s="1"/>
  <c r="DK128" i="36"/>
  <c r="CW128" i="36"/>
  <c r="BQ128" i="36"/>
  <c r="BP128" i="36"/>
  <c r="BO128" i="36"/>
  <c r="BN128" i="36"/>
  <c r="BM128" i="36"/>
  <c r="BL128" i="36"/>
  <c r="BK128" i="36"/>
  <c r="BJ128" i="36"/>
  <c r="BI128" i="36"/>
  <c r="BH128" i="36"/>
  <c r="BG128" i="36"/>
  <c r="BF128" i="36"/>
  <c r="BE128" i="36"/>
  <c r="BD128" i="36"/>
  <c r="BC128" i="36"/>
  <c r="AY128" i="36"/>
  <c r="CV128" i="36" s="1"/>
  <c r="DI128" i="36" s="1"/>
  <c r="AX128" i="36"/>
  <c r="CU128" i="36" s="1"/>
  <c r="DH128" i="36" s="1"/>
  <c r="AW128" i="36"/>
  <c r="CT128" i="36" s="1"/>
  <c r="DG128" i="36" s="1"/>
  <c r="DK127" i="36"/>
  <c r="CW127" i="36"/>
  <c r="BQ127" i="36"/>
  <c r="BP127" i="36"/>
  <c r="BO127" i="36"/>
  <c r="BN127" i="36"/>
  <c r="BM127" i="36"/>
  <c r="BL127" i="36"/>
  <c r="BK127" i="36"/>
  <c r="BJ127" i="36"/>
  <c r="BI127" i="36"/>
  <c r="BH127" i="36"/>
  <c r="BG127" i="36"/>
  <c r="BF127" i="36"/>
  <c r="BE127" i="36"/>
  <c r="BD127" i="36"/>
  <c r="BC127" i="36"/>
  <c r="AY127" i="36"/>
  <c r="AX127" i="36"/>
  <c r="CU127" i="36" s="1"/>
  <c r="DH127" i="36" s="1"/>
  <c r="AW127" i="36"/>
  <c r="DK126" i="36"/>
  <c r="CW126" i="36"/>
  <c r="BQ126" i="36"/>
  <c r="BP126" i="36"/>
  <c r="BO126" i="36"/>
  <c r="BN126" i="36"/>
  <c r="BM126" i="36"/>
  <c r="BL126" i="36"/>
  <c r="BK126" i="36"/>
  <c r="BJ126" i="36"/>
  <c r="BI126" i="36"/>
  <c r="BH126" i="36"/>
  <c r="BG126" i="36"/>
  <c r="BF126" i="36"/>
  <c r="BE126" i="36"/>
  <c r="BD126" i="36"/>
  <c r="BC126" i="36"/>
  <c r="AY126" i="36"/>
  <c r="CV126" i="36" s="1"/>
  <c r="DI126" i="36" s="1"/>
  <c r="AX126" i="36"/>
  <c r="AW126" i="36"/>
  <c r="BX126" i="36" s="1"/>
  <c r="DK125" i="36"/>
  <c r="CW125" i="36"/>
  <c r="BQ125" i="36"/>
  <c r="BP125" i="36"/>
  <c r="BO125" i="36"/>
  <c r="BN125" i="36"/>
  <c r="BM125" i="36"/>
  <c r="BL125" i="36"/>
  <c r="BK125" i="36"/>
  <c r="BJ125" i="36"/>
  <c r="BI125" i="36"/>
  <c r="BH125" i="36"/>
  <c r="BG125" i="36"/>
  <c r="BF125" i="36"/>
  <c r="BE125" i="36"/>
  <c r="BD125" i="36"/>
  <c r="BC125" i="36"/>
  <c r="AY125" i="36"/>
  <c r="CV125" i="36" s="1"/>
  <c r="DI125" i="36" s="1"/>
  <c r="AX125" i="36"/>
  <c r="CU125" i="36" s="1"/>
  <c r="DH125" i="36" s="1"/>
  <c r="AW125" i="36"/>
  <c r="CT125" i="36" s="1"/>
  <c r="DG125" i="36" s="1"/>
  <c r="DK124" i="36"/>
  <c r="CW124" i="36"/>
  <c r="BQ124" i="36"/>
  <c r="BP124" i="36"/>
  <c r="BO124" i="36"/>
  <c r="BN124" i="36"/>
  <c r="BM124" i="36"/>
  <c r="BL124" i="36"/>
  <c r="BK124" i="36"/>
  <c r="BJ124" i="36"/>
  <c r="BI124" i="36"/>
  <c r="BH124" i="36"/>
  <c r="BG124" i="36"/>
  <c r="BF124" i="36"/>
  <c r="BE124" i="36"/>
  <c r="BD124" i="36"/>
  <c r="BC124" i="36"/>
  <c r="AY124" i="36"/>
  <c r="CV124" i="36" s="1"/>
  <c r="DI124" i="36" s="1"/>
  <c r="AX124" i="36"/>
  <c r="BY124" i="36" s="1"/>
  <c r="AW124" i="36"/>
  <c r="BX124" i="36" s="1"/>
  <c r="DK123" i="36"/>
  <c r="CW123" i="36"/>
  <c r="BQ123" i="36"/>
  <c r="BP123" i="36"/>
  <c r="BO123" i="36"/>
  <c r="BN123" i="36"/>
  <c r="BM123" i="36"/>
  <c r="BL123" i="36"/>
  <c r="BK123" i="36"/>
  <c r="BJ123" i="36"/>
  <c r="BI123" i="36"/>
  <c r="BH123" i="36"/>
  <c r="BG123" i="36"/>
  <c r="BF123" i="36"/>
  <c r="BE123" i="36"/>
  <c r="BD123" i="36"/>
  <c r="BC123" i="36"/>
  <c r="AY123" i="36"/>
  <c r="AX123" i="36"/>
  <c r="CU123" i="36" s="1"/>
  <c r="DH123" i="36" s="1"/>
  <c r="AW123" i="36"/>
  <c r="CT123" i="36" s="1"/>
  <c r="DG123" i="36" s="1"/>
  <c r="DK122" i="36"/>
  <c r="CW122" i="36"/>
  <c r="BQ122" i="36"/>
  <c r="BP122" i="36"/>
  <c r="BO122" i="36"/>
  <c r="BN122" i="36"/>
  <c r="BM122" i="36"/>
  <c r="BL122" i="36"/>
  <c r="BK122" i="36"/>
  <c r="BJ122" i="36"/>
  <c r="BI122" i="36"/>
  <c r="BH122" i="36"/>
  <c r="BG122" i="36"/>
  <c r="BF122" i="36"/>
  <c r="BE122" i="36"/>
  <c r="BD122" i="36"/>
  <c r="BC122" i="36"/>
  <c r="AY122" i="36"/>
  <c r="CV122" i="36" s="1"/>
  <c r="DI122" i="36" s="1"/>
  <c r="AX122" i="36"/>
  <c r="AW122" i="36"/>
  <c r="DK121" i="36"/>
  <c r="CW121" i="36"/>
  <c r="BQ121" i="36"/>
  <c r="BP121" i="36"/>
  <c r="BO121" i="36"/>
  <c r="BN121" i="36"/>
  <c r="BM121" i="36"/>
  <c r="BL121" i="36"/>
  <c r="BK121" i="36"/>
  <c r="BJ121" i="36"/>
  <c r="BI121" i="36"/>
  <c r="BH121" i="36"/>
  <c r="BG121" i="36"/>
  <c r="BF121" i="36"/>
  <c r="BE121" i="36"/>
  <c r="BD121" i="36"/>
  <c r="BC121" i="36"/>
  <c r="AY121" i="36"/>
  <c r="BZ121" i="36" s="1"/>
  <c r="AX121" i="36"/>
  <c r="BY121" i="36" s="1"/>
  <c r="AW121" i="36"/>
  <c r="DK120" i="36"/>
  <c r="CW120" i="36"/>
  <c r="BQ120" i="36"/>
  <c r="BP120" i="36"/>
  <c r="BO120" i="36"/>
  <c r="BN120" i="36"/>
  <c r="BM120" i="36"/>
  <c r="BL120" i="36"/>
  <c r="BK120" i="36"/>
  <c r="BJ120" i="36"/>
  <c r="BI120" i="36"/>
  <c r="BH120" i="36"/>
  <c r="BG120" i="36"/>
  <c r="BF120" i="36"/>
  <c r="BE120" i="36"/>
  <c r="BD120" i="36"/>
  <c r="BC120" i="36"/>
  <c r="AY120" i="36"/>
  <c r="BZ120" i="36" s="1"/>
  <c r="AX120" i="36"/>
  <c r="CU120" i="36" s="1"/>
  <c r="DH120" i="36" s="1"/>
  <c r="AW120" i="36"/>
  <c r="CT120" i="36" s="1"/>
  <c r="DG120" i="36" s="1"/>
  <c r="DK119" i="36"/>
  <c r="CW119" i="36"/>
  <c r="BQ119" i="36"/>
  <c r="BP119" i="36"/>
  <c r="BO119" i="36"/>
  <c r="BN119" i="36"/>
  <c r="BM119" i="36"/>
  <c r="BL119" i="36"/>
  <c r="BK119" i="36"/>
  <c r="BJ119" i="36"/>
  <c r="BI119" i="36"/>
  <c r="BH119" i="36"/>
  <c r="BG119" i="36"/>
  <c r="BF119" i="36"/>
  <c r="BE119" i="36"/>
  <c r="BD119" i="36"/>
  <c r="BC119" i="36"/>
  <c r="AY119" i="36"/>
  <c r="BZ119" i="36" s="1"/>
  <c r="AX119" i="36"/>
  <c r="CU119" i="36" s="1"/>
  <c r="DH119" i="36" s="1"/>
  <c r="AW119" i="36"/>
  <c r="BX119" i="36" s="1"/>
  <c r="DK118" i="36"/>
  <c r="CW118" i="36"/>
  <c r="BQ118" i="36"/>
  <c r="BP118" i="36"/>
  <c r="BO118" i="36"/>
  <c r="BN118" i="36"/>
  <c r="BM118" i="36"/>
  <c r="BL118" i="36"/>
  <c r="BK118" i="36"/>
  <c r="BJ118" i="36"/>
  <c r="BI118" i="36"/>
  <c r="BH118" i="36"/>
  <c r="BG118" i="36"/>
  <c r="BF118" i="36"/>
  <c r="BE118" i="36"/>
  <c r="BD118" i="36"/>
  <c r="BC118" i="36"/>
  <c r="AY118" i="36"/>
  <c r="AX118" i="36"/>
  <c r="AW118" i="36"/>
  <c r="CT118" i="36" s="1"/>
  <c r="DG118" i="36" s="1"/>
  <c r="DK117" i="36"/>
  <c r="CW117" i="36"/>
  <c r="BQ117" i="36"/>
  <c r="BP117" i="36"/>
  <c r="BO117" i="36"/>
  <c r="BN117" i="36"/>
  <c r="BM117" i="36"/>
  <c r="BL117" i="36"/>
  <c r="BK117" i="36"/>
  <c r="BJ117" i="36"/>
  <c r="BI117" i="36"/>
  <c r="BH117" i="36"/>
  <c r="BG117" i="36"/>
  <c r="BF117" i="36"/>
  <c r="BE117" i="36"/>
  <c r="BD117" i="36"/>
  <c r="BC117" i="36"/>
  <c r="AY117" i="36"/>
  <c r="AX117" i="36"/>
  <c r="CU117" i="36" s="1"/>
  <c r="DH117" i="36" s="1"/>
  <c r="AW117" i="36"/>
  <c r="DK116" i="36"/>
  <c r="CW116" i="36"/>
  <c r="BQ116" i="36"/>
  <c r="BP116" i="36"/>
  <c r="BO116" i="36"/>
  <c r="BN116" i="36"/>
  <c r="BM116" i="36"/>
  <c r="BL116" i="36"/>
  <c r="BK116" i="36"/>
  <c r="BJ116" i="36"/>
  <c r="BI116" i="36"/>
  <c r="BH116" i="36"/>
  <c r="BG116" i="36"/>
  <c r="BF116" i="36"/>
  <c r="BE116" i="36"/>
  <c r="BD116" i="36"/>
  <c r="BC116" i="36"/>
  <c r="AY116" i="36"/>
  <c r="CV116" i="36" s="1"/>
  <c r="DI116" i="36" s="1"/>
  <c r="AX116" i="36"/>
  <c r="BY116" i="36" s="1"/>
  <c r="AW116" i="36"/>
  <c r="DK115" i="36"/>
  <c r="CW115" i="36"/>
  <c r="BQ115" i="36"/>
  <c r="BP115" i="36"/>
  <c r="BO115" i="36"/>
  <c r="BN115" i="36"/>
  <c r="BM115" i="36"/>
  <c r="BL115" i="36"/>
  <c r="BK115" i="36"/>
  <c r="BJ115" i="36"/>
  <c r="BI115" i="36"/>
  <c r="BH115" i="36"/>
  <c r="BG115" i="36"/>
  <c r="BF115" i="36"/>
  <c r="BE115" i="36"/>
  <c r="BD115" i="36"/>
  <c r="BC115" i="36"/>
  <c r="AY115" i="36"/>
  <c r="AX115" i="36"/>
  <c r="CU115" i="36" s="1"/>
  <c r="DH115" i="36" s="1"/>
  <c r="AW115" i="36"/>
  <c r="CT115" i="36" s="1"/>
  <c r="DG115" i="36" s="1"/>
  <c r="DK114" i="36"/>
  <c r="CW114" i="36"/>
  <c r="BQ114" i="36"/>
  <c r="BP114" i="36"/>
  <c r="BO114" i="36"/>
  <c r="BN114" i="36"/>
  <c r="BM114" i="36"/>
  <c r="BL114" i="36"/>
  <c r="BK114" i="36"/>
  <c r="BJ114" i="36"/>
  <c r="BI114" i="36"/>
  <c r="BH114" i="36"/>
  <c r="BG114" i="36"/>
  <c r="BF114" i="36"/>
  <c r="BE114" i="36"/>
  <c r="BD114" i="36"/>
  <c r="BC114" i="36"/>
  <c r="AY114" i="36"/>
  <c r="AX114" i="36"/>
  <c r="AW114" i="36"/>
  <c r="CT114" i="36" s="1"/>
  <c r="DG114" i="36" s="1"/>
  <c r="DK113" i="36"/>
  <c r="CW113" i="36"/>
  <c r="BQ113" i="36"/>
  <c r="BP113" i="36"/>
  <c r="BO113" i="36"/>
  <c r="BN113" i="36"/>
  <c r="BM113" i="36"/>
  <c r="BL113" i="36"/>
  <c r="BK113" i="36"/>
  <c r="BJ113" i="36"/>
  <c r="BI113" i="36"/>
  <c r="BH113" i="36"/>
  <c r="BG113" i="36"/>
  <c r="BF113" i="36"/>
  <c r="BE113" i="36"/>
  <c r="BD113" i="36"/>
  <c r="BC113" i="36"/>
  <c r="AY113" i="36"/>
  <c r="AX113" i="36"/>
  <c r="CU113" i="36" s="1"/>
  <c r="DH113" i="36" s="1"/>
  <c r="AW113" i="36"/>
  <c r="DK112" i="36"/>
  <c r="CW112" i="36"/>
  <c r="BQ112" i="36"/>
  <c r="BP112" i="36"/>
  <c r="BO112" i="36"/>
  <c r="BN112" i="36"/>
  <c r="BM112" i="36"/>
  <c r="BL112" i="36"/>
  <c r="BK112" i="36"/>
  <c r="BJ112" i="36"/>
  <c r="BI112" i="36"/>
  <c r="BH112" i="36"/>
  <c r="BG112" i="36"/>
  <c r="BF112" i="36"/>
  <c r="BE112" i="36"/>
  <c r="BD112" i="36"/>
  <c r="BC112" i="36"/>
  <c r="AY112" i="36"/>
  <c r="AX112" i="36"/>
  <c r="CU112" i="36" s="1"/>
  <c r="DH112" i="36" s="1"/>
  <c r="AW112" i="36"/>
  <c r="DK111" i="36"/>
  <c r="CW111" i="36"/>
  <c r="BQ111" i="36"/>
  <c r="BP111" i="36"/>
  <c r="BO111" i="36"/>
  <c r="BN111" i="36"/>
  <c r="BM111" i="36"/>
  <c r="BL111" i="36"/>
  <c r="BK111" i="36"/>
  <c r="BJ111" i="36"/>
  <c r="BI111" i="36"/>
  <c r="BH111" i="36"/>
  <c r="BG111" i="36"/>
  <c r="BF111" i="36"/>
  <c r="BE111" i="36"/>
  <c r="BD111" i="36"/>
  <c r="BC111" i="36"/>
  <c r="AY111" i="36"/>
  <c r="AX111" i="36"/>
  <c r="CU111" i="36" s="1"/>
  <c r="DH111" i="36" s="1"/>
  <c r="AW111" i="36"/>
  <c r="DK110" i="36"/>
  <c r="CW110" i="36"/>
  <c r="BQ110" i="36"/>
  <c r="BP110" i="36"/>
  <c r="BO110" i="36"/>
  <c r="BN110" i="36"/>
  <c r="BM110" i="36"/>
  <c r="BL110" i="36"/>
  <c r="BK110" i="36"/>
  <c r="BJ110" i="36"/>
  <c r="BI110" i="36"/>
  <c r="BH110" i="36"/>
  <c r="BG110" i="36"/>
  <c r="BF110" i="36"/>
  <c r="BE110" i="36"/>
  <c r="BD110" i="36"/>
  <c r="BC110" i="36"/>
  <c r="AY110" i="36"/>
  <c r="AX110" i="36"/>
  <c r="AW110" i="36"/>
  <c r="CT110" i="36" s="1"/>
  <c r="DG110" i="36" s="1"/>
  <c r="DK109" i="36"/>
  <c r="CW109" i="36"/>
  <c r="BQ109" i="36"/>
  <c r="BP109" i="36"/>
  <c r="BO109" i="36"/>
  <c r="BN109" i="36"/>
  <c r="BM109" i="36"/>
  <c r="BL109" i="36"/>
  <c r="BK109" i="36"/>
  <c r="BJ109" i="36"/>
  <c r="BI109" i="36"/>
  <c r="BH109" i="36"/>
  <c r="BG109" i="36"/>
  <c r="BF109" i="36"/>
  <c r="BE109" i="36"/>
  <c r="BD109" i="36"/>
  <c r="BC109" i="36"/>
  <c r="AY109" i="36"/>
  <c r="AX109" i="36"/>
  <c r="AW109" i="36"/>
  <c r="CT109" i="36" s="1"/>
  <c r="DG109" i="36" s="1"/>
  <c r="DK108" i="36"/>
  <c r="CW108" i="36"/>
  <c r="BQ108" i="36"/>
  <c r="BP108" i="36"/>
  <c r="BO108" i="36"/>
  <c r="BN108" i="36"/>
  <c r="BM108" i="36"/>
  <c r="BL108" i="36"/>
  <c r="BK108" i="36"/>
  <c r="BJ108" i="36"/>
  <c r="BI108" i="36"/>
  <c r="BH108" i="36"/>
  <c r="BG108" i="36"/>
  <c r="BF108" i="36"/>
  <c r="BE108" i="36"/>
  <c r="BD108" i="36"/>
  <c r="BC108" i="36"/>
  <c r="AY108" i="36"/>
  <c r="AX108" i="36"/>
  <c r="BY108" i="36" s="1"/>
  <c r="AW108" i="36"/>
  <c r="CT108" i="36" s="1"/>
  <c r="DG108" i="36" s="1"/>
  <c r="DK107" i="36"/>
  <c r="CW107" i="36"/>
  <c r="BQ107" i="36"/>
  <c r="BP107" i="36"/>
  <c r="BO107" i="36"/>
  <c r="BN107" i="36"/>
  <c r="BM107" i="36"/>
  <c r="BL107" i="36"/>
  <c r="BK107" i="36"/>
  <c r="BJ107" i="36"/>
  <c r="BI107" i="36"/>
  <c r="BH107" i="36"/>
  <c r="BG107" i="36"/>
  <c r="BF107" i="36"/>
  <c r="BE107" i="36"/>
  <c r="BD107" i="36"/>
  <c r="BC107" i="36"/>
  <c r="AY107" i="36"/>
  <c r="AX107" i="36"/>
  <c r="CU107" i="36" s="1"/>
  <c r="DH107" i="36" s="1"/>
  <c r="AW107" i="36"/>
  <c r="CT107" i="36" s="1"/>
  <c r="DG107" i="36" s="1"/>
  <c r="DK106" i="36"/>
  <c r="CW106" i="36"/>
  <c r="BQ106" i="36"/>
  <c r="BP106" i="36"/>
  <c r="BO106" i="36"/>
  <c r="BN106" i="36"/>
  <c r="BM106" i="36"/>
  <c r="BL106" i="36"/>
  <c r="BK106" i="36"/>
  <c r="BJ106" i="36"/>
  <c r="BI106" i="36"/>
  <c r="BH106" i="36"/>
  <c r="BG106" i="36"/>
  <c r="BF106" i="36"/>
  <c r="BE106" i="36"/>
  <c r="BD106" i="36"/>
  <c r="BC106" i="36"/>
  <c r="AY106" i="36"/>
  <c r="AX106" i="36"/>
  <c r="BY106" i="36" s="1"/>
  <c r="AW106" i="36"/>
  <c r="CT106" i="36" s="1"/>
  <c r="DG106" i="36" s="1"/>
  <c r="DK105" i="36"/>
  <c r="CW105" i="36"/>
  <c r="BQ105" i="36"/>
  <c r="BP105" i="36"/>
  <c r="BO105" i="36"/>
  <c r="BN105" i="36"/>
  <c r="BM105" i="36"/>
  <c r="BL105" i="36"/>
  <c r="BK105" i="36"/>
  <c r="BJ105" i="36"/>
  <c r="BI105" i="36"/>
  <c r="BH105" i="36"/>
  <c r="BG105" i="36"/>
  <c r="BF105" i="36"/>
  <c r="BE105" i="36"/>
  <c r="BD105" i="36"/>
  <c r="BC105" i="36"/>
  <c r="AY105" i="36"/>
  <c r="BZ105" i="36" s="1"/>
  <c r="AX105" i="36"/>
  <c r="AW105" i="36"/>
  <c r="DK104" i="36"/>
  <c r="CW104" i="36"/>
  <c r="BQ104" i="36"/>
  <c r="BP104" i="36"/>
  <c r="BO104" i="36"/>
  <c r="BN104" i="36"/>
  <c r="BM104" i="36"/>
  <c r="BL104" i="36"/>
  <c r="BK104" i="36"/>
  <c r="BJ104" i="36"/>
  <c r="BI104" i="36"/>
  <c r="BH104" i="36"/>
  <c r="BG104" i="36"/>
  <c r="BF104" i="36"/>
  <c r="BE104" i="36"/>
  <c r="BD104" i="36"/>
  <c r="BC104" i="36"/>
  <c r="AY104" i="36"/>
  <c r="CV104" i="36" s="1"/>
  <c r="DI104" i="36" s="1"/>
  <c r="AX104" i="36"/>
  <c r="CU104" i="36" s="1"/>
  <c r="DH104" i="36" s="1"/>
  <c r="AW104" i="36"/>
  <c r="DK103" i="36"/>
  <c r="CW103" i="36"/>
  <c r="BQ103" i="36"/>
  <c r="BP103" i="36"/>
  <c r="BO103" i="36"/>
  <c r="BN103" i="36"/>
  <c r="BM103" i="36"/>
  <c r="BL103" i="36"/>
  <c r="BK103" i="36"/>
  <c r="BJ103" i="36"/>
  <c r="BI103" i="36"/>
  <c r="BH103" i="36"/>
  <c r="BG103" i="36"/>
  <c r="BF103" i="36"/>
  <c r="BE103" i="36"/>
  <c r="BD103" i="36"/>
  <c r="BC103" i="36"/>
  <c r="AY103" i="36"/>
  <c r="BZ103" i="36" s="1"/>
  <c r="AX103" i="36"/>
  <c r="AW103" i="36"/>
  <c r="BX103" i="36" s="1"/>
  <c r="DK102" i="36"/>
  <c r="CW102" i="36"/>
  <c r="BQ102" i="36"/>
  <c r="BP102" i="36"/>
  <c r="BO102" i="36"/>
  <c r="BN102" i="36"/>
  <c r="BM102" i="36"/>
  <c r="BL102" i="36"/>
  <c r="BK102" i="36"/>
  <c r="BJ102" i="36"/>
  <c r="BI102" i="36"/>
  <c r="BH102" i="36"/>
  <c r="BG102" i="36"/>
  <c r="BF102" i="36"/>
  <c r="BE102" i="36"/>
  <c r="BD102" i="36"/>
  <c r="BC102" i="36"/>
  <c r="AY102" i="36"/>
  <c r="CV102" i="36" s="1"/>
  <c r="DI102" i="36" s="1"/>
  <c r="AX102" i="36"/>
  <c r="AW102" i="36"/>
  <c r="BX102" i="36" s="1"/>
  <c r="DK101" i="36"/>
  <c r="CW101" i="36"/>
  <c r="BQ101" i="36"/>
  <c r="BP101" i="36"/>
  <c r="BO101" i="36"/>
  <c r="BN101" i="36"/>
  <c r="BM101" i="36"/>
  <c r="BL101" i="36"/>
  <c r="BK101" i="36"/>
  <c r="BJ101" i="36"/>
  <c r="BI101" i="36"/>
  <c r="BH101" i="36"/>
  <c r="BG101" i="36"/>
  <c r="BF101" i="36"/>
  <c r="BE101" i="36"/>
  <c r="BD101" i="36"/>
  <c r="BC101" i="36"/>
  <c r="AY101" i="36"/>
  <c r="CV101" i="36" s="1"/>
  <c r="DI101" i="36" s="1"/>
  <c r="AX101" i="36"/>
  <c r="AW101" i="36"/>
  <c r="DK100" i="36"/>
  <c r="CW100" i="36"/>
  <c r="BQ100" i="36"/>
  <c r="BP100" i="36"/>
  <c r="BO100" i="36"/>
  <c r="BN100" i="36"/>
  <c r="BM100" i="36"/>
  <c r="BL100" i="36"/>
  <c r="BK100" i="36"/>
  <c r="BJ100" i="36"/>
  <c r="BI100" i="36"/>
  <c r="BH100" i="36"/>
  <c r="BG100" i="36"/>
  <c r="BF100" i="36"/>
  <c r="BE100" i="36"/>
  <c r="BD100" i="36"/>
  <c r="BC100" i="36"/>
  <c r="AY100" i="36"/>
  <c r="CV100" i="36" s="1"/>
  <c r="DI100" i="36" s="1"/>
  <c r="AX100" i="36"/>
  <c r="BY100" i="36" s="1"/>
  <c r="AW100" i="36"/>
  <c r="BX100" i="36" s="1"/>
  <c r="DK99" i="36"/>
  <c r="CW99" i="36"/>
  <c r="BQ99" i="36"/>
  <c r="BP99" i="36"/>
  <c r="BO99" i="36"/>
  <c r="BN99" i="36"/>
  <c r="BM99" i="36"/>
  <c r="BL99" i="36"/>
  <c r="BK99" i="36"/>
  <c r="BJ99" i="36"/>
  <c r="BI99" i="36"/>
  <c r="BH99" i="36"/>
  <c r="BG99" i="36"/>
  <c r="BF99" i="36"/>
  <c r="BE99" i="36"/>
  <c r="BD99" i="36"/>
  <c r="BC99" i="36"/>
  <c r="AY99" i="36"/>
  <c r="AX99" i="36"/>
  <c r="CU99" i="36" s="1"/>
  <c r="DH99" i="36" s="1"/>
  <c r="AW99" i="36"/>
  <c r="CT99" i="36" s="1"/>
  <c r="DG99" i="36" s="1"/>
  <c r="DK98" i="36"/>
  <c r="CW98" i="36"/>
  <c r="BQ98" i="36"/>
  <c r="BP98" i="36"/>
  <c r="BO98" i="36"/>
  <c r="BN98" i="36"/>
  <c r="BM98" i="36"/>
  <c r="BL98" i="36"/>
  <c r="BK98" i="36"/>
  <c r="BJ98" i="36"/>
  <c r="BI98" i="36"/>
  <c r="BH98" i="36"/>
  <c r="BG98" i="36"/>
  <c r="BF98" i="36"/>
  <c r="BE98" i="36"/>
  <c r="BD98" i="36"/>
  <c r="BC98" i="36"/>
  <c r="AY98" i="36"/>
  <c r="AX98" i="36"/>
  <c r="BY98" i="36" s="1"/>
  <c r="AW98" i="36"/>
  <c r="CT98" i="36" s="1"/>
  <c r="DG98" i="36" s="1"/>
  <c r="DK97" i="36"/>
  <c r="CW97" i="36"/>
  <c r="BQ97" i="36"/>
  <c r="BP97" i="36"/>
  <c r="BO97" i="36"/>
  <c r="BN97" i="36"/>
  <c r="BM97" i="36"/>
  <c r="BL97" i="36"/>
  <c r="BK97" i="36"/>
  <c r="BJ97" i="36"/>
  <c r="BI97" i="36"/>
  <c r="BH97" i="36"/>
  <c r="BG97" i="36"/>
  <c r="BF97" i="36"/>
  <c r="BE97" i="36"/>
  <c r="BD97" i="36"/>
  <c r="BC97" i="36"/>
  <c r="AY97" i="36"/>
  <c r="BZ97" i="36" s="1"/>
  <c r="AX97" i="36"/>
  <c r="AW97" i="36"/>
  <c r="DK96" i="36"/>
  <c r="CW96" i="36"/>
  <c r="BQ96" i="36"/>
  <c r="BP96" i="36"/>
  <c r="BO96" i="36"/>
  <c r="BN96" i="36"/>
  <c r="BM96" i="36"/>
  <c r="BL96" i="36"/>
  <c r="BK96" i="36"/>
  <c r="BJ96" i="36"/>
  <c r="BI96" i="36"/>
  <c r="BH96" i="36"/>
  <c r="BG96" i="36"/>
  <c r="BF96" i="36"/>
  <c r="BE96" i="36"/>
  <c r="BD96" i="36"/>
  <c r="BC96" i="36"/>
  <c r="AY96" i="36"/>
  <c r="CV96" i="36" s="1"/>
  <c r="DI96" i="36" s="1"/>
  <c r="AX96" i="36"/>
  <c r="CU96" i="36" s="1"/>
  <c r="DH96" i="36" s="1"/>
  <c r="AW96" i="36"/>
  <c r="DK95" i="36"/>
  <c r="CW95" i="36"/>
  <c r="BQ95" i="36"/>
  <c r="BP95" i="36"/>
  <c r="BO95" i="36"/>
  <c r="BN95" i="36"/>
  <c r="BM95" i="36"/>
  <c r="BL95" i="36"/>
  <c r="BK95" i="36"/>
  <c r="BJ95" i="36"/>
  <c r="BI95" i="36"/>
  <c r="BH95" i="36"/>
  <c r="BG95" i="36"/>
  <c r="BF95" i="36"/>
  <c r="BE95" i="36"/>
  <c r="BD95" i="36"/>
  <c r="BC95" i="36"/>
  <c r="AY95" i="36"/>
  <c r="BZ95" i="36" s="1"/>
  <c r="AX95" i="36"/>
  <c r="CU95" i="36" s="1"/>
  <c r="DH95" i="36" s="1"/>
  <c r="AW95" i="36"/>
  <c r="BX95" i="36" s="1"/>
  <c r="DK94" i="36"/>
  <c r="CW94" i="36"/>
  <c r="BQ94" i="36"/>
  <c r="BP94" i="36"/>
  <c r="BO94" i="36"/>
  <c r="BN94" i="36"/>
  <c r="BM94" i="36"/>
  <c r="BL94" i="36"/>
  <c r="BK94" i="36"/>
  <c r="BJ94" i="36"/>
  <c r="BI94" i="36"/>
  <c r="BH94" i="36"/>
  <c r="BG94" i="36"/>
  <c r="BF94" i="36"/>
  <c r="BE94" i="36"/>
  <c r="BD94" i="36"/>
  <c r="BC94" i="36"/>
  <c r="AY94" i="36"/>
  <c r="BZ94" i="36" s="1"/>
  <c r="AX94" i="36"/>
  <c r="AW94" i="36"/>
  <c r="BX94" i="36" s="1"/>
  <c r="DK93" i="36"/>
  <c r="CW93" i="36"/>
  <c r="BQ93" i="36"/>
  <c r="BP93" i="36"/>
  <c r="BO93" i="36"/>
  <c r="BN93" i="36"/>
  <c r="BM93" i="36"/>
  <c r="BL93" i="36"/>
  <c r="BK93" i="36"/>
  <c r="BJ93" i="36"/>
  <c r="BI93" i="36"/>
  <c r="BH93" i="36"/>
  <c r="BG93" i="36"/>
  <c r="BF93" i="36"/>
  <c r="BE93" i="36"/>
  <c r="BD93" i="36"/>
  <c r="BC93" i="36"/>
  <c r="AY93" i="36"/>
  <c r="CV93" i="36" s="1"/>
  <c r="DI93" i="36" s="1"/>
  <c r="AX93" i="36"/>
  <c r="AW93" i="36"/>
  <c r="CT93" i="36" s="1"/>
  <c r="DG93" i="36" s="1"/>
  <c r="DK92" i="36"/>
  <c r="CW92" i="36"/>
  <c r="BQ92" i="36"/>
  <c r="BP92" i="36"/>
  <c r="BO92" i="36"/>
  <c r="BN92" i="36"/>
  <c r="BM92" i="36"/>
  <c r="BL92" i="36"/>
  <c r="BK92" i="36"/>
  <c r="BJ92" i="36"/>
  <c r="BI92" i="36"/>
  <c r="BH92" i="36"/>
  <c r="BG92" i="36"/>
  <c r="BF92" i="36"/>
  <c r="BE92" i="36"/>
  <c r="BD92" i="36"/>
  <c r="BC92" i="36"/>
  <c r="AY92" i="36"/>
  <c r="CV92" i="36" s="1"/>
  <c r="DI92" i="36" s="1"/>
  <c r="AX92" i="36"/>
  <c r="CU92" i="36" s="1"/>
  <c r="DH92" i="36" s="1"/>
  <c r="AW92" i="36"/>
  <c r="CT92" i="36" s="1"/>
  <c r="DG92" i="36" s="1"/>
  <c r="DK91" i="36"/>
  <c r="CW91" i="36"/>
  <c r="BQ91" i="36"/>
  <c r="BP91" i="36"/>
  <c r="BO91" i="36"/>
  <c r="BN91" i="36"/>
  <c r="BM91" i="36"/>
  <c r="BL91" i="36"/>
  <c r="BK91" i="36"/>
  <c r="BJ91" i="36"/>
  <c r="BI91" i="36"/>
  <c r="BH91" i="36"/>
  <c r="BG91" i="36"/>
  <c r="BF91" i="36"/>
  <c r="BE91" i="36"/>
  <c r="BD91" i="36"/>
  <c r="BC91" i="36"/>
  <c r="AY91" i="36"/>
  <c r="BZ91" i="36" s="1"/>
  <c r="AX91" i="36"/>
  <c r="CU91" i="36" s="1"/>
  <c r="DH91" i="36" s="1"/>
  <c r="AW91" i="36"/>
  <c r="CT91" i="36" s="1"/>
  <c r="DG91" i="36" s="1"/>
  <c r="DK90" i="36"/>
  <c r="CW90" i="36"/>
  <c r="BQ90" i="36"/>
  <c r="BP90" i="36"/>
  <c r="BO90" i="36"/>
  <c r="BN90" i="36"/>
  <c r="BM90" i="36"/>
  <c r="BL90" i="36"/>
  <c r="BK90" i="36"/>
  <c r="BJ90" i="36"/>
  <c r="BI90" i="36"/>
  <c r="BH90" i="36"/>
  <c r="BG90" i="36"/>
  <c r="BF90" i="36"/>
  <c r="BE90" i="36"/>
  <c r="BD90" i="36"/>
  <c r="BC90" i="36"/>
  <c r="AY90" i="36"/>
  <c r="BZ90" i="36" s="1"/>
  <c r="AX90" i="36"/>
  <c r="CU90" i="36" s="1"/>
  <c r="DH90" i="36" s="1"/>
  <c r="AW90" i="36"/>
  <c r="CT90" i="36" s="1"/>
  <c r="DG90" i="36" s="1"/>
  <c r="DK89" i="36"/>
  <c r="CW89" i="36"/>
  <c r="BQ89" i="36"/>
  <c r="BP89" i="36"/>
  <c r="BO89" i="36"/>
  <c r="BN89" i="36"/>
  <c r="BM89" i="36"/>
  <c r="BL89" i="36"/>
  <c r="BK89" i="36"/>
  <c r="BJ89" i="36"/>
  <c r="BI89" i="36"/>
  <c r="BH89" i="36"/>
  <c r="BG89" i="36"/>
  <c r="BF89" i="36"/>
  <c r="BE89" i="36"/>
  <c r="BD89" i="36"/>
  <c r="BC89" i="36"/>
  <c r="AY89" i="36"/>
  <c r="CV89" i="36" s="1"/>
  <c r="DI89" i="36" s="1"/>
  <c r="AX89" i="36"/>
  <c r="CU89" i="36" s="1"/>
  <c r="DH89" i="36" s="1"/>
  <c r="AW89" i="36"/>
  <c r="BX89" i="36" s="1"/>
  <c r="DK88" i="36"/>
  <c r="CW88" i="36"/>
  <c r="BQ88" i="36"/>
  <c r="BP88" i="36"/>
  <c r="BO88" i="36"/>
  <c r="BN88" i="36"/>
  <c r="BM88" i="36"/>
  <c r="BL88" i="36"/>
  <c r="BK88" i="36"/>
  <c r="BJ88" i="36"/>
  <c r="BI88" i="36"/>
  <c r="BH88" i="36"/>
  <c r="BG88" i="36"/>
  <c r="BF88" i="36"/>
  <c r="BE88" i="36"/>
  <c r="BD88" i="36"/>
  <c r="BC88" i="36"/>
  <c r="AY88" i="36"/>
  <c r="BZ88" i="36" s="1"/>
  <c r="AX88" i="36"/>
  <c r="CU88" i="36" s="1"/>
  <c r="DH88" i="36" s="1"/>
  <c r="AW88" i="36"/>
  <c r="BX88" i="36" s="1"/>
  <c r="DK87" i="36"/>
  <c r="CW87" i="36"/>
  <c r="BQ87" i="36"/>
  <c r="BP87" i="36"/>
  <c r="BO87" i="36"/>
  <c r="BN87" i="36"/>
  <c r="BM87" i="36"/>
  <c r="BL87" i="36"/>
  <c r="BK87" i="36"/>
  <c r="BJ87" i="36"/>
  <c r="BI87" i="36"/>
  <c r="BH87" i="36"/>
  <c r="BG87" i="36"/>
  <c r="BF87" i="36"/>
  <c r="BE87" i="36"/>
  <c r="BD87" i="36"/>
  <c r="BC87" i="36"/>
  <c r="AY87" i="36"/>
  <c r="CV87" i="36" s="1"/>
  <c r="DI87" i="36" s="1"/>
  <c r="AX87" i="36"/>
  <c r="CU87" i="36" s="1"/>
  <c r="DH87" i="36" s="1"/>
  <c r="AW87" i="36"/>
  <c r="BX87" i="36" s="1"/>
  <c r="DK86" i="36"/>
  <c r="CW86" i="36"/>
  <c r="BQ86" i="36"/>
  <c r="BP86" i="36"/>
  <c r="BO86" i="36"/>
  <c r="BN86" i="36"/>
  <c r="BM86" i="36"/>
  <c r="BL86" i="36"/>
  <c r="BK86" i="36"/>
  <c r="BJ86" i="36"/>
  <c r="BI86" i="36"/>
  <c r="BH86" i="36"/>
  <c r="BG86" i="36"/>
  <c r="BF86" i="36"/>
  <c r="BE86" i="36"/>
  <c r="BD86" i="36"/>
  <c r="BC86" i="36"/>
  <c r="AY86" i="36"/>
  <c r="CV86" i="36" s="1"/>
  <c r="DI86" i="36" s="1"/>
  <c r="AX86" i="36"/>
  <c r="AW86" i="36"/>
  <c r="CT86" i="36" s="1"/>
  <c r="DG86" i="36" s="1"/>
  <c r="DK85" i="36"/>
  <c r="CW85" i="36"/>
  <c r="BQ85" i="36"/>
  <c r="BP85" i="36"/>
  <c r="BO85" i="36"/>
  <c r="BN85" i="36"/>
  <c r="BM85" i="36"/>
  <c r="BL85" i="36"/>
  <c r="BK85" i="36"/>
  <c r="BJ85" i="36"/>
  <c r="BI85" i="36"/>
  <c r="BH85" i="36"/>
  <c r="BG85" i="36"/>
  <c r="BF85" i="36"/>
  <c r="BE85" i="36"/>
  <c r="BD85" i="36"/>
  <c r="BC85" i="36"/>
  <c r="AY85" i="36"/>
  <c r="CV85" i="36" s="1"/>
  <c r="DI85" i="36" s="1"/>
  <c r="AX85" i="36"/>
  <c r="AW85" i="36"/>
  <c r="CT85" i="36" s="1"/>
  <c r="DG85" i="36" s="1"/>
  <c r="DK84" i="36"/>
  <c r="CW84" i="36"/>
  <c r="BQ84" i="36"/>
  <c r="BP84" i="36"/>
  <c r="BO84" i="36"/>
  <c r="BN84" i="36"/>
  <c r="BM84" i="36"/>
  <c r="BL84" i="36"/>
  <c r="BK84" i="36"/>
  <c r="BJ84" i="36"/>
  <c r="BI84" i="36"/>
  <c r="BH84" i="36"/>
  <c r="BG84" i="36"/>
  <c r="BF84" i="36"/>
  <c r="BE84" i="36"/>
  <c r="BD84" i="36"/>
  <c r="BC84" i="36"/>
  <c r="AY84" i="36"/>
  <c r="CV84" i="36" s="1"/>
  <c r="DI84" i="36" s="1"/>
  <c r="AX84" i="36"/>
  <c r="BY84" i="36" s="1"/>
  <c r="AW84" i="36"/>
  <c r="CT84" i="36" s="1"/>
  <c r="DG84" i="36" s="1"/>
  <c r="DK83" i="36"/>
  <c r="CW83" i="36"/>
  <c r="BQ83" i="36"/>
  <c r="BP83" i="36"/>
  <c r="BO83" i="36"/>
  <c r="BN83" i="36"/>
  <c r="BM83" i="36"/>
  <c r="BL83" i="36"/>
  <c r="BK83" i="36"/>
  <c r="BJ83" i="36"/>
  <c r="BI83" i="36"/>
  <c r="BH83" i="36"/>
  <c r="BG83" i="36"/>
  <c r="BF83" i="36"/>
  <c r="BE83" i="36"/>
  <c r="BD83" i="36"/>
  <c r="BC83" i="36"/>
  <c r="AY83" i="36"/>
  <c r="CV83" i="36" s="1"/>
  <c r="DI83" i="36" s="1"/>
  <c r="AX83" i="36"/>
  <c r="CU83" i="36" s="1"/>
  <c r="DH83" i="36" s="1"/>
  <c r="AW83" i="36"/>
  <c r="BX83" i="36" s="1"/>
  <c r="DK82" i="36"/>
  <c r="CW82" i="36"/>
  <c r="BQ82" i="36"/>
  <c r="BP82" i="36"/>
  <c r="BO82" i="36"/>
  <c r="BN82" i="36"/>
  <c r="BM82" i="36"/>
  <c r="BL82" i="36"/>
  <c r="BK82" i="36"/>
  <c r="BJ82" i="36"/>
  <c r="BI82" i="36"/>
  <c r="BH82" i="36"/>
  <c r="BG82" i="36"/>
  <c r="BF82" i="36"/>
  <c r="BE82" i="36"/>
  <c r="BD82" i="36"/>
  <c r="BC82" i="36"/>
  <c r="AY82" i="36"/>
  <c r="BZ82" i="36" s="1"/>
  <c r="AX82" i="36"/>
  <c r="BY82" i="36" s="1"/>
  <c r="AW82" i="36"/>
  <c r="CT82" i="36" s="1"/>
  <c r="DG82" i="36" s="1"/>
  <c r="DK81" i="36"/>
  <c r="CW81" i="36"/>
  <c r="BQ81" i="36"/>
  <c r="BP81" i="36"/>
  <c r="BO81" i="36"/>
  <c r="BN81" i="36"/>
  <c r="BM81" i="36"/>
  <c r="BL81" i="36"/>
  <c r="BK81" i="36"/>
  <c r="BJ81" i="36"/>
  <c r="BI81" i="36"/>
  <c r="BH81" i="36"/>
  <c r="BG81" i="36"/>
  <c r="BF81" i="36"/>
  <c r="BE81" i="36"/>
  <c r="BD81" i="36"/>
  <c r="BC81" i="36"/>
  <c r="AY81" i="36"/>
  <c r="CV81" i="36" s="1"/>
  <c r="DI81" i="36" s="1"/>
  <c r="AX81" i="36"/>
  <c r="BY81" i="36" s="1"/>
  <c r="AW81" i="36"/>
  <c r="CT81" i="36" s="1"/>
  <c r="DG81" i="36" s="1"/>
  <c r="DK80" i="36"/>
  <c r="CW80" i="36"/>
  <c r="BQ80" i="36"/>
  <c r="BP80" i="36"/>
  <c r="BO80" i="36"/>
  <c r="BN80" i="36"/>
  <c r="BM80" i="36"/>
  <c r="BL80" i="36"/>
  <c r="BK80" i="36"/>
  <c r="BJ80" i="36"/>
  <c r="BI80" i="36"/>
  <c r="BH80" i="36"/>
  <c r="BG80" i="36"/>
  <c r="BF80" i="36"/>
  <c r="BE80" i="36"/>
  <c r="BD80" i="36"/>
  <c r="BC80" i="36"/>
  <c r="AY80" i="36"/>
  <c r="BZ80" i="36" s="1"/>
  <c r="AX80" i="36"/>
  <c r="BY80" i="36" s="1"/>
  <c r="AW80" i="36"/>
  <c r="BX80" i="36" s="1"/>
  <c r="DK79" i="36"/>
  <c r="CW79" i="36"/>
  <c r="BQ79" i="36"/>
  <c r="BP79" i="36"/>
  <c r="BO79" i="36"/>
  <c r="BN79" i="36"/>
  <c r="BM79" i="36"/>
  <c r="BL79" i="36"/>
  <c r="BK79" i="36"/>
  <c r="BJ79" i="36"/>
  <c r="BI79" i="36"/>
  <c r="BH79" i="36"/>
  <c r="BG79" i="36"/>
  <c r="BF79" i="36"/>
  <c r="BE79" i="36"/>
  <c r="BD79" i="36"/>
  <c r="BC79" i="36"/>
  <c r="AY79" i="36"/>
  <c r="CV79" i="36" s="1"/>
  <c r="DI79" i="36" s="1"/>
  <c r="AX79" i="36"/>
  <c r="CU79" i="36" s="1"/>
  <c r="DH79" i="36" s="1"/>
  <c r="AW79" i="36"/>
  <c r="DK78" i="36"/>
  <c r="CW78" i="36"/>
  <c r="BQ78" i="36"/>
  <c r="BP78" i="36"/>
  <c r="BO78" i="36"/>
  <c r="BN78" i="36"/>
  <c r="BM78" i="36"/>
  <c r="BL78" i="36"/>
  <c r="BK78" i="36"/>
  <c r="BJ78" i="36"/>
  <c r="BI78" i="36"/>
  <c r="BH78" i="36"/>
  <c r="BG78" i="36"/>
  <c r="BF78" i="36"/>
  <c r="BE78" i="36"/>
  <c r="BD78" i="36"/>
  <c r="BC78" i="36"/>
  <c r="AY78" i="36"/>
  <c r="CV78" i="36" s="1"/>
  <c r="DI78" i="36" s="1"/>
  <c r="AX78" i="36"/>
  <c r="CU78" i="36" s="1"/>
  <c r="DH78" i="36" s="1"/>
  <c r="AW78" i="36"/>
  <c r="BX78" i="36" s="1"/>
  <c r="DK77" i="36"/>
  <c r="CW77" i="36"/>
  <c r="BQ77" i="36"/>
  <c r="BP77" i="36"/>
  <c r="BO77" i="36"/>
  <c r="BN77" i="36"/>
  <c r="BM77" i="36"/>
  <c r="BL77" i="36"/>
  <c r="BK77" i="36"/>
  <c r="BJ77" i="36"/>
  <c r="BI77" i="36"/>
  <c r="BH77" i="36"/>
  <c r="BG77" i="36"/>
  <c r="BF77" i="36"/>
  <c r="BE77" i="36"/>
  <c r="BD77" i="36"/>
  <c r="BC77" i="36"/>
  <c r="AY77" i="36"/>
  <c r="CV77" i="36" s="1"/>
  <c r="DI77" i="36" s="1"/>
  <c r="AX77" i="36"/>
  <c r="BY77" i="36" s="1"/>
  <c r="AW77" i="36"/>
  <c r="CT77" i="36" s="1"/>
  <c r="DG77" i="36" s="1"/>
  <c r="DK76" i="36"/>
  <c r="CW76" i="36"/>
  <c r="BQ76" i="36"/>
  <c r="BP76" i="36"/>
  <c r="BO76" i="36"/>
  <c r="BN76" i="36"/>
  <c r="BM76" i="36"/>
  <c r="BL76" i="36"/>
  <c r="BK76" i="36"/>
  <c r="BJ76" i="36"/>
  <c r="BI76" i="36"/>
  <c r="BH76" i="36"/>
  <c r="BG76" i="36"/>
  <c r="BF76" i="36"/>
  <c r="BE76" i="36"/>
  <c r="BD76" i="36"/>
  <c r="BC76" i="36"/>
  <c r="AY76" i="36"/>
  <c r="CV76" i="36" s="1"/>
  <c r="DI76" i="36" s="1"/>
  <c r="AX76" i="36"/>
  <c r="CU76" i="36" s="1"/>
  <c r="DH76" i="36" s="1"/>
  <c r="AW76" i="36"/>
  <c r="DK75" i="36"/>
  <c r="CW75" i="36"/>
  <c r="BQ75" i="36"/>
  <c r="BP75" i="36"/>
  <c r="BO75" i="36"/>
  <c r="BN75" i="36"/>
  <c r="BM75" i="36"/>
  <c r="BL75" i="36"/>
  <c r="BK75" i="36"/>
  <c r="BJ75" i="36"/>
  <c r="BI75" i="36"/>
  <c r="BH75" i="36"/>
  <c r="BG75" i="36"/>
  <c r="BF75" i="36"/>
  <c r="BE75" i="36"/>
  <c r="BD75" i="36"/>
  <c r="BC75" i="36"/>
  <c r="AY75" i="36"/>
  <c r="CV75" i="36" s="1"/>
  <c r="DI75" i="36" s="1"/>
  <c r="AX75" i="36"/>
  <c r="BY75" i="36" s="1"/>
  <c r="AW75" i="36"/>
  <c r="DK74" i="36"/>
  <c r="CW74" i="36"/>
  <c r="BQ74" i="36"/>
  <c r="BP74" i="36"/>
  <c r="BO74" i="36"/>
  <c r="BN74" i="36"/>
  <c r="BM74" i="36"/>
  <c r="BL74" i="36"/>
  <c r="BK74" i="36"/>
  <c r="BJ74" i="36"/>
  <c r="BI74" i="36"/>
  <c r="BH74" i="36"/>
  <c r="BG74" i="36"/>
  <c r="BF74" i="36"/>
  <c r="BE74" i="36"/>
  <c r="BD74" i="36"/>
  <c r="BC74" i="36"/>
  <c r="AY74" i="36"/>
  <c r="BZ74" i="36" s="1"/>
  <c r="AX74" i="36"/>
  <c r="CU74" i="36" s="1"/>
  <c r="DH74" i="36" s="1"/>
  <c r="AW74" i="36"/>
  <c r="CT74" i="36" s="1"/>
  <c r="DG74" i="36" s="1"/>
  <c r="DK73" i="36"/>
  <c r="CW73" i="36"/>
  <c r="BQ73" i="36"/>
  <c r="BP73" i="36"/>
  <c r="BO73" i="36"/>
  <c r="BN73" i="36"/>
  <c r="BM73" i="36"/>
  <c r="BL73" i="36"/>
  <c r="BK73" i="36"/>
  <c r="BJ73" i="36"/>
  <c r="BI73" i="36"/>
  <c r="BH73" i="36"/>
  <c r="BG73" i="36"/>
  <c r="BF73" i="36"/>
  <c r="BE73" i="36"/>
  <c r="BD73" i="36"/>
  <c r="BC73" i="36"/>
  <c r="AY73" i="36"/>
  <c r="CV73" i="36" s="1"/>
  <c r="DI73" i="36" s="1"/>
  <c r="AX73" i="36"/>
  <c r="CU73" i="36" s="1"/>
  <c r="DH73" i="36" s="1"/>
  <c r="AW73" i="36"/>
  <c r="BX73" i="36" s="1"/>
  <c r="DK72" i="36"/>
  <c r="CW72" i="36"/>
  <c r="BQ72" i="36"/>
  <c r="BP72" i="36"/>
  <c r="BO72" i="36"/>
  <c r="BN72" i="36"/>
  <c r="BM72" i="36"/>
  <c r="BL72" i="36"/>
  <c r="BK72" i="36"/>
  <c r="BJ72" i="36"/>
  <c r="BI72" i="36"/>
  <c r="BH72" i="36"/>
  <c r="BG72" i="36"/>
  <c r="BF72" i="36"/>
  <c r="BE72" i="36"/>
  <c r="BD72" i="36"/>
  <c r="BC72" i="36"/>
  <c r="AY72" i="36"/>
  <c r="AX72" i="36"/>
  <c r="CU72" i="36" s="1"/>
  <c r="DH72" i="36" s="1"/>
  <c r="AW72" i="36"/>
  <c r="DK71" i="36"/>
  <c r="CW71" i="36"/>
  <c r="BQ71" i="36"/>
  <c r="BP71" i="36"/>
  <c r="BO71" i="36"/>
  <c r="BN71" i="36"/>
  <c r="BM71" i="36"/>
  <c r="BL71" i="36"/>
  <c r="BK71" i="36"/>
  <c r="BJ71" i="36"/>
  <c r="BI71" i="36"/>
  <c r="BH71" i="36"/>
  <c r="BG71" i="36"/>
  <c r="BF71" i="36"/>
  <c r="BE71" i="36"/>
  <c r="BD71" i="36"/>
  <c r="BC71" i="36"/>
  <c r="AY71" i="36"/>
  <c r="BZ71" i="36" s="1"/>
  <c r="AX71" i="36"/>
  <c r="CU71" i="36" s="1"/>
  <c r="DH71" i="36" s="1"/>
  <c r="AW71" i="36"/>
  <c r="CT71" i="36" s="1"/>
  <c r="DG71" i="36" s="1"/>
  <c r="DK70" i="36"/>
  <c r="CW70" i="36"/>
  <c r="BQ70" i="36"/>
  <c r="BP70" i="36"/>
  <c r="BO70" i="36"/>
  <c r="BN70" i="36"/>
  <c r="BM70" i="36"/>
  <c r="BL70" i="36"/>
  <c r="BK70" i="36"/>
  <c r="BJ70" i="36"/>
  <c r="BI70" i="36"/>
  <c r="BH70" i="36"/>
  <c r="BG70" i="36"/>
  <c r="BF70" i="36"/>
  <c r="BE70" i="36"/>
  <c r="BD70" i="36"/>
  <c r="BC70" i="36"/>
  <c r="AY70" i="36"/>
  <c r="CV70" i="36" s="1"/>
  <c r="DI70" i="36" s="1"/>
  <c r="AX70" i="36"/>
  <c r="AW70" i="36"/>
  <c r="CT70" i="36" s="1"/>
  <c r="DG70" i="36" s="1"/>
  <c r="DK69" i="36"/>
  <c r="CW69" i="36"/>
  <c r="BQ69" i="36"/>
  <c r="BP69" i="36"/>
  <c r="BO69" i="36"/>
  <c r="BN69" i="36"/>
  <c r="BM69" i="36"/>
  <c r="BL69" i="36"/>
  <c r="BK69" i="36"/>
  <c r="BJ69" i="36"/>
  <c r="BI69" i="36"/>
  <c r="BH69" i="36"/>
  <c r="BG69" i="36"/>
  <c r="BF69" i="36"/>
  <c r="BE69" i="36"/>
  <c r="BD69" i="36"/>
  <c r="BC69" i="36"/>
  <c r="AY69" i="36"/>
  <c r="CV69" i="36" s="1"/>
  <c r="DI69" i="36" s="1"/>
  <c r="AX69" i="36"/>
  <c r="BY69" i="36" s="1"/>
  <c r="AW69" i="36"/>
  <c r="CT69" i="36" s="1"/>
  <c r="DG69" i="36" s="1"/>
  <c r="DK68" i="36"/>
  <c r="CW68" i="36"/>
  <c r="BQ68" i="36"/>
  <c r="BP68" i="36"/>
  <c r="BO68" i="36"/>
  <c r="BN68" i="36"/>
  <c r="BM68" i="36"/>
  <c r="BL68" i="36"/>
  <c r="BK68" i="36"/>
  <c r="BJ68" i="36"/>
  <c r="BI68" i="36"/>
  <c r="BH68" i="36"/>
  <c r="BG68" i="36"/>
  <c r="BF68" i="36"/>
  <c r="BE68" i="36"/>
  <c r="BD68" i="36"/>
  <c r="BC68" i="36"/>
  <c r="AY68" i="36"/>
  <c r="CV68" i="36" s="1"/>
  <c r="DI68" i="36" s="1"/>
  <c r="AX68" i="36"/>
  <c r="CU68" i="36" s="1"/>
  <c r="DH68" i="36" s="1"/>
  <c r="AW68" i="36"/>
  <c r="DK67" i="36"/>
  <c r="CW67" i="36"/>
  <c r="BQ67" i="36"/>
  <c r="BP67" i="36"/>
  <c r="BO67" i="36"/>
  <c r="BN67" i="36"/>
  <c r="BM67" i="36"/>
  <c r="BL67" i="36"/>
  <c r="BK67" i="36"/>
  <c r="BJ67" i="36"/>
  <c r="BI67" i="36"/>
  <c r="BH67" i="36"/>
  <c r="BG67" i="36"/>
  <c r="BF67" i="36"/>
  <c r="BE67" i="36"/>
  <c r="BD67" i="36"/>
  <c r="BC67" i="36"/>
  <c r="AY67" i="36"/>
  <c r="CV67" i="36" s="1"/>
  <c r="DI67" i="36" s="1"/>
  <c r="AX67" i="36"/>
  <c r="CU67" i="36" s="1"/>
  <c r="DH67" i="36" s="1"/>
  <c r="AW67" i="36"/>
  <c r="DK66" i="36"/>
  <c r="CW66" i="36"/>
  <c r="BQ66" i="36"/>
  <c r="BP66" i="36"/>
  <c r="BO66" i="36"/>
  <c r="BN66" i="36"/>
  <c r="BM66" i="36"/>
  <c r="BL66" i="36"/>
  <c r="BK66" i="36"/>
  <c r="BJ66" i="36"/>
  <c r="BI66" i="36"/>
  <c r="BH66" i="36"/>
  <c r="BG66" i="36"/>
  <c r="BF66" i="36"/>
  <c r="BE66" i="36"/>
  <c r="BD66" i="36"/>
  <c r="BC66" i="36"/>
  <c r="AY66" i="36"/>
  <c r="BZ66" i="36" s="1"/>
  <c r="AX66" i="36"/>
  <c r="CU66" i="36" s="1"/>
  <c r="DH66" i="36" s="1"/>
  <c r="AW66" i="36"/>
  <c r="AY65" i="36"/>
  <c r="CV65" i="36" s="1"/>
  <c r="DI65" i="36" s="1"/>
  <c r="AX65" i="36"/>
  <c r="CU65" i="36" s="1"/>
  <c r="DH65" i="36" s="1"/>
  <c r="AW65" i="36"/>
  <c r="CT65" i="36" s="1"/>
  <c r="DG65" i="36" s="1"/>
  <c r="DL61" i="36"/>
  <c r="DL88" i="36" s="1"/>
  <c r="CX61" i="36"/>
  <c r="CN52" i="36"/>
  <c r="CI52" i="36"/>
  <c r="BM52" i="36"/>
  <c r="BH52" i="36"/>
  <c r="AZ52" i="36"/>
  <c r="I488" i="36"/>
  <c r="I484" i="36"/>
  <c r="I480" i="36"/>
  <c r="I476" i="36"/>
  <c r="I472" i="36"/>
  <c r="I470" i="36"/>
  <c r="I497" i="36" s="1"/>
  <c r="I469" i="36"/>
  <c r="I496" i="36" s="1"/>
  <c r="I468" i="36"/>
  <c r="DJ69" i="57"/>
  <c r="AW443" i="57"/>
  <c r="BX443" i="57" s="1"/>
  <c r="AW442" i="57"/>
  <c r="CT442" i="57" s="1"/>
  <c r="DG442" i="57" s="1"/>
  <c r="AW441" i="57"/>
  <c r="CT441" i="57" s="1"/>
  <c r="DG441" i="57" s="1"/>
  <c r="AW440" i="57"/>
  <c r="AW439" i="57"/>
  <c r="BX439" i="57" s="1"/>
  <c r="AW438" i="57"/>
  <c r="BX438" i="57" s="1"/>
  <c r="AW437" i="57"/>
  <c r="AW436" i="57"/>
  <c r="CT436" i="57" s="1"/>
  <c r="DG436" i="57" s="1"/>
  <c r="AW435" i="57"/>
  <c r="AW434" i="57"/>
  <c r="AW433" i="57"/>
  <c r="CT433" i="57" s="1"/>
  <c r="DG433" i="57" s="1"/>
  <c r="AW432" i="57"/>
  <c r="BX432" i="57" s="1"/>
  <c r="AW431" i="57"/>
  <c r="AW430" i="57"/>
  <c r="CT430" i="57" s="1"/>
  <c r="DG430" i="57" s="1"/>
  <c r="AW429" i="57"/>
  <c r="CT429" i="57" s="1"/>
  <c r="DG429" i="57" s="1"/>
  <c r="AW428" i="57"/>
  <c r="BX428" i="57" s="1"/>
  <c r="AW427" i="57"/>
  <c r="BX427" i="57" s="1"/>
  <c r="AW426" i="57"/>
  <c r="AW425" i="57"/>
  <c r="CT425" i="57" s="1"/>
  <c r="DG425" i="57" s="1"/>
  <c r="AW424" i="57"/>
  <c r="CT424" i="57" s="1"/>
  <c r="DG424" i="57" s="1"/>
  <c r="AW423" i="57"/>
  <c r="AW422" i="57"/>
  <c r="CT422" i="57" s="1"/>
  <c r="DG422" i="57" s="1"/>
  <c r="AW421" i="57"/>
  <c r="CT421" i="57" s="1"/>
  <c r="DG421" i="57" s="1"/>
  <c r="AW420" i="57"/>
  <c r="CT420" i="57" s="1"/>
  <c r="DG420" i="57" s="1"/>
  <c r="AW419" i="57"/>
  <c r="CT419" i="57" s="1"/>
  <c r="DG419" i="57" s="1"/>
  <c r="AW418" i="57"/>
  <c r="CT418" i="57" s="1"/>
  <c r="DG418" i="57" s="1"/>
  <c r="AW417" i="57"/>
  <c r="AW416" i="57"/>
  <c r="CT416" i="57" s="1"/>
  <c r="DG416" i="57" s="1"/>
  <c r="AW415" i="57"/>
  <c r="BX415" i="57" s="1"/>
  <c r="AW414" i="57"/>
  <c r="BX414" i="57" s="1"/>
  <c r="AW413" i="57"/>
  <c r="CT413" i="57" s="1"/>
  <c r="DG413" i="57" s="1"/>
  <c r="AW412" i="57"/>
  <c r="CT412" i="57" s="1"/>
  <c r="DG412" i="57" s="1"/>
  <c r="AW411" i="57"/>
  <c r="CT411" i="57" s="1"/>
  <c r="DG411" i="57" s="1"/>
  <c r="AW410" i="57"/>
  <c r="CT410" i="57" s="1"/>
  <c r="DG410" i="57" s="1"/>
  <c r="AW409" i="57"/>
  <c r="CT409" i="57" s="1"/>
  <c r="DG409" i="57" s="1"/>
  <c r="AW408" i="57"/>
  <c r="AW407" i="57"/>
  <c r="CT407" i="57" s="1"/>
  <c r="DG407" i="57" s="1"/>
  <c r="AW406" i="57"/>
  <c r="AW405" i="57"/>
  <c r="CT405" i="57" s="1"/>
  <c r="DG405" i="57" s="1"/>
  <c r="AW404" i="57"/>
  <c r="CT404" i="57" s="1"/>
  <c r="DG404" i="57" s="1"/>
  <c r="AW403" i="57"/>
  <c r="AW402" i="57"/>
  <c r="BX402" i="57" s="1"/>
  <c r="AW401" i="57"/>
  <c r="CT401" i="57" s="1"/>
  <c r="DG401" i="57" s="1"/>
  <c r="AW400" i="57"/>
  <c r="CT400" i="57" s="1"/>
  <c r="DG400" i="57" s="1"/>
  <c r="AW399" i="57"/>
  <c r="AW398" i="57"/>
  <c r="AW397" i="57"/>
  <c r="CT397" i="57" s="1"/>
  <c r="DG397" i="57" s="1"/>
  <c r="AW396" i="57"/>
  <c r="CT396" i="57" s="1"/>
  <c r="DG396" i="57" s="1"/>
  <c r="AW395" i="57"/>
  <c r="AW394" i="57"/>
  <c r="AW393" i="57"/>
  <c r="CT393" i="57" s="1"/>
  <c r="DG393" i="57" s="1"/>
  <c r="AW392" i="57"/>
  <c r="CT392" i="57" s="1"/>
  <c r="DG392" i="57" s="1"/>
  <c r="AW391" i="57"/>
  <c r="CT391" i="57" s="1"/>
  <c r="DG391" i="57" s="1"/>
  <c r="AW390" i="57"/>
  <c r="AW389" i="57"/>
  <c r="CT389" i="57" s="1"/>
  <c r="DG389" i="57" s="1"/>
  <c r="AW388" i="57"/>
  <c r="CT388" i="57" s="1"/>
  <c r="DG388" i="57" s="1"/>
  <c r="AW387" i="57"/>
  <c r="BX387" i="57" s="1"/>
  <c r="AW386" i="57"/>
  <c r="AW385" i="57"/>
  <c r="AW384" i="57"/>
  <c r="CT384" i="57" s="1"/>
  <c r="DG384" i="57" s="1"/>
  <c r="AW383" i="57"/>
  <c r="AW382" i="57"/>
  <c r="AW381" i="57"/>
  <c r="AW380" i="57"/>
  <c r="AW379" i="57"/>
  <c r="CT379" i="57" s="1"/>
  <c r="DG379" i="57" s="1"/>
  <c r="AW378" i="57"/>
  <c r="AW377" i="57"/>
  <c r="AW376" i="57"/>
  <c r="AW375" i="57"/>
  <c r="CT375" i="57" s="1"/>
  <c r="DG375" i="57" s="1"/>
  <c r="AW374" i="57"/>
  <c r="CT374" i="57" s="1"/>
  <c r="DG374" i="57" s="1"/>
  <c r="AW373" i="57"/>
  <c r="CT373" i="57" s="1"/>
  <c r="DG373" i="57" s="1"/>
  <c r="AW372" i="57"/>
  <c r="AW371" i="57"/>
  <c r="AW370" i="57"/>
  <c r="AW369" i="57"/>
  <c r="AW368" i="57"/>
  <c r="BX368" i="57" s="1"/>
  <c r="AW367" i="57"/>
  <c r="CT367" i="57" s="1"/>
  <c r="DG367" i="57" s="1"/>
  <c r="AW366" i="57"/>
  <c r="AW365" i="57"/>
  <c r="AW364" i="57"/>
  <c r="AW363" i="57"/>
  <c r="CT363" i="57" s="1"/>
  <c r="DG363" i="57" s="1"/>
  <c r="AW362" i="57"/>
  <c r="CT362" i="57" s="1"/>
  <c r="DG362" i="57" s="1"/>
  <c r="AW361" i="57"/>
  <c r="AW360" i="57"/>
  <c r="BX360" i="57" s="1"/>
  <c r="AW359" i="57"/>
  <c r="AW358" i="57"/>
  <c r="CT358" i="57" s="1"/>
  <c r="DG358" i="57" s="1"/>
  <c r="AW357" i="57"/>
  <c r="CT357" i="57" s="1"/>
  <c r="DG357" i="57" s="1"/>
  <c r="AW356" i="57"/>
  <c r="BX356" i="57" s="1"/>
  <c r="AW355" i="57"/>
  <c r="BX355" i="57" s="1"/>
  <c r="AW354" i="57"/>
  <c r="AW353" i="57"/>
  <c r="BX353" i="57" s="1"/>
  <c r="AW352" i="57"/>
  <c r="BX352" i="57" s="1"/>
  <c r="AW351" i="57"/>
  <c r="BX351" i="57" s="1"/>
  <c r="AW350" i="57"/>
  <c r="AW349" i="57"/>
  <c r="CT349" i="57" s="1"/>
  <c r="DG349" i="57" s="1"/>
  <c r="AW348" i="57"/>
  <c r="CT348" i="57" s="1"/>
  <c r="DG348" i="57" s="1"/>
  <c r="AW347" i="57"/>
  <c r="CT347" i="57" s="1"/>
  <c r="DG347" i="57" s="1"/>
  <c r="AW346" i="57"/>
  <c r="CT346" i="57" s="1"/>
  <c r="DG346" i="57" s="1"/>
  <c r="AW345" i="57"/>
  <c r="CT345" i="57" s="1"/>
  <c r="DG345" i="57" s="1"/>
  <c r="AW344" i="57"/>
  <c r="AW343" i="57"/>
  <c r="AW342" i="57"/>
  <c r="CT342" i="57" s="1"/>
  <c r="DG342" i="57" s="1"/>
  <c r="AW341" i="57"/>
  <c r="CT341" i="57" s="1"/>
  <c r="DG341" i="57" s="1"/>
  <c r="AW340" i="57"/>
  <c r="BX340" i="57" s="1"/>
  <c r="AW339" i="57"/>
  <c r="CT339" i="57" s="1"/>
  <c r="DG339" i="57" s="1"/>
  <c r="AW338" i="57"/>
  <c r="AW337" i="57"/>
  <c r="AW336" i="57"/>
  <c r="BX336" i="57" s="1"/>
  <c r="AW335" i="57"/>
  <c r="AW334" i="57"/>
  <c r="CT334" i="57" s="1"/>
  <c r="DG334" i="57" s="1"/>
  <c r="AW333" i="57"/>
  <c r="BX333" i="57" s="1"/>
  <c r="AW332" i="57"/>
  <c r="AW331" i="57"/>
  <c r="BX331" i="57" s="1"/>
  <c r="AW330" i="57"/>
  <c r="BX330" i="57" s="1"/>
  <c r="AW329" i="57"/>
  <c r="CT329" i="57" s="1"/>
  <c r="DG329" i="57" s="1"/>
  <c r="AW328" i="57"/>
  <c r="CT328" i="57" s="1"/>
  <c r="DG328" i="57" s="1"/>
  <c r="AW327" i="57"/>
  <c r="CT327" i="57" s="1"/>
  <c r="DG327" i="57" s="1"/>
  <c r="AW326" i="57"/>
  <c r="BX326" i="57" s="1"/>
  <c r="AW325" i="57"/>
  <c r="CT325" i="57" s="1"/>
  <c r="DG325" i="57" s="1"/>
  <c r="AW324" i="57"/>
  <c r="AW323" i="57"/>
  <c r="BX323" i="57" s="1"/>
  <c r="AW322" i="57"/>
  <c r="CT322" i="57" s="1"/>
  <c r="DG322" i="57" s="1"/>
  <c r="AW321" i="57"/>
  <c r="CT321" i="57" s="1"/>
  <c r="DG321" i="57" s="1"/>
  <c r="AW320" i="57"/>
  <c r="AW319" i="57"/>
  <c r="BX319" i="57" s="1"/>
  <c r="DJ318" i="57"/>
  <c r="CW318" i="57"/>
  <c r="BQ318" i="57"/>
  <c r="BP318" i="57"/>
  <c r="BO318" i="57"/>
  <c r="BN318" i="57"/>
  <c r="BM318" i="57"/>
  <c r="BL318" i="57"/>
  <c r="BK318" i="57"/>
  <c r="BJ318" i="57"/>
  <c r="BI318" i="57"/>
  <c r="BH318" i="57"/>
  <c r="BG318" i="57"/>
  <c r="BF318" i="57"/>
  <c r="BE318" i="57"/>
  <c r="BD318" i="57"/>
  <c r="AW318" i="57"/>
  <c r="BX318" i="57" s="1"/>
  <c r="AW317" i="57"/>
  <c r="DJ316" i="57"/>
  <c r="CW316" i="57"/>
  <c r="BQ316" i="57"/>
  <c r="BP316" i="57"/>
  <c r="BO316" i="57"/>
  <c r="BN316" i="57"/>
  <c r="BM316" i="57"/>
  <c r="BL316" i="57"/>
  <c r="BK316" i="57"/>
  <c r="BJ316" i="57"/>
  <c r="BI316" i="57"/>
  <c r="BH316" i="57"/>
  <c r="BG316" i="57"/>
  <c r="BF316" i="57"/>
  <c r="BE316" i="57"/>
  <c r="BD316" i="57"/>
  <c r="AW316" i="57"/>
  <c r="CT316" i="57" s="1"/>
  <c r="DG316" i="57" s="1"/>
  <c r="DJ315" i="57"/>
  <c r="CW315" i="57"/>
  <c r="BQ315" i="57"/>
  <c r="BP315" i="57"/>
  <c r="BO315" i="57"/>
  <c r="BN315" i="57"/>
  <c r="BM315" i="57"/>
  <c r="BL315" i="57"/>
  <c r="BK315" i="57"/>
  <c r="BJ315" i="57"/>
  <c r="BI315" i="57"/>
  <c r="BH315" i="57"/>
  <c r="BG315" i="57"/>
  <c r="BF315" i="57"/>
  <c r="BE315" i="57"/>
  <c r="BD315" i="57"/>
  <c r="AY315" i="57"/>
  <c r="BZ315" i="57" s="1"/>
  <c r="AX315" i="57"/>
  <c r="BY315" i="57" s="1"/>
  <c r="AW315" i="57"/>
  <c r="BX315" i="57" s="1"/>
  <c r="AW314" i="57"/>
  <c r="BX314" i="57" s="1"/>
  <c r="DJ313" i="57"/>
  <c r="CW313" i="57"/>
  <c r="BQ313" i="57"/>
  <c r="BP313" i="57"/>
  <c r="BO313" i="57"/>
  <c r="BN313" i="57"/>
  <c r="BM313" i="57"/>
  <c r="BL313" i="57"/>
  <c r="BK313" i="57"/>
  <c r="BJ313" i="57"/>
  <c r="BI313" i="57"/>
  <c r="BH313" i="57"/>
  <c r="BG313" i="57"/>
  <c r="BF313" i="57"/>
  <c r="BE313" i="57"/>
  <c r="BD313" i="57"/>
  <c r="AW313" i="57"/>
  <c r="DJ312" i="57"/>
  <c r="CW312" i="57"/>
  <c r="BQ312" i="57"/>
  <c r="BP312" i="57"/>
  <c r="BO312" i="57"/>
  <c r="BN312" i="57"/>
  <c r="BM312" i="57"/>
  <c r="BL312" i="57"/>
  <c r="BK312" i="57"/>
  <c r="BJ312" i="57"/>
  <c r="BI312" i="57"/>
  <c r="BH312" i="57"/>
  <c r="BG312" i="57"/>
  <c r="BF312" i="57"/>
  <c r="BE312" i="57"/>
  <c r="BD312" i="57"/>
  <c r="AW312" i="57"/>
  <c r="AW311" i="57"/>
  <c r="CT311" i="57" s="1"/>
  <c r="DG311" i="57" s="1"/>
  <c r="DJ310" i="57"/>
  <c r="CW310" i="57"/>
  <c r="BQ310" i="57"/>
  <c r="BP310" i="57"/>
  <c r="BO310" i="57"/>
  <c r="BN310" i="57"/>
  <c r="BM310" i="57"/>
  <c r="BL310" i="57"/>
  <c r="BK310" i="57"/>
  <c r="BJ310" i="57"/>
  <c r="BI310" i="57"/>
  <c r="BH310" i="57"/>
  <c r="BG310" i="57"/>
  <c r="BF310" i="57"/>
  <c r="BE310" i="57"/>
  <c r="BD310" i="57"/>
  <c r="AW310" i="57"/>
  <c r="CT310" i="57" s="1"/>
  <c r="DG310" i="57" s="1"/>
  <c r="DJ309" i="57"/>
  <c r="CW309" i="57"/>
  <c r="BQ309" i="57"/>
  <c r="BP309" i="57"/>
  <c r="BO309" i="57"/>
  <c r="BN309" i="57"/>
  <c r="BM309" i="57"/>
  <c r="BL309" i="57"/>
  <c r="BK309" i="57"/>
  <c r="BJ309" i="57"/>
  <c r="BI309" i="57"/>
  <c r="BH309" i="57"/>
  <c r="BG309" i="57"/>
  <c r="BF309" i="57"/>
  <c r="BE309" i="57"/>
  <c r="BD309" i="57"/>
  <c r="AY309" i="57"/>
  <c r="AX309" i="57"/>
  <c r="CU309" i="57" s="1"/>
  <c r="DH309" i="57" s="1"/>
  <c r="AW309" i="57"/>
  <c r="CT309" i="57" s="1"/>
  <c r="DG309" i="57" s="1"/>
  <c r="AW308" i="57"/>
  <c r="DJ307" i="57"/>
  <c r="CW307" i="57"/>
  <c r="BQ307" i="57"/>
  <c r="BP307" i="57"/>
  <c r="BO307" i="57"/>
  <c r="BN307" i="57"/>
  <c r="BM307" i="57"/>
  <c r="BL307" i="57"/>
  <c r="BK307" i="57"/>
  <c r="BJ307" i="57"/>
  <c r="BI307" i="57"/>
  <c r="BH307" i="57"/>
  <c r="BG307" i="57"/>
  <c r="BF307" i="57"/>
  <c r="BE307" i="57"/>
  <c r="BD307" i="57"/>
  <c r="AW307" i="57"/>
  <c r="BX307" i="57" s="1"/>
  <c r="DJ306" i="57"/>
  <c r="CW306" i="57"/>
  <c r="BQ306" i="57"/>
  <c r="BP306" i="57"/>
  <c r="BO306" i="57"/>
  <c r="BN306" i="57"/>
  <c r="BM306" i="57"/>
  <c r="BL306" i="57"/>
  <c r="BK306" i="57"/>
  <c r="BJ306" i="57"/>
  <c r="BI306" i="57"/>
  <c r="BH306" i="57"/>
  <c r="BG306" i="57"/>
  <c r="BF306" i="57"/>
  <c r="BE306" i="57"/>
  <c r="BD306" i="57"/>
  <c r="AW306" i="57"/>
  <c r="CT306" i="57" s="1"/>
  <c r="DG306" i="57" s="1"/>
  <c r="AW305" i="57"/>
  <c r="BX305" i="57" s="1"/>
  <c r="DJ304" i="57"/>
  <c r="CW304" i="57"/>
  <c r="BQ304" i="57"/>
  <c r="BP304" i="57"/>
  <c r="BO304" i="57"/>
  <c r="BN304" i="57"/>
  <c r="BM304" i="57"/>
  <c r="BL304" i="57"/>
  <c r="BK304" i="57"/>
  <c r="BJ304" i="57"/>
  <c r="BI304" i="57"/>
  <c r="BH304" i="57"/>
  <c r="BG304" i="57"/>
  <c r="BF304" i="57"/>
  <c r="BE304" i="57"/>
  <c r="BD304" i="57"/>
  <c r="AW304" i="57"/>
  <c r="BX304" i="57" s="1"/>
  <c r="DJ303" i="57"/>
  <c r="CW303" i="57"/>
  <c r="BQ303" i="57"/>
  <c r="BP303" i="57"/>
  <c r="BO303" i="57"/>
  <c r="BN303" i="57"/>
  <c r="BM303" i="57"/>
  <c r="BL303" i="57"/>
  <c r="BK303" i="57"/>
  <c r="BJ303" i="57"/>
  <c r="BI303" i="57"/>
  <c r="BH303" i="57"/>
  <c r="BG303" i="57"/>
  <c r="BF303" i="57"/>
  <c r="BE303" i="57"/>
  <c r="BD303" i="57"/>
  <c r="AY303" i="57"/>
  <c r="AX303" i="57"/>
  <c r="CU303" i="57" s="1"/>
  <c r="DH303" i="57" s="1"/>
  <c r="AW303" i="57"/>
  <c r="CT303" i="57" s="1"/>
  <c r="DG303" i="57" s="1"/>
  <c r="AW302" i="57"/>
  <c r="DJ301" i="57"/>
  <c r="CW301" i="57"/>
  <c r="BQ301" i="57"/>
  <c r="BP301" i="57"/>
  <c r="BO301" i="57"/>
  <c r="BN301" i="57"/>
  <c r="BM301" i="57"/>
  <c r="BL301" i="57"/>
  <c r="BK301" i="57"/>
  <c r="BJ301" i="57"/>
  <c r="BI301" i="57"/>
  <c r="BH301" i="57"/>
  <c r="BG301" i="57"/>
  <c r="BF301" i="57"/>
  <c r="BE301" i="57"/>
  <c r="BD301" i="57"/>
  <c r="AW301" i="57"/>
  <c r="DJ300" i="57"/>
  <c r="CW300" i="57"/>
  <c r="BQ300" i="57"/>
  <c r="BP300" i="57"/>
  <c r="BO300" i="57"/>
  <c r="BN300" i="57"/>
  <c r="BM300" i="57"/>
  <c r="BL300" i="57"/>
  <c r="BK300" i="57"/>
  <c r="BJ300" i="57"/>
  <c r="BI300" i="57"/>
  <c r="BH300" i="57"/>
  <c r="BG300" i="57"/>
  <c r="BF300" i="57"/>
  <c r="BE300" i="57"/>
  <c r="BD300" i="57"/>
  <c r="AW300" i="57"/>
  <c r="BX300" i="57" s="1"/>
  <c r="AW299" i="57"/>
  <c r="BX299" i="57" s="1"/>
  <c r="DJ298" i="57"/>
  <c r="CW298" i="57"/>
  <c r="BQ298" i="57"/>
  <c r="BP298" i="57"/>
  <c r="BO298" i="57"/>
  <c r="BN298" i="57"/>
  <c r="BM298" i="57"/>
  <c r="BL298" i="57"/>
  <c r="BK298" i="57"/>
  <c r="BJ298" i="57"/>
  <c r="BI298" i="57"/>
  <c r="BH298" i="57"/>
  <c r="BG298" i="57"/>
  <c r="BF298" i="57"/>
  <c r="BE298" i="57"/>
  <c r="BD298" i="57"/>
  <c r="AW298" i="57"/>
  <c r="CT298" i="57" s="1"/>
  <c r="DG298" i="57" s="1"/>
  <c r="DJ297" i="57"/>
  <c r="CW297" i="57"/>
  <c r="BQ297" i="57"/>
  <c r="BP297" i="57"/>
  <c r="BO297" i="57"/>
  <c r="BN297" i="57"/>
  <c r="BM297" i="57"/>
  <c r="BL297" i="57"/>
  <c r="BK297" i="57"/>
  <c r="BJ297" i="57"/>
  <c r="BI297" i="57"/>
  <c r="BH297" i="57"/>
  <c r="BG297" i="57"/>
  <c r="BF297" i="57"/>
  <c r="BE297" i="57"/>
  <c r="BD297" i="57"/>
  <c r="AY297" i="57"/>
  <c r="CV297" i="57" s="1"/>
  <c r="DI297" i="57" s="1"/>
  <c r="AX297" i="57"/>
  <c r="BY297" i="57" s="1"/>
  <c r="AW297" i="57"/>
  <c r="CT297" i="57" s="1"/>
  <c r="DG297" i="57" s="1"/>
  <c r="AW296" i="57"/>
  <c r="BX296" i="57" s="1"/>
  <c r="DJ295" i="57"/>
  <c r="CW295" i="57"/>
  <c r="BQ295" i="57"/>
  <c r="BP295" i="57"/>
  <c r="BO295" i="57"/>
  <c r="BN295" i="57"/>
  <c r="BM295" i="57"/>
  <c r="BL295" i="57"/>
  <c r="BK295" i="57"/>
  <c r="BJ295" i="57"/>
  <c r="BI295" i="57"/>
  <c r="BH295" i="57"/>
  <c r="BG295" i="57"/>
  <c r="BF295" i="57"/>
  <c r="BE295" i="57"/>
  <c r="BD295" i="57"/>
  <c r="AW295" i="57"/>
  <c r="CT295" i="57" s="1"/>
  <c r="DG295" i="57" s="1"/>
  <c r="DJ294" i="57"/>
  <c r="CW294" i="57"/>
  <c r="BQ294" i="57"/>
  <c r="BP294" i="57"/>
  <c r="BO294" i="57"/>
  <c r="BN294" i="57"/>
  <c r="BM294" i="57"/>
  <c r="BL294" i="57"/>
  <c r="BK294" i="57"/>
  <c r="BJ294" i="57"/>
  <c r="BI294" i="57"/>
  <c r="BH294" i="57"/>
  <c r="BG294" i="57"/>
  <c r="BF294" i="57"/>
  <c r="BE294" i="57"/>
  <c r="BD294" i="57"/>
  <c r="AW294" i="57"/>
  <c r="CT294" i="57" s="1"/>
  <c r="DG294" i="57" s="1"/>
  <c r="AW293" i="57"/>
  <c r="DJ292" i="57"/>
  <c r="CW292" i="57"/>
  <c r="BQ292" i="57"/>
  <c r="BP292" i="57"/>
  <c r="BO292" i="57"/>
  <c r="BN292" i="57"/>
  <c r="BM292" i="57"/>
  <c r="BL292" i="57"/>
  <c r="BK292" i="57"/>
  <c r="BJ292" i="57"/>
  <c r="BI292" i="57"/>
  <c r="BH292" i="57"/>
  <c r="BG292" i="57"/>
  <c r="BF292" i="57"/>
  <c r="BE292" i="57"/>
  <c r="BD292" i="57"/>
  <c r="AW292" i="57"/>
  <c r="BX292" i="57" s="1"/>
  <c r="DJ291" i="57"/>
  <c r="CW291" i="57"/>
  <c r="BQ291" i="57"/>
  <c r="BP291" i="57"/>
  <c r="BO291" i="57"/>
  <c r="BN291" i="57"/>
  <c r="BM291" i="57"/>
  <c r="BL291" i="57"/>
  <c r="BK291" i="57"/>
  <c r="BJ291" i="57"/>
  <c r="BI291" i="57"/>
  <c r="BH291" i="57"/>
  <c r="BG291" i="57"/>
  <c r="BF291" i="57"/>
  <c r="BE291" i="57"/>
  <c r="BD291" i="57"/>
  <c r="AY291" i="57"/>
  <c r="AX291" i="57"/>
  <c r="CU291" i="57" s="1"/>
  <c r="DH291" i="57" s="1"/>
  <c r="AW291" i="57"/>
  <c r="AW290" i="57"/>
  <c r="DJ289" i="57"/>
  <c r="CW289" i="57"/>
  <c r="BQ289" i="57"/>
  <c r="BP289" i="57"/>
  <c r="BO289" i="57"/>
  <c r="BN289" i="57"/>
  <c r="BM289" i="57"/>
  <c r="BL289" i="57"/>
  <c r="BK289" i="57"/>
  <c r="BJ289" i="57"/>
  <c r="BI289" i="57"/>
  <c r="BH289" i="57"/>
  <c r="BG289" i="57"/>
  <c r="BF289" i="57"/>
  <c r="BE289" i="57"/>
  <c r="BD289" i="57"/>
  <c r="AW289" i="57"/>
  <c r="CT289" i="57" s="1"/>
  <c r="DG289" i="57" s="1"/>
  <c r="DJ288" i="57"/>
  <c r="CW288" i="57"/>
  <c r="BQ288" i="57"/>
  <c r="BP288" i="57"/>
  <c r="BO288" i="57"/>
  <c r="BN288" i="57"/>
  <c r="BM288" i="57"/>
  <c r="BL288" i="57"/>
  <c r="BK288" i="57"/>
  <c r="BJ288" i="57"/>
  <c r="BI288" i="57"/>
  <c r="BH288" i="57"/>
  <c r="BG288" i="57"/>
  <c r="BF288" i="57"/>
  <c r="BE288" i="57"/>
  <c r="BD288" i="57"/>
  <c r="AW288" i="57"/>
  <c r="AW287" i="57"/>
  <c r="CT287" i="57" s="1"/>
  <c r="DG287" i="57" s="1"/>
  <c r="DJ286" i="57"/>
  <c r="CW286" i="57"/>
  <c r="BQ286" i="57"/>
  <c r="BP286" i="57"/>
  <c r="BO286" i="57"/>
  <c r="BN286" i="57"/>
  <c r="BM286" i="57"/>
  <c r="BL286" i="57"/>
  <c r="BK286" i="57"/>
  <c r="BJ286" i="57"/>
  <c r="BI286" i="57"/>
  <c r="BH286" i="57"/>
  <c r="BG286" i="57"/>
  <c r="BF286" i="57"/>
  <c r="BE286" i="57"/>
  <c r="BD286" i="57"/>
  <c r="AW286" i="57"/>
  <c r="BX286" i="57" s="1"/>
  <c r="DJ285" i="57"/>
  <c r="CW285" i="57"/>
  <c r="BQ285" i="57"/>
  <c r="BP285" i="57"/>
  <c r="BO285" i="57"/>
  <c r="BN285" i="57"/>
  <c r="BM285" i="57"/>
  <c r="BL285" i="57"/>
  <c r="BK285" i="57"/>
  <c r="BJ285" i="57"/>
  <c r="BI285" i="57"/>
  <c r="BH285" i="57"/>
  <c r="BG285" i="57"/>
  <c r="BF285" i="57"/>
  <c r="BE285" i="57"/>
  <c r="BD285" i="57"/>
  <c r="AY285" i="57"/>
  <c r="AX285" i="57"/>
  <c r="BY285" i="57" s="1"/>
  <c r="AW285" i="57"/>
  <c r="CT285" i="57" s="1"/>
  <c r="DG285" i="57" s="1"/>
  <c r="AW284" i="57"/>
  <c r="BX284" i="57" s="1"/>
  <c r="DJ283" i="57"/>
  <c r="CW283" i="57"/>
  <c r="BQ283" i="57"/>
  <c r="BP283" i="57"/>
  <c r="BO283" i="57"/>
  <c r="BN283" i="57"/>
  <c r="BM283" i="57"/>
  <c r="BL283" i="57"/>
  <c r="BK283" i="57"/>
  <c r="BJ283" i="57"/>
  <c r="BI283" i="57"/>
  <c r="BH283" i="57"/>
  <c r="BG283" i="57"/>
  <c r="BF283" i="57"/>
  <c r="BE283" i="57"/>
  <c r="BD283" i="57"/>
  <c r="AW283" i="57"/>
  <c r="BX283" i="57" s="1"/>
  <c r="DJ282" i="57"/>
  <c r="CW282" i="57"/>
  <c r="BQ282" i="57"/>
  <c r="BP282" i="57"/>
  <c r="BO282" i="57"/>
  <c r="BN282" i="57"/>
  <c r="BM282" i="57"/>
  <c r="BL282" i="57"/>
  <c r="BK282" i="57"/>
  <c r="BJ282" i="57"/>
  <c r="BI282" i="57"/>
  <c r="BH282" i="57"/>
  <c r="BG282" i="57"/>
  <c r="BF282" i="57"/>
  <c r="BE282" i="57"/>
  <c r="BD282" i="57"/>
  <c r="AW282" i="57"/>
  <c r="CT282" i="57" s="1"/>
  <c r="DG282" i="57" s="1"/>
  <c r="AW281" i="57"/>
  <c r="CT281" i="57" s="1"/>
  <c r="DG281" i="57" s="1"/>
  <c r="DJ280" i="57"/>
  <c r="CW280" i="57"/>
  <c r="BQ280" i="57"/>
  <c r="BP280" i="57"/>
  <c r="BO280" i="57"/>
  <c r="BN280" i="57"/>
  <c r="BM280" i="57"/>
  <c r="BL280" i="57"/>
  <c r="BK280" i="57"/>
  <c r="BJ280" i="57"/>
  <c r="BI280" i="57"/>
  <c r="BH280" i="57"/>
  <c r="BG280" i="57"/>
  <c r="BF280" i="57"/>
  <c r="BE280" i="57"/>
  <c r="BD280" i="57"/>
  <c r="AW280" i="57"/>
  <c r="CT280" i="57" s="1"/>
  <c r="DG280" i="57" s="1"/>
  <c r="DJ279" i="57"/>
  <c r="CW279" i="57"/>
  <c r="BQ279" i="57"/>
  <c r="BP279" i="57"/>
  <c r="BO279" i="57"/>
  <c r="BN279" i="57"/>
  <c r="BM279" i="57"/>
  <c r="BL279" i="57"/>
  <c r="BK279" i="57"/>
  <c r="BJ279" i="57"/>
  <c r="BI279" i="57"/>
  <c r="BH279" i="57"/>
  <c r="BG279" i="57"/>
  <c r="BF279" i="57"/>
  <c r="BE279" i="57"/>
  <c r="BD279" i="57"/>
  <c r="AY279" i="57"/>
  <c r="CV279" i="57" s="1"/>
  <c r="DI279" i="57" s="1"/>
  <c r="AX279" i="57"/>
  <c r="BY279" i="57" s="1"/>
  <c r="AW279" i="57"/>
  <c r="AW278" i="57"/>
  <c r="CT278" i="57" s="1"/>
  <c r="DG278" i="57" s="1"/>
  <c r="DJ277" i="57"/>
  <c r="CW277" i="57"/>
  <c r="BQ277" i="57"/>
  <c r="BP277" i="57"/>
  <c r="BO277" i="57"/>
  <c r="BN277" i="57"/>
  <c r="BM277" i="57"/>
  <c r="BL277" i="57"/>
  <c r="BK277" i="57"/>
  <c r="BJ277" i="57"/>
  <c r="BI277" i="57"/>
  <c r="BH277" i="57"/>
  <c r="BG277" i="57"/>
  <c r="BF277" i="57"/>
  <c r="BE277" i="57"/>
  <c r="BD277" i="57"/>
  <c r="AW277" i="57"/>
  <c r="DJ276" i="57"/>
  <c r="CW276" i="57"/>
  <c r="BQ276" i="57"/>
  <c r="BP276" i="57"/>
  <c r="BO276" i="57"/>
  <c r="BN276" i="57"/>
  <c r="BM276" i="57"/>
  <c r="BL276" i="57"/>
  <c r="BK276" i="57"/>
  <c r="BJ276" i="57"/>
  <c r="BI276" i="57"/>
  <c r="BH276" i="57"/>
  <c r="BG276" i="57"/>
  <c r="BF276" i="57"/>
  <c r="BE276" i="57"/>
  <c r="BD276" i="57"/>
  <c r="AW276" i="57"/>
  <c r="CT276" i="57" s="1"/>
  <c r="DG276" i="57" s="1"/>
  <c r="AW275" i="57"/>
  <c r="CT275" i="57" s="1"/>
  <c r="DG275" i="57" s="1"/>
  <c r="DJ274" i="57"/>
  <c r="CW274" i="57"/>
  <c r="BQ274" i="57"/>
  <c r="BP274" i="57"/>
  <c r="BO274" i="57"/>
  <c r="BN274" i="57"/>
  <c r="BM274" i="57"/>
  <c r="BL274" i="57"/>
  <c r="BK274" i="57"/>
  <c r="BJ274" i="57"/>
  <c r="BI274" i="57"/>
  <c r="BH274" i="57"/>
  <c r="BG274" i="57"/>
  <c r="BF274" i="57"/>
  <c r="BE274" i="57"/>
  <c r="BD274" i="57"/>
  <c r="AW274" i="57"/>
  <c r="DJ273" i="57"/>
  <c r="CW273" i="57"/>
  <c r="BQ273" i="57"/>
  <c r="BP273" i="57"/>
  <c r="BO273" i="57"/>
  <c r="BN273" i="57"/>
  <c r="BM273" i="57"/>
  <c r="BL273" i="57"/>
  <c r="BK273" i="57"/>
  <c r="BJ273" i="57"/>
  <c r="BI273" i="57"/>
  <c r="BH273" i="57"/>
  <c r="BG273" i="57"/>
  <c r="BF273" i="57"/>
  <c r="BE273" i="57"/>
  <c r="BD273" i="57"/>
  <c r="AY273" i="57"/>
  <c r="AX273" i="57"/>
  <c r="CU273" i="57" s="1"/>
  <c r="DH273" i="57" s="1"/>
  <c r="AW273" i="57"/>
  <c r="CT273" i="57" s="1"/>
  <c r="DG273" i="57" s="1"/>
  <c r="AW272" i="57"/>
  <c r="CT272" i="57" s="1"/>
  <c r="DG272" i="57" s="1"/>
  <c r="DJ271" i="57"/>
  <c r="CW271" i="57"/>
  <c r="BQ271" i="57"/>
  <c r="BP271" i="57"/>
  <c r="BO271" i="57"/>
  <c r="BN271" i="57"/>
  <c r="BM271" i="57"/>
  <c r="BL271" i="57"/>
  <c r="BK271" i="57"/>
  <c r="BJ271" i="57"/>
  <c r="BI271" i="57"/>
  <c r="BH271" i="57"/>
  <c r="BG271" i="57"/>
  <c r="BF271" i="57"/>
  <c r="BE271" i="57"/>
  <c r="BD271" i="57"/>
  <c r="AW271" i="57"/>
  <c r="DJ270" i="57"/>
  <c r="CW270" i="57"/>
  <c r="BQ270" i="57"/>
  <c r="BP270" i="57"/>
  <c r="BO270" i="57"/>
  <c r="BN270" i="57"/>
  <c r="BM270" i="57"/>
  <c r="BL270" i="57"/>
  <c r="BK270" i="57"/>
  <c r="BJ270" i="57"/>
  <c r="BI270" i="57"/>
  <c r="BH270" i="57"/>
  <c r="BG270" i="57"/>
  <c r="BF270" i="57"/>
  <c r="BE270" i="57"/>
  <c r="BD270" i="57"/>
  <c r="AW270" i="57"/>
  <c r="AW269" i="57"/>
  <c r="BX269" i="57" s="1"/>
  <c r="DJ268" i="57"/>
  <c r="CW268" i="57"/>
  <c r="BQ268" i="57"/>
  <c r="BP268" i="57"/>
  <c r="BO268" i="57"/>
  <c r="BN268" i="57"/>
  <c r="BM268" i="57"/>
  <c r="BL268" i="57"/>
  <c r="BK268" i="57"/>
  <c r="BJ268" i="57"/>
  <c r="BI268" i="57"/>
  <c r="BH268" i="57"/>
  <c r="BG268" i="57"/>
  <c r="BF268" i="57"/>
  <c r="BE268" i="57"/>
  <c r="BD268" i="57"/>
  <c r="AW268" i="57"/>
  <c r="CT268" i="57" s="1"/>
  <c r="DG268" i="57" s="1"/>
  <c r="DJ267" i="57"/>
  <c r="CW267" i="57"/>
  <c r="BQ267" i="57"/>
  <c r="BP267" i="57"/>
  <c r="BO267" i="57"/>
  <c r="BN267" i="57"/>
  <c r="BM267" i="57"/>
  <c r="BL267" i="57"/>
  <c r="BK267" i="57"/>
  <c r="BJ267" i="57"/>
  <c r="BI267" i="57"/>
  <c r="BH267" i="57"/>
  <c r="BG267" i="57"/>
  <c r="BF267" i="57"/>
  <c r="BE267" i="57"/>
  <c r="BD267" i="57"/>
  <c r="AY267" i="57"/>
  <c r="CV267" i="57" s="1"/>
  <c r="DI267" i="57" s="1"/>
  <c r="AX267" i="57"/>
  <c r="AW267" i="57"/>
  <c r="BX267" i="57" s="1"/>
  <c r="AW266" i="57"/>
  <c r="DJ265" i="57"/>
  <c r="CW265" i="57"/>
  <c r="BQ265" i="57"/>
  <c r="BP265" i="57"/>
  <c r="BO265" i="57"/>
  <c r="BN265" i="57"/>
  <c r="BM265" i="57"/>
  <c r="BL265" i="57"/>
  <c r="BK265" i="57"/>
  <c r="BJ265" i="57"/>
  <c r="BI265" i="57"/>
  <c r="BH265" i="57"/>
  <c r="BG265" i="57"/>
  <c r="BF265" i="57"/>
  <c r="BE265" i="57"/>
  <c r="BD265" i="57"/>
  <c r="AW265" i="57"/>
  <c r="CT265" i="57" s="1"/>
  <c r="DG265" i="57" s="1"/>
  <c r="DJ264" i="57"/>
  <c r="CW264" i="57"/>
  <c r="BQ264" i="57"/>
  <c r="BP264" i="57"/>
  <c r="BO264" i="57"/>
  <c r="BN264" i="57"/>
  <c r="BM264" i="57"/>
  <c r="BL264" i="57"/>
  <c r="BK264" i="57"/>
  <c r="BJ264" i="57"/>
  <c r="BI264" i="57"/>
  <c r="BH264" i="57"/>
  <c r="BG264" i="57"/>
  <c r="BF264" i="57"/>
  <c r="BE264" i="57"/>
  <c r="BD264" i="57"/>
  <c r="AW264" i="57"/>
  <c r="CT264" i="57" s="1"/>
  <c r="DG264" i="57" s="1"/>
  <c r="AW263" i="57"/>
  <c r="DJ262" i="57"/>
  <c r="CW262" i="57"/>
  <c r="BQ262" i="57"/>
  <c r="BP262" i="57"/>
  <c r="BO262" i="57"/>
  <c r="BN262" i="57"/>
  <c r="BM262" i="57"/>
  <c r="BL262" i="57"/>
  <c r="BK262" i="57"/>
  <c r="BJ262" i="57"/>
  <c r="BI262" i="57"/>
  <c r="BH262" i="57"/>
  <c r="BG262" i="57"/>
  <c r="BF262" i="57"/>
  <c r="BE262" i="57"/>
  <c r="BD262" i="57"/>
  <c r="AW262" i="57"/>
  <c r="DJ261" i="57"/>
  <c r="CW261" i="57"/>
  <c r="BQ261" i="57"/>
  <c r="BP261" i="57"/>
  <c r="BO261" i="57"/>
  <c r="BN261" i="57"/>
  <c r="BM261" i="57"/>
  <c r="BL261" i="57"/>
  <c r="BK261" i="57"/>
  <c r="BJ261" i="57"/>
  <c r="BI261" i="57"/>
  <c r="BH261" i="57"/>
  <c r="BG261" i="57"/>
  <c r="BF261" i="57"/>
  <c r="BE261" i="57"/>
  <c r="BD261" i="57"/>
  <c r="AY261" i="57"/>
  <c r="BZ261" i="57" s="1"/>
  <c r="AX261" i="57"/>
  <c r="CU261" i="57" s="1"/>
  <c r="DH261" i="57" s="1"/>
  <c r="AW261" i="57"/>
  <c r="BX261" i="57" s="1"/>
  <c r="AW260" i="57"/>
  <c r="CT260" i="57" s="1"/>
  <c r="DG260" i="57" s="1"/>
  <c r="DJ259" i="57"/>
  <c r="CW259" i="57"/>
  <c r="BQ259" i="57"/>
  <c r="BP259" i="57"/>
  <c r="BO259" i="57"/>
  <c r="BN259" i="57"/>
  <c r="BM259" i="57"/>
  <c r="BL259" i="57"/>
  <c r="BK259" i="57"/>
  <c r="BJ259" i="57"/>
  <c r="BI259" i="57"/>
  <c r="BH259" i="57"/>
  <c r="BG259" i="57"/>
  <c r="BF259" i="57"/>
  <c r="BE259" i="57"/>
  <c r="BD259" i="57"/>
  <c r="AW259" i="57"/>
  <c r="CT259" i="57" s="1"/>
  <c r="DG259" i="57" s="1"/>
  <c r="DJ258" i="57"/>
  <c r="CW258" i="57"/>
  <c r="BQ258" i="57"/>
  <c r="BP258" i="57"/>
  <c r="BO258" i="57"/>
  <c r="BN258" i="57"/>
  <c r="BM258" i="57"/>
  <c r="BL258" i="57"/>
  <c r="BK258" i="57"/>
  <c r="BJ258" i="57"/>
  <c r="BI258" i="57"/>
  <c r="BH258" i="57"/>
  <c r="BG258" i="57"/>
  <c r="BF258" i="57"/>
  <c r="BE258" i="57"/>
  <c r="BD258" i="57"/>
  <c r="AW258" i="57"/>
  <c r="BX258" i="57" s="1"/>
  <c r="AW257" i="57"/>
  <c r="CT257" i="57" s="1"/>
  <c r="DG257" i="57" s="1"/>
  <c r="DJ256" i="57"/>
  <c r="CW256" i="57"/>
  <c r="BQ256" i="57"/>
  <c r="BP256" i="57"/>
  <c r="BO256" i="57"/>
  <c r="BN256" i="57"/>
  <c r="BM256" i="57"/>
  <c r="BL256" i="57"/>
  <c r="BK256" i="57"/>
  <c r="BJ256" i="57"/>
  <c r="BI256" i="57"/>
  <c r="BH256" i="57"/>
  <c r="BG256" i="57"/>
  <c r="BF256" i="57"/>
  <c r="BE256" i="57"/>
  <c r="BD256" i="57"/>
  <c r="AW256" i="57"/>
  <c r="CT256" i="57" s="1"/>
  <c r="DG256" i="57" s="1"/>
  <c r="DJ255" i="57"/>
  <c r="CW255" i="57"/>
  <c r="BQ255" i="57"/>
  <c r="BP255" i="57"/>
  <c r="BO255" i="57"/>
  <c r="BN255" i="57"/>
  <c r="BM255" i="57"/>
  <c r="BL255" i="57"/>
  <c r="BK255" i="57"/>
  <c r="BJ255" i="57"/>
  <c r="BI255" i="57"/>
  <c r="BH255" i="57"/>
  <c r="BG255" i="57"/>
  <c r="BF255" i="57"/>
  <c r="BE255" i="57"/>
  <c r="BD255" i="57"/>
  <c r="AY255" i="57"/>
  <c r="AX255" i="57"/>
  <c r="BY255" i="57" s="1"/>
  <c r="AW255" i="57"/>
  <c r="AW254" i="57"/>
  <c r="CT254" i="57" s="1"/>
  <c r="DG254" i="57" s="1"/>
  <c r="DJ253" i="57"/>
  <c r="CW253" i="57"/>
  <c r="BQ253" i="57"/>
  <c r="BP253" i="57"/>
  <c r="BO253" i="57"/>
  <c r="BN253" i="57"/>
  <c r="BM253" i="57"/>
  <c r="BL253" i="57"/>
  <c r="BK253" i="57"/>
  <c r="BJ253" i="57"/>
  <c r="BI253" i="57"/>
  <c r="BH253" i="57"/>
  <c r="BG253" i="57"/>
  <c r="BF253" i="57"/>
  <c r="BE253" i="57"/>
  <c r="BD253" i="57"/>
  <c r="AW253" i="57"/>
  <c r="BX253" i="57" s="1"/>
  <c r="DJ252" i="57"/>
  <c r="CW252" i="57"/>
  <c r="BQ252" i="57"/>
  <c r="BP252" i="57"/>
  <c r="BO252" i="57"/>
  <c r="BN252" i="57"/>
  <c r="BM252" i="57"/>
  <c r="BL252" i="57"/>
  <c r="BK252" i="57"/>
  <c r="BJ252" i="57"/>
  <c r="BI252" i="57"/>
  <c r="BH252" i="57"/>
  <c r="BG252" i="57"/>
  <c r="BF252" i="57"/>
  <c r="BE252" i="57"/>
  <c r="BD252" i="57"/>
  <c r="AW252" i="57"/>
  <c r="CT252" i="57" s="1"/>
  <c r="DG252" i="57" s="1"/>
  <c r="AW251" i="57"/>
  <c r="CT251" i="57" s="1"/>
  <c r="DG251" i="57" s="1"/>
  <c r="DJ250" i="57"/>
  <c r="CW250" i="57"/>
  <c r="BQ250" i="57"/>
  <c r="BP250" i="57"/>
  <c r="BO250" i="57"/>
  <c r="BN250" i="57"/>
  <c r="BM250" i="57"/>
  <c r="BL250" i="57"/>
  <c r="BK250" i="57"/>
  <c r="BJ250" i="57"/>
  <c r="BI250" i="57"/>
  <c r="BH250" i="57"/>
  <c r="BG250" i="57"/>
  <c r="BF250" i="57"/>
  <c r="BE250" i="57"/>
  <c r="BD250" i="57"/>
  <c r="AW250" i="57"/>
  <c r="BX250" i="57" s="1"/>
  <c r="DJ249" i="57"/>
  <c r="CW249" i="57"/>
  <c r="BQ249" i="57"/>
  <c r="BP249" i="57"/>
  <c r="BO249" i="57"/>
  <c r="BN249" i="57"/>
  <c r="BM249" i="57"/>
  <c r="BL249" i="57"/>
  <c r="BK249" i="57"/>
  <c r="BJ249" i="57"/>
  <c r="BI249" i="57"/>
  <c r="BH249" i="57"/>
  <c r="BG249" i="57"/>
  <c r="BF249" i="57"/>
  <c r="BE249" i="57"/>
  <c r="BD249" i="57"/>
  <c r="AY249" i="57"/>
  <c r="AX249" i="57"/>
  <c r="CU249" i="57" s="1"/>
  <c r="DH249" i="57" s="1"/>
  <c r="AW249" i="57"/>
  <c r="CT249" i="57" s="1"/>
  <c r="DG249" i="57" s="1"/>
  <c r="AW248" i="57"/>
  <c r="DJ247" i="57"/>
  <c r="CW247" i="57"/>
  <c r="BQ247" i="57"/>
  <c r="BP247" i="57"/>
  <c r="BO247" i="57"/>
  <c r="BN247" i="57"/>
  <c r="BM247" i="57"/>
  <c r="BL247" i="57"/>
  <c r="BK247" i="57"/>
  <c r="BJ247" i="57"/>
  <c r="BI247" i="57"/>
  <c r="BH247" i="57"/>
  <c r="BG247" i="57"/>
  <c r="BF247" i="57"/>
  <c r="BE247" i="57"/>
  <c r="BD247" i="57"/>
  <c r="AW247" i="57"/>
  <c r="CT247" i="57" s="1"/>
  <c r="DG247" i="57" s="1"/>
  <c r="DJ246" i="57"/>
  <c r="CW246" i="57"/>
  <c r="BQ246" i="57"/>
  <c r="BP246" i="57"/>
  <c r="BO246" i="57"/>
  <c r="BN246" i="57"/>
  <c r="BM246" i="57"/>
  <c r="BL246" i="57"/>
  <c r="BK246" i="57"/>
  <c r="BJ246" i="57"/>
  <c r="BI246" i="57"/>
  <c r="BH246" i="57"/>
  <c r="BG246" i="57"/>
  <c r="BF246" i="57"/>
  <c r="BE246" i="57"/>
  <c r="BD246" i="57"/>
  <c r="AW246" i="57"/>
  <c r="CT246" i="57" s="1"/>
  <c r="DG246" i="57" s="1"/>
  <c r="AW245" i="57"/>
  <c r="BX245" i="57" s="1"/>
  <c r="DJ244" i="57"/>
  <c r="CW244" i="57"/>
  <c r="BQ244" i="57"/>
  <c r="BP244" i="57"/>
  <c r="BO244" i="57"/>
  <c r="BN244" i="57"/>
  <c r="BM244" i="57"/>
  <c r="BL244" i="57"/>
  <c r="BK244" i="57"/>
  <c r="BJ244" i="57"/>
  <c r="BI244" i="57"/>
  <c r="BH244" i="57"/>
  <c r="BG244" i="57"/>
  <c r="BF244" i="57"/>
  <c r="BE244" i="57"/>
  <c r="BD244" i="57"/>
  <c r="AW244" i="57"/>
  <c r="CT244" i="57" s="1"/>
  <c r="DG244" i="57" s="1"/>
  <c r="DJ243" i="57"/>
  <c r="CW243" i="57"/>
  <c r="BQ243" i="57"/>
  <c r="BP243" i="57"/>
  <c r="BO243" i="57"/>
  <c r="BN243" i="57"/>
  <c r="BM243" i="57"/>
  <c r="BL243" i="57"/>
  <c r="BK243" i="57"/>
  <c r="BJ243" i="57"/>
  <c r="BI243" i="57"/>
  <c r="BH243" i="57"/>
  <c r="BG243" i="57"/>
  <c r="BF243" i="57"/>
  <c r="BE243" i="57"/>
  <c r="BD243" i="57"/>
  <c r="AY243" i="57"/>
  <c r="BZ243" i="57" s="1"/>
  <c r="AX243" i="57"/>
  <c r="BY243" i="57" s="1"/>
  <c r="AW243" i="57"/>
  <c r="AW242" i="57"/>
  <c r="CT242" i="57" s="1"/>
  <c r="DG242" i="57" s="1"/>
  <c r="DJ241" i="57"/>
  <c r="CW241" i="57"/>
  <c r="BQ241" i="57"/>
  <c r="BP241" i="57"/>
  <c r="BO241" i="57"/>
  <c r="BN241" i="57"/>
  <c r="BM241" i="57"/>
  <c r="BL241" i="57"/>
  <c r="BK241" i="57"/>
  <c r="BJ241" i="57"/>
  <c r="BI241" i="57"/>
  <c r="BH241" i="57"/>
  <c r="BG241" i="57"/>
  <c r="BF241" i="57"/>
  <c r="BE241" i="57"/>
  <c r="BD241" i="57"/>
  <c r="AW241" i="57"/>
  <c r="DJ240" i="57"/>
  <c r="CW240" i="57"/>
  <c r="BQ240" i="57"/>
  <c r="BP240" i="57"/>
  <c r="BO240" i="57"/>
  <c r="BN240" i="57"/>
  <c r="BM240" i="57"/>
  <c r="BL240" i="57"/>
  <c r="BK240" i="57"/>
  <c r="BJ240" i="57"/>
  <c r="BI240" i="57"/>
  <c r="BH240" i="57"/>
  <c r="BG240" i="57"/>
  <c r="BF240" i="57"/>
  <c r="BE240" i="57"/>
  <c r="BD240" i="57"/>
  <c r="AW240" i="57"/>
  <c r="CT240" i="57" s="1"/>
  <c r="DG240" i="57" s="1"/>
  <c r="AW239" i="57"/>
  <c r="CT239" i="57" s="1"/>
  <c r="DG239" i="57" s="1"/>
  <c r="DJ238" i="57"/>
  <c r="CW238" i="57"/>
  <c r="BQ238" i="57"/>
  <c r="BP238" i="57"/>
  <c r="BO238" i="57"/>
  <c r="BN238" i="57"/>
  <c r="BM238" i="57"/>
  <c r="BL238" i="57"/>
  <c r="BK238" i="57"/>
  <c r="BJ238" i="57"/>
  <c r="BI238" i="57"/>
  <c r="BH238" i="57"/>
  <c r="BG238" i="57"/>
  <c r="BF238" i="57"/>
  <c r="BE238" i="57"/>
  <c r="BD238" i="57"/>
  <c r="AW238" i="57"/>
  <c r="CT238" i="57" s="1"/>
  <c r="DG238" i="57" s="1"/>
  <c r="DJ237" i="57"/>
  <c r="CW237" i="57"/>
  <c r="BQ237" i="57"/>
  <c r="BP237" i="57"/>
  <c r="BO237" i="57"/>
  <c r="BN237" i="57"/>
  <c r="BM237" i="57"/>
  <c r="BL237" i="57"/>
  <c r="BK237" i="57"/>
  <c r="BJ237" i="57"/>
  <c r="BI237" i="57"/>
  <c r="BH237" i="57"/>
  <c r="BG237" i="57"/>
  <c r="BF237" i="57"/>
  <c r="BE237" i="57"/>
  <c r="BD237" i="57"/>
  <c r="AY237" i="57"/>
  <c r="CV237" i="57" s="1"/>
  <c r="DI237" i="57" s="1"/>
  <c r="AX237" i="57"/>
  <c r="AW237" i="57"/>
  <c r="BX237" i="57" s="1"/>
  <c r="AW236" i="57"/>
  <c r="CT236" i="57" s="1"/>
  <c r="DG236" i="57" s="1"/>
  <c r="DJ235" i="57"/>
  <c r="CW235" i="57"/>
  <c r="BQ235" i="57"/>
  <c r="BP235" i="57"/>
  <c r="BO235" i="57"/>
  <c r="BN235" i="57"/>
  <c r="BM235" i="57"/>
  <c r="BL235" i="57"/>
  <c r="BK235" i="57"/>
  <c r="BJ235" i="57"/>
  <c r="BI235" i="57"/>
  <c r="BH235" i="57"/>
  <c r="BG235" i="57"/>
  <c r="BF235" i="57"/>
  <c r="BE235" i="57"/>
  <c r="BD235" i="57"/>
  <c r="AW235" i="57"/>
  <c r="DJ234" i="57"/>
  <c r="CW234" i="57"/>
  <c r="BQ234" i="57"/>
  <c r="BP234" i="57"/>
  <c r="BO234" i="57"/>
  <c r="BN234" i="57"/>
  <c r="BM234" i="57"/>
  <c r="BL234" i="57"/>
  <c r="BK234" i="57"/>
  <c r="BJ234" i="57"/>
  <c r="BI234" i="57"/>
  <c r="BH234" i="57"/>
  <c r="BG234" i="57"/>
  <c r="BF234" i="57"/>
  <c r="BE234" i="57"/>
  <c r="BD234" i="57"/>
  <c r="AW234" i="57"/>
  <c r="AW233" i="57"/>
  <c r="CT233" i="57" s="1"/>
  <c r="DG233" i="57" s="1"/>
  <c r="DJ232" i="57"/>
  <c r="CW232" i="57"/>
  <c r="BQ232" i="57"/>
  <c r="BP232" i="57"/>
  <c r="BO232" i="57"/>
  <c r="BN232" i="57"/>
  <c r="BM232" i="57"/>
  <c r="BL232" i="57"/>
  <c r="BK232" i="57"/>
  <c r="BJ232" i="57"/>
  <c r="BI232" i="57"/>
  <c r="BH232" i="57"/>
  <c r="BG232" i="57"/>
  <c r="BF232" i="57"/>
  <c r="BE232" i="57"/>
  <c r="BD232" i="57"/>
  <c r="AW232" i="57"/>
  <c r="DJ231" i="57"/>
  <c r="CW231" i="57"/>
  <c r="BQ231" i="57"/>
  <c r="BP231" i="57"/>
  <c r="BO231" i="57"/>
  <c r="BN231" i="57"/>
  <c r="BM231" i="57"/>
  <c r="BL231" i="57"/>
  <c r="BK231" i="57"/>
  <c r="BJ231" i="57"/>
  <c r="BI231" i="57"/>
  <c r="BH231" i="57"/>
  <c r="BG231" i="57"/>
  <c r="BF231" i="57"/>
  <c r="BE231" i="57"/>
  <c r="BD231" i="57"/>
  <c r="AY231" i="57"/>
  <c r="CV231" i="57" s="1"/>
  <c r="DI231" i="57" s="1"/>
  <c r="AX231" i="57"/>
  <c r="AW231" i="57"/>
  <c r="BX231" i="57" s="1"/>
  <c r="AW230" i="57"/>
  <c r="BX230" i="57" s="1"/>
  <c r="DJ229" i="57"/>
  <c r="CW229" i="57"/>
  <c r="BQ229" i="57"/>
  <c r="BP229" i="57"/>
  <c r="BO229" i="57"/>
  <c r="BN229" i="57"/>
  <c r="BM229" i="57"/>
  <c r="BL229" i="57"/>
  <c r="BK229" i="57"/>
  <c r="BJ229" i="57"/>
  <c r="BI229" i="57"/>
  <c r="BH229" i="57"/>
  <c r="BG229" i="57"/>
  <c r="BF229" i="57"/>
  <c r="BE229" i="57"/>
  <c r="BD229" i="57"/>
  <c r="AW229" i="57"/>
  <c r="CT229" i="57" s="1"/>
  <c r="DG229" i="57" s="1"/>
  <c r="DJ228" i="57"/>
  <c r="CW228" i="57"/>
  <c r="BQ228" i="57"/>
  <c r="BP228" i="57"/>
  <c r="BO228" i="57"/>
  <c r="BN228" i="57"/>
  <c r="BM228" i="57"/>
  <c r="BL228" i="57"/>
  <c r="BK228" i="57"/>
  <c r="BJ228" i="57"/>
  <c r="BI228" i="57"/>
  <c r="BH228" i="57"/>
  <c r="BG228" i="57"/>
  <c r="BF228" i="57"/>
  <c r="BE228" i="57"/>
  <c r="BD228" i="57"/>
  <c r="AW228" i="57"/>
  <c r="CT228" i="57" s="1"/>
  <c r="DG228" i="57" s="1"/>
  <c r="AW227" i="57"/>
  <c r="BX227" i="57" s="1"/>
  <c r="DJ226" i="57"/>
  <c r="CW226" i="57"/>
  <c r="BQ226" i="57"/>
  <c r="BP226" i="57"/>
  <c r="BO226" i="57"/>
  <c r="BN226" i="57"/>
  <c r="BM226" i="57"/>
  <c r="BL226" i="57"/>
  <c r="BK226" i="57"/>
  <c r="BJ226" i="57"/>
  <c r="BI226" i="57"/>
  <c r="BH226" i="57"/>
  <c r="BG226" i="57"/>
  <c r="BF226" i="57"/>
  <c r="BE226" i="57"/>
  <c r="BD226" i="57"/>
  <c r="AW226" i="57"/>
  <c r="DJ225" i="57"/>
  <c r="CW225" i="57"/>
  <c r="BQ225" i="57"/>
  <c r="BP225" i="57"/>
  <c r="BO225" i="57"/>
  <c r="BN225" i="57"/>
  <c r="BM225" i="57"/>
  <c r="BL225" i="57"/>
  <c r="BK225" i="57"/>
  <c r="BJ225" i="57"/>
  <c r="BI225" i="57"/>
  <c r="BH225" i="57"/>
  <c r="BG225" i="57"/>
  <c r="BF225" i="57"/>
  <c r="BE225" i="57"/>
  <c r="BD225" i="57"/>
  <c r="AY225" i="57"/>
  <c r="AX225" i="57"/>
  <c r="CU225" i="57" s="1"/>
  <c r="DH225" i="57" s="1"/>
  <c r="AW225" i="57"/>
  <c r="AW224" i="57"/>
  <c r="CT224" i="57" s="1"/>
  <c r="DG224" i="57" s="1"/>
  <c r="DJ223" i="57"/>
  <c r="CW223" i="57"/>
  <c r="BQ223" i="57"/>
  <c r="BP223" i="57"/>
  <c r="BO223" i="57"/>
  <c r="BN223" i="57"/>
  <c r="BM223" i="57"/>
  <c r="BL223" i="57"/>
  <c r="BK223" i="57"/>
  <c r="BJ223" i="57"/>
  <c r="BI223" i="57"/>
  <c r="BH223" i="57"/>
  <c r="BG223" i="57"/>
  <c r="BF223" i="57"/>
  <c r="BE223" i="57"/>
  <c r="BD223" i="57"/>
  <c r="AW223" i="57"/>
  <c r="BX223" i="57" s="1"/>
  <c r="DJ222" i="57"/>
  <c r="CW222" i="57"/>
  <c r="BQ222" i="57"/>
  <c r="BP222" i="57"/>
  <c r="BO222" i="57"/>
  <c r="BN222" i="57"/>
  <c r="BM222" i="57"/>
  <c r="BL222" i="57"/>
  <c r="BK222" i="57"/>
  <c r="BJ222" i="57"/>
  <c r="BI222" i="57"/>
  <c r="BH222" i="57"/>
  <c r="BG222" i="57"/>
  <c r="BF222" i="57"/>
  <c r="BE222" i="57"/>
  <c r="BD222" i="57"/>
  <c r="AW222" i="57"/>
  <c r="AW221" i="57"/>
  <c r="CT221" i="57" s="1"/>
  <c r="DG221" i="57" s="1"/>
  <c r="DJ220" i="57"/>
  <c r="CW220" i="57"/>
  <c r="BQ220" i="57"/>
  <c r="BP220" i="57"/>
  <c r="BO220" i="57"/>
  <c r="BN220" i="57"/>
  <c r="BM220" i="57"/>
  <c r="BL220" i="57"/>
  <c r="BK220" i="57"/>
  <c r="BJ220" i="57"/>
  <c r="BI220" i="57"/>
  <c r="BH220" i="57"/>
  <c r="BG220" i="57"/>
  <c r="BF220" i="57"/>
  <c r="BE220" i="57"/>
  <c r="BD220" i="57"/>
  <c r="AW220" i="57"/>
  <c r="CT220" i="57" s="1"/>
  <c r="DG220" i="57" s="1"/>
  <c r="DJ219" i="57"/>
  <c r="CW219" i="57"/>
  <c r="BQ219" i="57"/>
  <c r="BP219" i="57"/>
  <c r="BO219" i="57"/>
  <c r="BN219" i="57"/>
  <c r="BM219" i="57"/>
  <c r="BL219" i="57"/>
  <c r="BK219" i="57"/>
  <c r="BJ219" i="57"/>
  <c r="BI219" i="57"/>
  <c r="BH219" i="57"/>
  <c r="BG219" i="57"/>
  <c r="BF219" i="57"/>
  <c r="BE219" i="57"/>
  <c r="BD219" i="57"/>
  <c r="AY219" i="57"/>
  <c r="AX219" i="57"/>
  <c r="AW219" i="57"/>
  <c r="CT219" i="57" s="1"/>
  <c r="DG219" i="57" s="1"/>
  <c r="AW218" i="57"/>
  <c r="BX218" i="57" s="1"/>
  <c r="DJ217" i="57"/>
  <c r="CW217" i="57"/>
  <c r="BQ217" i="57"/>
  <c r="BP217" i="57"/>
  <c r="BO217" i="57"/>
  <c r="BN217" i="57"/>
  <c r="BM217" i="57"/>
  <c r="BL217" i="57"/>
  <c r="BK217" i="57"/>
  <c r="BJ217" i="57"/>
  <c r="BI217" i="57"/>
  <c r="BH217" i="57"/>
  <c r="BG217" i="57"/>
  <c r="BF217" i="57"/>
  <c r="BE217" i="57"/>
  <c r="BD217" i="57"/>
  <c r="AW217" i="57"/>
  <c r="CT217" i="57" s="1"/>
  <c r="DG217" i="57" s="1"/>
  <c r="DJ216" i="57"/>
  <c r="CW216" i="57"/>
  <c r="BQ216" i="57"/>
  <c r="BP216" i="57"/>
  <c r="BO216" i="57"/>
  <c r="BN216" i="57"/>
  <c r="BM216" i="57"/>
  <c r="BL216" i="57"/>
  <c r="BK216" i="57"/>
  <c r="BJ216" i="57"/>
  <c r="BI216" i="57"/>
  <c r="BH216" i="57"/>
  <c r="BG216" i="57"/>
  <c r="BF216" i="57"/>
  <c r="BE216" i="57"/>
  <c r="BD216" i="57"/>
  <c r="AW216" i="57"/>
  <c r="CT216" i="57" s="1"/>
  <c r="DG216" i="57" s="1"/>
  <c r="AW215" i="57"/>
  <c r="DJ214" i="57"/>
  <c r="CW214" i="57"/>
  <c r="BQ214" i="57"/>
  <c r="BP214" i="57"/>
  <c r="BO214" i="57"/>
  <c r="BN214" i="57"/>
  <c r="BM214" i="57"/>
  <c r="BL214" i="57"/>
  <c r="BK214" i="57"/>
  <c r="BJ214" i="57"/>
  <c r="BI214" i="57"/>
  <c r="BH214" i="57"/>
  <c r="BG214" i="57"/>
  <c r="BF214" i="57"/>
  <c r="BE214" i="57"/>
  <c r="BD214" i="57"/>
  <c r="AW214" i="57"/>
  <c r="BX214" i="57" s="1"/>
  <c r="DJ213" i="57"/>
  <c r="CW213" i="57"/>
  <c r="BQ213" i="57"/>
  <c r="BP213" i="57"/>
  <c r="BO213" i="57"/>
  <c r="BN213" i="57"/>
  <c r="BM213" i="57"/>
  <c r="BL213" i="57"/>
  <c r="BK213" i="57"/>
  <c r="BJ213" i="57"/>
  <c r="BI213" i="57"/>
  <c r="BH213" i="57"/>
  <c r="BG213" i="57"/>
  <c r="BF213" i="57"/>
  <c r="BE213" i="57"/>
  <c r="BD213" i="57"/>
  <c r="AY213" i="57"/>
  <c r="CV213" i="57" s="1"/>
  <c r="DI213" i="57" s="1"/>
  <c r="AX213" i="57"/>
  <c r="BY213" i="57" s="1"/>
  <c r="AW213" i="57"/>
  <c r="BX213" i="57" s="1"/>
  <c r="AW212" i="57"/>
  <c r="CT212" i="57" s="1"/>
  <c r="DG212" i="57" s="1"/>
  <c r="DJ211" i="57"/>
  <c r="CW211" i="57"/>
  <c r="BQ211" i="57"/>
  <c r="BP211" i="57"/>
  <c r="BO211" i="57"/>
  <c r="BN211" i="57"/>
  <c r="BM211" i="57"/>
  <c r="BL211" i="57"/>
  <c r="BK211" i="57"/>
  <c r="BJ211" i="57"/>
  <c r="BI211" i="57"/>
  <c r="BH211" i="57"/>
  <c r="BG211" i="57"/>
  <c r="BF211" i="57"/>
  <c r="BE211" i="57"/>
  <c r="BD211" i="57"/>
  <c r="AW211" i="57"/>
  <c r="CT211" i="57" s="1"/>
  <c r="DG211" i="57" s="1"/>
  <c r="DJ210" i="57"/>
  <c r="CW210" i="57"/>
  <c r="BQ210" i="57"/>
  <c r="BP210" i="57"/>
  <c r="BO210" i="57"/>
  <c r="BN210" i="57"/>
  <c r="BM210" i="57"/>
  <c r="BL210" i="57"/>
  <c r="BK210" i="57"/>
  <c r="BJ210" i="57"/>
  <c r="BI210" i="57"/>
  <c r="BH210" i="57"/>
  <c r="BG210" i="57"/>
  <c r="BF210" i="57"/>
  <c r="BE210" i="57"/>
  <c r="BD210" i="57"/>
  <c r="AW210" i="57"/>
  <c r="BX210" i="57" s="1"/>
  <c r="AW209" i="57"/>
  <c r="CT209" i="57" s="1"/>
  <c r="DG209" i="57" s="1"/>
  <c r="DJ208" i="57"/>
  <c r="CW208" i="57"/>
  <c r="BQ208" i="57"/>
  <c r="BP208" i="57"/>
  <c r="BO208" i="57"/>
  <c r="BN208" i="57"/>
  <c r="BM208" i="57"/>
  <c r="BL208" i="57"/>
  <c r="BK208" i="57"/>
  <c r="BJ208" i="57"/>
  <c r="BI208" i="57"/>
  <c r="BH208" i="57"/>
  <c r="BG208" i="57"/>
  <c r="BF208" i="57"/>
  <c r="BE208" i="57"/>
  <c r="BD208" i="57"/>
  <c r="AW208" i="57"/>
  <c r="BX208" i="57" s="1"/>
  <c r="DJ207" i="57"/>
  <c r="CW207" i="57"/>
  <c r="BQ207" i="57"/>
  <c r="BP207" i="57"/>
  <c r="BO207" i="57"/>
  <c r="BN207" i="57"/>
  <c r="BM207" i="57"/>
  <c r="BL207" i="57"/>
  <c r="BK207" i="57"/>
  <c r="BJ207" i="57"/>
  <c r="BI207" i="57"/>
  <c r="BH207" i="57"/>
  <c r="BG207" i="57"/>
  <c r="BF207" i="57"/>
  <c r="BE207" i="57"/>
  <c r="BD207" i="57"/>
  <c r="AY207" i="57"/>
  <c r="CV207" i="57" s="1"/>
  <c r="DI207" i="57" s="1"/>
  <c r="AX207" i="57"/>
  <c r="AW207" i="57"/>
  <c r="AW206" i="57"/>
  <c r="DJ205" i="57"/>
  <c r="CW205" i="57"/>
  <c r="BQ205" i="57"/>
  <c r="BP205" i="57"/>
  <c r="BO205" i="57"/>
  <c r="BN205" i="57"/>
  <c r="BM205" i="57"/>
  <c r="BL205" i="57"/>
  <c r="BK205" i="57"/>
  <c r="BJ205" i="57"/>
  <c r="BI205" i="57"/>
  <c r="BH205" i="57"/>
  <c r="BG205" i="57"/>
  <c r="BF205" i="57"/>
  <c r="BE205" i="57"/>
  <c r="BD205" i="57"/>
  <c r="AW205" i="57"/>
  <c r="CT205" i="57" s="1"/>
  <c r="DG205" i="57" s="1"/>
  <c r="DJ204" i="57"/>
  <c r="CW204" i="57"/>
  <c r="BQ204" i="57"/>
  <c r="BP204" i="57"/>
  <c r="BO204" i="57"/>
  <c r="BN204" i="57"/>
  <c r="BM204" i="57"/>
  <c r="BL204" i="57"/>
  <c r="BK204" i="57"/>
  <c r="BJ204" i="57"/>
  <c r="BI204" i="57"/>
  <c r="BH204" i="57"/>
  <c r="BG204" i="57"/>
  <c r="BF204" i="57"/>
  <c r="BE204" i="57"/>
  <c r="BD204" i="57"/>
  <c r="AW204" i="57"/>
  <c r="AW203" i="57"/>
  <c r="BX203" i="57" s="1"/>
  <c r="DJ202" i="57"/>
  <c r="CW202" i="57"/>
  <c r="BQ202" i="57"/>
  <c r="BP202" i="57"/>
  <c r="BO202" i="57"/>
  <c r="BN202" i="57"/>
  <c r="BM202" i="57"/>
  <c r="BL202" i="57"/>
  <c r="BK202" i="57"/>
  <c r="BJ202" i="57"/>
  <c r="BI202" i="57"/>
  <c r="BH202" i="57"/>
  <c r="BG202" i="57"/>
  <c r="BF202" i="57"/>
  <c r="BE202" i="57"/>
  <c r="BD202" i="57"/>
  <c r="AW202" i="57"/>
  <c r="BX202" i="57" s="1"/>
  <c r="DJ201" i="57"/>
  <c r="CW201" i="57"/>
  <c r="BQ201" i="57"/>
  <c r="BP201" i="57"/>
  <c r="BO201" i="57"/>
  <c r="BN201" i="57"/>
  <c r="BM201" i="57"/>
  <c r="BL201" i="57"/>
  <c r="BK201" i="57"/>
  <c r="BJ201" i="57"/>
  <c r="BI201" i="57"/>
  <c r="BH201" i="57"/>
  <c r="BG201" i="57"/>
  <c r="BF201" i="57"/>
  <c r="BE201" i="57"/>
  <c r="BD201" i="57"/>
  <c r="AY201" i="57"/>
  <c r="BZ201" i="57" s="1"/>
  <c r="AX201" i="57"/>
  <c r="CU201" i="57" s="1"/>
  <c r="DH201" i="57" s="1"/>
  <c r="AW201" i="57"/>
  <c r="CT201" i="57" s="1"/>
  <c r="DG201" i="57" s="1"/>
  <c r="AW200" i="57"/>
  <c r="CT200" i="57" s="1"/>
  <c r="DG200" i="57" s="1"/>
  <c r="DJ199" i="57"/>
  <c r="CW199" i="57"/>
  <c r="BQ199" i="57"/>
  <c r="BP199" i="57"/>
  <c r="BO199" i="57"/>
  <c r="BN199" i="57"/>
  <c r="BM199" i="57"/>
  <c r="BL199" i="57"/>
  <c r="BK199" i="57"/>
  <c r="BJ199" i="57"/>
  <c r="BI199" i="57"/>
  <c r="BH199" i="57"/>
  <c r="BG199" i="57"/>
  <c r="BF199" i="57"/>
  <c r="BE199" i="57"/>
  <c r="BD199" i="57"/>
  <c r="AW199" i="57"/>
  <c r="BX199" i="57" s="1"/>
  <c r="DJ198" i="57"/>
  <c r="CW198" i="57"/>
  <c r="BQ198" i="57"/>
  <c r="BP198" i="57"/>
  <c r="BO198" i="57"/>
  <c r="BN198" i="57"/>
  <c r="BM198" i="57"/>
  <c r="BL198" i="57"/>
  <c r="BK198" i="57"/>
  <c r="BJ198" i="57"/>
  <c r="BI198" i="57"/>
  <c r="BH198" i="57"/>
  <c r="BG198" i="57"/>
  <c r="BF198" i="57"/>
  <c r="BE198" i="57"/>
  <c r="BD198" i="57"/>
  <c r="AW198" i="57"/>
  <c r="CT198" i="57" s="1"/>
  <c r="DG198" i="57" s="1"/>
  <c r="AW197" i="57"/>
  <c r="BX197" i="57" s="1"/>
  <c r="DJ196" i="57"/>
  <c r="CW196" i="57"/>
  <c r="BQ196" i="57"/>
  <c r="BP196" i="57"/>
  <c r="BO196" i="57"/>
  <c r="BN196" i="57"/>
  <c r="BM196" i="57"/>
  <c r="BL196" i="57"/>
  <c r="BK196" i="57"/>
  <c r="BJ196" i="57"/>
  <c r="BI196" i="57"/>
  <c r="BH196" i="57"/>
  <c r="BG196" i="57"/>
  <c r="BF196" i="57"/>
  <c r="BE196" i="57"/>
  <c r="BD196" i="57"/>
  <c r="AW196" i="57"/>
  <c r="DJ195" i="57"/>
  <c r="CW195" i="57"/>
  <c r="BQ195" i="57"/>
  <c r="BP195" i="57"/>
  <c r="BO195" i="57"/>
  <c r="BN195" i="57"/>
  <c r="BM195" i="57"/>
  <c r="BL195" i="57"/>
  <c r="BK195" i="57"/>
  <c r="BJ195" i="57"/>
  <c r="BI195" i="57"/>
  <c r="BH195" i="57"/>
  <c r="BG195" i="57"/>
  <c r="BF195" i="57"/>
  <c r="BE195" i="57"/>
  <c r="BD195" i="57"/>
  <c r="AY195" i="57"/>
  <c r="CV195" i="57" s="1"/>
  <c r="DI195" i="57" s="1"/>
  <c r="AX195" i="57"/>
  <c r="BY195" i="57" s="1"/>
  <c r="AW195" i="57"/>
  <c r="BX195" i="57" s="1"/>
  <c r="AW194" i="57"/>
  <c r="BX194" i="57" s="1"/>
  <c r="DJ193" i="57"/>
  <c r="CW193" i="57"/>
  <c r="BQ193" i="57"/>
  <c r="BP193" i="57"/>
  <c r="BO193" i="57"/>
  <c r="BN193" i="57"/>
  <c r="BM193" i="57"/>
  <c r="BL193" i="57"/>
  <c r="BK193" i="57"/>
  <c r="BJ193" i="57"/>
  <c r="BI193" i="57"/>
  <c r="BH193" i="57"/>
  <c r="BG193" i="57"/>
  <c r="BF193" i="57"/>
  <c r="BE193" i="57"/>
  <c r="BD193" i="57"/>
  <c r="AW193" i="57"/>
  <c r="CT193" i="57" s="1"/>
  <c r="DG193" i="57" s="1"/>
  <c r="DJ192" i="57"/>
  <c r="CW192" i="57"/>
  <c r="BQ192" i="57"/>
  <c r="BP192" i="57"/>
  <c r="BO192" i="57"/>
  <c r="BN192" i="57"/>
  <c r="BM192" i="57"/>
  <c r="BL192" i="57"/>
  <c r="BK192" i="57"/>
  <c r="BJ192" i="57"/>
  <c r="BI192" i="57"/>
  <c r="BH192" i="57"/>
  <c r="BG192" i="57"/>
  <c r="BF192" i="57"/>
  <c r="BE192" i="57"/>
  <c r="BD192" i="57"/>
  <c r="AW192" i="57"/>
  <c r="AW191" i="57"/>
  <c r="DJ190" i="57"/>
  <c r="CW190" i="57"/>
  <c r="BQ190" i="57"/>
  <c r="BP190" i="57"/>
  <c r="BO190" i="57"/>
  <c r="BN190" i="57"/>
  <c r="BM190" i="57"/>
  <c r="BL190" i="57"/>
  <c r="BK190" i="57"/>
  <c r="BJ190" i="57"/>
  <c r="BI190" i="57"/>
  <c r="BH190" i="57"/>
  <c r="BG190" i="57"/>
  <c r="BF190" i="57"/>
  <c r="BE190" i="57"/>
  <c r="BD190" i="57"/>
  <c r="AW190" i="57"/>
  <c r="BX190" i="57" s="1"/>
  <c r="DJ189" i="57"/>
  <c r="CW189" i="57"/>
  <c r="BQ189" i="57"/>
  <c r="BP189" i="57"/>
  <c r="BO189" i="57"/>
  <c r="BN189" i="57"/>
  <c r="BM189" i="57"/>
  <c r="BL189" i="57"/>
  <c r="BK189" i="57"/>
  <c r="BJ189" i="57"/>
  <c r="BI189" i="57"/>
  <c r="BH189" i="57"/>
  <c r="BG189" i="57"/>
  <c r="BF189" i="57"/>
  <c r="BE189" i="57"/>
  <c r="BD189" i="57"/>
  <c r="AY189" i="57"/>
  <c r="AX189" i="57"/>
  <c r="CU189" i="57" s="1"/>
  <c r="DH189" i="57" s="1"/>
  <c r="AW189" i="57"/>
  <c r="CT189" i="57" s="1"/>
  <c r="DG189" i="57" s="1"/>
  <c r="AW188" i="57"/>
  <c r="CT188" i="57" s="1"/>
  <c r="DG188" i="57" s="1"/>
  <c r="DJ187" i="57"/>
  <c r="CW187" i="57"/>
  <c r="BQ187" i="57"/>
  <c r="BP187" i="57"/>
  <c r="BO187" i="57"/>
  <c r="BN187" i="57"/>
  <c r="BM187" i="57"/>
  <c r="BL187" i="57"/>
  <c r="BK187" i="57"/>
  <c r="BJ187" i="57"/>
  <c r="BI187" i="57"/>
  <c r="BH187" i="57"/>
  <c r="BG187" i="57"/>
  <c r="BF187" i="57"/>
  <c r="BE187" i="57"/>
  <c r="BD187" i="57"/>
  <c r="AW187" i="57"/>
  <c r="BX187" i="57" s="1"/>
  <c r="DJ186" i="57"/>
  <c r="CW186" i="57"/>
  <c r="BQ186" i="57"/>
  <c r="BP186" i="57"/>
  <c r="BO186" i="57"/>
  <c r="BN186" i="57"/>
  <c r="BM186" i="57"/>
  <c r="BL186" i="57"/>
  <c r="BK186" i="57"/>
  <c r="BJ186" i="57"/>
  <c r="BI186" i="57"/>
  <c r="BH186" i="57"/>
  <c r="BG186" i="57"/>
  <c r="BF186" i="57"/>
  <c r="BE186" i="57"/>
  <c r="BD186" i="57"/>
  <c r="AW186" i="57"/>
  <c r="AW185" i="57"/>
  <c r="CT185" i="57" s="1"/>
  <c r="DG185" i="57" s="1"/>
  <c r="DJ184" i="57"/>
  <c r="CW184" i="57"/>
  <c r="BQ184" i="57"/>
  <c r="BP184" i="57"/>
  <c r="BO184" i="57"/>
  <c r="BN184" i="57"/>
  <c r="BM184" i="57"/>
  <c r="BL184" i="57"/>
  <c r="BK184" i="57"/>
  <c r="BJ184" i="57"/>
  <c r="BI184" i="57"/>
  <c r="BH184" i="57"/>
  <c r="BG184" i="57"/>
  <c r="BF184" i="57"/>
  <c r="BE184" i="57"/>
  <c r="BD184" i="57"/>
  <c r="AW184" i="57"/>
  <c r="CT184" i="57" s="1"/>
  <c r="DG184" i="57" s="1"/>
  <c r="DJ183" i="57"/>
  <c r="CW183" i="57"/>
  <c r="BQ183" i="57"/>
  <c r="BP183" i="57"/>
  <c r="BO183" i="57"/>
  <c r="BN183" i="57"/>
  <c r="BM183" i="57"/>
  <c r="BL183" i="57"/>
  <c r="BK183" i="57"/>
  <c r="BJ183" i="57"/>
  <c r="BI183" i="57"/>
  <c r="BH183" i="57"/>
  <c r="BG183" i="57"/>
  <c r="BF183" i="57"/>
  <c r="BE183" i="57"/>
  <c r="BD183" i="57"/>
  <c r="AY183" i="57"/>
  <c r="CV183" i="57" s="1"/>
  <c r="DI183" i="57" s="1"/>
  <c r="AX183" i="57"/>
  <c r="AW183" i="57"/>
  <c r="AW182" i="57"/>
  <c r="CT182" i="57" s="1"/>
  <c r="DG182" i="57" s="1"/>
  <c r="DJ181" i="57"/>
  <c r="CW181" i="57"/>
  <c r="BQ181" i="57"/>
  <c r="BP181" i="57"/>
  <c r="BO181" i="57"/>
  <c r="BN181" i="57"/>
  <c r="BM181" i="57"/>
  <c r="BL181" i="57"/>
  <c r="BK181" i="57"/>
  <c r="BJ181" i="57"/>
  <c r="BI181" i="57"/>
  <c r="BH181" i="57"/>
  <c r="BG181" i="57"/>
  <c r="BF181" i="57"/>
  <c r="BE181" i="57"/>
  <c r="BD181" i="57"/>
  <c r="AW181" i="57"/>
  <c r="BX181" i="57" s="1"/>
  <c r="DJ180" i="57"/>
  <c r="CW180" i="57"/>
  <c r="BQ180" i="57"/>
  <c r="BP180" i="57"/>
  <c r="BO180" i="57"/>
  <c r="BN180" i="57"/>
  <c r="BM180" i="57"/>
  <c r="BL180" i="57"/>
  <c r="BK180" i="57"/>
  <c r="BJ180" i="57"/>
  <c r="BI180" i="57"/>
  <c r="BH180" i="57"/>
  <c r="BG180" i="57"/>
  <c r="BF180" i="57"/>
  <c r="BE180" i="57"/>
  <c r="BD180" i="57"/>
  <c r="AW180" i="57"/>
  <c r="AW179" i="57"/>
  <c r="CT179" i="57" s="1"/>
  <c r="DG179" i="57" s="1"/>
  <c r="DJ178" i="57"/>
  <c r="CW178" i="57"/>
  <c r="BQ178" i="57"/>
  <c r="BP178" i="57"/>
  <c r="BO178" i="57"/>
  <c r="BN178" i="57"/>
  <c r="BM178" i="57"/>
  <c r="BL178" i="57"/>
  <c r="BK178" i="57"/>
  <c r="BJ178" i="57"/>
  <c r="BI178" i="57"/>
  <c r="BH178" i="57"/>
  <c r="BG178" i="57"/>
  <c r="BF178" i="57"/>
  <c r="BE178" i="57"/>
  <c r="BD178" i="57"/>
  <c r="AW178" i="57"/>
  <c r="BX178" i="57" s="1"/>
  <c r="DJ177" i="57"/>
  <c r="CW177" i="57"/>
  <c r="BQ177" i="57"/>
  <c r="BP177" i="57"/>
  <c r="BO177" i="57"/>
  <c r="BN177" i="57"/>
  <c r="BM177" i="57"/>
  <c r="BL177" i="57"/>
  <c r="BK177" i="57"/>
  <c r="BJ177" i="57"/>
  <c r="BI177" i="57"/>
  <c r="BH177" i="57"/>
  <c r="BG177" i="57"/>
  <c r="BF177" i="57"/>
  <c r="BE177" i="57"/>
  <c r="BD177" i="57"/>
  <c r="AY177" i="57"/>
  <c r="BZ177" i="57" s="1"/>
  <c r="AX177" i="57"/>
  <c r="CU177" i="57" s="1"/>
  <c r="DH177" i="57" s="1"/>
  <c r="AW177" i="57"/>
  <c r="CT177" i="57" s="1"/>
  <c r="DG177" i="57" s="1"/>
  <c r="AW176" i="57"/>
  <c r="BX176" i="57" s="1"/>
  <c r="DJ175" i="57"/>
  <c r="CW175" i="57"/>
  <c r="BQ175" i="57"/>
  <c r="BP175" i="57"/>
  <c r="BO175" i="57"/>
  <c r="BN175" i="57"/>
  <c r="BM175" i="57"/>
  <c r="BL175" i="57"/>
  <c r="BK175" i="57"/>
  <c r="BJ175" i="57"/>
  <c r="BI175" i="57"/>
  <c r="BH175" i="57"/>
  <c r="BG175" i="57"/>
  <c r="BF175" i="57"/>
  <c r="BE175" i="57"/>
  <c r="BD175" i="57"/>
  <c r="AW175" i="57"/>
  <c r="BX175" i="57" s="1"/>
  <c r="DJ174" i="57"/>
  <c r="CW174" i="57"/>
  <c r="BQ174" i="57"/>
  <c r="BP174" i="57"/>
  <c r="BO174" i="57"/>
  <c r="BN174" i="57"/>
  <c r="BM174" i="57"/>
  <c r="BL174" i="57"/>
  <c r="BK174" i="57"/>
  <c r="BJ174" i="57"/>
  <c r="BI174" i="57"/>
  <c r="BH174" i="57"/>
  <c r="BG174" i="57"/>
  <c r="BF174" i="57"/>
  <c r="BE174" i="57"/>
  <c r="BD174" i="57"/>
  <c r="AW174" i="57"/>
  <c r="BX174" i="57" s="1"/>
  <c r="AW173" i="57"/>
  <c r="DJ172" i="57"/>
  <c r="CW172" i="57"/>
  <c r="BQ172" i="57"/>
  <c r="BP172" i="57"/>
  <c r="BO172" i="57"/>
  <c r="BN172" i="57"/>
  <c r="BM172" i="57"/>
  <c r="BL172" i="57"/>
  <c r="BK172" i="57"/>
  <c r="BJ172" i="57"/>
  <c r="BI172" i="57"/>
  <c r="BH172" i="57"/>
  <c r="BG172" i="57"/>
  <c r="BF172" i="57"/>
  <c r="BE172" i="57"/>
  <c r="BD172" i="57"/>
  <c r="AW172" i="57"/>
  <c r="BX172" i="57" s="1"/>
  <c r="DJ171" i="57"/>
  <c r="CW171" i="57"/>
  <c r="BQ171" i="57"/>
  <c r="BP171" i="57"/>
  <c r="BO171" i="57"/>
  <c r="BN171" i="57"/>
  <c r="BM171" i="57"/>
  <c r="BL171" i="57"/>
  <c r="BK171" i="57"/>
  <c r="BJ171" i="57"/>
  <c r="BI171" i="57"/>
  <c r="BH171" i="57"/>
  <c r="BG171" i="57"/>
  <c r="BF171" i="57"/>
  <c r="BE171" i="57"/>
  <c r="BD171" i="57"/>
  <c r="AY171" i="57"/>
  <c r="BZ171" i="57" s="1"/>
  <c r="AX171" i="57"/>
  <c r="CU171" i="57" s="1"/>
  <c r="DH171" i="57" s="1"/>
  <c r="AW171" i="57"/>
  <c r="BX171" i="57" s="1"/>
  <c r="AW170" i="57"/>
  <c r="CT170" i="57" s="1"/>
  <c r="DG170" i="57" s="1"/>
  <c r="DJ169" i="57"/>
  <c r="CW169" i="57"/>
  <c r="BQ169" i="57"/>
  <c r="BP169" i="57"/>
  <c r="BO169" i="57"/>
  <c r="BN169" i="57"/>
  <c r="BM169" i="57"/>
  <c r="BL169" i="57"/>
  <c r="BK169" i="57"/>
  <c r="BJ169" i="57"/>
  <c r="BI169" i="57"/>
  <c r="BH169" i="57"/>
  <c r="BG169" i="57"/>
  <c r="BF169" i="57"/>
  <c r="BE169" i="57"/>
  <c r="BD169" i="57"/>
  <c r="AW169" i="57"/>
  <c r="CT169" i="57" s="1"/>
  <c r="DG169" i="57" s="1"/>
  <c r="DJ168" i="57"/>
  <c r="CW168" i="57"/>
  <c r="BQ168" i="57"/>
  <c r="BP168" i="57"/>
  <c r="BO168" i="57"/>
  <c r="BN168" i="57"/>
  <c r="BM168" i="57"/>
  <c r="BL168" i="57"/>
  <c r="BK168" i="57"/>
  <c r="BJ168" i="57"/>
  <c r="BI168" i="57"/>
  <c r="BH168" i="57"/>
  <c r="BG168" i="57"/>
  <c r="BF168" i="57"/>
  <c r="BE168" i="57"/>
  <c r="BD168" i="57"/>
  <c r="AW168" i="57"/>
  <c r="BX168" i="57" s="1"/>
  <c r="AW167" i="57"/>
  <c r="BX167" i="57" s="1"/>
  <c r="DJ166" i="57"/>
  <c r="CW166" i="57"/>
  <c r="BQ166" i="57"/>
  <c r="BP166" i="57"/>
  <c r="BO166" i="57"/>
  <c r="BN166" i="57"/>
  <c r="BM166" i="57"/>
  <c r="BL166" i="57"/>
  <c r="BK166" i="57"/>
  <c r="BJ166" i="57"/>
  <c r="BI166" i="57"/>
  <c r="BH166" i="57"/>
  <c r="BG166" i="57"/>
  <c r="BF166" i="57"/>
  <c r="BE166" i="57"/>
  <c r="BD166" i="57"/>
  <c r="AW166" i="57"/>
  <c r="DJ165" i="57"/>
  <c r="CW165" i="57"/>
  <c r="BQ165" i="57"/>
  <c r="BP165" i="57"/>
  <c r="BO165" i="57"/>
  <c r="BN165" i="57"/>
  <c r="BM165" i="57"/>
  <c r="BL165" i="57"/>
  <c r="BK165" i="57"/>
  <c r="BJ165" i="57"/>
  <c r="BI165" i="57"/>
  <c r="BH165" i="57"/>
  <c r="BG165" i="57"/>
  <c r="BF165" i="57"/>
  <c r="BE165" i="57"/>
  <c r="BD165" i="57"/>
  <c r="AY165" i="57"/>
  <c r="BZ165" i="57" s="1"/>
  <c r="AX165" i="57"/>
  <c r="CU165" i="57" s="1"/>
  <c r="DH165" i="57" s="1"/>
  <c r="AW165" i="57"/>
  <c r="CT165" i="57" s="1"/>
  <c r="DG165" i="57" s="1"/>
  <c r="AW164" i="57"/>
  <c r="BX164" i="57" s="1"/>
  <c r="DJ163" i="57"/>
  <c r="CW163" i="57"/>
  <c r="BQ163" i="57"/>
  <c r="BP163" i="57"/>
  <c r="BO163" i="57"/>
  <c r="BN163" i="57"/>
  <c r="BM163" i="57"/>
  <c r="BL163" i="57"/>
  <c r="BK163" i="57"/>
  <c r="BJ163" i="57"/>
  <c r="BI163" i="57"/>
  <c r="BH163" i="57"/>
  <c r="BG163" i="57"/>
  <c r="BF163" i="57"/>
  <c r="BE163" i="57"/>
  <c r="BD163" i="57"/>
  <c r="AW163" i="57"/>
  <c r="DJ162" i="57"/>
  <c r="CW162" i="57"/>
  <c r="BQ162" i="57"/>
  <c r="BP162" i="57"/>
  <c r="BO162" i="57"/>
  <c r="BN162" i="57"/>
  <c r="BM162" i="57"/>
  <c r="BL162" i="57"/>
  <c r="BK162" i="57"/>
  <c r="BJ162" i="57"/>
  <c r="BI162" i="57"/>
  <c r="BH162" i="57"/>
  <c r="BG162" i="57"/>
  <c r="BF162" i="57"/>
  <c r="BE162" i="57"/>
  <c r="BD162" i="57"/>
  <c r="AW162" i="57"/>
  <c r="CT162" i="57" s="1"/>
  <c r="DG162" i="57" s="1"/>
  <c r="AW161" i="57"/>
  <c r="BX161" i="57" s="1"/>
  <c r="DJ160" i="57"/>
  <c r="CW160" i="57"/>
  <c r="BQ160" i="57"/>
  <c r="BP160" i="57"/>
  <c r="BO160" i="57"/>
  <c r="BN160" i="57"/>
  <c r="BM160" i="57"/>
  <c r="BL160" i="57"/>
  <c r="BK160" i="57"/>
  <c r="BJ160" i="57"/>
  <c r="BI160" i="57"/>
  <c r="BH160" i="57"/>
  <c r="BG160" i="57"/>
  <c r="BF160" i="57"/>
  <c r="BE160" i="57"/>
  <c r="BD160" i="57"/>
  <c r="AW160" i="57"/>
  <c r="BX160" i="57" s="1"/>
  <c r="DJ159" i="57"/>
  <c r="CW159" i="57"/>
  <c r="BQ159" i="57"/>
  <c r="BP159" i="57"/>
  <c r="BO159" i="57"/>
  <c r="BN159" i="57"/>
  <c r="BM159" i="57"/>
  <c r="BL159" i="57"/>
  <c r="BK159" i="57"/>
  <c r="BJ159" i="57"/>
  <c r="BI159" i="57"/>
  <c r="BH159" i="57"/>
  <c r="BG159" i="57"/>
  <c r="BF159" i="57"/>
  <c r="BE159" i="57"/>
  <c r="BD159" i="57"/>
  <c r="AY159" i="57"/>
  <c r="CV159" i="57" s="1"/>
  <c r="DI159" i="57" s="1"/>
  <c r="AX159" i="57"/>
  <c r="CU159" i="57" s="1"/>
  <c r="DH159" i="57" s="1"/>
  <c r="AW159" i="57"/>
  <c r="CT159" i="57" s="1"/>
  <c r="DG159" i="57" s="1"/>
  <c r="AW158" i="57"/>
  <c r="BX158" i="57" s="1"/>
  <c r="DJ157" i="57"/>
  <c r="CW157" i="57"/>
  <c r="BQ157" i="57"/>
  <c r="BP157" i="57"/>
  <c r="BO157" i="57"/>
  <c r="BN157" i="57"/>
  <c r="BM157" i="57"/>
  <c r="BL157" i="57"/>
  <c r="BK157" i="57"/>
  <c r="BJ157" i="57"/>
  <c r="BI157" i="57"/>
  <c r="BH157" i="57"/>
  <c r="BG157" i="57"/>
  <c r="BF157" i="57"/>
  <c r="BE157" i="57"/>
  <c r="BD157" i="57"/>
  <c r="AW157" i="57"/>
  <c r="CT157" i="57" s="1"/>
  <c r="DG157" i="57" s="1"/>
  <c r="DJ156" i="57"/>
  <c r="CW156" i="57"/>
  <c r="BQ156" i="57"/>
  <c r="BP156" i="57"/>
  <c r="BO156" i="57"/>
  <c r="BN156" i="57"/>
  <c r="BM156" i="57"/>
  <c r="BL156" i="57"/>
  <c r="BK156" i="57"/>
  <c r="BJ156" i="57"/>
  <c r="BI156" i="57"/>
  <c r="BH156" i="57"/>
  <c r="BG156" i="57"/>
  <c r="BF156" i="57"/>
  <c r="BE156" i="57"/>
  <c r="BD156" i="57"/>
  <c r="AW156" i="57"/>
  <c r="AW155" i="57"/>
  <c r="BX155" i="57" s="1"/>
  <c r="DJ154" i="57"/>
  <c r="CW154" i="57"/>
  <c r="BQ154" i="57"/>
  <c r="BP154" i="57"/>
  <c r="BO154" i="57"/>
  <c r="BN154" i="57"/>
  <c r="BM154" i="57"/>
  <c r="BL154" i="57"/>
  <c r="BK154" i="57"/>
  <c r="BJ154" i="57"/>
  <c r="BI154" i="57"/>
  <c r="BH154" i="57"/>
  <c r="BG154" i="57"/>
  <c r="BF154" i="57"/>
  <c r="BE154" i="57"/>
  <c r="BD154" i="57"/>
  <c r="AW154" i="57"/>
  <c r="CT154" i="57" s="1"/>
  <c r="DG154" i="57" s="1"/>
  <c r="DJ153" i="57"/>
  <c r="CW153" i="57"/>
  <c r="BQ153" i="57"/>
  <c r="BP153" i="57"/>
  <c r="BO153" i="57"/>
  <c r="BN153" i="57"/>
  <c r="BM153" i="57"/>
  <c r="BL153" i="57"/>
  <c r="BK153" i="57"/>
  <c r="BJ153" i="57"/>
  <c r="BI153" i="57"/>
  <c r="BH153" i="57"/>
  <c r="BG153" i="57"/>
  <c r="BF153" i="57"/>
  <c r="BE153" i="57"/>
  <c r="BD153" i="57"/>
  <c r="AY153" i="57"/>
  <c r="BZ153" i="57" s="1"/>
  <c r="AX153" i="57"/>
  <c r="CU153" i="57" s="1"/>
  <c r="DH153" i="57" s="1"/>
  <c r="AW153" i="57"/>
  <c r="BX153" i="57" s="1"/>
  <c r="AW152" i="57"/>
  <c r="CT152" i="57" s="1"/>
  <c r="DG152" i="57" s="1"/>
  <c r="DJ151" i="57"/>
  <c r="CW151" i="57"/>
  <c r="BQ151" i="57"/>
  <c r="BP151" i="57"/>
  <c r="BO151" i="57"/>
  <c r="BN151" i="57"/>
  <c r="BM151" i="57"/>
  <c r="BL151" i="57"/>
  <c r="BK151" i="57"/>
  <c r="BJ151" i="57"/>
  <c r="BI151" i="57"/>
  <c r="BH151" i="57"/>
  <c r="BG151" i="57"/>
  <c r="BF151" i="57"/>
  <c r="BE151" i="57"/>
  <c r="BD151" i="57"/>
  <c r="AW151" i="57"/>
  <c r="CT151" i="57" s="1"/>
  <c r="DG151" i="57" s="1"/>
  <c r="DJ150" i="57"/>
  <c r="CW150" i="57"/>
  <c r="BQ150" i="57"/>
  <c r="BP150" i="57"/>
  <c r="BO150" i="57"/>
  <c r="BN150" i="57"/>
  <c r="BM150" i="57"/>
  <c r="BL150" i="57"/>
  <c r="BK150" i="57"/>
  <c r="BJ150" i="57"/>
  <c r="BI150" i="57"/>
  <c r="BH150" i="57"/>
  <c r="BG150" i="57"/>
  <c r="BF150" i="57"/>
  <c r="BE150" i="57"/>
  <c r="BD150" i="57"/>
  <c r="AW150" i="57"/>
  <c r="CT150" i="57" s="1"/>
  <c r="DG150" i="57" s="1"/>
  <c r="AW149" i="57"/>
  <c r="CT149" i="57" s="1"/>
  <c r="DG149" i="57" s="1"/>
  <c r="DJ148" i="57"/>
  <c r="CW148" i="57"/>
  <c r="BQ148" i="57"/>
  <c r="BP148" i="57"/>
  <c r="BO148" i="57"/>
  <c r="BN148" i="57"/>
  <c r="BM148" i="57"/>
  <c r="BL148" i="57"/>
  <c r="BK148" i="57"/>
  <c r="BJ148" i="57"/>
  <c r="BI148" i="57"/>
  <c r="BH148" i="57"/>
  <c r="BG148" i="57"/>
  <c r="BF148" i="57"/>
  <c r="BE148" i="57"/>
  <c r="BD148" i="57"/>
  <c r="AW148" i="57"/>
  <c r="BX148" i="57" s="1"/>
  <c r="DJ147" i="57"/>
  <c r="CW147" i="57"/>
  <c r="BQ147" i="57"/>
  <c r="BP147" i="57"/>
  <c r="BO147" i="57"/>
  <c r="BN147" i="57"/>
  <c r="BM147" i="57"/>
  <c r="BL147" i="57"/>
  <c r="BK147" i="57"/>
  <c r="BJ147" i="57"/>
  <c r="BI147" i="57"/>
  <c r="BH147" i="57"/>
  <c r="BG147" i="57"/>
  <c r="BF147" i="57"/>
  <c r="BE147" i="57"/>
  <c r="BD147" i="57"/>
  <c r="AY147" i="57"/>
  <c r="CV147" i="57" s="1"/>
  <c r="DI147" i="57" s="1"/>
  <c r="AX147" i="57"/>
  <c r="CU147" i="57" s="1"/>
  <c r="DH147" i="57" s="1"/>
  <c r="AW147" i="57"/>
  <c r="BX147" i="57" s="1"/>
  <c r="AW146" i="57"/>
  <c r="DJ145" i="57"/>
  <c r="CW145" i="57"/>
  <c r="BQ145" i="57"/>
  <c r="BP145" i="57"/>
  <c r="BO145" i="57"/>
  <c r="BN145" i="57"/>
  <c r="BM145" i="57"/>
  <c r="BL145" i="57"/>
  <c r="BK145" i="57"/>
  <c r="BJ145" i="57"/>
  <c r="BI145" i="57"/>
  <c r="BH145" i="57"/>
  <c r="BG145" i="57"/>
  <c r="BF145" i="57"/>
  <c r="BE145" i="57"/>
  <c r="BD145" i="57"/>
  <c r="AW145" i="57"/>
  <c r="DJ144" i="57"/>
  <c r="CW144" i="57"/>
  <c r="BQ144" i="57"/>
  <c r="BP144" i="57"/>
  <c r="BO144" i="57"/>
  <c r="BN144" i="57"/>
  <c r="BM144" i="57"/>
  <c r="BL144" i="57"/>
  <c r="BK144" i="57"/>
  <c r="BJ144" i="57"/>
  <c r="BI144" i="57"/>
  <c r="BH144" i="57"/>
  <c r="BG144" i="57"/>
  <c r="BF144" i="57"/>
  <c r="BE144" i="57"/>
  <c r="BD144" i="57"/>
  <c r="AW144" i="57"/>
  <c r="CT144" i="57" s="1"/>
  <c r="DG144" i="57" s="1"/>
  <c r="AW143" i="57"/>
  <c r="BX143" i="57" s="1"/>
  <c r="DJ142" i="57"/>
  <c r="CW142" i="57"/>
  <c r="BQ142" i="57"/>
  <c r="BP142" i="57"/>
  <c r="BO142" i="57"/>
  <c r="BN142" i="57"/>
  <c r="BM142" i="57"/>
  <c r="BL142" i="57"/>
  <c r="BK142" i="57"/>
  <c r="BJ142" i="57"/>
  <c r="BI142" i="57"/>
  <c r="BH142" i="57"/>
  <c r="BG142" i="57"/>
  <c r="BF142" i="57"/>
  <c r="BE142" i="57"/>
  <c r="BD142" i="57"/>
  <c r="AW142" i="57"/>
  <c r="BX142" i="57" s="1"/>
  <c r="DJ141" i="57"/>
  <c r="CW141" i="57"/>
  <c r="BQ141" i="57"/>
  <c r="BP141" i="57"/>
  <c r="BO141" i="57"/>
  <c r="BN141" i="57"/>
  <c r="BM141" i="57"/>
  <c r="BL141" i="57"/>
  <c r="BK141" i="57"/>
  <c r="BJ141" i="57"/>
  <c r="BI141" i="57"/>
  <c r="BH141" i="57"/>
  <c r="BG141" i="57"/>
  <c r="BF141" i="57"/>
  <c r="BE141" i="57"/>
  <c r="BD141" i="57"/>
  <c r="AY141" i="57"/>
  <c r="CV141" i="57" s="1"/>
  <c r="DI141" i="57" s="1"/>
  <c r="AX141" i="57"/>
  <c r="CU141" i="57" s="1"/>
  <c r="DH141" i="57" s="1"/>
  <c r="AW141" i="57"/>
  <c r="CT141" i="57" s="1"/>
  <c r="DG141" i="57" s="1"/>
  <c r="AW140" i="57"/>
  <c r="CT140" i="57" s="1"/>
  <c r="DG140" i="57" s="1"/>
  <c r="DJ139" i="57"/>
  <c r="CW139" i="57"/>
  <c r="BQ139" i="57"/>
  <c r="BP139" i="57"/>
  <c r="BO139" i="57"/>
  <c r="BN139" i="57"/>
  <c r="BM139" i="57"/>
  <c r="BL139" i="57"/>
  <c r="BK139" i="57"/>
  <c r="BJ139" i="57"/>
  <c r="BI139" i="57"/>
  <c r="BH139" i="57"/>
  <c r="BG139" i="57"/>
  <c r="BF139" i="57"/>
  <c r="BE139" i="57"/>
  <c r="BD139" i="57"/>
  <c r="AW139" i="57"/>
  <c r="CT139" i="57" s="1"/>
  <c r="DG139" i="57" s="1"/>
  <c r="DJ138" i="57"/>
  <c r="CW138" i="57"/>
  <c r="BQ138" i="57"/>
  <c r="BP138" i="57"/>
  <c r="BO138" i="57"/>
  <c r="BN138" i="57"/>
  <c r="BM138" i="57"/>
  <c r="BL138" i="57"/>
  <c r="BK138" i="57"/>
  <c r="BJ138" i="57"/>
  <c r="BI138" i="57"/>
  <c r="BH138" i="57"/>
  <c r="BG138" i="57"/>
  <c r="BF138" i="57"/>
  <c r="BE138" i="57"/>
  <c r="BD138" i="57"/>
  <c r="AW138" i="57"/>
  <c r="BX138" i="57" s="1"/>
  <c r="AW137" i="57"/>
  <c r="BX137" i="57" s="1"/>
  <c r="DJ136" i="57"/>
  <c r="CW136" i="57"/>
  <c r="BQ136" i="57"/>
  <c r="BP136" i="57"/>
  <c r="BO136" i="57"/>
  <c r="BN136" i="57"/>
  <c r="BM136" i="57"/>
  <c r="BL136" i="57"/>
  <c r="BK136" i="57"/>
  <c r="BJ136" i="57"/>
  <c r="BI136" i="57"/>
  <c r="BH136" i="57"/>
  <c r="BG136" i="57"/>
  <c r="BF136" i="57"/>
  <c r="BE136" i="57"/>
  <c r="BD136" i="57"/>
  <c r="AW136" i="57"/>
  <c r="BX136" i="57" s="1"/>
  <c r="DJ135" i="57"/>
  <c r="CW135" i="57"/>
  <c r="BQ135" i="57"/>
  <c r="BP135" i="57"/>
  <c r="BO135" i="57"/>
  <c r="BN135" i="57"/>
  <c r="BM135" i="57"/>
  <c r="BL135" i="57"/>
  <c r="BK135" i="57"/>
  <c r="BJ135" i="57"/>
  <c r="BI135" i="57"/>
  <c r="BH135" i="57"/>
  <c r="BG135" i="57"/>
  <c r="BF135" i="57"/>
  <c r="BE135" i="57"/>
  <c r="BD135" i="57"/>
  <c r="AY135" i="57"/>
  <c r="CV135" i="57" s="1"/>
  <c r="DI135" i="57" s="1"/>
  <c r="AX135" i="57"/>
  <c r="BY135" i="57" s="1"/>
  <c r="AW135" i="57"/>
  <c r="AW134" i="57"/>
  <c r="BX134" i="57" s="1"/>
  <c r="DJ133" i="57"/>
  <c r="CW133" i="57"/>
  <c r="BQ133" i="57"/>
  <c r="BP133" i="57"/>
  <c r="BO133" i="57"/>
  <c r="BN133" i="57"/>
  <c r="BM133" i="57"/>
  <c r="BL133" i="57"/>
  <c r="BK133" i="57"/>
  <c r="BJ133" i="57"/>
  <c r="BI133" i="57"/>
  <c r="BH133" i="57"/>
  <c r="BG133" i="57"/>
  <c r="BF133" i="57"/>
  <c r="BE133" i="57"/>
  <c r="BD133" i="57"/>
  <c r="AW133" i="57"/>
  <c r="CT133" i="57" s="1"/>
  <c r="DG133" i="57" s="1"/>
  <c r="DJ132" i="57"/>
  <c r="CW132" i="57"/>
  <c r="BQ132" i="57"/>
  <c r="BP132" i="57"/>
  <c r="BO132" i="57"/>
  <c r="BN132" i="57"/>
  <c r="BM132" i="57"/>
  <c r="BL132" i="57"/>
  <c r="BK132" i="57"/>
  <c r="BJ132" i="57"/>
  <c r="BI132" i="57"/>
  <c r="BH132" i="57"/>
  <c r="BG132" i="57"/>
  <c r="BF132" i="57"/>
  <c r="BE132" i="57"/>
  <c r="BD132" i="57"/>
  <c r="AW132" i="57"/>
  <c r="CT132" i="57" s="1"/>
  <c r="DG132" i="57" s="1"/>
  <c r="AW131" i="57"/>
  <c r="CT131" i="57" s="1"/>
  <c r="DG131" i="57" s="1"/>
  <c r="DJ130" i="57"/>
  <c r="CW130" i="57"/>
  <c r="BQ130" i="57"/>
  <c r="BP130" i="57"/>
  <c r="BO130" i="57"/>
  <c r="BN130" i="57"/>
  <c r="BM130" i="57"/>
  <c r="BL130" i="57"/>
  <c r="BK130" i="57"/>
  <c r="BJ130" i="57"/>
  <c r="BI130" i="57"/>
  <c r="BH130" i="57"/>
  <c r="BG130" i="57"/>
  <c r="BF130" i="57"/>
  <c r="BE130" i="57"/>
  <c r="BD130" i="57"/>
  <c r="AW130" i="57"/>
  <c r="BX130" i="57" s="1"/>
  <c r="DJ129" i="57"/>
  <c r="CW129" i="57"/>
  <c r="BQ129" i="57"/>
  <c r="BP129" i="57"/>
  <c r="BO129" i="57"/>
  <c r="BN129" i="57"/>
  <c r="BM129" i="57"/>
  <c r="BL129" i="57"/>
  <c r="BK129" i="57"/>
  <c r="BJ129" i="57"/>
  <c r="BI129" i="57"/>
  <c r="BH129" i="57"/>
  <c r="BG129" i="57"/>
  <c r="BF129" i="57"/>
  <c r="BE129" i="57"/>
  <c r="BD129" i="57"/>
  <c r="AY129" i="57"/>
  <c r="CV129" i="57" s="1"/>
  <c r="DI129" i="57" s="1"/>
  <c r="AX129" i="57"/>
  <c r="CU129" i="57" s="1"/>
  <c r="DH129" i="57" s="1"/>
  <c r="AW129" i="57"/>
  <c r="BX129" i="57" s="1"/>
  <c r="AW128" i="57"/>
  <c r="CT128" i="57" s="1"/>
  <c r="DG128" i="57" s="1"/>
  <c r="DJ127" i="57"/>
  <c r="CW127" i="57"/>
  <c r="BQ127" i="57"/>
  <c r="BP127" i="57"/>
  <c r="BO127" i="57"/>
  <c r="BN127" i="57"/>
  <c r="BM127" i="57"/>
  <c r="BL127" i="57"/>
  <c r="BK127" i="57"/>
  <c r="BJ127" i="57"/>
  <c r="BI127" i="57"/>
  <c r="BH127" i="57"/>
  <c r="BG127" i="57"/>
  <c r="BF127" i="57"/>
  <c r="BE127" i="57"/>
  <c r="BD127" i="57"/>
  <c r="AW127" i="57"/>
  <c r="CT127" i="57" s="1"/>
  <c r="DG127" i="57" s="1"/>
  <c r="DJ126" i="57"/>
  <c r="CW126" i="57"/>
  <c r="BQ126" i="57"/>
  <c r="BP126" i="57"/>
  <c r="BO126" i="57"/>
  <c r="BN126" i="57"/>
  <c r="BM126" i="57"/>
  <c r="BL126" i="57"/>
  <c r="BK126" i="57"/>
  <c r="BJ126" i="57"/>
  <c r="BI126" i="57"/>
  <c r="BH126" i="57"/>
  <c r="BG126" i="57"/>
  <c r="BF126" i="57"/>
  <c r="BE126" i="57"/>
  <c r="BD126" i="57"/>
  <c r="AW126" i="57"/>
  <c r="BX126" i="57" s="1"/>
  <c r="AW125" i="57"/>
  <c r="CT125" i="57" s="1"/>
  <c r="DG125" i="57" s="1"/>
  <c r="DJ124" i="57"/>
  <c r="CW124" i="57"/>
  <c r="BQ124" i="57"/>
  <c r="BP124" i="57"/>
  <c r="BO124" i="57"/>
  <c r="BN124" i="57"/>
  <c r="BM124" i="57"/>
  <c r="BL124" i="57"/>
  <c r="BK124" i="57"/>
  <c r="BJ124" i="57"/>
  <c r="BI124" i="57"/>
  <c r="BH124" i="57"/>
  <c r="BG124" i="57"/>
  <c r="BF124" i="57"/>
  <c r="BE124" i="57"/>
  <c r="BD124" i="57"/>
  <c r="AW124" i="57"/>
  <c r="CT124" i="57" s="1"/>
  <c r="DG124" i="57" s="1"/>
  <c r="DJ123" i="57"/>
  <c r="CW123" i="57"/>
  <c r="BQ123" i="57"/>
  <c r="BP123" i="57"/>
  <c r="BO123" i="57"/>
  <c r="BN123" i="57"/>
  <c r="BM123" i="57"/>
  <c r="BL123" i="57"/>
  <c r="BK123" i="57"/>
  <c r="BJ123" i="57"/>
  <c r="BI123" i="57"/>
  <c r="BH123" i="57"/>
  <c r="BG123" i="57"/>
  <c r="BF123" i="57"/>
  <c r="BE123" i="57"/>
  <c r="BD123" i="57"/>
  <c r="AY123" i="57"/>
  <c r="BZ123" i="57" s="1"/>
  <c r="AX123" i="57"/>
  <c r="BY123" i="57" s="1"/>
  <c r="AW123" i="57"/>
  <c r="CT123" i="57" s="1"/>
  <c r="DG123" i="57" s="1"/>
  <c r="AW122" i="57"/>
  <c r="BX122" i="57" s="1"/>
  <c r="DJ121" i="57"/>
  <c r="CW121" i="57"/>
  <c r="BQ121" i="57"/>
  <c r="BP121" i="57"/>
  <c r="BO121" i="57"/>
  <c r="BN121" i="57"/>
  <c r="BM121" i="57"/>
  <c r="BL121" i="57"/>
  <c r="BK121" i="57"/>
  <c r="BJ121" i="57"/>
  <c r="BI121" i="57"/>
  <c r="BH121" i="57"/>
  <c r="BG121" i="57"/>
  <c r="BF121" i="57"/>
  <c r="BE121" i="57"/>
  <c r="BD121" i="57"/>
  <c r="AW121" i="57"/>
  <c r="CT121" i="57" s="1"/>
  <c r="DG121" i="57" s="1"/>
  <c r="DJ120" i="57"/>
  <c r="CW120" i="57"/>
  <c r="BQ120" i="57"/>
  <c r="BP120" i="57"/>
  <c r="BO120" i="57"/>
  <c r="BN120" i="57"/>
  <c r="BM120" i="57"/>
  <c r="BL120" i="57"/>
  <c r="BK120" i="57"/>
  <c r="BJ120" i="57"/>
  <c r="BI120" i="57"/>
  <c r="BH120" i="57"/>
  <c r="BG120" i="57"/>
  <c r="BF120" i="57"/>
  <c r="BE120" i="57"/>
  <c r="BD120" i="57"/>
  <c r="AW120" i="57"/>
  <c r="CT120" i="57" s="1"/>
  <c r="DG120" i="57" s="1"/>
  <c r="AW119" i="57"/>
  <c r="CT119" i="57" s="1"/>
  <c r="DG119" i="57" s="1"/>
  <c r="DJ118" i="57"/>
  <c r="CW118" i="57"/>
  <c r="BQ118" i="57"/>
  <c r="BP118" i="57"/>
  <c r="BO118" i="57"/>
  <c r="BN118" i="57"/>
  <c r="BM118" i="57"/>
  <c r="BL118" i="57"/>
  <c r="BK118" i="57"/>
  <c r="BJ118" i="57"/>
  <c r="BI118" i="57"/>
  <c r="BH118" i="57"/>
  <c r="BG118" i="57"/>
  <c r="BF118" i="57"/>
  <c r="BE118" i="57"/>
  <c r="BD118" i="57"/>
  <c r="AW118" i="57"/>
  <c r="BX118" i="57" s="1"/>
  <c r="DJ117" i="57"/>
  <c r="CW117" i="57"/>
  <c r="BQ117" i="57"/>
  <c r="BP117" i="57"/>
  <c r="BO117" i="57"/>
  <c r="BN117" i="57"/>
  <c r="BM117" i="57"/>
  <c r="BL117" i="57"/>
  <c r="BK117" i="57"/>
  <c r="BJ117" i="57"/>
  <c r="BI117" i="57"/>
  <c r="BH117" i="57"/>
  <c r="BG117" i="57"/>
  <c r="BF117" i="57"/>
  <c r="BE117" i="57"/>
  <c r="BD117" i="57"/>
  <c r="AY117" i="57"/>
  <c r="CV117" i="57" s="1"/>
  <c r="DI117" i="57" s="1"/>
  <c r="AX117" i="57"/>
  <c r="CU117" i="57" s="1"/>
  <c r="DH117" i="57" s="1"/>
  <c r="AW117" i="57"/>
  <c r="AW116" i="57"/>
  <c r="CT116" i="57" s="1"/>
  <c r="DG116" i="57" s="1"/>
  <c r="DJ115" i="57"/>
  <c r="CW115" i="57"/>
  <c r="BQ115" i="57"/>
  <c r="BP115" i="57"/>
  <c r="BO115" i="57"/>
  <c r="BN115" i="57"/>
  <c r="BM115" i="57"/>
  <c r="BL115" i="57"/>
  <c r="BK115" i="57"/>
  <c r="BJ115" i="57"/>
  <c r="BI115" i="57"/>
  <c r="BH115" i="57"/>
  <c r="BG115" i="57"/>
  <c r="BF115" i="57"/>
  <c r="BE115" i="57"/>
  <c r="BD115" i="57"/>
  <c r="AW115" i="57"/>
  <c r="CT115" i="57" s="1"/>
  <c r="DG115" i="57" s="1"/>
  <c r="DJ114" i="57"/>
  <c r="CW114" i="57"/>
  <c r="BQ114" i="57"/>
  <c r="BP114" i="57"/>
  <c r="BO114" i="57"/>
  <c r="BN114" i="57"/>
  <c r="BM114" i="57"/>
  <c r="BL114" i="57"/>
  <c r="BK114" i="57"/>
  <c r="BJ114" i="57"/>
  <c r="BI114" i="57"/>
  <c r="BH114" i="57"/>
  <c r="BG114" i="57"/>
  <c r="BF114" i="57"/>
  <c r="BE114" i="57"/>
  <c r="BD114" i="57"/>
  <c r="AW114" i="57"/>
  <c r="BX114" i="57" s="1"/>
  <c r="AW113" i="57"/>
  <c r="CT113" i="57" s="1"/>
  <c r="DG113" i="57" s="1"/>
  <c r="DJ112" i="57"/>
  <c r="CW112" i="57"/>
  <c r="BQ112" i="57"/>
  <c r="BP112" i="57"/>
  <c r="BO112" i="57"/>
  <c r="BN112" i="57"/>
  <c r="BM112" i="57"/>
  <c r="BL112" i="57"/>
  <c r="BK112" i="57"/>
  <c r="BJ112" i="57"/>
  <c r="BI112" i="57"/>
  <c r="BH112" i="57"/>
  <c r="BG112" i="57"/>
  <c r="BF112" i="57"/>
  <c r="BE112" i="57"/>
  <c r="BD112" i="57"/>
  <c r="AW112" i="57"/>
  <c r="BX112" i="57" s="1"/>
  <c r="DJ111" i="57"/>
  <c r="CW111" i="57"/>
  <c r="BQ111" i="57"/>
  <c r="BP111" i="57"/>
  <c r="BO111" i="57"/>
  <c r="BN111" i="57"/>
  <c r="BM111" i="57"/>
  <c r="BL111" i="57"/>
  <c r="BK111" i="57"/>
  <c r="BJ111" i="57"/>
  <c r="BI111" i="57"/>
  <c r="BH111" i="57"/>
  <c r="BG111" i="57"/>
  <c r="BF111" i="57"/>
  <c r="BE111" i="57"/>
  <c r="BD111" i="57"/>
  <c r="AY111" i="57"/>
  <c r="AX111" i="57"/>
  <c r="BY111" i="57" s="1"/>
  <c r="AW111" i="57"/>
  <c r="CT111" i="57" s="1"/>
  <c r="DG111" i="57" s="1"/>
  <c r="AW110" i="57"/>
  <c r="BX110" i="57" s="1"/>
  <c r="DJ109" i="57"/>
  <c r="CW109" i="57"/>
  <c r="BQ109" i="57"/>
  <c r="BP109" i="57"/>
  <c r="BO109" i="57"/>
  <c r="BN109" i="57"/>
  <c r="BM109" i="57"/>
  <c r="BL109" i="57"/>
  <c r="BK109" i="57"/>
  <c r="BJ109" i="57"/>
  <c r="BI109" i="57"/>
  <c r="BH109" i="57"/>
  <c r="BG109" i="57"/>
  <c r="BF109" i="57"/>
  <c r="BE109" i="57"/>
  <c r="BD109" i="57"/>
  <c r="AW109" i="57"/>
  <c r="CT109" i="57" s="1"/>
  <c r="DG109" i="57" s="1"/>
  <c r="DJ108" i="57"/>
  <c r="CW108" i="57"/>
  <c r="BQ108" i="57"/>
  <c r="BP108" i="57"/>
  <c r="BO108" i="57"/>
  <c r="BN108" i="57"/>
  <c r="BM108" i="57"/>
  <c r="BL108" i="57"/>
  <c r="BK108" i="57"/>
  <c r="BJ108" i="57"/>
  <c r="BI108" i="57"/>
  <c r="BH108" i="57"/>
  <c r="BG108" i="57"/>
  <c r="BF108" i="57"/>
  <c r="BE108" i="57"/>
  <c r="BD108" i="57"/>
  <c r="AW108" i="57"/>
  <c r="CT108" i="57" s="1"/>
  <c r="DG108" i="57" s="1"/>
  <c r="AW107" i="57"/>
  <c r="DJ106" i="57"/>
  <c r="CW106" i="57"/>
  <c r="BQ106" i="57"/>
  <c r="BP106" i="57"/>
  <c r="BO106" i="57"/>
  <c r="BN106" i="57"/>
  <c r="BM106" i="57"/>
  <c r="BL106" i="57"/>
  <c r="BK106" i="57"/>
  <c r="BJ106" i="57"/>
  <c r="BI106" i="57"/>
  <c r="BH106" i="57"/>
  <c r="BG106" i="57"/>
  <c r="BF106" i="57"/>
  <c r="BE106" i="57"/>
  <c r="BD106" i="57"/>
  <c r="AW106" i="57"/>
  <c r="BX106" i="57" s="1"/>
  <c r="DJ105" i="57"/>
  <c r="CW105" i="57"/>
  <c r="BQ105" i="57"/>
  <c r="BP105" i="57"/>
  <c r="BO105" i="57"/>
  <c r="BN105" i="57"/>
  <c r="BM105" i="57"/>
  <c r="BL105" i="57"/>
  <c r="BK105" i="57"/>
  <c r="BJ105" i="57"/>
  <c r="BI105" i="57"/>
  <c r="BH105" i="57"/>
  <c r="BG105" i="57"/>
  <c r="BF105" i="57"/>
  <c r="BE105" i="57"/>
  <c r="BD105" i="57"/>
  <c r="AY105" i="57"/>
  <c r="CV105" i="57" s="1"/>
  <c r="DI105" i="57" s="1"/>
  <c r="AX105" i="57"/>
  <c r="CU105" i="57" s="1"/>
  <c r="DH105" i="57" s="1"/>
  <c r="AW105" i="57"/>
  <c r="BX105" i="57" s="1"/>
  <c r="AW104" i="57"/>
  <c r="CT104" i="57" s="1"/>
  <c r="DG104" i="57" s="1"/>
  <c r="DJ103" i="57"/>
  <c r="CW103" i="57"/>
  <c r="BQ103" i="57"/>
  <c r="BP103" i="57"/>
  <c r="BO103" i="57"/>
  <c r="BN103" i="57"/>
  <c r="BM103" i="57"/>
  <c r="BL103" i="57"/>
  <c r="BK103" i="57"/>
  <c r="BJ103" i="57"/>
  <c r="BI103" i="57"/>
  <c r="BH103" i="57"/>
  <c r="BG103" i="57"/>
  <c r="BF103" i="57"/>
  <c r="BE103" i="57"/>
  <c r="BD103" i="57"/>
  <c r="AW103" i="57"/>
  <c r="CT103" i="57" s="1"/>
  <c r="DG103" i="57" s="1"/>
  <c r="DJ102" i="57"/>
  <c r="CW102" i="57"/>
  <c r="BQ102" i="57"/>
  <c r="BP102" i="57"/>
  <c r="BO102" i="57"/>
  <c r="BN102" i="57"/>
  <c r="BM102" i="57"/>
  <c r="BL102" i="57"/>
  <c r="BK102" i="57"/>
  <c r="BJ102" i="57"/>
  <c r="BI102" i="57"/>
  <c r="BH102" i="57"/>
  <c r="BG102" i="57"/>
  <c r="BF102" i="57"/>
  <c r="BE102" i="57"/>
  <c r="BD102" i="57"/>
  <c r="AW102" i="57"/>
  <c r="BX102" i="57" s="1"/>
  <c r="AW101" i="57"/>
  <c r="CT101" i="57" s="1"/>
  <c r="DG101" i="57" s="1"/>
  <c r="DJ100" i="57"/>
  <c r="CW100" i="57"/>
  <c r="BQ100" i="57"/>
  <c r="BP100" i="57"/>
  <c r="BO100" i="57"/>
  <c r="BN100" i="57"/>
  <c r="BM100" i="57"/>
  <c r="BL100" i="57"/>
  <c r="BK100" i="57"/>
  <c r="BJ100" i="57"/>
  <c r="BI100" i="57"/>
  <c r="BH100" i="57"/>
  <c r="BG100" i="57"/>
  <c r="BF100" i="57"/>
  <c r="BE100" i="57"/>
  <c r="BD100" i="57"/>
  <c r="AW100" i="57"/>
  <c r="CT100" i="57" s="1"/>
  <c r="DG100" i="57" s="1"/>
  <c r="DJ99" i="57"/>
  <c r="CW99" i="57"/>
  <c r="BQ99" i="57"/>
  <c r="BP99" i="57"/>
  <c r="BO99" i="57"/>
  <c r="BN99" i="57"/>
  <c r="BM99" i="57"/>
  <c r="BL99" i="57"/>
  <c r="BK99" i="57"/>
  <c r="BJ99" i="57"/>
  <c r="BI99" i="57"/>
  <c r="BH99" i="57"/>
  <c r="BG99" i="57"/>
  <c r="BF99" i="57"/>
  <c r="BE99" i="57"/>
  <c r="BD99" i="57"/>
  <c r="AY99" i="57"/>
  <c r="CV99" i="57" s="1"/>
  <c r="DI99" i="57" s="1"/>
  <c r="AX99" i="57"/>
  <c r="BY99" i="57" s="1"/>
  <c r="AW99" i="57"/>
  <c r="AW98" i="57"/>
  <c r="BX98" i="57" s="1"/>
  <c r="DJ97" i="57"/>
  <c r="CW97" i="57"/>
  <c r="BQ97" i="57"/>
  <c r="BP97" i="57"/>
  <c r="BO97" i="57"/>
  <c r="BN97" i="57"/>
  <c r="BM97" i="57"/>
  <c r="BL97" i="57"/>
  <c r="BK97" i="57"/>
  <c r="BJ97" i="57"/>
  <c r="BI97" i="57"/>
  <c r="BH97" i="57"/>
  <c r="BG97" i="57"/>
  <c r="BF97" i="57"/>
  <c r="BE97" i="57"/>
  <c r="BD97" i="57"/>
  <c r="AW97" i="57"/>
  <c r="BX97" i="57" s="1"/>
  <c r="DJ96" i="57"/>
  <c r="CW96" i="57"/>
  <c r="BQ96" i="57"/>
  <c r="BP96" i="57"/>
  <c r="BO96" i="57"/>
  <c r="BN96" i="57"/>
  <c r="BM96" i="57"/>
  <c r="BL96" i="57"/>
  <c r="BK96" i="57"/>
  <c r="BJ96" i="57"/>
  <c r="BI96" i="57"/>
  <c r="BH96" i="57"/>
  <c r="BG96" i="57"/>
  <c r="BF96" i="57"/>
  <c r="BE96" i="57"/>
  <c r="BD96" i="57"/>
  <c r="AW96" i="57"/>
  <c r="CT96" i="57" s="1"/>
  <c r="DG96" i="57" s="1"/>
  <c r="AW95" i="57"/>
  <c r="BX95" i="57" s="1"/>
  <c r="DJ94" i="57"/>
  <c r="CW94" i="57"/>
  <c r="BQ94" i="57"/>
  <c r="BP94" i="57"/>
  <c r="BO94" i="57"/>
  <c r="BN94" i="57"/>
  <c r="BM94" i="57"/>
  <c r="BL94" i="57"/>
  <c r="BK94" i="57"/>
  <c r="BJ94" i="57"/>
  <c r="BI94" i="57"/>
  <c r="BH94" i="57"/>
  <c r="BG94" i="57"/>
  <c r="BF94" i="57"/>
  <c r="BE94" i="57"/>
  <c r="BD94" i="57"/>
  <c r="AW94" i="57"/>
  <c r="CT94" i="57" s="1"/>
  <c r="DG94" i="57" s="1"/>
  <c r="DJ93" i="57"/>
  <c r="CW93" i="57"/>
  <c r="BQ93" i="57"/>
  <c r="BP93" i="57"/>
  <c r="BO93" i="57"/>
  <c r="BN93" i="57"/>
  <c r="BM93" i="57"/>
  <c r="BL93" i="57"/>
  <c r="BK93" i="57"/>
  <c r="BJ93" i="57"/>
  <c r="BI93" i="57"/>
  <c r="BH93" i="57"/>
  <c r="BG93" i="57"/>
  <c r="BF93" i="57"/>
  <c r="BE93" i="57"/>
  <c r="BD93" i="57"/>
  <c r="AY93" i="57"/>
  <c r="AX93" i="57"/>
  <c r="CU93" i="57" s="1"/>
  <c r="DH93" i="57" s="1"/>
  <c r="AW93" i="57"/>
  <c r="CT93" i="57" s="1"/>
  <c r="DG93" i="57" s="1"/>
  <c r="AW92" i="57"/>
  <c r="CT92" i="57" s="1"/>
  <c r="DG92" i="57" s="1"/>
  <c r="DJ91" i="57"/>
  <c r="CW91" i="57"/>
  <c r="BQ91" i="57"/>
  <c r="BP91" i="57"/>
  <c r="BO91" i="57"/>
  <c r="BN91" i="57"/>
  <c r="BM91" i="57"/>
  <c r="BL91" i="57"/>
  <c r="BK91" i="57"/>
  <c r="BJ91" i="57"/>
  <c r="BI91" i="57"/>
  <c r="BH91" i="57"/>
  <c r="BG91" i="57"/>
  <c r="BF91" i="57"/>
  <c r="BE91" i="57"/>
  <c r="BD91" i="57"/>
  <c r="AW91" i="57"/>
  <c r="DJ90" i="57"/>
  <c r="CW90" i="57"/>
  <c r="BQ90" i="57"/>
  <c r="BP90" i="57"/>
  <c r="BO90" i="57"/>
  <c r="BN90" i="57"/>
  <c r="BM90" i="57"/>
  <c r="BL90" i="57"/>
  <c r="BK90" i="57"/>
  <c r="BJ90" i="57"/>
  <c r="BI90" i="57"/>
  <c r="BH90" i="57"/>
  <c r="BG90" i="57"/>
  <c r="BF90" i="57"/>
  <c r="BE90" i="57"/>
  <c r="BD90" i="57"/>
  <c r="AW90" i="57"/>
  <c r="BX90" i="57" s="1"/>
  <c r="AW89" i="57"/>
  <c r="BX89" i="57" s="1"/>
  <c r="DJ88" i="57"/>
  <c r="CW88" i="57"/>
  <c r="BQ88" i="57"/>
  <c r="BP88" i="57"/>
  <c r="BO88" i="57"/>
  <c r="BN88" i="57"/>
  <c r="BM88" i="57"/>
  <c r="BL88" i="57"/>
  <c r="BK88" i="57"/>
  <c r="BJ88" i="57"/>
  <c r="BI88" i="57"/>
  <c r="BH88" i="57"/>
  <c r="BG88" i="57"/>
  <c r="BF88" i="57"/>
  <c r="BE88" i="57"/>
  <c r="BD88" i="57"/>
  <c r="AW88" i="57"/>
  <c r="CT88" i="57" s="1"/>
  <c r="DG88" i="57" s="1"/>
  <c r="DJ87" i="57"/>
  <c r="CW87" i="57"/>
  <c r="BQ87" i="57"/>
  <c r="BP87" i="57"/>
  <c r="BO87" i="57"/>
  <c r="BN87" i="57"/>
  <c r="BM87" i="57"/>
  <c r="BL87" i="57"/>
  <c r="BK87" i="57"/>
  <c r="BJ87" i="57"/>
  <c r="BI87" i="57"/>
  <c r="BH87" i="57"/>
  <c r="BG87" i="57"/>
  <c r="BF87" i="57"/>
  <c r="BE87" i="57"/>
  <c r="BD87" i="57"/>
  <c r="AY87" i="57"/>
  <c r="CV87" i="57" s="1"/>
  <c r="DI87" i="57" s="1"/>
  <c r="AX87" i="57"/>
  <c r="BY87" i="57" s="1"/>
  <c r="AW87" i="57"/>
  <c r="CT87" i="57" s="1"/>
  <c r="DG87" i="57" s="1"/>
  <c r="AW86" i="57"/>
  <c r="BX86" i="57" s="1"/>
  <c r="DJ85" i="57"/>
  <c r="CW85" i="57"/>
  <c r="BQ85" i="57"/>
  <c r="BP85" i="57"/>
  <c r="BO85" i="57"/>
  <c r="BN85" i="57"/>
  <c r="BM85" i="57"/>
  <c r="BL85" i="57"/>
  <c r="BK85" i="57"/>
  <c r="BJ85" i="57"/>
  <c r="BI85" i="57"/>
  <c r="BH85" i="57"/>
  <c r="BG85" i="57"/>
  <c r="BF85" i="57"/>
  <c r="BE85" i="57"/>
  <c r="BD85" i="57"/>
  <c r="AW85" i="57"/>
  <c r="CT85" i="57" s="1"/>
  <c r="DG85" i="57" s="1"/>
  <c r="DJ84" i="57"/>
  <c r="CW84" i="57"/>
  <c r="BQ84" i="57"/>
  <c r="BP84" i="57"/>
  <c r="BO84" i="57"/>
  <c r="BN84" i="57"/>
  <c r="BM84" i="57"/>
  <c r="BL84" i="57"/>
  <c r="BK84" i="57"/>
  <c r="BJ84" i="57"/>
  <c r="BI84" i="57"/>
  <c r="BH84" i="57"/>
  <c r="BG84" i="57"/>
  <c r="BF84" i="57"/>
  <c r="BE84" i="57"/>
  <c r="BD84" i="57"/>
  <c r="AW84" i="57"/>
  <c r="CT84" i="57" s="1"/>
  <c r="DG84" i="57" s="1"/>
  <c r="AW83" i="57"/>
  <c r="CT83" i="57" s="1"/>
  <c r="DG83" i="57" s="1"/>
  <c r="DJ82" i="57"/>
  <c r="CW82" i="57"/>
  <c r="BQ82" i="57"/>
  <c r="BP82" i="57"/>
  <c r="BO82" i="57"/>
  <c r="BN82" i="57"/>
  <c r="BM82" i="57"/>
  <c r="BL82" i="57"/>
  <c r="BK82" i="57"/>
  <c r="BJ82" i="57"/>
  <c r="BI82" i="57"/>
  <c r="BH82" i="57"/>
  <c r="BG82" i="57"/>
  <c r="BF82" i="57"/>
  <c r="BE82" i="57"/>
  <c r="BD82" i="57"/>
  <c r="AW82" i="57"/>
  <c r="BX82" i="57" s="1"/>
  <c r="DJ81" i="57"/>
  <c r="CW81" i="57"/>
  <c r="BQ81" i="57"/>
  <c r="BP81" i="57"/>
  <c r="BO81" i="57"/>
  <c r="BN81" i="57"/>
  <c r="BM81" i="57"/>
  <c r="BL81" i="57"/>
  <c r="BK81" i="57"/>
  <c r="BJ81" i="57"/>
  <c r="BI81" i="57"/>
  <c r="BH81" i="57"/>
  <c r="BG81" i="57"/>
  <c r="BF81" i="57"/>
  <c r="BE81" i="57"/>
  <c r="BD81" i="57"/>
  <c r="AY81" i="57"/>
  <c r="BZ81" i="57" s="1"/>
  <c r="AX81" i="57"/>
  <c r="CU81" i="57" s="1"/>
  <c r="DH81" i="57" s="1"/>
  <c r="AW81" i="57"/>
  <c r="CT81" i="57" s="1"/>
  <c r="DG81" i="57" s="1"/>
  <c r="AW80" i="57"/>
  <c r="CT80" i="57" s="1"/>
  <c r="DG80" i="57" s="1"/>
  <c r="DJ79" i="57"/>
  <c r="CW79" i="57"/>
  <c r="BQ79" i="57"/>
  <c r="BP79" i="57"/>
  <c r="BO79" i="57"/>
  <c r="BN79" i="57"/>
  <c r="BM79" i="57"/>
  <c r="BL79" i="57"/>
  <c r="BK79" i="57"/>
  <c r="BJ79" i="57"/>
  <c r="BI79" i="57"/>
  <c r="BH79" i="57"/>
  <c r="BG79" i="57"/>
  <c r="BF79" i="57"/>
  <c r="BE79" i="57"/>
  <c r="BD79" i="57"/>
  <c r="AW79" i="57"/>
  <c r="CT79" i="57" s="1"/>
  <c r="DG79" i="57" s="1"/>
  <c r="DJ78" i="57"/>
  <c r="CW78" i="57"/>
  <c r="BQ78" i="57"/>
  <c r="BP78" i="57"/>
  <c r="BO78" i="57"/>
  <c r="BN78" i="57"/>
  <c r="BM78" i="57"/>
  <c r="BL78" i="57"/>
  <c r="BK78" i="57"/>
  <c r="BJ78" i="57"/>
  <c r="BI78" i="57"/>
  <c r="BH78" i="57"/>
  <c r="BG78" i="57"/>
  <c r="BF78" i="57"/>
  <c r="BE78" i="57"/>
  <c r="BD78" i="57"/>
  <c r="AW78" i="57"/>
  <c r="CT78" i="57" s="1"/>
  <c r="DG78" i="57" s="1"/>
  <c r="AW77" i="57"/>
  <c r="CT77" i="57" s="1"/>
  <c r="DG77" i="57" s="1"/>
  <c r="DJ76" i="57"/>
  <c r="CW76" i="57"/>
  <c r="BQ76" i="57"/>
  <c r="BP76" i="57"/>
  <c r="BO76" i="57"/>
  <c r="BN76" i="57"/>
  <c r="BM76" i="57"/>
  <c r="BL76" i="57"/>
  <c r="BK76" i="57"/>
  <c r="BJ76" i="57"/>
  <c r="BI76" i="57"/>
  <c r="BH76" i="57"/>
  <c r="BG76" i="57"/>
  <c r="BF76" i="57"/>
  <c r="BE76" i="57"/>
  <c r="BD76" i="57"/>
  <c r="AW76" i="57"/>
  <c r="CT76" i="57" s="1"/>
  <c r="DG76" i="57" s="1"/>
  <c r="DJ75" i="57"/>
  <c r="CW75" i="57"/>
  <c r="BQ75" i="57"/>
  <c r="BP75" i="57"/>
  <c r="BO75" i="57"/>
  <c r="BN75" i="57"/>
  <c r="BM75" i="57"/>
  <c r="BL75" i="57"/>
  <c r="BK75" i="57"/>
  <c r="BJ75" i="57"/>
  <c r="BI75" i="57"/>
  <c r="BH75" i="57"/>
  <c r="BG75" i="57"/>
  <c r="BF75" i="57"/>
  <c r="BE75" i="57"/>
  <c r="BD75" i="57"/>
  <c r="AY75" i="57"/>
  <c r="BZ75" i="57" s="1"/>
  <c r="AX75" i="57"/>
  <c r="CU75" i="57" s="1"/>
  <c r="DH75" i="57" s="1"/>
  <c r="AW75" i="57"/>
  <c r="BX75" i="57" s="1"/>
  <c r="AW74" i="57"/>
  <c r="BX74" i="57" s="1"/>
  <c r="DJ73" i="57"/>
  <c r="CW73" i="57"/>
  <c r="BQ73" i="57"/>
  <c r="BP73" i="57"/>
  <c r="BO73" i="57"/>
  <c r="BN73" i="57"/>
  <c r="BM73" i="57"/>
  <c r="BL73" i="57"/>
  <c r="BK73" i="57"/>
  <c r="BJ73" i="57"/>
  <c r="BI73" i="57"/>
  <c r="BH73" i="57"/>
  <c r="BG73" i="57"/>
  <c r="BF73" i="57"/>
  <c r="BE73" i="57"/>
  <c r="BD73" i="57"/>
  <c r="AW73" i="57"/>
  <c r="DJ72" i="57"/>
  <c r="CW72" i="57"/>
  <c r="BQ72" i="57"/>
  <c r="BP72" i="57"/>
  <c r="BO72" i="57"/>
  <c r="BN72" i="57"/>
  <c r="BM72" i="57"/>
  <c r="BL72" i="57"/>
  <c r="BK72" i="57"/>
  <c r="BJ72" i="57"/>
  <c r="BI72" i="57"/>
  <c r="BH72" i="57"/>
  <c r="BG72" i="57"/>
  <c r="BF72" i="57"/>
  <c r="BE72" i="57"/>
  <c r="BD72" i="57"/>
  <c r="AW72" i="57"/>
  <c r="CT72" i="57" s="1"/>
  <c r="DG72" i="57" s="1"/>
  <c r="AW71" i="57"/>
  <c r="DJ70" i="57"/>
  <c r="CW70" i="57"/>
  <c r="BQ70" i="57"/>
  <c r="BP70" i="57"/>
  <c r="BO70" i="57"/>
  <c r="BN70" i="57"/>
  <c r="BM70" i="57"/>
  <c r="BL70" i="57"/>
  <c r="BK70" i="57"/>
  <c r="BJ70" i="57"/>
  <c r="BI70" i="57"/>
  <c r="BH70" i="57"/>
  <c r="BG70" i="57"/>
  <c r="BF70" i="57"/>
  <c r="BE70" i="57"/>
  <c r="BD70" i="57"/>
  <c r="AW70" i="57"/>
  <c r="CW69" i="57"/>
  <c r="BQ69" i="57"/>
  <c r="BP69" i="57"/>
  <c r="BO69" i="57"/>
  <c r="BN69" i="57"/>
  <c r="BM69" i="57"/>
  <c r="BL69" i="57"/>
  <c r="BK69" i="57"/>
  <c r="BJ69" i="57"/>
  <c r="BI69" i="57"/>
  <c r="BH69" i="57"/>
  <c r="BG69" i="57"/>
  <c r="BF69" i="57"/>
  <c r="BE69" i="57"/>
  <c r="BD69" i="57"/>
  <c r="AY69" i="57"/>
  <c r="CV69" i="57" s="1"/>
  <c r="DI69" i="57" s="1"/>
  <c r="AX69" i="57"/>
  <c r="CU69" i="57" s="1"/>
  <c r="DH69" i="57" s="1"/>
  <c r="AW69" i="57"/>
  <c r="CV68" i="57"/>
  <c r="DI68" i="57" s="1"/>
  <c r="CU68" i="57"/>
  <c r="DH68" i="57" s="1"/>
  <c r="CT68" i="57"/>
  <c r="DG68" i="57" s="1"/>
  <c r="BZ68" i="57"/>
  <c r="BY68" i="57"/>
  <c r="BX68" i="57"/>
  <c r="DK64" i="57"/>
  <c r="DK82" i="57" s="1"/>
  <c r="CX64" i="57"/>
  <c r="CX70" i="57" s="1"/>
  <c r="BX56" i="57"/>
  <c r="AW56" i="57"/>
  <c r="CN55" i="57"/>
  <c r="CI55" i="57"/>
  <c r="CA55" i="57"/>
  <c r="BM55" i="57"/>
  <c r="BH55" i="57"/>
  <c r="AZ55" i="57"/>
  <c r="I503" i="57"/>
  <c r="I497" i="57"/>
  <c r="I491" i="57"/>
  <c r="I539" i="57" s="1"/>
  <c r="I485" i="57"/>
  <c r="I530" i="57" s="1"/>
  <c r="I479" i="57"/>
  <c r="I477" i="57"/>
  <c r="I516" i="57" s="1"/>
  <c r="I476" i="57"/>
  <c r="I515" i="57" s="1"/>
  <c r="I475" i="57"/>
  <c r="I514" i="57" s="1"/>
  <c r="I474" i="57"/>
  <c r="I473" i="57"/>
  <c r="I512" i="57" s="1"/>
  <c r="E56" i="102"/>
  <c r="I515" i="36" l="1"/>
  <c r="I503" i="36"/>
  <c r="AZ55" i="36"/>
  <c r="AZ54" i="36"/>
  <c r="CT71" i="57"/>
  <c r="DG71" i="57" s="1"/>
  <c r="BX128" i="57"/>
  <c r="BX144" i="57"/>
  <c r="BX389" i="57"/>
  <c r="CT95" i="57"/>
  <c r="DG95" i="57" s="1"/>
  <c r="CT105" i="57"/>
  <c r="DG105" i="57" s="1"/>
  <c r="BX407" i="57"/>
  <c r="BX149" i="57"/>
  <c r="BX272" i="57"/>
  <c r="BX275" i="57"/>
  <c r="CT89" i="57"/>
  <c r="DG89" i="57" s="1"/>
  <c r="DK70" i="57"/>
  <c r="BX152" i="57"/>
  <c r="BX170" i="57"/>
  <c r="CT160" i="57"/>
  <c r="DG160" i="57" s="1"/>
  <c r="CT148" i="57"/>
  <c r="DG148" i="57" s="1"/>
  <c r="CT155" i="57"/>
  <c r="DG155" i="57" s="1"/>
  <c r="CT97" i="57"/>
  <c r="DG97" i="57" s="1"/>
  <c r="CT143" i="57"/>
  <c r="DG143" i="57" s="1"/>
  <c r="CT153" i="57"/>
  <c r="DG153" i="57" s="1"/>
  <c r="CV171" i="57"/>
  <c r="DI171" i="57" s="1"/>
  <c r="CT296" i="57"/>
  <c r="DG296" i="57" s="1"/>
  <c r="CT86" i="57"/>
  <c r="DG86" i="57" s="1"/>
  <c r="BX150" i="57"/>
  <c r="BX72" i="57"/>
  <c r="CV153" i="57"/>
  <c r="DI153" i="57" s="1"/>
  <c r="BX70" i="57"/>
  <c r="CT75" i="57"/>
  <c r="DG75" i="57" s="1"/>
  <c r="BX83" i="57"/>
  <c r="BX88" i="57"/>
  <c r="BY93" i="57"/>
  <c r="BZ105" i="57"/>
  <c r="CT112" i="57"/>
  <c r="DG112" i="57" s="1"/>
  <c r="BY153" i="57"/>
  <c r="CT164" i="57"/>
  <c r="DG164" i="57" s="1"/>
  <c r="CT167" i="57"/>
  <c r="DG167" i="57" s="1"/>
  <c r="CT174" i="57"/>
  <c r="DG174" i="57" s="1"/>
  <c r="CT181" i="57"/>
  <c r="DG181" i="57" s="1"/>
  <c r="BX189" i="57"/>
  <c r="CT197" i="57"/>
  <c r="DG197" i="57" s="1"/>
  <c r="BZ237" i="57"/>
  <c r="CT267" i="57"/>
  <c r="DG267" i="57" s="1"/>
  <c r="CU279" i="57"/>
  <c r="DH279" i="57" s="1"/>
  <c r="CT286" i="57"/>
  <c r="DG286" i="57" s="1"/>
  <c r="BX303" i="57"/>
  <c r="CT314" i="57"/>
  <c r="DG314" i="57" s="1"/>
  <c r="BX321" i="57"/>
  <c r="BX347" i="57"/>
  <c r="CT351" i="57"/>
  <c r="DG351" i="57" s="1"/>
  <c r="CT172" i="57"/>
  <c r="DG172" i="57" s="1"/>
  <c r="BY189" i="57"/>
  <c r="CT237" i="57"/>
  <c r="DG237" i="57" s="1"/>
  <c r="CT253" i="57"/>
  <c r="DG253" i="57" s="1"/>
  <c r="BX309" i="57"/>
  <c r="BX345" i="57"/>
  <c r="BX349" i="57"/>
  <c r="BX391" i="57"/>
  <c r="CV81" i="57"/>
  <c r="DI81" i="57" s="1"/>
  <c r="BX121" i="57"/>
  <c r="BX124" i="57"/>
  <c r="BY129" i="57"/>
  <c r="BX177" i="57"/>
  <c r="BZ213" i="57"/>
  <c r="BX229" i="57"/>
  <c r="BX251" i="57"/>
  <c r="BY291" i="57"/>
  <c r="BX294" i="57"/>
  <c r="BX298" i="57"/>
  <c r="CT330" i="57"/>
  <c r="DG330" i="57" s="1"/>
  <c r="CT368" i="57"/>
  <c r="DG368" i="57" s="1"/>
  <c r="BX413" i="57"/>
  <c r="CT415" i="57"/>
  <c r="DG415" i="57" s="1"/>
  <c r="DK78" i="57"/>
  <c r="BX84" i="57"/>
  <c r="BX94" i="57"/>
  <c r="BX111" i="57"/>
  <c r="BX127" i="57"/>
  <c r="BZ129" i="57"/>
  <c r="CU135" i="57"/>
  <c r="DH135" i="57" s="1"/>
  <c r="CV177" i="57"/>
  <c r="DI177" i="57" s="1"/>
  <c r="BX198" i="57"/>
  <c r="CT213" i="57"/>
  <c r="DG213" i="57" s="1"/>
  <c r="CT218" i="57"/>
  <c r="DG218" i="57" s="1"/>
  <c r="BX249" i="57"/>
  <c r="BX256" i="57"/>
  <c r="BY261" i="57"/>
  <c r="BX268" i="57"/>
  <c r="BX280" i="57"/>
  <c r="BX289" i="57"/>
  <c r="CT304" i="57"/>
  <c r="DG304" i="57" s="1"/>
  <c r="CV315" i="57"/>
  <c r="DI315" i="57" s="1"/>
  <c r="CT352" i="57"/>
  <c r="DG352" i="57" s="1"/>
  <c r="BX388" i="57"/>
  <c r="CX76" i="57"/>
  <c r="BX87" i="57"/>
  <c r="BX96" i="57"/>
  <c r="BX104" i="57"/>
  <c r="BX116" i="57"/>
  <c r="BX119" i="57"/>
  <c r="CT158" i="57"/>
  <c r="DG158" i="57" s="1"/>
  <c r="BY171" i="57"/>
  <c r="BX182" i="57"/>
  <c r="BX185" i="57"/>
  <c r="BX216" i="57"/>
  <c r="BX221" i="57"/>
  <c r="BX244" i="57"/>
  <c r="BY249" i="57"/>
  <c r="CT261" i="57"/>
  <c r="DG261" i="57" s="1"/>
  <c r="BX273" i="57"/>
  <c r="BX285" i="57"/>
  <c r="BX287" i="57"/>
  <c r="BX310" i="57"/>
  <c r="BX325" i="57"/>
  <c r="CT355" i="57"/>
  <c r="DG355" i="57" s="1"/>
  <c r="CX69" i="57"/>
  <c r="CU87" i="57"/>
  <c r="DH87" i="57" s="1"/>
  <c r="BX169" i="57"/>
  <c r="CT171" i="57"/>
  <c r="DG171" i="57" s="1"/>
  <c r="BX247" i="57"/>
  <c r="BX254" i="57"/>
  <c r="BX259" i="57"/>
  <c r="CV261" i="57"/>
  <c r="DI261" i="57" s="1"/>
  <c r="BX264" i="57"/>
  <c r="BX276" i="57"/>
  <c r="CT331" i="57"/>
  <c r="DG331" i="57" s="1"/>
  <c r="BX367" i="57"/>
  <c r="BX397" i="57"/>
  <c r="DK79" i="57"/>
  <c r="CT136" i="57"/>
  <c r="DG136" i="57" s="1"/>
  <c r="CT138" i="57"/>
  <c r="DG138" i="57" s="1"/>
  <c r="CT190" i="57"/>
  <c r="DG190" i="57" s="1"/>
  <c r="BY225" i="57"/>
  <c r="CT283" i="57"/>
  <c r="DG283" i="57" s="1"/>
  <c r="BX297" i="57"/>
  <c r="BX316" i="57"/>
  <c r="BX375" i="57"/>
  <c r="BX392" i="57"/>
  <c r="BX400" i="57"/>
  <c r="BX93" i="57"/>
  <c r="CU99" i="57"/>
  <c r="DH99" i="57" s="1"/>
  <c r="BX151" i="57"/>
  <c r="BX157" i="57"/>
  <c r="BY159" i="57"/>
  <c r="CT161" i="57"/>
  <c r="DG161" i="57" s="1"/>
  <c r="CT176" i="57"/>
  <c r="DG176" i="57" s="1"/>
  <c r="CT178" i="57"/>
  <c r="DG178" i="57" s="1"/>
  <c r="BX212" i="57"/>
  <c r="BX217" i="57"/>
  <c r="BX257" i="57"/>
  <c r="BX295" i="57"/>
  <c r="CT305" i="57"/>
  <c r="DG305" i="57" s="1"/>
  <c r="CT318" i="57"/>
  <c r="DG318" i="57" s="1"/>
  <c r="CT353" i="57"/>
  <c r="DG353" i="57" s="1"/>
  <c r="BX362" i="57"/>
  <c r="BA54" i="36"/>
  <c r="BB54" i="36"/>
  <c r="CT68" i="36"/>
  <c r="DG68" i="36" s="1"/>
  <c r="CT67" i="36"/>
  <c r="DG67" i="36" s="1"/>
  <c r="BB55" i="36"/>
  <c r="BA55" i="36"/>
  <c r="CY64" i="57"/>
  <c r="BX69" i="57"/>
  <c r="DK75" i="57"/>
  <c r="BX77" i="57"/>
  <c r="CX85" i="57"/>
  <c r="I521" i="57"/>
  <c r="DK94" i="57"/>
  <c r="DK96" i="57"/>
  <c r="DK102" i="57"/>
  <c r="DK103" i="57"/>
  <c r="DK105" i="57"/>
  <c r="DK106" i="57"/>
  <c r="DK88" i="57"/>
  <c r="BY69" i="57"/>
  <c r="CX106" i="57"/>
  <c r="CX118" i="57"/>
  <c r="CX117" i="57"/>
  <c r="CX99" i="57"/>
  <c r="CX114" i="57"/>
  <c r="CX102" i="57"/>
  <c r="CX91" i="57"/>
  <c r="CX93" i="57"/>
  <c r="DL64" i="57"/>
  <c r="DK72" i="57"/>
  <c r="DK73" i="57"/>
  <c r="BX78" i="57"/>
  <c r="BX79" i="57"/>
  <c r="BX80" i="57"/>
  <c r="CV75" i="57"/>
  <c r="DI75" i="57" s="1"/>
  <c r="CX78" i="57"/>
  <c r="CX79" i="57"/>
  <c r="BZ87" i="57"/>
  <c r="BX73" i="57"/>
  <c r="CT73" i="57"/>
  <c r="DG73" i="57" s="1"/>
  <c r="I483" i="57"/>
  <c r="I489" i="57" s="1"/>
  <c r="BX101" i="57"/>
  <c r="CT102" i="57"/>
  <c r="DG102" i="57" s="1"/>
  <c r="BX103" i="57"/>
  <c r="BX120" i="57"/>
  <c r="BX100" i="57"/>
  <c r="BX108" i="57"/>
  <c r="BX113" i="57"/>
  <c r="CT114" i="57"/>
  <c r="DG114" i="57" s="1"/>
  <c r="CV123" i="57"/>
  <c r="DI123" i="57" s="1"/>
  <c r="BX132" i="57"/>
  <c r="CT135" i="57"/>
  <c r="DG135" i="57" s="1"/>
  <c r="BX135" i="57"/>
  <c r="BX141" i="57"/>
  <c r="CT147" i="57"/>
  <c r="DG147" i="57" s="1"/>
  <c r="BZ99" i="57"/>
  <c r="CT118" i="57"/>
  <c r="DG118" i="57" s="1"/>
  <c r="BY117" i="57"/>
  <c r="CT146" i="57"/>
  <c r="DG146" i="57" s="1"/>
  <c r="BX146" i="57"/>
  <c r="CT145" i="57"/>
  <c r="DG145" i="57" s="1"/>
  <c r="BX145" i="57"/>
  <c r="BX166" i="57"/>
  <c r="CT166" i="57"/>
  <c r="DG166" i="57" s="1"/>
  <c r="BX109" i="57"/>
  <c r="CT110" i="57"/>
  <c r="DG110" i="57" s="1"/>
  <c r="CT122" i="57"/>
  <c r="DG122" i="57" s="1"/>
  <c r="BZ147" i="57"/>
  <c r="CT173" i="57"/>
  <c r="DG173" i="57" s="1"/>
  <c r="BX173" i="57"/>
  <c r="CT192" i="57"/>
  <c r="DG192" i="57" s="1"/>
  <c r="BX192" i="57"/>
  <c r="CT129" i="57"/>
  <c r="DG129" i="57" s="1"/>
  <c r="CT137" i="57"/>
  <c r="DG137" i="57" s="1"/>
  <c r="BX159" i="57"/>
  <c r="BX193" i="57"/>
  <c r="BX140" i="57"/>
  <c r="BY141" i="57"/>
  <c r="CT156" i="57"/>
  <c r="DG156" i="57" s="1"/>
  <c r="BX156" i="57"/>
  <c r="BZ159" i="57"/>
  <c r="CT196" i="57"/>
  <c r="DG196" i="57" s="1"/>
  <c r="BX196" i="57"/>
  <c r="BZ195" i="57"/>
  <c r="BX266" i="57"/>
  <c r="CT266" i="57"/>
  <c r="DG266" i="57" s="1"/>
  <c r="BX154" i="57"/>
  <c r="BX163" i="57"/>
  <c r="CT163" i="57"/>
  <c r="DG163" i="57" s="1"/>
  <c r="BX191" i="57"/>
  <c r="CT191" i="57"/>
  <c r="DG191" i="57" s="1"/>
  <c r="CT130" i="57"/>
  <c r="DG130" i="57" s="1"/>
  <c r="BX165" i="57"/>
  <c r="CT232" i="57"/>
  <c r="DG232" i="57" s="1"/>
  <c r="BX232" i="57"/>
  <c r="CT168" i="57"/>
  <c r="DG168" i="57" s="1"/>
  <c r="BX184" i="57"/>
  <c r="CT187" i="57"/>
  <c r="DG187" i="57" s="1"/>
  <c r="BX188" i="57"/>
  <c r="CT194" i="57"/>
  <c r="DG194" i="57" s="1"/>
  <c r="CT206" i="57"/>
  <c r="DG206" i="57" s="1"/>
  <c r="BX206" i="57"/>
  <c r="CT208" i="57"/>
  <c r="DG208" i="57" s="1"/>
  <c r="CT234" i="57"/>
  <c r="DG234" i="57" s="1"/>
  <c r="BX234" i="57"/>
  <c r="BX239" i="57"/>
  <c r="BY165" i="57"/>
  <c r="CT235" i="57"/>
  <c r="DG235" i="57" s="1"/>
  <c r="BX235" i="57"/>
  <c r="BZ183" i="57"/>
  <c r="CU237" i="57"/>
  <c r="DH237" i="57" s="1"/>
  <c r="BY237" i="57"/>
  <c r="BZ255" i="57"/>
  <c r="CV255" i="57"/>
  <c r="DI255" i="57" s="1"/>
  <c r="BX162" i="57"/>
  <c r="BX200" i="57"/>
  <c r="BX201" i="57"/>
  <c r="CV201" i="57"/>
  <c r="DI201" i="57" s="1"/>
  <c r="BX238" i="57"/>
  <c r="BZ207" i="57"/>
  <c r="CT248" i="57"/>
  <c r="DG248" i="57" s="1"/>
  <c r="BX248" i="57"/>
  <c r="CT225" i="57"/>
  <c r="DG225" i="57" s="1"/>
  <c r="BX225" i="57"/>
  <c r="CU213" i="57"/>
  <c r="DH213" i="57" s="1"/>
  <c r="BX219" i="57"/>
  <c r="CT227" i="57"/>
  <c r="DG227" i="57" s="1"/>
  <c r="CT279" i="57"/>
  <c r="DG279" i="57" s="1"/>
  <c r="BX279" i="57"/>
  <c r="BX205" i="57"/>
  <c r="BX209" i="57"/>
  <c r="BX211" i="57"/>
  <c r="BX236" i="57"/>
  <c r="CT210" i="57"/>
  <c r="DG210" i="57" s="1"/>
  <c r="CT243" i="57"/>
  <c r="DG243" i="57" s="1"/>
  <c r="BX243" i="57"/>
  <c r="BZ231" i="57"/>
  <c r="BX274" i="57"/>
  <c r="CT274" i="57"/>
  <c r="DG274" i="57" s="1"/>
  <c r="BX220" i="57"/>
  <c r="CT230" i="57"/>
  <c r="DG230" i="57" s="1"/>
  <c r="CT245" i="57"/>
  <c r="DG245" i="57" s="1"/>
  <c r="BX252" i="57"/>
  <c r="CT214" i="57"/>
  <c r="DG214" i="57" s="1"/>
  <c r="BX224" i="57"/>
  <c r="BX228" i="57"/>
  <c r="BX240" i="57"/>
  <c r="CT258" i="57"/>
  <c r="DG258" i="57" s="1"/>
  <c r="BX260" i="57"/>
  <c r="BZ309" i="57"/>
  <c r="CV309" i="57"/>
  <c r="DI309" i="57" s="1"/>
  <c r="CT308" i="57"/>
  <c r="DG308" i="57" s="1"/>
  <c r="BX308" i="57"/>
  <c r="CV243" i="57"/>
  <c r="DI243" i="57" s="1"/>
  <c r="CV291" i="57"/>
  <c r="DI291" i="57" s="1"/>
  <c r="BZ291" i="57"/>
  <c r="CT302" i="57"/>
  <c r="DG302" i="57" s="1"/>
  <c r="BX302" i="57"/>
  <c r="BX288" i="57"/>
  <c r="CT288" i="57"/>
  <c r="DG288" i="57" s="1"/>
  <c r="CT359" i="57"/>
  <c r="DG359" i="57" s="1"/>
  <c r="BX359" i="57"/>
  <c r="BX246" i="57"/>
  <c r="CT250" i="57"/>
  <c r="DG250" i="57" s="1"/>
  <c r="CT269" i="57"/>
  <c r="DG269" i="57" s="1"/>
  <c r="BY273" i="57"/>
  <c r="BX281" i="57"/>
  <c r="BX282" i="57"/>
  <c r="CT290" i="57"/>
  <c r="DG290" i="57" s="1"/>
  <c r="BX290" i="57"/>
  <c r="CU297" i="57"/>
  <c r="DH297" i="57" s="1"/>
  <c r="CT313" i="57"/>
  <c r="DG313" i="57" s="1"/>
  <c r="BX313" i="57"/>
  <c r="CT324" i="57"/>
  <c r="DG324" i="57" s="1"/>
  <c r="BX324" i="57"/>
  <c r="CT338" i="57"/>
  <c r="DG338" i="57" s="1"/>
  <c r="BX338" i="57"/>
  <c r="BZ297" i="57"/>
  <c r="CT317" i="57"/>
  <c r="DG317" i="57" s="1"/>
  <c r="BX317" i="57"/>
  <c r="BY303" i="57"/>
  <c r="CT299" i="57"/>
  <c r="DG299" i="57" s="1"/>
  <c r="BX306" i="57"/>
  <c r="BX344" i="57"/>
  <c r="CT344" i="57"/>
  <c r="DG344" i="57" s="1"/>
  <c r="CT292" i="57"/>
  <c r="DG292" i="57" s="1"/>
  <c r="CT312" i="57"/>
  <c r="DG312" i="57" s="1"/>
  <c r="BX312" i="57"/>
  <c r="CT340" i="57"/>
  <c r="DG340" i="57" s="1"/>
  <c r="CT335" i="57"/>
  <c r="DG335" i="57" s="1"/>
  <c r="BX335" i="57"/>
  <c r="CT376" i="57"/>
  <c r="DG376" i="57" s="1"/>
  <c r="BX376" i="57"/>
  <c r="BX311" i="57"/>
  <c r="CT332" i="57"/>
  <c r="DG332" i="57" s="1"/>
  <c r="BX332" i="57"/>
  <c r="BX337" i="57"/>
  <c r="CT337" i="57"/>
  <c r="DG337" i="57" s="1"/>
  <c r="BX322" i="57"/>
  <c r="CT326" i="57"/>
  <c r="DG326" i="57" s="1"/>
  <c r="CT343" i="57"/>
  <c r="DG343" i="57" s="1"/>
  <c r="BX343" i="57"/>
  <c r="CT350" i="57"/>
  <c r="DG350" i="57" s="1"/>
  <c r="BX350" i="57"/>
  <c r="CT371" i="57"/>
  <c r="DG371" i="57" s="1"/>
  <c r="BX371" i="57"/>
  <c r="BX334" i="57"/>
  <c r="CT336" i="57"/>
  <c r="DG336" i="57" s="1"/>
  <c r="BX342" i="57"/>
  <c r="CT365" i="57"/>
  <c r="DG365" i="57" s="1"/>
  <c r="BX365" i="57"/>
  <c r="BX346" i="57"/>
  <c r="BX348" i="57"/>
  <c r="CT354" i="57"/>
  <c r="DG354" i="57" s="1"/>
  <c r="BX354" i="57"/>
  <c r="CT381" i="57"/>
  <c r="DG381" i="57" s="1"/>
  <c r="BX381" i="57"/>
  <c r="CT366" i="57"/>
  <c r="DG366" i="57" s="1"/>
  <c r="BX366" i="57"/>
  <c r="BX357" i="57"/>
  <c r="CT360" i="57"/>
  <c r="DG360" i="57" s="1"/>
  <c r="BX394" i="57"/>
  <c r="CT394" i="57"/>
  <c r="DG394" i="57" s="1"/>
  <c r="BX358" i="57"/>
  <c r="BX373" i="57"/>
  <c r="CT356" i="57"/>
  <c r="DG356" i="57" s="1"/>
  <c r="BX363" i="57"/>
  <c r="BX374" i="57"/>
  <c r="BX379" i="57"/>
  <c r="CT403" i="57"/>
  <c r="DG403" i="57" s="1"/>
  <c r="BX403" i="57"/>
  <c r="BX384" i="57"/>
  <c r="CT387" i="57"/>
  <c r="DG387" i="57" s="1"/>
  <c r="BX396" i="57"/>
  <c r="CT414" i="57"/>
  <c r="DG414" i="57" s="1"/>
  <c r="BX401" i="57"/>
  <c r="CT402" i="57"/>
  <c r="DG402" i="57" s="1"/>
  <c r="BX405" i="57"/>
  <c r="BX411" i="57"/>
  <c r="BX412" i="57"/>
  <c r="BX435" i="57"/>
  <c r="CT435" i="57"/>
  <c r="DG435" i="57" s="1"/>
  <c r="BX409" i="57"/>
  <c r="BX418" i="57"/>
  <c r="BX404" i="57"/>
  <c r="BX410" i="57"/>
  <c r="BX416" i="57"/>
  <c r="CT437" i="57"/>
  <c r="DG437" i="57" s="1"/>
  <c r="BX437" i="57"/>
  <c r="CX82" i="36"/>
  <c r="CX75" i="36"/>
  <c r="CX71" i="36"/>
  <c r="CX80" i="36"/>
  <c r="CX85" i="36"/>
  <c r="CX83" i="36"/>
  <c r="CX68" i="36"/>
  <c r="CY61" i="36"/>
  <c r="CY71" i="36" s="1"/>
  <c r="BX422" i="57"/>
  <c r="CT428" i="57"/>
  <c r="DG428" i="57" s="1"/>
  <c r="BX436" i="57"/>
  <c r="CT438" i="57"/>
  <c r="DG438" i="57" s="1"/>
  <c r="CT439" i="57"/>
  <c r="DG439" i="57" s="1"/>
  <c r="BX419" i="57"/>
  <c r="BX421" i="57"/>
  <c r="BX429" i="57"/>
  <c r="BX430" i="57"/>
  <c r="CT427" i="57"/>
  <c r="DG427" i="57" s="1"/>
  <c r="BX442" i="57"/>
  <c r="BX425" i="57"/>
  <c r="CT443" i="57"/>
  <c r="DG443" i="57" s="1"/>
  <c r="BX424" i="57"/>
  <c r="CT432" i="57"/>
  <c r="DG432" i="57" s="1"/>
  <c r="BX433" i="57"/>
  <c r="BX441" i="57"/>
  <c r="CT438" i="36"/>
  <c r="DG438" i="36" s="1"/>
  <c r="CX76" i="36"/>
  <c r="AW53" i="36"/>
  <c r="DL111" i="36"/>
  <c r="CX104" i="36"/>
  <c r="DL108" i="36"/>
  <c r="CX79" i="36"/>
  <c r="CX112" i="36"/>
  <c r="I473" i="36"/>
  <c r="I500" i="36" s="1"/>
  <c r="CX72" i="36"/>
  <c r="DL103" i="36"/>
  <c r="DL79" i="36"/>
  <c r="DL86" i="36"/>
  <c r="CX88" i="36"/>
  <c r="CT366" i="36"/>
  <c r="DG366" i="36" s="1"/>
  <c r="CT429" i="36"/>
  <c r="DG429" i="36" s="1"/>
  <c r="BY227" i="36"/>
  <c r="BX434" i="36"/>
  <c r="I474" i="36"/>
  <c r="CX66" i="36"/>
  <c r="DL71" i="36"/>
  <c r="CX81" i="36"/>
  <c r="CX84" i="36"/>
  <c r="CX69" i="36"/>
  <c r="DL70" i="36"/>
  <c r="CX74" i="36"/>
  <c r="DL78" i="36"/>
  <c r="CX89" i="36"/>
  <c r="CX121" i="36"/>
  <c r="CT153" i="36"/>
  <c r="DG153" i="36" s="1"/>
  <c r="CX73" i="36"/>
  <c r="CX77" i="36"/>
  <c r="DL81" i="36"/>
  <c r="CY68" i="36"/>
  <c r="CY73" i="36"/>
  <c r="DL73" i="36"/>
  <c r="CX67" i="36"/>
  <c r="BZ423" i="36"/>
  <c r="CV426" i="36"/>
  <c r="DI426" i="36" s="1"/>
  <c r="CV432" i="36"/>
  <c r="DI432" i="36" s="1"/>
  <c r="CU75" i="36"/>
  <c r="DH75" i="36" s="1"/>
  <c r="BX437" i="36"/>
  <c r="BX435" i="36"/>
  <c r="BY350" i="36"/>
  <c r="BY438" i="36"/>
  <c r="CT440" i="36"/>
  <c r="DG440" i="36" s="1"/>
  <c r="BX422" i="36"/>
  <c r="BX293" i="36"/>
  <c r="BZ429" i="36"/>
  <c r="BY432" i="36"/>
  <c r="BY435" i="36"/>
  <c r="BY262" i="36"/>
  <c r="CU331" i="36"/>
  <c r="DH331" i="36" s="1"/>
  <c r="BX427" i="36"/>
  <c r="BX430" i="36"/>
  <c r="BX137" i="36"/>
  <c r="CT266" i="36"/>
  <c r="DG266" i="36" s="1"/>
  <c r="BY426" i="36"/>
  <c r="CU429" i="36"/>
  <c r="DH429" i="36" s="1"/>
  <c r="CT432" i="36"/>
  <c r="DG432" i="36" s="1"/>
  <c r="BY423" i="36"/>
  <c r="BX425" i="36"/>
  <c r="CT410" i="36"/>
  <c r="DG410" i="36" s="1"/>
  <c r="BY280" i="36"/>
  <c r="CT309" i="36"/>
  <c r="DG309" i="36" s="1"/>
  <c r="CU391" i="36"/>
  <c r="DH391" i="36" s="1"/>
  <c r="CU263" i="36"/>
  <c r="DH263" i="36" s="1"/>
  <c r="CU292" i="36"/>
  <c r="DH292" i="36" s="1"/>
  <c r="BX407" i="36"/>
  <c r="BY201" i="36"/>
  <c r="CT213" i="36"/>
  <c r="DG213" i="36" s="1"/>
  <c r="BY335" i="36"/>
  <c r="BY407" i="36"/>
  <c r="BX123" i="36"/>
  <c r="BX188" i="36"/>
  <c r="BX215" i="36"/>
  <c r="BY254" i="36"/>
  <c r="CT390" i="36"/>
  <c r="DG390" i="36" s="1"/>
  <c r="BX133" i="36"/>
  <c r="CT317" i="36"/>
  <c r="DG317" i="36" s="1"/>
  <c r="CU164" i="36"/>
  <c r="DH164" i="36" s="1"/>
  <c r="CU285" i="36"/>
  <c r="DH285" i="36" s="1"/>
  <c r="CT257" i="36"/>
  <c r="DG257" i="36" s="1"/>
  <c r="CV266" i="36"/>
  <c r="DI266" i="36" s="1"/>
  <c r="BY329" i="36"/>
  <c r="BY363" i="36"/>
  <c r="BX81" i="36"/>
  <c r="BX134" i="36"/>
  <c r="BX168" i="36"/>
  <c r="CT208" i="36"/>
  <c r="DG208" i="36" s="1"/>
  <c r="BY153" i="36"/>
  <c r="BX199" i="36"/>
  <c r="CT201" i="36"/>
  <c r="DG201" i="36" s="1"/>
  <c r="CT227" i="36"/>
  <c r="DG227" i="36" s="1"/>
  <c r="CT256" i="36"/>
  <c r="DG256" i="36" s="1"/>
  <c r="BX349" i="36"/>
  <c r="BY394" i="36"/>
  <c r="CU150" i="36"/>
  <c r="DH150" i="36" s="1"/>
  <c r="BY115" i="36"/>
  <c r="CU124" i="36"/>
  <c r="DH124" i="36" s="1"/>
  <c r="CV150" i="36"/>
  <c r="DI150" i="36" s="1"/>
  <c r="BY220" i="36"/>
  <c r="CU349" i="36"/>
  <c r="DH349" i="36" s="1"/>
  <c r="BY375" i="36"/>
  <c r="CT394" i="36"/>
  <c r="DG394" i="36" s="1"/>
  <c r="CU98" i="36"/>
  <c r="DH98" i="36" s="1"/>
  <c r="CT119" i="36"/>
  <c r="DG119" i="36" s="1"/>
  <c r="CT126" i="36"/>
  <c r="DG126" i="36" s="1"/>
  <c r="CU179" i="36"/>
  <c r="DH179" i="36" s="1"/>
  <c r="CU364" i="36"/>
  <c r="DH364" i="36" s="1"/>
  <c r="CT311" i="36"/>
  <c r="DG311" i="36" s="1"/>
  <c r="CV326" i="36"/>
  <c r="DI326" i="36" s="1"/>
  <c r="BY95" i="36"/>
  <c r="BY113" i="36"/>
  <c r="BY123" i="36"/>
  <c r="BY133" i="36"/>
  <c r="BX139" i="36"/>
  <c r="BY157" i="36"/>
  <c r="BY172" i="36"/>
  <c r="CT185" i="36"/>
  <c r="DG185" i="36" s="1"/>
  <c r="BX265" i="36"/>
  <c r="BZ319" i="36"/>
  <c r="CT356" i="36"/>
  <c r="DG356" i="36" s="1"/>
  <c r="CT370" i="36"/>
  <c r="DG370" i="36" s="1"/>
  <c r="BY389" i="36"/>
  <c r="BX277" i="36"/>
  <c r="CT87" i="36"/>
  <c r="DG87" i="36" s="1"/>
  <c r="CV161" i="36"/>
  <c r="DI161" i="36" s="1"/>
  <c r="CU174" i="36"/>
  <c r="DH174" i="36" s="1"/>
  <c r="CU185" i="36"/>
  <c r="DH185" i="36" s="1"/>
  <c r="CT198" i="36"/>
  <c r="DG198" i="36" s="1"/>
  <c r="CU207" i="36"/>
  <c r="DH207" i="36" s="1"/>
  <c r="CV210" i="36"/>
  <c r="DI210" i="36" s="1"/>
  <c r="CU239" i="36"/>
  <c r="DH239" i="36" s="1"/>
  <c r="CU255" i="36"/>
  <c r="DH255" i="36" s="1"/>
  <c r="BX272" i="36"/>
  <c r="CT323" i="36"/>
  <c r="DG323" i="36" s="1"/>
  <c r="CT346" i="36"/>
  <c r="DG346" i="36" s="1"/>
  <c r="CU356" i="36"/>
  <c r="DH356" i="36" s="1"/>
  <c r="BY372" i="36"/>
  <c r="BX402" i="36"/>
  <c r="CU277" i="36"/>
  <c r="DH277" i="36" s="1"/>
  <c r="BZ301" i="36"/>
  <c r="CT353" i="36"/>
  <c r="DG353" i="36" s="1"/>
  <c r="CT367" i="36"/>
  <c r="DG367" i="36" s="1"/>
  <c r="CT130" i="36"/>
  <c r="DG130" i="36" s="1"/>
  <c r="BX223" i="36"/>
  <c r="BZ83" i="36"/>
  <c r="CT94" i="36"/>
  <c r="DG94" i="36" s="1"/>
  <c r="BY99" i="36"/>
  <c r="BY119" i="36"/>
  <c r="BX156" i="36"/>
  <c r="CU182" i="36"/>
  <c r="DH182" i="36" s="1"/>
  <c r="CT209" i="36"/>
  <c r="DG209" i="36" s="1"/>
  <c r="BY223" i="36"/>
  <c r="CT247" i="36"/>
  <c r="DG247" i="36" s="1"/>
  <c r="CT267" i="36"/>
  <c r="DG267" i="36" s="1"/>
  <c r="CT274" i="36"/>
  <c r="DG274" i="36" s="1"/>
  <c r="CT335" i="36"/>
  <c r="DG335" i="36" s="1"/>
  <c r="CU355" i="36"/>
  <c r="DH355" i="36" s="1"/>
  <c r="CV367" i="36"/>
  <c r="DI367" i="36" s="1"/>
  <c r="BZ419" i="36"/>
  <c r="BZ129" i="36"/>
  <c r="BZ228" i="36"/>
  <c r="CU247" i="36"/>
  <c r="DH247" i="36" s="1"/>
  <c r="BX269" i="36"/>
  <c r="BX329" i="36"/>
  <c r="BX332" i="36"/>
  <c r="CT419" i="36"/>
  <c r="DG419" i="36" s="1"/>
  <c r="CT80" i="36"/>
  <c r="DG80" i="36" s="1"/>
  <c r="CU121" i="36"/>
  <c r="DH121" i="36" s="1"/>
  <c r="CV135" i="36"/>
  <c r="DI135" i="36" s="1"/>
  <c r="CU140" i="36"/>
  <c r="DH140" i="36" s="1"/>
  <c r="CU225" i="36"/>
  <c r="DH225" i="36" s="1"/>
  <c r="CV259" i="36"/>
  <c r="DI259" i="36" s="1"/>
  <c r="CV294" i="36"/>
  <c r="DI294" i="36" s="1"/>
  <c r="CU106" i="36"/>
  <c r="DH106" i="36" s="1"/>
  <c r="CV120" i="36"/>
  <c r="DI120" i="36" s="1"/>
  <c r="BY129" i="36"/>
  <c r="CV130" i="36"/>
  <c r="DI130" i="36" s="1"/>
  <c r="BZ134" i="36"/>
  <c r="CT145" i="36"/>
  <c r="DG145" i="36" s="1"/>
  <c r="CU161" i="36"/>
  <c r="DH161" i="36" s="1"/>
  <c r="CT164" i="36"/>
  <c r="DG164" i="36" s="1"/>
  <c r="CU173" i="36"/>
  <c r="DH173" i="36" s="1"/>
  <c r="BY191" i="36"/>
  <c r="BZ209" i="36"/>
  <c r="CU210" i="36"/>
  <c r="DH210" i="36" s="1"/>
  <c r="CV232" i="36"/>
  <c r="DI232" i="36" s="1"/>
  <c r="BY237" i="36"/>
  <c r="CV244" i="36"/>
  <c r="DI244" i="36" s="1"/>
  <c r="CT248" i="36"/>
  <c r="DG248" i="36" s="1"/>
  <c r="CT258" i="36"/>
  <c r="DG258" i="36" s="1"/>
  <c r="CU287" i="36"/>
  <c r="DH287" i="36" s="1"/>
  <c r="BZ293" i="36"/>
  <c r="CU296" i="36"/>
  <c r="DH296" i="36" s="1"/>
  <c r="BY314" i="36"/>
  <c r="CV317" i="36"/>
  <c r="DI317" i="36" s="1"/>
  <c r="BY326" i="36"/>
  <c r="BY359" i="36"/>
  <c r="CV379" i="36"/>
  <c r="DI379" i="36" s="1"/>
  <c r="CV382" i="36"/>
  <c r="DI382" i="36" s="1"/>
  <c r="CT385" i="36"/>
  <c r="DG385" i="36" s="1"/>
  <c r="BX405" i="36"/>
  <c r="CV411" i="36"/>
  <c r="DI411" i="36" s="1"/>
  <c r="CV414" i="36"/>
  <c r="DI414" i="36" s="1"/>
  <c r="CV284" i="36"/>
  <c r="DI284" i="36" s="1"/>
  <c r="CV387" i="36"/>
  <c r="DI387" i="36" s="1"/>
  <c r="CV276" i="36"/>
  <c r="DI276" i="36" s="1"/>
  <c r="CV311" i="36"/>
  <c r="DI311" i="36" s="1"/>
  <c r="CU322" i="36"/>
  <c r="DH322" i="36" s="1"/>
  <c r="CV328" i="36"/>
  <c r="DI328" i="36" s="1"/>
  <c r="BZ335" i="36"/>
  <c r="BY336" i="36"/>
  <c r="CV361" i="36"/>
  <c r="DI361" i="36" s="1"/>
  <c r="BZ366" i="36"/>
  <c r="CV384" i="36"/>
  <c r="DI384" i="36" s="1"/>
  <c r="BY390" i="36"/>
  <c r="BY416" i="36"/>
  <c r="CV105" i="36"/>
  <c r="DI105" i="36" s="1"/>
  <c r="BZ126" i="36"/>
  <c r="CV132" i="36"/>
  <c r="DI132" i="36" s="1"/>
  <c r="CV142" i="36"/>
  <c r="DI142" i="36" s="1"/>
  <c r="CV158" i="36"/>
  <c r="DI158" i="36" s="1"/>
  <c r="BY178" i="36"/>
  <c r="BY184" i="36"/>
  <c r="BY190" i="36"/>
  <c r="CV226" i="36"/>
  <c r="DI226" i="36" s="1"/>
  <c r="BY234" i="36"/>
  <c r="BY243" i="36"/>
  <c r="BZ256" i="36"/>
  <c r="BY72" i="36"/>
  <c r="BY78" i="36"/>
  <c r="CV80" i="36"/>
  <c r="DI80" i="36" s="1"/>
  <c r="BX82" i="36"/>
  <c r="BY83" i="36"/>
  <c r="BX84" i="36"/>
  <c r="BX85" i="36"/>
  <c r="BX91" i="36"/>
  <c r="BX92" i="36"/>
  <c r="BZ93" i="36"/>
  <c r="CV94" i="36"/>
  <c r="DI94" i="36" s="1"/>
  <c r="BZ100" i="36"/>
  <c r="CT103" i="36"/>
  <c r="DG103" i="36" s="1"/>
  <c r="BX118" i="36"/>
  <c r="BY128" i="36"/>
  <c r="CU139" i="36"/>
  <c r="DH139" i="36" s="1"/>
  <c r="CV149" i="36"/>
  <c r="DI149" i="36" s="1"/>
  <c r="BX152" i="36"/>
  <c r="BX160" i="36"/>
  <c r="BY166" i="36"/>
  <c r="BZ169" i="36"/>
  <c r="BZ178" i="36"/>
  <c r="CU187" i="36"/>
  <c r="DH187" i="36" s="1"/>
  <c r="CU195" i="36"/>
  <c r="DH195" i="36" s="1"/>
  <c r="CV208" i="36"/>
  <c r="DI208" i="36" s="1"/>
  <c r="CV212" i="36"/>
  <c r="DI212" i="36" s="1"/>
  <c r="BZ242" i="36"/>
  <c r="BY246" i="36"/>
  <c r="BZ250" i="36"/>
  <c r="CV260" i="36"/>
  <c r="DI260" i="36" s="1"/>
  <c r="BX289" i="36"/>
  <c r="CT303" i="36"/>
  <c r="DG303" i="36" s="1"/>
  <c r="CV313" i="36"/>
  <c r="DI313" i="36" s="1"/>
  <c r="BY319" i="36"/>
  <c r="BX325" i="36"/>
  <c r="BY341" i="36"/>
  <c r="CV369" i="36"/>
  <c r="DI369" i="36" s="1"/>
  <c r="BX375" i="36"/>
  <c r="CV378" i="36"/>
  <c r="DI378" i="36" s="1"/>
  <c r="BX389" i="36"/>
  <c r="BX393" i="36"/>
  <c r="BX398" i="36"/>
  <c r="BZ399" i="36"/>
  <c r="CT100" i="36"/>
  <c r="DG100" i="36" s="1"/>
  <c r="CV103" i="36"/>
  <c r="DI103" i="36" s="1"/>
  <c r="BY111" i="36"/>
  <c r="BX115" i="36"/>
  <c r="BZ125" i="36"/>
  <c r="CU152" i="36"/>
  <c r="DH152" i="36" s="1"/>
  <c r="BY177" i="36"/>
  <c r="BX181" i="36"/>
  <c r="CV200" i="36"/>
  <c r="DI200" i="36" s="1"/>
  <c r="BX207" i="36"/>
  <c r="CT219" i="36"/>
  <c r="DG219" i="36" s="1"/>
  <c r="BX222" i="36"/>
  <c r="BY229" i="36"/>
  <c r="BY230" i="36"/>
  <c r="CT242" i="36"/>
  <c r="DG242" i="36" s="1"/>
  <c r="CV252" i="36"/>
  <c r="DI252" i="36" s="1"/>
  <c r="CV268" i="36"/>
  <c r="DI268" i="36" s="1"/>
  <c r="CV283" i="36"/>
  <c r="DI283" i="36" s="1"/>
  <c r="CV305" i="36"/>
  <c r="DI305" i="36" s="1"/>
  <c r="BZ324" i="36"/>
  <c r="CT334" i="36"/>
  <c r="DG334" i="36" s="1"/>
  <c r="CV345" i="36"/>
  <c r="DI345" i="36" s="1"/>
  <c r="CV348" i="36"/>
  <c r="DI348" i="36" s="1"/>
  <c r="CT363" i="36"/>
  <c r="DG363" i="36" s="1"/>
  <c r="BY398" i="36"/>
  <c r="CU399" i="36"/>
  <c r="DH399" i="36" s="1"/>
  <c r="CV409" i="36"/>
  <c r="DI409" i="36" s="1"/>
  <c r="BX86" i="36"/>
  <c r="BX93" i="36"/>
  <c r="BY104" i="36"/>
  <c r="BY91" i="36"/>
  <c r="BY92" i="36"/>
  <c r="CU82" i="36"/>
  <c r="DH82" i="36" s="1"/>
  <c r="CT83" i="36"/>
  <c r="DG83" i="36" s="1"/>
  <c r="CU84" i="36"/>
  <c r="DH84" i="36" s="1"/>
  <c r="BY89" i="36"/>
  <c r="BX90" i="36"/>
  <c r="BZ131" i="36"/>
  <c r="CT177" i="36"/>
  <c r="DG177" i="36" s="1"/>
  <c r="BZ229" i="36"/>
  <c r="CT230" i="36"/>
  <c r="DG230" i="36" s="1"/>
  <c r="BX233" i="36"/>
  <c r="BX241" i="36"/>
  <c r="BX245" i="36"/>
  <c r="BX254" i="36"/>
  <c r="CT259" i="36"/>
  <c r="DG259" i="36" s="1"/>
  <c r="BZ275" i="36"/>
  <c r="CU291" i="36"/>
  <c r="DH291" i="36" s="1"/>
  <c r="CT307" i="36"/>
  <c r="DG307" i="36" s="1"/>
  <c r="BY317" i="36"/>
  <c r="BX318" i="36"/>
  <c r="BX321" i="36"/>
  <c r="CT324" i="36"/>
  <c r="DG324" i="36" s="1"/>
  <c r="BX330" i="36"/>
  <c r="BX338" i="36"/>
  <c r="BX383" i="36"/>
  <c r="BX412" i="36"/>
  <c r="CV415" i="36"/>
  <c r="DI415" i="36" s="1"/>
  <c r="BX421" i="36"/>
  <c r="CT78" i="36"/>
  <c r="DG78" i="36" s="1"/>
  <c r="CU81" i="36"/>
  <c r="DH81" i="36" s="1"/>
  <c r="CV88" i="36"/>
  <c r="DI88" i="36" s="1"/>
  <c r="CT89" i="36"/>
  <c r="DG89" i="36" s="1"/>
  <c r="CV91" i="36"/>
  <c r="DI91" i="36" s="1"/>
  <c r="BX98" i="36"/>
  <c r="BX106" i="36"/>
  <c r="BX110" i="36"/>
  <c r="CT124" i="36"/>
  <c r="DG124" i="36" s="1"/>
  <c r="BX135" i="36"/>
  <c r="CV148" i="36"/>
  <c r="DI148" i="36" s="1"/>
  <c r="BZ162" i="36"/>
  <c r="BY165" i="36"/>
  <c r="BX173" i="36"/>
  <c r="BX176" i="36"/>
  <c r="BY180" i="36"/>
  <c r="CV192" i="36"/>
  <c r="DI192" i="36" s="1"/>
  <c r="BZ199" i="36"/>
  <c r="BX211" i="36"/>
  <c r="BY228" i="36"/>
  <c r="BZ240" i="36"/>
  <c r="CU245" i="36"/>
  <c r="DH245" i="36" s="1"/>
  <c r="CV249" i="36"/>
  <c r="DI249" i="36" s="1"/>
  <c r="BX278" i="36"/>
  <c r="BX288" i="36"/>
  <c r="CT294" i="36"/>
  <c r="DG294" i="36" s="1"/>
  <c r="BY301" i="36"/>
  <c r="CV302" i="36"/>
  <c r="DI302" i="36" s="1"/>
  <c r="BZ309" i="36"/>
  <c r="CU330" i="36"/>
  <c r="DH330" i="36" s="1"/>
  <c r="BY347" i="36"/>
  <c r="BZ351" i="36"/>
  <c r="BY354" i="36"/>
  <c r="BZ371" i="36"/>
  <c r="CV377" i="36"/>
  <c r="DI377" i="36" s="1"/>
  <c r="BX382" i="36"/>
  <c r="CU388" i="36"/>
  <c r="DH388" i="36" s="1"/>
  <c r="CT392" i="36"/>
  <c r="DG392" i="36" s="1"/>
  <c r="BX414" i="36"/>
  <c r="CV147" i="36"/>
  <c r="DI147" i="36" s="1"/>
  <c r="BZ81" i="36"/>
  <c r="BY112" i="36"/>
  <c r="BX109" i="36"/>
  <c r="BX114" i="36"/>
  <c r="BX204" i="36"/>
  <c r="CV221" i="36"/>
  <c r="DI221" i="36" s="1"/>
  <c r="BZ224" i="36"/>
  <c r="CT232" i="36"/>
  <c r="DG232" i="36" s="1"/>
  <c r="CV235" i="36"/>
  <c r="DI235" i="36" s="1"/>
  <c r="CT240" i="36"/>
  <c r="DG240" i="36" s="1"/>
  <c r="BZ248" i="36"/>
  <c r="BZ258" i="36"/>
  <c r="BX333" i="36"/>
  <c r="CV347" i="36"/>
  <c r="DI347" i="36" s="1"/>
  <c r="BX350" i="36"/>
  <c r="CT351" i="36"/>
  <c r="DG351" i="36" s="1"/>
  <c r="BY382" i="36"/>
  <c r="CV403" i="36"/>
  <c r="DI403" i="36" s="1"/>
  <c r="BY417" i="36"/>
  <c r="BZ420" i="36"/>
  <c r="CV421" i="36"/>
  <c r="DI421" i="36" s="1"/>
  <c r="CU105" i="36"/>
  <c r="DH105" i="36" s="1"/>
  <c r="BY105" i="36"/>
  <c r="BZ128" i="36"/>
  <c r="BX228" i="36"/>
  <c r="CT228" i="36"/>
  <c r="DG228" i="36" s="1"/>
  <c r="BK54" i="36"/>
  <c r="BX72" i="36"/>
  <c r="CT72" i="36"/>
  <c r="DG72" i="36" s="1"/>
  <c r="CT101" i="36"/>
  <c r="DG101" i="36" s="1"/>
  <c r="BX101" i="36"/>
  <c r="BX116" i="36"/>
  <c r="CT116" i="36"/>
  <c r="DG116" i="36" s="1"/>
  <c r="CT117" i="36"/>
  <c r="DG117" i="36" s="1"/>
  <c r="BX117" i="36"/>
  <c r="CU122" i="36"/>
  <c r="DH122" i="36" s="1"/>
  <c r="BY122" i="36"/>
  <c r="CT148" i="36"/>
  <c r="DG148" i="36" s="1"/>
  <c r="BX148" i="36"/>
  <c r="BX174" i="36"/>
  <c r="CT174" i="36"/>
  <c r="DG174" i="36" s="1"/>
  <c r="BZ84" i="36"/>
  <c r="BZ85" i="36"/>
  <c r="BZ92" i="36"/>
  <c r="BZ104" i="36"/>
  <c r="CV108" i="36"/>
  <c r="DI108" i="36" s="1"/>
  <c r="BZ108" i="36"/>
  <c r="BX108" i="36"/>
  <c r="CV119" i="36"/>
  <c r="DI119" i="36" s="1"/>
  <c r="BZ127" i="36"/>
  <c r="CV127" i="36"/>
  <c r="DI127" i="36" s="1"/>
  <c r="BY127" i="36"/>
  <c r="CT136" i="36"/>
  <c r="DG136" i="36" s="1"/>
  <c r="BX136" i="36"/>
  <c r="BY145" i="36"/>
  <c r="BY147" i="36"/>
  <c r="CU147" i="36"/>
  <c r="DH147" i="36" s="1"/>
  <c r="BZ176" i="36"/>
  <c r="CV176" i="36"/>
  <c r="DI176" i="36" s="1"/>
  <c r="BZ177" i="36"/>
  <c r="CV177" i="36"/>
  <c r="DI177" i="36" s="1"/>
  <c r="CV72" i="36"/>
  <c r="DI72" i="36" s="1"/>
  <c r="BZ72" i="36"/>
  <c r="CV90" i="36"/>
  <c r="DI90" i="36" s="1"/>
  <c r="CU103" i="36"/>
  <c r="DH103" i="36" s="1"/>
  <c r="BY103" i="36"/>
  <c r="CV112" i="36"/>
  <c r="DI112" i="36" s="1"/>
  <c r="BZ112" i="36"/>
  <c r="BZ118" i="36"/>
  <c r="CV118" i="36"/>
  <c r="DI118" i="36" s="1"/>
  <c r="BX138" i="36"/>
  <c r="CT138" i="36"/>
  <c r="DG138" i="36" s="1"/>
  <c r="CT157" i="36"/>
  <c r="DG157" i="36" s="1"/>
  <c r="BX157" i="36"/>
  <c r="BZ171" i="36"/>
  <c r="CT167" i="36"/>
  <c r="DG167" i="36" s="1"/>
  <c r="BX167" i="36"/>
  <c r="CU69" i="36"/>
  <c r="DH69" i="36" s="1"/>
  <c r="CV137" i="36"/>
  <c r="DI137" i="36" s="1"/>
  <c r="BZ137" i="36"/>
  <c r="BZ68" i="36"/>
  <c r="BY67" i="36"/>
  <c r="BX75" i="36"/>
  <c r="CT75" i="36"/>
  <c r="DG75" i="36" s="1"/>
  <c r="CU97" i="36"/>
  <c r="DH97" i="36" s="1"/>
  <c r="BY97" i="36"/>
  <c r="BZ113" i="36"/>
  <c r="CV113" i="36"/>
  <c r="DI113" i="36" s="1"/>
  <c r="BZ156" i="36"/>
  <c r="CV156" i="36"/>
  <c r="DI156" i="36" s="1"/>
  <c r="BX183" i="36"/>
  <c r="CT183" i="36"/>
  <c r="DG183" i="36" s="1"/>
  <c r="BZ184" i="36"/>
  <c r="CV184" i="36"/>
  <c r="DI184" i="36" s="1"/>
  <c r="BZ69" i="36"/>
  <c r="BY71" i="36"/>
  <c r="BX76" i="36"/>
  <c r="CT76" i="36"/>
  <c r="DG76" i="36" s="1"/>
  <c r="CV95" i="36"/>
  <c r="DI95" i="36" s="1"/>
  <c r="BY66" i="36"/>
  <c r="BZ67" i="36"/>
  <c r="CU86" i="36"/>
  <c r="DH86" i="36" s="1"/>
  <c r="BY86" i="36"/>
  <c r="BY87" i="36"/>
  <c r="CT102" i="36"/>
  <c r="DG102" i="36" s="1"/>
  <c r="BX111" i="36"/>
  <c r="CT111" i="36"/>
  <c r="DG111" i="36" s="1"/>
  <c r="BZ163" i="36"/>
  <c r="BX169" i="36"/>
  <c r="CT169" i="36"/>
  <c r="DG169" i="36" s="1"/>
  <c r="CU238" i="36"/>
  <c r="DH238" i="36" s="1"/>
  <c r="BY238" i="36"/>
  <c r="CU70" i="36"/>
  <c r="DH70" i="36" s="1"/>
  <c r="BY70" i="36"/>
  <c r="BZ89" i="36"/>
  <c r="CV109" i="36"/>
  <c r="DI109" i="36" s="1"/>
  <c r="BZ109" i="36"/>
  <c r="CT66" i="36"/>
  <c r="DG66" i="36" s="1"/>
  <c r="BM55" i="36"/>
  <c r="BE55" i="36"/>
  <c r="BX70" i="36"/>
  <c r="BC54" i="36"/>
  <c r="CT79" i="36"/>
  <c r="DG79" i="36" s="1"/>
  <c r="BX79" i="36"/>
  <c r="BY85" i="36"/>
  <c r="CU85" i="36"/>
  <c r="DH85" i="36" s="1"/>
  <c r="BX127" i="36"/>
  <c r="CT127" i="36"/>
  <c r="DG127" i="36" s="1"/>
  <c r="BY142" i="36"/>
  <c r="BX190" i="36"/>
  <c r="CT190" i="36"/>
  <c r="DG190" i="36" s="1"/>
  <c r="BP55" i="36"/>
  <c r="CU80" i="36"/>
  <c r="DH80" i="36" s="1"/>
  <c r="CT88" i="36"/>
  <c r="DG88" i="36" s="1"/>
  <c r="CT95" i="36"/>
  <c r="DG95" i="36" s="1"/>
  <c r="BX99" i="36"/>
  <c r="CU100" i="36"/>
  <c r="DH100" i="36" s="1"/>
  <c r="CU132" i="36"/>
  <c r="DH132" i="36" s="1"/>
  <c r="BY132" i="36"/>
  <c r="BY183" i="36"/>
  <c r="CU183" i="36"/>
  <c r="DH183" i="36" s="1"/>
  <c r="BX205" i="36"/>
  <c r="CT205" i="36"/>
  <c r="DG205" i="36" s="1"/>
  <c r="BG54" i="36"/>
  <c r="CV111" i="36"/>
  <c r="DI111" i="36" s="1"/>
  <c r="BZ111" i="36"/>
  <c r="BY138" i="36"/>
  <c r="CU138" i="36"/>
  <c r="DH138" i="36" s="1"/>
  <c r="CU162" i="36"/>
  <c r="DH162" i="36" s="1"/>
  <c r="BY162" i="36"/>
  <c r="CU169" i="36"/>
  <c r="DH169" i="36" s="1"/>
  <c r="BY169" i="36"/>
  <c r="CV201" i="36"/>
  <c r="DI201" i="36" s="1"/>
  <c r="BZ201" i="36"/>
  <c r="BZ76" i="36"/>
  <c r="BZ77" i="36"/>
  <c r="CU77" i="36"/>
  <c r="DH77" i="36" s="1"/>
  <c r="CV97" i="36"/>
  <c r="DI97" i="36" s="1"/>
  <c r="BZ102" i="36"/>
  <c r="CU114" i="36"/>
  <c r="DH114" i="36" s="1"/>
  <c r="BY114" i="36"/>
  <c r="CV117" i="36"/>
  <c r="DI117" i="36" s="1"/>
  <c r="BZ117" i="36"/>
  <c r="BZ138" i="36"/>
  <c r="CU141" i="36"/>
  <c r="DH141" i="36" s="1"/>
  <c r="BY141" i="36"/>
  <c r="CV155" i="36"/>
  <c r="DI155" i="36" s="1"/>
  <c r="CV166" i="36"/>
  <c r="DI166" i="36" s="1"/>
  <c r="BZ166" i="36"/>
  <c r="BY188" i="36"/>
  <c r="CU188" i="36"/>
  <c r="DH188" i="36" s="1"/>
  <c r="CV191" i="36"/>
  <c r="DI191" i="36" s="1"/>
  <c r="BZ191" i="36"/>
  <c r="BZ73" i="36"/>
  <c r="CT73" i="36"/>
  <c r="DG73" i="36" s="1"/>
  <c r="BY74" i="36"/>
  <c r="BZ75" i="36"/>
  <c r="BY79" i="36"/>
  <c r="BZ96" i="36"/>
  <c r="BZ101" i="36"/>
  <c r="CV110" i="36"/>
  <c r="DI110" i="36" s="1"/>
  <c r="BZ110" i="36"/>
  <c r="CT122" i="36"/>
  <c r="DG122" i="36" s="1"/>
  <c r="BX122" i="36"/>
  <c r="CV133" i="36"/>
  <c r="DI133" i="36" s="1"/>
  <c r="BZ133" i="36"/>
  <c r="CU137" i="36"/>
  <c r="DH137" i="36" s="1"/>
  <c r="BY137" i="36"/>
  <c r="CT140" i="36"/>
  <c r="DG140" i="36" s="1"/>
  <c r="BX140" i="36"/>
  <c r="BZ146" i="36"/>
  <c r="CU149" i="36"/>
  <c r="DH149" i="36" s="1"/>
  <c r="BY149" i="36"/>
  <c r="CU158" i="36"/>
  <c r="DH158" i="36" s="1"/>
  <c r="BY158" i="36"/>
  <c r="CV185" i="36"/>
  <c r="DI185" i="36" s="1"/>
  <c r="BZ185" i="36"/>
  <c r="CT197" i="36"/>
  <c r="DG197" i="36" s="1"/>
  <c r="BX197" i="36"/>
  <c r="CU159" i="36"/>
  <c r="DH159" i="36" s="1"/>
  <c r="CT161" i="36"/>
  <c r="DG161" i="36" s="1"/>
  <c r="CU170" i="36"/>
  <c r="DH170" i="36" s="1"/>
  <c r="BY170" i="36"/>
  <c r="BY171" i="36"/>
  <c r="CU171" i="36"/>
  <c r="DH171" i="36" s="1"/>
  <c r="CU203" i="36"/>
  <c r="DH203" i="36" s="1"/>
  <c r="BY203" i="36"/>
  <c r="CU206" i="36"/>
  <c r="DH206" i="36" s="1"/>
  <c r="BY206" i="36"/>
  <c r="BZ227" i="36"/>
  <c r="CV227" i="36"/>
  <c r="DI227" i="36" s="1"/>
  <c r="BY232" i="36"/>
  <c r="CU232" i="36"/>
  <c r="DH232" i="36" s="1"/>
  <c r="CU293" i="36"/>
  <c r="DH293" i="36" s="1"/>
  <c r="BY293" i="36"/>
  <c r="CV121" i="36"/>
  <c r="DI121" i="36" s="1"/>
  <c r="BX125" i="36"/>
  <c r="BX131" i="36"/>
  <c r="CV141" i="36"/>
  <c r="DI141" i="36" s="1"/>
  <c r="BX144" i="36"/>
  <c r="BZ153" i="36"/>
  <c r="BX216" i="36"/>
  <c r="CT216" i="36"/>
  <c r="DG216" i="36" s="1"/>
  <c r="CT246" i="36"/>
  <c r="DG246" i="36" s="1"/>
  <c r="BX246" i="36"/>
  <c r="CT264" i="36"/>
  <c r="DG264" i="36" s="1"/>
  <c r="BX264" i="36"/>
  <c r="CU108" i="36"/>
  <c r="DH108" i="36" s="1"/>
  <c r="BZ116" i="36"/>
  <c r="CV167" i="36"/>
  <c r="DI167" i="36" s="1"/>
  <c r="BZ167" i="36"/>
  <c r="BZ255" i="36"/>
  <c r="CU298" i="36"/>
  <c r="DH298" i="36" s="1"/>
  <c r="BY298" i="36"/>
  <c r="BY107" i="36"/>
  <c r="CU116" i="36"/>
  <c r="DH116" i="36" s="1"/>
  <c r="BY120" i="36"/>
  <c r="BZ124" i="36"/>
  <c r="CU135" i="36"/>
  <c r="DH135" i="36" s="1"/>
  <c r="CT151" i="36"/>
  <c r="DG151" i="36" s="1"/>
  <c r="BX151" i="36"/>
  <c r="BZ154" i="36"/>
  <c r="BZ159" i="36"/>
  <c r="BX182" i="36"/>
  <c r="CT182" i="36"/>
  <c r="DG182" i="36" s="1"/>
  <c r="BZ187" i="36"/>
  <c r="BZ190" i="36"/>
  <c r="CU194" i="36"/>
  <c r="DH194" i="36" s="1"/>
  <c r="BY194" i="36"/>
  <c r="CV211" i="36"/>
  <c r="DI211" i="36" s="1"/>
  <c r="BZ211" i="36"/>
  <c r="CT231" i="36"/>
  <c r="DG231" i="36" s="1"/>
  <c r="BZ239" i="36"/>
  <c r="BX165" i="36"/>
  <c r="CT172" i="36"/>
  <c r="DG172" i="36" s="1"/>
  <c r="BX172" i="36"/>
  <c r="CV175" i="36"/>
  <c r="DI175" i="36" s="1"/>
  <c r="BZ175" i="36"/>
  <c r="BX175" i="36"/>
  <c r="BX191" i="36"/>
  <c r="CT191" i="36"/>
  <c r="DG191" i="36" s="1"/>
  <c r="CT203" i="36"/>
  <c r="DG203" i="36" s="1"/>
  <c r="BX203" i="36"/>
  <c r="CU205" i="36"/>
  <c r="DH205" i="36" s="1"/>
  <c r="BY205" i="36"/>
  <c r="BY208" i="36"/>
  <c r="CU208" i="36"/>
  <c r="DH208" i="36" s="1"/>
  <c r="CU211" i="36"/>
  <c r="DH211" i="36" s="1"/>
  <c r="BY211" i="36"/>
  <c r="BZ222" i="36"/>
  <c r="CV222" i="36"/>
  <c r="DI222" i="36" s="1"/>
  <c r="BX226" i="36"/>
  <c r="CT226" i="36"/>
  <c r="DG226" i="36" s="1"/>
  <c r="BZ183" i="36"/>
  <c r="CU204" i="36"/>
  <c r="DH204" i="36" s="1"/>
  <c r="BY204" i="36"/>
  <c r="BZ206" i="36"/>
  <c r="CV206" i="36"/>
  <c r="DI206" i="36" s="1"/>
  <c r="BX275" i="36"/>
  <c r="CT275" i="36"/>
  <c r="DG275" i="36" s="1"/>
  <c r="CU181" i="36"/>
  <c r="DH181" i="36" s="1"/>
  <c r="BY181" i="36"/>
  <c r="CT193" i="36"/>
  <c r="DG193" i="36" s="1"/>
  <c r="BX193" i="36"/>
  <c r="BX196" i="36"/>
  <c r="CT196" i="36"/>
  <c r="DG196" i="36" s="1"/>
  <c r="CU198" i="36"/>
  <c r="DH198" i="36" s="1"/>
  <c r="CT202" i="36"/>
  <c r="DG202" i="36" s="1"/>
  <c r="CV204" i="36"/>
  <c r="DI204" i="36" s="1"/>
  <c r="BZ204" i="36"/>
  <c r="BX210" i="36"/>
  <c r="CT210" i="36"/>
  <c r="DG210" i="36" s="1"/>
  <c r="CU219" i="36"/>
  <c r="DH219" i="36" s="1"/>
  <c r="BY219" i="36"/>
  <c r="CT236" i="36"/>
  <c r="DG236" i="36" s="1"/>
  <c r="BX236" i="36"/>
  <c r="BZ303" i="36"/>
  <c r="BX180" i="36"/>
  <c r="CU193" i="36"/>
  <c r="DH193" i="36" s="1"/>
  <c r="BY193" i="36"/>
  <c r="CU196" i="36"/>
  <c r="DH196" i="36" s="1"/>
  <c r="BZ198" i="36"/>
  <c r="BY202" i="36"/>
  <c r="CU202" i="36"/>
  <c r="DH202" i="36" s="1"/>
  <c r="CV285" i="36"/>
  <c r="DI285" i="36" s="1"/>
  <c r="BZ285" i="36"/>
  <c r="CU313" i="36"/>
  <c r="DH313" i="36" s="1"/>
  <c r="BY313" i="36"/>
  <c r="BZ170" i="36"/>
  <c r="BZ174" i="36"/>
  <c r="BZ182" i="36"/>
  <c r="BX206" i="36"/>
  <c r="CT206" i="36"/>
  <c r="DG206" i="36" s="1"/>
  <c r="BY224" i="36"/>
  <c r="CU224" i="36"/>
  <c r="DH224" i="36" s="1"/>
  <c r="BZ231" i="36"/>
  <c r="BZ233" i="36"/>
  <c r="CV233" i="36"/>
  <c r="DI233" i="36" s="1"/>
  <c r="BZ263" i="36"/>
  <c r="BX285" i="36"/>
  <c r="CT285" i="36"/>
  <c r="DG285" i="36" s="1"/>
  <c r="BY300" i="36"/>
  <c r="CU300" i="36"/>
  <c r="DH300" i="36" s="1"/>
  <c r="BZ213" i="36"/>
  <c r="BZ271" i="36"/>
  <c r="BZ274" i="36"/>
  <c r="CV314" i="36"/>
  <c r="DI314" i="36" s="1"/>
  <c r="BZ314" i="36"/>
  <c r="CV196" i="36"/>
  <c r="DI196" i="36" s="1"/>
  <c r="BZ196" i="36"/>
  <c r="BZ202" i="36"/>
  <c r="BZ205" i="36"/>
  <c r="CV205" i="36"/>
  <c r="DI205" i="36" s="1"/>
  <c r="BX218" i="36"/>
  <c r="CT237" i="36"/>
  <c r="DG237" i="36" s="1"/>
  <c r="BX237" i="36"/>
  <c r="BX250" i="36"/>
  <c r="CT250" i="36"/>
  <c r="DG250" i="36" s="1"/>
  <c r="CU253" i="36"/>
  <c r="DH253" i="36" s="1"/>
  <c r="CT261" i="36"/>
  <c r="DG261" i="36" s="1"/>
  <c r="BX261" i="36"/>
  <c r="CT234" i="36"/>
  <c r="DG234" i="36" s="1"/>
  <c r="CV243" i="36"/>
  <c r="DI243" i="36" s="1"/>
  <c r="BZ243" i="36"/>
  <c r="CU250" i="36"/>
  <c r="DH250" i="36" s="1"/>
  <c r="BY250" i="36"/>
  <c r="BY261" i="36"/>
  <c r="CU261" i="36"/>
  <c r="DH261" i="36" s="1"/>
  <c r="BY269" i="36"/>
  <c r="CU269" i="36"/>
  <c r="DH269" i="36" s="1"/>
  <c r="CT301" i="36"/>
  <c r="DG301" i="36" s="1"/>
  <c r="BX301" i="36"/>
  <c r="BZ281" i="36"/>
  <c r="BX315" i="36"/>
  <c r="CT315" i="36"/>
  <c r="DG315" i="36" s="1"/>
  <c r="CU270" i="36"/>
  <c r="DH270" i="36" s="1"/>
  <c r="BY270" i="36"/>
  <c r="BY294" i="36"/>
  <c r="CU305" i="36"/>
  <c r="DH305" i="36" s="1"/>
  <c r="BY305" i="36"/>
  <c r="CT345" i="36"/>
  <c r="DG345" i="36" s="1"/>
  <c r="BX345" i="36"/>
  <c r="BY365" i="36"/>
  <c r="CU365" i="36"/>
  <c r="DH365" i="36" s="1"/>
  <c r="CV179" i="36"/>
  <c r="DI179" i="36" s="1"/>
  <c r="CU216" i="36"/>
  <c r="DH216" i="36" s="1"/>
  <c r="BY233" i="36"/>
  <c r="CU233" i="36"/>
  <c r="DH233" i="36" s="1"/>
  <c r="BZ251" i="36"/>
  <c r="BX271" i="36"/>
  <c r="CT271" i="36"/>
  <c r="DG271" i="36" s="1"/>
  <c r="CU271" i="36"/>
  <c r="DH271" i="36" s="1"/>
  <c r="CU290" i="36"/>
  <c r="DH290" i="36" s="1"/>
  <c r="BY290" i="36"/>
  <c r="CT306" i="36"/>
  <c r="DG306" i="36" s="1"/>
  <c r="CT322" i="36"/>
  <c r="DG322" i="36" s="1"/>
  <c r="BX322" i="36"/>
  <c r="BY209" i="36"/>
  <c r="CU242" i="36"/>
  <c r="DH242" i="36" s="1"/>
  <c r="BY242" i="36"/>
  <c r="CT253" i="36"/>
  <c r="DG253" i="36" s="1"/>
  <c r="BX253" i="36"/>
  <c r="BY258" i="36"/>
  <c r="BZ267" i="36"/>
  <c r="BZ297" i="36"/>
  <c r="CV297" i="36"/>
  <c r="DI297" i="36" s="1"/>
  <c r="BY297" i="36"/>
  <c r="BZ307" i="36"/>
  <c r="CV216" i="36"/>
  <c r="DI216" i="36" s="1"/>
  <c r="BZ216" i="36"/>
  <c r="CV220" i="36"/>
  <c r="DI220" i="36" s="1"/>
  <c r="BZ220" i="36"/>
  <c r="BX221" i="36"/>
  <c r="CT221" i="36"/>
  <c r="DG221" i="36" s="1"/>
  <c r="BZ225" i="36"/>
  <c r="BY248" i="36"/>
  <c r="CU248" i="36"/>
  <c r="DH248" i="36" s="1"/>
  <c r="CT280" i="36"/>
  <c r="DG280" i="36" s="1"/>
  <c r="BX280" i="36"/>
  <c r="CU295" i="36"/>
  <c r="DH295" i="36" s="1"/>
  <c r="BZ359" i="36"/>
  <c r="CV359" i="36"/>
  <c r="DI359" i="36" s="1"/>
  <c r="BY212" i="36"/>
  <c r="BZ245" i="36"/>
  <c r="CV245" i="36"/>
  <c r="DI245" i="36" s="1"/>
  <c r="CU266" i="36"/>
  <c r="DH266" i="36" s="1"/>
  <c r="BY266" i="36"/>
  <c r="BZ273" i="36"/>
  <c r="BY276" i="36"/>
  <c r="CU276" i="36"/>
  <c r="DH276" i="36" s="1"/>
  <c r="BZ282" i="36"/>
  <c r="BZ327" i="36"/>
  <c r="BZ247" i="36"/>
  <c r="CT279" i="36"/>
  <c r="DG279" i="36" s="1"/>
  <c r="BX279" i="36"/>
  <c r="CV290" i="36"/>
  <c r="DI290" i="36" s="1"/>
  <c r="BZ290" i="36"/>
  <c r="BZ295" i="36"/>
  <c r="CV318" i="36"/>
  <c r="DI318" i="36" s="1"/>
  <c r="BZ318" i="36"/>
  <c r="BZ353" i="36"/>
  <c r="CV353" i="36"/>
  <c r="DI353" i="36" s="1"/>
  <c r="BZ354" i="36"/>
  <c r="CV354" i="36"/>
  <c r="DI354" i="36" s="1"/>
  <c r="BY362" i="36"/>
  <c r="CU362" i="36"/>
  <c r="DH362" i="36" s="1"/>
  <c r="BX372" i="36"/>
  <c r="CT372" i="36"/>
  <c r="DG372" i="36" s="1"/>
  <c r="CT282" i="36"/>
  <c r="DG282" i="36" s="1"/>
  <c r="CV298" i="36"/>
  <c r="DI298" i="36" s="1"/>
  <c r="BZ298" i="36"/>
  <c r="CU302" i="36"/>
  <c r="DH302" i="36" s="1"/>
  <c r="BY302" i="36"/>
  <c r="CU306" i="36"/>
  <c r="DH306" i="36" s="1"/>
  <c r="BY306" i="36"/>
  <c r="BX312" i="36"/>
  <c r="CT312" i="36"/>
  <c r="DG312" i="36" s="1"/>
  <c r="CT358" i="36"/>
  <c r="DG358" i="36" s="1"/>
  <c r="BX358" i="36"/>
  <c r="BZ385" i="36"/>
  <c r="CV385" i="36"/>
  <c r="DI385" i="36" s="1"/>
  <c r="BZ217" i="36"/>
  <c r="BZ291" i="36"/>
  <c r="CT296" i="36"/>
  <c r="DG296" i="36" s="1"/>
  <c r="BZ315" i="36"/>
  <c r="BX214" i="36"/>
  <c r="CV214" i="36"/>
  <c r="DI214" i="36" s="1"/>
  <c r="BY215" i="36"/>
  <c r="BX249" i="36"/>
  <c r="BZ280" i="36"/>
  <c r="CV292" i="36"/>
  <c r="DI292" i="36" s="1"/>
  <c r="CT295" i="36"/>
  <c r="DG295" i="36" s="1"/>
  <c r="BZ296" i="36"/>
  <c r="BZ323" i="36"/>
  <c r="BX326" i="36"/>
  <c r="CT326" i="36"/>
  <c r="DG326" i="36" s="1"/>
  <c r="CT344" i="36"/>
  <c r="DG344" i="36" s="1"/>
  <c r="BZ363" i="36"/>
  <c r="CV363" i="36"/>
  <c r="DI363" i="36" s="1"/>
  <c r="BZ365" i="36"/>
  <c r="CV365" i="36"/>
  <c r="DI365" i="36" s="1"/>
  <c r="BX314" i="36"/>
  <c r="CT314" i="36"/>
  <c r="DG314" i="36" s="1"/>
  <c r="BY321" i="36"/>
  <c r="CU321" i="36"/>
  <c r="DH321" i="36" s="1"/>
  <c r="BY353" i="36"/>
  <c r="CU353" i="36"/>
  <c r="DH353" i="36" s="1"/>
  <c r="BX304" i="36"/>
  <c r="CT304" i="36"/>
  <c r="DG304" i="36" s="1"/>
  <c r="CU309" i="36"/>
  <c r="DH309" i="36" s="1"/>
  <c r="BY309" i="36"/>
  <c r="BY337" i="36"/>
  <c r="CU337" i="36"/>
  <c r="DH337" i="36" s="1"/>
  <c r="CU338" i="36"/>
  <c r="DH338" i="36" s="1"/>
  <c r="BY338" i="36"/>
  <c r="BY345" i="36"/>
  <c r="CU345" i="36"/>
  <c r="DH345" i="36" s="1"/>
  <c r="CU346" i="36"/>
  <c r="DH346" i="36" s="1"/>
  <c r="BY346" i="36"/>
  <c r="BZ306" i="36"/>
  <c r="CV310" i="36"/>
  <c r="DI310" i="36" s="1"/>
  <c r="BZ310" i="36"/>
  <c r="BY310" i="36"/>
  <c r="BZ320" i="36"/>
  <c r="CV332" i="36"/>
  <c r="DI332" i="36" s="1"/>
  <c r="BZ332" i="36"/>
  <c r="CV334" i="36"/>
  <c r="DI334" i="36" s="1"/>
  <c r="BZ334" i="36"/>
  <c r="BY334" i="36"/>
  <c r="BY340" i="36"/>
  <c r="CU340" i="36"/>
  <c r="DH340" i="36" s="1"/>
  <c r="BY348" i="36"/>
  <c r="CU348" i="36"/>
  <c r="DH348" i="36" s="1"/>
  <c r="BX387" i="36"/>
  <c r="CT387" i="36"/>
  <c r="DG387" i="36" s="1"/>
  <c r="CT337" i="36"/>
  <c r="DG337" i="36" s="1"/>
  <c r="BX337" i="36"/>
  <c r="BZ393" i="36"/>
  <c r="CV393" i="36"/>
  <c r="DI393" i="36" s="1"/>
  <c r="BX396" i="36"/>
  <c r="CT396" i="36"/>
  <c r="DG396" i="36" s="1"/>
  <c r="CT397" i="36"/>
  <c r="DG397" i="36" s="1"/>
  <c r="BX397" i="36"/>
  <c r="BY339" i="36"/>
  <c r="BZ344" i="36"/>
  <c r="BY358" i="36"/>
  <c r="BY361" i="36"/>
  <c r="CU361" i="36"/>
  <c r="DH361" i="36" s="1"/>
  <c r="BZ364" i="36"/>
  <c r="CV372" i="36"/>
  <c r="DI372" i="36" s="1"/>
  <c r="BZ372" i="36"/>
  <c r="CT408" i="36"/>
  <c r="DG408" i="36" s="1"/>
  <c r="BX408" i="36"/>
  <c r="BZ338" i="36"/>
  <c r="BZ352" i="36"/>
  <c r="CU366" i="36"/>
  <c r="DH366" i="36" s="1"/>
  <c r="BZ376" i="36"/>
  <c r="BZ395" i="36"/>
  <c r="CV279" i="36"/>
  <c r="DI279" i="36" s="1"/>
  <c r="BZ299" i="36"/>
  <c r="BZ304" i="36"/>
  <c r="CU308" i="36"/>
  <c r="DH308" i="36" s="1"/>
  <c r="CV321" i="36"/>
  <c r="DI321" i="36" s="1"/>
  <c r="BZ331" i="36"/>
  <c r="CT341" i="36"/>
  <c r="DG341" i="36" s="1"/>
  <c r="BX341" i="36"/>
  <c r="CU343" i="36"/>
  <c r="DH343" i="36" s="1"/>
  <c r="CV357" i="36"/>
  <c r="DI357" i="36" s="1"/>
  <c r="BX359" i="36"/>
  <c r="CT359" i="36"/>
  <c r="DG359" i="36" s="1"/>
  <c r="BZ360" i="36"/>
  <c r="CT374" i="36"/>
  <c r="DG374" i="36" s="1"/>
  <c r="BX374" i="36"/>
  <c r="BX413" i="36"/>
  <c r="CT413" i="36"/>
  <c r="DG413" i="36" s="1"/>
  <c r="BZ312" i="36"/>
  <c r="CU316" i="36"/>
  <c r="DH316" i="36" s="1"/>
  <c r="CU323" i="36"/>
  <c r="DH323" i="36" s="1"/>
  <c r="BY368" i="36"/>
  <c r="CU368" i="36"/>
  <c r="DH368" i="36" s="1"/>
  <c r="CT388" i="36"/>
  <c r="DG388" i="36" s="1"/>
  <c r="BX403" i="36"/>
  <c r="CT403" i="36"/>
  <c r="DG403" i="36" s="1"/>
  <c r="CU386" i="36"/>
  <c r="DH386" i="36" s="1"/>
  <c r="BY386" i="36"/>
  <c r="BZ402" i="36"/>
  <c r="CV402" i="36"/>
  <c r="DI402" i="36" s="1"/>
  <c r="CU401" i="36"/>
  <c r="DH401" i="36" s="1"/>
  <c r="CU406" i="36"/>
  <c r="DH406" i="36" s="1"/>
  <c r="CU351" i="36"/>
  <c r="DH351" i="36" s="1"/>
  <c r="BZ356" i="36"/>
  <c r="CT360" i="36"/>
  <c r="DG360" i="36" s="1"/>
  <c r="BZ362" i="36"/>
  <c r="CV362" i="36"/>
  <c r="DI362" i="36" s="1"/>
  <c r="CT364" i="36"/>
  <c r="DG364" i="36" s="1"/>
  <c r="BZ396" i="36"/>
  <c r="CT399" i="36"/>
  <c r="DG399" i="36" s="1"/>
  <c r="BZ406" i="36"/>
  <c r="CV406" i="36"/>
  <c r="DI406" i="36" s="1"/>
  <c r="BY409" i="36"/>
  <c r="CU409" i="36"/>
  <c r="DH409" i="36" s="1"/>
  <c r="BZ340" i="36"/>
  <c r="BZ341" i="36"/>
  <c r="CT348" i="36"/>
  <c r="DG348" i="36" s="1"/>
  <c r="CV355" i="36"/>
  <c r="DI355" i="36" s="1"/>
  <c r="CU367" i="36"/>
  <c r="DH367" i="36" s="1"/>
  <c r="BY367" i="36"/>
  <c r="BZ381" i="36"/>
  <c r="CV381" i="36"/>
  <c r="DI381" i="36" s="1"/>
  <c r="BY387" i="36"/>
  <c r="CU387" i="36"/>
  <c r="DH387" i="36" s="1"/>
  <c r="BZ394" i="36"/>
  <c r="BZ343" i="36"/>
  <c r="CT343" i="36"/>
  <c r="DG343" i="36" s="1"/>
  <c r="BY371" i="36"/>
  <c r="BY377" i="36"/>
  <c r="CU377" i="36"/>
  <c r="DH377" i="36" s="1"/>
  <c r="BZ388" i="36"/>
  <c r="CT401" i="36"/>
  <c r="DG401" i="36" s="1"/>
  <c r="BX401" i="36"/>
  <c r="CU404" i="36"/>
  <c r="DH404" i="36" s="1"/>
  <c r="BY404" i="36"/>
  <c r="BZ410" i="36"/>
  <c r="CV410" i="36"/>
  <c r="DI410" i="36" s="1"/>
  <c r="CT417" i="36"/>
  <c r="DG417" i="36" s="1"/>
  <c r="BX417" i="36"/>
  <c r="CV374" i="36"/>
  <c r="DI374" i="36" s="1"/>
  <c r="BZ418" i="36"/>
  <c r="CV418" i="36"/>
  <c r="DI418" i="36" s="1"/>
  <c r="BY418" i="36"/>
  <c r="BY419" i="36"/>
  <c r="BX420" i="36"/>
  <c r="CU357" i="36"/>
  <c r="DH357" i="36" s="1"/>
  <c r="BZ358" i="36"/>
  <c r="CU360" i="36"/>
  <c r="DH360" i="36" s="1"/>
  <c r="BZ368" i="36"/>
  <c r="CT368" i="36"/>
  <c r="DG368" i="36" s="1"/>
  <c r="BX380" i="36"/>
  <c r="CV380" i="36"/>
  <c r="DI380" i="36" s="1"/>
  <c r="CU396" i="36"/>
  <c r="DH396" i="36" s="1"/>
  <c r="BZ400" i="36"/>
  <c r="CT400" i="36"/>
  <c r="DG400" i="36" s="1"/>
  <c r="CV401" i="36"/>
  <c r="DI401" i="36" s="1"/>
  <c r="BY413" i="36"/>
  <c r="CU413" i="36"/>
  <c r="DH413" i="36" s="1"/>
  <c r="CV416" i="36"/>
  <c r="DI416" i="36" s="1"/>
  <c r="BZ416" i="36"/>
  <c r="BZ373" i="36"/>
  <c r="BZ386" i="36"/>
  <c r="BZ391" i="36"/>
  <c r="CT391" i="36"/>
  <c r="DG391" i="36" s="1"/>
  <c r="BX411" i="36"/>
  <c r="CT411" i="36"/>
  <c r="DG411" i="36" s="1"/>
  <c r="CU412" i="36"/>
  <c r="DH412" i="36" s="1"/>
  <c r="BY412" i="36"/>
  <c r="BX409" i="36"/>
  <c r="CV404" i="36"/>
  <c r="DI404" i="36" s="1"/>
  <c r="CU408" i="36"/>
  <c r="DH408" i="36" s="1"/>
  <c r="BO54" i="36"/>
  <c r="BI55" i="36"/>
  <c r="BQ55" i="36"/>
  <c r="BH54" i="36"/>
  <c r="BP54" i="36"/>
  <c r="BJ55" i="36"/>
  <c r="BI54" i="36"/>
  <c r="BQ54" i="36"/>
  <c r="BC55" i="36"/>
  <c r="BK55" i="36"/>
  <c r="BX67" i="36"/>
  <c r="DL67" i="36"/>
  <c r="BX68" i="36"/>
  <c r="DL68" i="36"/>
  <c r="BX69" i="36"/>
  <c r="DL69" i="36"/>
  <c r="DL72" i="36"/>
  <c r="DL75" i="36"/>
  <c r="DL76" i="36"/>
  <c r="BX77" i="36"/>
  <c r="DL77" i="36"/>
  <c r="DL80" i="36"/>
  <c r="DL83" i="36"/>
  <c r="DL84" i="36"/>
  <c r="DL85" i="36"/>
  <c r="CU93" i="36"/>
  <c r="DH93" i="36" s="1"/>
  <c r="BY93" i="36"/>
  <c r="DL95" i="36"/>
  <c r="DL100" i="36"/>
  <c r="CT105" i="36"/>
  <c r="DG105" i="36" s="1"/>
  <c r="BX105" i="36"/>
  <c r="CV114" i="36"/>
  <c r="DI114" i="36" s="1"/>
  <c r="BZ114" i="36"/>
  <c r="CV123" i="36"/>
  <c r="DI123" i="36" s="1"/>
  <c r="BZ123" i="36"/>
  <c r="CU126" i="36"/>
  <c r="DH126" i="36" s="1"/>
  <c r="BY126" i="36"/>
  <c r="BJ54" i="36"/>
  <c r="BD55" i="36"/>
  <c r="BL55" i="36"/>
  <c r="BX66" i="36"/>
  <c r="BY68" i="36"/>
  <c r="BX71" i="36"/>
  <c r="BY73" i="36"/>
  <c r="BX74" i="36"/>
  <c r="BY76" i="36"/>
  <c r="CU94" i="36"/>
  <c r="DH94" i="36" s="1"/>
  <c r="BY94" i="36"/>
  <c r="CT113" i="36"/>
  <c r="DG113" i="36" s="1"/>
  <c r="BX113" i="36"/>
  <c r="BZ78" i="36"/>
  <c r="BZ79" i="36"/>
  <c r="CV82" i="36"/>
  <c r="DI82" i="36" s="1"/>
  <c r="BZ86" i="36"/>
  <c r="BZ87" i="36"/>
  <c r="CT104" i="36"/>
  <c r="DG104" i="36" s="1"/>
  <c r="BX104" i="36"/>
  <c r="CV107" i="36"/>
  <c r="DI107" i="36" s="1"/>
  <c r="BZ107" i="36"/>
  <c r="BX107" i="36"/>
  <c r="CU110" i="36"/>
  <c r="DH110" i="36" s="1"/>
  <c r="BY110" i="36"/>
  <c r="BL54" i="36"/>
  <c r="BF55" i="36"/>
  <c r="DL426" i="36"/>
  <c r="DL418" i="36"/>
  <c r="DL439" i="36"/>
  <c r="DL423" i="36"/>
  <c r="DL415" i="36"/>
  <c r="DL433" i="36"/>
  <c r="DL417" i="36"/>
  <c r="DL421" i="36"/>
  <c r="DL430" i="36"/>
  <c r="DL424" i="36"/>
  <c r="DL427" i="36"/>
  <c r="DL416" i="36"/>
  <c r="DL405" i="36"/>
  <c r="DL438" i="36"/>
  <c r="DL436" i="36"/>
  <c r="DL420" i="36"/>
  <c r="DL413" i="36"/>
  <c r="DL393" i="36"/>
  <c r="DL385" i="36"/>
  <c r="DL398" i="36"/>
  <c r="DL390" i="36"/>
  <c r="DL435" i="36"/>
  <c r="DL412" i="36"/>
  <c r="DL410" i="36"/>
  <c r="DL409" i="36"/>
  <c r="DL404" i="36"/>
  <c r="DL402" i="36"/>
  <c r="DL401" i="36"/>
  <c r="DL395" i="36"/>
  <c r="DL387" i="36"/>
  <c r="DL432" i="36"/>
  <c r="DL419" i="36"/>
  <c r="DL397" i="36"/>
  <c r="DL389" i="36"/>
  <c r="DL381" i="36"/>
  <c r="DL414" i="36"/>
  <c r="DL407" i="36"/>
  <c r="DL383" i="36"/>
  <c r="DL370" i="36"/>
  <c r="DL362" i="36"/>
  <c r="DL354" i="36"/>
  <c r="DL408" i="36"/>
  <c r="DL403" i="36"/>
  <c r="DL394" i="36"/>
  <c r="DL392" i="36"/>
  <c r="DL391" i="36"/>
  <c r="DL396" i="36"/>
  <c r="DL374" i="36"/>
  <c r="DL400" i="36"/>
  <c r="DL399" i="36"/>
  <c r="DL380" i="36"/>
  <c r="DL378" i="36"/>
  <c r="DL377" i="36"/>
  <c r="DL371" i="36"/>
  <c r="DL429" i="36"/>
  <c r="DL382" i="36"/>
  <c r="DL379" i="36"/>
  <c r="DL376" i="36"/>
  <c r="DL384" i="36"/>
  <c r="DL367" i="36"/>
  <c r="DL366" i="36"/>
  <c r="DL361" i="36"/>
  <c r="DL359" i="36"/>
  <c r="DL358" i="36"/>
  <c r="DL353" i="36"/>
  <c r="DL345" i="36"/>
  <c r="DL337" i="36"/>
  <c r="DL386" i="36"/>
  <c r="DL365" i="36"/>
  <c r="DL364" i="36"/>
  <c r="DL363" i="36"/>
  <c r="DL360" i="36"/>
  <c r="DL357" i="36"/>
  <c r="DL356" i="36"/>
  <c r="DL355" i="36"/>
  <c r="DL350" i="36"/>
  <c r="DL342" i="36"/>
  <c r="DL372" i="36"/>
  <c r="DL347" i="36"/>
  <c r="DL339" i="36"/>
  <c r="DL368" i="36"/>
  <c r="DL375" i="36"/>
  <c r="DL349" i="36"/>
  <c r="DL411" i="36"/>
  <c r="DL369" i="36"/>
  <c r="DL346" i="36"/>
  <c r="DL406" i="36"/>
  <c r="DL388" i="36"/>
  <c r="DL373" i="36"/>
  <c r="DL334" i="36"/>
  <c r="DL328" i="36"/>
  <c r="DL320" i="36"/>
  <c r="DL352" i="36"/>
  <c r="DL333" i="36"/>
  <c r="DL325" i="36"/>
  <c r="DL330" i="36"/>
  <c r="DL322" i="36"/>
  <c r="DL351" i="36"/>
  <c r="DL348" i="36"/>
  <c r="DL344" i="36"/>
  <c r="DL343" i="36"/>
  <c r="DL336" i="36"/>
  <c r="DL329" i="36"/>
  <c r="DL321" i="36"/>
  <c r="DL313" i="36"/>
  <c r="DL305" i="36"/>
  <c r="DL297" i="36"/>
  <c r="DL289" i="36"/>
  <c r="DL340" i="36"/>
  <c r="DL312" i="36"/>
  <c r="DL310" i="36"/>
  <c r="DL309" i="36"/>
  <c r="DL304" i="36"/>
  <c r="DL302" i="36"/>
  <c r="DL301" i="36"/>
  <c r="DL296" i="36"/>
  <c r="DL294" i="36"/>
  <c r="DL293" i="36"/>
  <c r="DL284" i="36"/>
  <c r="DL276" i="36"/>
  <c r="DL317" i="36"/>
  <c r="DL316" i="36"/>
  <c r="DL315" i="36"/>
  <c r="DL314" i="36"/>
  <c r="DL311" i="36"/>
  <c r="DL308" i="36"/>
  <c r="DL307" i="36"/>
  <c r="DL306" i="36"/>
  <c r="DL303" i="36"/>
  <c r="DL300" i="36"/>
  <c r="DL299" i="36"/>
  <c r="DL298" i="36"/>
  <c r="DL295" i="36"/>
  <c r="DL292" i="36"/>
  <c r="DL291" i="36"/>
  <c r="DL290" i="36"/>
  <c r="DL332" i="36"/>
  <c r="DL286" i="36"/>
  <c r="DL341" i="36"/>
  <c r="DL338" i="36"/>
  <c r="DL331" i="36"/>
  <c r="DL319" i="36"/>
  <c r="DL324" i="36"/>
  <c r="DL318" i="36"/>
  <c r="DL335" i="36"/>
  <c r="DL327" i="36"/>
  <c r="DL326" i="36"/>
  <c r="DL323" i="36"/>
  <c r="DL282" i="36"/>
  <c r="DL268" i="36"/>
  <c r="DL260" i="36"/>
  <c r="DL252" i="36"/>
  <c r="DL244" i="36"/>
  <c r="DL236" i="36"/>
  <c r="DL285" i="36"/>
  <c r="DL265" i="36"/>
  <c r="DL257" i="36"/>
  <c r="DL249" i="36"/>
  <c r="DL241" i="36"/>
  <c r="DL233" i="36"/>
  <c r="DL288" i="36"/>
  <c r="DL283" i="36"/>
  <c r="DL270" i="36"/>
  <c r="DL262" i="36"/>
  <c r="DL254" i="36"/>
  <c r="DL246" i="36"/>
  <c r="DL238" i="36"/>
  <c r="DL287" i="36"/>
  <c r="DL281" i="36"/>
  <c r="DL280" i="36"/>
  <c r="DL275" i="36"/>
  <c r="DL273" i="36"/>
  <c r="DL272" i="36"/>
  <c r="DL269" i="36"/>
  <c r="DL261" i="36"/>
  <c r="DL253" i="36"/>
  <c r="DL245" i="36"/>
  <c r="DL237" i="36"/>
  <c r="DL277" i="36"/>
  <c r="DL267" i="36"/>
  <c r="DL266" i="36"/>
  <c r="DL263" i="36"/>
  <c r="DL240" i="36"/>
  <c r="DL232" i="36"/>
  <c r="DL222" i="36"/>
  <c r="DL214" i="36"/>
  <c r="DL243" i="36"/>
  <c r="DL242" i="36"/>
  <c r="DL239" i="36"/>
  <c r="DL227" i="36"/>
  <c r="DL278" i="36"/>
  <c r="DL274" i="36"/>
  <c r="DL256" i="36"/>
  <c r="DL259" i="36"/>
  <c r="DL258" i="36"/>
  <c r="DL255" i="36"/>
  <c r="DL230" i="36"/>
  <c r="DL229" i="36"/>
  <c r="DL279" i="36"/>
  <c r="DL271" i="36"/>
  <c r="DL248" i="36"/>
  <c r="DL223" i="36"/>
  <c r="DL215" i="36"/>
  <c r="DL207" i="36"/>
  <c r="DL221" i="36"/>
  <c r="DL213" i="36"/>
  <c r="DL210" i="36"/>
  <c r="DL209" i="36"/>
  <c r="DL208" i="36"/>
  <c r="DL205" i="36"/>
  <c r="DL202" i="36"/>
  <c r="DL201" i="36"/>
  <c r="DL195" i="36"/>
  <c r="DL264" i="36"/>
  <c r="DL251" i="36"/>
  <c r="DL247" i="36"/>
  <c r="DL234" i="36"/>
  <c r="DL219" i="36"/>
  <c r="DL211" i="36"/>
  <c r="DL200" i="36"/>
  <c r="DL192" i="36"/>
  <c r="DL184" i="36"/>
  <c r="DL216" i="36"/>
  <c r="DL197" i="36"/>
  <c r="DL194" i="36"/>
  <c r="DL186" i="36"/>
  <c r="DL235" i="36"/>
  <c r="DL231" i="36"/>
  <c r="DL220" i="36"/>
  <c r="DL217" i="36"/>
  <c r="DL226" i="36"/>
  <c r="DL224" i="36"/>
  <c r="DL218" i="36"/>
  <c r="DL198" i="36"/>
  <c r="DL183" i="36"/>
  <c r="DL179" i="36"/>
  <c r="DL171" i="36"/>
  <c r="DL163" i="36"/>
  <c r="DL191" i="36"/>
  <c r="DL188" i="36"/>
  <c r="DL185" i="36"/>
  <c r="DL182" i="36"/>
  <c r="DL176" i="36"/>
  <c r="DL168" i="36"/>
  <c r="DL160" i="36"/>
  <c r="DL152" i="36"/>
  <c r="DL144" i="36"/>
  <c r="DL136" i="36"/>
  <c r="DL199" i="36"/>
  <c r="DL196" i="36"/>
  <c r="DL193" i="36"/>
  <c r="DL181" i="36"/>
  <c r="DL173" i="36"/>
  <c r="DL165" i="36"/>
  <c r="DL157" i="36"/>
  <c r="DL149" i="36"/>
  <c r="DL141" i="36"/>
  <c r="DL206" i="36"/>
  <c r="DL178" i="36"/>
  <c r="DL225" i="36"/>
  <c r="DL189" i="36"/>
  <c r="DL175" i="36"/>
  <c r="DL212" i="36"/>
  <c r="DL180" i="36"/>
  <c r="DL172" i="36"/>
  <c r="DL164" i="36"/>
  <c r="DL156" i="36"/>
  <c r="DL148" i="36"/>
  <c r="DL140" i="36"/>
  <c r="DL132" i="36"/>
  <c r="DL250" i="36"/>
  <c r="DL228" i="36"/>
  <c r="DL203" i="36"/>
  <c r="DL177" i="36"/>
  <c r="DL169" i="36"/>
  <c r="DL161" i="36"/>
  <c r="DL204" i="36"/>
  <c r="DL190" i="36"/>
  <c r="DL187" i="36"/>
  <c r="DL142" i="36"/>
  <c r="DL134" i="36"/>
  <c r="DL121" i="36"/>
  <c r="DL113" i="36"/>
  <c r="DL105" i="36"/>
  <c r="DL97" i="36"/>
  <c r="DL162" i="36"/>
  <c r="DL159" i="36"/>
  <c r="DL155" i="36"/>
  <c r="DL126" i="36"/>
  <c r="DL118" i="36"/>
  <c r="DL110" i="36"/>
  <c r="DL102" i="36"/>
  <c r="DL94" i="36"/>
  <c r="DL158" i="36"/>
  <c r="DL151" i="36"/>
  <c r="DL135" i="36"/>
  <c r="DL123" i="36"/>
  <c r="DL115" i="36"/>
  <c r="DL107" i="36"/>
  <c r="DL99" i="36"/>
  <c r="DL91" i="36"/>
  <c r="DL154" i="36"/>
  <c r="DL138" i="36"/>
  <c r="DL120" i="36"/>
  <c r="DL112" i="36"/>
  <c r="DL104" i="36"/>
  <c r="DL96" i="36"/>
  <c r="DL166" i="36"/>
  <c r="DL153" i="36"/>
  <c r="DL147" i="36"/>
  <c r="DL174" i="36"/>
  <c r="DL170" i="36"/>
  <c r="DL150" i="36"/>
  <c r="DL143" i="36"/>
  <c r="DL131" i="36"/>
  <c r="DL129" i="36"/>
  <c r="DL128" i="36"/>
  <c r="DL122" i="36"/>
  <c r="DL114" i="36"/>
  <c r="DL106" i="36"/>
  <c r="DL98" i="36"/>
  <c r="DL90" i="36"/>
  <c r="DL82" i="36"/>
  <c r="DL74" i="36"/>
  <c r="DL66" i="36"/>
  <c r="DL167" i="36"/>
  <c r="DL146" i="36"/>
  <c r="DL133" i="36"/>
  <c r="DL130" i="36"/>
  <c r="DL127" i="36"/>
  <c r="DL145" i="36"/>
  <c r="DL139" i="36"/>
  <c r="DL137" i="36"/>
  <c r="DL124" i="36"/>
  <c r="DL116" i="36"/>
  <c r="BZ70" i="36"/>
  <c r="BE54" i="36"/>
  <c r="BM54" i="36"/>
  <c r="BG55" i="36"/>
  <c r="BO55" i="36"/>
  <c r="CX438" i="36"/>
  <c r="CX430" i="36"/>
  <c r="CX414" i="36"/>
  <c r="CX435" i="36"/>
  <c r="CX427" i="36"/>
  <c r="CX419" i="36"/>
  <c r="CX429" i="36"/>
  <c r="CX421" i="36"/>
  <c r="CX413" i="36"/>
  <c r="CX424" i="36"/>
  <c r="CX418" i="36"/>
  <c r="CX420" i="36"/>
  <c r="CX409" i="36"/>
  <c r="CX401" i="36"/>
  <c r="CX423" i="36"/>
  <c r="CX397" i="36"/>
  <c r="CX389" i="36"/>
  <c r="CX439" i="36"/>
  <c r="CX394" i="36"/>
  <c r="CX399" i="36"/>
  <c r="CX391" i="36"/>
  <c r="CX393" i="36"/>
  <c r="CX385" i="36"/>
  <c r="CX377" i="36"/>
  <c r="CX403" i="36"/>
  <c r="CX386" i="36"/>
  <c r="CX382" i="36"/>
  <c r="CX380" i="36"/>
  <c r="CX379" i="36"/>
  <c r="CX378" i="36"/>
  <c r="CX374" i="36"/>
  <c r="CX366" i="36"/>
  <c r="CX358" i="36"/>
  <c r="CX433" i="36"/>
  <c r="CX432" i="36"/>
  <c r="CX426" i="36"/>
  <c r="CX408" i="36"/>
  <c r="CX404" i="36"/>
  <c r="CX390" i="36"/>
  <c r="CX383" i="36"/>
  <c r="CX436" i="36"/>
  <c r="CX415" i="36"/>
  <c r="CX396" i="36"/>
  <c r="CX395" i="36"/>
  <c r="CX410" i="36"/>
  <c r="CX398" i="36"/>
  <c r="CX392" i="36"/>
  <c r="CX387" i="36"/>
  <c r="CX384" i="36"/>
  <c r="CX370" i="36"/>
  <c r="CX417" i="36"/>
  <c r="CX411" i="36"/>
  <c r="CX406" i="36"/>
  <c r="CX405" i="36"/>
  <c r="CX400" i="36"/>
  <c r="CX375" i="36"/>
  <c r="CX416" i="36"/>
  <c r="CX412" i="36"/>
  <c r="CX402" i="36"/>
  <c r="CX373" i="36"/>
  <c r="CX349" i="36"/>
  <c r="CX341" i="36"/>
  <c r="CX407" i="36"/>
  <c r="CX388" i="36"/>
  <c r="CX372" i="36"/>
  <c r="CX346" i="36"/>
  <c r="CX338" i="36"/>
  <c r="CX351" i="36"/>
  <c r="CX343" i="36"/>
  <c r="CX367" i="36"/>
  <c r="CX363" i="36"/>
  <c r="CX371" i="36"/>
  <c r="CX368" i="36"/>
  <c r="CX365" i="36"/>
  <c r="CX364" i="36"/>
  <c r="CX362" i="36"/>
  <c r="CX357" i="36"/>
  <c r="CX356" i="36"/>
  <c r="CX354" i="36"/>
  <c r="CX353" i="36"/>
  <c r="CX345" i="36"/>
  <c r="CX350" i="36"/>
  <c r="CX376" i="36"/>
  <c r="CX381" i="36"/>
  <c r="CX369" i="36"/>
  <c r="CX332" i="36"/>
  <c r="CX324" i="36"/>
  <c r="CX359" i="36"/>
  <c r="CX339" i="36"/>
  <c r="CX329" i="36"/>
  <c r="CX321" i="36"/>
  <c r="CX348" i="36"/>
  <c r="CX326" i="36"/>
  <c r="CX318" i="36"/>
  <c r="CX355" i="36"/>
  <c r="CX344" i="36"/>
  <c r="CX333" i="36"/>
  <c r="CX325" i="36"/>
  <c r="CX317" i="36"/>
  <c r="CX309" i="36"/>
  <c r="CX301" i="36"/>
  <c r="CX293" i="36"/>
  <c r="CX342" i="36"/>
  <c r="CX336" i="36"/>
  <c r="CX330" i="36"/>
  <c r="CX288" i="36"/>
  <c r="CX280" i="36"/>
  <c r="CX334" i="36"/>
  <c r="CX331" i="36"/>
  <c r="CX335" i="36"/>
  <c r="CX320" i="36"/>
  <c r="CX282" i="36"/>
  <c r="CX352" i="36"/>
  <c r="CX347" i="36"/>
  <c r="CX340" i="36"/>
  <c r="CX322" i="36"/>
  <c r="CX319" i="36"/>
  <c r="CX314" i="36"/>
  <c r="CX312" i="36"/>
  <c r="CX311" i="36"/>
  <c r="CX310" i="36"/>
  <c r="CX306" i="36"/>
  <c r="CX304" i="36"/>
  <c r="CX361" i="36"/>
  <c r="CX360" i="36"/>
  <c r="CX323" i="36"/>
  <c r="CX316" i="36"/>
  <c r="CX315" i="36"/>
  <c r="CX313" i="36"/>
  <c r="CX308" i="36"/>
  <c r="CX307" i="36"/>
  <c r="CX305" i="36"/>
  <c r="CX300" i="36"/>
  <c r="CX299" i="36"/>
  <c r="CX337" i="36"/>
  <c r="CX327" i="36"/>
  <c r="CX289" i="36"/>
  <c r="CX290" i="36"/>
  <c r="CX284" i="36"/>
  <c r="CX281" i="36"/>
  <c r="CX277" i="36"/>
  <c r="CX275" i="36"/>
  <c r="CX274" i="36"/>
  <c r="CX273" i="36"/>
  <c r="CX272" i="36"/>
  <c r="CX264" i="36"/>
  <c r="CX256" i="36"/>
  <c r="CX248" i="36"/>
  <c r="CX240" i="36"/>
  <c r="CX328" i="36"/>
  <c r="CX302" i="36"/>
  <c r="CX279" i="36"/>
  <c r="CX278" i="36"/>
  <c r="CX276" i="36"/>
  <c r="CX269" i="36"/>
  <c r="CX261" i="36"/>
  <c r="CX253" i="36"/>
  <c r="CX245" i="36"/>
  <c r="CX237" i="36"/>
  <c r="CX295" i="36"/>
  <c r="CX291" i="36"/>
  <c r="CX285" i="36"/>
  <c r="CX266" i="36"/>
  <c r="CX258" i="36"/>
  <c r="CX250" i="36"/>
  <c r="CX242" i="36"/>
  <c r="CX303" i="36"/>
  <c r="CX298" i="36"/>
  <c r="CX297" i="36"/>
  <c r="CX287" i="36"/>
  <c r="CX265" i="36"/>
  <c r="CX257" i="36"/>
  <c r="CX249" i="36"/>
  <c r="CX241" i="36"/>
  <c r="CX233" i="36"/>
  <c r="CX294" i="36"/>
  <c r="CX254" i="36"/>
  <c r="CX243" i="36"/>
  <c r="CX226" i="36"/>
  <c r="CX218" i="36"/>
  <c r="CX268" i="36"/>
  <c r="CX255" i="36"/>
  <c r="CX223" i="36"/>
  <c r="CX296" i="36"/>
  <c r="CX283" i="36"/>
  <c r="CX270" i="36"/>
  <c r="CX259" i="36"/>
  <c r="CX244" i="36"/>
  <c r="CX271" i="36"/>
  <c r="CX246" i="36"/>
  <c r="CX236" i="36"/>
  <c r="CX225" i="36"/>
  <c r="CX286" i="36"/>
  <c r="CX260" i="36"/>
  <c r="CX262" i="36"/>
  <c r="CX251" i="36"/>
  <c r="CX227" i="36"/>
  <c r="CX219" i="36"/>
  <c r="CX211" i="36"/>
  <c r="CX203" i="36"/>
  <c r="CX215" i="36"/>
  <c r="CX199" i="36"/>
  <c r="CX292" i="36"/>
  <c r="CX267" i="36"/>
  <c r="CX235" i="36"/>
  <c r="CX221" i="36"/>
  <c r="CX213" i="36"/>
  <c r="CX196" i="36"/>
  <c r="CX188" i="36"/>
  <c r="CX239" i="36"/>
  <c r="CX231" i="36"/>
  <c r="CX208" i="36"/>
  <c r="CX206" i="36"/>
  <c r="CX205" i="36"/>
  <c r="CX204" i="36"/>
  <c r="CX263" i="36"/>
  <c r="CX247" i="36"/>
  <c r="CX232" i="36"/>
  <c r="CX216" i="36"/>
  <c r="CX210" i="36"/>
  <c r="CX209" i="36"/>
  <c r="CX207" i="36"/>
  <c r="CX202" i="36"/>
  <c r="CX201" i="36"/>
  <c r="CX198" i="36"/>
  <c r="CX190" i="36"/>
  <c r="CX252" i="36"/>
  <c r="CX238" i="36"/>
  <c r="CX234" i="36"/>
  <c r="CX228" i="36"/>
  <c r="CX222" i="36"/>
  <c r="CX229" i="36"/>
  <c r="CX224" i="36"/>
  <c r="CX220" i="36"/>
  <c r="CX212" i="36"/>
  <c r="CX197" i="36"/>
  <c r="CX230" i="36"/>
  <c r="CX187" i="36"/>
  <c r="CX175" i="36"/>
  <c r="CX167" i="36"/>
  <c r="CX217" i="36"/>
  <c r="CX194" i="36"/>
  <c r="CX193" i="36"/>
  <c r="CX180" i="36"/>
  <c r="CX172" i="36"/>
  <c r="CX164" i="36"/>
  <c r="CX156" i="36"/>
  <c r="CX148" i="36"/>
  <c r="CX140" i="36"/>
  <c r="CX195" i="36"/>
  <c r="CX177" i="36"/>
  <c r="CX169" i="36"/>
  <c r="CX161" i="36"/>
  <c r="CX153" i="36"/>
  <c r="CX145" i="36"/>
  <c r="CX191" i="36"/>
  <c r="CX185" i="36"/>
  <c r="CX183" i="36"/>
  <c r="CX182" i="36"/>
  <c r="CX174" i="36"/>
  <c r="CX184" i="36"/>
  <c r="CX179" i="36"/>
  <c r="CX200" i="36"/>
  <c r="CX176" i="36"/>
  <c r="CX168" i="36"/>
  <c r="CX160" i="36"/>
  <c r="CX152" i="36"/>
  <c r="CX144" i="36"/>
  <c r="CX136" i="36"/>
  <c r="CX128" i="36"/>
  <c r="CX214" i="36"/>
  <c r="CX189" i="36"/>
  <c r="CX186" i="36"/>
  <c r="CX181" i="36"/>
  <c r="CX173" i="36"/>
  <c r="CX165" i="36"/>
  <c r="CX192" i="36"/>
  <c r="CX178" i="36"/>
  <c r="CX159" i="36"/>
  <c r="CX137" i="36"/>
  <c r="CX133" i="36"/>
  <c r="CX131" i="36"/>
  <c r="CX130" i="36"/>
  <c r="CX129" i="36"/>
  <c r="CX125" i="36"/>
  <c r="CX117" i="36"/>
  <c r="CX109" i="36"/>
  <c r="CX101" i="36"/>
  <c r="CX166" i="36"/>
  <c r="CX158" i="36"/>
  <c r="CX155" i="36"/>
  <c r="CX134" i="36"/>
  <c r="CX132" i="36"/>
  <c r="CX122" i="36"/>
  <c r="CX114" i="36"/>
  <c r="CX106" i="36"/>
  <c r="CX98" i="36"/>
  <c r="CX90" i="36"/>
  <c r="CX170" i="36"/>
  <c r="CX163" i="36"/>
  <c r="CX141" i="36"/>
  <c r="CX127" i="36"/>
  <c r="CX119" i="36"/>
  <c r="CX111" i="36"/>
  <c r="CX103" i="36"/>
  <c r="CX95" i="36"/>
  <c r="CX87" i="36"/>
  <c r="CX154" i="36"/>
  <c r="CX151" i="36"/>
  <c r="CX124" i="36"/>
  <c r="CX116" i="36"/>
  <c r="CX108" i="36"/>
  <c r="CX100" i="36"/>
  <c r="CX92" i="36"/>
  <c r="CX157" i="36"/>
  <c r="CX150" i="36"/>
  <c r="CX147" i="36"/>
  <c r="CX138" i="36"/>
  <c r="CX135" i="36"/>
  <c r="CX126" i="36"/>
  <c r="CX118" i="36"/>
  <c r="CX110" i="36"/>
  <c r="CX102" i="36"/>
  <c r="CX94" i="36"/>
  <c r="CX86" i="36"/>
  <c r="CX78" i="36"/>
  <c r="CX70" i="36"/>
  <c r="CX171" i="36"/>
  <c r="CX162" i="36"/>
  <c r="CX146" i="36"/>
  <c r="CX143" i="36"/>
  <c r="CX123" i="36"/>
  <c r="CX149" i="36"/>
  <c r="CX142" i="36"/>
  <c r="CX139" i="36"/>
  <c r="CX120" i="36"/>
  <c r="DM61" i="36"/>
  <c r="BY65" i="36"/>
  <c r="CV71" i="36"/>
  <c r="DI71" i="36" s="1"/>
  <c r="CX91" i="36"/>
  <c r="DL92" i="36"/>
  <c r="CX93" i="36"/>
  <c r="DL93" i="36"/>
  <c r="BY96" i="36"/>
  <c r="CX97" i="36"/>
  <c r="CU101" i="36"/>
  <c r="DH101" i="36" s="1"/>
  <c r="BY101" i="36"/>
  <c r="CT112" i="36"/>
  <c r="DG112" i="36" s="1"/>
  <c r="BX112" i="36"/>
  <c r="CT96" i="36"/>
  <c r="DG96" i="36" s="1"/>
  <c r="BX96" i="36"/>
  <c r="CV99" i="36"/>
  <c r="DI99" i="36" s="1"/>
  <c r="BZ99" i="36"/>
  <c r="CU102" i="36"/>
  <c r="DH102" i="36" s="1"/>
  <c r="BY102" i="36"/>
  <c r="CV115" i="36"/>
  <c r="DI115" i="36" s="1"/>
  <c r="BZ115" i="36"/>
  <c r="CU118" i="36"/>
  <c r="DH118" i="36" s="1"/>
  <c r="BY118" i="36"/>
  <c r="BD54" i="36"/>
  <c r="BN55" i="36"/>
  <c r="BX65" i="36"/>
  <c r="BX53" i="36" s="1"/>
  <c r="CV66" i="36"/>
  <c r="DI66" i="36" s="1"/>
  <c r="CV74" i="36"/>
  <c r="DI74" i="36" s="1"/>
  <c r="BF54" i="36"/>
  <c r="BN54" i="36"/>
  <c r="BH55" i="36"/>
  <c r="CY435" i="36"/>
  <c r="CY427" i="36"/>
  <c r="CY419" i="36"/>
  <c r="CY432" i="36"/>
  <c r="CY424" i="36"/>
  <c r="CY416" i="36"/>
  <c r="CY426" i="36"/>
  <c r="CY418" i="36"/>
  <c r="CY430" i="36"/>
  <c r="CY423" i="36"/>
  <c r="CY439" i="36"/>
  <c r="CY433" i="36"/>
  <c r="CY429" i="36"/>
  <c r="CY406" i="36"/>
  <c r="CY421" i="36"/>
  <c r="CY394" i="36"/>
  <c r="CY386" i="36"/>
  <c r="CY399" i="36"/>
  <c r="CY391" i="36"/>
  <c r="CY417" i="36"/>
  <c r="CY396" i="36"/>
  <c r="CY388" i="36"/>
  <c r="CY436" i="36"/>
  <c r="CY414" i="36"/>
  <c r="CY412" i="36"/>
  <c r="CY411" i="36"/>
  <c r="CY410" i="36"/>
  <c r="CY409" i="36"/>
  <c r="CY404" i="36"/>
  <c r="CY403" i="36"/>
  <c r="CY402" i="36"/>
  <c r="CY401" i="36"/>
  <c r="CY398" i="36"/>
  <c r="CY390" i="36"/>
  <c r="CY382" i="36"/>
  <c r="CY408" i="36"/>
  <c r="CY383" i="36"/>
  <c r="CY381" i="36"/>
  <c r="CY371" i="36"/>
  <c r="CY363" i="36"/>
  <c r="CY355" i="36"/>
  <c r="CY415" i="36"/>
  <c r="CY413" i="36"/>
  <c r="CY395" i="36"/>
  <c r="CY393" i="36"/>
  <c r="CY392" i="36"/>
  <c r="CY387" i="36"/>
  <c r="CY397" i="36"/>
  <c r="CY384" i="36"/>
  <c r="CY405" i="36"/>
  <c r="CY400" i="36"/>
  <c r="CY375" i="36"/>
  <c r="CY389" i="36"/>
  <c r="CY385" i="36"/>
  <c r="CY372" i="36"/>
  <c r="CY438" i="36"/>
  <c r="CY420" i="36"/>
  <c r="CY407" i="36"/>
  <c r="CY370" i="36"/>
  <c r="CY346" i="36"/>
  <c r="CY338" i="36"/>
  <c r="CY380" i="36"/>
  <c r="CY377" i="36"/>
  <c r="CY351" i="36"/>
  <c r="CY343" i="36"/>
  <c r="CY335" i="36"/>
  <c r="CY367" i="36"/>
  <c r="CY366" i="36"/>
  <c r="CY361" i="36"/>
  <c r="CY360" i="36"/>
  <c r="CY359" i="36"/>
  <c r="CY358" i="36"/>
  <c r="CY348" i="36"/>
  <c r="CY340" i="36"/>
  <c r="CY379" i="36"/>
  <c r="CY368" i="36"/>
  <c r="CY365" i="36"/>
  <c r="CY364" i="36"/>
  <c r="CY362" i="36"/>
  <c r="CY350" i="36"/>
  <c r="CY342" i="36"/>
  <c r="CY376" i="36"/>
  <c r="CY374" i="36"/>
  <c r="CY347" i="36"/>
  <c r="CY378" i="36"/>
  <c r="CY369" i="36"/>
  <c r="CY373" i="36"/>
  <c r="CY356" i="36"/>
  <c r="CY353" i="36"/>
  <c r="CY339" i="36"/>
  <c r="CY329" i="36"/>
  <c r="CY321" i="36"/>
  <c r="CY326" i="36"/>
  <c r="CY318" i="36"/>
  <c r="CY337" i="36"/>
  <c r="CY334" i="36"/>
  <c r="CY331" i="36"/>
  <c r="CY323" i="36"/>
  <c r="CY344" i="36"/>
  <c r="CY357" i="36"/>
  <c r="CY330" i="36"/>
  <c r="CY322" i="36"/>
  <c r="CY314" i="36"/>
  <c r="CY306" i="36"/>
  <c r="CY298" i="36"/>
  <c r="CY290" i="36"/>
  <c r="CY285" i="36"/>
  <c r="CY277" i="36"/>
  <c r="CY333" i="36"/>
  <c r="CY332" i="36"/>
  <c r="CY320" i="36"/>
  <c r="CY352" i="36"/>
  <c r="CY319" i="36"/>
  <c r="CY317" i="36"/>
  <c r="CY312" i="36"/>
  <c r="CY311" i="36"/>
  <c r="CY310" i="36"/>
  <c r="CY309" i="36"/>
  <c r="CY304" i="36"/>
  <c r="CY303" i="36"/>
  <c r="CY302" i="36"/>
  <c r="CY301" i="36"/>
  <c r="CY296" i="36"/>
  <c r="CY295" i="36"/>
  <c r="CY294" i="36"/>
  <c r="CY293" i="36"/>
  <c r="CY287" i="36"/>
  <c r="CY349" i="36"/>
  <c r="CY316" i="36"/>
  <c r="CY315" i="36"/>
  <c r="CY313" i="36"/>
  <c r="CY308" i="36"/>
  <c r="CY307" i="36"/>
  <c r="CY305" i="36"/>
  <c r="CY345" i="36"/>
  <c r="CY327" i="36"/>
  <c r="CY325" i="36"/>
  <c r="CY324" i="36"/>
  <c r="CY286" i="36"/>
  <c r="CY328" i="36"/>
  <c r="CY354" i="36"/>
  <c r="CY341" i="36"/>
  <c r="CY336" i="36"/>
  <c r="CY300" i="36"/>
  <c r="CY299" i="36"/>
  <c r="CY289" i="36"/>
  <c r="CY282" i="36"/>
  <c r="CY279" i="36"/>
  <c r="CY278" i="36"/>
  <c r="CY276" i="36"/>
  <c r="CY269" i="36"/>
  <c r="CY261" i="36"/>
  <c r="CY253" i="36"/>
  <c r="CY245" i="36"/>
  <c r="CY237" i="36"/>
  <c r="CY291" i="36"/>
  <c r="CY266" i="36"/>
  <c r="CY258" i="36"/>
  <c r="CY250" i="36"/>
  <c r="CY242" i="36"/>
  <c r="CY234" i="36"/>
  <c r="CY288" i="36"/>
  <c r="CY271" i="36"/>
  <c r="CY263" i="36"/>
  <c r="CY255" i="36"/>
  <c r="CY247" i="36"/>
  <c r="CY239" i="36"/>
  <c r="CY270" i="36"/>
  <c r="CY262" i="36"/>
  <c r="CY254" i="36"/>
  <c r="CY246" i="36"/>
  <c r="CY238" i="36"/>
  <c r="CY268" i="36"/>
  <c r="CY223" i="36"/>
  <c r="CY215" i="36"/>
  <c r="CY283" i="36"/>
  <c r="CY275" i="36"/>
  <c r="CY259" i="36"/>
  <c r="CY257" i="36"/>
  <c r="CY256" i="36"/>
  <c r="CY244" i="36"/>
  <c r="CY232" i="36"/>
  <c r="CY228" i="36"/>
  <c r="CY280" i="36"/>
  <c r="CY272" i="36"/>
  <c r="CY260" i="36"/>
  <c r="CY235" i="36"/>
  <c r="CY233" i="36"/>
  <c r="CY251" i="36"/>
  <c r="CY249" i="36"/>
  <c r="CY284" i="36"/>
  <c r="CY281" i="36"/>
  <c r="CY273" i="36"/>
  <c r="CY230" i="36"/>
  <c r="CY224" i="36"/>
  <c r="CY216" i="36"/>
  <c r="CY208" i="36"/>
  <c r="CY292" i="36"/>
  <c r="CY267" i="36"/>
  <c r="CY221" i="36"/>
  <c r="CY218" i="36"/>
  <c r="CY213" i="36"/>
  <c r="CY196" i="36"/>
  <c r="CY274" i="36"/>
  <c r="CY248" i="36"/>
  <c r="CY231" i="36"/>
  <c r="CY206" i="36"/>
  <c r="CY205" i="36"/>
  <c r="CY204" i="36"/>
  <c r="CY203" i="36"/>
  <c r="CY193" i="36"/>
  <c r="CY185" i="36"/>
  <c r="CY219" i="36"/>
  <c r="CY211" i="36"/>
  <c r="CY210" i="36"/>
  <c r="CY209" i="36"/>
  <c r="CY207" i="36"/>
  <c r="CY202" i="36"/>
  <c r="CY201" i="36"/>
  <c r="CY198" i="36"/>
  <c r="CY265" i="36"/>
  <c r="CY264" i="36"/>
  <c r="CY195" i="36"/>
  <c r="CY187" i="36"/>
  <c r="CY252" i="36"/>
  <c r="CY241" i="36"/>
  <c r="CY227" i="36"/>
  <c r="CY222" i="36"/>
  <c r="CY214" i="36"/>
  <c r="CY229" i="36"/>
  <c r="CY226" i="36"/>
  <c r="CY225" i="36"/>
  <c r="CY220" i="36"/>
  <c r="CY243" i="36"/>
  <c r="CY236" i="36"/>
  <c r="CY217" i="36"/>
  <c r="CY212" i="36"/>
  <c r="CY194" i="36"/>
  <c r="CY180" i="36"/>
  <c r="CY172" i="36"/>
  <c r="CY164" i="36"/>
  <c r="CY177" i="36"/>
  <c r="CY169" i="36"/>
  <c r="CY161" i="36"/>
  <c r="CY153" i="36"/>
  <c r="CY145" i="36"/>
  <c r="CY137" i="36"/>
  <c r="CY191" i="36"/>
  <c r="CY188" i="36"/>
  <c r="CY183" i="36"/>
  <c r="CY182" i="36"/>
  <c r="CY174" i="36"/>
  <c r="CY166" i="36"/>
  <c r="CY158" i="36"/>
  <c r="CY150" i="36"/>
  <c r="CY142" i="36"/>
  <c r="CY240" i="36"/>
  <c r="CY197" i="36"/>
  <c r="CY184" i="36"/>
  <c r="CY179" i="36"/>
  <c r="CY171" i="36"/>
  <c r="CY200" i="36"/>
  <c r="CY176" i="36"/>
  <c r="CY189" i="36"/>
  <c r="CY186" i="36"/>
  <c r="CY181" i="36"/>
  <c r="CY173" i="36"/>
  <c r="CY165" i="36"/>
  <c r="CY157" i="36"/>
  <c r="CY149" i="36"/>
  <c r="CY141" i="36"/>
  <c r="CY133" i="36"/>
  <c r="CY297" i="36"/>
  <c r="CY192" i="36"/>
  <c r="CY178" i="36"/>
  <c r="CY170" i="36"/>
  <c r="CY162" i="36"/>
  <c r="CY199" i="36"/>
  <c r="CY190" i="36"/>
  <c r="CY155" i="36"/>
  <c r="CY152" i="36"/>
  <c r="CY148" i="36"/>
  <c r="CY134" i="36"/>
  <c r="CY132" i="36"/>
  <c r="CY122" i="36"/>
  <c r="CY114" i="36"/>
  <c r="CY106" i="36"/>
  <c r="CY98" i="36"/>
  <c r="CY163" i="36"/>
  <c r="CY160" i="36"/>
  <c r="CY127" i="36"/>
  <c r="CY119" i="36"/>
  <c r="CY111" i="36"/>
  <c r="CY103" i="36"/>
  <c r="CY95" i="36"/>
  <c r="CY154" i="36"/>
  <c r="CY151" i="36"/>
  <c r="CY124" i="36"/>
  <c r="CY116" i="36"/>
  <c r="CY108" i="36"/>
  <c r="CY100" i="36"/>
  <c r="CY92" i="36"/>
  <c r="CY167" i="36"/>
  <c r="CY147" i="36"/>
  <c r="CY144" i="36"/>
  <c r="CY140" i="36"/>
  <c r="CY138" i="36"/>
  <c r="CY135" i="36"/>
  <c r="CY121" i="36"/>
  <c r="CY113" i="36"/>
  <c r="CY105" i="36"/>
  <c r="CY97" i="36"/>
  <c r="CY156" i="36"/>
  <c r="CY146" i="36"/>
  <c r="CY143" i="36"/>
  <c r="CY123" i="36"/>
  <c r="CY115" i="36"/>
  <c r="CY107" i="36"/>
  <c r="CY99" i="36"/>
  <c r="CY91" i="36"/>
  <c r="CY83" i="36"/>
  <c r="CY75" i="36"/>
  <c r="CY67" i="36"/>
  <c r="CY168" i="36"/>
  <c r="CY139" i="36"/>
  <c r="CY136" i="36"/>
  <c r="CY120" i="36"/>
  <c r="CY175" i="36"/>
  <c r="CY159" i="36"/>
  <c r="CY131" i="36"/>
  <c r="CY130" i="36"/>
  <c r="CY129" i="36"/>
  <c r="CY128" i="36"/>
  <c r="CY125" i="36"/>
  <c r="CY117" i="36"/>
  <c r="BZ65" i="36"/>
  <c r="CY93" i="36"/>
  <c r="CX99" i="36"/>
  <c r="CX105" i="36"/>
  <c r="CU109" i="36"/>
  <c r="DH109" i="36" s="1"/>
  <c r="BY109" i="36"/>
  <c r="CX115" i="36"/>
  <c r="DL119" i="36"/>
  <c r="CY126" i="36"/>
  <c r="CY82" i="36"/>
  <c r="CY84" i="36"/>
  <c r="CY85" i="36"/>
  <c r="CY87" i="36"/>
  <c r="BY88" i="36"/>
  <c r="CY94" i="36"/>
  <c r="CV98" i="36"/>
  <c r="DI98" i="36" s="1"/>
  <c r="BZ98" i="36"/>
  <c r="DL101" i="36"/>
  <c r="CX107" i="36"/>
  <c r="CX113" i="36"/>
  <c r="CY118" i="36"/>
  <c r="CT121" i="36"/>
  <c r="DG121" i="36" s="1"/>
  <c r="BX121" i="36"/>
  <c r="DL125" i="36"/>
  <c r="CY78" i="36"/>
  <c r="CY79" i="36"/>
  <c r="CY80" i="36"/>
  <c r="CY81" i="36"/>
  <c r="CY86" i="36"/>
  <c r="DL87" i="36"/>
  <c r="DL89" i="36"/>
  <c r="BY90" i="36"/>
  <c r="CX96" i="36"/>
  <c r="CT97" i="36"/>
  <c r="DG97" i="36" s="1"/>
  <c r="BX97" i="36"/>
  <c r="CY102" i="36"/>
  <c r="CV106" i="36"/>
  <c r="DI106" i="36" s="1"/>
  <c r="BZ106" i="36"/>
  <c r="DL109" i="36"/>
  <c r="DL117" i="36"/>
  <c r="CT163" i="36"/>
  <c r="DG163" i="36" s="1"/>
  <c r="BX163" i="36"/>
  <c r="CU144" i="36"/>
  <c r="DH144" i="36" s="1"/>
  <c r="BZ151" i="36"/>
  <c r="BY154" i="36"/>
  <c r="CV157" i="36"/>
  <c r="DI157" i="36" s="1"/>
  <c r="CV172" i="36"/>
  <c r="DI172" i="36" s="1"/>
  <c r="BZ172" i="36"/>
  <c r="BY117" i="36"/>
  <c r="BX120" i="36"/>
  <c r="BZ122" i="36"/>
  <c r="BY125" i="36"/>
  <c r="BX128" i="36"/>
  <c r="BX129" i="36"/>
  <c r="BY130" i="36"/>
  <c r="BY131" i="36"/>
  <c r="BX132" i="36"/>
  <c r="BY134" i="36"/>
  <c r="CV140" i="36"/>
  <c r="DI140" i="36" s="1"/>
  <c r="BX141" i="36"/>
  <c r="CV144" i="36"/>
  <c r="DI144" i="36" s="1"/>
  <c r="CU151" i="36"/>
  <c r="DH151" i="36" s="1"/>
  <c r="CT154" i="36"/>
  <c r="DG154" i="36" s="1"/>
  <c r="CT155" i="36"/>
  <c r="DG155" i="36" s="1"/>
  <c r="CT158" i="36"/>
  <c r="DG158" i="36" s="1"/>
  <c r="CU163" i="36"/>
  <c r="DH163" i="36" s="1"/>
  <c r="CU167" i="36"/>
  <c r="DH167" i="36" s="1"/>
  <c r="CT170" i="36"/>
  <c r="DG170" i="36" s="1"/>
  <c r="BY148" i="36"/>
  <c r="CU155" i="36"/>
  <c r="DH155" i="36" s="1"/>
  <c r="BX159" i="36"/>
  <c r="CU160" i="36"/>
  <c r="DH160" i="36" s="1"/>
  <c r="BY160" i="36"/>
  <c r="CV164" i="36"/>
  <c r="DI164" i="36" s="1"/>
  <c r="CT166" i="36"/>
  <c r="DG166" i="36" s="1"/>
  <c r="BZ139" i="36"/>
  <c r="CT142" i="36"/>
  <c r="DG142" i="36" s="1"/>
  <c r="CV160" i="36"/>
  <c r="DI160" i="36" s="1"/>
  <c r="CT171" i="36"/>
  <c r="DG171" i="36" s="1"/>
  <c r="BX171" i="36"/>
  <c r="CV173" i="36"/>
  <c r="DI173" i="36" s="1"/>
  <c r="BZ173" i="36"/>
  <c r="CU175" i="36"/>
  <c r="DH175" i="36" s="1"/>
  <c r="BY175" i="36"/>
  <c r="CT178" i="36"/>
  <c r="DG178" i="36" s="1"/>
  <c r="BX178" i="36"/>
  <c r="BX143" i="36"/>
  <c r="BZ145" i="36"/>
  <c r="BX149" i="36"/>
  <c r="CV152" i="36"/>
  <c r="DI152" i="36" s="1"/>
  <c r="CU168" i="36"/>
  <c r="DH168" i="36" s="1"/>
  <c r="BY168" i="36"/>
  <c r="BY136" i="36"/>
  <c r="BZ143" i="36"/>
  <c r="BY146" i="36"/>
  <c r="BY156" i="36"/>
  <c r="CV136" i="36"/>
  <c r="DI136" i="36" s="1"/>
  <c r="CU143" i="36"/>
  <c r="DH143" i="36" s="1"/>
  <c r="CT146" i="36"/>
  <c r="DG146" i="36" s="1"/>
  <c r="CT147" i="36"/>
  <c r="DG147" i="36" s="1"/>
  <c r="CT150" i="36"/>
  <c r="DG150" i="36" s="1"/>
  <c r="CT162" i="36"/>
  <c r="DG162" i="36" s="1"/>
  <c r="CV165" i="36"/>
  <c r="DI165" i="36" s="1"/>
  <c r="BZ165" i="36"/>
  <c r="CV168" i="36"/>
  <c r="DI168" i="36" s="1"/>
  <c r="CU200" i="36"/>
  <c r="DH200" i="36" s="1"/>
  <c r="BY200" i="36"/>
  <c r="CU221" i="36"/>
  <c r="DH221" i="36" s="1"/>
  <c r="BY221" i="36"/>
  <c r="CV246" i="36"/>
  <c r="DI246" i="36" s="1"/>
  <c r="BZ246" i="36"/>
  <c r="BZ180" i="36"/>
  <c r="BX187" i="36"/>
  <c r="BZ188" i="36"/>
  <c r="BZ193" i="36"/>
  <c r="CU197" i="36"/>
  <c r="DH197" i="36" s="1"/>
  <c r="BY197" i="36"/>
  <c r="BZ203" i="36"/>
  <c r="BX212" i="36"/>
  <c r="CT212" i="36"/>
  <c r="DG212" i="36" s="1"/>
  <c r="CV219" i="36"/>
  <c r="DI219" i="36" s="1"/>
  <c r="BZ219" i="36"/>
  <c r="BX239" i="36"/>
  <c r="CT239" i="36"/>
  <c r="DG239" i="36" s="1"/>
  <c r="CT192" i="36"/>
  <c r="DG192" i="36" s="1"/>
  <c r="BX192" i="36"/>
  <c r="CV194" i="36"/>
  <c r="DI194" i="36" s="1"/>
  <c r="BZ194" i="36"/>
  <c r="BX194" i="36"/>
  <c r="BZ195" i="36"/>
  <c r="CV195" i="36"/>
  <c r="DI195" i="36" s="1"/>
  <c r="BX195" i="36"/>
  <c r="CV197" i="36"/>
  <c r="DI197" i="36" s="1"/>
  <c r="BZ197" i="36"/>
  <c r="CV207" i="36"/>
  <c r="DI207" i="36" s="1"/>
  <c r="CT217" i="36"/>
  <c r="DG217" i="36" s="1"/>
  <c r="BX217" i="36"/>
  <c r="CU189" i="36"/>
  <c r="DH189" i="36" s="1"/>
  <c r="BY189" i="36"/>
  <c r="CU213" i="36"/>
  <c r="DH213" i="36" s="1"/>
  <c r="BY213" i="36"/>
  <c r="BY176" i="36"/>
  <c r="BX179" i="36"/>
  <c r="BZ181" i="36"/>
  <c r="BX189" i="36"/>
  <c r="BY192" i="36"/>
  <c r="BY199" i="36"/>
  <c r="CV186" i="36"/>
  <c r="DI186" i="36" s="1"/>
  <c r="BZ186" i="36"/>
  <c r="BX186" i="36"/>
  <c r="BZ189" i="36"/>
  <c r="BX184" i="36"/>
  <c r="BY186" i="36"/>
  <c r="CT200" i="36"/>
  <c r="DG200" i="36" s="1"/>
  <c r="BX200" i="36"/>
  <c r="BZ241" i="36"/>
  <c r="CV241" i="36"/>
  <c r="DI241" i="36" s="1"/>
  <c r="BX283" i="36"/>
  <c r="CT283" i="36"/>
  <c r="DG283" i="36" s="1"/>
  <c r="BX299" i="36"/>
  <c r="CT299" i="36"/>
  <c r="DG299" i="36" s="1"/>
  <c r="CU231" i="36"/>
  <c r="DH231" i="36" s="1"/>
  <c r="BY231" i="36"/>
  <c r="BX255" i="36"/>
  <c r="CT255" i="36"/>
  <c r="DG255" i="36" s="1"/>
  <c r="BY256" i="36"/>
  <c r="CU256" i="36"/>
  <c r="DH256" i="36" s="1"/>
  <c r="BZ218" i="36"/>
  <c r="CT229" i="36"/>
  <c r="DG229" i="36" s="1"/>
  <c r="BX229" i="36"/>
  <c r="CU235" i="36"/>
  <c r="DH235" i="36" s="1"/>
  <c r="CU218" i="36"/>
  <c r="DH218" i="36" s="1"/>
  <c r="BX224" i="36"/>
  <c r="BY240" i="36"/>
  <c r="CU240" i="36"/>
  <c r="DH240" i="36" s="1"/>
  <c r="BX243" i="36"/>
  <c r="CT243" i="36"/>
  <c r="DG243" i="36" s="1"/>
  <c r="CV215" i="36"/>
  <c r="DI215" i="36" s="1"/>
  <c r="CV223" i="36"/>
  <c r="DI223" i="36" s="1"/>
  <c r="CU226" i="36"/>
  <c r="DH226" i="36" s="1"/>
  <c r="BY226" i="36"/>
  <c r="BZ261" i="36"/>
  <c r="CV261" i="36"/>
  <c r="DI261" i="36" s="1"/>
  <c r="CU217" i="36"/>
  <c r="DH217" i="36" s="1"/>
  <c r="CT220" i="36"/>
  <c r="DG220" i="36" s="1"/>
  <c r="BY259" i="36"/>
  <c r="CU260" i="36"/>
  <c r="DH260" i="36" s="1"/>
  <c r="CV272" i="36"/>
  <c r="DI272" i="36" s="1"/>
  <c r="BZ272" i="36"/>
  <c r="CU289" i="36"/>
  <c r="DH289" i="36" s="1"/>
  <c r="BY289" i="36"/>
  <c r="BY214" i="36"/>
  <c r="BY222" i="36"/>
  <c r="CT225" i="36"/>
  <c r="DG225" i="36" s="1"/>
  <c r="BZ236" i="36"/>
  <c r="CV236" i="36"/>
  <c r="DI236" i="36" s="1"/>
  <c r="CU236" i="36"/>
  <c r="DH236" i="36" s="1"/>
  <c r="CV238" i="36"/>
  <c r="DI238" i="36" s="1"/>
  <c r="BZ238" i="36"/>
  <c r="BX238" i="36"/>
  <c r="CT244" i="36"/>
  <c r="DG244" i="36" s="1"/>
  <c r="BX244" i="36"/>
  <c r="CT270" i="36"/>
  <c r="DG270" i="36" s="1"/>
  <c r="BX270" i="36"/>
  <c r="CT286" i="36"/>
  <c r="DG286" i="36" s="1"/>
  <c r="BX286" i="36"/>
  <c r="BZ289" i="36"/>
  <c r="CV289" i="36"/>
  <c r="DI289" i="36" s="1"/>
  <c r="CU244" i="36"/>
  <c r="DH244" i="36" s="1"/>
  <c r="CU257" i="36"/>
  <c r="DH257" i="36" s="1"/>
  <c r="BY257" i="36"/>
  <c r="CT268" i="36"/>
  <c r="DG268" i="36" s="1"/>
  <c r="BX268" i="36"/>
  <c r="CV270" i="36"/>
  <c r="DI270" i="36" s="1"/>
  <c r="BZ270" i="36"/>
  <c r="CU272" i="36"/>
  <c r="DH272" i="36" s="1"/>
  <c r="CU279" i="36"/>
  <c r="DH279" i="36" s="1"/>
  <c r="CU286" i="36"/>
  <c r="DH286" i="36" s="1"/>
  <c r="BY286" i="36"/>
  <c r="CU268" i="36"/>
  <c r="DH268" i="36" s="1"/>
  <c r="CT287" i="36"/>
  <c r="DG287" i="36" s="1"/>
  <c r="BX287" i="36"/>
  <c r="BX291" i="36"/>
  <c r="CT291" i="36"/>
  <c r="DG291" i="36" s="1"/>
  <c r="CU241" i="36"/>
  <c r="DH241" i="36" s="1"/>
  <c r="BY241" i="36"/>
  <c r="CT252" i="36"/>
  <c r="DG252" i="36" s="1"/>
  <c r="BX252" i="36"/>
  <c r="CV254" i="36"/>
  <c r="DI254" i="36" s="1"/>
  <c r="BZ254" i="36"/>
  <c r="CV257" i="36"/>
  <c r="DI257" i="36" s="1"/>
  <c r="BY267" i="36"/>
  <c r="CU275" i="36"/>
  <c r="DH275" i="36" s="1"/>
  <c r="CT290" i="36"/>
  <c r="DG290" i="36" s="1"/>
  <c r="CU252" i="36"/>
  <c r="DH252" i="36" s="1"/>
  <c r="CU265" i="36"/>
  <c r="DH265" i="36" s="1"/>
  <c r="BY265" i="36"/>
  <c r="CV269" i="36"/>
  <c r="DI269" i="36" s="1"/>
  <c r="CU274" i="36"/>
  <c r="DH274" i="36" s="1"/>
  <c r="BZ278" i="36"/>
  <c r="CU282" i="36"/>
  <c r="DH282" i="36" s="1"/>
  <c r="BZ325" i="36"/>
  <c r="CV325" i="36"/>
  <c r="DI325" i="36" s="1"/>
  <c r="BZ230" i="36"/>
  <c r="BZ234" i="36"/>
  <c r="CV237" i="36"/>
  <c r="DI237" i="36" s="1"/>
  <c r="BY251" i="36"/>
  <c r="CT263" i="36"/>
  <c r="DG263" i="36" s="1"/>
  <c r="BZ264" i="36"/>
  <c r="BY273" i="36"/>
  <c r="CT276" i="36"/>
  <c r="DG276" i="36" s="1"/>
  <c r="BX276" i="36"/>
  <c r="CU278" i="36"/>
  <c r="DH278" i="36" s="1"/>
  <c r="BY281" i="36"/>
  <c r="CV288" i="36"/>
  <c r="DI288" i="36" s="1"/>
  <c r="BZ288" i="36"/>
  <c r="BX298" i="36"/>
  <c r="CT298" i="36"/>
  <c r="DG298" i="36" s="1"/>
  <c r="CT235" i="36"/>
  <c r="DG235" i="36" s="1"/>
  <c r="CU249" i="36"/>
  <c r="DH249" i="36" s="1"/>
  <c r="BY249" i="36"/>
  <c r="CT251" i="36"/>
  <c r="DG251" i="36" s="1"/>
  <c r="CV253" i="36"/>
  <c r="DI253" i="36" s="1"/>
  <c r="CT260" i="36"/>
  <c r="DG260" i="36" s="1"/>
  <c r="BX260" i="36"/>
  <c r="CV262" i="36"/>
  <c r="DI262" i="36" s="1"/>
  <c r="BZ262" i="36"/>
  <c r="BX262" i="36"/>
  <c r="CU264" i="36"/>
  <c r="DH264" i="36" s="1"/>
  <c r="CV265" i="36"/>
  <c r="DI265" i="36" s="1"/>
  <c r="CT273" i="36"/>
  <c r="DG273" i="36" s="1"/>
  <c r="BZ277" i="36"/>
  <c r="CT281" i="36"/>
  <c r="DG281" i="36" s="1"/>
  <c r="BY284" i="36"/>
  <c r="CU288" i="36"/>
  <c r="DH288" i="36" s="1"/>
  <c r="CT300" i="36"/>
  <c r="DG300" i="36" s="1"/>
  <c r="BX300" i="36"/>
  <c r="CT284" i="36"/>
  <c r="DG284" i="36" s="1"/>
  <c r="BX284" i="36"/>
  <c r="CV286" i="36"/>
  <c r="DI286" i="36" s="1"/>
  <c r="BZ286" i="36"/>
  <c r="BY283" i="36"/>
  <c r="BZ287" i="36"/>
  <c r="CT292" i="36"/>
  <c r="DG292" i="36" s="1"/>
  <c r="BX292" i="36"/>
  <c r="CT320" i="36"/>
  <c r="DG320" i="36" s="1"/>
  <c r="BX320" i="36"/>
  <c r="BZ337" i="36"/>
  <c r="CV337" i="36"/>
  <c r="DI337" i="36" s="1"/>
  <c r="CU299" i="36"/>
  <c r="DH299" i="36" s="1"/>
  <c r="CV300" i="36"/>
  <c r="DI300" i="36" s="1"/>
  <c r="CT302" i="36"/>
  <c r="DG302" i="36" s="1"/>
  <c r="CU303" i="36"/>
  <c r="DH303" i="36" s="1"/>
  <c r="CU304" i="36"/>
  <c r="DH304" i="36" s="1"/>
  <c r="CU307" i="36"/>
  <c r="DH307" i="36" s="1"/>
  <c r="CV308" i="36"/>
  <c r="DI308" i="36" s="1"/>
  <c r="CT310" i="36"/>
  <c r="DG310" i="36" s="1"/>
  <c r="CU311" i="36"/>
  <c r="DH311" i="36" s="1"/>
  <c r="CU312" i="36"/>
  <c r="DH312" i="36" s="1"/>
  <c r="CU315" i="36"/>
  <c r="DH315" i="36" s="1"/>
  <c r="CV316" i="36"/>
  <c r="DI316" i="36" s="1"/>
  <c r="CT319" i="36"/>
  <c r="DG319" i="36" s="1"/>
  <c r="CV322" i="36"/>
  <c r="DI322" i="36" s="1"/>
  <c r="BZ322" i="36"/>
  <c r="CU324" i="36"/>
  <c r="DH324" i="36" s="1"/>
  <c r="BZ346" i="36"/>
  <c r="CV346" i="36"/>
  <c r="DI346" i="36" s="1"/>
  <c r="BX352" i="36"/>
  <c r="CT352" i="36"/>
  <c r="DG352" i="36" s="1"/>
  <c r="CU320" i="36"/>
  <c r="DH320" i="36" s="1"/>
  <c r="CU333" i="36"/>
  <c r="DH333" i="36" s="1"/>
  <c r="BY333" i="36"/>
  <c r="CT331" i="36"/>
  <c r="DG331" i="36" s="1"/>
  <c r="CT336" i="36"/>
  <c r="DG336" i="36" s="1"/>
  <c r="BX336" i="36"/>
  <c r="BZ350" i="36"/>
  <c r="CV350" i="36"/>
  <c r="DI350" i="36" s="1"/>
  <c r="CT328" i="36"/>
  <c r="DG328" i="36" s="1"/>
  <c r="BX328" i="36"/>
  <c r="CV330" i="36"/>
  <c r="DI330" i="36" s="1"/>
  <c r="BZ330" i="36"/>
  <c r="CU332" i="36"/>
  <c r="DH332" i="36" s="1"/>
  <c r="CV333" i="36"/>
  <c r="DI333" i="36" s="1"/>
  <c r="BX355" i="36"/>
  <c r="CT355" i="36"/>
  <c r="DG355" i="36" s="1"/>
  <c r="CU328" i="36"/>
  <c r="DH328" i="36" s="1"/>
  <c r="CT342" i="36"/>
  <c r="DG342" i="36" s="1"/>
  <c r="BX342" i="36"/>
  <c r="BX308" i="36"/>
  <c r="BX316" i="36"/>
  <c r="BY327" i="36"/>
  <c r="CT339" i="36"/>
  <c r="DG339" i="36" s="1"/>
  <c r="BX339" i="36"/>
  <c r="CU342" i="36"/>
  <c r="DH342" i="36" s="1"/>
  <c r="BY342" i="36"/>
  <c r="BX297" i="36"/>
  <c r="BX305" i="36"/>
  <c r="BX313" i="36"/>
  <c r="BY318" i="36"/>
  <c r="CU325" i="36"/>
  <c r="DH325" i="36" s="1"/>
  <c r="BY325" i="36"/>
  <c r="CT327" i="36"/>
  <c r="DG327" i="36" s="1"/>
  <c r="CV329" i="36"/>
  <c r="DI329" i="36" s="1"/>
  <c r="CV342" i="36"/>
  <c r="DI342" i="36" s="1"/>
  <c r="CT347" i="36"/>
  <c r="DG347" i="36" s="1"/>
  <c r="BX347" i="36"/>
  <c r="BZ336" i="36"/>
  <c r="BZ339" i="36"/>
  <c r="CT340" i="36"/>
  <c r="DG340" i="36" s="1"/>
  <c r="CU352" i="36"/>
  <c r="DH352" i="36" s="1"/>
  <c r="BY352" i="36"/>
  <c r="CT361" i="36"/>
  <c r="DG361" i="36" s="1"/>
  <c r="CU344" i="36"/>
  <c r="DH344" i="36" s="1"/>
  <c r="BY344" i="36"/>
  <c r="CT357" i="36"/>
  <c r="DG357" i="36" s="1"/>
  <c r="BX357" i="36"/>
  <c r="CV349" i="36"/>
  <c r="DI349" i="36" s="1"/>
  <c r="BZ349" i="36"/>
  <c r="BX379" i="36"/>
  <c r="CT379" i="36"/>
  <c r="DG379" i="36" s="1"/>
  <c r="CT386" i="36"/>
  <c r="DG386" i="36" s="1"/>
  <c r="BX386" i="36"/>
  <c r="CT377" i="36"/>
  <c r="DG377" i="36" s="1"/>
  <c r="BX377" i="36"/>
  <c r="CU384" i="36"/>
  <c r="DH384" i="36" s="1"/>
  <c r="CU383" i="36"/>
  <c r="DH383" i="36" s="1"/>
  <c r="BY383" i="36"/>
  <c r="CV390" i="36"/>
  <c r="DI390" i="36" s="1"/>
  <c r="BZ390" i="36"/>
  <c r="CU392" i="36"/>
  <c r="DH392" i="36" s="1"/>
  <c r="BY392" i="36"/>
  <c r="BX369" i="36"/>
  <c r="BY370" i="36"/>
  <c r="BX373" i="36"/>
  <c r="BZ375" i="36"/>
  <c r="CU380" i="36"/>
  <c r="DH380" i="36" s="1"/>
  <c r="BY380" i="36"/>
  <c r="BZ398" i="36"/>
  <c r="CV398" i="36"/>
  <c r="DI398" i="36" s="1"/>
  <c r="CU410" i="36"/>
  <c r="DH410" i="36" s="1"/>
  <c r="BY410" i="36"/>
  <c r="CU369" i="36"/>
  <c r="DH369" i="36" s="1"/>
  <c r="CV370" i="36"/>
  <c r="DI370" i="36" s="1"/>
  <c r="CU373" i="36"/>
  <c r="DH373" i="36" s="1"/>
  <c r="BX376" i="36"/>
  <c r="CT376" i="36"/>
  <c r="DG376" i="36" s="1"/>
  <c r="CT378" i="36"/>
  <c r="DG378" i="36" s="1"/>
  <c r="BX378" i="36"/>
  <c r="CT381" i="36"/>
  <c r="DG381" i="36" s="1"/>
  <c r="BX381" i="36"/>
  <c r="CU397" i="36"/>
  <c r="DH397" i="36" s="1"/>
  <c r="BY397" i="36"/>
  <c r="CT404" i="36"/>
  <c r="DG404" i="36" s="1"/>
  <c r="BX404" i="36"/>
  <c r="BX365" i="36"/>
  <c r="CT395" i="36"/>
  <c r="DG395" i="36" s="1"/>
  <c r="BX395" i="36"/>
  <c r="CU405" i="36"/>
  <c r="DH405" i="36" s="1"/>
  <c r="BY405" i="36"/>
  <c r="BX354" i="36"/>
  <c r="BX362" i="36"/>
  <c r="BX371" i="36"/>
  <c r="CU374" i="36"/>
  <c r="DH374" i="36" s="1"/>
  <c r="BY376" i="36"/>
  <c r="CV397" i="36"/>
  <c r="DI397" i="36" s="1"/>
  <c r="BZ397" i="36"/>
  <c r="BY379" i="36"/>
  <c r="BZ392" i="36"/>
  <c r="BY395" i="36"/>
  <c r="BY378" i="36"/>
  <c r="BY381" i="36"/>
  <c r="BZ383" i="36"/>
  <c r="CU393" i="36"/>
  <c r="DH393" i="36" s="1"/>
  <c r="CU403" i="36"/>
  <c r="DH403" i="36" s="1"/>
  <c r="BY403" i="36"/>
  <c r="CV413" i="36"/>
  <c r="DI413" i="36" s="1"/>
  <c r="BZ413" i="36"/>
  <c r="CT436" i="36"/>
  <c r="DG436" i="36" s="1"/>
  <c r="BX436" i="36"/>
  <c r="CV408" i="36"/>
  <c r="DI408" i="36" s="1"/>
  <c r="BZ408" i="36"/>
  <c r="CU402" i="36"/>
  <c r="DH402" i="36" s="1"/>
  <c r="BY402" i="36"/>
  <c r="CV407" i="36"/>
  <c r="DI407" i="36" s="1"/>
  <c r="BZ407" i="36"/>
  <c r="CT416" i="36"/>
  <c r="DG416" i="36" s="1"/>
  <c r="BX384" i="36"/>
  <c r="BY385" i="36"/>
  <c r="CU400" i="36"/>
  <c r="DH400" i="36" s="1"/>
  <c r="BY400" i="36"/>
  <c r="BX406" i="36"/>
  <c r="CU411" i="36"/>
  <c r="DH411" i="36" s="1"/>
  <c r="BY411" i="36"/>
  <c r="CV389" i="36"/>
  <c r="DI389" i="36" s="1"/>
  <c r="BZ389" i="36"/>
  <c r="CV412" i="36"/>
  <c r="DI412" i="36" s="1"/>
  <c r="CV417" i="36"/>
  <c r="DI417" i="36" s="1"/>
  <c r="BZ417" i="36"/>
  <c r="CT418" i="36"/>
  <c r="DG418" i="36" s="1"/>
  <c r="BX418" i="36"/>
  <c r="BY421" i="36"/>
  <c r="CU421" i="36"/>
  <c r="DH421" i="36" s="1"/>
  <c r="CT431" i="36"/>
  <c r="DG431" i="36" s="1"/>
  <c r="BX431" i="36"/>
  <c r="CT415" i="36"/>
  <c r="DG415" i="36" s="1"/>
  <c r="BX415" i="36"/>
  <c r="BX424" i="36"/>
  <c r="CT424" i="36"/>
  <c r="DG424" i="36" s="1"/>
  <c r="CV435" i="36"/>
  <c r="DI435" i="36" s="1"/>
  <c r="BZ435" i="36"/>
  <c r="CU415" i="36"/>
  <c r="DH415" i="36" s="1"/>
  <c r="BY415" i="36"/>
  <c r="CV405" i="36"/>
  <c r="DI405" i="36" s="1"/>
  <c r="BY414" i="36"/>
  <c r="CT426" i="36"/>
  <c r="DG426" i="36" s="1"/>
  <c r="BX426" i="36"/>
  <c r="CT428" i="36"/>
  <c r="DG428" i="36" s="1"/>
  <c r="CV438" i="36"/>
  <c r="DI438" i="36" s="1"/>
  <c r="BZ438" i="36"/>
  <c r="CT439" i="36"/>
  <c r="DG439" i="36" s="1"/>
  <c r="BX439" i="36"/>
  <c r="CU420" i="36"/>
  <c r="DH420" i="36" s="1"/>
  <c r="BY420" i="36"/>
  <c r="CT423" i="36"/>
  <c r="DG423" i="36" s="1"/>
  <c r="BX423" i="36"/>
  <c r="BX433" i="36"/>
  <c r="I511" i="36"/>
  <c r="I507" i="36"/>
  <c r="I499" i="36"/>
  <c r="I495" i="36"/>
  <c r="DL318" i="57"/>
  <c r="DL282" i="57"/>
  <c r="DL313" i="57"/>
  <c r="DL307" i="57"/>
  <c r="DL288" i="57"/>
  <c r="DL252" i="57"/>
  <c r="DL285" i="57"/>
  <c r="DL276" i="57"/>
  <c r="DL279" i="57"/>
  <c r="DL253" i="57"/>
  <c r="DL256" i="57"/>
  <c r="DL238" i="57"/>
  <c r="DL222" i="57"/>
  <c r="DL258" i="57"/>
  <c r="DL237" i="57"/>
  <c r="DL198" i="57"/>
  <c r="DL174" i="57"/>
  <c r="DL210" i="57"/>
  <c r="DL202" i="57"/>
  <c r="DL184" i="57"/>
  <c r="DL207" i="57"/>
  <c r="DL162" i="57"/>
  <c r="DL199" i="57"/>
  <c r="DL112" i="57"/>
  <c r="DL88" i="57"/>
  <c r="DL117" i="57"/>
  <c r="DL189" i="57"/>
  <c r="DL175" i="57"/>
  <c r="DL127" i="57"/>
  <c r="DL121" i="57"/>
  <c r="DL97" i="57"/>
  <c r="DL169" i="57"/>
  <c r="DL153" i="57"/>
  <c r="DL166" i="57"/>
  <c r="DL160" i="57"/>
  <c r="DL142" i="57"/>
  <c r="DL123" i="57"/>
  <c r="CV93" i="57"/>
  <c r="DI93" i="57" s="1"/>
  <c r="BZ93" i="57"/>
  <c r="CV111" i="57"/>
  <c r="DI111" i="57" s="1"/>
  <c r="BZ111" i="57"/>
  <c r="BZ69" i="57"/>
  <c r="CT69" i="57"/>
  <c r="DG69" i="57" s="1"/>
  <c r="DK69" i="57"/>
  <c r="CX73" i="57"/>
  <c r="CX75" i="57"/>
  <c r="CX81" i="57"/>
  <c r="CX82" i="57"/>
  <c r="CT91" i="57"/>
  <c r="DG91" i="57" s="1"/>
  <c r="BX91" i="57"/>
  <c r="CU111" i="57"/>
  <c r="DH111" i="57" s="1"/>
  <c r="DL111" i="57"/>
  <c r="DK114" i="57"/>
  <c r="DL99" i="57"/>
  <c r="CT107" i="57"/>
  <c r="DG107" i="57" s="1"/>
  <c r="BX107" i="57"/>
  <c r="DL78" i="57"/>
  <c r="BX81" i="57"/>
  <c r="DK81" i="57"/>
  <c r="CX84" i="57"/>
  <c r="BX85" i="57"/>
  <c r="CT99" i="57"/>
  <c r="DG99" i="57" s="1"/>
  <c r="BX99" i="57"/>
  <c r="CX100" i="57"/>
  <c r="DK118" i="57"/>
  <c r="CT90" i="57"/>
  <c r="DG90" i="57" s="1"/>
  <c r="DL76" i="57"/>
  <c r="CT74" i="57"/>
  <c r="DG74" i="57" s="1"/>
  <c r="DL75" i="57"/>
  <c r="BY81" i="57"/>
  <c r="CT82" i="57"/>
  <c r="DG82" i="57" s="1"/>
  <c r="DK87" i="57"/>
  <c r="CX90" i="57"/>
  <c r="DK90" i="57"/>
  <c r="BX92" i="57"/>
  <c r="CX94" i="57"/>
  <c r="CT98" i="57"/>
  <c r="DG98" i="57" s="1"/>
  <c r="CT106" i="57"/>
  <c r="DG106" i="57" s="1"/>
  <c r="DL118" i="57"/>
  <c r="CT70" i="57"/>
  <c r="DG70" i="57" s="1"/>
  <c r="BY75" i="57"/>
  <c r="BX76" i="57"/>
  <c r="BX71" i="57"/>
  <c r="CX316" i="57"/>
  <c r="CX313" i="57"/>
  <c r="CX318" i="57"/>
  <c r="CX297" i="57"/>
  <c r="CX289" i="57"/>
  <c r="CX310" i="57"/>
  <c r="CX307" i="57"/>
  <c r="CX306" i="57"/>
  <c r="CX294" i="57"/>
  <c r="CX286" i="57"/>
  <c r="CX312" i="57"/>
  <c r="CX309" i="57"/>
  <c r="CX291" i="57"/>
  <c r="CX304" i="57"/>
  <c r="CX315" i="57"/>
  <c r="CX298" i="57"/>
  <c r="CX282" i="57"/>
  <c r="CX303" i="57"/>
  <c r="CX295" i="57"/>
  <c r="CX288" i="57"/>
  <c r="CX267" i="57"/>
  <c r="CX259" i="57"/>
  <c r="CX243" i="57"/>
  <c r="CX235" i="57"/>
  <c r="CX285" i="57"/>
  <c r="CX277" i="57"/>
  <c r="CX264" i="57"/>
  <c r="CX256" i="57"/>
  <c r="CX261" i="57"/>
  <c r="CX253" i="57"/>
  <c r="CX301" i="57"/>
  <c r="CX280" i="57"/>
  <c r="CX274" i="57"/>
  <c r="CX292" i="57"/>
  <c r="CX276" i="57"/>
  <c r="CX268" i="57"/>
  <c r="CX300" i="57"/>
  <c r="CX283" i="57"/>
  <c r="CX279" i="57"/>
  <c r="CX270" i="57"/>
  <c r="CX232" i="57"/>
  <c r="CX216" i="57"/>
  <c r="CX208" i="57"/>
  <c r="CX265" i="57"/>
  <c r="CX229" i="57"/>
  <c r="CX213" i="57"/>
  <c r="CX271" i="57"/>
  <c r="CX228" i="57"/>
  <c r="CX220" i="57"/>
  <c r="CX262" i="57"/>
  <c r="CX258" i="57"/>
  <c r="CX247" i="57"/>
  <c r="CX237" i="57"/>
  <c r="CX192" i="57"/>
  <c r="CX184" i="57"/>
  <c r="CX255" i="57"/>
  <c r="CX231" i="57"/>
  <c r="CX205" i="57"/>
  <c r="CX189" i="57"/>
  <c r="CX181" i="57"/>
  <c r="CX214" i="57"/>
  <c r="CX211" i="57"/>
  <c r="CX202" i="57"/>
  <c r="CX244" i="57"/>
  <c r="CX234" i="57"/>
  <c r="CX273" i="57"/>
  <c r="CX252" i="57"/>
  <c r="CX249" i="57"/>
  <c r="CX226" i="57"/>
  <c r="CX201" i="57"/>
  <c r="CX193" i="57"/>
  <c r="CX250" i="57"/>
  <c r="CX241" i="57"/>
  <c r="CX240" i="57"/>
  <c r="CX238" i="57"/>
  <c r="CX225" i="57"/>
  <c r="CX219" i="57"/>
  <c r="CX210" i="57"/>
  <c r="CX199" i="57"/>
  <c r="CX196" i="57"/>
  <c r="CX223" i="57"/>
  <c r="CX195" i="57"/>
  <c r="CX207" i="57"/>
  <c r="CX198" i="57"/>
  <c r="CX246" i="57"/>
  <c r="CX222" i="57"/>
  <c r="CX190" i="57"/>
  <c r="CX186" i="57"/>
  <c r="CX175" i="57"/>
  <c r="CX169" i="57"/>
  <c r="CX153" i="57"/>
  <c r="CX145" i="57"/>
  <c r="CX217" i="57"/>
  <c r="CX135" i="57"/>
  <c r="CX127" i="57"/>
  <c r="CX111" i="57"/>
  <c r="CX103" i="57"/>
  <c r="CX87" i="57"/>
  <c r="CX132" i="57"/>
  <c r="CX124" i="57"/>
  <c r="CX108" i="57"/>
  <c r="CX180" i="57"/>
  <c r="CX177" i="57"/>
  <c r="CX174" i="57"/>
  <c r="CX172" i="57"/>
  <c r="CX171" i="57"/>
  <c r="CX166" i="57"/>
  <c r="CX163" i="57"/>
  <c r="CX162" i="57"/>
  <c r="CX156" i="57"/>
  <c r="CX154" i="57"/>
  <c r="CX150" i="57"/>
  <c r="CX148" i="57"/>
  <c r="CX147" i="57"/>
  <c r="CX129" i="57"/>
  <c r="CX121" i="57"/>
  <c r="CX105" i="57"/>
  <c r="CX97" i="57"/>
  <c r="CX168" i="57"/>
  <c r="CX165" i="57"/>
  <c r="CX160" i="57"/>
  <c r="CX159" i="57"/>
  <c r="CX157" i="57"/>
  <c r="CX151" i="57"/>
  <c r="CX144" i="57"/>
  <c r="CX142" i="57"/>
  <c r="CX126" i="57"/>
  <c r="CX183" i="57"/>
  <c r="CX178" i="57"/>
  <c r="CX139" i="57"/>
  <c r="CX123" i="57"/>
  <c r="CX115" i="57"/>
  <c r="CX136" i="57"/>
  <c r="CX120" i="57"/>
  <c r="CX112" i="57"/>
  <c r="CX96" i="57"/>
  <c r="CX88" i="57"/>
  <c r="CX187" i="57"/>
  <c r="CX141" i="57"/>
  <c r="CX133" i="57"/>
  <c r="CX204" i="57"/>
  <c r="CX138" i="57"/>
  <c r="CX130" i="57"/>
  <c r="DK309" i="57"/>
  <c r="DK313" i="57"/>
  <c r="DK301" i="57"/>
  <c r="DK285" i="57"/>
  <c r="DK277" i="57"/>
  <c r="DK318" i="57"/>
  <c r="DK316" i="57"/>
  <c r="DK298" i="57"/>
  <c r="DK282" i="57"/>
  <c r="DK303" i="57"/>
  <c r="DK295" i="57"/>
  <c r="DK315" i="57"/>
  <c r="DK294" i="57"/>
  <c r="DK286" i="57"/>
  <c r="DK306" i="57"/>
  <c r="DK291" i="57"/>
  <c r="DK312" i="57"/>
  <c r="DK310" i="57"/>
  <c r="DK307" i="57"/>
  <c r="DK304" i="57"/>
  <c r="DK297" i="57"/>
  <c r="DK292" i="57"/>
  <c r="DK289" i="57"/>
  <c r="DK283" i="57"/>
  <c r="DK271" i="57"/>
  <c r="DK255" i="57"/>
  <c r="DK247" i="57"/>
  <c r="DK300" i="57"/>
  <c r="DK288" i="57"/>
  <c r="DK280" i="57"/>
  <c r="DK268" i="57"/>
  <c r="DK252" i="57"/>
  <c r="DK273" i="57"/>
  <c r="DK265" i="57"/>
  <c r="DK249" i="57"/>
  <c r="DK270" i="57"/>
  <c r="DK262" i="57"/>
  <c r="DK276" i="57"/>
  <c r="DK264" i="57"/>
  <c r="DK279" i="57"/>
  <c r="DK258" i="57"/>
  <c r="DK250" i="57"/>
  <c r="DK253" i="57"/>
  <c r="DK228" i="57"/>
  <c r="DK220" i="57"/>
  <c r="DK267" i="57"/>
  <c r="DK256" i="57"/>
  <c r="DK225" i="57"/>
  <c r="DK217" i="57"/>
  <c r="DK274" i="57"/>
  <c r="DK232" i="57"/>
  <c r="DK216" i="57"/>
  <c r="DK259" i="57"/>
  <c r="DK240" i="57"/>
  <c r="DK238" i="57"/>
  <c r="DK204" i="57"/>
  <c r="DK196" i="57"/>
  <c r="DK180" i="57"/>
  <c r="DK237" i="57"/>
  <c r="DK231" i="57"/>
  <c r="DK211" i="57"/>
  <c r="DK201" i="57"/>
  <c r="DK193" i="57"/>
  <c r="DK177" i="57"/>
  <c r="DK235" i="57"/>
  <c r="DK214" i="57"/>
  <c r="DK234" i="57"/>
  <c r="DK229" i="57"/>
  <c r="DK207" i="57"/>
  <c r="DK189" i="57"/>
  <c r="DK261" i="57"/>
  <c r="DK246" i="57"/>
  <c r="DK241" i="57"/>
  <c r="DK243" i="57"/>
  <c r="DK199" i="57"/>
  <c r="DK244" i="57"/>
  <c r="DK222" i="57"/>
  <c r="DK195" i="57"/>
  <c r="DK198" i="57"/>
  <c r="DK184" i="57"/>
  <c r="DK223" i="57"/>
  <c r="DK190" i="57"/>
  <c r="DK165" i="57"/>
  <c r="DK157" i="57"/>
  <c r="DK226" i="57"/>
  <c r="DK210" i="57"/>
  <c r="DK183" i="57"/>
  <c r="DK174" i="57"/>
  <c r="DK171" i="57"/>
  <c r="DK168" i="57"/>
  <c r="DK166" i="57"/>
  <c r="DK163" i="57"/>
  <c r="DK160" i="57"/>
  <c r="DK159" i="57"/>
  <c r="DK151" i="57"/>
  <c r="DK150" i="57"/>
  <c r="DK147" i="57"/>
  <c r="DK144" i="57"/>
  <c r="DK142" i="57"/>
  <c r="DK139" i="57"/>
  <c r="DK123" i="57"/>
  <c r="DK115" i="57"/>
  <c r="DK99" i="57"/>
  <c r="DK91" i="57"/>
  <c r="DK187" i="57"/>
  <c r="DK136" i="57"/>
  <c r="DK120" i="57"/>
  <c r="DK112" i="57"/>
  <c r="DK205" i="57"/>
  <c r="DK141" i="57"/>
  <c r="DK133" i="57"/>
  <c r="DK117" i="57"/>
  <c r="DK109" i="57"/>
  <c r="DK93" i="57"/>
  <c r="DK85" i="57"/>
  <c r="DK219" i="57"/>
  <c r="DK138" i="57"/>
  <c r="DK130" i="57"/>
  <c r="DK213" i="57"/>
  <c r="DK175" i="57"/>
  <c r="DK135" i="57"/>
  <c r="DK127" i="57"/>
  <c r="DK111" i="57"/>
  <c r="DK202" i="57"/>
  <c r="DK192" i="57"/>
  <c r="DK132" i="57"/>
  <c r="DK124" i="57"/>
  <c r="DK108" i="57"/>
  <c r="DK100" i="57"/>
  <c r="DK84" i="57"/>
  <c r="DK76" i="57"/>
  <c r="DK208" i="57"/>
  <c r="DK186" i="57"/>
  <c r="DK178" i="57"/>
  <c r="DK129" i="57"/>
  <c r="DK121" i="57"/>
  <c r="DK181" i="57"/>
  <c r="DK172" i="57"/>
  <c r="DK169" i="57"/>
  <c r="DK162" i="57"/>
  <c r="DK156" i="57"/>
  <c r="DK154" i="57"/>
  <c r="DK153" i="57"/>
  <c r="DK148" i="57"/>
  <c r="DK145" i="57"/>
  <c r="DK126" i="57"/>
  <c r="CX72" i="57"/>
  <c r="DL87" i="57"/>
  <c r="DL94" i="57"/>
  <c r="DK97" i="57"/>
  <c r="BY105" i="57"/>
  <c r="DL108" i="57"/>
  <c r="CX109" i="57"/>
  <c r="DL115" i="57"/>
  <c r="CT117" i="57"/>
  <c r="DG117" i="57" s="1"/>
  <c r="BX117" i="57"/>
  <c r="CU123" i="57"/>
  <c r="DH123" i="57" s="1"/>
  <c r="CT126" i="57"/>
  <c r="DG126" i="57" s="1"/>
  <c r="CT134" i="57"/>
  <c r="DG134" i="57" s="1"/>
  <c r="CT142" i="57"/>
  <c r="DG142" i="57" s="1"/>
  <c r="BY147" i="57"/>
  <c r="BY183" i="57"/>
  <c r="CU183" i="57"/>
  <c r="DH183" i="57" s="1"/>
  <c r="BX186" i="57"/>
  <c r="CT186" i="57"/>
  <c r="DG186" i="57" s="1"/>
  <c r="BZ225" i="57"/>
  <c r="CV225" i="57"/>
  <c r="DI225" i="57" s="1"/>
  <c r="BX207" i="57"/>
  <c r="CT207" i="57"/>
  <c r="DG207" i="57" s="1"/>
  <c r="BY231" i="57"/>
  <c r="CU231" i="57"/>
  <c r="DH231" i="57" s="1"/>
  <c r="CV165" i="57"/>
  <c r="DI165" i="57" s="1"/>
  <c r="BY177" i="57"/>
  <c r="CT180" i="57"/>
  <c r="DG180" i="57" s="1"/>
  <c r="BX180" i="57"/>
  <c r="BY201" i="57"/>
  <c r="BX215" i="57"/>
  <c r="CT215" i="57"/>
  <c r="DG215" i="57" s="1"/>
  <c r="CT241" i="57"/>
  <c r="DG241" i="57" s="1"/>
  <c r="BX241" i="57"/>
  <c r="BX125" i="57"/>
  <c r="BX133" i="57"/>
  <c r="BZ135" i="57"/>
  <c r="CT202" i="57"/>
  <c r="DG202" i="57" s="1"/>
  <c r="BX115" i="57"/>
  <c r="BZ117" i="57"/>
  <c r="BX123" i="57"/>
  <c r="BX131" i="57"/>
  <c r="BX139" i="57"/>
  <c r="BZ141" i="57"/>
  <c r="BZ189" i="57"/>
  <c r="CV189" i="57"/>
  <c r="DI189" i="57" s="1"/>
  <c r="BX179" i="57"/>
  <c r="CT195" i="57"/>
  <c r="DG195" i="57" s="1"/>
  <c r="CT199" i="57"/>
  <c r="DG199" i="57" s="1"/>
  <c r="CT175" i="57"/>
  <c r="DG175" i="57" s="1"/>
  <c r="BX183" i="57"/>
  <c r="CT183" i="57"/>
  <c r="DG183" i="57" s="1"/>
  <c r="CU195" i="57"/>
  <c r="DH195" i="57" s="1"/>
  <c r="BY219" i="57"/>
  <c r="CU219" i="57"/>
  <c r="DH219" i="57" s="1"/>
  <c r="BX226" i="57"/>
  <c r="CT226" i="57"/>
  <c r="DG226" i="57" s="1"/>
  <c r="CT203" i="57"/>
  <c r="DG203" i="57" s="1"/>
  <c r="BY207" i="57"/>
  <c r="CU207" i="57"/>
  <c r="DH207" i="57" s="1"/>
  <c r="CV219" i="57"/>
  <c r="DI219" i="57" s="1"/>
  <c r="BZ219" i="57"/>
  <c r="BX222" i="57"/>
  <c r="CT222" i="57"/>
  <c r="DG222" i="57" s="1"/>
  <c r="CT204" i="57"/>
  <c r="DG204" i="57" s="1"/>
  <c r="BX204" i="57"/>
  <c r="CV249" i="57"/>
  <c r="DI249" i="57" s="1"/>
  <c r="BZ249" i="57"/>
  <c r="CT270" i="57"/>
  <c r="DG270" i="57" s="1"/>
  <c r="BX270" i="57"/>
  <c r="CT231" i="57"/>
  <c r="DG231" i="57" s="1"/>
  <c r="CU243" i="57"/>
  <c r="DH243" i="57" s="1"/>
  <c r="CT262" i="57"/>
  <c r="DG262" i="57" s="1"/>
  <c r="BX262" i="57"/>
  <c r="CU267" i="57"/>
  <c r="DH267" i="57" s="1"/>
  <c r="BY267" i="57"/>
  <c r="BX242" i="57"/>
  <c r="CT223" i="57"/>
  <c r="DG223" i="57" s="1"/>
  <c r="BX233" i="57"/>
  <c r="CT263" i="57"/>
  <c r="DG263" i="57" s="1"/>
  <c r="BX263" i="57"/>
  <c r="CV273" i="57"/>
  <c r="DI273" i="57" s="1"/>
  <c r="BZ273" i="57"/>
  <c r="CT277" i="57"/>
  <c r="DG277" i="57" s="1"/>
  <c r="BX277" i="57"/>
  <c r="CT301" i="57"/>
  <c r="DG301" i="57" s="1"/>
  <c r="BX301" i="57"/>
  <c r="BX265" i="57"/>
  <c r="CT255" i="57"/>
  <c r="DG255" i="57" s="1"/>
  <c r="BX255" i="57"/>
  <c r="BZ267" i="57"/>
  <c r="CU255" i="57"/>
  <c r="DH255" i="57" s="1"/>
  <c r="CT271" i="57"/>
  <c r="DG271" i="57" s="1"/>
  <c r="BX271" i="57"/>
  <c r="CT293" i="57"/>
  <c r="DG293" i="57" s="1"/>
  <c r="BX293" i="57"/>
  <c r="BX291" i="57"/>
  <c r="CT291" i="57"/>
  <c r="DG291" i="57" s="1"/>
  <c r="BZ285" i="57"/>
  <c r="CV285" i="57"/>
  <c r="DI285" i="57" s="1"/>
  <c r="CU285" i="57"/>
  <c r="DH285" i="57" s="1"/>
  <c r="BZ279" i="57"/>
  <c r="CT284" i="57"/>
  <c r="DG284" i="57" s="1"/>
  <c r="CT300" i="57"/>
  <c r="DG300" i="57" s="1"/>
  <c r="BX278" i="57"/>
  <c r="CV303" i="57"/>
  <c r="DI303" i="57" s="1"/>
  <c r="BZ303" i="57"/>
  <c r="CT320" i="57"/>
  <c r="DG320" i="57" s="1"/>
  <c r="BX320" i="57"/>
  <c r="CT307" i="57"/>
  <c r="DG307" i="57" s="1"/>
  <c r="BY309" i="57"/>
  <c r="CT319" i="57"/>
  <c r="DG319" i="57" s="1"/>
  <c r="CT315" i="57"/>
  <c r="DG315" i="57" s="1"/>
  <c r="CU315" i="57"/>
  <c r="DH315" i="57" s="1"/>
  <c r="CT323" i="57"/>
  <c r="DG323" i="57" s="1"/>
  <c r="BX327" i="57"/>
  <c r="BX328" i="57"/>
  <c r="BX329" i="57"/>
  <c r="BX339" i="57"/>
  <c r="CT377" i="57"/>
  <c r="DG377" i="57" s="1"/>
  <c r="BX377" i="57"/>
  <c r="CT333" i="57"/>
  <c r="DG333" i="57" s="1"/>
  <c r="CT395" i="57"/>
  <c r="DG395" i="57" s="1"/>
  <c r="BX395" i="57"/>
  <c r="BX341" i="57"/>
  <c r="BX382" i="57"/>
  <c r="CT382" i="57"/>
  <c r="DG382" i="57" s="1"/>
  <c r="CT398" i="57"/>
  <c r="DG398" i="57" s="1"/>
  <c r="BX398" i="57"/>
  <c r="BX370" i="57"/>
  <c r="CT370" i="57"/>
  <c r="DG370" i="57" s="1"/>
  <c r="CT364" i="57"/>
  <c r="DG364" i="57" s="1"/>
  <c r="BX364" i="57"/>
  <c r="CT383" i="57"/>
  <c r="DG383" i="57" s="1"/>
  <c r="BX383" i="57"/>
  <c r="CT380" i="57"/>
  <c r="DG380" i="57" s="1"/>
  <c r="BX380" i="57"/>
  <c r="BX393" i="57"/>
  <c r="BX369" i="57"/>
  <c r="CT369" i="57"/>
  <c r="DG369" i="57" s="1"/>
  <c r="BX390" i="57"/>
  <c r="CT390" i="57"/>
  <c r="DG390" i="57" s="1"/>
  <c r="BX399" i="57"/>
  <c r="CT399" i="57"/>
  <c r="DG399" i="57" s="1"/>
  <c r="BX440" i="57"/>
  <c r="CT440" i="57"/>
  <c r="DG440" i="57" s="1"/>
  <c r="BX361" i="57"/>
  <c r="CT361" i="57"/>
  <c r="DG361" i="57" s="1"/>
  <c r="CT372" i="57"/>
  <c r="DG372" i="57" s="1"/>
  <c r="BX372" i="57"/>
  <c r="CT417" i="57"/>
  <c r="DG417" i="57" s="1"/>
  <c r="BX417" i="57"/>
  <c r="CT378" i="57"/>
  <c r="DG378" i="57" s="1"/>
  <c r="BX378" i="57"/>
  <c r="CT385" i="57"/>
  <c r="DG385" i="57" s="1"/>
  <c r="BX385" i="57"/>
  <c r="CT386" i="57"/>
  <c r="DG386" i="57" s="1"/>
  <c r="BX386" i="57"/>
  <c r="CT408" i="57"/>
  <c r="DG408" i="57" s="1"/>
  <c r="BX408" i="57"/>
  <c r="CT434" i="57"/>
  <c r="DG434" i="57" s="1"/>
  <c r="BX434" i="57"/>
  <c r="CT406" i="57"/>
  <c r="DG406" i="57" s="1"/>
  <c r="BX406" i="57"/>
  <c r="CT426" i="57"/>
  <c r="DG426" i="57" s="1"/>
  <c r="BX426" i="57"/>
  <c r="BX431" i="57"/>
  <c r="CT431" i="57"/>
  <c r="DG431" i="57" s="1"/>
  <c r="BX420" i="57"/>
  <c r="BX423" i="57"/>
  <c r="CT423" i="57"/>
  <c r="DG423" i="57" s="1"/>
  <c r="I480" i="57"/>
  <c r="I513" i="57"/>
  <c r="I557" i="57"/>
  <c r="I481" i="57"/>
  <c r="I482" i="57"/>
  <c r="I548" i="57"/>
  <c r="E166" i="102"/>
  <c r="E165" i="102"/>
  <c r="E164" i="102"/>
  <c r="E163" i="102"/>
  <c r="E162" i="102"/>
  <c r="E161" i="102"/>
  <c r="E160" i="102"/>
  <c r="E159" i="102"/>
  <c r="E158" i="102"/>
  <c r="E157" i="102"/>
  <c r="E156" i="102"/>
  <c r="E155" i="102"/>
  <c r="B122" i="102"/>
  <c r="T121" i="102"/>
  <c r="S121" i="102"/>
  <c r="R121" i="102"/>
  <c r="Q121" i="102"/>
  <c r="P121" i="102"/>
  <c r="O121" i="102"/>
  <c r="N121" i="102"/>
  <c r="M121" i="102"/>
  <c r="L121" i="102"/>
  <c r="K121" i="102"/>
  <c r="G121" i="102"/>
  <c r="F121" i="102"/>
  <c r="E121" i="102"/>
  <c r="D121" i="102"/>
  <c r="C121" i="102"/>
  <c r="T120" i="102"/>
  <c r="S120" i="102"/>
  <c r="R120" i="102"/>
  <c r="Q120" i="102"/>
  <c r="P120" i="102"/>
  <c r="O120" i="102"/>
  <c r="N120" i="102"/>
  <c r="M120" i="102"/>
  <c r="L120" i="102"/>
  <c r="K120" i="102"/>
  <c r="G120" i="102"/>
  <c r="F120" i="102"/>
  <c r="E120" i="102"/>
  <c r="D120" i="102"/>
  <c r="C120" i="102"/>
  <c r="T119" i="102"/>
  <c r="S119" i="102"/>
  <c r="R119" i="102"/>
  <c r="Q119" i="102"/>
  <c r="P119" i="102"/>
  <c r="O119" i="102"/>
  <c r="N119" i="102"/>
  <c r="M119" i="102"/>
  <c r="L119" i="102"/>
  <c r="K119" i="102"/>
  <c r="G119" i="102"/>
  <c r="F119" i="102"/>
  <c r="E119" i="102"/>
  <c r="D119" i="102"/>
  <c r="C119" i="102"/>
  <c r="T118" i="102"/>
  <c r="S118" i="102"/>
  <c r="R118" i="102"/>
  <c r="Q118" i="102"/>
  <c r="P118" i="102"/>
  <c r="O118" i="102"/>
  <c r="N118" i="102"/>
  <c r="M118" i="102"/>
  <c r="L118" i="102"/>
  <c r="K118" i="102"/>
  <c r="G118" i="102"/>
  <c r="F118" i="102"/>
  <c r="E118" i="102"/>
  <c r="D118" i="102"/>
  <c r="C118" i="102"/>
  <c r="T117" i="102"/>
  <c r="S117" i="102"/>
  <c r="R117" i="102"/>
  <c r="Q117" i="102"/>
  <c r="P117" i="102"/>
  <c r="O117" i="102"/>
  <c r="N117" i="102"/>
  <c r="M117" i="102"/>
  <c r="L117" i="102"/>
  <c r="K117" i="102"/>
  <c r="G117" i="102"/>
  <c r="F117" i="102"/>
  <c r="E117" i="102"/>
  <c r="D117" i="102"/>
  <c r="C117" i="102"/>
  <c r="T116" i="102"/>
  <c r="S116" i="102"/>
  <c r="R116" i="102"/>
  <c r="Q116" i="102"/>
  <c r="P116" i="102"/>
  <c r="O116" i="102"/>
  <c r="N116" i="102"/>
  <c r="M116" i="102"/>
  <c r="L116" i="102"/>
  <c r="K116" i="102"/>
  <c r="G116" i="102"/>
  <c r="F116" i="102"/>
  <c r="E116" i="102"/>
  <c r="D116" i="102"/>
  <c r="C116" i="102"/>
  <c r="T115" i="102"/>
  <c r="S115" i="102"/>
  <c r="R115" i="102"/>
  <c r="Q115" i="102"/>
  <c r="P115" i="102"/>
  <c r="O115" i="102"/>
  <c r="N115" i="102"/>
  <c r="M115" i="102"/>
  <c r="L115" i="102"/>
  <c r="K115" i="102"/>
  <c r="G115" i="102"/>
  <c r="F115" i="102"/>
  <c r="E115" i="102"/>
  <c r="D115" i="102"/>
  <c r="C115" i="102"/>
  <c r="T114" i="102"/>
  <c r="S114" i="102"/>
  <c r="R114" i="102"/>
  <c r="Q114" i="102"/>
  <c r="P114" i="102"/>
  <c r="O114" i="102"/>
  <c r="N114" i="102"/>
  <c r="M114" i="102"/>
  <c r="L114" i="102"/>
  <c r="K114" i="102"/>
  <c r="G114" i="102"/>
  <c r="F114" i="102"/>
  <c r="E114" i="102"/>
  <c r="D114" i="102"/>
  <c r="C114" i="102"/>
  <c r="T113" i="102"/>
  <c r="S113" i="102"/>
  <c r="R113" i="102"/>
  <c r="Q113" i="102"/>
  <c r="P113" i="102"/>
  <c r="O113" i="102"/>
  <c r="N113" i="102"/>
  <c r="M113" i="102"/>
  <c r="L113" i="102"/>
  <c r="K113" i="102"/>
  <c r="G113" i="102"/>
  <c r="F113" i="102"/>
  <c r="E113" i="102"/>
  <c r="D113" i="102"/>
  <c r="C113" i="102"/>
  <c r="T112" i="102"/>
  <c r="S112" i="102"/>
  <c r="R112" i="102"/>
  <c r="Q112" i="102"/>
  <c r="P112" i="102"/>
  <c r="O112" i="102"/>
  <c r="N112" i="102"/>
  <c r="M112" i="102"/>
  <c r="L112" i="102"/>
  <c r="K112" i="102"/>
  <c r="G112" i="102"/>
  <c r="F112" i="102"/>
  <c r="E112" i="102"/>
  <c r="D112" i="102"/>
  <c r="C112" i="102"/>
  <c r="T111" i="102"/>
  <c r="S111" i="102"/>
  <c r="R111" i="102"/>
  <c r="Q111" i="102"/>
  <c r="P111" i="102"/>
  <c r="O111" i="102"/>
  <c r="N111" i="102"/>
  <c r="M111" i="102"/>
  <c r="L111" i="102"/>
  <c r="K111" i="102"/>
  <c r="G111" i="102"/>
  <c r="F111" i="102"/>
  <c r="E111" i="102"/>
  <c r="D111" i="102"/>
  <c r="C111" i="102"/>
  <c r="T110" i="102"/>
  <c r="S110" i="102"/>
  <c r="R110" i="102"/>
  <c r="Q110" i="102"/>
  <c r="P110" i="102"/>
  <c r="O110" i="102"/>
  <c r="N110" i="102"/>
  <c r="M110" i="102"/>
  <c r="L110" i="102"/>
  <c r="K110" i="102"/>
  <c r="G110" i="102"/>
  <c r="F110" i="102"/>
  <c r="E110" i="102"/>
  <c r="D110" i="102"/>
  <c r="C110" i="102"/>
  <c r="T106" i="102"/>
  <c r="S106" i="102"/>
  <c r="R106" i="102"/>
  <c r="Q106" i="102"/>
  <c r="P106" i="102"/>
  <c r="O106" i="102"/>
  <c r="N106" i="102"/>
  <c r="M106" i="102"/>
  <c r="L106" i="102"/>
  <c r="K106" i="102"/>
  <c r="G106" i="102"/>
  <c r="F106" i="102"/>
  <c r="E106" i="102"/>
  <c r="D106" i="102"/>
  <c r="C106" i="102"/>
  <c r="T105" i="102"/>
  <c r="S105" i="102"/>
  <c r="R105" i="102"/>
  <c r="Q105" i="102"/>
  <c r="P105" i="102"/>
  <c r="O105" i="102"/>
  <c r="N105" i="102"/>
  <c r="M105" i="102"/>
  <c r="L105" i="102"/>
  <c r="K105" i="102"/>
  <c r="G105" i="102"/>
  <c r="F105" i="102"/>
  <c r="E105" i="102"/>
  <c r="D105" i="102"/>
  <c r="C105" i="102"/>
  <c r="C99" i="102"/>
  <c r="T60" i="102"/>
  <c r="S60" i="102"/>
  <c r="R60" i="102"/>
  <c r="Q60" i="102"/>
  <c r="P60" i="102"/>
  <c r="O60" i="102"/>
  <c r="N60" i="102"/>
  <c r="M60" i="102"/>
  <c r="L60" i="102"/>
  <c r="K60" i="102"/>
  <c r="G60" i="102"/>
  <c r="F60" i="102"/>
  <c r="E60" i="102"/>
  <c r="D60" i="102"/>
  <c r="C60" i="102"/>
  <c r="T59" i="102"/>
  <c r="T64" i="102" s="1"/>
  <c r="S59" i="102"/>
  <c r="S64" i="102" s="1"/>
  <c r="R59" i="102"/>
  <c r="R64" i="102" s="1"/>
  <c r="Q59" i="102"/>
  <c r="Q64" i="102" s="1"/>
  <c r="P59" i="102"/>
  <c r="P64" i="102" s="1"/>
  <c r="O59" i="102"/>
  <c r="O64" i="102" s="1"/>
  <c r="N59" i="102"/>
  <c r="N64" i="102" s="1"/>
  <c r="M59" i="102"/>
  <c r="M64" i="102" s="1"/>
  <c r="L59" i="102"/>
  <c r="L64" i="102" s="1"/>
  <c r="K59" i="102"/>
  <c r="K64" i="102" s="1"/>
  <c r="G59" i="102"/>
  <c r="G64" i="102" s="1"/>
  <c r="F59" i="102"/>
  <c r="F64" i="102" s="1"/>
  <c r="E59" i="102"/>
  <c r="E64" i="102" s="1"/>
  <c r="D59" i="102"/>
  <c r="D64" i="102" s="1"/>
  <c r="C59" i="102"/>
  <c r="C64" i="102" s="1"/>
  <c r="T58" i="102"/>
  <c r="S58" i="102"/>
  <c r="R58" i="102"/>
  <c r="Q58" i="102"/>
  <c r="P58" i="102"/>
  <c r="O58" i="102"/>
  <c r="N58" i="102"/>
  <c r="M58" i="102"/>
  <c r="L58" i="102"/>
  <c r="K58" i="102"/>
  <c r="G58" i="102"/>
  <c r="F58" i="102"/>
  <c r="E58" i="102"/>
  <c r="D58" i="102"/>
  <c r="C58" i="102"/>
  <c r="T57" i="102"/>
  <c r="S57" i="102"/>
  <c r="R57" i="102"/>
  <c r="Q57" i="102"/>
  <c r="P57" i="102"/>
  <c r="O57" i="102"/>
  <c r="N57" i="102"/>
  <c r="M57" i="102"/>
  <c r="L57" i="102"/>
  <c r="K57" i="102"/>
  <c r="G57" i="102"/>
  <c r="F57" i="102"/>
  <c r="E57" i="102"/>
  <c r="D57" i="102"/>
  <c r="C57" i="102"/>
  <c r="T56" i="102"/>
  <c r="S56" i="102"/>
  <c r="R56" i="102"/>
  <c r="Q56" i="102"/>
  <c r="P56" i="102"/>
  <c r="O56" i="102"/>
  <c r="N56" i="102"/>
  <c r="M56" i="102"/>
  <c r="L56" i="102"/>
  <c r="K56" i="102"/>
  <c r="G56" i="102"/>
  <c r="F56" i="102"/>
  <c r="D56" i="102"/>
  <c r="C56" i="102"/>
  <c r="T55" i="102"/>
  <c r="T62" i="102" s="1"/>
  <c r="S55" i="102"/>
  <c r="S62" i="102" s="1"/>
  <c r="R55" i="102"/>
  <c r="R62" i="102" s="1"/>
  <c r="Q55" i="102"/>
  <c r="Q62" i="102" s="1"/>
  <c r="P55" i="102"/>
  <c r="P62" i="102" s="1"/>
  <c r="O55" i="102"/>
  <c r="O62" i="102" s="1"/>
  <c r="N55" i="102"/>
  <c r="N62" i="102" s="1"/>
  <c r="M55" i="102"/>
  <c r="M62" i="102" s="1"/>
  <c r="L55" i="102"/>
  <c r="L62" i="102" s="1"/>
  <c r="K55" i="102"/>
  <c r="K62" i="102" s="1"/>
  <c r="G55" i="102"/>
  <c r="G62" i="102" s="1"/>
  <c r="F55" i="102"/>
  <c r="F62" i="102" s="1"/>
  <c r="E55" i="102"/>
  <c r="E62" i="102" s="1"/>
  <c r="D55" i="102"/>
  <c r="D62" i="102" s="1"/>
  <c r="C55" i="102"/>
  <c r="C62" i="102" s="1"/>
  <c r="A37" i="102"/>
  <c r="A45" i="102" s="1"/>
  <c r="A53" i="102" s="1"/>
  <c r="A36" i="102"/>
  <c r="A44" i="102" s="1"/>
  <c r="A52" i="102" s="1"/>
  <c r="A35" i="102"/>
  <c r="A43" i="102" s="1"/>
  <c r="A51" i="102" s="1"/>
  <c r="A34" i="102"/>
  <c r="A42" i="102" s="1"/>
  <c r="A50" i="102" s="1"/>
  <c r="A33" i="102"/>
  <c r="A41" i="102" s="1"/>
  <c r="A49" i="102" s="1"/>
  <c r="A32" i="102"/>
  <c r="A40" i="102" s="1"/>
  <c r="A48" i="102" s="1"/>
  <c r="AK22" i="102"/>
  <c r="AK74" i="102" s="1"/>
  <c r="S19" i="102"/>
  <c r="R19" i="102"/>
  <c r="Q19" i="102"/>
  <c r="P19" i="102"/>
  <c r="O19" i="102"/>
  <c r="N19" i="102"/>
  <c r="M19" i="102"/>
  <c r="L19" i="102"/>
  <c r="K19" i="102"/>
  <c r="G19" i="102"/>
  <c r="F19" i="102"/>
  <c r="E19" i="102"/>
  <c r="D19" i="102"/>
  <c r="C19" i="102"/>
  <c r="S17" i="102"/>
  <c r="R17" i="102"/>
  <c r="Q17" i="102"/>
  <c r="P17" i="102"/>
  <c r="O17" i="102"/>
  <c r="N17" i="102"/>
  <c r="M17" i="102"/>
  <c r="L17" i="102"/>
  <c r="K17" i="102"/>
  <c r="G17" i="102"/>
  <c r="F17" i="102"/>
  <c r="E17" i="102"/>
  <c r="D17" i="102"/>
  <c r="C17" i="102"/>
  <c r="D4" i="102"/>
  <c r="E4" i="102" s="1"/>
  <c r="A4" i="102"/>
  <c r="BG57" i="36" l="1"/>
  <c r="CY138" i="57"/>
  <c r="CY102" i="57"/>
  <c r="CY162" i="57"/>
  <c r="CY78" i="57"/>
  <c r="CY223" i="57"/>
  <c r="CY288" i="57"/>
  <c r="CY273" i="57"/>
  <c r="CY75" i="57"/>
  <c r="CY204" i="57"/>
  <c r="CY144" i="57"/>
  <c r="CY171" i="57"/>
  <c r="CY247" i="57"/>
  <c r="CY237" i="57"/>
  <c r="CY271" i="57"/>
  <c r="CY315" i="57"/>
  <c r="CY313" i="57"/>
  <c r="CY87" i="57"/>
  <c r="CY96" i="57"/>
  <c r="CY109" i="57"/>
  <c r="CY151" i="57"/>
  <c r="CY100" i="57"/>
  <c r="CY198" i="57"/>
  <c r="CY238" i="57"/>
  <c r="CY280" i="57"/>
  <c r="CY283" i="57"/>
  <c r="CY187" i="57"/>
  <c r="CY160" i="57"/>
  <c r="CY108" i="57"/>
  <c r="CY259" i="57"/>
  <c r="CY246" i="57"/>
  <c r="CY282" i="57"/>
  <c r="CY316" i="57"/>
  <c r="CY199" i="57"/>
  <c r="CY105" i="57"/>
  <c r="CY150" i="57"/>
  <c r="CY234" i="57"/>
  <c r="CY249" i="57"/>
  <c r="CY298" i="57"/>
  <c r="CY286" i="57"/>
  <c r="CY91" i="57"/>
  <c r="CY97" i="57"/>
  <c r="CY120" i="57"/>
  <c r="CY121" i="57"/>
  <c r="CY180" i="57"/>
  <c r="CY202" i="57"/>
  <c r="CY268" i="57"/>
  <c r="CY277" i="57"/>
  <c r="CY307" i="57"/>
  <c r="CY82" i="57"/>
  <c r="CY88" i="57"/>
  <c r="CY123" i="57"/>
  <c r="CY147" i="57"/>
  <c r="CY183" i="57"/>
  <c r="CY181" i="57"/>
  <c r="CY229" i="57"/>
  <c r="CY285" i="57"/>
  <c r="CY79" i="57"/>
  <c r="CY139" i="57"/>
  <c r="CY156" i="57"/>
  <c r="CY201" i="57"/>
  <c r="CY189" i="57"/>
  <c r="CY265" i="57"/>
  <c r="CY103" i="57"/>
  <c r="CY114" i="57"/>
  <c r="CY106" i="57"/>
  <c r="CY76" i="57"/>
  <c r="CZ64" i="57"/>
  <c r="CY72" i="57"/>
  <c r="CY85" i="57"/>
  <c r="CY219" i="57"/>
  <c r="CY196" i="57"/>
  <c r="CY157" i="57"/>
  <c r="CY129" i="57"/>
  <c r="CY163" i="57"/>
  <c r="CY124" i="57"/>
  <c r="CY193" i="57"/>
  <c r="CY241" i="57"/>
  <c r="CY178" i="57"/>
  <c r="CY228" i="57"/>
  <c r="CY243" i="57"/>
  <c r="CY205" i="57"/>
  <c r="CY297" i="57"/>
  <c r="CY253" i="57"/>
  <c r="CY292" i="57"/>
  <c r="CY301" i="57"/>
  <c r="CY294" i="57"/>
  <c r="CY90" i="57"/>
  <c r="CY93" i="57"/>
  <c r="CY112" i="57"/>
  <c r="CY94" i="57"/>
  <c r="CY159" i="57"/>
  <c r="CY145" i="57"/>
  <c r="CY169" i="57"/>
  <c r="CY132" i="57"/>
  <c r="CY184" i="57"/>
  <c r="CY190" i="57"/>
  <c r="CY186" i="57"/>
  <c r="CY231" i="57"/>
  <c r="CY244" i="57"/>
  <c r="CY213" i="57"/>
  <c r="CY276" i="57"/>
  <c r="CY261" i="57"/>
  <c r="CY300" i="57"/>
  <c r="CY304" i="57"/>
  <c r="CY306" i="57"/>
  <c r="CY73" i="57"/>
  <c r="CY81" i="57"/>
  <c r="CY127" i="57"/>
  <c r="CY117" i="57"/>
  <c r="CY136" i="57"/>
  <c r="CY118" i="57"/>
  <c r="CY165" i="57"/>
  <c r="CY148" i="57"/>
  <c r="CY172" i="57"/>
  <c r="CY166" i="57"/>
  <c r="CY216" i="57"/>
  <c r="CY207" i="57"/>
  <c r="CY211" i="57"/>
  <c r="CY217" i="57"/>
  <c r="CY255" i="57"/>
  <c r="CY267" i="57"/>
  <c r="CY250" i="57"/>
  <c r="CY240" i="57"/>
  <c r="CY279" i="57"/>
  <c r="CY291" i="57"/>
  <c r="CY310" i="57"/>
  <c r="CY69" i="57"/>
  <c r="CY111" i="57"/>
  <c r="CY115" i="57"/>
  <c r="CY70" i="57"/>
  <c r="CY135" i="57"/>
  <c r="CY133" i="57"/>
  <c r="CY175" i="57"/>
  <c r="CY126" i="57"/>
  <c r="CY168" i="57"/>
  <c r="CY153" i="57"/>
  <c r="CY208" i="57"/>
  <c r="CY174" i="57"/>
  <c r="CY232" i="57"/>
  <c r="CY222" i="57"/>
  <c r="CY214" i="57"/>
  <c r="CY225" i="57"/>
  <c r="CY210" i="57"/>
  <c r="CY270" i="57"/>
  <c r="CY258" i="57"/>
  <c r="CY256" i="57"/>
  <c r="CY295" i="57"/>
  <c r="CY309" i="57"/>
  <c r="CY318" i="57"/>
  <c r="CY99" i="57"/>
  <c r="CY130" i="57"/>
  <c r="CY141" i="57"/>
  <c r="CY220" i="57"/>
  <c r="CY142" i="57"/>
  <c r="CY192" i="57"/>
  <c r="CY154" i="57"/>
  <c r="CY84" i="57"/>
  <c r="CY177" i="57"/>
  <c r="CY195" i="57"/>
  <c r="CY252" i="57"/>
  <c r="CY262" i="57"/>
  <c r="CY235" i="57"/>
  <c r="CY226" i="57"/>
  <c r="CY289" i="57"/>
  <c r="CY274" i="57"/>
  <c r="CY264" i="57"/>
  <c r="CY303" i="57"/>
  <c r="CY312" i="57"/>
  <c r="DL139" i="57"/>
  <c r="DL163" i="57"/>
  <c r="DL156" i="57"/>
  <c r="DL105" i="57"/>
  <c r="DL135" i="57"/>
  <c r="DL109" i="57"/>
  <c r="DL96" i="57"/>
  <c r="DL154" i="57"/>
  <c r="DL216" i="57"/>
  <c r="DL208" i="57"/>
  <c r="DL190" i="57"/>
  <c r="DL247" i="57"/>
  <c r="DL235" i="57"/>
  <c r="DL264" i="57"/>
  <c r="DL267" i="57"/>
  <c r="DL244" i="57"/>
  <c r="DL304" i="57"/>
  <c r="DL315" i="57"/>
  <c r="DL306" i="57"/>
  <c r="DL72" i="57"/>
  <c r="DL93" i="57"/>
  <c r="DL102" i="57"/>
  <c r="DL144" i="57"/>
  <c r="DL168" i="57"/>
  <c r="DL172" i="57"/>
  <c r="DL129" i="57"/>
  <c r="DL90" i="57"/>
  <c r="DL133" i="57"/>
  <c r="DL120" i="57"/>
  <c r="DL178" i="57"/>
  <c r="DL195" i="57"/>
  <c r="DL219" i="57"/>
  <c r="DL193" i="57"/>
  <c r="DL213" i="57"/>
  <c r="DL243" i="57"/>
  <c r="DL271" i="57"/>
  <c r="DL262" i="57"/>
  <c r="DL268" i="57"/>
  <c r="DL310" i="57"/>
  <c r="DL298" i="57"/>
  <c r="DL84" i="57"/>
  <c r="DL82" i="57"/>
  <c r="DL69" i="57"/>
  <c r="DL85" i="57"/>
  <c r="DL147" i="57"/>
  <c r="DL171" i="57"/>
  <c r="DL196" i="57"/>
  <c r="DL124" i="57"/>
  <c r="DL106" i="57"/>
  <c r="DL141" i="57"/>
  <c r="DL136" i="57"/>
  <c r="DL181" i="57"/>
  <c r="DL240" i="57"/>
  <c r="DL226" i="57"/>
  <c r="DL201" i="57"/>
  <c r="DL229" i="57"/>
  <c r="DL246" i="57"/>
  <c r="DL277" i="57"/>
  <c r="DL270" i="57"/>
  <c r="DL280" i="57"/>
  <c r="DL312" i="57"/>
  <c r="DL292" i="57"/>
  <c r="DL316" i="57"/>
  <c r="DL103" i="57"/>
  <c r="DM64" i="57"/>
  <c r="DL150" i="57"/>
  <c r="DL126" i="57"/>
  <c r="DL232" i="57"/>
  <c r="DL132" i="57"/>
  <c r="DL114" i="57"/>
  <c r="DL177" i="57"/>
  <c r="DL157" i="57"/>
  <c r="DL183" i="57"/>
  <c r="DL259" i="57"/>
  <c r="DL255" i="57"/>
  <c r="DL211" i="57"/>
  <c r="DL289" i="57"/>
  <c r="DL297" i="57"/>
  <c r="DL274" i="57"/>
  <c r="DL249" i="57"/>
  <c r="DL286" i="57"/>
  <c r="DL283" i="57"/>
  <c r="DL300" i="57"/>
  <c r="I525" i="57"/>
  <c r="DL100" i="57"/>
  <c r="DL91" i="57"/>
  <c r="DL151" i="57"/>
  <c r="DL145" i="57"/>
  <c r="DL73" i="57"/>
  <c r="DL180" i="57"/>
  <c r="DL130" i="57"/>
  <c r="DL220" i="57"/>
  <c r="DL165" i="57"/>
  <c r="DL204" i="57"/>
  <c r="DL241" i="57"/>
  <c r="DL234" i="57"/>
  <c r="DL228" i="57"/>
  <c r="DL301" i="57"/>
  <c r="DL217" i="57"/>
  <c r="DL294" i="57"/>
  <c r="DL265" i="57"/>
  <c r="DL309" i="57"/>
  <c r="DL291" i="57"/>
  <c r="DL295" i="57"/>
  <c r="DL70" i="57"/>
  <c r="DL79" i="57"/>
  <c r="DL159" i="57"/>
  <c r="DL148" i="57"/>
  <c r="DL81" i="57"/>
  <c r="DL192" i="57"/>
  <c r="DL138" i="57"/>
  <c r="DL223" i="57"/>
  <c r="DL187" i="57"/>
  <c r="DL205" i="57"/>
  <c r="DL186" i="57"/>
  <c r="DL250" i="57"/>
  <c r="DL231" i="57"/>
  <c r="DL214" i="57"/>
  <c r="DL225" i="57"/>
  <c r="DL261" i="57"/>
  <c r="DL273" i="57"/>
  <c r="DL303" i="57"/>
  <c r="CY66" i="36"/>
  <c r="CY112" i="36"/>
  <c r="CY72" i="36"/>
  <c r="CZ61" i="36"/>
  <c r="CZ226" i="36" s="1"/>
  <c r="CY96" i="36"/>
  <c r="CY109" i="36"/>
  <c r="CY77" i="36"/>
  <c r="CY110" i="36"/>
  <c r="CY101" i="36"/>
  <c r="CY89" i="36"/>
  <c r="CY76" i="36"/>
  <c r="CY70" i="36"/>
  <c r="CY88" i="36"/>
  <c r="CY69" i="36"/>
  <c r="CY90" i="36"/>
  <c r="CZ104" i="36"/>
  <c r="CZ297" i="36"/>
  <c r="CZ313" i="36"/>
  <c r="CZ401" i="36"/>
  <c r="CZ413" i="36"/>
  <c r="CZ82" i="36"/>
  <c r="CZ112" i="36"/>
  <c r="CZ214" i="36"/>
  <c r="CZ205" i="36"/>
  <c r="CZ262" i="36"/>
  <c r="CZ258" i="36"/>
  <c r="CZ298" i="36"/>
  <c r="CZ314" i="36"/>
  <c r="CZ367" i="36"/>
  <c r="CZ383" i="36"/>
  <c r="CZ421" i="36"/>
  <c r="CZ107" i="36"/>
  <c r="CZ149" i="36"/>
  <c r="CZ118" i="36"/>
  <c r="CZ191" i="36"/>
  <c r="CZ240" i="36"/>
  <c r="CZ273" i="36"/>
  <c r="CZ270" i="36"/>
  <c r="CZ269" i="36"/>
  <c r="CZ299" i="36"/>
  <c r="CZ382" i="36"/>
  <c r="CZ412" i="36"/>
  <c r="CZ418" i="36"/>
  <c r="CZ429" i="36"/>
  <c r="CZ93" i="36"/>
  <c r="DA61" i="36"/>
  <c r="DA427" i="36" s="1"/>
  <c r="CZ130" i="36"/>
  <c r="CZ217" i="36"/>
  <c r="CZ201" i="36"/>
  <c r="CZ237" i="36"/>
  <c r="CZ275" i="36"/>
  <c r="CZ271" i="36"/>
  <c r="CZ330" i="36"/>
  <c r="CZ332" i="36"/>
  <c r="CZ337" i="36"/>
  <c r="CZ374" i="36"/>
  <c r="CZ397" i="36"/>
  <c r="CZ407" i="36"/>
  <c r="CZ399" i="36"/>
  <c r="CZ152" i="36"/>
  <c r="CZ168" i="36"/>
  <c r="CZ153" i="36"/>
  <c r="CZ186" i="36"/>
  <c r="CZ150" i="36"/>
  <c r="CZ161" i="36"/>
  <c r="CZ229" i="36"/>
  <c r="CZ272" i="36"/>
  <c r="CZ212" i="36"/>
  <c r="CZ284" i="36"/>
  <c r="CZ322" i="36"/>
  <c r="CZ310" i="36"/>
  <c r="CZ356" i="36"/>
  <c r="CZ351" i="36"/>
  <c r="CZ385" i="36"/>
  <c r="CZ430" i="36"/>
  <c r="I477" i="36"/>
  <c r="CZ75" i="36"/>
  <c r="CZ140" i="36"/>
  <c r="CZ180" i="36"/>
  <c r="CZ146" i="36"/>
  <c r="CZ278" i="36"/>
  <c r="CZ207" i="36"/>
  <c r="CZ203" i="36"/>
  <c r="CZ243" i="36"/>
  <c r="CZ288" i="36"/>
  <c r="CZ329" i="36"/>
  <c r="CZ295" i="36"/>
  <c r="CZ370" i="36"/>
  <c r="CZ384" i="36"/>
  <c r="CZ410" i="36"/>
  <c r="CZ433" i="36"/>
  <c r="CZ411" i="36"/>
  <c r="CY104" i="36"/>
  <c r="CY74" i="36"/>
  <c r="CZ109" i="36"/>
  <c r="I501" i="36"/>
  <c r="I478" i="36"/>
  <c r="BQ57" i="36"/>
  <c r="BL58" i="36"/>
  <c r="BQ58" i="36"/>
  <c r="S128" i="102"/>
  <c r="S138" i="102" s="1"/>
  <c r="S139" i="102" s="1"/>
  <c r="DM439" i="36"/>
  <c r="DM423" i="36"/>
  <c r="DM415" i="36"/>
  <c r="DM436" i="36"/>
  <c r="DM420" i="36"/>
  <c r="DM438" i="36"/>
  <c r="DM430" i="36"/>
  <c r="DM414" i="36"/>
  <c r="DM424" i="36"/>
  <c r="DM418" i="36"/>
  <c r="DM427" i="36"/>
  <c r="DM433" i="36"/>
  <c r="DM429" i="36"/>
  <c r="DM419" i="36"/>
  <c r="DM410" i="36"/>
  <c r="DM402" i="36"/>
  <c r="DM398" i="36"/>
  <c r="DM390" i="36"/>
  <c r="DM435" i="36"/>
  <c r="DM412" i="36"/>
  <c r="DM409" i="36"/>
  <c r="DM404" i="36"/>
  <c r="DM401" i="36"/>
  <c r="DM395" i="36"/>
  <c r="DM416" i="36"/>
  <c r="DM411" i="36"/>
  <c r="DM408" i="36"/>
  <c r="DM407" i="36"/>
  <c r="DM406" i="36"/>
  <c r="DM403" i="36"/>
  <c r="DM400" i="36"/>
  <c r="DM392" i="36"/>
  <c r="DM394" i="36"/>
  <c r="DM386" i="36"/>
  <c r="DM378" i="36"/>
  <c r="DM375" i="36"/>
  <c r="DM367" i="36"/>
  <c r="DM359" i="36"/>
  <c r="DM417" i="36"/>
  <c r="DM384" i="36"/>
  <c r="DM391" i="36"/>
  <c r="DM387" i="36"/>
  <c r="DM396" i="36"/>
  <c r="DM393" i="36"/>
  <c r="DM413" i="36"/>
  <c r="DM399" i="36"/>
  <c r="DM397" i="36"/>
  <c r="DM385" i="36"/>
  <c r="DM380" i="36"/>
  <c r="DM377" i="36"/>
  <c r="DM371" i="36"/>
  <c r="DM389" i="36"/>
  <c r="DM382" i="36"/>
  <c r="DM379" i="36"/>
  <c r="DM376" i="36"/>
  <c r="DM432" i="36"/>
  <c r="DM405" i="36"/>
  <c r="DM388" i="36"/>
  <c r="DM381" i="36"/>
  <c r="DM383" i="36"/>
  <c r="DM365" i="36"/>
  <c r="DM364" i="36"/>
  <c r="DM363" i="36"/>
  <c r="DM360" i="36"/>
  <c r="DM357" i="36"/>
  <c r="DM356" i="36"/>
  <c r="DM355" i="36"/>
  <c r="DM350" i="36"/>
  <c r="DM342" i="36"/>
  <c r="DM334" i="36"/>
  <c r="DM372" i="36"/>
  <c r="DM362" i="36"/>
  <c r="DM354" i="36"/>
  <c r="DM347" i="36"/>
  <c r="DM339" i="36"/>
  <c r="DM421" i="36"/>
  <c r="DM368" i="36"/>
  <c r="DM352" i="36"/>
  <c r="DM344" i="36"/>
  <c r="DM426" i="36"/>
  <c r="DM369" i="36"/>
  <c r="DM346" i="36"/>
  <c r="DM374" i="36"/>
  <c r="DM351" i="36"/>
  <c r="DM373" i="36"/>
  <c r="DM370" i="36"/>
  <c r="DM366" i="36"/>
  <c r="DM349" i="36"/>
  <c r="DM333" i="36"/>
  <c r="DM325" i="36"/>
  <c r="DM361" i="36"/>
  <c r="DM337" i="36"/>
  <c r="DM330" i="36"/>
  <c r="DM322" i="36"/>
  <c r="DM358" i="36"/>
  <c r="DM341" i="36"/>
  <c r="DM338" i="36"/>
  <c r="DM335" i="36"/>
  <c r="DM327" i="36"/>
  <c r="DM319" i="36"/>
  <c r="DM348" i="36"/>
  <c r="DM343" i="36"/>
  <c r="DM336" i="36"/>
  <c r="DM345" i="36"/>
  <c r="DM326" i="36"/>
  <c r="DM318" i="36"/>
  <c r="DM310" i="36"/>
  <c r="DM302" i="36"/>
  <c r="DM294" i="36"/>
  <c r="DM329" i="36"/>
  <c r="DM328" i="36"/>
  <c r="DM317" i="36"/>
  <c r="DM316" i="36"/>
  <c r="DM315" i="36"/>
  <c r="DM314" i="36"/>
  <c r="DM311" i="36"/>
  <c r="DM308" i="36"/>
  <c r="DM307" i="36"/>
  <c r="DM306" i="36"/>
  <c r="DM303" i="36"/>
  <c r="DM300" i="36"/>
  <c r="DM299" i="36"/>
  <c r="DM298" i="36"/>
  <c r="DM295" i="36"/>
  <c r="DM292" i="36"/>
  <c r="DM291" i="36"/>
  <c r="DM290" i="36"/>
  <c r="DM281" i="36"/>
  <c r="DM273" i="36"/>
  <c r="DM332" i="36"/>
  <c r="DM313" i="36"/>
  <c r="DM305" i="36"/>
  <c r="DM297" i="36"/>
  <c r="DM289" i="36"/>
  <c r="DM331" i="36"/>
  <c r="DM283" i="36"/>
  <c r="DM321" i="36"/>
  <c r="DM320" i="36"/>
  <c r="DM324" i="36"/>
  <c r="DM353" i="36"/>
  <c r="DM323" i="36"/>
  <c r="DM340" i="36"/>
  <c r="DM309" i="36"/>
  <c r="DM301" i="36"/>
  <c r="DM285" i="36"/>
  <c r="DM265" i="36"/>
  <c r="DM257" i="36"/>
  <c r="DM249" i="36"/>
  <c r="DM241" i="36"/>
  <c r="DM312" i="36"/>
  <c r="DM288" i="36"/>
  <c r="DM270" i="36"/>
  <c r="DM262" i="36"/>
  <c r="DM254" i="36"/>
  <c r="DM246" i="36"/>
  <c r="DM238" i="36"/>
  <c r="DM230" i="36"/>
  <c r="DM304" i="36"/>
  <c r="DM267" i="36"/>
  <c r="DM259" i="36"/>
  <c r="DM251" i="36"/>
  <c r="DM243" i="36"/>
  <c r="DM293" i="36"/>
  <c r="DM279" i="36"/>
  <c r="DM278" i="36"/>
  <c r="DM277" i="36"/>
  <c r="DM274" i="36"/>
  <c r="DM266" i="36"/>
  <c r="DM258" i="36"/>
  <c r="DM250" i="36"/>
  <c r="DM242" i="36"/>
  <c r="DM234" i="36"/>
  <c r="DM284" i="36"/>
  <c r="DM253" i="36"/>
  <c r="DM252" i="36"/>
  <c r="DM239" i="36"/>
  <c r="DM237" i="36"/>
  <c r="DM227" i="36"/>
  <c r="DM219" i="36"/>
  <c r="DM211" i="36"/>
  <c r="DM256" i="36"/>
  <c r="DM224" i="36"/>
  <c r="DM282" i="36"/>
  <c r="DM269" i="36"/>
  <c r="DM268" i="36"/>
  <c r="DM255" i="36"/>
  <c r="DM275" i="36"/>
  <c r="DM245" i="36"/>
  <c r="DM244" i="36"/>
  <c r="DM235" i="36"/>
  <c r="DM226" i="36"/>
  <c r="DM271" i="36"/>
  <c r="DM287" i="36"/>
  <c r="DM280" i="36"/>
  <c r="DM272" i="36"/>
  <c r="DM261" i="36"/>
  <c r="DM260" i="36"/>
  <c r="DM247" i="36"/>
  <c r="DM231" i="36"/>
  <c r="DM228" i="36"/>
  <c r="DM220" i="36"/>
  <c r="DM212" i="36"/>
  <c r="DM204" i="36"/>
  <c r="DM264" i="36"/>
  <c r="DM207" i="36"/>
  <c r="DM200" i="36"/>
  <c r="DM263" i="36"/>
  <c r="DM236" i="36"/>
  <c r="DM223" i="36"/>
  <c r="DM216" i="36"/>
  <c r="DM197" i="36"/>
  <c r="DM189" i="36"/>
  <c r="DM276" i="36"/>
  <c r="DM240" i="36"/>
  <c r="DM222" i="36"/>
  <c r="DM214" i="36"/>
  <c r="DM199" i="36"/>
  <c r="DM191" i="36"/>
  <c r="DM232" i="36"/>
  <c r="DM217" i="36"/>
  <c r="DM296" i="36"/>
  <c r="DM286" i="36"/>
  <c r="DM233" i="36"/>
  <c r="DM248" i="36"/>
  <c r="DM225" i="36"/>
  <c r="DM218" i="36"/>
  <c r="DM206" i="36"/>
  <c r="DM203" i="36"/>
  <c r="DM198" i="36"/>
  <c r="DM221" i="36"/>
  <c r="DM208" i="36"/>
  <c r="DM188" i="36"/>
  <c r="DM185" i="36"/>
  <c r="DM182" i="36"/>
  <c r="DM176" i="36"/>
  <c r="DM168" i="36"/>
  <c r="DM160" i="36"/>
  <c r="DM215" i="36"/>
  <c r="DM205" i="36"/>
  <c r="DM201" i="36"/>
  <c r="DM196" i="36"/>
  <c r="DM194" i="36"/>
  <c r="DM193" i="36"/>
  <c r="DM184" i="36"/>
  <c r="DM181" i="36"/>
  <c r="DM173" i="36"/>
  <c r="DM165" i="36"/>
  <c r="DM157" i="36"/>
  <c r="DM149" i="36"/>
  <c r="DM141" i="36"/>
  <c r="DM209" i="36"/>
  <c r="DM178" i="36"/>
  <c r="DM170" i="36"/>
  <c r="DM162" i="36"/>
  <c r="DM154" i="36"/>
  <c r="DM146" i="36"/>
  <c r="DM195" i="36"/>
  <c r="DM175" i="36"/>
  <c r="DM213" i="36"/>
  <c r="DM202" i="36"/>
  <c r="DM186" i="36"/>
  <c r="DM180" i="36"/>
  <c r="DM210" i="36"/>
  <c r="DM177" i="36"/>
  <c r="DM169" i="36"/>
  <c r="DM161" i="36"/>
  <c r="DM153" i="36"/>
  <c r="DM145" i="36"/>
  <c r="DM137" i="36"/>
  <c r="DM129" i="36"/>
  <c r="DM229" i="36"/>
  <c r="DM192" i="36"/>
  <c r="DM190" i="36"/>
  <c r="DM187" i="36"/>
  <c r="DM174" i="36"/>
  <c r="DM166" i="36"/>
  <c r="DM183" i="36"/>
  <c r="DM179" i="36"/>
  <c r="DM159" i="36"/>
  <c r="DM155" i="36"/>
  <c r="DM152" i="36"/>
  <c r="DM148" i="36"/>
  <c r="DM126" i="36"/>
  <c r="DM118" i="36"/>
  <c r="DM110" i="36"/>
  <c r="DM102" i="36"/>
  <c r="DM94" i="36"/>
  <c r="DM158" i="36"/>
  <c r="DM151" i="36"/>
  <c r="DM135" i="36"/>
  <c r="DM123" i="36"/>
  <c r="DM115" i="36"/>
  <c r="DM107" i="36"/>
  <c r="DM99" i="36"/>
  <c r="DM91" i="36"/>
  <c r="DM171" i="36"/>
  <c r="DM138" i="36"/>
  <c r="DM120" i="36"/>
  <c r="DM112" i="36"/>
  <c r="DM104" i="36"/>
  <c r="DM96" i="36"/>
  <c r="DM88" i="36"/>
  <c r="DM147" i="36"/>
  <c r="DM144" i="36"/>
  <c r="DM140" i="36"/>
  <c r="DM125" i="36"/>
  <c r="DM117" i="36"/>
  <c r="DM109" i="36"/>
  <c r="DM101" i="36"/>
  <c r="DM93" i="36"/>
  <c r="DM163" i="36"/>
  <c r="DM150" i="36"/>
  <c r="DM143" i="36"/>
  <c r="DM131" i="36"/>
  <c r="DM128" i="36"/>
  <c r="DM167" i="36"/>
  <c r="DM164" i="36"/>
  <c r="DM156" i="36"/>
  <c r="DM136" i="36"/>
  <c r="DM133" i="36"/>
  <c r="DM130" i="36"/>
  <c r="DM127" i="36"/>
  <c r="DM119" i="36"/>
  <c r="DM111" i="36"/>
  <c r="DM103" i="36"/>
  <c r="DM95" i="36"/>
  <c r="DM87" i="36"/>
  <c r="DM79" i="36"/>
  <c r="DM71" i="36"/>
  <c r="DM139" i="36"/>
  <c r="DM132" i="36"/>
  <c r="DM124" i="36"/>
  <c r="DM172" i="36"/>
  <c r="DM142" i="36"/>
  <c r="DM134" i="36"/>
  <c r="DM121" i="36"/>
  <c r="DM114" i="36"/>
  <c r="DM106" i="36"/>
  <c r="DM98" i="36"/>
  <c r="DM122" i="36"/>
  <c r="DM92" i="36"/>
  <c r="DN61" i="36"/>
  <c r="DM108" i="36"/>
  <c r="DM105" i="36"/>
  <c r="DM90" i="36"/>
  <c r="DM70" i="36"/>
  <c r="DM116" i="36"/>
  <c r="DM113" i="36"/>
  <c r="DM100" i="36"/>
  <c r="DM97" i="36"/>
  <c r="DM85" i="36"/>
  <c r="DM84" i="36"/>
  <c r="DM83" i="36"/>
  <c r="DM80" i="36"/>
  <c r="DM77" i="36"/>
  <c r="DM76" i="36"/>
  <c r="DM75" i="36"/>
  <c r="DM72" i="36"/>
  <c r="DM69" i="36"/>
  <c r="DM68" i="36"/>
  <c r="DM67" i="36"/>
  <c r="DM81" i="36"/>
  <c r="DM78" i="36"/>
  <c r="DM89" i="36"/>
  <c r="DM82" i="36"/>
  <c r="DM74" i="36"/>
  <c r="DM66" i="36"/>
  <c r="DM86" i="36"/>
  <c r="DM73" i="36"/>
  <c r="BG58" i="36"/>
  <c r="BL57" i="36"/>
  <c r="DA382" i="36"/>
  <c r="DA296" i="36"/>
  <c r="DA233" i="36"/>
  <c r="DA147" i="36"/>
  <c r="DA162" i="36"/>
  <c r="DM285" i="57"/>
  <c r="DM186" i="57"/>
  <c r="DM120" i="57"/>
  <c r="CZ318" i="57"/>
  <c r="CZ315" i="57"/>
  <c r="CZ307" i="57"/>
  <c r="CZ316" i="57"/>
  <c r="CZ313" i="57"/>
  <c r="CZ312" i="57"/>
  <c r="CZ310" i="57"/>
  <c r="CZ309" i="57"/>
  <c r="CZ291" i="57"/>
  <c r="CZ283" i="57"/>
  <c r="CZ304" i="57"/>
  <c r="CZ288" i="57"/>
  <c r="CZ301" i="57"/>
  <c r="CZ300" i="57"/>
  <c r="CZ292" i="57"/>
  <c r="CZ276" i="57"/>
  <c r="CZ297" i="57"/>
  <c r="CZ289" i="57"/>
  <c r="CZ306" i="57"/>
  <c r="CZ298" i="57"/>
  <c r="CZ261" i="57"/>
  <c r="CZ253" i="57"/>
  <c r="CZ237" i="57"/>
  <c r="CZ282" i="57"/>
  <c r="CZ280" i="57"/>
  <c r="CZ274" i="57"/>
  <c r="CZ258" i="57"/>
  <c r="CZ250" i="57"/>
  <c r="CZ271" i="57"/>
  <c r="CZ255" i="57"/>
  <c r="CZ294" i="57"/>
  <c r="CZ268" i="57"/>
  <c r="CZ303" i="57"/>
  <c r="CZ270" i="57"/>
  <c r="CZ262" i="57"/>
  <c r="CZ286" i="57"/>
  <c r="CZ279" i="57"/>
  <c r="CZ295" i="57"/>
  <c r="CZ265" i="57"/>
  <c r="CZ256" i="57"/>
  <c r="CZ249" i="57"/>
  <c r="CZ226" i="57"/>
  <c r="CZ210" i="57"/>
  <c r="CZ277" i="57"/>
  <c r="CZ252" i="57"/>
  <c r="CZ231" i="57"/>
  <c r="CZ223" i="57"/>
  <c r="CZ207" i="57"/>
  <c r="CZ273" i="57"/>
  <c r="CZ247" i="57"/>
  <c r="CZ241" i="57"/>
  <c r="CZ240" i="57"/>
  <c r="CZ234" i="57"/>
  <c r="CZ222" i="57"/>
  <c r="CZ214" i="57"/>
  <c r="CZ267" i="57"/>
  <c r="CZ264" i="57"/>
  <c r="CZ235" i="57"/>
  <c r="CZ211" i="57"/>
  <c r="CZ205" i="57"/>
  <c r="CZ202" i="57"/>
  <c r="CZ186" i="57"/>
  <c r="CZ178" i="57"/>
  <c r="CZ199" i="57"/>
  <c r="CZ183" i="57"/>
  <c r="CZ175" i="57"/>
  <c r="CZ244" i="57"/>
  <c r="CZ243" i="57"/>
  <c r="CZ220" i="57"/>
  <c r="CZ217" i="57"/>
  <c r="CZ213" i="57"/>
  <c r="CZ204" i="57"/>
  <c r="CZ259" i="57"/>
  <c r="CZ246" i="57"/>
  <c r="CZ232" i="57"/>
  <c r="CZ219" i="57"/>
  <c r="CZ195" i="57"/>
  <c r="CZ187" i="57"/>
  <c r="CZ238" i="57"/>
  <c r="CZ285" i="57"/>
  <c r="CZ228" i="57"/>
  <c r="CZ229" i="57"/>
  <c r="CZ216" i="57"/>
  <c r="CZ201" i="57"/>
  <c r="CZ198" i="57"/>
  <c r="CZ184" i="57"/>
  <c r="CZ171" i="57"/>
  <c r="CZ163" i="57"/>
  <c r="CZ147" i="57"/>
  <c r="CZ208" i="57"/>
  <c r="CZ172" i="57"/>
  <c r="CZ169" i="57"/>
  <c r="CZ162" i="57"/>
  <c r="CZ156" i="57"/>
  <c r="CZ154" i="57"/>
  <c r="CZ153" i="57"/>
  <c r="CZ148" i="57"/>
  <c r="CZ145" i="57"/>
  <c r="CZ129" i="57"/>
  <c r="CZ121" i="57"/>
  <c r="CZ105" i="57"/>
  <c r="CZ97" i="57"/>
  <c r="CZ192" i="57"/>
  <c r="CZ180" i="57"/>
  <c r="CZ177" i="57"/>
  <c r="CZ174" i="57"/>
  <c r="CZ168" i="57"/>
  <c r="CZ166" i="57"/>
  <c r="CZ165" i="57"/>
  <c r="CZ160" i="57"/>
  <c r="CZ159" i="57"/>
  <c r="CZ157" i="57"/>
  <c r="CZ151" i="57"/>
  <c r="CZ150" i="57"/>
  <c r="CZ144" i="57"/>
  <c r="CZ142" i="57"/>
  <c r="CZ126" i="57"/>
  <c r="CZ118" i="57"/>
  <c r="CZ196" i="57"/>
  <c r="CZ190" i="57"/>
  <c r="CZ139" i="57"/>
  <c r="CZ123" i="57"/>
  <c r="CZ115" i="57"/>
  <c r="CZ99" i="57"/>
  <c r="CZ91" i="57"/>
  <c r="CZ181" i="57"/>
  <c r="CZ136" i="57"/>
  <c r="CZ225" i="57"/>
  <c r="CZ193" i="57"/>
  <c r="CZ141" i="57"/>
  <c r="CZ133" i="57"/>
  <c r="CZ117" i="57"/>
  <c r="CZ138" i="57"/>
  <c r="CZ130" i="57"/>
  <c r="CZ114" i="57"/>
  <c r="CZ106" i="57"/>
  <c r="CZ90" i="57"/>
  <c r="CZ82" i="57"/>
  <c r="CZ189" i="57"/>
  <c r="CZ135" i="57"/>
  <c r="CZ127" i="57"/>
  <c r="CZ132" i="57"/>
  <c r="CZ124" i="57"/>
  <c r="CZ120" i="57"/>
  <c r="CZ94" i="57"/>
  <c r="CZ87" i="57"/>
  <c r="CZ100" i="57"/>
  <c r="CZ84" i="57"/>
  <c r="CZ93" i="57"/>
  <c r="CZ81" i="57"/>
  <c r="CZ75" i="57"/>
  <c r="CZ73" i="57"/>
  <c r="CZ111" i="57"/>
  <c r="CZ103" i="57"/>
  <c r="CZ96" i="57"/>
  <c r="CZ79" i="57"/>
  <c r="CZ70" i="57"/>
  <c r="CZ76" i="57"/>
  <c r="CZ78" i="57"/>
  <c r="CZ112" i="57"/>
  <c r="CZ102" i="57"/>
  <c r="CZ88" i="57"/>
  <c r="CZ85" i="57"/>
  <c r="DA64" i="57"/>
  <c r="CZ108" i="57"/>
  <c r="CZ72" i="57"/>
  <c r="CZ109" i="57"/>
  <c r="CZ69" i="57"/>
  <c r="I534" i="57"/>
  <c r="I495" i="57"/>
  <c r="I524" i="57"/>
  <c r="I488" i="57"/>
  <c r="I523" i="57"/>
  <c r="I487" i="57"/>
  <c r="I522" i="57"/>
  <c r="I486" i="57"/>
  <c r="L126" i="102"/>
  <c r="L147" i="102" s="1"/>
  <c r="R125" i="102"/>
  <c r="R132" i="102" s="1"/>
  <c r="R133" i="102" s="1"/>
  <c r="S125" i="102"/>
  <c r="S132" i="102" s="1"/>
  <c r="K127" i="102"/>
  <c r="K136" i="102" s="1"/>
  <c r="K137" i="102" s="1"/>
  <c r="S127" i="102"/>
  <c r="S136" i="102" s="1"/>
  <c r="S137" i="102" s="1"/>
  <c r="T127" i="102"/>
  <c r="T136" i="102" s="1"/>
  <c r="T137" i="102" s="1"/>
  <c r="N128" i="102"/>
  <c r="N138" i="102" s="1"/>
  <c r="N139" i="102" s="1"/>
  <c r="Q126" i="102"/>
  <c r="Q134" i="102" s="1"/>
  <c r="R128" i="102"/>
  <c r="R149" i="102" s="1"/>
  <c r="O126" i="102"/>
  <c r="O134" i="102" s="1"/>
  <c r="O135" i="102" s="1"/>
  <c r="R127" i="102"/>
  <c r="R148" i="102" s="1"/>
  <c r="M128" i="102"/>
  <c r="M149" i="102" s="1"/>
  <c r="K126" i="102"/>
  <c r="K134" i="102" s="1"/>
  <c r="K135" i="102" s="1"/>
  <c r="M126" i="102"/>
  <c r="M134" i="102" s="1"/>
  <c r="M135" i="102" s="1"/>
  <c r="Q122" i="102"/>
  <c r="K125" i="102"/>
  <c r="T126" i="102"/>
  <c r="T134" i="102" s="1"/>
  <c r="T135" i="102" s="1"/>
  <c r="K128" i="102"/>
  <c r="K149" i="102" s="1"/>
  <c r="C128" i="102"/>
  <c r="C149" i="102" s="1"/>
  <c r="G128" i="102"/>
  <c r="G149" i="102" s="1"/>
  <c r="F4" i="102"/>
  <c r="F6" i="102" s="1"/>
  <c r="F84" i="102" s="1"/>
  <c r="F85" i="102" s="1"/>
  <c r="E6" i="102"/>
  <c r="O127" i="102"/>
  <c r="O148" i="102" s="1"/>
  <c r="D6" i="102"/>
  <c r="P127" i="102"/>
  <c r="P136" i="102" s="1"/>
  <c r="P137" i="102" s="1"/>
  <c r="N126" i="102"/>
  <c r="N147" i="102" s="1"/>
  <c r="Q127" i="102"/>
  <c r="Q136" i="102" s="1"/>
  <c r="Q137" i="102" s="1"/>
  <c r="L128" i="102"/>
  <c r="L149" i="102" s="1"/>
  <c r="T128" i="102"/>
  <c r="T149" i="102" s="1"/>
  <c r="Q128" i="102"/>
  <c r="Q138" i="102" s="1"/>
  <c r="Q139" i="102" s="1"/>
  <c r="P126" i="102"/>
  <c r="P134" i="102" s="1"/>
  <c r="P135" i="102" s="1"/>
  <c r="M122" i="102"/>
  <c r="N127" i="102"/>
  <c r="N136" i="102" s="1"/>
  <c r="Q125" i="102"/>
  <c r="Q146" i="102" s="1"/>
  <c r="O122" i="102"/>
  <c r="P125" i="102"/>
  <c r="R122" i="102"/>
  <c r="S126" i="102"/>
  <c r="L127" i="102"/>
  <c r="L136" i="102" s="1"/>
  <c r="L137" i="102" s="1"/>
  <c r="M127" i="102"/>
  <c r="M148" i="102" s="1"/>
  <c r="O128" i="102"/>
  <c r="O149" i="102" s="1"/>
  <c r="E126" i="102"/>
  <c r="E147" i="102" s="1"/>
  <c r="G127" i="102"/>
  <c r="G148" i="102" s="1"/>
  <c r="G125" i="102"/>
  <c r="G132" i="102" s="1"/>
  <c r="G133" i="102" s="1"/>
  <c r="D126" i="102"/>
  <c r="D122" i="102"/>
  <c r="E125" i="102"/>
  <c r="F126" i="102"/>
  <c r="F134" i="102" s="1"/>
  <c r="G122" i="102"/>
  <c r="D128" i="102"/>
  <c r="D149" i="102" s="1"/>
  <c r="F125" i="102"/>
  <c r="F132" i="102" s="1"/>
  <c r="F133" i="102" s="1"/>
  <c r="D127" i="102"/>
  <c r="C127" i="102"/>
  <c r="C136" i="102" s="1"/>
  <c r="F128" i="102"/>
  <c r="F149" i="102" s="1"/>
  <c r="E127" i="102"/>
  <c r="E136" i="102" s="1"/>
  <c r="C126" i="102"/>
  <c r="C134" i="102" s="1"/>
  <c r="F127" i="102"/>
  <c r="F136" i="102" s="1"/>
  <c r="F137" i="102" s="1"/>
  <c r="F122" i="102"/>
  <c r="C125" i="102"/>
  <c r="C122" i="102"/>
  <c r="N125" i="102"/>
  <c r="N122" i="102"/>
  <c r="D125" i="102"/>
  <c r="O125" i="102"/>
  <c r="E122" i="102"/>
  <c r="P122" i="102"/>
  <c r="G126" i="102"/>
  <c r="R126" i="102"/>
  <c r="E128" i="102"/>
  <c r="E138" i="102" s="1"/>
  <c r="P128" i="102"/>
  <c r="P138" i="102" s="1"/>
  <c r="K122" i="102"/>
  <c r="S122" i="102"/>
  <c r="L122" i="102"/>
  <c r="L125" i="102"/>
  <c r="L132" i="102" s="1"/>
  <c r="T122" i="102"/>
  <c r="T125" i="102"/>
  <c r="T132" i="102" s="1"/>
  <c r="M125" i="102"/>
  <c r="S149" i="102" l="1"/>
  <c r="I481" i="36"/>
  <c r="DM142" i="57"/>
  <c r="DM231" i="57"/>
  <c r="DM310" i="57"/>
  <c r="DM166" i="57"/>
  <c r="DM213" i="57"/>
  <c r="DM295" i="57"/>
  <c r="DM126" i="57"/>
  <c r="DM198" i="57"/>
  <c r="DM315" i="57"/>
  <c r="DM196" i="57"/>
  <c r="DM211" i="57"/>
  <c r="DM180" i="57"/>
  <c r="DM235" i="57"/>
  <c r="DM88" i="57"/>
  <c r="DM106" i="57"/>
  <c r="DM294" i="57"/>
  <c r="DM72" i="57"/>
  <c r="DM117" i="57"/>
  <c r="DM262" i="57"/>
  <c r="DM99" i="57"/>
  <c r="DM136" i="57"/>
  <c r="DM168" i="57"/>
  <c r="DM208" i="57"/>
  <c r="DM114" i="57"/>
  <c r="DM192" i="57"/>
  <c r="DM220" i="57"/>
  <c r="DM219" i="57"/>
  <c r="DM291" i="57"/>
  <c r="DM301" i="57"/>
  <c r="DM303" i="57"/>
  <c r="DM108" i="57"/>
  <c r="DM96" i="57"/>
  <c r="DM73" i="57"/>
  <c r="DM157" i="57"/>
  <c r="DM147" i="57"/>
  <c r="DM171" i="57"/>
  <c r="DM148" i="57"/>
  <c r="DM216" i="57"/>
  <c r="DM87" i="57"/>
  <c r="DM130" i="57"/>
  <c r="DM141" i="57"/>
  <c r="DM193" i="57"/>
  <c r="DM183" i="57"/>
  <c r="DM223" i="57"/>
  <c r="DM271" i="57"/>
  <c r="DM234" i="57"/>
  <c r="DM243" i="57"/>
  <c r="DM264" i="57"/>
  <c r="DM241" i="57"/>
  <c r="DM309" i="57"/>
  <c r="DM313" i="57"/>
  <c r="DM76" i="57"/>
  <c r="DM144" i="57"/>
  <c r="DM145" i="57"/>
  <c r="DM204" i="57"/>
  <c r="DM133" i="57"/>
  <c r="DM247" i="57"/>
  <c r="DM252" i="57"/>
  <c r="DM238" i="57"/>
  <c r="DM270" i="57"/>
  <c r="DM312" i="57"/>
  <c r="DM115" i="57"/>
  <c r="DM69" i="57"/>
  <c r="DM70" i="57"/>
  <c r="DM165" i="57"/>
  <c r="DM150" i="57"/>
  <c r="DM181" i="57"/>
  <c r="DM153" i="57"/>
  <c r="DM217" i="57"/>
  <c r="DM103" i="57"/>
  <c r="DM138" i="57"/>
  <c r="DM177" i="57"/>
  <c r="DM201" i="57"/>
  <c r="DM199" i="57"/>
  <c r="DM253" i="57"/>
  <c r="DM283" i="57"/>
  <c r="DM237" i="57"/>
  <c r="DM246" i="57"/>
  <c r="DM298" i="57"/>
  <c r="DM249" i="57"/>
  <c r="DM280" i="57"/>
  <c r="DM318" i="57"/>
  <c r="DM79" i="57"/>
  <c r="DM97" i="57"/>
  <c r="DM75" i="57"/>
  <c r="DM174" i="57"/>
  <c r="DM154" i="57"/>
  <c r="DM78" i="57"/>
  <c r="DM156" i="57"/>
  <c r="DM121" i="57"/>
  <c r="DM111" i="57"/>
  <c r="DM189" i="57"/>
  <c r="DM207" i="57"/>
  <c r="DM202" i="57"/>
  <c r="DM205" i="57"/>
  <c r="DM187" i="57"/>
  <c r="DM226" i="57"/>
  <c r="DM240" i="57"/>
  <c r="DM256" i="57"/>
  <c r="DM259" i="57"/>
  <c r="DM265" i="57"/>
  <c r="DM288" i="57"/>
  <c r="DM297" i="57"/>
  <c r="DM91" i="57"/>
  <c r="DM81" i="57"/>
  <c r="DM84" i="57"/>
  <c r="DM210" i="57"/>
  <c r="DM160" i="57"/>
  <c r="DM94" i="57"/>
  <c r="DM169" i="57"/>
  <c r="DM129" i="57"/>
  <c r="DM127" i="57"/>
  <c r="DM85" i="57"/>
  <c r="DM229" i="57"/>
  <c r="DM184" i="57"/>
  <c r="DM232" i="57"/>
  <c r="DM195" i="57"/>
  <c r="DM255" i="57"/>
  <c r="DM244" i="57"/>
  <c r="DM277" i="57"/>
  <c r="DM267" i="57"/>
  <c r="DM273" i="57"/>
  <c r="DM304" i="57"/>
  <c r="DM292" i="57"/>
  <c r="DM105" i="57"/>
  <c r="DM82" i="57"/>
  <c r="DM90" i="57"/>
  <c r="DM123" i="57"/>
  <c r="DM162" i="57"/>
  <c r="DM102" i="57"/>
  <c r="DM172" i="57"/>
  <c r="DM124" i="57"/>
  <c r="DM135" i="57"/>
  <c r="DM93" i="57"/>
  <c r="DM151" i="57"/>
  <c r="DM225" i="57"/>
  <c r="DM258" i="57"/>
  <c r="DM250" i="57"/>
  <c r="DM261" i="57"/>
  <c r="DM214" i="57"/>
  <c r="DM289" i="57"/>
  <c r="DM276" i="57"/>
  <c r="DM316" i="57"/>
  <c r="DM306" i="57"/>
  <c r="DM300" i="57"/>
  <c r="DN64" i="57"/>
  <c r="DM100" i="57"/>
  <c r="DM112" i="57"/>
  <c r="DM139" i="57"/>
  <c r="DM163" i="57"/>
  <c r="DM118" i="57"/>
  <c r="DM178" i="57"/>
  <c r="DM132" i="57"/>
  <c r="DM175" i="57"/>
  <c r="DM109" i="57"/>
  <c r="DM159" i="57"/>
  <c r="DM228" i="57"/>
  <c r="DM286" i="57"/>
  <c r="DM190" i="57"/>
  <c r="DM268" i="57"/>
  <c r="DM222" i="57"/>
  <c r="DM274" i="57"/>
  <c r="DM282" i="57"/>
  <c r="DM307" i="57"/>
  <c r="DM279" i="57"/>
  <c r="CZ127" i="36"/>
  <c r="CZ282" i="36"/>
  <c r="CZ155" i="36"/>
  <c r="CZ365" i="36"/>
  <c r="CZ111" i="36"/>
  <c r="CZ250" i="36"/>
  <c r="CZ121" i="36"/>
  <c r="CZ304" i="36"/>
  <c r="CZ113" i="36"/>
  <c r="CZ369" i="36"/>
  <c r="CZ105" i="36"/>
  <c r="CZ200" i="36"/>
  <c r="CZ197" i="36"/>
  <c r="DA140" i="36"/>
  <c r="DA392" i="36"/>
  <c r="DA292" i="36"/>
  <c r="DA114" i="36"/>
  <c r="DA141" i="36"/>
  <c r="DA216" i="36"/>
  <c r="DA263" i="36"/>
  <c r="DA403" i="36"/>
  <c r="DA409" i="36"/>
  <c r="CZ106" i="36"/>
  <c r="CZ389" i="36"/>
  <c r="CZ312" i="36"/>
  <c r="CZ220" i="36"/>
  <c r="CZ169" i="36"/>
  <c r="CZ157" i="36"/>
  <c r="CZ403" i="36"/>
  <c r="CZ371" i="36"/>
  <c r="CZ338" i="36"/>
  <c r="CZ193" i="36"/>
  <c r="CZ138" i="36"/>
  <c r="CZ76" i="36"/>
  <c r="CZ372" i="36"/>
  <c r="CZ309" i="36"/>
  <c r="CZ287" i="36"/>
  <c r="CZ195" i="36"/>
  <c r="CZ126" i="36"/>
  <c r="CZ417" i="36"/>
  <c r="CZ354" i="36"/>
  <c r="CZ325" i="36"/>
  <c r="CZ213" i="36"/>
  <c r="CZ173" i="36"/>
  <c r="CZ137" i="36"/>
  <c r="CZ405" i="36"/>
  <c r="CZ331" i="36"/>
  <c r="CZ244" i="36"/>
  <c r="CZ230" i="36"/>
  <c r="CZ133" i="36"/>
  <c r="CZ366" i="36"/>
  <c r="CZ247" i="36"/>
  <c r="CZ132" i="36"/>
  <c r="DA67" i="36"/>
  <c r="DA416" i="36"/>
  <c r="DA341" i="36"/>
  <c r="DA119" i="36"/>
  <c r="DA194" i="36"/>
  <c r="DA211" i="36"/>
  <c r="DA326" i="36"/>
  <c r="DA350" i="36"/>
  <c r="DA408" i="36"/>
  <c r="CZ377" i="36"/>
  <c r="CZ293" i="36"/>
  <c r="CZ279" i="36"/>
  <c r="CZ158" i="36"/>
  <c r="CZ143" i="36"/>
  <c r="CZ408" i="36"/>
  <c r="CZ326" i="36"/>
  <c r="CZ285" i="36"/>
  <c r="CZ202" i="36"/>
  <c r="CZ160" i="36"/>
  <c r="CZ87" i="36"/>
  <c r="CZ343" i="36"/>
  <c r="CZ316" i="36"/>
  <c r="CZ246" i="36"/>
  <c r="CZ142" i="36"/>
  <c r="CZ136" i="36"/>
  <c r="CZ391" i="36"/>
  <c r="CZ347" i="36"/>
  <c r="CZ266" i="36"/>
  <c r="CZ219" i="36"/>
  <c r="CZ175" i="36"/>
  <c r="CZ66" i="36"/>
  <c r="CZ376" i="36"/>
  <c r="CZ327" i="36"/>
  <c r="CZ257" i="36"/>
  <c r="CZ188" i="36"/>
  <c r="CZ67" i="36"/>
  <c r="CZ364" i="36"/>
  <c r="CZ277" i="36"/>
  <c r="CZ68" i="36"/>
  <c r="DA166" i="36"/>
  <c r="DA81" i="36"/>
  <c r="DA244" i="36"/>
  <c r="DA142" i="36"/>
  <c r="DA192" i="36"/>
  <c r="DA210" i="36"/>
  <c r="DA298" i="36"/>
  <c r="DA356" i="36"/>
  <c r="DA420" i="36"/>
  <c r="CZ358" i="36"/>
  <c r="CZ306" i="36"/>
  <c r="CZ289" i="36"/>
  <c r="CZ179" i="36"/>
  <c r="CZ80" i="36"/>
  <c r="CZ404" i="36"/>
  <c r="CZ320" i="36"/>
  <c r="CZ268" i="36"/>
  <c r="CZ253" i="36"/>
  <c r="CZ124" i="36"/>
  <c r="CZ416" i="36"/>
  <c r="CZ340" i="36"/>
  <c r="CZ300" i="36"/>
  <c r="CZ276" i="36"/>
  <c r="CZ163" i="36"/>
  <c r="CZ165" i="36"/>
  <c r="CZ406" i="36"/>
  <c r="CZ334" i="36"/>
  <c r="CZ263" i="36"/>
  <c r="CZ198" i="36"/>
  <c r="CZ119" i="36"/>
  <c r="CZ86" i="36"/>
  <c r="CZ414" i="36"/>
  <c r="CZ274" i="36"/>
  <c r="CZ245" i="36"/>
  <c r="CZ218" i="36"/>
  <c r="CZ90" i="36"/>
  <c r="CZ345" i="36"/>
  <c r="CZ223" i="36"/>
  <c r="CZ71" i="36"/>
  <c r="DA232" i="36"/>
  <c r="DA197" i="36"/>
  <c r="DA109" i="36"/>
  <c r="DA144" i="36"/>
  <c r="DA277" i="36"/>
  <c r="DA314" i="36"/>
  <c r="DA359" i="36"/>
  <c r="CZ415" i="36"/>
  <c r="CZ357" i="36"/>
  <c r="CZ290" i="36"/>
  <c r="CZ238" i="36"/>
  <c r="CZ189" i="36"/>
  <c r="CZ125" i="36"/>
  <c r="CZ398" i="36"/>
  <c r="CZ333" i="36"/>
  <c r="CZ235" i="36"/>
  <c r="CZ224" i="36"/>
  <c r="CZ135" i="36"/>
  <c r="CZ427" i="36"/>
  <c r="CZ355" i="36"/>
  <c r="CZ346" i="36"/>
  <c r="CZ221" i="36"/>
  <c r="CZ181" i="36"/>
  <c r="CZ148" i="36"/>
  <c r="CZ390" i="36"/>
  <c r="CZ336" i="36"/>
  <c r="CZ252" i="36"/>
  <c r="CZ222" i="36"/>
  <c r="CZ108" i="36"/>
  <c r="CZ98" i="36"/>
  <c r="CZ402" i="36"/>
  <c r="CZ302" i="36"/>
  <c r="CZ261" i="36"/>
  <c r="CZ178" i="36"/>
  <c r="CZ114" i="36"/>
  <c r="CZ352" i="36"/>
  <c r="CZ210" i="36"/>
  <c r="CZ215" i="36"/>
  <c r="DA123" i="36"/>
  <c r="DA83" i="36"/>
  <c r="DA138" i="36"/>
  <c r="DA243" i="36"/>
  <c r="DA280" i="36"/>
  <c r="DA325" i="36"/>
  <c r="DA387" i="36"/>
  <c r="CZ409" i="36"/>
  <c r="CZ328" i="36"/>
  <c r="CZ283" i="36"/>
  <c r="CZ216" i="36"/>
  <c r="CZ141" i="36"/>
  <c r="CZ424" i="36"/>
  <c r="CZ348" i="36"/>
  <c r="CZ305" i="36"/>
  <c r="CZ281" i="36"/>
  <c r="CZ171" i="36"/>
  <c r="CZ72" i="36"/>
  <c r="CZ394" i="36"/>
  <c r="CZ349" i="36"/>
  <c r="CZ260" i="36"/>
  <c r="CZ241" i="36"/>
  <c r="CZ116" i="36"/>
  <c r="CZ115" i="36"/>
  <c r="CZ335" i="36"/>
  <c r="CZ315" i="36"/>
  <c r="CZ286" i="36"/>
  <c r="CZ134" i="36"/>
  <c r="CZ120" i="36"/>
  <c r="CZ420" i="36"/>
  <c r="CZ353" i="36"/>
  <c r="CZ324" i="36"/>
  <c r="CZ211" i="36"/>
  <c r="CZ110" i="36"/>
  <c r="CZ436" i="36"/>
  <c r="CZ318" i="36"/>
  <c r="CZ103" i="36"/>
  <c r="CZ167" i="36"/>
  <c r="CZ70" i="36"/>
  <c r="CZ396" i="36"/>
  <c r="CZ323" i="36"/>
  <c r="CZ267" i="36"/>
  <c r="CZ139" i="36"/>
  <c r="CZ423" i="36"/>
  <c r="CZ78" i="36"/>
  <c r="CZ395" i="36"/>
  <c r="CZ319" i="36"/>
  <c r="CZ256" i="36"/>
  <c r="CZ170" i="36"/>
  <c r="CZ392" i="36"/>
  <c r="CZ255" i="36"/>
  <c r="CZ190" i="36"/>
  <c r="CZ100" i="36"/>
  <c r="CZ101" i="36"/>
  <c r="CZ368" i="36"/>
  <c r="CZ350" i="36"/>
  <c r="CZ249" i="36"/>
  <c r="CZ159" i="36"/>
  <c r="CZ362" i="36"/>
  <c r="I504" i="36"/>
  <c r="CZ303" i="36"/>
  <c r="CZ182" i="36"/>
  <c r="CZ131" i="36"/>
  <c r="CZ291" i="36"/>
  <c r="CZ92" i="36"/>
  <c r="CZ79" i="36"/>
  <c r="CZ251" i="36"/>
  <c r="CZ199" i="36"/>
  <c r="CZ97" i="36"/>
  <c r="CZ117" i="36"/>
  <c r="CZ264" i="36"/>
  <c r="CZ147" i="36"/>
  <c r="CZ145" i="36"/>
  <c r="CZ91" i="36"/>
  <c r="CZ388" i="36"/>
  <c r="CZ301" i="36"/>
  <c r="CZ236" i="36"/>
  <c r="CZ183" i="36"/>
  <c r="CZ102" i="36"/>
  <c r="CZ83" i="36"/>
  <c r="DA68" i="36"/>
  <c r="DA84" i="36"/>
  <c r="DA86" i="36"/>
  <c r="DA120" i="36"/>
  <c r="DA127" i="36"/>
  <c r="DA148" i="36"/>
  <c r="DA117" i="36"/>
  <c r="DA165" i="36"/>
  <c r="DA150" i="36"/>
  <c r="DA153" i="36"/>
  <c r="DA154" i="36"/>
  <c r="DA158" i="36"/>
  <c r="DA199" i="36"/>
  <c r="DA178" i="36"/>
  <c r="DA152" i="36"/>
  <c r="DA155" i="36"/>
  <c r="DA174" i="36"/>
  <c r="DA212" i="36"/>
  <c r="DA227" i="36"/>
  <c r="DA254" i="36"/>
  <c r="DA219" i="36"/>
  <c r="DA218" i="36"/>
  <c r="DA284" i="36"/>
  <c r="DA246" i="36"/>
  <c r="DA240" i="36"/>
  <c r="DA281" i="36"/>
  <c r="DA252" i="36"/>
  <c r="DA271" i="36"/>
  <c r="DA327" i="36"/>
  <c r="DA299" i="36"/>
  <c r="DA315" i="36"/>
  <c r="DA301" i="36"/>
  <c r="DA300" i="36"/>
  <c r="DA333" i="36"/>
  <c r="DA351" i="36"/>
  <c r="DA344" i="36"/>
  <c r="DA368" i="36"/>
  <c r="DA360" i="36"/>
  <c r="DA361" i="36"/>
  <c r="DA386" i="36"/>
  <c r="DA369" i="36"/>
  <c r="DA397" i="36"/>
  <c r="DA400" i="36"/>
  <c r="DA410" i="36"/>
  <c r="DA415" i="36"/>
  <c r="DA436" i="36"/>
  <c r="DA72" i="36"/>
  <c r="DA87" i="36"/>
  <c r="DA96" i="36"/>
  <c r="DA98" i="36"/>
  <c r="DA134" i="36"/>
  <c r="DA169" i="36"/>
  <c r="DA125" i="36"/>
  <c r="DA177" i="36"/>
  <c r="DA156" i="36"/>
  <c r="DA157" i="36"/>
  <c r="DA161" i="36"/>
  <c r="DA206" i="36"/>
  <c r="DA135" i="36"/>
  <c r="DA204" i="36"/>
  <c r="DA160" i="36"/>
  <c r="DA163" i="36"/>
  <c r="DA183" i="36"/>
  <c r="DA220" i="36"/>
  <c r="DA200" i="36"/>
  <c r="DA198" i="36"/>
  <c r="DA235" i="36"/>
  <c r="DA226" i="36"/>
  <c r="DA230" i="36"/>
  <c r="DA217" i="36"/>
  <c r="DA248" i="36"/>
  <c r="DA286" i="36"/>
  <c r="DA260" i="36"/>
  <c r="DA285" i="36"/>
  <c r="DA289" i="36"/>
  <c r="DA303" i="36"/>
  <c r="DA319" i="36"/>
  <c r="DA302" i="36"/>
  <c r="DA308" i="36"/>
  <c r="DA335" i="36"/>
  <c r="DA323" i="36"/>
  <c r="DA352" i="36"/>
  <c r="DA371" i="36"/>
  <c r="DA362" i="36"/>
  <c r="DA366" i="36"/>
  <c r="DA435" i="36"/>
  <c r="DA406" i="36"/>
  <c r="DA357" i="36"/>
  <c r="DA424" i="36"/>
  <c r="DA412" i="36"/>
  <c r="DA432" i="36"/>
  <c r="DA418" i="36"/>
  <c r="DA74" i="36"/>
  <c r="DA70" i="36"/>
  <c r="DA106" i="36"/>
  <c r="DA104" i="36"/>
  <c r="DA122" i="36"/>
  <c r="DA69" i="36"/>
  <c r="DA128" i="36"/>
  <c r="DA136" i="36"/>
  <c r="DA94" i="36"/>
  <c r="DA89" i="36"/>
  <c r="DA170" i="36"/>
  <c r="DA213" i="36"/>
  <c r="DA143" i="36"/>
  <c r="DA242" i="36"/>
  <c r="DA168" i="36"/>
  <c r="DA171" i="36"/>
  <c r="DA188" i="36"/>
  <c r="DA224" i="36"/>
  <c r="DA214" i="36"/>
  <c r="DA201" i="36"/>
  <c r="DA237" i="36"/>
  <c r="DA231" i="36"/>
  <c r="DA250" i="36"/>
  <c r="DA225" i="36"/>
  <c r="DA256" i="36"/>
  <c r="DA241" i="36"/>
  <c r="DA268" i="36"/>
  <c r="DA330" i="36"/>
  <c r="DA347" i="36"/>
  <c r="DA305" i="36"/>
  <c r="DA322" i="36"/>
  <c r="DA304" i="36"/>
  <c r="DA316" i="36"/>
  <c r="DA338" i="36"/>
  <c r="DA331" i="36"/>
  <c r="DA376" i="36"/>
  <c r="DA337" i="36"/>
  <c r="DA363" i="36"/>
  <c r="DA367" i="36"/>
  <c r="DA374" i="36"/>
  <c r="DA411" i="36"/>
  <c r="DA365" i="36"/>
  <c r="DA390" i="36"/>
  <c r="DA414" i="36"/>
  <c r="DA438" i="36"/>
  <c r="DA426" i="36"/>
  <c r="DA75" i="36"/>
  <c r="DA71" i="36"/>
  <c r="DA112" i="36"/>
  <c r="DA103" i="36"/>
  <c r="DA130" i="36"/>
  <c r="DA77" i="36"/>
  <c r="DA129" i="36"/>
  <c r="DA146" i="36"/>
  <c r="DA102" i="36"/>
  <c r="DA97" i="36"/>
  <c r="DA100" i="36"/>
  <c r="DA164" i="36"/>
  <c r="DA151" i="36"/>
  <c r="DA173" i="36"/>
  <c r="DA176" i="36"/>
  <c r="DA179" i="36"/>
  <c r="DA191" i="36"/>
  <c r="DA228" i="36"/>
  <c r="DA222" i="36"/>
  <c r="DA205" i="36"/>
  <c r="DA282" i="36"/>
  <c r="DA234" i="36"/>
  <c r="DA251" i="36"/>
  <c r="DA245" i="36"/>
  <c r="DA264" i="36"/>
  <c r="DA249" i="36"/>
  <c r="DA283" i="36"/>
  <c r="DA288" i="36"/>
  <c r="DA290" i="36"/>
  <c r="DA306" i="36"/>
  <c r="DA279" i="36"/>
  <c r="DA309" i="36"/>
  <c r="DA324" i="36"/>
  <c r="DA343" i="36"/>
  <c r="DA334" i="36"/>
  <c r="DA383" i="36"/>
  <c r="DA345" i="36"/>
  <c r="DA364" i="36"/>
  <c r="DA372" i="36"/>
  <c r="DA377" i="36"/>
  <c r="DA385" i="36"/>
  <c r="DA373" i="36"/>
  <c r="DA398" i="36"/>
  <c r="DA393" i="36"/>
  <c r="DA433" i="36"/>
  <c r="DA413" i="36"/>
  <c r="DA76" i="36"/>
  <c r="DA73" i="36"/>
  <c r="DA88" i="36"/>
  <c r="DA91" i="36"/>
  <c r="DA132" i="36"/>
  <c r="DA85" i="36"/>
  <c r="DA131" i="36"/>
  <c r="DA99" i="36"/>
  <c r="DA110" i="36"/>
  <c r="DA105" i="36"/>
  <c r="DA108" i="36"/>
  <c r="DA172" i="36"/>
  <c r="DA159" i="36"/>
  <c r="DA181" i="36"/>
  <c r="DA203" i="36"/>
  <c r="DA182" i="36"/>
  <c r="DA193" i="36"/>
  <c r="DA229" i="36"/>
  <c r="DA269" i="36"/>
  <c r="DA207" i="36"/>
  <c r="DA274" i="36"/>
  <c r="DA253" i="36"/>
  <c r="DA262" i="36"/>
  <c r="DA258" i="36"/>
  <c r="DA272" i="36"/>
  <c r="DA257" i="36"/>
  <c r="DA239" i="36"/>
  <c r="DA329" i="36"/>
  <c r="DA291" i="36"/>
  <c r="DA307" i="36"/>
  <c r="DA287" i="36"/>
  <c r="DA310" i="36"/>
  <c r="DA332" i="36"/>
  <c r="DA346" i="36"/>
  <c r="DA430" i="36"/>
  <c r="DA394" i="36"/>
  <c r="DA353" i="36"/>
  <c r="DA340" i="36"/>
  <c r="DA375" i="36"/>
  <c r="DA378" i="36"/>
  <c r="DA389" i="36"/>
  <c r="DA391" i="36"/>
  <c r="DA401" i="36"/>
  <c r="DA388" i="36"/>
  <c r="DA423" i="36"/>
  <c r="DA421" i="36"/>
  <c r="DB61" i="36"/>
  <c r="DA80" i="36"/>
  <c r="DA78" i="36"/>
  <c r="DA90" i="36"/>
  <c r="DA111" i="36"/>
  <c r="DA133" i="36"/>
  <c r="DA93" i="36"/>
  <c r="DA145" i="36"/>
  <c r="DA107" i="36"/>
  <c r="DA118" i="36"/>
  <c r="DA113" i="36"/>
  <c r="DA116" i="36"/>
  <c r="DA180" i="36"/>
  <c r="DA167" i="36"/>
  <c r="DA186" i="36"/>
  <c r="DA221" i="36"/>
  <c r="DA184" i="36"/>
  <c r="DA196" i="36"/>
  <c r="DA238" i="36"/>
  <c r="DA187" i="36"/>
  <c r="DA208" i="36"/>
  <c r="DA278" i="36"/>
  <c r="DA266" i="36"/>
  <c r="DA276" i="36"/>
  <c r="DA259" i="36"/>
  <c r="DA273" i="36"/>
  <c r="DA265" i="36"/>
  <c r="DA247" i="36"/>
  <c r="DA339" i="36"/>
  <c r="DA295" i="36"/>
  <c r="DA311" i="36"/>
  <c r="DA293" i="36"/>
  <c r="DA312" i="36"/>
  <c r="DA336" i="36"/>
  <c r="DA320" i="36"/>
  <c r="DA370" i="36"/>
  <c r="DA419" i="36"/>
  <c r="DA354" i="36"/>
  <c r="DA348" i="36"/>
  <c r="DA379" i="36"/>
  <c r="DA380" i="36"/>
  <c r="DA405" i="36"/>
  <c r="DA395" i="36"/>
  <c r="DA402" i="36"/>
  <c r="DA396" i="36"/>
  <c r="DA417" i="36"/>
  <c r="DA429" i="36"/>
  <c r="CZ432" i="36"/>
  <c r="CZ439" i="36"/>
  <c r="CZ400" i="36"/>
  <c r="CZ386" i="36"/>
  <c r="CZ296" i="36"/>
  <c r="CZ234" i="36"/>
  <c r="CZ248" i="36"/>
  <c r="CZ233" i="36"/>
  <c r="CZ176" i="36"/>
  <c r="CZ144" i="36"/>
  <c r="CZ128" i="36"/>
  <c r="CZ81" i="36"/>
  <c r="CZ426" i="36"/>
  <c r="CZ375" i="36"/>
  <c r="CZ381" i="36"/>
  <c r="CZ294" i="36"/>
  <c r="CZ239" i="36"/>
  <c r="CZ227" i="36"/>
  <c r="CZ192" i="36"/>
  <c r="CZ162" i="36"/>
  <c r="CZ89" i="36"/>
  <c r="CZ122" i="36"/>
  <c r="CZ123" i="36"/>
  <c r="CZ77" i="36"/>
  <c r="CZ419" i="36"/>
  <c r="CZ380" i="36"/>
  <c r="CZ373" i="36"/>
  <c r="CZ308" i="36"/>
  <c r="CZ231" i="36"/>
  <c r="CZ265" i="36"/>
  <c r="CZ196" i="36"/>
  <c r="CZ154" i="36"/>
  <c r="CZ172" i="36"/>
  <c r="CZ73" i="36"/>
  <c r="CZ393" i="36"/>
  <c r="CZ378" i="36"/>
  <c r="CZ342" i="36"/>
  <c r="CZ307" i="36"/>
  <c r="CZ259" i="36"/>
  <c r="CZ206" i="36"/>
  <c r="CZ177" i="36"/>
  <c r="CZ194" i="36"/>
  <c r="CZ94" i="36"/>
  <c r="CZ99" i="36"/>
  <c r="CZ438" i="36"/>
  <c r="CZ361" i="36"/>
  <c r="CZ341" i="36"/>
  <c r="CZ292" i="36"/>
  <c r="CZ232" i="36"/>
  <c r="CZ204" i="36"/>
  <c r="CZ174" i="36"/>
  <c r="CZ187" i="36"/>
  <c r="CZ156" i="36"/>
  <c r="CZ84" i="36"/>
  <c r="CZ387" i="36"/>
  <c r="CZ359" i="36"/>
  <c r="CZ311" i="36"/>
  <c r="CZ344" i="36"/>
  <c r="CZ228" i="36"/>
  <c r="CZ209" i="36"/>
  <c r="CZ166" i="36"/>
  <c r="CZ95" i="36"/>
  <c r="CZ96" i="36"/>
  <c r="CZ69" i="36"/>
  <c r="CZ85" i="36"/>
  <c r="CZ379" i="36"/>
  <c r="CZ363" i="36"/>
  <c r="CZ321" i="36"/>
  <c r="CZ339" i="36"/>
  <c r="CZ225" i="36"/>
  <c r="CZ208" i="36"/>
  <c r="CZ185" i="36"/>
  <c r="CZ151" i="36"/>
  <c r="CZ88" i="36"/>
  <c r="CZ74" i="36"/>
  <c r="CZ360" i="36"/>
  <c r="CZ435" i="36"/>
  <c r="CZ317" i="36"/>
  <c r="CZ242" i="36"/>
  <c r="CZ280" i="36"/>
  <c r="CZ254" i="36"/>
  <c r="CZ184" i="36"/>
  <c r="CZ164" i="36"/>
  <c r="CZ129" i="36"/>
  <c r="DA66" i="36"/>
  <c r="DA82" i="36"/>
  <c r="DA79" i="36"/>
  <c r="DA95" i="36"/>
  <c r="DA92" i="36"/>
  <c r="DA137" i="36"/>
  <c r="DA101" i="36"/>
  <c r="DA149" i="36"/>
  <c r="DA115" i="36"/>
  <c r="DA126" i="36"/>
  <c r="DA121" i="36"/>
  <c r="DA124" i="36"/>
  <c r="DA190" i="36"/>
  <c r="DA175" i="36"/>
  <c r="DA223" i="36"/>
  <c r="DA139" i="36"/>
  <c r="DA185" i="36"/>
  <c r="DA215" i="36"/>
  <c r="DA189" i="36"/>
  <c r="DA195" i="36"/>
  <c r="DA209" i="36"/>
  <c r="DA202" i="36"/>
  <c r="DA267" i="36"/>
  <c r="DA261" i="36"/>
  <c r="DA270" i="36"/>
  <c r="DA275" i="36"/>
  <c r="DA236" i="36"/>
  <c r="DA255" i="36"/>
  <c r="DA318" i="36"/>
  <c r="DA297" i="36"/>
  <c r="DA313" i="36"/>
  <c r="DA294" i="36"/>
  <c r="DA321" i="36"/>
  <c r="DA317" i="36"/>
  <c r="DA328" i="36"/>
  <c r="DA349" i="36"/>
  <c r="DA342" i="36"/>
  <c r="DA355" i="36"/>
  <c r="DA358" i="36"/>
  <c r="DA381" i="36"/>
  <c r="DA407" i="36"/>
  <c r="DA399" i="36"/>
  <c r="DA384" i="36"/>
  <c r="DA404" i="36"/>
  <c r="DA439" i="36"/>
  <c r="AM22" i="102"/>
  <c r="AM74" i="102" s="1"/>
  <c r="E84" i="102"/>
  <c r="E85" i="102" s="1"/>
  <c r="E99" i="102"/>
  <c r="D99" i="102"/>
  <c r="D84" i="102"/>
  <c r="D85" i="102" s="1"/>
  <c r="G4" i="102"/>
  <c r="H4" i="102" s="1"/>
  <c r="I482" i="36"/>
  <c r="I505" i="36"/>
  <c r="L134" i="102"/>
  <c r="L135" i="102" s="1"/>
  <c r="R138" i="102"/>
  <c r="R139" i="102" s="1"/>
  <c r="L148" i="102"/>
  <c r="L138" i="102"/>
  <c r="L139" i="102" s="1"/>
  <c r="Q148" i="102"/>
  <c r="K138" i="102"/>
  <c r="K139" i="102" s="1"/>
  <c r="S146" i="102"/>
  <c r="DN436" i="36"/>
  <c r="DN420" i="36"/>
  <c r="DN412" i="36"/>
  <c r="DN433" i="36"/>
  <c r="DN417" i="36"/>
  <c r="DN435" i="36"/>
  <c r="DN427" i="36"/>
  <c r="DN419" i="36"/>
  <c r="DN430" i="36"/>
  <c r="DN432" i="36"/>
  <c r="DN426" i="36"/>
  <c r="DN407" i="36"/>
  <c r="DN409" i="36"/>
  <c r="DN404" i="36"/>
  <c r="DN401" i="36"/>
  <c r="DN395" i="36"/>
  <c r="DN387" i="36"/>
  <c r="DN418" i="36"/>
  <c r="DN416" i="36"/>
  <c r="DN415" i="36"/>
  <c r="DN411" i="36"/>
  <c r="DN410" i="36"/>
  <c r="DN408" i="36"/>
  <c r="DN406" i="36"/>
  <c r="DN403" i="36"/>
  <c r="DN402" i="36"/>
  <c r="DN400" i="36"/>
  <c r="DN392" i="36"/>
  <c r="DN429" i="36"/>
  <c r="DN421" i="36"/>
  <c r="DN405" i="36"/>
  <c r="DN397" i="36"/>
  <c r="DN389" i="36"/>
  <c r="DN414" i="36"/>
  <c r="DN399" i="36"/>
  <c r="DN391" i="36"/>
  <c r="DN383" i="36"/>
  <c r="DN384" i="36"/>
  <c r="DN372" i="36"/>
  <c r="DN364" i="36"/>
  <c r="DN356" i="36"/>
  <c r="DN394" i="36"/>
  <c r="DN439" i="36"/>
  <c r="DN438" i="36"/>
  <c r="DN424" i="36"/>
  <c r="DN396" i="36"/>
  <c r="DN393" i="36"/>
  <c r="DN390" i="36"/>
  <c r="DN423" i="36"/>
  <c r="DN413" i="36"/>
  <c r="DN385" i="36"/>
  <c r="DN380" i="36"/>
  <c r="DN377" i="36"/>
  <c r="DN398" i="36"/>
  <c r="DN382" i="36"/>
  <c r="DN379" i="36"/>
  <c r="DN378" i="36"/>
  <c r="DN376" i="36"/>
  <c r="DN368" i="36"/>
  <c r="DN388" i="36"/>
  <c r="DN381" i="36"/>
  <c r="DN373" i="36"/>
  <c r="DN386" i="36"/>
  <c r="DN362" i="36"/>
  <c r="DN354" i="36"/>
  <c r="DN347" i="36"/>
  <c r="DN339" i="36"/>
  <c r="DN352" i="36"/>
  <c r="DN344" i="36"/>
  <c r="DN336" i="36"/>
  <c r="DN349" i="36"/>
  <c r="DN341" i="36"/>
  <c r="DN375" i="36"/>
  <c r="DN369" i="36"/>
  <c r="DN374" i="36"/>
  <c r="DN371" i="36"/>
  <c r="DN351" i="36"/>
  <c r="DN343" i="36"/>
  <c r="DN348" i="36"/>
  <c r="DN370" i="36"/>
  <c r="DN366" i="36"/>
  <c r="DN367" i="36"/>
  <c r="DN365" i="36"/>
  <c r="DN361" i="36"/>
  <c r="DN357" i="36"/>
  <c r="DN337" i="36"/>
  <c r="DN330" i="36"/>
  <c r="DN322" i="36"/>
  <c r="DN358" i="36"/>
  <c r="DN338" i="36"/>
  <c r="DN335" i="36"/>
  <c r="DN327" i="36"/>
  <c r="DN319" i="36"/>
  <c r="DN363" i="36"/>
  <c r="DN353" i="36"/>
  <c r="DN350" i="36"/>
  <c r="DN332" i="36"/>
  <c r="DN324" i="36"/>
  <c r="DN359" i="36"/>
  <c r="DN345" i="36"/>
  <c r="DN342" i="36"/>
  <c r="DN340" i="36"/>
  <c r="DN331" i="36"/>
  <c r="DN323" i="36"/>
  <c r="DN315" i="36"/>
  <c r="DN307" i="36"/>
  <c r="DN299" i="36"/>
  <c r="DN291" i="36"/>
  <c r="DN313" i="36"/>
  <c r="DN305" i="36"/>
  <c r="DN297" i="36"/>
  <c r="DN289" i="36"/>
  <c r="DN286" i="36"/>
  <c r="DN278" i="36"/>
  <c r="DN346" i="36"/>
  <c r="DN360" i="36"/>
  <c r="DN355" i="36"/>
  <c r="DN333" i="36"/>
  <c r="DN321" i="36"/>
  <c r="DN320" i="36"/>
  <c r="DN288" i="36"/>
  <c r="DN334" i="36"/>
  <c r="DN318" i="36"/>
  <c r="DN326" i="36"/>
  <c r="DN325" i="36"/>
  <c r="DN287" i="36"/>
  <c r="DN312" i="36"/>
  <c r="DN309" i="36"/>
  <c r="DN304" i="36"/>
  <c r="DN301" i="36"/>
  <c r="DN329" i="36"/>
  <c r="DN311" i="36"/>
  <c r="DN310" i="36"/>
  <c r="DN306" i="36"/>
  <c r="DN270" i="36"/>
  <c r="DN262" i="36"/>
  <c r="DN254" i="36"/>
  <c r="DN246" i="36"/>
  <c r="DN238" i="36"/>
  <c r="DN316" i="36"/>
  <c r="DN303" i="36"/>
  <c r="DN283" i="36"/>
  <c r="DN267" i="36"/>
  <c r="DN259" i="36"/>
  <c r="DN251" i="36"/>
  <c r="DN243" i="36"/>
  <c r="DN235" i="36"/>
  <c r="DN308" i="36"/>
  <c r="DN290" i="36"/>
  <c r="DN264" i="36"/>
  <c r="DN256" i="36"/>
  <c r="DN248" i="36"/>
  <c r="DN240" i="36"/>
  <c r="DN296" i="36"/>
  <c r="DN292" i="36"/>
  <c r="DN276" i="36"/>
  <c r="DN271" i="36"/>
  <c r="DN263" i="36"/>
  <c r="DN255" i="36"/>
  <c r="DN247" i="36"/>
  <c r="DN239" i="36"/>
  <c r="DN231" i="36"/>
  <c r="DN314" i="36"/>
  <c r="DN293" i="36"/>
  <c r="DN285" i="36"/>
  <c r="DN242" i="36"/>
  <c r="DN241" i="36"/>
  <c r="DN224" i="36"/>
  <c r="DN216" i="36"/>
  <c r="DN298" i="36"/>
  <c r="DN295" i="36"/>
  <c r="DN282" i="36"/>
  <c r="DN274" i="36"/>
  <c r="DN269" i="36"/>
  <c r="DN268" i="36"/>
  <c r="DN236" i="36"/>
  <c r="DN233" i="36"/>
  <c r="DN229" i="36"/>
  <c r="DN300" i="36"/>
  <c r="DN275" i="36"/>
  <c r="DN258" i="36"/>
  <c r="DN257" i="36"/>
  <c r="DN245" i="36"/>
  <c r="DN244" i="36"/>
  <c r="DN317" i="36"/>
  <c r="DN294" i="36"/>
  <c r="DN280" i="36"/>
  <c r="DN279" i="36"/>
  <c r="DN272" i="36"/>
  <c r="DN261" i="36"/>
  <c r="DN260" i="36"/>
  <c r="DN302" i="36"/>
  <c r="DN250" i="36"/>
  <c r="DN249" i="36"/>
  <c r="DN225" i="36"/>
  <c r="DN217" i="36"/>
  <c r="DN209" i="36"/>
  <c r="DN201" i="36"/>
  <c r="DN328" i="36"/>
  <c r="DN266" i="36"/>
  <c r="DN234" i="36"/>
  <c r="DN223" i="36"/>
  <c r="DN219" i="36"/>
  <c r="DN211" i="36"/>
  <c r="DN197" i="36"/>
  <c r="DN265" i="36"/>
  <c r="DN253" i="36"/>
  <c r="DN230" i="36"/>
  <c r="DN194" i="36"/>
  <c r="DN186" i="36"/>
  <c r="DN277" i="36"/>
  <c r="DN252" i="36"/>
  <c r="DN222" i="36"/>
  <c r="DN214" i="36"/>
  <c r="DN199" i="36"/>
  <c r="DN284" i="36"/>
  <c r="DN232" i="36"/>
  <c r="DN196" i="36"/>
  <c r="DN188" i="36"/>
  <c r="DN237" i="36"/>
  <c r="DN220" i="36"/>
  <c r="DN212" i="36"/>
  <c r="DN226" i="36"/>
  <c r="DN218" i="36"/>
  <c r="DN281" i="36"/>
  <c r="DN228" i="36"/>
  <c r="DN227" i="36"/>
  <c r="DN221" i="36"/>
  <c r="DN215" i="36"/>
  <c r="DN213" i="36"/>
  <c r="DN210" i="36"/>
  <c r="DN208" i="36"/>
  <c r="DN205" i="36"/>
  <c r="DN204" i="36"/>
  <c r="DN202" i="36"/>
  <c r="DN195" i="36"/>
  <c r="DN193" i="36"/>
  <c r="DN191" i="36"/>
  <c r="DN184" i="36"/>
  <c r="DN181" i="36"/>
  <c r="DN173" i="36"/>
  <c r="DN165" i="36"/>
  <c r="DN178" i="36"/>
  <c r="DN170" i="36"/>
  <c r="DN162" i="36"/>
  <c r="DN154" i="36"/>
  <c r="DN146" i="36"/>
  <c r="DN138" i="36"/>
  <c r="DN206" i="36"/>
  <c r="DN175" i="36"/>
  <c r="DN167" i="36"/>
  <c r="DN159" i="36"/>
  <c r="DN151" i="36"/>
  <c r="DN143" i="36"/>
  <c r="DN189" i="36"/>
  <c r="DN180" i="36"/>
  <c r="DN172" i="36"/>
  <c r="DN177" i="36"/>
  <c r="DN203" i="36"/>
  <c r="DN192" i="36"/>
  <c r="DN190" i="36"/>
  <c r="DN187" i="36"/>
  <c r="DN174" i="36"/>
  <c r="DN166" i="36"/>
  <c r="DN158" i="36"/>
  <c r="DN150" i="36"/>
  <c r="DN142" i="36"/>
  <c r="DN134" i="36"/>
  <c r="DN207" i="36"/>
  <c r="DN183" i="36"/>
  <c r="DN179" i="36"/>
  <c r="DN171" i="36"/>
  <c r="DN163" i="36"/>
  <c r="DN273" i="36"/>
  <c r="DN200" i="36"/>
  <c r="DN198" i="36"/>
  <c r="DN185" i="36"/>
  <c r="DN182" i="36"/>
  <c r="DN168" i="36"/>
  <c r="DN135" i="36"/>
  <c r="DN123" i="36"/>
  <c r="DN115" i="36"/>
  <c r="DN107" i="36"/>
  <c r="DN99" i="36"/>
  <c r="DN120" i="36"/>
  <c r="DN112" i="36"/>
  <c r="DN104" i="36"/>
  <c r="DN96" i="36"/>
  <c r="DN169" i="36"/>
  <c r="DN147" i="36"/>
  <c r="DN144" i="36"/>
  <c r="DN141" i="36"/>
  <c r="DN140" i="36"/>
  <c r="DN125" i="36"/>
  <c r="DN117" i="36"/>
  <c r="DN109" i="36"/>
  <c r="DN101" i="36"/>
  <c r="DN93" i="36"/>
  <c r="DN160" i="36"/>
  <c r="DN153" i="36"/>
  <c r="DN131" i="36"/>
  <c r="DN128" i="36"/>
  <c r="DN122" i="36"/>
  <c r="DN114" i="36"/>
  <c r="DN106" i="36"/>
  <c r="DN98" i="36"/>
  <c r="DN176" i="36"/>
  <c r="DN164" i="36"/>
  <c r="DN157" i="36"/>
  <c r="DN156" i="36"/>
  <c r="DN136" i="36"/>
  <c r="DN133" i="36"/>
  <c r="DN130" i="36"/>
  <c r="DN129" i="36"/>
  <c r="DN127" i="36"/>
  <c r="DN161" i="36"/>
  <c r="DN139" i="36"/>
  <c r="DN132" i="36"/>
  <c r="DN124" i="36"/>
  <c r="DN116" i="36"/>
  <c r="DN108" i="36"/>
  <c r="DN100" i="36"/>
  <c r="DN92" i="36"/>
  <c r="DN84" i="36"/>
  <c r="DN76" i="36"/>
  <c r="DN68" i="36"/>
  <c r="DN145" i="36"/>
  <c r="DN137" i="36"/>
  <c r="DN121" i="36"/>
  <c r="DN155" i="36"/>
  <c r="DN152" i="36"/>
  <c r="DN149" i="36"/>
  <c r="DN148" i="36"/>
  <c r="DN126" i="36"/>
  <c r="DN118" i="36"/>
  <c r="DN119" i="36"/>
  <c r="DN110" i="36"/>
  <c r="DN70" i="36"/>
  <c r="DN103" i="36"/>
  <c r="DN97" i="36"/>
  <c r="DN83" i="36"/>
  <c r="DN80" i="36"/>
  <c r="DN75" i="36"/>
  <c r="DN72" i="36"/>
  <c r="DN71" i="36"/>
  <c r="DN69" i="36"/>
  <c r="DN113" i="36"/>
  <c r="DN102" i="36"/>
  <c r="DN91" i="36"/>
  <c r="DN88" i="36"/>
  <c r="DN73" i="36"/>
  <c r="DN111" i="36"/>
  <c r="DN105" i="36"/>
  <c r="DN94" i="36"/>
  <c r="DN90" i="36"/>
  <c r="DN86" i="36"/>
  <c r="DN81" i="36"/>
  <c r="DN78" i="36"/>
  <c r="DN95" i="36"/>
  <c r="DN89" i="36"/>
  <c r="DN82" i="36"/>
  <c r="DN74" i="36"/>
  <c r="DN66" i="36"/>
  <c r="DN85" i="36"/>
  <c r="DN77" i="36"/>
  <c r="DN87" i="36"/>
  <c r="DO61" i="36"/>
  <c r="DN79" i="36"/>
  <c r="DN67" i="36"/>
  <c r="DB426" i="36"/>
  <c r="DB418" i="36"/>
  <c r="DB439" i="36"/>
  <c r="DB423" i="36"/>
  <c r="DB415" i="36"/>
  <c r="DB433" i="36"/>
  <c r="DB417" i="36"/>
  <c r="DB420" i="36"/>
  <c r="DB416" i="36"/>
  <c r="DB419" i="36"/>
  <c r="DB435" i="36"/>
  <c r="DB414" i="36"/>
  <c r="DB405" i="36"/>
  <c r="DB393" i="36"/>
  <c r="DB385" i="36"/>
  <c r="DB412" i="36"/>
  <c r="DB410" i="36"/>
  <c r="DB409" i="36"/>
  <c r="DB404" i="36"/>
  <c r="DB402" i="36"/>
  <c r="DB401" i="36"/>
  <c r="DB398" i="36"/>
  <c r="DB390" i="36"/>
  <c r="DB430" i="36"/>
  <c r="DB411" i="36"/>
  <c r="DB407" i="36"/>
  <c r="DB406" i="36"/>
  <c r="DB403" i="36"/>
  <c r="DB395" i="36"/>
  <c r="DB397" i="36"/>
  <c r="DB389" i="36"/>
  <c r="DB381" i="36"/>
  <c r="DB432" i="36"/>
  <c r="DB413" i="36"/>
  <c r="DB392" i="36"/>
  <c r="DB387" i="36"/>
  <c r="DB370" i="36"/>
  <c r="DB362" i="36"/>
  <c r="DB354" i="36"/>
  <c r="DB436" i="36"/>
  <c r="DB429" i="36"/>
  <c r="DB399" i="36"/>
  <c r="DB396" i="36"/>
  <c r="DB384" i="36"/>
  <c r="DB400" i="36"/>
  <c r="DB421" i="36"/>
  <c r="DB424" i="36"/>
  <c r="DB380" i="36"/>
  <c r="DB378" i="36"/>
  <c r="DB377" i="36"/>
  <c r="DB374" i="36"/>
  <c r="DB438" i="36"/>
  <c r="DB388" i="36"/>
  <c r="DB386" i="36"/>
  <c r="DB382" i="36"/>
  <c r="DB379" i="36"/>
  <c r="DB371" i="36"/>
  <c r="DB394" i="36"/>
  <c r="DB383" i="36"/>
  <c r="DB376" i="36"/>
  <c r="DB391" i="36"/>
  <c r="DB364" i="36"/>
  <c r="DB363" i="36"/>
  <c r="DB360" i="36"/>
  <c r="DB356" i="36"/>
  <c r="DB355" i="36"/>
  <c r="DB353" i="36"/>
  <c r="DB345" i="36"/>
  <c r="DB337" i="36"/>
  <c r="DB408" i="36"/>
  <c r="DB368" i="36"/>
  <c r="DB365" i="36"/>
  <c r="DB357" i="36"/>
  <c r="DB350" i="36"/>
  <c r="DB342" i="36"/>
  <c r="DB347" i="36"/>
  <c r="DB339" i="36"/>
  <c r="DB369" i="36"/>
  <c r="DB349" i="36"/>
  <c r="DB427" i="36"/>
  <c r="DB373" i="36"/>
  <c r="DB346" i="36"/>
  <c r="DB375" i="36"/>
  <c r="DB372" i="36"/>
  <c r="DB367" i="36"/>
  <c r="DB366" i="36"/>
  <c r="DB359" i="36"/>
  <c r="DB351" i="36"/>
  <c r="DB341" i="36"/>
  <c r="DB328" i="36"/>
  <c r="DB320" i="36"/>
  <c r="DB348" i="36"/>
  <c r="DB343" i="36"/>
  <c r="DB338" i="36"/>
  <c r="DB335" i="36"/>
  <c r="DB333" i="36"/>
  <c r="DB325" i="36"/>
  <c r="DB344" i="36"/>
  <c r="DB330" i="36"/>
  <c r="DB322" i="36"/>
  <c r="DB361" i="36"/>
  <c r="DB352" i="36"/>
  <c r="DB340" i="36"/>
  <c r="DB329" i="36"/>
  <c r="DB321" i="36"/>
  <c r="DB313" i="36"/>
  <c r="DB305" i="36"/>
  <c r="DB297" i="36"/>
  <c r="DB334" i="36"/>
  <c r="DB331" i="36"/>
  <c r="DB319" i="36"/>
  <c r="DB317" i="36"/>
  <c r="DB315" i="36"/>
  <c r="DB314" i="36"/>
  <c r="DB311" i="36"/>
  <c r="DB307" i="36"/>
  <c r="DB306" i="36"/>
  <c r="DB303" i="36"/>
  <c r="DB299" i="36"/>
  <c r="DB298" i="36"/>
  <c r="DB295" i="36"/>
  <c r="DB291" i="36"/>
  <c r="DB290" i="36"/>
  <c r="DB284" i="36"/>
  <c r="DB276" i="36"/>
  <c r="DB316" i="36"/>
  <c r="DB308" i="36"/>
  <c r="DB300" i="36"/>
  <c r="DB292" i="36"/>
  <c r="DB289" i="36"/>
  <c r="DB327" i="36"/>
  <c r="DB326" i="36"/>
  <c r="DB324" i="36"/>
  <c r="DB318" i="36"/>
  <c r="DB286" i="36"/>
  <c r="DB323" i="36"/>
  <c r="DB336" i="36"/>
  <c r="DB358" i="36"/>
  <c r="DB332" i="36"/>
  <c r="DB302" i="36"/>
  <c r="DB288" i="36"/>
  <c r="DB283" i="36"/>
  <c r="DB268" i="36"/>
  <c r="DB260" i="36"/>
  <c r="DB252" i="36"/>
  <c r="DB244" i="36"/>
  <c r="DB236" i="36"/>
  <c r="DB265" i="36"/>
  <c r="DB257" i="36"/>
  <c r="DB249" i="36"/>
  <c r="DB241" i="36"/>
  <c r="DB233" i="36"/>
  <c r="DB309" i="36"/>
  <c r="DB294" i="36"/>
  <c r="DB293" i="36"/>
  <c r="DB270" i="36"/>
  <c r="DB262" i="36"/>
  <c r="DB254" i="36"/>
  <c r="DB246" i="36"/>
  <c r="DB238" i="36"/>
  <c r="DB278" i="36"/>
  <c r="DB277" i="36"/>
  <c r="DB274" i="36"/>
  <c r="DB269" i="36"/>
  <c r="DB261" i="36"/>
  <c r="DB253" i="36"/>
  <c r="DB245" i="36"/>
  <c r="DB237" i="36"/>
  <c r="DB287" i="36"/>
  <c r="DB255" i="36"/>
  <c r="DB222" i="36"/>
  <c r="DB214" i="36"/>
  <c r="DB312" i="36"/>
  <c r="DB301" i="36"/>
  <c r="DB296" i="36"/>
  <c r="DB280" i="36"/>
  <c r="DB279" i="36"/>
  <c r="DB272" i="36"/>
  <c r="DB235" i="36"/>
  <c r="DB227" i="36"/>
  <c r="DB271" i="36"/>
  <c r="DB251" i="36"/>
  <c r="DB250" i="36"/>
  <c r="DB248" i="36"/>
  <c r="DB281" i="36"/>
  <c r="DB273" i="36"/>
  <c r="DB247" i="36"/>
  <c r="DB229" i="36"/>
  <c r="DB267" i="36"/>
  <c r="DB266" i="36"/>
  <c r="DB264" i="36"/>
  <c r="DB285" i="36"/>
  <c r="DB263" i="36"/>
  <c r="DB243" i="36"/>
  <c r="DB242" i="36"/>
  <c r="DB240" i="36"/>
  <c r="DB223" i="36"/>
  <c r="DB215" i="36"/>
  <c r="DB207" i="36"/>
  <c r="DB310" i="36"/>
  <c r="DB282" i="36"/>
  <c r="DB231" i="36"/>
  <c r="DB216" i="36"/>
  <c r="DB210" i="36"/>
  <c r="DB202" i="36"/>
  <c r="DB195" i="36"/>
  <c r="DB256" i="36"/>
  <c r="DB239" i="36"/>
  <c r="DB200" i="36"/>
  <c r="DB192" i="36"/>
  <c r="DB184" i="36"/>
  <c r="DB304" i="36"/>
  <c r="DB275" i="36"/>
  <c r="DB232" i="36"/>
  <c r="DB197" i="36"/>
  <c r="DB228" i="36"/>
  <c r="DB226" i="36"/>
  <c r="DB224" i="36"/>
  <c r="DB220" i="36"/>
  <c r="DB212" i="36"/>
  <c r="DB194" i="36"/>
  <c r="DB186" i="36"/>
  <c r="DB234" i="36"/>
  <c r="DB225" i="36"/>
  <c r="DB217" i="36"/>
  <c r="DB259" i="36"/>
  <c r="DB230" i="36"/>
  <c r="DB258" i="36"/>
  <c r="DB221" i="36"/>
  <c r="DB218" i="36"/>
  <c r="DB213" i="36"/>
  <c r="DB206" i="36"/>
  <c r="DB204" i="36"/>
  <c r="DB203" i="36"/>
  <c r="DB185" i="36"/>
  <c r="DB182" i="36"/>
  <c r="DB179" i="36"/>
  <c r="DB171" i="36"/>
  <c r="DB163" i="36"/>
  <c r="DB176" i="36"/>
  <c r="DB168" i="36"/>
  <c r="DB160" i="36"/>
  <c r="DB152" i="36"/>
  <c r="DB144" i="36"/>
  <c r="DB136" i="36"/>
  <c r="DB219" i="36"/>
  <c r="DB181" i="36"/>
  <c r="DB173" i="36"/>
  <c r="DB165" i="36"/>
  <c r="DB157" i="36"/>
  <c r="DB149" i="36"/>
  <c r="DB141" i="36"/>
  <c r="DB211" i="36"/>
  <c r="DB189" i="36"/>
  <c r="DB178" i="36"/>
  <c r="DB208" i="36"/>
  <c r="DB198" i="36"/>
  <c r="DB175" i="36"/>
  <c r="DB205" i="36"/>
  <c r="DB199" i="36"/>
  <c r="DB190" i="36"/>
  <c r="DB180" i="36"/>
  <c r="DB172" i="36"/>
  <c r="DB164" i="36"/>
  <c r="DB156" i="36"/>
  <c r="DB148" i="36"/>
  <c r="DB140" i="36"/>
  <c r="DB132" i="36"/>
  <c r="DB201" i="36"/>
  <c r="DB187" i="36"/>
  <c r="DB177" i="36"/>
  <c r="DB169" i="36"/>
  <c r="DB161" i="36"/>
  <c r="DB209" i="36"/>
  <c r="DB196" i="36"/>
  <c r="DB193" i="36"/>
  <c r="DB191" i="36"/>
  <c r="DB188" i="36"/>
  <c r="DB183" i="36"/>
  <c r="DB170" i="36"/>
  <c r="DB166" i="36"/>
  <c r="DB154" i="36"/>
  <c r="DB151" i="36"/>
  <c r="DB121" i="36"/>
  <c r="DB113" i="36"/>
  <c r="DB105" i="36"/>
  <c r="DB97" i="36"/>
  <c r="DB153" i="36"/>
  <c r="DB138" i="36"/>
  <c r="DB135" i="36"/>
  <c r="DB126" i="36"/>
  <c r="DB118" i="36"/>
  <c r="DB110" i="36"/>
  <c r="DB102" i="36"/>
  <c r="DB94" i="36"/>
  <c r="DB167" i="36"/>
  <c r="DB150" i="36"/>
  <c r="DB147" i="36"/>
  <c r="DB123" i="36"/>
  <c r="DB115" i="36"/>
  <c r="DB107" i="36"/>
  <c r="DB99" i="36"/>
  <c r="DB91" i="36"/>
  <c r="DB146" i="36"/>
  <c r="DB143" i="36"/>
  <c r="DB120" i="36"/>
  <c r="DB112" i="36"/>
  <c r="DB104" i="36"/>
  <c r="DB96" i="36"/>
  <c r="DB162" i="36"/>
  <c r="DB145" i="36"/>
  <c r="DB131" i="36"/>
  <c r="DB129" i="36"/>
  <c r="DB128" i="36"/>
  <c r="DB142" i="36"/>
  <c r="DB139" i="36"/>
  <c r="DB137" i="36"/>
  <c r="DB133" i="36"/>
  <c r="DB130" i="36"/>
  <c r="DB122" i="36"/>
  <c r="DB114" i="36"/>
  <c r="DB106" i="36"/>
  <c r="DB98" i="36"/>
  <c r="DB90" i="36"/>
  <c r="DB82" i="36"/>
  <c r="DB74" i="36"/>
  <c r="DB66" i="36"/>
  <c r="DB159" i="36"/>
  <c r="DB134" i="36"/>
  <c r="DB127" i="36"/>
  <c r="DB174" i="36"/>
  <c r="DB158" i="36"/>
  <c r="DB155" i="36"/>
  <c r="DB124" i="36"/>
  <c r="DB116" i="36"/>
  <c r="DB111" i="36"/>
  <c r="DB93" i="36"/>
  <c r="DB103" i="36"/>
  <c r="DB108" i="36"/>
  <c r="DB95" i="36"/>
  <c r="DB88" i="36"/>
  <c r="DB119" i="36"/>
  <c r="DB101" i="36"/>
  <c r="DB79" i="36"/>
  <c r="DB78" i="36"/>
  <c r="DB71" i="36"/>
  <c r="DB70" i="36"/>
  <c r="DB125" i="36"/>
  <c r="DB117" i="36"/>
  <c r="DB100" i="36"/>
  <c r="DB109" i="36"/>
  <c r="DB89" i="36"/>
  <c r="DB87" i="36"/>
  <c r="DB84" i="36"/>
  <c r="DB83" i="36"/>
  <c r="DB80" i="36"/>
  <c r="DB76" i="36"/>
  <c r="DB75" i="36"/>
  <c r="DB72" i="36"/>
  <c r="DB68" i="36"/>
  <c r="DB67" i="36"/>
  <c r="DC61" i="36"/>
  <c r="DB73" i="36"/>
  <c r="DB92" i="36"/>
  <c r="DB85" i="36"/>
  <c r="DB77" i="36"/>
  <c r="DB69" i="36"/>
  <c r="DB86" i="36"/>
  <c r="DB81" i="36"/>
  <c r="I508" i="36"/>
  <c r="I485" i="36"/>
  <c r="DA315" i="57"/>
  <c r="DA312" i="57"/>
  <c r="DA316" i="57"/>
  <c r="DA304" i="57"/>
  <c r="DA288" i="57"/>
  <c r="DA280" i="57"/>
  <c r="DA301" i="57"/>
  <c r="DA285" i="57"/>
  <c r="DA298" i="57"/>
  <c r="DA303" i="57"/>
  <c r="DA297" i="57"/>
  <c r="DA289" i="57"/>
  <c r="DA318" i="57"/>
  <c r="DA306" i="57"/>
  <c r="DA294" i="57"/>
  <c r="DA286" i="57"/>
  <c r="DA313" i="57"/>
  <c r="DA310" i="57"/>
  <c r="DA309" i="57"/>
  <c r="DA307" i="57"/>
  <c r="DA291" i="57"/>
  <c r="DA282" i="57"/>
  <c r="DA274" i="57"/>
  <c r="DA258" i="57"/>
  <c r="DA250" i="57"/>
  <c r="DA234" i="57"/>
  <c r="DA271" i="57"/>
  <c r="DA255" i="57"/>
  <c r="DA268" i="57"/>
  <c r="DA252" i="57"/>
  <c r="DA276" i="57"/>
  <c r="DA273" i="57"/>
  <c r="DA265" i="57"/>
  <c r="DA292" i="57"/>
  <c r="DA300" i="57"/>
  <c r="DA279" i="57"/>
  <c r="DA267" i="57"/>
  <c r="DA295" i="57"/>
  <c r="DA283" i="57"/>
  <c r="DA277" i="57"/>
  <c r="DA256" i="57"/>
  <c r="DA249" i="57"/>
  <c r="DA231" i="57"/>
  <c r="DA223" i="57"/>
  <c r="DA207" i="57"/>
  <c r="DA261" i="57"/>
  <c r="DA259" i="57"/>
  <c r="DA228" i="57"/>
  <c r="DA220" i="57"/>
  <c r="DA264" i="57"/>
  <c r="DA262" i="57"/>
  <c r="DA219" i="57"/>
  <c r="DA211" i="57"/>
  <c r="DA270" i="57"/>
  <c r="DA214" i="57"/>
  <c r="DA199" i="57"/>
  <c r="DA183" i="57"/>
  <c r="DA244" i="57"/>
  <c r="DA243" i="57"/>
  <c r="DA217" i="57"/>
  <c r="DA213" i="57"/>
  <c r="DA204" i="57"/>
  <c r="DA196" i="57"/>
  <c r="DA180" i="57"/>
  <c r="DA246" i="57"/>
  <c r="DA216" i="57"/>
  <c r="DA229" i="57"/>
  <c r="DA241" i="57"/>
  <c r="DA238" i="57"/>
  <c r="DA225" i="57"/>
  <c r="DA210" i="57"/>
  <c r="DA208" i="57"/>
  <c r="DA192" i="57"/>
  <c r="DA184" i="57"/>
  <c r="DA247" i="57"/>
  <c r="DA240" i="57"/>
  <c r="DA253" i="57"/>
  <c r="DA237" i="57"/>
  <c r="DA235" i="57"/>
  <c r="DA232" i="57"/>
  <c r="DA202" i="57"/>
  <c r="DA201" i="57"/>
  <c r="DA198" i="57"/>
  <c r="DA187" i="57"/>
  <c r="DA189" i="57"/>
  <c r="DA181" i="57"/>
  <c r="DA178" i="57"/>
  <c r="DA168" i="57"/>
  <c r="DA160" i="57"/>
  <c r="DA144" i="57"/>
  <c r="DA177" i="57"/>
  <c r="DA174" i="57"/>
  <c r="DA171" i="57"/>
  <c r="DA166" i="57"/>
  <c r="DA165" i="57"/>
  <c r="DA163" i="57"/>
  <c r="DA159" i="57"/>
  <c r="DA157" i="57"/>
  <c r="DA151" i="57"/>
  <c r="DA150" i="57"/>
  <c r="DA147" i="57"/>
  <c r="DA142" i="57"/>
  <c r="DA126" i="57"/>
  <c r="DA118" i="57"/>
  <c r="DA102" i="57"/>
  <c r="DA94" i="57"/>
  <c r="DA190" i="57"/>
  <c r="DA186" i="57"/>
  <c r="DA139" i="57"/>
  <c r="DA123" i="57"/>
  <c r="DA115" i="57"/>
  <c r="DA136" i="57"/>
  <c r="DA120" i="57"/>
  <c r="DA112" i="57"/>
  <c r="DA96" i="57"/>
  <c r="DA88" i="57"/>
  <c r="DA226" i="57"/>
  <c r="DA193" i="57"/>
  <c r="DA175" i="57"/>
  <c r="DA141" i="57"/>
  <c r="DA133" i="57"/>
  <c r="DA222" i="57"/>
  <c r="DA205" i="57"/>
  <c r="DA138" i="57"/>
  <c r="DA130" i="57"/>
  <c r="DA114" i="57"/>
  <c r="DA135" i="57"/>
  <c r="DA127" i="57"/>
  <c r="DA111" i="57"/>
  <c r="DA103" i="57"/>
  <c r="DA87" i="57"/>
  <c r="DA79" i="57"/>
  <c r="DA195" i="57"/>
  <c r="DA132" i="57"/>
  <c r="DA124" i="57"/>
  <c r="DA172" i="57"/>
  <c r="DA169" i="57"/>
  <c r="DA162" i="57"/>
  <c r="DA156" i="57"/>
  <c r="DA154" i="57"/>
  <c r="DA153" i="57"/>
  <c r="DA148" i="57"/>
  <c r="DA145" i="57"/>
  <c r="DA129" i="57"/>
  <c r="DA121" i="57"/>
  <c r="DA100" i="57"/>
  <c r="DA84" i="57"/>
  <c r="DA75" i="57"/>
  <c r="DA73" i="57"/>
  <c r="DA82" i="57"/>
  <c r="DA78" i="57"/>
  <c r="DA76" i="57"/>
  <c r="DA70" i="57"/>
  <c r="DA85" i="57"/>
  <c r="DA99" i="57"/>
  <c r="DA93" i="57"/>
  <c r="DA81" i="57"/>
  <c r="DA117" i="57"/>
  <c r="DB64" i="57"/>
  <c r="DA106" i="57"/>
  <c r="DA105" i="57"/>
  <c r="DA108" i="57"/>
  <c r="DA91" i="57"/>
  <c r="DA72" i="57"/>
  <c r="DA109" i="57"/>
  <c r="DA97" i="57"/>
  <c r="DA69" i="57"/>
  <c r="DA90" i="57"/>
  <c r="DN276" i="57"/>
  <c r="DN289" i="57"/>
  <c r="DN301" i="57"/>
  <c r="DN285" i="57"/>
  <c r="DN306" i="57"/>
  <c r="DN288" i="57"/>
  <c r="DN270" i="57"/>
  <c r="DN282" i="57"/>
  <c r="DN259" i="57"/>
  <c r="DN295" i="57"/>
  <c r="DN279" i="57"/>
  <c r="DN286" i="57"/>
  <c r="DN283" i="57"/>
  <c r="DN237" i="57"/>
  <c r="DN219" i="57"/>
  <c r="DN211" i="57"/>
  <c r="DN232" i="57"/>
  <c r="DN208" i="57"/>
  <c r="DN258" i="57"/>
  <c r="DN268" i="57"/>
  <c r="DN187" i="57"/>
  <c r="DN253" i="57"/>
  <c r="DN192" i="57"/>
  <c r="DN307" i="57"/>
  <c r="DN217" i="57"/>
  <c r="DN255" i="57"/>
  <c r="DN204" i="57"/>
  <c r="DN196" i="57"/>
  <c r="DN198" i="57"/>
  <c r="DN180" i="57"/>
  <c r="DN189" i="57"/>
  <c r="DN138" i="57"/>
  <c r="DN114" i="57"/>
  <c r="DN106" i="57"/>
  <c r="DN135" i="57"/>
  <c r="DN111" i="57"/>
  <c r="DN132" i="57"/>
  <c r="DN121" i="57"/>
  <c r="DN169" i="57"/>
  <c r="DN153" i="57"/>
  <c r="DN181" i="57"/>
  <c r="DN168" i="57"/>
  <c r="DN166" i="57"/>
  <c r="DN150" i="57"/>
  <c r="DN144" i="57"/>
  <c r="DN142" i="57"/>
  <c r="DN91" i="57"/>
  <c r="DN190" i="57"/>
  <c r="DN174" i="57"/>
  <c r="DN136" i="57"/>
  <c r="DN199" i="57"/>
  <c r="DN183" i="57"/>
  <c r="DN81" i="57"/>
  <c r="DN73" i="57"/>
  <c r="DN72" i="57"/>
  <c r="DN78" i="57"/>
  <c r="DN93" i="57"/>
  <c r="DN88" i="57"/>
  <c r="DN85" i="57"/>
  <c r="DN117" i="57"/>
  <c r="DN94" i="57"/>
  <c r="I533" i="57"/>
  <c r="I494" i="57"/>
  <c r="I543" i="57"/>
  <c r="I501" i="57"/>
  <c r="I531" i="57"/>
  <c r="I492" i="57"/>
  <c r="I532" i="57"/>
  <c r="I493" i="57"/>
  <c r="O138" i="102"/>
  <c r="O139" i="102" s="1"/>
  <c r="Q135" i="102"/>
  <c r="Q149" i="102"/>
  <c r="N149" i="102"/>
  <c r="R136" i="102"/>
  <c r="R137" i="102" s="1"/>
  <c r="M136" i="102"/>
  <c r="M137" i="102" s="1"/>
  <c r="O136" i="102"/>
  <c r="O137" i="102" s="1"/>
  <c r="S148" i="102"/>
  <c r="K129" i="102"/>
  <c r="AL22" i="102"/>
  <c r="AL74" i="102" s="1"/>
  <c r="S133" i="102"/>
  <c r="N134" i="102"/>
  <c r="N135" i="102" s="1"/>
  <c r="R129" i="102"/>
  <c r="K147" i="102"/>
  <c r="S147" i="102"/>
  <c r="T148" i="102"/>
  <c r="D147" i="102"/>
  <c r="K148" i="102"/>
  <c r="S134" i="102"/>
  <c r="S135" i="102" s="1"/>
  <c r="M138" i="102"/>
  <c r="M139" i="102" s="1"/>
  <c r="S129" i="102"/>
  <c r="P148" i="102"/>
  <c r="P129" i="102"/>
  <c r="K132" i="102"/>
  <c r="E148" i="102"/>
  <c r="C138" i="102"/>
  <c r="C139" i="102" s="1"/>
  <c r="G138" i="102"/>
  <c r="G139" i="102" s="1"/>
  <c r="D138" i="102"/>
  <c r="D139" i="102" s="1"/>
  <c r="E146" i="102"/>
  <c r="Q129" i="102"/>
  <c r="N148" i="102"/>
  <c r="G146" i="102"/>
  <c r="T138" i="102"/>
  <c r="T139" i="102" s="1"/>
  <c r="E134" i="102"/>
  <c r="E135" i="102" s="1"/>
  <c r="Q132" i="102"/>
  <c r="Q140" i="102" s="1"/>
  <c r="N137" i="102"/>
  <c r="P147" i="102"/>
  <c r="P132" i="102"/>
  <c r="P133" i="102" s="1"/>
  <c r="Q147" i="102"/>
  <c r="M147" i="102"/>
  <c r="F148" i="102"/>
  <c r="P146" i="102"/>
  <c r="D134" i="102"/>
  <c r="D135" i="102" s="1"/>
  <c r="F99" i="102"/>
  <c r="AN22" i="102"/>
  <c r="AN74" i="102" s="1"/>
  <c r="O147" i="102"/>
  <c r="T147" i="102"/>
  <c r="R146" i="102"/>
  <c r="K146" i="102"/>
  <c r="G136" i="102"/>
  <c r="G137" i="102" s="1"/>
  <c r="C147" i="102"/>
  <c r="E129" i="102"/>
  <c r="F146" i="102"/>
  <c r="F135" i="102"/>
  <c r="E137" i="102"/>
  <c r="F129" i="102"/>
  <c r="F147" i="102"/>
  <c r="F138" i="102"/>
  <c r="F139" i="102" s="1"/>
  <c r="D136" i="102"/>
  <c r="D137" i="102" s="1"/>
  <c r="D148" i="102"/>
  <c r="C148" i="102"/>
  <c r="E132" i="102"/>
  <c r="E133" i="102" s="1"/>
  <c r="C135" i="102"/>
  <c r="C137" i="102"/>
  <c r="L133" i="102"/>
  <c r="L129" i="102"/>
  <c r="L146" i="102"/>
  <c r="G147" i="102"/>
  <c r="G134" i="102"/>
  <c r="G135" i="102" s="1"/>
  <c r="P140" i="102"/>
  <c r="O146" i="102"/>
  <c r="O129" i="102"/>
  <c r="O132" i="102"/>
  <c r="C146" i="102"/>
  <c r="C129" i="102"/>
  <c r="D146" i="102"/>
  <c r="D129" i="102"/>
  <c r="D132" i="102"/>
  <c r="N146" i="102"/>
  <c r="N129" i="102"/>
  <c r="P149" i="102"/>
  <c r="P139" i="102"/>
  <c r="R134" i="102"/>
  <c r="R147" i="102"/>
  <c r="N132" i="102"/>
  <c r="M146" i="102"/>
  <c r="M129" i="102"/>
  <c r="M132" i="102"/>
  <c r="M133" i="102" s="1"/>
  <c r="C132" i="102"/>
  <c r="G6" i="102"/>
  <c r="G84" i="102" s="1"/>
  <c r="G85" i="102" s="1"/>
  <c r="G129" i="102"/>
  <c r="T133" i="102"/>
  <c r="T146" i="102"/>
  <c r="T129" i="102"/>
  <c r="E149" i="102"/>
  <c r="E139" i="102"/>
  <c r="DN97" i="57" l="1"/>
  <c r="DN76" i="57"/>
  <c r="DN79" i="57"/>
  <c r="DN226" i="57"/>
  <c r="DN75" i="57"/>
  <c r="DN147" i="57"/>
  <c r="DN171" i="57"/>
  <c r="DN178" i="57"/>
  <c r="DN127" i="57"/>
  <c r="DN130" i="57"/>
  <c r="DN210" i="57"/>
  <c r="DN222" i="57"/>
  <c r="DN184" i="57"/>
  <c r="DN195" i="57"/>
  <c r="DN216" i="57"/>
  <c r="DN234" i="57"/>
  <c r="DN271" i="57"/>
  <c r="DN267" i="57"/>
  <c r="DN304" i="57"/>
  <c r="DN309" i="57"/>
  <c r="DN297" i="57"/>
  <c r="DN96" i="57"/>
  <c r="DN151" i="57"/>
  <c r="DN154" i="57"/>
  <c r="DN175" i="57"/>
  <c r="DN201" i="57"/>
  <c r="DN213" i="57"/>
  <c r="DN241" i="57"/>
  <c r="DN261" i="57"/>
  <c r="DN313" i="57"/>
  <c r="DN292" i="57"/>
  <c r="DN84" i="57"/>
  <c r="DN102" i="57"/>
  <c r="DN133" i="57"/>
  <c r="DN157" i="57"/>
  <c r="DN115" i="57"/>
  <c r="DN160" i="57"/>
  <c r="DN118" i="57"/>
  <c r="DN100" i="57"/>
  <c r="DN205" i="57"/>
  <c r="DN202" i="57"/>
  <c r="DN243" i="57"/>
  <c r="DN214" i="57"/>
  <c r="DN223" i="57"/>
  <c r="DN247" i="57"/>
  <c r="DN244" i="57"/>
  <c r="DN291" i="57"/>
  <c r="DN238" i="57"/>
  <c r="DN318" i="57"/>
  <c r="DN300" i="57"/>
  <c r="DN87" i="57"/>
  <c r="DN120" i="57"/>
  <c r="DN109" i="57"/>
  <c r="DN141" i="57"/>
  <c r="DN159" i="57"/>
  <c r="DN123" i="57"/>
  <c r="DN162" i="57"/>
  <c r="DN126" i="57"/>
  <c r="DN108" i="57"/>
  <c r="DN225" i="57"/>
  <c r="DN156" i="57"/>
  <c r="DN228" i="57"/>
  <c r="DN273" i="57"/>
  <c r="DN220" i="57"/>
  <c r="DN231" i="57"/>
  <c r="DN252" i="57"/>
  <c r="DN249" i="57"/>
  <c r="DN256" i="57"/>
  <c r="DN246" i="57"/>
  <c r="DN298" i="57"/>
  <c r="DN315" i="57"/>
  <c r="DN70" i="57"/>
  <c r="DN105" i="57"/>
  <c r="DN82" i="57"/>
  <c r="DN99" i="57"/>
  <c r="DN186" i="57"/>
  <c r="DN129" i="57"/>
  <c r="DN193" i="57"/>
  <c r="DN229" i="57"/>
  <c r="DN310" i="57"/>
  <c r="DN240" i="57"/>
  <c r="DN303" i="57"/>
  <c r="DN312" i="57"/>
  <c r="DN103" i="57"/>
  <c r="DN148" i="57"/>
  <c r="DN112" i="57"/>
  <c r="DO64" i="57"/>
  <c r="DN69" i="57"/>
  <c r="DN177" i="57"/>
  <c r="DN165" i="57"/>
  <c r="DN139" i="57"/>
  <c r="DN163" i="57"/>
  <c r="DN145" i="57"/>
  <c r="DN124" i="57"/>
  <c r="DN90" i="57"/>
  <c r="DN172" i="57"/>
  <c r="DN265" i="57"/>
  <c r="DN207" i="57"/>
  <c r="DN235" i="57"/>
  <c r="DN250" i="57"/>
  <c r="DN274" i="57"/>
  <c r="DN280" i="57"/>
  <c r="DN264" i="57"/>
  <c r="DN262" i="57"/>
  <c r="DN277" i="57"/>
  <c r="DN294" i="57"/>
  <c r="DN316" i="57"/>
  <c r="I4" i="102"/>
  <c r="H6" i="102"/>
  <c r="S141" i="102"/>
  <c r="K140" i="102"/>
  <c r="O150" i="102"/>
  <c r="O151" i="102" s="1"/>
  <c r="L141" i="102"/>
  <c r="L150" i="102"/>
  <c r="L151" i="102" s="1"/>
  <c r="I509" i="36"/>
  <c r="I486" i="36"/>
  <c r="Q150" i="102"/>
  <c r="Q20" i="102" s="1"/>
  <c r="L140" i="102"/>
  <c r="M141" i="102"/>
  <c r="M140" i="102"/>
  <c r="O140" i="102"/>
  <c r="DO433" i="36"/>
  <c r="DO417" i="36"/>
  <c r="DO438" i="36"/>
  <c r="DO430" i="36"/>
  <c r="DO414" i="36"/>
  <c r="DO432" i="36"/>
  <c r="DO424" i="36"/>
  <c r="DO416" i="36"/>
  <c r="DO427" i="36"/>
  <c r="DO429" i="36"/>
  <c r="DO423" i="36"/>
  <c r="DO420" i="36"/>
  <c r="DO439" i="36"/>
  <c r="DO436" i="36"/>
  <c r="DO404" i="36"/>
  <c r="DO435" i="36"/>
  <c r="DO418" i="36"/>
  <c r="DO415" i="36"/>
  <c r="DO412" i="36"/>
  <c r="DO411" i="36"/>
  <c r="DO410" i="36"/>
  <c r="DO408" i="36"/>
  <c r="DO406" i="36"/>
  <c r="DO403" i="36"/>
  <c r="DO402" i="36"/>
  <c r="DO400" i="36"/>
  <c r="DO392" i="36"/>
  <c r="DO384" i="36"/>
  <c r="DO421" i="36"/>
  <c r="DO407" i="36"/>
  <c r="DO405" i="36"/>
  <c r="DO397" i="36"/>
  <c r="DO394" i="36"/>
  <c r="DO396" i="36"/>
  <c r="DO388" i="36"/>
  <c r="DO380" i="36"/>
  <c r="DO369" i="36"/>
  <c r="DO361" i="36"/>
  <c r="DO353" i="36"/>
  <c r="DO393" i="36"/>
  <c r="DO391" i="36"/>
  <c r="DO390" i="36"/>
  <c r="DO387" i="36"/>
  <c r="DO413" i="36"/>
  <c r="DO385" i="36"/>
  <c r="DO409" i="36"/>
  <c r="DO399" i="36"/>
  <c r="DO398" i="36"/>
  <c r="DO395" i="36"/>
  <c r="DO382" i="36"/>
  <c r="DO379" i="36"/>
  <c r="DO378" i="36"/>
  <c r="DO376" i="36"/>
  <c r="DO419" i="36"/>
  <c r="DO389" i="36"/>
  <c r="DO381" i="36"/>
  <c r="DO373" i="36"/>
  <c r="DO386" i="36"/>
  <c r="DO426" i="36"/>
  <c r="DO401" i="36"/>
  <c r="DO383" i="36"/>
  <c r="DO375" i="36"/>
  <c r="DO372" i="36"/>
  <c r="DO352" i="36"/>
  <c r="DO344" i="36"/>
  <c r="DO336" i="36"/>
  <c r="DO368" i="36"/>
  <c r="DO349" i="36"/>
  <c r="DO341" i="36"/>
  <c r="DO346" i="36"/>
  <c r="DO374" i="36"/>
  <c r="DO371" i="36"/>
  <c r="DO377" i="36"/>
  <c r="DO348" i="36"/>
  <c r="DO370" i="36"/>
  <c r="DO366" i="36"/>
  <c r="DO358" i="36"/>
  <c r="DO367" i="36"/>
  <c r="DO365" i="36"/>
  <c r="DO363" i="36"/>
  <c r="DO364" i="36"/>
  <c r="DO339" i="36"/>
  <c r="DO338" i="36"/>
  <c r="DO335" i="36"/>
  <c r="DO327" i="36"/>
  <c r="DO350" i="36"/>
  <c r="DO332" i="36"/>
  <c r="DO324" i="36"/>
  <c r="DO347" i="36"/>
  <c r="DO329" i="36"/>
  <c r="DO321" i="36"/>
  <c r="DO351" i="36"/>
  <c r="DO340" i="36"/>
  <c r="DO362" i="36"/>
  <c r="DO360" i="36"/>
  <c r="DO354" i="36"/>
  <c r="DO328" i="36"/>
  <c r="DO320" i="36"/>
  <c r="DO312" i="36"/>
  <c r="DO304" i="36"/>
  <c r="DO296" i="36"/>
  <c r="DO357" i="36"/>
  <c r="DO337" i="36"/>
  <c r="DO283" i="36"/>
  <c r="DO275" i="36"/>
  <c r="DO355" i="36"/>
  <c r="DO345" i="36"/>
  <c r="DO333" i="36"/>
  <c r="DO331" i="36"/>
  <c r="DO330" i="36"/>
  <c r="DO319" i="36"/>
  <c r="DO285" i="36"/>
  <c r="DO359" i="36"/>
  <c r="DO343" i="36"/>
  <c r="DO334" i="36"/>
  <c r="DO318" i="36"/>
  <c r="DO342" i="36"/>
  <c r="DO326" i="36"/>
  <c r="DO325" i="36"/>
  <c r="DO323" i="36"/>
  <c r="DO322" i="36"/>
  <c r="DO309" i="36"/>
  <c r="DO301" i="36"/>
  <c r="DO293" i="36"/>
  <c r="DO317" i="36"/>
  <c r="DO316" i="36"/>
  <c r="DO314" i="36"/>
  <c r="DO311" i="36"/>
  <c r="DO310" i="36"/>
  <c r="DO308" i="36"/>
  <c r="DO306" i="36"/>
  <c r="DO303" i="36"/>
  <c r="DO302" i="36"/>
  <c r="DO300" i="36"/>
  <c r="DO356" i="36"/>
  <c r="DO313" i="36"/>
  <c r="DO307" i="36"/>
  <c r="DO288" i="36"/>
  <c r="DO267" i="36"/>
  <c r="DO259" i="36"/>
  <c r="DO251" i="36"/>
  <c r="DO243" i="36"/>
  <c r="DO235" i="36"/>
  <c r="DO305" i="36"/>
  <c r="DO290" i="36"/>
  <c r="DO289" i="36"/>
  <c r="DO264" i="36"/>
  <c r="DO256" i="36"/>
  <c r="DO248" i="36"/>
  <c r="DO240" i="36"/>
  <c r="DO232" i="36"/>
  <c r="DO280" i="36"/>
  <c r="DO272" i="36"/>
  <c r="DO269" i="36"/>
  <c r="DO261" i="36"/>
  <c r="DO253" i="36"/>
  <c r="DO245" i="36"/>
  <c r="DO284" i="36"/>
  <c r="DO282" i="36"/>
  <c r="DO268" i="36"/>
  <c r="DO260" i="36"/>
  <c r="DO252" i="36"/>
  <c r="DO244" i="36"/>
  <c r="DO236" i="36"/>
  <c r="DO298" i="36"/>
  <c r="DO295" i="36"/>
  <c r="DO274" i="36"/>
  <c r="DO233" i="36"/>
  <c r="DO229" i="36"/>
  <c r="DO221" i="36"/>
  <c r="DO213" i="36"/>
  <c r="DO315" i="36"/>
  <c r="DO299" i="36"/>
  <c r="DO278" i="36"/>
  <c r="DO258" i="36"/>
  <c r="DO257" i="36"/>
  <c r="DO255" i="36"/>
  <c r="DO254" i="36"/>
  <c r="DO230" i="36"/>
  <c r="DO226" i="36"/>
  <c r="DO297" i="36"/>
  <c r="DO294" i="36"/>
  <c r="DO292" i="36"/>
  <c r="DO279" i="36"/>
  <c r="DO271" i="36"/>
  <c r="DO270" i="36"/>
  <c r="DO228" i="36"/>
  <c r="DO291" i="36"/>
  <c r="DO287" i="36"/>
  <c r="DO250" i="36"/>
  <c r="DO249" i="36"/>
  <c r="DO234" i="36"/>
  <c r="DO222" i="36"/>
  <c r="DO214" i="36"/>
  <c r="DO206" i="36"/>
  <c r="DO286" i="36"/>
  <c r="DO281" i="36"/>
  <c r="DO277" i="36"/>
  <c r="DO276" i="36"/>
  <c r="DO273" i="36"/>
  <c r="DO265" i="36"/>
  <c r="DO263" i="36"/>
  <c r="DO262" i="36"/>
  <c r="DO247" i="36"/>
  <c r="DO216" i="36"/>
  <c r="DO194" i="36"/>
  <c r="DO246" i="36"/>
  <c r="DO238" i="36"/>
  <c r="DO199" i="36"/>
  <c r="DO191" i="36"/>
  <c r="DO183" i="36"/>
  <c r="DO237" i="36"/>
  <c r="DO220" i="36"/>
  <c r="DO217" i="36"/>
  <c r="DO212" i="36"/>
  <c r="DO193" i="36"/>
  <c r="DO242" i="36"/>
  <c r="DO231" i="36"/>
  <c r="DO218" i="36"/>
  <c r="DO227" i="36"/>
  <c r="DO225" i="36"/>
  <c r="DO224" i="36"/>
  <c r="DO239" i="36"/>
  <c r="DO209" i="36"/>
  <c r="DO207" i="36"/>
  <c r="DO201" i="36"/>
  <c r="DO200" i="36"/>
  <c r="DO215" i="36"/>
  <c r="DO205" i="36"/>
  <c r="DO196" i="36"/>
  <c r="DO178" i="36"/>
  <c r="DO170" i="36"/>
  <c r="DO162" i="36"/>
  <c r="DO266" i="36"/>
  <c r="DO223" i="36"/>
  <c r="DO175" i="36"/>
  <c r="DO167" i="36"/>
  <c r="DO159" i="36"/>
  <c r="DO151" i="36"/>
  <c r="DO143" i="36"/>
  <c r="DO135" i="36"/>
  <c r="DO195" i="36"/>
  <c r="DO189" i="36"/>
  <c r="DO180" i="36"/>
  <c r="DO172" i="36"/>
  <c r="DO164" i="36"/>
  <c r="DO156" i="36"/>
  <c r="DO148" i="36"/>
  <c r="DO140" i="36"/>
  <c r="DO241" i="36"/>
  <c r="DO202" i="36"/>
  <c r="DO186" i="36"/>
  <c r="DO177" i="36"/>
  <c r="DO210" i="36"/>
  <c r="DO203" i="36"/>
  <c r="DO192" i="36"/>
  <c r="DO190" i="36"/>
  <c r="DO187" i="36"/>
  <c r="DO174" i="36"/>
  <c r="DO197" i="36"/>
  <c r="DO179" i="36"/>
  <c r="DO171" i="36"/>
  <c r="DO163" i="36"/>
  <c r="DO155" i="36"/>
  <c r="DO147" i="36"/>
  <c r="DO139" i="36"/>
  <c r="DO131" i="36"/>
  <c r="DO204" i="36"/>
  <c r="DO198" i="36"/>
  <c r="DO185" i="36"/>
  <c r="DO182" i="36"/>
  <c r="DO176" i="36"/>
  <c r="DO168" i="36"/>
  <c r="DO160" i="36"/>
  <c r="DO219" i="36"/>
  <c r="DO211" i="36"/>
  <c r="DO208" i="36"/>
  <c r="DO188" i="36"/>
  <c r="DO184" i="36"/>
  <c r="DO181" i="36"/>
  <c r="DO158" i="36"/>
  <c r="DO120" i="36"/>
  <c r="DO112" i="36"/>
  <c r="DO104" i="36"/>
  <c r="DO96" i="36"/>
  <c r="DO169" i="36"/>
  <c r="DO165" i="36"/>
  <c r="DO144" i="36"/>
  <c r="DO141" i="36"/>
  <c r="DO138" i="36"/>
  <c r="DO125" i="36"/>
  <c r="DO117" i="36"/>
  <c r="DO109" i="36"/>
  <c r="DO101" i="36"/>
  <c r="DO93" i="36"/>
  <c r="DO154" i="36"/>
  <c r="DO153" i="36"/>
  <c r="DO128" i="36"/>
  <c r="DO122" i="36"/>
  <c r="DO114" i="36"/>
  <c r="DO106" i="36"/>
  <c r="DO98" i="36"/>
  <c r="DO90" i="36"/>
  <c r="DO166" i="36"/>
  <c r="DO157" i="36"/>
  <c r="DO150" i="36"/>
  <c r="DO136" i="36"/>
  <c r="DO133" i="36"/>
  <c r="DO130" i="36"/>
  <c r="DO129" i="36"/>
  <c r="DO127" i="36"/>
  <c r="DO119" i="36"/>
  <c r="DO111" i="36"/>
  <c r="DO103" i="36"/>
  <c r="DO95" i="36"/>
  <c r="DO161" i="36"/>
  <c r="DO132" i="36"/>
  <c r="DO146" i="36"/>
  <c r="DO145" i="36"/>
  <c r="DO137" i="36"/>
  <c r="DO121" i="36"/>
  <c r="DO113" i="36"/>
  <c r="DO105" i="36"/>
  <c r="DO97" i="36"/>
  <c r="DO89" i="36"/>
  <c r="DO81" i="36"/>
  <c r="DO73" i="36"/>
  <c r="DO173" i="36"/>
  <c r="DO152" i="36"/>
  <c r="DO149" i="36"/>
  <c r="DO142" i="36"/>
  <c r="DO134" i="36"/>
  <c r="DO126" i="36"/>
  <c r="DO123" i="36"/>
  <c r="DO115" i="36"/>
  <c r="DO124" i="36"/>
  <c r="DO110" i="36"/>
  <c r="DO92" i="36"/>
  <c r="DO116" i="36"/>
  <c r="DO102" i="36"/>
  <c r="DO91" i="36"/>
  <c r="DO88" i="36"/>
  <c r="DO71" i="36"/>
  <c r="DO69" i="36"/>
  <c r="DO100" i="36"/>
  <c r="DO84" i="36"/>
  <c r="DO76" i="36"/>
  <c r="DO74" i="36"/>
  <c r="DO68" i="36"/>
  <c r="DO107" i="36"/>
  <c r="DO94" i="36"/>
  <c r="DO86" i="36"/>
  <c r="DO78" i="36"/>
  <c r="DO70" i="36"/>
  <c r="DO75" i="36"/>
  <c r="DO72" i="36"/>
  <c r="DO67" i="36"/>
  <c r="DO108" i="36"/>
  <c r="DO99" i="36"/>
  <c r="DO85" i="36"/>
  <c r="DO83" i="36"/>
  <c r="DO80" i="36"/>
  <c r="DO79" i="36"/>
  <c r="DO77" i="36"/>
  <c r="DO87" i="36"/>
  <c r="DO118" i="36"/>
  <c r="DO66" i="36"/>
  <c r="DP61" i="36"/>
  <c r="DO82" i="36"/>
  <c r="DC439" i="36"/>
  <c r="DC423" i="36"/>
  <c r="DC415" i="36"/>
  <c r="DC436" i="36"/>
  <c r="DC420" i="36"/>
  <c r="DC438" i="36"/>
  <c r="DC430" i="36"/>
  <c r="DC414" i="36"/>
  <c r="DC416" i="36"/>
  <c r="DC433" i="36"/>
  <c r="DC419" i="36"/>
  <c r="DC432" i="36"/>
  <c r="DC429" i="36"/>
  <c r="DC410" i="36"/>
  <c r="DC402" i="36"/>
  <c r="DC412" i="36"/>
  <c r="DC409" i="36"/>
  <c r="DC404" i="36"/>
  <c r="DC401" i="36"/>
  <c r="DC398" i="36"/>
  <c r="DC390" i="36"/>
  <c r="DC417" i="36"/>
  <c r="DC411" i="36"/>
  <c r="DC407" i="36"/>
  <c r="DC406" i="36"/>
  <c r="DC403" i="36"/>
  <c r="DC395" i="36"/>
  <c r="DC426" i="36"/>
  <c r="DC424" i="36"/>
  <c r="DC408" i="36"/>
  <c r="DC405" i="36"/>
  <c r="DC400" i="36"/>
  <c r="DC392" i="36"/>
  <c r="DC435" i="36"/>
  <c r="DC394" i="36"/>
  <c r="DC386" i="36"/>
  <c r="DC378" i="36"/>
  <c r="DC399" i="36"/>
  <c r="DC397" i="36"/>
  <c r="DC396" i="36"/>
  <c r="DC393" i="36"/>
  <c r="DC384" i="36"/>
  <c r="DC375" i="36"/>
  <c r="DC367" i="36"/>
  <c r="DC359" i="36"/>
  <c r="DC421" i="36"/>
  <c r="DC418" i="36"/>
  <c r="DC389" i="36"/>
  <c r="DC385" i="36"/>
  <c r="DC380" i="36"/>
  <c r="DC377" i="36"/>
  <c r="DC388" i="36"/>
  <c r="DC382" i="36"/>
  <c r="DC379" i="36"/>
  <c r="DC371" i="36"/>
  <c r="DC383" i="36"/>
  <c r="DC381" i="36"/>
  <c r="DC376" i="36"/>
  <c r="DC427" i="36"/>
  <c r="DC391" i="36"/>
  <c r="DC368" i="36"/>
  <c r="DC365" i="36"/>
  <c r="DC362" i="36"/>
  <c r="DC357" i="36"/>
  <c r="DC354" i="36"/>
  <c r="DC350" i="36"/>
  <c r="DC342" i="36"/>
  <c r="DC334" i="36"/>
  <c r="DC347" i="36"/>
  <c r="DC339" i="36"/>
  <c r="DC387" i="36"/>
  <c r="DC352" i="36"/>
  <c r="DC344" i="36"/>
  <c r="DC374" i="36"/>
  <c r="DC369" i="36"/>
  <c r="DC373" i="36"/>
  <c r="DC346" i="36"/>
  <c r="DC370" i="36"/>
  <c r="DC351" i="36"/>
  <c r="DC413" i="36"/>
  <c r="DC372" i="36"/>
  <c r="DC366" i="36"/>
  <c r="DC364" i="36"/>
  <c r="DC348" i="36"/>
  <c r="DC343" i="36"/>
  <c r="DC338" i="36"/>
  <c r="DC337" i="36"/>
  <c r="DC335" i="36"/>
  <c r="DC333" i="36"/>
  <c r="DC325" i="36"/>
  <c r="DC330" i="36"/>
  <c r="DC322" i="36"/>
  <c r="DC360" i="36"/>
  <c r="DC345" i="36"/>
  <c r="DC336" i="36"/>
  <c r="DC327" i="36"/>
  <c r="DC319" i="36"/>
  <c r="DC363" i="36"/>
  <c r="DC361" i="36"/>
  <c r="DC349" i="36"/>
  <c r="DC340" i="36"/>
  <c r="DC358" i="36"/>
  <c r="DC326" i="36"/>
  <c r="DC318" i="36"/>
  <c r="DC310" i="36"/>
  <c r="DC302" i="36"/>
  <c r="DC294" i="36"/>
  <c r="DC353" i="36"/>
  <c r="DC320" i="36"/>
  <c r="DC316" i="36"/>
  <c r="DC313" i="36"/>
  <c r="DC308" i="36"/>
  <c r="DC305" i="36"/>
  <c r="DC300" i="36"/>
  <c r="DC297" i="36"/>
  <c r="DC292" i="36"/>
  <c r="DC289" i="36"/>
  <c r="DC281" i="36"/>
  <c r="DC273" i="36"/>
  <c r="DC324" i="36"/>
  <c r="DC323" i="36"/>
  <c r="DC283" i="36"/>
  <c r="DC356" i="36"/>
  <c r="DC329" i="36"/>
  <c r="DC355" i="36"/>
  <c r="DC328" i="36"/>
  <c r="DC341" i="36"/>
  <c r="DC332" i="36"/>
  <c r="DC312" i="36"/>
  <c r="DC309" i="36"/>
  <c r="DC304" i="36"/>
  <c r="DC301" i="36"/>
  <c r="DC331" i="36"/>
  <c r="DC291" i="36"/>
  <c r="DC265" i="36"/>
  <c r="DC257" i="36"/>
  <c r="DC249" i="36"/>
  <c r="DC241" i="36"/>
  <c r="DC317" i="36"/>
  <c r="DC314" i="36"/>
  <c r="DC295" i="36"/>
  <c r="DC293" i="36"/>
  <c r="DC270" i="36"/>
  <c r="DC262" i="36"/>
  <c r="DC254" i="36"/>
  <c r="DC246" i="36"/>
  <c r="DC238" i="36"/>
  <c r="DC230" i="36"/>
  <c r="DC315" i="36"/>
  <c r="DC311" i="36"/>
  <c r="DC306" i="36"/>
  <c r="DC296" i="36"/>
  <c r="DC287" i="36"/>
  <c r="DC267" i="36"/>
  <c r="DC259" i="36"/>
  <c r="DC251" i="36"/>
  <c r="DC243" i="36"/>
  <c r="DC284" i="36"/>
  <c r="DC282" i="36"/>
  <c r="DC279" i="36"/>
  <c r="DC276" i="36"/>
  <c r="DC266" i="36"/>
  <c r="DC258" i="36"/>
  <c r="DC250" i="36"/>
  <c r="DC242" i="36"/>
  <c r="DC234" i="36"/>
  <c r="DC290" i="36"/>
  <c r="DC280" i="36"/>
  <c r="DC272" i="36"/>
  <c r="DC244" i="36"/>
  <c r="DC236" i="36"/>
  <c r="DC235" i="36"/>
  <c r="DC233" i="36"/>
  <c r="DC227" i="36"/>
  <c r="DC219" i="36"/>
  <c r="DC211" i="36"/>
  <c r="DC271" i="36"/>
  <c r="DC261" i="36"/>
  <c r="DC248" i="36"/>
  <c r="DC224" i="36"/>
  <c r="DC321" i="36"/>
  <c r="DC307" i="36"/>
  <c r="DC286" i="36"/>
  <c r="DC260" i="36"/>
  <c r="DC247" i="36"/>
  <c r="DC277" i="36"/>
  <c r="DC264" i="36"/>
  <c r="DC231" i="36"/>
  <c r="DC226" i="36"/>
  <c r="DC299" i="36"/>
  <c r="DC298" i="36"/>
  <c r="DC285" i="36"/>
  <c r="DC263" i="36"/>
  <c r="DC253" i="36"/>
  <c r="DC278" i="36"/>
  <c r="DC274" i="36"/>
  <c r="DC252" i="36"/>
  <c r="DC239" i="36"/>
  <c r="DC237" i="36"/>
  <c r="DC228" i="36"/>
  <c r="DC220" i="36"/>
  <c r="DC212" i="36"/>
  <c r="DC204" i="36"/>
  <c r="DC303" i="36"/>
  <c r="DC288" i="36"/>
  <c r="DC275" i="36"/>
  <c r="DC269" i="36"/>
  <c r="DC256" i="36"/>
  <c r="DC200" i="36"/>
  <c r="DC255" i="36"/>
  <c r="DC232" i="36"/>
  <c r="DC222" i="36"/>
  <c r="DC214" i="36"/>
  <c r="DC197" i="36"/>
  <c r="DC189" i="36"/>
  <c r="DC268" i="36"/>
  <c r="DC229" i="36"/>
  <c r="DC225" i="36"/>
  <c r="DC217" i="36"/>
  <c r="DC199" i="36"/>
  <c r="DC191" i="36"/>
  <c r="DC245" i="36"/>
  <c r="DC240" i="36"/>
  <c r="DC221" i="36"/>
  <c r="DC218" i="36"/>
  <c r="DC223" i="36"/>
  <c r="DC209" i="36"/>
  <c r="DC208" i="36"/>
  <c r="DC205" i="36"/>
  <c r="DC201" i="36"/>
  <c r="DC198" i="36"/>
  <c r="DC202" i="36"/>
  <c r="DC195" i="36"/>
  <c r="DC184" i="36"/>
  <c r="DC176" i="36"/>
  <c r="DC168" i="36"/>
  <c r="DC160" i="36"/>
  <c r="DC216" i="36"/>
  <c r="DC210" i="36"/>
  <c r="DC203" i="36"/>
  <c r="DC181" i="36"/>
  <c r="DC173" i="36"/>
  <c r="DC165" i="36"/>
  <c r="DC157" i="36"/>
  <c r="DC149" i="36"/>
  <c r="DC141" i="36"/>
  <c r="DC207" i="36"/>
  <c r="DC186" i="36"/>
  <c r="DC178" i="36"/>
  <c r="DC170" i="36"/>
  <c r="DC162" i="36"/>
  <c r="DC154" i="36"/>
  <c r="DC146" i="36"/>
  <c r="DC215" i="36"/>
  <c r="DC175" i="36"/>
  <c r="DC192" i="36"/>
  <c r="DC190" i="36"/>
  <c r="DC180" i="36"/>
  <c r="DC194" i="36"/>
  <c r="DC187" i="36"/>
  <c r="DC177" i="36"/>
  <c r="DC169" i="36"/>
  <c r="DC161" i="36"/>
  <c r="DC153" i="36"/>
  <c r="DC145" i="36"/>
  <c r="DC137" i="36"/>
  <c r="DC129" i="36"/>
  <c r="DC213" i="36"/>
  <c r="DC206" i="36"/>
  <c r="DC196" i="36"/>
  <c r="DC193" i="36"/>
  <c r="DC188" i="36"/>
  <c r="DC183" i="36"/>
  <c r="DC174" i="36"/>
  <c r="DC166" i="36"/>
  <c r="DC185" i="36"/>
  <c r="DC182" i="36"/>
  <c r="DC179" i="36"/>
  <c r="DC163" i="36"/>
  <c r="DC140" i="36"/>
  <c r="DC138" i="36"/>
  <c r="DC135" i="36"/>
  <c r="DC126" i="36"/>
  <c r="DC118" i="36"/>
  <c r="DC110" i="36"/>
  <c r="DC102" i="36"/>
  <c r="DC94" i="36"/>
  <c r="DC167" i="36"/>
  <c r="DC164" i="36"/>
  <c r="DC150" i="36"/>
  <c r="DC147" i="36"/>
  <c r="DC144" i="36"/>
  <c r="DC123" i="36"/>
  <c r="DC115" i="36"/>
  <c r="DC107" i="36"/>
  <c r="DC99" i="36"/>
  <c r="DC91" i="36"/>
  <c r="DC172" i="36"/>
  <c r="DC156" i="36"/>
  <c r="DC143" i="36"/>
  <c r="DC120" i="36"/>
  <c r="DC112" i="36"/>
  <c r="DC104" i="36"/>
  <c r="DC96" i="36"/>
  <c r="DC88" i="36"/>
  <c r="DC136" i="36"/>
  <c r="DC131" i="36"/>
  <c r="DC128" i="36"/>
  <c r="DC125" i="36"/>
  <c r="DC117" i="36"/>
  <c r="DC109" i="36"/>
  <c r="DC101" i="36"/>
  <c r="DC93" i="36"/>
  <c r="DC142" i="36"/>
  <c r="DC139" i="36"/>
  <c r="DC133" i="36"/>
  <c r="DC130" i="36"/>
  <c r="DC171" i="36"/>
  <c r="DC159" i="36"/>
  <c r="DC148" i="36"/>
  <c r="DC134" i="36"/>
  <c r="DC132" i="36"/>
  <c r="DC127" i="36"/>
  <c r="DC119" i="36"/>
  <c r="DC111" i="36"/>
  <c r="DC103" i="36"/>
  <c r="DC95" i="36"/>
  <c r="DC87" i="36"/>
  <c r="DC79" i="36"/>
  <c r="DC71" i="36"/>
  <c r="DD61" i="36"/>
  <c r="DC158" i="36"/>
  <c r="DC155" i="36"/>
  <c r="DC152" i="36"/>
  <c r="DC124" i="36"/>
  <c r="DC151" i="36"/>
  <c r="DC121" i="36"/>
  <c r="DC113" i="36"/>
  <c r="DC108" i="36"/>
  <c r="DC105" i="36"/>
  <c r="DC114" i="36"/>
  <c r="DC100" i="36"/>
  <c r="DC97" i="36"/>
  <c r="DC90" i="36"/>
  <c r="DC78" i="36"/>
  <c r="DC73" i="36"/>
  <c r="DC89" i="36"/>
  <c r="DC106" i="36"/>
  <c r="DC70" i="36"/>
  <c r="DC122" i="36"/>
  <c r="DC98" i="36"/>
  <c r="DC86" i="36"/>
  <c r="DC81" i="36"/>
  <c r="DC116" i="36"/>
  <c r="DC92" i="36"/>
  <c r="DC85" i="36"/>
  <c r="DC82" i="36"/>
  <c r="DC77" i="36"/>
  <c r="DC74" i="36"/>
  <c r="DC69" i="36"/>
  <c r="DC66" i="36"/>
  <c r="DC84" i="36"/>
  <c r="DC83" i="36"/>
  <c r="DC80" i="36"/>
  <c r="DC75" i="36"/>
  <c r="DC72" i="36"/>
  <c r="DC68" i="36"/>
  <c r="DC67" i="36"/>
  <c r="DC76" i="36"/>
  <c r="I512" i="36"/>
  <c r="I489" i="36"/>
  <c r="DO316" i="57"/>
  <c r="DO313" i="57"/>
  <c r="DO318" i="57"/>
  <c r="DO289" i="57"/>
  <c r="DO294" i="57"/>
  <c r="DO286" i="57"/>
  <c r="DO291" i="57"/>
  <c r="DO312" i="57"/>
  <c r="DO310" i="57"/>
  <c r="DO307" i="57"/>
  <c r="DO306" i="57"/>
  <c r="DO304" i="57"/>
  <c r="DO298" i="57"/>
  <c r="DO303" i="57"/>
  <c r="DO295" i="57"/>
  <c r="DO300" i="57"/>
  <c r="DO285" i="57"/>
  <c r="DO267" i="57"/>
  <c r="DO243" i="57"/>
  <c r="DO276" i="57"/>
  <c r="DO264" i="57"/>
  <c r="DO256" i="57"/>
  <c r="DO261" i="57"/>
  <c r="DO253" i="57"/>
  <c r="DO274" i="57"/>
  <c r="DO277" i="57"/>
  <c r="DO268" i="57"/>
  <c r="DO301" i="57"/>
  <c r="DO280" i="57"/>
  <c r="DO249" i="57"/>
  <c r="DO292" i="57"/>
  <c r="DO252" i="57"/>
  <c r="DO247" i="57"/>
  <c r="DO241" i="57"/>
  <c r="DO232" i="57"/>
  <c r="DO216" i="57"/>
  <c r="DO229" i="57"/>
  <c r="DO270" i="57"/>
  <c r="DO265" i="57"/>
  <c r="DO288" i="57"/>
  <c r="DO273" i="57"/>
  <c r="DO228" i="57"/>
  <c r="DO250" i="57"/>
  <c r="DO192" i="57"/>
  <c r="DO184" i="57"/>
  <c r="DO234" i="57"/>
  <c r="DO223" i="57"/>
  <c r="DO217" i="57"/>
  <c r="DO189" i="57"/>
  <c r="DO271" i="57"/>
  <c r="DO210" i="57"/>
  <c r="DO202" i="57"/>
  <c r="DO255" i="57"/>
  <c r="DO244" i="57"/>
  <c r="DO309" i="57"/>
  <c r="DO201" i="57"/>
  <c r="DO193" i="57"/>
  <c r="DO240" i="57"/>
  <c r="DO238" i="57"/>
  <c r="DO237" i="57"/>
  <c r="DO222" i="57"/>
  <c r="DO180" i="57"/>
  <c r="DO226" i="57"/>
  <c r="DO187" i="57"/>
  <c r="DO178" i="57"/>
  <c r="DO231" i="57"/>
  <c r="DO196" i="57"/>
  <c r="DO153" i="57"/>
  <c r="DO145" i="57"/>
  <c r="DO205" i="57"/>
  <c r="DO175" i="57"/>
  <c r="DO135" i="57"/>
  <c r="DO111" i="57"/>
  <c r="DO87" i="57"/>
  <c r="DO195" i="57"/>
  <c r="DO132" i="57"/>
  <c r="DO124" i="57"/>
  <c r="DO108" i="57"/>
  <c r="DO204" i="57"/>
  <c r="DO121" i="57"/>
  <c r="DO105" i="57"/>
  <c r="DO97" i="57"/>
  <c r="DO126" i="57"/>
  <c r="DO186" i="57"/>
  <c r="DO171" i="57"/>
  <c r="DO166" i="57"/>
  <c r="DO163" i="57"/>
  <c r="DO162" i="57"/>
  <c r="DO160" i="57"/>
  <c r="DO156" i="57"/>
  <c r="DO150" i="57"/>
  <c r="DO147" i="57"/>
  <c r="DO144" i="57"/>
  <c r="DO142" i="57"/>
  <c r="DO139" i="57"/>
  <c r="DO123" i="57"/>
  <c r="DO190" i="57"/>
  <c r="DO165" i="57"/>
  <c r="DO159" i="57"/>
  <c r="DO157" i="57"/>
  <c r="DO151" i="57"/>
  <c r="DO136" i="57"/>
  <c r="DO112" i="57"/>
  <c r="DO88" i="57"/>
  <c r="DO183" i="57"/>
  <c r="DO177" i="57"/>
  <c r="DO141" i="57"/>
  <c r="DO133" i="57"/>
  <c r="DO130" i="57"/>
  <c r="DO109" i="57"/>
  <c r="DO100" i="57"/>
  <c r="DO78" i="57"/>
  <c r="DO76" i="57"/>
  <c r="DO72" i="57"/>
  <c r="DP64" i="57"/>
  <c r="DO99" i="57"/>
  <c r="DO93" i="57"/>
  <c r="DO102" i="57"/>
  <c r="DO114" i="57"/>
  <c r="DO91" i="57"/>
  <c r="DO106" i="57"/>
  <c r="DO84" i="57"/>
  <c r="DO70" i="57"/>
  <c r="DO90" i="57"/>
  <c r="DO82" i="57"/>
  <c r="DO81" i="57"/>
  <c r="DO75" i="57"/>
  <c r="DB309" i="57"/>
  <c r="DB313" i="57"/>
  <c r="DB301" i="57"/>
  <c r="DB285" i="57"/>
  <c r="DB277" i="57"/>
  <c r="DB298" i="57"/>
  <c r="DB282" i="57"/>
  <c r="DB303" i="57"/>
  <c r="DB295" i="57"/>
  <c r="DB315" i="57"/>
  <c r="DB318" i="57"/>
  <c r="DB306" i="57"/>
  <c r="DB294" i="57"/>
  <c r="DB286" i="57"/>
  <c r="DB310" i="57"/>
  <c r="DB307" i="57"/>
  <c r="DB291" i="57"/>
  <c r="DB316" i="57"/>
  <c r="DB312" i="57"/>
  <c r="DB304" i="57"/>
  <c r="DB280" i="57"/>
  <c r="DB271" i="57"/>
  <c r="DB255" i="57"/>
  <c r="DB247" i="57"/>
  <c r="DB268" i="57"/>
  <c r="DB252" i="57"/>
  <c r="DB276" i="57"/>
  <c r="DB273" i="57"/>
  <c r="DB265" i="57"/>
  <c r="DB292" i="57"/>
  <c r="DB270" i="57"/>
  <c r="DB262" i="57"/>
  <c r="DB300" i="57"/>
  <c r="DB297" i="57"/>
  <c r="DB279" i="57"/>
  <c r="DB289" i="57"/>
  <c r="DB283" i="57"/>
  <c r="DB264" i="57"/>
  <c r="DB288" i="57"/>
  <c r="DB261" i="57"/>
  <c r="DB259" i="57"/>
  <c r="DB228" i="57"/>
  <c r="DB220" i="57"/>
  <c r="DB246" i="57"/>
  <c r="DB244" i="57"/>
  <c r="DB243" i="57"/>
  <c r="DB238" i="57"/>
  <c r="DB235" i="57"/>
  <c r="DB225" i="57"/>
  <c r="DB217" i="57"/>
  <c r="DB232" i="57"/>
  <c r="DB216" i="57"/>
  <c r="DB256" i="57"/>
  <c r="DB213" i="57"/>
  <c r="DB204" i="57"/>
  <c r="DB196" i="57"/>
  <c r="DB180" i="57"/>
  <c r="DB267" i="57"/>
  <c r="DB258" i="57"/>
  <c r="DB234" i="57"/>
  <c r="DB201" i="57"/>
  <c r="DB193" i="57"/>
  <c r="DB177" i="57"/>
  <c r="DB229" i="57"/>
  <c r="DB223" i="57"/>
  <c r="DB274" i="57"/>
  <c r="DB249" i="57"/>
  <c r="DB240" i="57"/>
  <c r="DB189" i="57"/>
  <c r="DB253" i="57"/>
  <c r="DB250" i="57"/>
  <c r="DB237" i="57"/>
  <c r="DB231" i="57"/>
  <c r="DB214" i="57"/>
  <c r="DB211" i="57"/>
  <c r="DB184" i="57"/>
  <c r="DB207" i="57"/>
  <c r="DB187" i="57"/>
  <c r="DB241" i="57"/>
  <c r="DB219" i="57"/>
  <c r="DB208" i="57"/>
  <c r="DB205" i="57"/>
  <c r="DB190" i="57"/>
  <c r="DB192" i="57"/>
  <c r="DB165" i="57"/>
  <c r="DB157" i="57"/>
  <c r="DB202" i="57"/>
  <c r="DB198" i="57"/>
  <c r="DB186" i="57"/>
  <c r="DB168" i="57"/>
  <c r="DB160" i="57"/>
  <c r="DB144" i="57"/>
  <c r="DB139" i="57"/>
  <c r="DB123" i="57"/>
  <c r="DB115" i="57"/>
  <c r="DB99" i="57"/>
  <c r="DB91" i="57"/>
  <c r="DB136" i="57"/>
  <c r="DB120" i="57"/>
  <c r="DB112" i="57"/>
  <c r="DB226" i="57"/>
  <c r="DB181" i="57"/>
  <c r="DB175" i="57"/>
  <c r="DB141" i="57"/>
  <c r="DB133" i="57"/>
  <c r="DB117" i="57"/>
  <c r="DB109" i="57"/>
  <c r="DB93" i="57"/>
  <c r="DB85" i="57"/>
  <c r="DB222" i="57"/>
  <c r="DB210" i="57"/>
  <c r="DB183" i="57"/>
  <c r="DB178" i="57"/>
  <c r="DB138" i="57"/>
  <c r="DB130" i="57"/>
  <c r="DB199" i="57"/>
  <c r="DB135" i="57"/>
  <c r="DB127" i="57"/>
  <c r="DB111" i="57"/>
  <c r="DB195" i="57"/>
  <c r="DB132" i="57"/>
  <c r="DB124" i="57"/>
  <c r="DB108" i="57"/>
  <c r="DB100" i="57"/>
  <c r="DB84" i="57"/>
  <c r="DB76" i="57"/>
  <c r="DB172" i="57"/>
  <c r="DB169" i="57"/>
  <c r="DB162" i="57"/>
  <c r="DB156" i="57"/>
  <c r="DB154" i="57"/>
  <c r="DB153" i="57"/>
  <c r="DB148" i="57"/>
  <c r="DB145" i="57"/>
  <c r="DB129" i="57"/>
  <c r="DB121" i="57"/>
  <c r="DB174" i="57"/>
  <c r="DB171" i="57"/>
  <c r="DB166" i="57"/>
  <c r="DB163" i="57"/>
  <c r="DB159" i="57"/>
  <c r="DB151" i="57"/>
  <c r="DB150" i="57"/>
  <c r="DB147" i="57"/>
  <c r="DB142" i="57"/>
  <c r="DB126" i="57"/>
  <c r="DB73" i="57"/>
  <c r="DB70" i="57"/>
  <c r="DB114" i="57"/>
  <c r="DB103" i="57"/>
  <c r="DB96" i="57"/>
  <c r="DB81" i="57"/>
  <c r="DB75" i="57"/>
  <c r="DB79" i="57"/>
  <c r="DC64" i="57"/>
  <c r="DB88" i="57"/>
  <c r="DB82" i="57"/>
  <c r="DB78" i="57"/>
  <c r="DB106" i="57"/>
  <c r="DB105" i="57"/>
  <c r="DB72" i="57"/>
  <c r="DB102" i="57"/>
  <c r="DB97" i="57"/>
  <c r="DB69" i="57"/>
  <c r="DB118" i="57"/>
  <c r="DB90" i="57"/>
  <c r="DB94" i="57"/>
  <c r="DB87" i="57"/>
  <c r="I499" i="57"/>
  <c r="I541" i="57"/>
  <c r="I540" i="57"/>
  <c r="I498" i="57"/>
  <c r="I500" i="57"/>
  <c r="I542" i="57"/>
  <c r="I552" i="57"/>
  <c r="I507" i="57"/>
  <c r="R140" i="102"/>
  <c r="N140" i="102"/>
  <c r="C140" i="102"/>
  <c r="Q133" i="102"/>
  <c r="Q141" i="102" s="1"/>
  <c r="Q142" i="102" s="1"/>
  <c r="Q18" i="102" s="1"/>
  <c r="S150" i="102"/>
  <c r="S20" i="102" s="1"/>
  <c r="K150" i="102"/>
  <c r="K65" i="102" s="1"/>
  <c r="R150" i="102"/>
  <c r="R151" i="102" s="1"/>
  <c r="P141" i="102"/>
  <c r="P142" i="102" s="1"/>
  <c r="P18" i="102" s="1"/>
  <c r="R135" i="102"/>
  <c r="R141" i="102" s="1"/>
  <c r="R142" i="102" s="1"/>
  <c r="R63" i="102" s="1"/>
  <c r="K133" i="102"/>
  <c r="K141" i="102" s="1"/>
  <c r="O133" i="102"/>
  <c r="O141" i="102" s="1"/>
  <c r="S140" i="102"/>
  <c r="F141" i="102"/>
  <c r="G141" i="102"/>
  <c r="E150" i="102"/>
  <c r="E151" i="102" s="1"/>
  <c r="T150" i="102"/>
  <c r="T20" i="102" s="1"/>
  <c r="G150" i="102"/>
  <c r="G151" i="102" s="1"/>
  <c r="T141" i="102"/>
  <c r="M150" i="102"/>
  <c r="M151" i="102" s="1"/>
  <c r="P150" i="102"/>
  <c r="P151" i="102" s="1"/>
  <c r="N150" i="102"/>
  <c r="N65" i="102" s="1"/>
  <c r="T140" i="102"/>
  <c r="G140" i="102"/>
  <c r="D140" i="102"/>
  <c r="F140" i="102"/>
  <c r="F150" i="102"/>
  <c r="F20" i="102" s="1"/>
  <c r="D133" i="102"/>
  <c r="D141" i="102" s="1"/>
  <c r="D150" i="102"/>
  <c r="D65" i="102" s="1"/>
  <c r="E141" i="102"/>
  <c r="E140" i="102"/>
  <c r="C133" i="102"/>
  <c r="C141" i="102" s="1"/>
  <c r="C150" i="102"/>
  <c r="C20" i="102" s="1"/>
  <c r="G99" i="102"/>
  <c r="AO22" i="102"/>
  <c r="AO74" i="102" s="1"/>
  <c r="N133" i="102"/>
  <c r="N141" i="102" s="1"/>
  <c r="W16" i="86"/>
  <c r="O65" i="102" l="1"/>
  <c r="O20" i="102"/>
  <c r="K142" i="102"/>
  <c r="K63" i="102" s="1"/>
  <c r="K68" i="102" s="1"/>
  <c r="K78" i="102" s="1"/>
  <c r="K79" i="102" s="1"/>
  <c r="M142" i="102"/>
  <c r="M143" i="102" s="1"/>
  <c r="S142" i="102"/>
  <c r="S143" i="102" s="1"/>
  <c r="DO73" i="57"/>
  <c r="DO94" i="57"/>
  <c r="DO85" i="57"/>
  <c r="DO118" i="57"/>
  <c r="DO96" i="57"/>
  <c r="DO174" i="57"/>
  <c r="DO148" i="57"/>
  <c r="DO168" i="57"/>
  <c r="DO129" i="57"/>
  <c r="DO103" i="57"/>
  <c r="DO169" i="57"/>
  <c r="DO198" i="57"/>
  <c r="DO225" i="57"/>
  <c r="DO181" i="57"/>
  <c r="DO214" i="57"/>
  <c r="DO213" i="57"/>
  <c r="DO262" i="57"/>
  <c r="DO283" i="57"/>
  <c r="DO235" i="57"/>
  <c r="DO282" i="57"/>
  <c r="DO297" i="57"/>
  <c r="DO79" i="57"/>
  <c r="DO117" i="57"/>
  <c r="DO69" i="57"/>
  <c r="DO138" i="57"/>
  <c r="DO120" i="57"/>
  <c r="DO115" i="57"/>
  <c r="DO154" i="57"/>
  <c r="DO172" i="57"/>
  <c r="DO219" i="57"/>
  <c r="DO127" i="57"/>
  <c r="DO199" i="57"/>
  <c r="DO211" i="57"/>
  <c r="DO258" i="57"/>
  <c r="DO207" i="57"/>
  <c r="DO220" i="57"/>
  <c r="DO208" i="57"/>
  <c r="DO246" i="57"/>
  <c r="DO279" i="57"/>
  <c r="DO259" i="57"/>
  <c r="DO315" i="57"/>
  <c r="L65" i="102"/>
  <c r="L20" i="102"/>
  <c r="H84" i="102"/>
  <c r="H85" i="102" s="1"/>
  <c r="H99" i="102"/>
  <c r="J4" i="102"/>
  <c r="I6" i="102"/>
  <c r="E142" i="102"/>
  <c r="E18" i="102" s="1"/>
  <c r="L142" i="102"/>
  <c r="L18" i="102" s="1"/>
  <c r="Q65" i="102"/>
  <c r="Q151" i="102"/>
  <c r="I490" i="36"/>
  <c r="I513" i="36"/>
  <c r="DP438" i="36"/>
  <c r="DP430" i="36"/>
  <c r="DP414" i="36"/>
  <c r="DP435" i="36"/>
  <c r="DP427" i="36"/>
  <c r="DP419" i="36"/>
  <c r="DP429" i="36"/>
  <c r="DP421" i="36"/>
  <c r="DP413" i="36"/>
  <c r="DP423" i="36"/>
  <c r="DP420" i="36"/>
  <c r="DP417" i="36"/>
  <c r="DP416" i="36"/>
  <c r="DP426" i="36"/>
  <c r="DP415" i="36"/>
  <c r="DP412" i="36"/>
  <c r="DP409" i="36"/>
  <c r="DP401" i="36"/>
  <c r="DP433" i="36"/>
  <c r="DP407" i="36"/>
  <c r="DP405" i="36"/>
  <c r="DP397" i="36"/>
  <c r="DP389" i="36"/>
  <c r="DP394" i="36"/>
  <c r="DP432" i="36"/>
  <c r="DP399" i="36"/>
  <c r="DP391" i="36"/>
  <c r="DP439" i="36"/>
  <c r="DP393" i="36"/>
  <c r="DP385" i="36"/>
  <c r="DP377" i="36"/>
  <c r="DP402" i="36"/>
  <c r="DP390" i="36"/>
  <c r="DP387" i="36"/>
  <c r="DP374" i="36"/>
  <c r="DP366" i="36"/>
  <c r="DP358" i="36"/>
  <c r="DP424" i="36"/>
  <c r="DP408" i="36"/>
  <c r="DP403" i="36"/>
  <c r="DP396" i="36"/>
  <c r="DP398" i="36"/>
  <c r="DP395" i="36"/>
  <c r="DP392" i="36"/>
  <c r="DP404" i="36"/>
  <c r="DP381" i="36"/>
  <c r="DP400" i="36"/>
  <c r="DP388" i="36"/>
  <c r="DP386" i="36"/>
  <c r="DP370" i="36"/>
  <c r="DP410" i="36"/>
  <c r="DP383" i="36"/>
  <c r="DP375" i="36"/>
  <c r="DP436" i="36"/>
  <c r="DP411" i="36"/>
  <c r="DP406" i="36"/>
  <c r="DP376" i="36"/>
  <c r="DP368" i="36"/>
  <c r="DP349" i="36"/>
  <c r="DP341" i="36"/>
  <c r="DP378" i="36"/>
  <c r="DP346" i="36"/>
  <c r="DP338" i="36"/>
  <c r="DP371" i="36"/>
  <c r="DP369" i="36"/>
  <c r="DP351" i="36"/>
  <c r="DP343" i="36"/>
  <c r="DP418" i="36"/>
  <c r="DP380" i="36"/>
  <c r="DP345" i="36"/>
  <c r="DP373" i="36"/>
  <c r="DP367" i="36"/>
  <c r="DP365" i="36"/>
  <c r="DP363" i="36"/>
  <c r="DP361" i="36"/>
  <c r="DP360" i="36"/>
  <c r="DP359" i="36"/>
  <c r="DP357" i="36"/>
  <c r="DP355" i="36"/>
  <c r="DP353" i="36"/>
  <c r="DP350" i="36"/>
  <c r="DP364" i="36"/>
  <c r="DP384" i="36"/>
  <c r="DP382" i="36"/>
  <c r="DP379" i="36"/>
  <c r="DP372" i="36"/>
  <c r="DP352" i="36"/>
  <c r="DP332" i="36"/>
  <c r="DP324" i="36"/>
  <c r="DP347" i="36"/>
  <c r="DP329" i="36"/>
  <c r="DP321" i="36"/>
  <c r="DP356" i="36"/>
  <c r="DP342" i="36"/>
  <c r="DP326" i="36"/>
  <c r="DP318" i="36"/>
  <c r="DP362" i="36"/>
  <c r="DP354" i="36"/>
  <c r="DP344" i="36"/>
  <c r="DP334" i="36"/>
  <c r="DP333" i="36"/>
  <c r="DP325" i="36"/>
  <c r="DP317" i="36"/>
  <c r="DP309" i="36"/>
  <c r="DP301" i="36"/>
  <c r="DP293" i="36"/>
  <c r="DP348" i="36"/>
  <c r="DP331" i="36"/>
  <c r="DP330" i="36"/>
  <c r="DP288" i="36"/>
  <c r="DP280" i="36"/>
  <c r="DP272" i="36"/>
  <c r="DP320" i="36"/>
  <c r="DP319" i="36"/>
  <c r="DP339" i="36"/>
  <c r="DP336" i="36"/>
  <c r="DP282" i="36"/>
  <c r="DP323" i="36"/>
  <c r="DP322" i="36"/>
  <c r="DP335" i="36"/>
  <c r="DP327" i="36"/>
  <c r="DP316" i="36"/>
  <c r="DP314" i="36"/>
  <c r="DP312" i="36"/>
  <c r="DP311" i="36"/>
  <c r="DP310" i="36"/>
  <c r="DP308" i="36"/>
  <c r="DP306" i="36"/>
  <c r="DP304" i="36"/>
  <c r="DP303" i="36"/>
  <c r="DP302" i="36"/>
  <c r="DP300" i="36"/>
  <c r="DP298" i="36"/>
  <c r="DP296" i="36"/>
  <c r="DP295" i="36"/>
  <c r="DP294" i="36"/>
  <c r="DP292" i="36"/>
  <c r="DP290" i="36"/>
  <c r="DP340" i="36"/>
  <c r="DP328" i="36"/>
  <c r="DP315" i="36"/>
  <c r="DP313" i="36"/>
  <c r="DP307" i="36"/>
  <c r="DP305" i="36"/>
  <c r="DP299" i="36"/>
  <c r="DP337" i="36"/>
  <c r="DP289" i="36"/>
  <c r="DP283" i="36"/>
  <c r="DP264" i="36"/>
  <c r="DP256" i="36"/>
  <c r="DP248" i="36"/>
  <c r="DP240" i="36"/>
  <c r="DP269" i="36"/>
  <c r="DP261" i="36"/>
  <c r="DP253" i="36"/>
  <c r="DP245" i="36"/>
  <c r="DP237" i="36"/>
  <c r="DP229" i="36"/>
  <c r="DP291" i="36"/>
  <c r="DP287" i="36"/>
  <c r="DP281" i="36"/>
  <c r="DP279" i="36"/>
  <c r="DP277" i="36"/>
  <c r="DP275" i="36"/>
  <c r="DP274" i="36"/>
  <c r="DP273" i="36"/>
  <c r="DP266" i="36"/>
  <c r="DP258" i="36"/>
  <c r="DP250" i="36"/>
  <c r="DP242" i="36"/>
  <c r="DP297" i="36"/>
  <c r="DP286" i="36"/>
  <c r="DP265" i="36"/>
  <c r="DP257" i="36"/>
  <c r="DP249" i="36"/>
  <c r="DP241" i="36"/>
  <c r="DP233" i="36"/>
  <c r="DP278" i="36"/>
  <c r="DP268" i="36"/>
  <c r="DP255" i="36"/>
  <c r="DP254" i="36"/>
  <c r="DP243" i="36"/>
  <c r="DP236" i="36"/>
  <c r="DP230" i="36"/>
  <c r="DP226" i="36"/>
  <c r="DP218" i="36"/>
  <c r="DP244" i="36"/>
  <c r="DP223" i="36"/>
  <c r="DP271" i="36"/>
  <c r="DP270" i="36"/>
  <c r="DP259" i="36"/>
  <c r="DP260" i="36"/>
  <c r="DP247" i="36"/>
  <c r="DP246" i="36"/>
  <c r="DP231" i="36"/>
  <c r="DP225" i="36"/>
  <c r="DP276" i="36"/>
  <c r="DP263" i="36"/>
  <c r="DP262" i="36"/>
  <c r="DP251" i="36"/>
  <c r="DP232" i="36"/>
  <c r="DP227" i="36"/>
  <c r="DP219" i="36"/>
  <c r="DP211" i="36"/>
  <c r="DP203" i="36"/>
  <c r="DP284" i="36"/>
  <c r="DP238" i="36"/>
  <c r="DP199" i="36"/>
  <c r="DP285" i="36"/>
  <c r="DP252" i="36"/>
  <c r="DP222" i="36"/>
  <c r="DP214" i="36"/>
  <c r="DP196" i="36"/>
  <c r="DP188" i="36"/>
  <c r="DP220" i="36"/>
  <c r="DP217" i="36"/>
  <c r="DP212" i="36"/>
  <c r="DP235" i="36"/>
  <c r="DP198" i="36"/>
  <c r="DP190" i="36"/>
  <c r="DP224" i="36"/>
  <c r="DP215" i="36"/>
  <c r="DP239" i="36"/>
  <c r="DP228" i="36"/>
  <c r="DP221" i="36"/>
  <c r="DP267" i="36"/>
  <c r="DP197" i="36"/>
  <c r="DP201" i="36"/>
  <c r="DP194" i="36"/>
  <c r="DP175" i="36"/>
  <c r="DP167" i="36"/>
  <c r="DP209" i="36"/>
  <c r="DP206" i="36"/>
  <c r="DP195" i="36"/>
  <c r="DP189" i="36"/>
  <c r="DP180" i="36"/>
  <c r="DP172" i="36"/>
  <c r="DP164" i="36"/>
  <c r="DP156" i="36"/>
  <c r="DP148" i="36"/>
  <c r="DP140" i="36"/>
  <c r="DP202" i="36"/>
  <c r="DP186" i="36"/>
  <c r="DP177" i="36"/>
  <c r="DP169" i="36"/>
  <c r="DP161" i="36"/>
  <c r="DP153" i="36"/>
  <c r="DP145" i="36"/>
  <c r="DP213" i="36"/>
  <c r="DP210" i="36"/>
  <c r="DP192" i="36"/>
  <c r="DP187" i="36"/>
  <c r="DP174" i="36"/>
  <c r="DP179" i="36"/>
  <c r="DP216" i="36"/>
  <c r="DP207" i="36"/>
  <c r="DP204" i="36"/>
  <c r="DP185" i="36"/>
  <c r="DP183" i="36"/>
  <c r="DP182" i="36"/>
  <c r="DP176" i="36"/>
  <c r="DP168" i="36"/>
  <c r="DP160" i="36"/>
  <c r="DP152" i="36"/>
  <c r="DP144" i="36"/>
  <c r="DP136" i="36"/>
  <c r="DP128" i="36"/>
  <c r="DP234" i="36"/>
  <c r="DP208" i="36"/>
  <c r="DP200" i="36"/>
  <c r="DP184" i="36"/>
  <c r="DP181" i="36"/>
  <c r="DP173" i="36"/>
  <c r="DP165" i="36"/>
  <c r="DP205" i="36"/>
  <c r="DP193" i="36"/>
  <c r="DP191" i="36"/>
  <c r="DP178" i="36"/>
  <c r="DP162" i="36"/>
  <c r="DP151" i="36"/>
  <c r="DP141" i="36"/>
  <c r="DP138" i="36"/>
  <c r="DP125" i="36"/>
  <c r="DP117" i="36"/>
  <c r="DP109" i="36"/>
  <c r="DP101" i="36"/>
  <c r="DP171" i="36"/>
  <c r="DP154" i="36"/>
  <c r="DP147" i="36"/>
  <c r="DP122" i="36"/>
  <c r="DP114" i="36"/>
  <c r="DP106" i="36"/>
  <c r="DP98" i="36"/>
  <c r="DP90" i="36"/>
  <c r="DP166" i="36"/>
  <c r="DP157" i="36"/>
  <c r="DP150" i="36"/>
  <c r="DP133" i="36"/>
  <c r="DP131" i="36"/>
  <c r="DP130" i="36"/>
  <c r="DP129" i="36"/>
  <c r="DP127" i="36"/>
  <c r="DP119" i="36"/>
  <c r="DP111" i="36"/>
  <c r="DP103" i="36"/>
  <c r="DP95" i="36"/>
  <c r="DP87" i="36"/>
  <c r="DP163" i="36"/>
  <c r="DP143" i="36"/>
  <c r="DP132" i="36"/>
  <c r="DP124" i="36"/>
  <c r="DP116" i="36"/>
  <c r="DP108" i="36"/>
  <c r="DP100" i="36"/>
  <c r="DP92" i="36"/>
  <c r="DP170" i="36"/>
  <c r="DP146" i="36"/>
  <c r="DP139" i="36"/>
  <c r="DP137" i="36"/>
  <c r="DP149" i="36"/>
  <c r="DP142" i="36"/>
  <c r="DP134" i="36"/>
  <c r="DP126" i="36"/>
  <c r="DP118" i="36"/>
  <c r="DP110" i="36"/>
  <c r="DP102" i="36"/>
  <c r="DP94" i="36"/>
  <c r="DP86" i="36"/>
  <c r="DP78" i="36"/>
  <c r="DP70" i="36"/>
  <c r="DP155" i="36"/>
  <c r="DP123" i="36"/>
  <c r="DP159" i="36"/>
  <c r="DP158" i="36"/>
  <c r="DP135" i="36"/>
  <c r="DP120" i="36"/>
  <c r="DP112" i="36"/>
  <c r="DP104" i="36"/>
  <c r="DP91" i="36"/>
  <c r="DP88" i="36"/>
  <c r="DP121" i="36"/>
  <c r="DP113" i="36"/>
  <c r="DP107" i="36"/>
  <c r="DP96" i="36"/>
  <c r="DP93" i="36"/>
  <c r="DP66" i="36"/>
  <c r="DP115" i="36"/>
  <c r="DP105" i="36"/>
  <c r="DP99" i="36"/>
  <c r="DP85" i="36"/>
  <c r="DP83" i="36"/>
  <c r="DP81" i="36"/>
  <c r="DP80" i="36"/>
  <c r="DP79" i="36"/>
  <c r="DP77" i="36"/>
  <c r="DP75" i="36"/>
  <c r="DP73" i="36"/>
  <c r="DP72" i="36"/>
  <c r="DP71" i="36"/>
  <c r="DP69" i="36"/>
  <c r="DP67" i="36"/>
  <c r="DP76" i="36"/>
  <c r="DP74" i="36"/>
  <c r="DP68" i="36"/>
  <c r="DP97" i="36"/>
  <c r="DP84" i="36"/>
  <c r="DP82" i="36"/>
  <c r="DQ61" i="36"/>
  <c r="DP89" i="36"/>
  <c r="DD436" i="36"/>
  <c r="DD420" i="36"/>
  <c r="DD433" i="36"/>
  <c r="DD417" i="36"/>
  <c r="DD435" i="36"/>
  <c r="DD427" i="36"/>
  <c r="DD419" i="36"/>
  <c r="DD423" i="36"/>
  <c r="DD432" i="36"/>
  <c r="DD429" i="36"/>
  <c r="DD439" i="36"/>
  <c r="DD438" i="36"/>
  <c r="DD426" i="36"/>
  <c r="DD424" i="36"/>
  <c r="DD421" i="36"/>
  <c r="DD407" i="36"/>
  <c r="DD411" i="36"/>
  <c r="DD410" i="36"/>
  <c r="DD406" i="36"/>
  <c r="DD403" i="36"/>
  <c r="DD402" i="36"/>
  <c r="DD395" i="36"/>
  <c r="DD387" i="36"/>
  <c r="DD430" i="36"/>
  <c r="DD414" i="36"/>
  <c r="DD408" i="36"/>
  <c r="DD405" i="36"/>
  <c r="DD400" i="36"/>
  <c r="DD392" i="36"/>
  <c r="DD397" i="36"/>
  <c r="DD389" i="36"/>
  <c r="DD418" i="36"/>
  <c r="DD415" i="36"/>
  <c r="DD413" i="36"/>
  <c r="DD399" i="36"/>
  <c r="DD391" i="36"/>
  <c r="DD383" i="36"/>
  <c r="DD372" i="36"/>
  <c r="DD364" i="36"/>
  <c r="DD356" i="36"/>
  <c r="DD398" i="36"/>
  <c r="DD385" i="36"/>
  <c r="DD401" i="36"/>
  <c r="DD388" i="36"/>
  <c r="DD382" i="36"/>
  <c r="DD379" i="36"/>
  <c r="DD378" i="36"/>
  <c r="DD416" i="36"/>
  <c r="DD412" i="36"/>
  <c r="DD386" i="36"/>
  <c r="DD381" i="36"/>
  <c r="DD376" i="36"/>
  <c r="DD368" i="36"/>
  <c r="DD394" i="36"/>
  <c r="DD373" i="36"/>
  <c r="DD380" i="36"/>
  <c r="DD377" i="36"/>
  <c r="DD347" i="36"/>
  <c r="DD339" i="36"/>
  <c r="DD390" i="36"/>
  <c r="DD371" i="36"/>
  <c r="DD352" i="36"/>
  <c r="DD344" i="36"/>
  <c r="DD336" i="36"/>
  <c r="DD384" i="36"/>
  <c r="DD374" i="36"/>
  <c r="DD369" i="36"/>
  <c r="DD349" i="36"/>
  <c r="DD341" i="36"/>
  <c r="DD393" i="36"/>
  <c r="DD370" i="36"/>
  <c r="DD351" i="36"/>
  <c r="DD343" i="36"/>
  <c r="DD404" i="36"/>
  <c r="DD396" i="36"/>
  <c r="DD366" i="36"/>
  <c r="DD361" i="36"/>
  <c r="DD358" i="36"/>
  <c r="DD348" i="36"/>
  <c r="DD409" i="36"/>
  <c r="DD375" i="36"/>
  <c r="DD367" i="36"/>
  <c r="DD363" i="36"/>
  <c r="DD365" i="36"/>
  <c r="DD330" i="36"/>
  <c r="DD322" i="36"/>
  <c r="DD362" i="36"/>
  <c r="DD360" i="36"/>
  <c r="DD346" i="36"/>
  <c r="DD345" i="36"/>
  <c r="DD342" i="36"/>
  <c r="DD327" i="36"/>
  <c r="DD319" i="36"/>
  <c r="DD355" i="36"/>
  <c r="DD354" i="36"/>
  <c r="DD332" i="36"/>
  <c r="DD324" i="36"/>
  <c r="DD357" i="36"/>
  <c r="DD331" i="36"/>
  <c r="DD323" i="36"/>
  <c r="DD315" i="36"/>
  <c r="DD307" i="36"/>
  <c r="DD299" i="36"/>
  <c r="DD291" i="36"/>
  <c r="DD350" i="36"/>
  <c r="DD286" i="36"/>
  <c r="DD278" i="36"/>
  <c r="DD335" i="36"/>
  <c r="DD326" i="36"/>
  <c r="DD318" i="36"/>
  <c r="DD340" i="36"/>
  <c r="DD325" i="36"/>
  <c r="DD288" i="36"/>
  <c r="DD329" i="36"/>
  <c r="DD337" i="36"/>
  <c r="DD328" i="36"/>
  <c r="DD312" i="36"/>
  <c r="DD309" i="36"/>
  <c r="DD304" i="36"/>
  <c r="DD301" i="36"/>
  <c r="DD296" i="36"/>
  <c r="DD293" i="36"/>
  <c r="DD287" i="36"/>
  <c r="DD359" i="36"/>
  <c r="DD338" i="36"/>
  <c r="DD321" i="36"/>
  <c r="DD317" i="36"/>
  <c r="DD314" i="36"/>
  <c r="DD311" i="36"/>
  <c r="DD310" i="36"/>
  <c r="DD306" i="36"/>
  <c r="DD303" i="36"/>
  <c r="DD302" i="36"/>
  <c r="DD353" i="36"/>
  <c r="DD334" i="36"/>
  <c r="DD333" i="36"/>
  <c r="DD295" i="36"/>
  <c r="DD270" i="36"/>
  <c r="DD262" i="36"/>
  <c r="DD254" i="36"/>
  <c r="DD246" i="36"/>
  <c r="DD238" i="36"/>
  <c r="DD294" i="36"/>
  <c r="DD267" i="36"/>
  <c r="DD259" i="36"/>
  <c r="DD251" i="36"/>
  <c r="DD243" i="36"/>
  <c r="DD235" i="36"/>
  <c r="DD292" i="36"/>
  <c r="DD280" i="36"/>
  <c r="DD275" i="36"/>
  <c r="DD272" i="36"/>
  <c r="DD264" i="36"/>
  <c r="DD256" i="36"/>
  <c r="DD248" i="36"/>
  <c r="DD240" i="36"/>
  <c r="DD285" i="36"/>
  <c r="DD271" i="36"/>
  <c r="DD263" i="36"/>
  <c r="DD255" i="36"/>
  <c r="DD247" i="36"/>
  <c r="DD239" i="36"/>
  <c r="DD231" i="36"/>
  <c r="DD305" i="36"/>
  <c r="DD283" i="36"/>
  <c r="DD279" i="36"/>
  <c r="DD261" i="36"/>
  <c r="DD224" i="36"/>
  <c r="DD216" i="36"/>
  <c r="DD260" i="36"/>
  <c r="DD250" i="36"/>
  <c r="DD230" i="36"/>
  <c r="DD229" i="36"/>
  <c r="DD320" i="36"/>
  <c r="DD313" i="36"/>
  <c r="DD281" i="36"/>
  <c r="DD277" i="36"/>
  <c r="DD276" i="36"/>
  <c r="DD273" i="36"/>
  <c r="DD249" i="36"/>
  <c r="DD298" i="36"/>
  <c r="DD289" i="36"/>
  <c r="DD284" i="36"/>
  <c r="DD266" i="36"/>
  <c r="DD253" i="36"/>
  <c r="DD234" i="36"/>
  <c r="DD308" i="36"/>
  <c r="DD274" i="36"/>
  <c r="DD265" i="36"/>
  <c r="DD252" i="36"/>
  <c r="DD316" i="36"/>
  <c r="DD300" i="36"/>
  <c r="DD282" i="36"/>
  <c r="DD269" i="36"/>
  <c r="DD241" i="36"/>
  <c r="DD232" i="36"/>
  <c r="DD225" i="36"/>
  <c r="DD217" i="36"/>
  <c r="DD209" i="36"/>
  <c r="DD201" i="36"/>
  <c r="DD297" i="36"/>
  <c r="DD268" i="36"/>
  <c r="DD257" i="36"/>
  <c r="DD222" i="36"/>
  <c r="DD214" i="36"/>
  <c r="DD197" i="36"/>
  <c r="DD233" i="36"/>
  <c r="DD194" i="36"/>
  <c r="DD186" i="36"/>
  <c r="DD228" i="36"/>
  <c r="DD227" i="36"/>
  <c r="DD226" i="36"/>
  <c r="DD220" i="36"/>
  <c r="DD212" i="36"/>
  <c r="DD199" i="36"/>
  <c r="DD245" i="36"/>
  <c r="DD196" i="36"/>
  <c r="DD188" i="36"/>
  <c r="DD221" i="36"/>
  <c r="DD218" i="36"/>
  <c r="DD215" i="36"/>
  <c r="DD213" i="36"/>
  <c r="DD258" i="36"/>
  <c r="DD244" i="36"/>
  <c r="DD236" i="36"/>
  <c r="DD223" i="36"/>
  <c r="DD242" i="36"/>
  <c r="DD219" i="36"/>
  <c r="DD211" i="36"/>
  <c r="DD210" i="36"/>
  <c r="DD207" i="36"/>
  <c r="DD202" i="36"/>
  <c r="DD195" i="36"/>
  <c r="DD203" i="36"/>
  <c r="DD181" i="36"/>
  <c r="DD173" i="36"/>
  <c r="DD165" i="36"/>
  <c r="DD178" i="36"/>
  <c r="DD170" i="36"/>
  <c r="DD162" i="36"/>
  <c r="DD154" i="36"/>
  <c r="DD146" i="36"/>
  <c r="DD138" i="36"/>
  <c r="DD189" i="36"/>
  <c r="DD175" i="36"/>
  <c r="DD167" i="36"/>
  <c r="DD159" i="36"/>
  <c r="DD151" i="36"/>
  <c r="DD143" i="36"/>
  <c r="DD290" i="36"/>
  <c r="DD208" i="36"/>
  <c r="DD204" i="36"/>
  <c r="DD200" i="36"/>
  <c r="DD198" i="36"/>
  <c r="DD192" i="36"/>
  <c r="DD190" i="36"/>
  <c r="DD180" i="36"/>
  <c r="DD172" i="36"/>
  <c r="DD237" i="36"/>
  <c r="DD205" i="36"/>
  <c r="DD187" i="36"/>
  <c r="DD177" i="36"/>
  <c r="DD206" i="36"/>
  <c r="DD193" i="36"/>
  <c r="DD183" i="36"/>
  <c r="DD174" i="36"/>
  <c r="DD166" i="36"/>
  <c r="DD158" i="36"/>
  <c r="DD150" i="36"/>
  <c r="DD142" i="36"/>
  <c r="DD134" i="36"/>
  <c r="DD191" i="36"/>
  <c r="DD185" i="36"/>
  <c r="DD182" i="36"/>
  <c r="DD179" i="36"/>
  <c r="DD171" i="36"/>
  <c r="DD163" i="36"/>
  <c r="DD184" i="36"/>
  <c r="DD164" i="36"/>
  <c r="DD161" i="36"/>
  <c r="DD153" i="36"/>
  <c r="DD147" i="36"/>
  <c r="DD144" i="36"/>
  <c r="DD123" i="36"/>
  <c r="DD115" i="36"/>
  <c r="DD107" i="36"/>
  <c r="DD99" i="36"/>
  <c r="DD157" i="36"/>
  <c r="DD156" i="36"/>
  <c r="DD120" i="36"/>
  <c r="DD112" i="36"/>
  <c r="DD104" i="36"/>
  <c r="DD96" i="36"/>
  <c r="DD136" i="36"/>
  <c r="DD131" i="36"/>
  <c r="DD128" i="36"/>
  <c r="DD125" i="36"/>
  <c r="DD117" i="36"/>
  <c r="DD109" i="36"/>
  <c r="DD101" i="36"/>
  <c r="DD93" i="36"/>
  <c r="DD145" i="36"/>
  <c r="DD139" i="36"/>
  <c r="DD133" i="36"/>
  <c r="DD130" i="36"/>
  <c r="DD129" i="36"/>
  <c r="DD122" i="36"/>
  <c r="DD114" i="36"/>
  <c r="DD106" i="36"/>
  <c r="DD98" i="36"/>
  <c r="DD168" i="36"/>
  <c r="DD149" i="36"/>
  <c r="DD148" i="36"/>
  <c r="DD137" i="36"/>
  <c r="DD132" i="36"/>
  <c r="DD127" i="36"/>
  <c r="DD169" i="36"/>
  <c r="DD155" i="36"/>
  <c r="DD152" i="36"/>
  <c r="DD124" i="36"/>
  <c r="DD116" i="36"/>
  <c r="DD108" i="36"/>
  <c r="DD100" i="36"/>
  <c r="DD92" i="36"/>
  <c r="DD84" i="36"/>
  <c r="DD76" i="36"/>
  <c r="DD68" i="36"/>
  <c r="DD176" i="36"/>
  <c r="DD121" i="36"/>
  <c r="DD160" i="36"/>
  <c r="DD141" i="36"/>
  <c r="DD140" i="36"/>
  <c r="DD135" i="36"/>
  <c r="DD126" i="36"/>
  <c r="DD118" i="36"/>
  <c r="DD105" i="36"/>
  <c r="DD103" i="36"/>
  <c r="DD94" i="36"/>
  <c r="DD91" i="36"/>
  <c r="DD97" i="36"/>
  <c r="DD95" i="36"/>
  <c r="DD90" i="36"/>
  <c r="DD88" i="36"/>
  <c r="DD82" i="36"/>
  <c r="DD77" i="36"/>
  <c r="DD86" i="36"/>
  <c r="DD81" i="36"/>
  <c r="DD78" i="36"/>
  <c r="DD73" i="36"/>
  <c r="DD70" i="36"/>
  <c r="DD75" i="36"/>
  <c r="DD72" i="36"/>
  <c r="DD71" i="36"/>
  <c r="DD67" i="36"/>
  <c r="DD119" i="36"/>
  <c r="DD89" i="36"/>
  <c r="DD83" i="36"/>
  <c r="DD80" i="36"/>
  <c r="DD79" i="36"/>
  <c r="DD110" i="36"/>
  <c r="DE61" i="36"/>
  <c r="DD113" i="36"/>
  <c r="DD111" i="36"/>
  <c r="DD102" i="36"/>
  <c r="DD87" i="36"/>
  <c r="DD85" i="36"/>
  <c r="DD74" i="36"/>
  <c r="DD69" i="36"/>
  <c r="DD66" i="36"/>
  <c r="I516" i="36"/>
  <c r="DC306" i="57"/>
  <c r="DC318" i="57"/>
  <c r="DC298" i="57"/>
  <c r="DC282" i="57"/>
  <c r="DC303" i="57"/>
  <c r="DC295" i="57"/>
  <c r="DC315" i="57"/>
  <c r="DC300" i="57"/>
  <c r="DC292" i="57"/>
  <c r="DC310" i="57"/>
  <c r="DC307" i="57"/>
  <c r="DC291" i="57"/>
  <c r="DC283" i="57"/>
  <c r="DC316" i="57"/>
  <c r="DC313" i="57"/>
  <c r="DC312" i="57"/>
  <c r="DC309" i="57"/>
  <c r="DC304" i="57"/>
  <c r="DC288" i="57"/>
  <c r="DC268" i="57"/>
  <c r="DC252" i="57"/>
  <c r="DC244" i="57"/>
  <c r="DC276" i="57"/>
  <c r="DC273" i="57"/>
  <c r="DC265" i="57"/>
  <c r="DC249" i="57"/>
  <c r="DC301" i="57"/>
  <c r="DC294" i="57"/>
  <c r="DC270" i="57"/>
  <c r="DC262" i="57"/>
  <c r="DC297" i="57"/>
  <c r="DC279" i="57"/>
  <c r="DC267" i="57"/>
  <c r="DC289" i="57"/>
  <c r="DC286" i="57"/>
  <c r="DC277" i="57"/>
  <c r="DC261" i="57"/>
  <c r="DC285" i="57"/>
  <c r="DC274" i="57"/>
  <c r="DC259" i="57"/>
  <c r="DC246" i="57"/>
  <c r="DC243" i="57"/>
  <c r="DC238" i="57"/>
  <c r="DC235" i="57"/>
  <c r="DC225" i="57"/>
  <c r="DC217" i="57"/>
  <c r="DC241" i="57"/>
  <c r="DC240" i="57"/>
  <c r="DC237" i="57"/>
  <c r="DC222" i="57"/>
  <c r="DC214" i="57"/>
  <c r="DC280" i="57"/>
  <c r="DC258" i="57"/>
  <c r="DC253" i="57"/>
  <c r="DC250" i="57"/>
  <c r="DC229" i="57"/>
  <c r="DC213" i="57"/>
  <c r="DC255" i="57"/>
  <c r="DC234" i="57"/>
  <c r="DC201" i="57"/>
  <c r="DC193" i="57"/>
  <c r="DC223" i="57"/>
  <c r="DC220" i="57"/>
  <c r="DC216" i="57"/>
  <c r="DC198" i="57"/>
  <c r="DC190" i="57"/>
  <c r="DC226" i="57"/>
  <c r="DC256" i="57"/>
  <c r="DC232" i="57"/>
  <c r="DC271" i="57"/>
  <c r="DC247" i="57"/>
  <c r="DC205" i="57"/>
  <c r="DC202" i="57"/>
  <c r="DC186" i="57"/>
  <c r="DC264" i="57"/>
  <c r="DC231" i="57"/>
  <c r="DC207" i="57"/>
  <c r="DC187" i="57"/>
  <c r="DC219" i="57"/>
  <c r="DC208" i="57"/>
  <c r="DC204" i="57"/>
  <c r="DC199" i="57"/>
  <c r="DC196" i="57"/>
  <c r="DC195" i="57"/>
  <c r="DC162" i="57"/>
  <c r="DC154" i="57"/>
  <c r="DC192" i="57"/>
  <c r="DC180" i="57"/>
  <c r="DC136" i="57"/>
  <c r="DC120" i="57"/>
  <c r="DC112" i="57"/>
  <c r="DC96" i="57"/>
  <c r="DC88" i="57"/>
  <c r="DC211" i="57"/>
  <c r="DC181" i="57"/>
  <c r="DC175" i="57"/>
  <c r="DC141" i="57"/>
  <c r="DC133" i="57"/>
  <c r="DC117" i="57"/>
  <c r="DC109" i="57"/>
  <c r="DC228" i="57"/>
  <c r="DC210" i="57"/>
  <c r="DC183" i="57"/>
  <c r="DC178" i="57"/>
  <c r="DC138" i="57"/>
  <c r="DC130" i="57"/>
  <c r="DC114" i="57"/>
  <c r="DC106" i="57"/>
  <c r="DC90" i="57"/>
  <c r="DC135" i="57"/>
  <c r="DC127" i="57"/>
  <c r="DC132" i="57"/>
  <c r="DC124" i="57"/>
  <c r="DC189" i="57"/>
  <c r="DC172" i="57"/>
  <c r="DC169" i="57"/>
  <c r="DC156" i="57"/>
  <c r="DC153" i="57"/>
  <c r="DC148" i="57"/>
  <c r="DC145" i="57"/>
  <c r="DC129" i="57"/>
  <c r="DC121" i="57"/>
  <c r="DC105" i="57"/>
  <c r="DC97" i="57"/>
  <c r="DC81" i="57"/>
  <c r="DC73" i="57"/>
  <c r="DC174" i="57"/>
  <c r="DC171" i="57"/>
  <c r="DC166" i="57"/>
  <c r="DC163" i="57"/>
  <c r="DC159" i="57"/>
  <c r="DC151" i="57"/>
  <c r="DC150" i="57"/>
  <c r="DC147" i="57"/>
  <c r="DC142" i="57"/>
  <c r="DC126" i="57"/>
  <c r="DC184" i="57"/>
  <c r="DC177" i="57"/>
  <c r="DC168" i="57"/>
  <c r="DC165" i="57"/>
  <c r="DC160" i="57"/>
  <c r="DC157" i="57"/>
  <c r="DC144" i="57"/>
  <c r="DC139" i="57"/>
  <c r="DC123" i="57"/>
  <c r="DC103" i="57"/>
  <c r="DC75" i="57"/>
  <c r="DC70" i="57"/>
  <c r="DC76" i="57"/>
  <c r="DD64" i="57"/>
  <c r="DC111" i="57"/>
  <c r="DC99" i="57"/>
  <c r="DC93" i="57"/>
  <c r="DC82" i="57"/>
  <c r="DC78" i="57"/>
  <c r="DC85" i="57"/>
  <c r="DC72" i="57"/>
  <c r="DC91" i="57"/>
  <c r="DC79" i="57"/>
  <c r="DC69" i="57"/>
  <c r="DC102" i="57"/>
  <c r="DC115" i="57"/>
  <c r="DC108" i="57"/>
  <c r="DC118" i="57"/>
  <c r="DC94" i="57"/>
  <c r="DC87" i="57"/>
  <c r="DC100" i="57"/>
  <c r="DC84" i="57"/>
  <c r="DP313" i="57"/>
  <c r="DP318" i="57"/>
  <c r="DP310" i="57"/>
  <c r="DP294" i="57"/>
  <c r="DP286" i="57"/>
  <c r="DP315" i="57"/>
  <c r="DP291" i="57"/>
  <c r="DP283" i="57"/>
  <c r="DP312" i="57"/>
  <c r="DP307" i="57"/>
  <c r="DP306" i="57"/>
  <c r="DP304" i="57"/>
  <c r="DP309" i="57"/>
  <c r="DP301" i="57"/>
  <c r="DP303" i="57"/>
  <c r="DP295" i="57"/>
  <c r="DP279" i="57"/>
  <c r="DP316" i="57"/>
  <c r="DP300" i="57"/>
  <c r="DP292" i="57"/>
  <c r="DP282" i="57"/>
  <c r="DP276" i="57"/>
  <c r="DP264" i="57"/>
  <c r="DP256" i="57"/>
  <c r="DP240" i="57"/>
  <c r="DP261" i="57"/>
  <c r="DP253" i="57"/>
  <c r="DP298" i="57"/>
  <c r="DP274" i="57"/>
  <c r="DP258" i="57"/>
  <c r="DP250" i="57"/>
  <c r="DP271" i="57"/>
  <c r="DP277" i="57"/>
  <c r="DP289" i="57"/>
  <c r="DP280" i="57"/>
  <c r="DP273" i="57"/>
  <c r="DP265" i="57"/>
  <c r="DP297" i="57"/>
  <c r="DP288" i="57"/>
  <c r="DP262" i="57"/>
  <c r="DP252" i="57"/>
  <c r="DP247" i="57"/>
  <c r="DP267" i="57"/>
  <c r="DP229" i="57"/>
  <c r="DP213" i="57"/>
  <c r="DP205" i="57"/>
  <c r="DP270" i="57"/>
  <c r="DP259" i="57"/>
  <c r="DP255" i="57"/>
  <c r="DP226" i="57"/>
  <c r="DP210" i="57"/>
  <c r="DP268" i="57"/>
  <c r="DP225" i="57"/>
  <c r="DP217" i="57"/>
  <c r="DP235" i="57"/>
  <c r="DP234" i="57"/>
  <c r="DP223" i="57"/>
  <c r="DP220" i="57"/>
  <c r="DP207" i="57"/>
  <c r="DP189" i="57"/>
  <c r="DP181" i="57"/>
  <c r="DP202" i="57"/>
  <c r="DP186" i="57"/>
  <c r="DP178" i="57"/>
  <c r="DP244" i="57"/>
  <c r="DP243" i="57"/>
  <c r="DP216" i="57"/>
  <c r="DP285" i="57"/>
  <c r="DP246" i="57"/>
  <c r="DP241" i="57"/>
  <c r="DP231" i="57"/>
  <c r="DP228" i="57"/>
  <c r="DP198" i="57"/>
  <c r="DP190" i="57"/>
  <c r="DP238" i="57"/>
  <c r="DP237" i="57"/>
  <c r="DP249" i="57"/>
  <c r="DP214" i="57"/>
  <c r="DP211" i="57"/>
  <c r="DP201" i="57"/>
  <c r="DP180" i="57"/>
  <c r="DP187" i="57"/>
  <c r="DP204" i="57"/>
  <c r="DP183" i="57"/>
  <c r="DP232" i="57"/>
  <c r="DP219" i="57"/>
  <c r="DP208" i="57"/>
  <c r="DP166" i="57"/>
  <c r="DP150" i="57"/>
  <c r="DP142" i="57"/>
  <c r="DP195" i="57"/>
  <c r="DP132" i="57"/>
  <c r="DP124" i="57"/>
  <c r="DP108" i="57"/>
  <c r="DP100" i="57"/>
  <c r="DP84" i="57"/>
  <c r="DP222" i="57"/>
  <c r="DP129" i="57"/>
  <c r="DP121" i="57"/>
  <c r="DP105" i="57"/>
  <c r="DP126" i="57"/>
  <c r="DP118" i="57"/>
  <c r="DP102" i="57"/>
  <c r="DP94" i="57"/>
  <c r="DP192" i="57"/>
  <c r="DP184" i="57"/>
  <c r="DP172" i="57"/>
  <c r="DP171" i="57"/>
  <c r="DP169" i="57"/>
  <c r="DP168" i="57"/>
  <c r="DP163" i="57"/>
  <c r="DP162" i="57"/>
  <c r="DP160" i="57"/>
  <c r="DP156" i="57"/>
  <c r="DP154" i="57"/>
  <c r="DP153" i="57"/>
  <c r="DP148" i="57"/>
  <c r="DP147" i="57"/>
  <c r="DP145" i="57"/>
  <c r="DP144" i="57"/>
  <c r="DP139" i="57"/>
  <c r="DP123" i="57"/>
  <c r="DP196" i="57"/>
  <c r="DP174" i="57"/>
  <c r="DP165" i="57"/>
  <c r="DP159" i="57"/>
  <c r="DP157" i="57"/>
  <c r="DP151" i="57"/>
  <c r="DP136" i="57"/>
  <c r="DP120" i="57"/>
  <c r="DP112" i="57"/>
  <c r="DP177" i="57"/>
  <c r="DP141" i="57"/>
  <c r="DP133" i="57"/>
  <c r="DP117" i="57"/>
  <c r="DP109" i="57"/>
  <c r="DP93" i="57"/>
  <c r="DP85" i="57"/>
  <c r="DP199" i="57"/>
  <c r="DP138" i="57"/>
  <c r="DP130" i="57"/>
  <c r="DP193" i="57"/>
  <c r="DP175" i="57"/>
  <c r="DP135" i="57"/>
  <c r="DP127" i="57"/>
  <c r="DP103" i="57"/>
  <c r="DP96" i="57"/>
  <c r="DP69" i="57"/>
  <c r="DQ64" i="57"/>
  <c r="DP99" i="57"/>
  <c r="DP88" i="57"/>
  <c r="DP91" i="57"/>
  <c r="DP114" i="57"/>
  <c r="DP111" i="57"/>
  <c r="DP106" i="57"/>
  <c r="DP97" i="57"/>
  <c r="DP70" i="57"/>
  <c r="DP115" i="57"/>
  <c r="DP90" i="57"/>
  <c r="DP87" i="57"/>
  <c r="DP82" i="57"/>
  <c r="DP81" i="57"/>
  <c r="DP79" i="57"/>
  <c r="DP75" i="57"/>
  <c r="DP73" i="57"/>
  <c r="DP78" i="57"/>
  <c r="DP76" i="57"/>
  <c r="DP72" i="57"/>
  <c r="I550" i="57"/>
  <c r="I505" i="57"/>
  <c r="I549" i="57"/>
  <c r="I504" i="57"/>
  <c r="I561" i="57"/>
  <c r="I551" i="57"/>
  <c r="I506" i="57"/>
  <c r="N142" i="102"/>
  <c r="N18" i="102" s="1"/>
  <c r="S65" i="102"/>
  <c r="S151" i="102"/>
  <c r="P63" i="102"/>
  <c r="C142" i="102"/>
  <c r="C18" i="102" s="1"/>
  <c r="C23" i="102" s="1"/>
  <c r="AK23" i="102" s="1"/>
  <c r="T151" i="102"/>
  <c r="R20" i="102"/>
  <c r="R65" i="102"/>
  <c r="R68" i="102" s="1"/>
  <c r="R78" i="102" s="1"/>
  <c r="K151" i="102"/>
  <c r="K20" i="102"/>
  <c r="P65" i="102"/>
  <c r="P20" i="102"/>
  <c r="P23" i="102" s="1"/>
  <c r="G65" i="102"/>
  <c r="G20" i="102"/>
  <c r="D20" i="102"/>
  <c r="D151" i="102"/>
  <c r="T65" i="102"/>
  <c r="E65" i="102"/>
  <c r="E20" i="102"/>
  <c r="O142" i="102"/>
  <c r="O63" i="102" s="1"/>
  <c r="G142" i="102"/>
  <c r="G18" i="102" s="1"/>
  <c r="F142" i="102"/>
  <c r="F143" i="102" s="1"/>
  <c r="Q143" i="102"/>
  <c r="M63" i="102"/>
  <c r="N151" i="102"/>
  <c r="T142" i="102"/>
  <c r="M65" i="102"/>
  <c r="M20" i="102"/>
  <c r="N20" i="102"/>
  <c r="F65" i="102"/>
  <c r="F151" i="102"/>
  <c r="D142" i="102"/>
  <c r="D143" i="102" s="1"/>
  <c r="C65" i="102"/>
  <c r="C151" i="102"/>
  <c r="Q26" i="102"/>
  <c r="Q23" i="102"/>
  <c r="Q24" i="102" s="1"/>
  <c r="P143" i="102"/>
  <c r="R18" i="102"/>
  <c r="S63" i="102"/>
  <c r="M18" i="102"/>
  <c r="R143" i="102"/>
  <c r="S18" i="102"/>
  <c r="Q63" i="102"/>
  <c r="K18" i="102"/>
  <c r="K143" i="102"/>
  <c r="K67" i="102" l="1"/>
  <c r="K75" i="102" s="1"/>
  <c r="K76" i="102" s="1"/>
  <c r="R93" i="102"/>
  <c r="I517" i="36"/>
  <c r="L26" i="102"/>
  <c r="AQ25" i="102" s="1"/>
  <c r="L143" i="102"/>
  <c r="L63" i="102"/>
  <c r="L68" i="102" s="1"/>
  <c r="L78" i="102" s="1"/>
  <c r="T18" i="102"/>
  <c r="K4" i="102"/>
  <c r="J6" i="102"/>
  <c r="E23" i="102"/>
  <c r="AM23" i="102" s="1"/>
  <c r="I84" i="102"/>
  <c r="I85" i="102" s="1"/>
  <c r="I99" i="102"/>
  <c r="E63" i="102"/>
  <c r="E143" i="102"/>
  <c r="K93" i="102"/>
  <c r="K90" i="102"/>
  <c r="L23" i="102"/>
  <c r="AH47" i="98"/>
  <c r="AH62" i="98"/>
  <c r="AF54" i="98"/>
  <c r="AG47" i="98"/>
  <c r="AG62" i="98"/>
  <c r="AI62" i="98"/>
  <c r="AJ47" i="98"/>
  <c r="AJ62" i="98"/>
  <c r="AK62" i="98"/>
  <c r="AW92" i="102"/>
  <c r="N143" i="102"/>
  <c r="N63" i="102"/>
  <c r="DE433" i="36"/>
  <c r="DE417" i="36"/>
  <c r="DE438" i="36"/>
  <c r="DE430" i="36"/>
  <c r="DE414" i="36"/>
  <c r="DE432" i="36"/>
  <c r="DE424" i="36"/>
  <c r="DE416" i="36"/>
  <c r="DE429" i="36"/>
  <c r="DE420" i="36"/>
  <c r="DE419" i="36"/>
  <c r="DE439" i="36"/>
  <c r="DE426" i="36"/>
  <c r="DE436" i="36"/>
  <c r="DE435" i="36"/>
  <c r="DE418" i="36"/>
  <c r="DE412" i="36"/>
  <c r="DE404" i="36"/>
  <c r="DE408" i="36"/>
  <c r="DE407" i="36"/>
  <c r="DE405" i="36"/>
  <c r="DE400" i="36"/>
  <c r="DE392" i="36"/>
  <c r="DE384" i="36"/>
  <c r="DE397" i="36"/>
  <c r="DE394" i="36"/>
  <c r="DE396" i="36"/>
  <c r="DE388" i="36"/>
  <c r="DE380" i="36"/>
  <c r="DE415" i="36"/>
  <c r="DE398" i="36"/>
  <c r="DE385" i="36"/>
  <c r="DE369" i="36"/>
  <c r="DE361" i="36"/>
  <c r="DE421" i="36"/>
  <c r="DE410" i="36"/>
  <c r="DE401" i="36"/>
  <c r="DE389" i="36"/>
  <c r="DE411" i="36"/>
  <c r="DE406" i="36"/>
  <c r="DE386" i="36"/>
  <c r="DE381" i="36"/>
  <c r="DE376" i="36"/>
  <c r="DE402" i="36"/>
  <c r="DE383" i="36"/>
  <c r="DE373" i="36"/>
  <c r="DE427" i="36"/>
  <c r="DE391" i="36"/>
  <c r="DE413" i="36"/>
  <c r="DE409" i="36"/>
  <c r="DE403" i="36"/>
  <c r="DE393" i="36"/>
  <c r="DE390" i="36"/>
  <c r="DE387" i="36"/>
  <c r="DE375" i="36"/>
  <c r="DE371" i="36"/>
  <c r="DE352" i="36"/>
  <c r="DE344" i="36"/>
  <c r="DE336" i="36"/>
  <c r="DE399" i="36"/>
  <c r="DE382" i="36"/>
  <c r="DE374" i="36"/>
  <c r="DE349" i="36"/>
  <c r="DE341" i="36"/>
  <c r="DE379" i="36"/>
  <c r="DE346" i="36"/>
  <c r="DE423" i="36"/>
  <c r="DE370" i="36"/>
  <c r="DE366" i="36"/>
  <c r="DE358" i="36"/>
  <c r="DE348" i="36"/>
  <c r="DE395" i="36"/>
  <c r="DE378" i="36"/>
  <c r="DE372" i="36"/>
  <c r="DE367" i="36"/>
  <c r="DE363" i="36"/>
  <c r="DE360" i="36"/>
  <c r="DE359" i="36"/>
  <c r="DE355" i="36"/>
  <c r="DE353" i="36"/>
  <c r="DE365" i="36"/>
  <c r="DE364" i="36"/>
  <c r="DE377" i="36"/>
  <c r="DE368" i="36"/>
  <c r="DE362" i="36"/>
  <c r="DE345" i="36"/>
  <c r="DE342" i="36"/>
  <c r="DE327" i="36"/>
  <c r="DE354" i="36"/>
  <c r="DE332" i="36"/>
  <c r="DE324" i="36"/>
  <c r="DE340" i="36"/>
  <c r="DE329" i="36"/>
  <c r="DE321" i="36"/>
  <c r="DE350" i="36"/>
  <c r="DE347" i="36"/>
  <c r="DE339" i="36"/>
  <c r="DE334" i="36"/>
  <c r="DE328" i="36"/>
  <c r="DE320" i="36"/>
  <c r="DE312" i="36"/>
  <c r="DE304" i="36"/>
  <c r="DE296" i="36"/>
  <c r="DE351" i="36"/>
  <c r="DE335" i="36"/>
  <c r="DE326" i="36"/>
  <c r="DE322" i="36"/>
  <c r="DE318" i="36"/>
  <c r="DE283" i="36"/>
  <c r="DE275" i="36"/>
  <c r="DE325" i="36"/>
  <c r="DE323" i="36"/>
  <c r="DE357" i="36"/>
  <c r="DE356" i="36"/>
  <c r="DE285" i="36"/>
  <c r="DE337" i="36"/>
  <c r="DE309" i="36"/>
  <c r="DE301" i="36"/>
  <c r="DE343" i="36"/>
  <c r="DE338" i="36"/>
  <c r="DE330" i="36"/>
  <c r="DE317" i="36"/>
  <c r="DE314" i="36"/>
  <c r="DE311" i="36"/>
  <c r="DE310" i="36"/>
  <c r="DE306" i="36"/>
  <c r="DE303" i="36"/>
  <c r="DE302" i="36"/>
  <c r="DE298" i="36"/>
  <c r="DE295" i="36"/>
  <c r="DE294" i="36"/>
  <c r="DE290" i="36"/>
  <c r="DE333" i="36"/>
  <c r="DE331" i="36"/>
  <c r="DE316" i="36"/>
  <c r="DE315" i="36"/>
  <c r="DE313" i="36"/>
  <c r="DE308" i="36"/>
  <c r="DE307" i="36"/>
  <c r="DE305" i="36"/>
  <c r="DE300" i="36"/>
  <c r="DE299" i="36"/>
  <c r="DE293" i="36"/>
  <c r="DE267" i="36"/>
  <c r="DE259" i="36"/>
  <c r="DE251" i="36"/>
  <c r="DE243" i="36"/>
  <c r="DE235" i="36"/>
  <c r="DE292" i="36"/>
  <c r="DE287" i="36"/>
  <c r="DE280" i="36"/>
  <c r="DE272" i="36"/>
  <c r="DE264" i="36"/>
  <c r="DE256" i="36"/>
  <c r="DE248" i="36"/>
  <c r="DE240" i="36"/>
  <c r="DE232" i="36"/>
  <c r="DE319" i="36"/>
  <c r="DE297" i="36"/>
  <c r="DE281" i="36"/>
  <c r="DE277" i="36"/>
  <c r="DE274" i="36"/>
  <c r="DE273" i="36"/>
  <c r="DE269" i="36"/>
  <c r="DE261" i="36"/>
  <c r="DE253" i="36"/>
  <c r="DE245" i="36"/>
  <c r="DE289" i="36"/>
  <c r="DE268" i="36"/>
  <c r="DE260" i="36"/>
  <c r="DE252" i="36"/>
  <c r="DE244" i="36"/>
  <c r="DE236" i="36"/>
  <c r="DE291" i="36"/>
  <c r="DE271" i="36"/>
  <c r="DE250" i="36"/>
  <c r="DE246" i="36"/>
  <c r="DE230" i="36"/>
  <c r="DE229" i="36"/>
  <c r="DE221" i="36"/>
  <c r="DE213" i="36"/>
  <c r="DE286" i="36"/>
  <c r="DE276" i="36"/>
  <c r="DE249" i="36"/>
  <c r="DE247" i="36"/>
  <c r="DE226" i="36"/>
  <c r="DE284" i="36"/>
  <c r="DE266" i="36"/>
  <c r="DE262" i="36"/>
  <c r="DE265" i="36"/>
  <c r="DE263" i="36"/>
  <c r="DE242" i="36"/>
  <c r="DE238" i="36"/>
  <c r="DE237" i="36"/>
  <c r="DE228" i="36"/>
  <c r="DE282" i="36"/>
  <c r="DE278" i="36"/>
  <c r="DE288" i="36"/>
  <c r="DE258" i="36"/>
  <c r="DE254" i="36"/>
  <c r="DE222" i="36"/>
  <c r="DE214" i="36"/>
  <c r="DE206" i="36"/>
  <c r="DE255" i="36"/>
  <c r="DE239" i="36"/>
  <c r="DE233" i="36"/>
  <c r="DE194" i="36"/>
  <c r="DE227" i="36"/>
  <c r="DE220" i="36"/>
  <c r="DE212" i="36"/>
  <c r="DE199" i="36"/>
  <c r="DE191" i="36"/>
  <c r="DE183" i="36"/>
  <c r="DE241" i="36"/>
  <c r="DE225" i="36"/>
  <c r="DE224" i="36"/>
  <c r="DE217" i="36"/>
  <c r="DE234" i="36"/>
  <c r="DE218" i="36"/>
  <c r="DE215" i="36"/>
  <c r="DE203" i="36"/>
  <c r="DE193" i="36"/>
  <c r="DE270" i="36"/>
  <c r="DE223" i="36"/>
  <c r="DE219" i="36"/>
  <c r="DE216" i="36"/>
  <c r="DE200" i="36"/>
  <c r="DE231" i="36"/>
  <c r="DE210" i="36"/>
  <c r="DE178" i="36"/>
  <c r="DE170" i="36"/>
  <c r="DE162" i="36"/>
  <c r="DE207" i="36"/>
  <c r="DE197" i="36"/>
  <c r="DE189" i="36"/>
  <c r="DE186" i="36"/>
  <c r="DE175" i="36"/>
  <c r="DE167" i="36"/>
  <c r="DE159" i="36"/>
  <c r="DE151" i="36"/>
  <c r="DE143" i="36"/>
  <c r="DE135" i="36"/>
  <c r="DE211" i="36"/>
  <c r="DE208" i="36"/>
  <c r="DE204" i="36"/>
  <c r="DE198" i="36"/>
  <c r="DE192" i="36"/>
  <c r="DE190" i="36"/>
  <c r="DE180" i="36"/>
  <c r="DE172" i="36"/>
  <c r="DE164" i="36"/>
  <c r="DE156" i="36"/>
  <c r="DE148" i="36"/>
  <c r="DE140" i="36"/>
  <c r="DE205" i="36"/>
  <c r="DE187" i="36"/>
  <c r="DE177" i="36"/>
  <c r="DE279" i="36"/>
  <c r="DE174" i="36"/>
  <c r="DE201" i="36"/>
  <c r="DE196" i="36"/>
  <c r="DE188" i="36"/>
  <c r="DE185" i="36"/>
  <c r="DE182" i="36"/>
  <c r="DE179" i="36"/>
  <c r="DE171" i="36"/>
  <c r="DE163" i="36"/>
  <c r="DE155" i="36"/>
  <c r="DE147" i="36"/>
  <c r="DE139" i="36"/>
  <c r="DE131" i="36"/>
  <c r="DE209" i="36"/>
  <c r="DE184" i="36"/>
  <c r="DE176" i="36"/>
  <c r="DE168" i="36"/>
  <c r="DE160" i="36"/>
  <c r="DE257" i="36"/>
  <c r="DE202" i="36"/>
  <c r="DE195" i="36"/>
  <c r="DE181" i="36"/>
  <c r="DE173" i="36"/>
  <c r="DE157" i="36"/>
  <c r="DE150" i="36"/>
  <c r="DE120" i="36"/>
  <c r="DE112" i="36"/>
  <c r="DE104" i="36"/>
  <c r="DE96" i="36"/>
  <c r="DE136" i="36"/>
  <c r="DE128" i="36"/>
  <c r="DE125" i="36"/>
  <c r="DE117" i="36"/>
  <c r="DE109" i="36"/>
  <c r="DE101" i="36"/>
  <c r="DE93" i="36"/>
  <c r="DE146" i="36"/>
  <c r="DE145" i="36"/>
  <c r="DE133" i="36"/>
  <c r="DE130" i="36"/>
  <c r="DE129" i="36"/>
  <c r="DE122" i="36"/>
  <c r="DE114" i="36"/>
  <c r="DE106" i="36"/>
  <c r="DE98" i="36"/>
  <c r="DE90" i="36"/>
  <c r="DE149" i="36"/>
  <c r="DE142" i="36"/>
  <c r="DE137" i="36"/>
  <c r="DE132" i="36"/>
  <c r="DE127" i="36"/>
  <c r="DE119" i="36"/>
  <c r="DE111" i="36"/>
  <c r="DE103" i="36"/>
  <c r="DE95" i="36"/>
  <c r="DE169" i="36"/>
  <c r="DE165" i="36"/>
  <c r="DE152" i="36"/>
  <c r="DE134" i="36"/>
  <c r="DE158" i="36"/>
  <c r="DE121" i="36"/>
  <c r="DE113" i="36"/>
  <c r="DE105" i="36"/>
  <c r="DE97" i="36"/>
  <c r="DE89" i="36"/>
  <c r="DE81" i="36"/>
  <c r="DE73" i="36"/>
  <c r="DE141" i="36"/>
  <c r="DE126" i="36"/>
  <c r="DE166" i="36"/>
  <c r="DE161" i="36"/>
  <c r="DE154" i="36"/>
  <c r="DE153" i="36"/>
  <c r="DE144" i="36"/>
  <c r="DE138" i="36"/>
  <c r="DE123" i="36"/>
  <c r="DE115" i="36"/>
  <c r="DE118" i="36"/>
  <c r="DE108" i="36"/>
  <c r="DE99" i="36"/>
  <c r="DE88" i="36"/>
  <c r="DE100" i="36"/>
  <c r="DE86" i="36"/>
  <c r="DE78" i="36"/>
  <c r="DE70" i="36"/>
  <c r="DE116" i="36"/>
  <c r="DE110" i="36"/>
  <c r="DE92" i="36"/>
  <c r="DE124" i="36"/>
  <c r="DE83" i="36"/>
  <c r="DE80" i="36"/>
  <c r="DE79" i="36"/>
  <c r="DE75" i="36"/>
  <c r="DE72" i="36"/>
  <c r="DE71" i="36"/>
  <c r="DE67" i="36"/>
  <c r="DE76" i="36"/>
  <c r="DE74" i="36"/>
  <c r="DE69" i="36"/>
  <c r="DE68" i="36"/>
  <c r="DE66" i="36"/>
  <c r="DE87" i="36"/>
  <c r="DE85" i="36"/>
  <c r="DE84" i="36"/>
  <c r="DE82" i="36"/>
  <c r="DE77" i="36"/>
  <c r="DE102" i="36"/>
  <c r="DE107" i="36"/>
  <c r="DE94" i="36"/>
  <c r="DE91" i="36"/>
  <c r="DQ435" i="36"/>
  <c r="DQ427" i="36"/>
  <c r="DQ419" i="36"/>
  <c r="DQ432" i="36"/>
  <c r="DQ424" i="36"/>
  <c r="DQ416" i="36"/>
  <c r="DQ426" i="36"/>
  <c r="DQ418" i="36"/>
  <c r="DQ423" i="36"/>
  <c r="DQ420" i="36"/>
  <c r="DQ417" i="36"/>
  <c r="DQ429" i="36"/>
  <c r="DQ439" i="36"/>
  <c r="DQ436" i="36"/>
  <c r="DQ433" i="36"/>
  <c r="DQ438" i="36"/>
  <c r="DQ421" i="36"/>
  <c r="DQ406" i="36"/>
  <c r="DQ394" i="36"/>
  <c r="DQ386" i="36"/>
  <c r="DQ399" i="36"/>
  <c r="DQ391" i="36"/>
  <c r="DQ396" i="36"/>
  <c r="DQ388" i="36"/>
  <c r="DQ413" i="36"/>
  <c r="DQ398" i="36"/>
  <c r="DQ390" i="36"/>
  <c r="DQ382" i="36"/>
  <c r="DQ412" i="36"/>
  <c r="DQ408" i="36"/>
  <c r="DQ403" i="36"/>
  <c r="DQ393" i="36"/>
  <c r="DQ371" i="36"/>
  <c r="DQ363" i="36"/>
  <c r="DQ355" i="36"/>
  <c r="DQ395" i="36"/>
  <c r="DQ392" i="36"/>
  <c r="DQ385" i="36"/>
  <c r="DQ409" i="36"/>
  <c r="DQ404" i="36"/>
  <c r="DQ400" i="36"/>
  <c r="DQ397" i="36"/>
  <c r="DQ389" i="36"/>
  <c r="DQ410" i="36"/>
  <c r="DQ383" i="36"/>
  <c r="DQ375" i="36"/>
  <c r="DQ430" i="36"/>
  <c r="DQ411" i="36"/>
  <c r="DQ405" i="36"/>
  <c r="DQ401" i="36"/>
  <c r="DQ372" i="36"/>
  <c r="DQ415" i="36"/>
  <c r="DQ384" i="36"/>
  <c r="DQ387" i="36"/>
  <c r="DQ378" i="36"/>
  <c r="DQ346" i="36"/>
  <c r="DQ338" i="36"/>
  <c r="DQ369" i="36"/>
  <c r="DQ351" i="36"/>
  <c r="DQ343" i="36"/>
  <c r="DQ335" i="36"/>
  <c r="DQ381" i="36"/>
  <c r="DQ374" i="36"/>
  <c r="DQ348" i="36"/>
  <c r="DQ340" i="36"/>
  <c r="DQ402" i="36"/>
  <c r="DQ380" i="36"/>
  <c r="DQ377" i="36"/>
  <c r="DQ373" i="36"/>
  <c r="DQ370" i="36"/>
  <c r="DQ367" i="36"/>
  <c r="DQ366" i="36"/>
  <c r="DQ365" i="36"/>
  <c r="DQ361" i="36"/>
  <c r="DQ360" i="36"/>
  <c r="DQ359" i="36"/>
  <c r="DQ358" i="36"/>
  <c r="DQ357" i="36"/>
  <c r="DQ353" i="36"/>
  <c r="DQ350" i="36"/>
  <c r="DQ342" i="36"/>
  <c r="DQ414" i="36"/>
  <c r="DQ364" i="36"/>
  <c r="DQ362" i="36"/>
  <c r="DQ356" i="36"/>
  <c r="DQ354" i="36"/>
  <c r="DQ347" i="36"/>
  <c r="DQ407" i="36"/>
  <c r="DQ379" i="36"/>
  <c r="DQ376" i="36"/>
  <c r="DQ368" i="36"/>
  <c r="DQ329" i="36"/>
  <c r="DQ321" i="36"/>
  <c r="DQ341" i="36"/>
  <c r="DQ326" i="36"/>
  <c r="DQ318" i="36"/>
  <c r="DQ345" i="36"/>
  <c r="DQ336" i="36"/>
  <c r="DQ331" i="36"/>
  <c r="DQ323" i="36"/>
  <c r="DQ334" i="36"/>
  <c r="DQ337" i="36"/>
  <c r="DQ330" i="36"/>
  <c r="DQ322" i="36"/>
  <c r="DQ314" i="36"/>
  <c r="DQ306" i="36"/>
  <c r="DQ298" i="36"/>
  <c r="DQ290" i="36"/>
  <c r="DQ349" i="36"/>
  <c r="DQ333" i="36"/>
  <c r="DQ332" i="36"/>
  <c r="DQ320" i="36"/>
  <c r="DQ319" i="36"/>
  <c r="DQ285" i="36"/>
  <c r="DQ277" i="36"/>
  <c r="DQ339" i="36"/>
  <c r="DQ287" i="36"/>
  <c r="DQ344" i="36"/>
  <c r="DQ325" i="36"/>
  <c r="DQ324" i="36"/>
  <c r="DQ327" i="36"/>
  <c r="DQ316" i="36"/>
  <c r="DQ312" i="36"/>
  <c r="DQ311" i="36"/>
  <c r="DQ310" i="36"/>
  <c r="DQ309" i="36"/>
  <c r="DQ308" i="36"/>
  <c r="DQ304" i="36"/>
  <c r="DQ303" i="36"/>
  <c r="DQ302" i="36"/>
  <c r="DQ301" i="36"/>
  <c r="DQ300" i="36"/>
  <c r="DQ328" i="36"/>
  <c r="DQ317" i="36"/>
  <c r="DQ315" i="36"/>
  <c r="DQ313" i="36"/>
  <c r="DQ307" i="36"/>
  <c r="DQ305" i="36"/>
  <c r="DQ299" i="36"/>
  <c r="DQ297" i="36"/>
  <c r="DQ291" i="36"/>
  <c r="DQ289" i="36"/>
  <c r="DQ286" i="36"/>
  <c r="DQ352" i="36"/>
  <c r="DQ269" i="36"/>
  <c r="DQ261" i="36"/>
  <c r="DQ253" i="36"/>
  <c r="DQ245" i="36"/>
  <c r="DQ237" i="36"/>
  <c r="DQ281" i="36"/>
  <c r="DQ280" i="36"/>
  <c r="DQ279" i="36"/>
  <c r="DQ275" i="36"/>
  <c r="DQ274" i="36"/>
  <c r="DQ273" i="36"/>
  <c r="DQ272" i="36"/>
  <c r="DQ266" i="36"/>
  <c r="DQ258" i="36"/>
  <c r="DQ250" i="36"/>
  <c r="DQ242" i="36"/>
  <c r="DQ234" i="36"/>
  <c r="DQ295" i="36"/>
  <c r="DQ294" i="36"/>
  <c r="DQ278" i="36"/>
  <c r="DQ276" i="36"/>
  <c r="DQ271" i="36"/>
  <c r="DQ263" i="36"/>
  <c r="DQ255" i="36"/>
  <c r="DQ247" i="36"/>
  <c r="DQ239" i="36"/>
  <c r="DQ270" i="36"/>
  <c r="DQ262" i="36"/>
  <c r="DQ254" i="36"/>
  <c r="DQ246" i="36"/>
  <c r="DQ238" i="36"/>
  <c r="DQ282" i="36"/>
  <c r="DQ257" i="36"/>
  <c r="DQ256" i="36"/>
  <c r="DQ244" i="36"/>
  <c r="DQ223" i="36"/>
  <c r="DQ215" i="36"/>
  <c r="DQ259" i="36"/>
  <c r="DQ235" i="36"/>
  <c r="DQ228" i="36"/>
  <c r="DQ292" i="36"/>
  <c r="DQ288" i="36"/>
  <c r="DQ260" i="36"/>
  <c r="DQ249" i="36"/>
  <c r="DQ248" i="36"/>
  <c r="DQ283" i="36"/>
  <c r="DQ251" i="36"/>
  <c r="DQ284" i="36"/>
  <c r="DQ265" i="36"/>
  <c r="DQ264" i="36"/>
  <c r="DQ252" i="36"/>
  <c r="DQ224" i="36"/>
  <c r="DQ216" i="36"/>
  <c r="DQ208" i="36"/>
  <c r="DQ296" i="36"/>
  <c r="DQ267" i="36"/>
  <c r="DQ268" i="36"/>
  <c r="DQ236" i="36"/>
  <c r="DQ230" i="36"/>
  <c r="DQ222" i="36"/>
  <c r="DQ214" i="36"/>
  <c r="DQ196" i="36"/>
  <c r="DQ243" i="36"/>
  <c r="DQ240" i="36"/>
  <c r="DQ220" i="36"/>
  <c r="DQ217" i="36"/>
  <c r="DQ212" i="36"/>
  <c r="DQ193" i="36"/>
  <c r="DQ185" i="36"/>
  <c r="DQ232" i="36"/>
  <c r="DQ198" i="36"/>
  <c r="DQ231" i="36"/>
  <c r="DQ218" i="36"/>
  <c r="DQ210" i="36"/>
  <c r="DQ206" i="36"/>
  <c r="DQ205" i="36"/>
  <c r="DQ204" i="36"/>
  <c r="DQ203" i="36"/>
  <c r="DQ202" i="36"/>
  <c r="DQ195" i="36"/>
  <c r="DQ187" i="36"/>
  <c r="DQ233" i="36"/>
  <c r="DQ227" i="36"/>
  <c r="DQ226" i="36"/>
  <c r="DQ225" i="36"/>
  <c r="DQ221" i="36"/>
  <c r="DQ213" i="36"/>
  <c r="DQ293" i="36"/>
  <c r="DQ241" i="36"/>
  <c r="DQ229" i="36"/>
  <c r="DQ219" i="36"/>
  <c r="DQ211" i="36"/>
  <c r="DQ194" i="36"/>
  <c r="DQ209" i="36"/>
  <c r="DQ189" i="36"/>
  <c r="DQ180" i="36"/>
  <c r="DQ172" i="36"/>
  <c r="DQ164" i="36"/>
  <c r="DQ199" i="36"/>
  <c r="DQ186" i="36"/>
  <c r="DQ177" i="36"/>
  <c r="DQ169" i="36"/>
  <c r="DQ161" i="36"/>
  <c r="DQ153" i="36"/>
  <c r="DQ145" i="36"/>
  <c r="DQ137" i="36"/>
  <c r="DQ192" i="36"/>
  <c r="DQ174" i="36"/>
  <c r="DQ166" i="36"/>
  <c r="DQ158" i="36"/>
  <c r="DQ150" i="36"/>
  <c r="DQ142" i="36"/>
  <c r="DQ190" i="36"/>
  <c r="DQ179" i="36"/>
  <c r="DQ171" i="36"/>
  <c r="DQ207" i="36"/>
  <c r="DQ197" i="36"/>
  <c r="DQ183" i="36"/>
  <c r="DQ182" i="36"/>
  <c r="DQ176" i="36"/>
  <c r="DQ200" i="36"/>
  <c r="DQ184" i="36"/>
  <c r="DQ181" i="36"/>
  <c r="DQ173" i="36"/>
  <c r="DQ165" i="36"/>
  <c r="DQ157" i="36"/>
  <c r="DQ149" i="36"/>
  <c r="DQ141" i="36"/>
  <c r="DQ133" i="36"/>
  <c r="DQ191" i="36"/>
  <c r="DQ188" i="36"/>
  <c r="DQ178" i="36"/>
  <c r="DQ170" i="36"/>
  <c r="DQ162" i="36"/>
  <c r="DQ201" i="36"/>
  <c r="DQ154" i="36"/>
  <c r="DQ147" i="36"/>
  <c r="DQ144" i="36"/>
  <c r="DQ122" i="36"/>
  <c r="DQ114" i="36"/>
  <c r="DQ106" i="36"/>
  <c r="DQ98" i="36"/>
  <c r="DQ140" i="36"/>
  <c r="DQ131" i="36"/>
  <c r="DQ130" i="36"/>
  <c r="DQ129" i="36"/>
  <c r="DQ128" i="36"/>
  <c r="DQ127" i="36"/>
  <c r="DQ119" i="36"/>
  <c r="DQ111" i="36"/>
  <c r="DQ103" i="36"/>
  <c r="DQ95" i="36"/>
  <c r="DQ163" i="36"/>
  <c r="DQ160" i="36"/>
  <c r="DQ143" i="36"/>
  <c r="DQ136" i="36"/>
  <c r="DQ132" i="36"/>
  <c r="DQ124" i="36"/>
  <c r="DQ116" i="36"/>
  <c r="DQ108" i="36"/>
  <c r="DQ100" i="36"/>
  <c r="DQ92" i="36"/>
  <c r="DQ156" i="36"/>
  <c r="DQ146" i="36"/>
  <c r="DQ139" i="36"/>
  <c r="DQ121" i="36"/>
  <c r="DQ113" i="36"/>
  <c r="DQ105" i="36"/>
  <c r="DQ97" i="36"/>
  <c r="DQ175" i="36"/>
  <c r="DQ167" i="36"/>
  <c r="DQ134" i="36"/>
  <c r="DQ155" i="36"/>
  <c r="DQ152" i="36"/>
  <c r="DQ123" i="36"/>
  <c r="DQ115" i="36"/>
  <c r="DQ107" i="36"/>
  <c r="DQ99" i="36"/>
  <c r="DQ91" i="36"/>
  <c r="DQ83" i="36"/>
  <c r="DQ75" i="36"/>
  <c r="DQ67" i="36"/>
  <c r="DR61" i="36"/>
  <c r="DQ159" i="36"/>
  <c r="DQ148" i="36"/>
  <c r="DQ135" i="36"/>
  <c r="DQ120" i="36"/>
  <c r="DQ168" i="36"/>
  <c r="DQ151" i="36"/>
  <c r="DQ138" i="36"/>
  <c r="DQ125" i="36"/>
  <c r="DQ117" i="36"/>
  <c r="DQ110" i="36"/>
  <c r="DQ104" i="36"/>
  <c r="DQ101" i="36"/>
  <c r="DQ88" i="36"/>
  <c r="DQ102" i="36"/>
  <c r="DQ96" i="36"/>
  <c r="DQ93" i="36"/>
  <c r="DQ94" i="36"/>
  <c r="DQ86" i="36"/>
  <c r="DQ85" i="36"/>
  <c r="DQ81" i="36"/>
  <c r="DQ80" i="36"/>
  <c r="DQ79" i="36"/>
  <c r="DQ78" i="36"/>
  <c r="DQ77" i="36"/>
  <c r="DQ73" i="36"/>
  <c r="DQ72" i="36"/>
  <c r="DQ71" i="36"/>
  <c r="DQ70" i="36"/>
  <c r="DQ69" i="36"/>
  <c r="DQ87" i="36"/>
  <c r="DQ90" i="36"/>
  <c r="DQ84" i="36"/>
  <c r="DQ82" i="36"/>
  <c r="DQ76" i="36"/>
  <c r="DQ74" i="36"/>
  <c r="DQ68" i="36"/>
  <c r="DQ66" i="36"/>
  <c r="DQ118" i="36"/>
  <c r="DQ89" i="36"/>
  <c r="DQ126" i="36"/>
  <c r="DQ112" i="36"/>
  <c r="DQ109" i="36"/>
  <c r="DQ318" i="57"/>
  <c r="DQ315" i="57"/>
  <c r="DQ307" i="57"/>
  <c r="DQ291" i="57"/>
  <c r="DQ283" i="57"/>
  <c r="DQ312" i="57"/>
  <c r="DQ306" i="57"/>
  <c r="DQ304" i="57"/>
  <c r="DQ288" i="57"/>
  <c r="DQ310" i="57"/>
  <c r="DQ309" i="57"/>
  <c r="DQ301" i="57"/>
  <c r="DQ316" i="57"/>
  <c r="DQ300" i="57"/>
  <c r="DQ292" i="57"/>
  <c r="DQ276" i="57"/>
  <c r="DQ313" i="57"/>
  <c r="DQ297" i="57"/>
  <c r="DQ289" i="57"/>
  <c r="DQ303" i="57"/>
  <c r="DQ261" i="57"/>
  <c r="DQ253" i="57"/>
  <c r="DQ237" i="57"/>
  <c r="DQ298" i="57"/>
  <c r="DQ295" i="57"/>
  <c r="DQ274" i="57"/>
  <c r="DQ258" i="57"/>
  <c r="DQ250" i="57"/>
  <c r="DQ279" i="57"/>
  <c r="DQ271" i="57"/>
  <c r="DQ255" i="57"/>
  <c r="DQ277" i="57"/>
  <c r="DQ268" i="57"/>
  <c r="DQ294" i="57"/>
  <c r="DQ280" i="57"/>
  <c r="DQ286" i="57"/>
  <c r="DQ270" i="57"/>
  <c r="DQ262" i="57"/>
  <c r="DQ285" i="57"/>
  <c r="DQ267" i="57"/>
  <c r="DQ264" i="57"/>
  <c r="DQ282" i="57"/>
  <c r="DQ259" i="57"/>
  <c r="DQ226" i="57"/>
  <c r="DQ210" i="57"/>
  <c r="DQ265" i="57"/>
  <c r="DQ231" i="57"/>
  <c r="DQ223" i="57"/>
  <c r="DQ207" i="57"/>
  <c r="DQ222" i="57"/>
  <c r="DQ214" i="57"/>
  <c r="DQ256" i="57"/>
  <c r="DQ217" i="57"/>
  <c r="DQ213" i="57"/>
  <c r="DQ202" i="57"/>
  <c r="DQ186" i="57"/>
  <c r="DQ178" i="57"/>
  <c r="DQ244" i="57"/>
  <c r="DQ243" i="57"/>
  <c r="DQ216" i="57"/>
  <c r="DQ199" i="57"/>
  <c r="DQ183" i="57"/>
  <c r="DQ175" i="57"/>
  <c r="DQ273" i="57"/>
  <c r="DQ229" i="57"/>
  <c r="DQ219" i="57"/>
  <c r="DQ208" i="57"/>
  <c r="DQ205" i="57"/>
  <c r="DQ204" i="57"/>
  <c r="DQ232" i="57"/>
  <c r="DQ240" i="57"/>
  <c r="DQ238" i="57"/>
  <c r="DQ211" i="57"/>
  <c r="DQ195" i="57"/>
  <c r="DQ187" i="57"/>
  <c r="DQ249" i="57"/>
  <c r="DQ247" i="57"/>
  <c r="DQ252" i="57"/>
  <c r="DQ235" i="57"/>
  <c r="DQ234" i="57"/>
  <c r="DQ220" i="57"/>
  <c r="DQ246" i="57"/>
  <c r="DQ228" i="57"/>
  <c r="DQ193" i="57"/>
  <c r="DQ190" i="57"/>
  <c r="DQ181" i="57"/>
  <c r="DQ225" i="57"/>
  <c r="DQ174" i="57"/>
  <c r="DQ171" i="57"/>
  <c r="DQ163" i="57"/>
  <c r="DQ147" i="57"/>
  <c r="DQ241" i="57"/>
  <c r="DQ189" i="57"/>
  <c r="DQ129" i="57"/>
  <c r="DQ121" i="57"/>
  <c r="DQ105" i="57"/>
  <c r="DQ97" i="57"/>
  <c r="DQ126" i="57"/>
  <c r="DQ118" i="57"/>
  <c r="DQ192" i="57"/>
  <c r="DQ184" i="57"/>
  <c r="DQ180" i="57"/>
  <c r="DQ172" i="57"/>
  <c r="DQ169" i="57"/>
  <c r="DQ168" i="57"/>
  <c r="DQ162" i="57"/>
  <c r="DQ160" i="57"/>
  <c r="DQ156" i="57"/>
  <c r="DQ154" i="57"/>
  <c r="DQ153" i="57"/>
  <c r="DQ148" i="57"/>
  <c r="DQ145" i="57"/>
  <c r="DQ144" i="57"/>
  <c r="DQ139" i="57"/>
  <c r="DQ123" i="57"/>
  <c r="DQ115" i="57"/>
  <c r="DQ99" i="57"/>
  <c r="DQ91" i="57"/>
  <c r="DQ196" i="57"/>
  <c r="DQ166" i="57"/>
  <c r="DQ165" i="57"/>
  <c r="DQ159" i="57"/>
  <c r="DQ157" i="57"/>
  <c r="DQ151" i="57"/>
  <c r="DQ150" i="57"/>
  <c r="DQ142" i="57"/>
  <c r="DQ136" i="57"/>
  <c r="DQ198" i="57"/>
  <c r="DQ177" i="57"/>
  <c r="DQ141" i="57"/>
  <c r="DQ133" i="57"/>
  <c r="DQ117" i="57"/>
  <c r="DQ138" i="57"/>
  <c r="DQ130" i="57"/>
  <c r="DQ114" i="57"/>
  <c r="DQ106" i="57"/>
  <c r="DQ90" i="57"/>
  <c r="DQ82" i="57"/>
  <c r="DQ135" i="57"/>
  <c r="DQ127" i="57"/>
  <c r="DQ201" i="57"/>
  <c r="DQ132" i="57"/>
  <c r="DQ124" i="57"/>
  <c r="DQ93" i="57"/>
  <c r="DQ85" i="57"/>
  <c r="DQ102" i="57"/>
  <c r="DQ88" i="57"/>
  <c r="DQ70" i="57"/>
  <c r="DQ120" i="57"/>
  <c r="DQ111" i="57"/>
  <c r="DQ94" i="57"/>
  <c r="DQ87" i="57"/>
  <c r="DQ84" i="57"/>
  <c r="DQ81" i="57"/>
  <c r="DQ79" i="57"/>
  <c r="DQ75" i="57"/>
  <c r="DQ73" i="57"/>
  <c r="DQ112" i="57"/>
  <c r="DQ108" i="57"/>
  <c r="DQ78" i="57"/>
  <c r="DQ76" i="57"/>
  <c r="DQ72" i="57"/>
  <c r="DQ103" i="57"/>
  <c r="DQ100" i="57"/>
  <c r="DQ96" i="57"/>
  <c r="DQ109" i="57"/>
  <c r="DQ69" i="57"/>
  <c r="DD315" i="57"/>
  <c r="DD303" i="57"/>
  <c r="DD295" i="57"/>
  <c r="DD279" i="57"/>
  <c r="DD300" i="57"/>
  <c r="DD292" i="57"/>
  <c r="DD297" i="57"/>
  <c r="DD318" i="57"/>
  <c r="DD316" i="57"/>
  <c r="DD313" i="57"/>
  <c r="DD312" i="57"/>
  <c r="DD309" i="57"/>
  <c r="DD304" i="57"/>
  <c r="DD288" i="57"/>
  <c r="DD280" i="57"/>
  <c r="DD301" i="57"/>
  <c r="DD285" i="57"/>
  <c r="DD276" i="57"/>
  <c r="DD273" i="57"/>
  <c r="DD265" i="57"/>
  <c r="DD249" i="57"/>
  <c r="DD241" i="57"/>
  <c r="DD310" i="57"/>
  <c r="DD307" i="57"/>
  <c r="DD294" i="57"/>
  <c r="DD270" i="57"/>
  <c r="DD262" i="57"/>
  <c r="DD306" i="57"/>
  <c r="DD267" i="57"/>
  <c r="DD259" i="57"/>
  <c r="DD289" i="57"/>
  <c r="DD264" i="57"/>
  <c r="DD286" i="57"/>
  <c r="DD283" i="57"/>
  <c r="DD277" i="57"/>
  <c r="DD274" i="57"/>
  <c r="DD261" i="57"/>
  <c r="DD246" i="57"/>
  <c r="DD291" i="57"/>
  <c r="DD268" i="57"/>
  <c r="DD252" i="57"/>
  <c r="DD244" i="57"/>
  <c r="DD240" i="57"/>
  <c r="DD237" i="57"/>
  <c r="DD222" i="57"/>
  <c r="DD214" i="57"/>
  <c r="DD247" i="57"/>
  <c r="DD234" i="57"/>
  <c r="DD219" i="57"/>
  <c r="DD211" i="57"/>
  <c r="DD282" i="57"/>
  <c r="DD271" i="57"/>
  <c r="DD256" i="57"/>
  <c r="DD226" i="57"/>
  <c r="DD258" i="57"/>
  <c r="DD243" i="57"/>
  <c r="DD223" i="57"/>
  <c r="DD220" i="57"/>
  <c r="DD217" i="57"/>
  <c r="DD216" i="57"/>
  <c r="DD198" i="57"/>
  <c r="DD190" i="57"/>
  <c r="DD229" i="57"/>
  <c r="DD195" i="57"/>
  <c r="DD187" i="57"/>
  <c r="DD298" i="57"/>
  <c r="DD232" i="57"/>
  <c r="DD210" i="57"/>
  <c r="DD208" i="57"/>
  <c r="DD207" i="57"/>
  <c r="DD253" i="57"/>
  <c r="DD250" i="57"/>
  <c r="DD231" i="57"/>
  <c r="DD228" i="57"/>
  <c r="DD199" i="57"/>
  <c r="DD183" i="57"/>
  <c r="DD235" i="57"/>
  <c r="DD255" i="57"/>
  <c r="DD213" i="57"/>
  <c r="DD238" i="57"/>
  <c r="DD205" i="57"/>
  <c r="DD204" i="57"/>
  <c r="DD225" i="57"/>
  <c r="DD193" i="57"/>
  <c r="DD186" i="57"/>
  <c r="DD181" i="57"/>
  <c r="DD180" i="57"/>
  <c r="DD178" i="57"/>
  <c r="DD159" i="57"/>
  <c r="DD151" i="57"/>
  <c r="DD175" i="57"/>
  <c r="DD141" i="57"/>
  <c r="DD133" i="57"/>
  <c r="DD117" i="57"/>
  <c r="DD109" i="57"/>
  <c r="DD93" i="57"/>
  <c r="DD85" i="57"/>
  <c r="DD196" i="57"/>
  <c r="DD138" i="57"/>
  <c r="DD130" i="57"/>
  <c r="DD114" i="57"/>
  <c r="DD106" i="57"/>
  <c r="DD135" i="57"/>
  <c r="DD127" i="57"/>
  <c r="DD111" i="57"/>
  <c r="DD103" i="57"/>
  <c r="DD87" i="57"/>
  <c r="DD201" i="57"/>
  <c r="DD132" i="57"/>
  <c r="DD124" i="57"/>
  <c r="DD189" i="57"/>
  <c r="DD172" i="57"/>
  <c r="DD169" i="57"/>
  <c r="DD156" i="57"/>
  <c r="DD153" i="57"/>
  <c r="DD148" i="57"/>
  <c r="DD145" i="57"/>
  <c r="DD129" i="57"/>
  <c r="DD121" i="57"/>
  <c r="DD174" i="57"/>
  <c r="DD171" i="57"/>
  <c r="DD166" i="57"/>
  <c r="DD163" i="57"/>
  <c r="DD162" i="57"/>
  <c r="DD154" i="57"/>
  <c r="DD150" i="57"/>
  <c r="DD147" i="57"/>
  <c r="DD142" i="57"/>
  <c r="DD126" i="57"/>
  <c r="DD118" i="57"/>
  <c r="DD102" i="57"/>
  <c r="DD94" i="57"/>
  <c r="DD78" i="57"/>
  <c r="DD184" i="57"/>
  <c r="DD177" i="57"/>
  <c r="DD168" i="57"/>
  <c r="DD165" i="57"/>
  <c r="DD160" i="57"/>
  <c r="DD157" i="57"/>
  <c r="DD144" i="57"/>
  <c r="DD139" i="57"/>
  <c r="DD123" i="57"/>
  <c r="DD202" i="57"/>
  <c r="DD192" i="57"/>
  <c r="DD136" i="57"/>
  <c r="DD120" i="57"/>
  <c r="DD99" i="57"/>
  <c r="DD96" i="57"/>
  <c r="DD82" i="57"/>
  <c r="DD81" i="57"/>
  <c r="DD73" i="57"/>
  <c r="DD70" i="57"/>
  <c r="DE64" i="57"/>
  <c r="DD72" i="57"/>
  <c r="DD79" i="57"/>
  <c r="DD76" i="57"/>
  <c r="DD91" i="57"/>
  <c r="DD88" i="57"/>
  <c r="DD69" i="57"/>
  <c r="DD105" i="57"/>
  <c r="DD115" i="57"/>
  <c r="DD108" i="57"/>
  <c r="DD112" i="57"/>
  <c r="DD97" i="57"/>
  <c r="DD90" i="57"/>
  <c r="DD100" i="57"/>
  <c r="DD84" i="57"/>
  <c r="DD75" i="57"/>
  <c r="I560" i="57"/>
  <c r="I558" i="57"/>
  <c r="I559" i="57"/>
  <c r="C63" i="102"/>
  <c r="C67" i="102" s="1"/>
  <c r="C75" i="102" s="1"/>
  <c r="C90" i="102" s="1"/>
  <c r="G143" i="102"/>
  <c r="C143" i="102"/>
  <c r="P68" i="102"/>
  <c r="P78" i="102" s="1"/>
  <c r="P67" i="102"/>
  <c r="P75" i="102" s="1"/>
  <c r="P76" i="102" s="1"/>
  <c r="C26" i="102"/>
  <c r="AK25" i="102" s="1"/>
  <c r="F18" i="102"/>
  <c r="F26" i="102" s="1"/>
  <c r="R67" i="102"/>
  <c r="R75" i="102" s="1"/>
  <c r="R76" i="102" s="1"/>
  <c r="E26" i="102"/>
  <c r="AM25" i="102" s="1"/>
  <c r="G23" i="102"/>
  <c r="P26" i="102"/>
  <c r="Q27" i="102" s="1"/>
  <c r="N26" i="102"/>
  <c r="E68" i="102"/>
  <c r="E78" i="102" s="1"/>
  <c r="E93" i="102" s="1"/>
  <c r="O68" i="102"/>
  <c r="O78" i="102" s="1"/>
  <c r="O67" i="102"/>
  <c r="O75" i="102" s="1"/>
  <c r="F63" i="102"/>
  <c r="F67" i="102" s="1"/>
  <c r="F75" i="102" s="1"/>
  <c r="F90" i="102" s="1"/>
  <c r="O18" i="102"/>
  <c r="G63" i="102"/>
  <c r="G68" i="102" s="1"/>
  <c r="G78" i="102" s="1"/>
  <c r="G93" i="102" s="1"/>
  <c r="G26" i="102"/>
  <c r="M68" i="102"/>
  <c r="M78" i="102" s="1"/>
  <c r="M79" i="102" s="1"/>
  <c r="O143" i="102"/>
  <c r="N23" i="102"/>
  <c r="M67" i="102"/>
  <c r="M75" i="102" s="1"/>
  <c r="D63" i="102"/>
  <c r="D68" i="102" s="1"/>
  <c r="D78" i="102" s="1"/>
  <c r="D93" i="102" s="1"/>
  <c r="T143" i="102"/>
  <c r="D18" i="102"/>
  <c r="T63" i="102"/>
  <c r="E67" i="102"/>
  <c r="E75" i="102" s="1"/>
  <c r="E90" i="102" s="1"/>
  <c r="R26" i="102"/>
  <c r="R27" i="102" s="1"/>
  <c r="R23" i="102"/>
  <c r="R24" i="102" s="1"/>
  <c r="AP75" i="102"/>
  <c r="S26" i="102"/>
  <c r="S27" i="102" s="1"/>
  <c r="S23" i="102"/>
  <c r="S24" i="102" s="1"/>
  <c r="AP77" i="102"/>
  <c r="M26" i="102"/>
  <c r="M23" i="102"/>
  <c r="Q68" i="102"/>
  <c r="Q78" i="102" s="1"/>
  <c r="R79" i="102" s="1"/>
  <c r="Q67" i="102"/>
  <c r="Q75" i="102" s="1"/>
  <c r="S68" i="102"/>
  <c r="S78" i="102" s="1"/>
  <c r="S67" i="102"/>
  <c r="S75" i="102" s="1"/>
  <c r="AV25" i="102"/>
  <c r="AU23" i="102"/>
  <c r="K26" i="102"/>
  <c r="K23" i="102"/>
  <c r="K24" i="102" s="1"/>
  <c r="AV23" i="102"/>
  <c r="AV24" i="102"/>
  <c r="AW77" i="102"/>
  <c r="AK47" i="98"/>
  <c r="AF47" i="98"/>
  <c r="P79" i="102" l="1"/>
  <c r="N24" i="102"/>
  <c r="L27" i="102"/>
  <c r="AQ26" i="102" s="1"/>
  <c r="M24" i="102"/>
  <c r="M27" i="102"/>
  <c r="AR26" i="102" s="1"/>
  <c r="AP90" i="102"/>
  <c r="K91" i="102"/>
  <c r="S93" i="102"/>
  <c r="S94" i="102" s="1"/>
  <c r="AX93" i="102" s="1"/>
  <c r="S79" i="102"/>
  <c r="AX78" i="102" s="1"/>
  <c r="AP92" i="102"/>
  <c r="K94" i="102"/>
  <c r="AP93" i="102" s="1"/>
  <c r="L93" i="102"/>
  <c r="L79" i="102"/>
  <c r="AQ78" i="102" s="1"/>
  <c r="K27" i="102"/>
  <c r="AP26" i="102" s="1"/>
  <c r="AS25" i="102"/>
  <c r="N27" i="102"/>
  <c r="AS26" i="102" s="1"/>
  <c r="AU25" i="102"/>
  <c r="Q93" i="102"/>
  <c r="AV92" i="102" s="1"/>
  <c r="Q79" i="102"/>
  <c r="AV78" i="102" s="1"/>
  <c r="Q90" i="102"/>
  <c r="Q91" i="102" s="1"/>
  <c r="Q76" i="102"/>
  <c r="AV76" i="102" s="1"/>
  <c r="S90" i="102"/>
  <c r="AX90" i="102" s="1"/>
  <c r="S76" i="102"/>
  <c r="AX76" i="102" s="1"/>
  <c r="AQ23" i="102"/>
  <c r="L24" i="102"/>
  <c r="AQ24" i="102" s="1"/>
  <c r="AQ77" i="102"/>
  <c r="L67" i="102"/>
  <c r="L75" i="102" s="1"/>
  <c r="M76" i="102" s="1"/>
  <c r="T26" i="102"/>
  <c r="T23" i="102"/>
  <c r="AO92" i="102"/>
  <c r="H79" i="102"/>
  <c r="AO25" i="102"/>
  <c r="H27" i="102"/>
  <c r="J99" i="102"/>
  <c r="J84" i="102"/>
  <c r="J85" i="102" s="1"/>
  <c r="L4" i="102"/>
  <c r="K6" i="102"/>
  <c r="H94" i="102"/>
  <c r="AO23" i="102"/>
  <c r="H24" i="102"/>
  <c r="AS24" i="102"/>
  <c r="AV26" i="102"/>
  <c r="AW78" i="102"/>
  <c r="AP78" i="102"/>
  <c r="AR78" i="102"/>
  <c r="M93" i="102"/>
  <c r="AU75" i="102"/>
  <c r="P90" i="102"/>
  <c r="AK75" i="102"/>
  <c r="AK90" i="102"/>
  <c r="AM77" i="102"/>
  <c r="AM75" i="102"/>
  <c r="F91" i="102"/>
  <c r="AN91" i="102" s="1"/>
  <c r="AX92" i="102"/>
  <c r="AL92" i="102"/>
  <c r="AN90" i="102"/>
  <c r="AW76" i="102"/>
  <c r="R90" i="102"/>
  <c r="AT77" i="102"/>
  <c r="O93" i="102"/>
  <c r="AU78" i="102"/>
  <c r="P93" i="102"/>
  <c r="M90" i="102"/>
  <c r="AT75" i="102"/>
  <c r="O90" i="102"/>
  <c r="N67" i="102"/>
  <c r="N75" i="102" s="1"/>
  <c r="O76" i="102" s="1"/>
  <c r="N68" i="102"/>
  <c r="N78" i="102" s="1"/>
  <c r="O79" i="102" s="1"/>
  <c r="DR432" i="36"/>
  <c r="DR424" i="36"/>
  <c r="DR416" i="36"/>
  <c r="DR429" i="36"/>
  <c r="DR421" i="36"/>
  <c r="DR413" i="36"/>
  <c r="DR439" i="36"/>
  <c r="DR423" i="36"/>
  <c r="DR415" i="36"/>
  <c r="DR436" i="36"/>
  <c r="DR433" i="36"/>
  <c r="DR426" i="36"/>
  <c r="DR419" i="36"/>
  <c r="DR435" i="36"/>
  <c r="DR418" i="36"/>
  <c r="DR414" i="36"/>
  <c r="DR411" i="36"/>
  <c r="DR403" i="36"/>
  <c r="DR399" i="36"/>
  <c r="DR391" i="36"/>
  <c r="DR383" i="36"/>
  <c r="DR396" i="36"/>
  <c r="DR393" i="36"/>
  <c r="DR417" i="36"/>
  <c r="DR395" i="36"/>
  <c r="DR387" i="36"/>
  <c r="DR379" i="36"/>
  <c r="DR394" i="36"/>
  <c r="DR392" i="36"/>
  <c r="DR385" i="36"/>
  <c r="DR380" i="36"/>
  <c r="DR378" i="36"/>
  <c r="DR377" i="36"/>
  <c r="DR376" i="36"/>
  <c r="DR368" i="36"/>
  <c r="DR360" i="36"/>
  <c r="DR438" i="36"/>
  <c r="DR409" i="36"/>
  <c r="DR404" i="36"/>
  <c r="DR398" i="36"/>
  <c r="DR382" i="36"/>
  <c r="DR420" i="36"/>
  <c r="DR400" i="36"/>
  <c r="DR397" i="36"/>
  <c r="DR389" i="36"/>
  <c r="DR427" i="36"/>
  <c r="DR410" i="36"/>
  <c r="DR388" i="36"/>
  <c r="DR386" i="36"/>
  <c r="DR375" i="36"/>
  <c r="DR430" i="36"/>
  <c r="DR405" i="36"/>
  <c r="DR401" i="36"/>
  <c r="DR372" i="36"/>
  <c r="DR406" i="36"/>
  <c r="DR384" i="36"/>
  <c r="DR407" i="36"/>
  <c r="DR402" i="36"/>
  <c r="DR369" i="36"/>
  <c r="DR351" i="36"/>
  <c r="DR343" i="36"/>
  <c r="DR335" i="36"/>
  <c r="DR381" i="36"/>
  <c r="DR374" i="36"/>
  <c r="DR371" i="36"/>
  <c r="DR348" i="36"/>
  <c r="DR340" i="36"/>
  <c r="DR345" i="36"/>
  <c r="DR373" i="36"/>
  <c r="DR370" i="36"/>
  <c r="DR367" i="36"/>
  <c r="DR366" i="36"/>
  <c r="DR365" i="36"/>
  <c r="DR412" i="36"/>
  <c r="DR364" i="36"/>
  <c r="DR363" i="36"/>
  <c r="DR362" i="36"/>
  <c r="DR356" i="36"/>
  <c r="DR355" i="36"/>
  <c r="DR354" i="36"/>
  <c r="DR347" i="36"/>
  <c r="DR408" i="36"/>
  <c r="DR352" i="36"/>
  <c r="DR390" i="36"/>
  <c r="DR358" i="36"/>
  <c r="DR350" i="36"/>
  <c r="DR341" i="36"/>
  <c r="DR326" i="36"/>
  <c r="DR353" i="36"/>
  <c r="DR342" i="36"/>
  <c r="DR336" i="36"/>
  <c r="DR331" i="36"/>
  <c r="DR323" i="36"/>
  <c r="DR359" i="36"/>
  <c r="DR344" i="36"/>
  <c r="DR328" i="36"/>
  <c r="DR320" i="36"/>
  <c r="DR337" i="36"/>
  <c r="DR346" i="36"/>
  <c r="DR339" i="36"/>
  <c r="DR327" i="36"/>
  <c r="DR319" i="36"/>
  <c r="DR311" i="36"/>
  <c r="DR303" i="36"/>
  <c r="DR295" i="36"/>
  <c r="DR282" i="36"/>
  <c r="DR274" i="36"/>
  <c r="DR361" i="36"/>
  <c r="DR321" i="36"/>
  <c r="DR338" i="36"/>
  <c r="DR334" i="36"/>
  <c r="DR325" i="36"/>
  <c r="DR324" i="36"/>
  <c r="DR322" i="36"/>
  <c r="DR318" i="36"/>
  <c r="DR284" i="36"/>
  <c r="DR316" i="36"/>
  <c r="DR312" i="36"/>
  <c r="DR310" i="36"/>
  <c r="DR309" i="36"/>
  <c r="DR308" i="36"/>
  <c r="DR304" i="36"/>
  <c r="DR317" i="36"/>
  <c r="DR315" i="36"/>
  <c r="DR314" i="36"/>
  <c r="DR313" i="36"/>
  <c r="DR307" i="36"/>
  <c r="DR306" i="36"/>
  <c r="DR305" i="36"/>
  <c r="DR299" i="36"/>
  <c r="DR329" i="36"/>
  <c r="DR357" i="36"/>
  <c r="DR349" i="36"/>
  <c r="DR333" i="36"/>
  <c r="DR332" i="36"/>
  <c r="DR330" i="36"/>
  <c r="DR290" i="36"/>
  <c r="DR281" i="36"/>
  <c r="DR280" i="36"/>
  <c r="DR279" i="36"/>
  <c r="DR275" i="36"/>
  <c r="DR273" i="36"/>
  <c r="DR272" i="36"/>
  <c r="DR266" i="36"/>
  <c r="DR258" i="36"/>
  <c r="DR250" i="36"/>
  <c r="DR242" i="36"/>
  <c r="DR234" i="36"/>
  <c r="DR294" i="36"/>
  <c r="DR291" i="36"/>
  <c r="DR287" i="36"/>
  <c r="DR278" i="36"/>
  <c r="DR277" i="36"/>
  <c r="DR276" i="36"/>
  <c r="DR271" i="36"/>
  <c r="DR263" i="36"/>
  <c r="DR255" i="36"/>
  <c r="DR247" i="36"/>
  <c r="DR239" i="36"/>
  <c r="DR231" i="36"/>
  <c r="DR293" i="36"/>
  <c r="DR292" i="36"/>
  <c r="DR268" i="36"/>
  <c r="DR260" i="36"/>
  <c r="DR252" i="36"/>
  <c r="DR244" i="36"/>
  <c r="DR298" i="36"/>
  <c r="DR285" i="36"/>
  <c r="DR267" i="36"/>
  <c r="DR259" i="36"/>
  <c r="DR251" i="36"/>
  <c r="DR243" i="36"/>
  <c r="DR235" i="36"/>
  <c r="DR269" i="36"/>
  <c r="DR228" i="36"/>
  <c r="DR220" i="36"/>
  <c r="DR212" i="36"/>
  <c r="DR300" i="36"/>
  <c r="DR288" i="36"/>
  <c r="DR270" i="36"/>
  <c r="DR245" i="36"/>
  <c r="DR225" i="36"/>
  <c r="DR297" i="36"/>
  <c r="DR249" i="36"/>
  <c r="DR248" i="36"/>
  <c r="DR246" i="36"/>
  <c r="DR283" i="36"/>
  <c r="DR261" i="36"/>
  <c r="DR232" i="36"/>
  <c r="DR227" i="36"/>
  <c r="DR302" i="36"/>
  <c r="DR265" i="36"/>
  <c r="DR264" i="36"/>
  <c r="DR262" i="36"/>
  <c r="DR296" i="36"/>
  <c r="DR286" i="36"/>
  <c r="DR241" i="36"/>
  <c r="DR240" i="36"/>
  <c r="DR238" i="36"/>
  <c r="DR237" i="36"/>
  <c r="DR221" i="36"/>
  <c r="DR213" i="36"/>
  <c r="DR205" i="36"/>
  <c r="DR301" i="36"/>
  <c r="DR253" i="36"/>
  <c r="DR217" i="36"/>
  <c r="DR193" i="36"/>
  <c r="DR198" i="36"/>
  <c r="DR190" i="36"/>
  <c r="DR182" i="36"/>
  <c r="DR218" i="36"/>
  <c r="DR210" i="36"/>
  <c r="DR206" i="36"/>
  <c r="DR204" i="36"/>
  <c r="DR203" i="36"/>
  <c r="DR202" i="36"/>
  <c r="DR233" i="36"/>
  <c r="DR226" i="36"/>
  <c r="DR224" i="36"/>
  <c r="DR215" i="36"/>
  <c r="DR209" i="36"/>
  <c r="DR208" i="36"/>
  <c r="DR207" i="36"/>
  <c r="DR201" i="36"/>
  <c r="DR200" i="36"/>
  <c r="DR192" i="36"/>
  <c r="DR289" i="36"/>
  <c r="DR257" i="36"/>
  <c r="DR256" i="36"/>
  <c r="DR229" i="36"/>
  <c r="DR219" i="36"/>
  <c r="DR254" i="36"/>
  <c r="DR223" i="36"/>
  <c r="DR216" i="36"/>
  <c r="DR199" i="36"/>
  <c r="DR195" i="36"/>
  <c r="DR186" i="36"/>
  <c r="DR177" i="36"/>
  <c r="DR169" i="36"/>
  <c r="DR161" i="36"/>
  <c r="DR222" i="36"/>
  <c r="DR174" i="36"/>
  <c r="DR166" i="36"/>
  <c r="DR158" i="36"/>
  <c r="DR150" i="36"/>
  <c r="DR142" i="36"/>
  <c r="DR134" i="36"/>
  <c r="DR236" i="36"/>
  <c r="DR214" i="36"/>
  <c r="DR187" i="36"/>
  <c r="DR179" i="36"/>
  <c r="DR171" i="36"/>
  <c r="DR163" i="36"/>
  <c r="DR155" i="36"/>
  <c r="DR147" i="36"/>
  <c r="DR139" i="36"/>
  <c r="DR197" i="36"/>
  <c r="DR183" i="36"/>
  <c r="DR176" i="36"/>
  <c r="DR185" i="36"/>
  <c r="DR184" i="36"/>
  <c r="DR181" i="36"/>
  <c r="DR173" i="36"/>
  <c r="DR230" i="36"/>
  <c r="DR191" i="36"/>
  <c r="DR188" i="36"/>
  <c r="DR178" i="36"/>
  <c r="DR170" i="36"/>
  <c r="DR162" i="36"/>
  <c r="DR154" i="36"/>
  <c r="DR146" i="36"/>
  <c r="DR138" i="36"/>
  <c r="DR130" i="36"/>
  <c r="DR211" i="36"/>
  <c r="DR175" i="36"/>
  <c r="DR167" i="36"/>
  <c r="DR159" i="36"/>
  <c r="DR196" i="36"/>
  <c r="DR194" i="36"/>
  <c r="DR189" i="36"/>
  <c r="DR180" i="36"/>
  <c r="DR165" i="36"/>
  <c r="DR140" i="36"/>
  <c r="DR131" i="36"/>
  <c r="DR129" i="36"/>
  <c r="DR128" i="36"/>
  <c r="DR127" i="36"/>
  <c r="DR119" i="36"/>
  <c r="DR111" i="36"/>
  <c r="DR103" i="36"/>
  <c r="DR95" i="36"/>
  <c r="DR160" i="36"/>
  <c r="DR157" i="36"/>
  <c r="DR153" i="36"/>
  <c r="DR143" i="36"/>
  <c r="DR136" i="36"/>
  <c r="DR133" i="36"/>
  <c r="DR132" i="36"/>
  <c r="DR124" i="36"/>
  <c r="DR116" i="36"/>
  <c r="DR108" i="36"/>
  <c r="DR100" i="36"/>
  <c r="DR92" i="36"/>
  <c r="DR156" i="36"/>
  <c r="DR121" i="36"/>
  <c r="DR113" i="36"/>
  <c r="DR105" i="36"/>
  <c r="DR97" i="36"/>
  <c r="DR89" i="36"/>
  <c r="DR164" i="36"/>
  <c r="DR137" i="36"/>
  <c r="DR126" i="36"/>
  <c r="DR118" i="36"/>
  <c r="DR110" i="36"/>
  <c r="DR102" i="36"/>
  <c r="DR94" i="36"/>
  <c r="DR152" i="36"/>
  <c r="DR149" i="36"/>
  <c r="DR145" i="36"/>
  <c r="DR148" i="36"/>
  <c r="DR135" i="36"/>
  <c r="DR120" i="36"/>
  <c r="DR112" i="36"/>
  <c r="DR104" i="36"/>
  <c r="DR96" i="36"/>
  <c r="DR88" i="36"/>
  <c r="DR80" i="36"/>
  <c r="DR72" i="36"/>
  <c r="DR172" i="36"/>
  <c r="DR168" i="36"/>
  <c r="DR151" i="36"/>
  <c r="DR125" i="36"/>
  <c r="DR144" i="36"/>
  <c r="DR141" i="36"/>
  <c r="DR122" i="36"/>
  <c r="DR114" i="36"/>
  <c r="DR98" i="36"/>
  <c r="DR93" i="36"/>
  <c r="DR91" i="36"/>
  <c r="DR123" i="36"/>
  <c r="DR107" i="36"/>
  <c r="DR86" i="36"/>
  <c r="DR85" i="36"/>
  <c r="DR81" i="36"/>
  <c r="DR99" i="36"/>
  <c r="DR90" i="36"/>
  <c r="DR84" i="36"/>
  <c r="DR83" i="36"/>
  <c r="DR82" i="36"/>
  <c r="DR76" i="36"/>
  <c r="DR75" i="36"/>
  <c r="DR74" i="36"/>
  <c r="DR68" i="36"/>
  <c r="DR67" i="36"/>
  <c r="DR66" i="36"/>
  <c r="DR115" i="36"/>
  <c r="DR87" i="36"/>
  <c r="DR109" i="36"/>
  <c r="DR79" i="36"/>
  <c r="DR117" i="36"/>
  <c r="DR106" i="36"/>
  <c r="DR101" i="36"/>
  <c r="DR78" i="36"/>
  <c r="DR77" i="36"/>
  <c r="DR73" i="36"/>
  <c r="DR71" i="36"/>
  <c r="DR70" i="36"/>
  <c r="DR69" i="36"/>
  <c r="DE316" i="57"/>
  <c r="DE300" i="57"/>
  <c r="DE292" i="57"/>
  <c r="DE276" i="57"/>
  <c r="DE315" i="57"/>
  <c r="DE297" i="57"/>
  <c r="DE289" i="57"/>
  <c r="DE294" i="57"/>
  <c r="DE318" i="57"/>
  <c r="DE310" i="57"/>
  <c r="DE307" i="57"/>
  <c r="DE306" i="57"/>
  <c r="DE313" i="57"/>
  <c r="DE312" i="57"/>
  <c r="DE301" i="57"/>
  <c r="DE285" i="57"/>
  <c r="DE277" i="57"/>
  <c r="DE298" i="57"/>
  <c r="DE270" i="57"/>
  <c r="DE262" i="57"/>
  <c r="DE246" i="57"/>
  <c r="DE238" i="57"/>
  <c r="DE267" i="57"/>
  <c r="DE259" i="57"/>
  <c r="DE309" i="57"/>
  <c r="DE304" i="57"/>
  <c r="DE279" i="57"/>
  <c r="DE264" i="57"/>
  <c r="DE256" i="57"/>
  <c r="DE286" i="57"/>
  <c r="DE283" i="57"/>
  <c r="DE261" i="57"/>
  <c r="DE303" i="57"/>
  <c r="DE295" i="57"/>
  <c r="DE288" i="57"/>
  <c r="DE271" i="57"/>
  <c r="DE291" i="57"/>
  <c r="DE282" i="57"/>
  <c r="DE280" i="57"/>
  <c r="DE268" i="57"/>
  <c r="DE265" i="57"/>
  <c r="DE252" i="57"/>
  <c r="DE247" i="57"/>
  <c r="DE241" i="57"/>
  <c r="DE234" i="57"/>
  <c r="DE219" i="57"/>
  <c r="DE211" i="57"/>
  <c r="DE273" i="57"/>
  <c r="DE255" i="57"/>
  <c r="DE232" i="57"/>
  <c r="DE216" i="57"/>
  <c r="DE208" i="57"/>
  <c r="DE274" i="57"/>
  <c r="DE231" i="57"/>
  <c r="DE223" i="57"/>
  <c r="DE244" i="57"/>
  <c r="DE229" i="57"/>
  <c r="DE195" i="57"/>
  <c r="DE187" i="57"/>
  <c r="DE226" i="57"/>
  <c r="DE210" i="57"/>
  <c r="DE207" i="57"/>
  <c r="DE192" i="57"/>
  <c r="DE184" i="57"/>
  <c r="DE222" i="57"/>
  <c r="DE249" i="57"/>
  <c r="DE253" i="57"/>
  <c r="DE250" i="57"/>
  <c r="DE237" i="57"/>
  <c r="DE235" i="57"/>
  <c r="DE204" i="57"/>
  <c r="DE196" i="57"/>
  <c r="DE258" i="57"/>
  <c r="DE243" i="57"/>
  <c r="DE220" i="57"/>
  <c r="DE217" i="57"/>
  <c r="DE205" i="57"/>
  <c r="DE240" i="57"/>
  <c r="DE225" i="57"/>
  <c r="DE193" i="57"/>
  <c r="DE190" i="57"/>
  <c r="DE186" i="57"/>
  <c r="DE181" i="57"/>
  <c r="DE180" i="57"/>
  <c r="DE189" i="57"/>
  <c r="DE183" i="57"/>
  <c r="DE228" i="57"/>
  <c r="DE213" i="57"/>
  <c r="DE202" i="57"/>
  <c r="DE172" i="57"/>
  <c r="DE156" i="57"/>
  <c r="DE148" i="57"/>
  <c r="DE138" i="57"/>
  <c r="DE130" i="57"/>
  <c r="DE114" i="57"/>
  <c r="DE106" i="57"/>
  <c r="DE90" i="57"/>
  <c r="DE178" i="57"/>
  <c r="DE135" i="57"/>
  <c r="DE127" i="57"/>
  <c r="DE111" i="57"/>
  <c r="DE201" i="57"/>
  <c r="DE132" i="57"/>
  <c r="DE124" i="57"/>
  <c r="DE108" i="57"/>
  <c r="DE100" i="57"/>
  <c r="DE199" i="57"/>
  <c r="DE169" i="57"/>
  <c r="DE153" i="57"/>
  <c r="DE145" i="57"/>
  <c r="DE129" i="57"/>
  <c r="DE121" i="57"/>
  <c r="DE174" i="57"/>
  <c r="DE171" i="57"/>
  <c r="DE166" i="57"/>
  <c r="DE163" i="57"/>
  <c r="DE162" i="57"/>
  <c r="DE154" i="57"/>
  <c r="DE150" i="57"/>
  <c r="DE147" i="57"/>
  <c r="DE142" i="57"/>
  <c r="DE126" i="57"/>
  <c r="DE118" i="57"/>
  <c r="DE177" i="57"/>
  <c r="DE168" i="57"/>
  <c r="DE165" i="57"/>
  <c r="DE160" i="57"/>
  <c r="DE159" i="57"/>
  <c r="DE157" i="57"/>
  <c r="DE151" i="57"/>
  <c r="DE144" i="57"/>
  <c r="DE139" i="57"/>
  <c r="DE123" i="57"/>
  <c r="DE115" i="57"/>
  <c r="DE99" i="57"/>
  <c r="DE91" i="57"/>
  <c r="DE75" i="57"/>
  <c r="DE136" i="57"/>
  <c r="DE214" i="57"/>
  <c r="DE198" i="57"/>
  <c r="DE175" i="57"/>
  <c r="DE141" i="57"/>
  <c r="DE133" i="57"/>
  <c r="DE93" i="57"/>
  <c r="DE79" i="57"/>
  <c r="DE78" i="57"/>
  <c r="DE76" i="57"/>
  <c r="DE72" i="57"/>
  <c r="DE69" i="57"/>
  <c r="DE105" i="57"/>
  <c r="DE117" i="57"/>
  <c r="DE102" i="57"/>
  <c r="DE88" i="57"/>
  <c r="DE85" i="57"/>
  <c r="DE112" i="57"/>
  <c r="DE97" i="57"/>
  <c r="DE109" i="57"/>
  <c r="DE94" i="57"/>
  <c r="DE87" i="57"/>
  <c r="DE84" i="57"/>
  <c r="DE103" i="57"/>
  <c r="DE96" i="57"/>
  <c r="DE120" i="57"/>
  <c r="DE82" i="57"/>
  <c r="DE81" i="57"/>
  <c r="DE73" i="57"/>
  <c r="DE70" i="57"/>
  <c r="C68" i="102"/>
  <c r="C78" i="102" s="1"/>
  <c r="AW75" i="102"/>
  <c r="AU77" i="102"/>
  <c r="G67" i="102"/>
  <c r="G75" i="102" s="1"/>
  <c r="G90" i="102" s="1"/>
  <c r="AU76" i="102"/>
  <c r="F68" i="102"/>
  <c r="F78" i="102" s="1"/>
  <c r="F93" i="102" s="1"/>
  <c r="F23" i="102"/>
  <c r="G24" i="102" s="1"/>
  <c r="AO24" i="102" s="1"/>
  <c r="AS23" i="102"/>
  <c r="E79" i="102"/>
  <c r="AM78" i="102" s="1"/>
  <c r="O23" i="102"/>
  <c r="P24" i="102" s="1"/>
  <c r="O26" i="102"/>
  <c r="P27" i="102" s="1"/>
  <c r="AR77" i="102"/>
  <c r="AL77" i="102"/>
  <c r="AR75" i="102"/>
  <c r="D67" i="102"/>
  <c r="D75" i="102" s="1"/>
  <c r="D90" i="102" s="1"/>
  <c r="T68" i="102"/>
  <c r="T78" i="102" s="1"/>
  <c r="T67" i="102"/>
  <c r="T75" i="102" s="1"/>
  <c r="D26" i="102"/>
  <c r="D23" i="102"/>
  <c r="F76" i="102"/>
  <c r="AN76" i="102" s="1"/>
  <c r="AN75" i="102"/>
  <c r="AN25" i="102"/>
  <c r="F27" i="102"/>
  <c r="AN26" i="102" s="1"/>
  <c r="AP23" i="102"/>
  <c r="AP24" i="102"/>
  <c r="AV75" i="102"/>
  <c r="AP25" i="102"/>
  <c r="AR25" i="102"/>
  <c r="AX75" i="102"/>
  <c r="AR23" i="102"/>
  <c r="AR24" i="102"/>
  <c r="AX24" i="102"/>
  <c r="AX23" i="102"/>
  <c r="AW24" i="102"/>
  <c r="AW23" i="102"/>
  <c r="AV77" i="102"/>
  <c r="AO77" i="102"/>
  <c r="G27" i="102"/>
  <c r="AO26" i="102" s="1"/>
  <c r="AX77" i="102"/>
  <c r="AX25" i="102"/>
  <c r="AX26" i="102"/>
  <c r="AW25" i="102"/>
  <c r="AW26" i="102"/>
  <c r="M94" i="102" l="1"/>
  <c r="S91" i="102"/>
  <c r="R94" i="102"/>
  <c r="AW93" i="102" s="1"/>
  <c r="AV90" i="102"/>
  <c r="D79" i="102"/>
  <c r="AL78" i="102" s="1"/>
  <c r="C93" i="102"/>
  <c r="N90" i="102"/>
  <c r="N91" i="102" s="1"/>
  <c r="AS91" i="102" s="1"/>
  <c r="N76" i="102"/>
  <c r="AS76" i="102" s="1"/>
  <c r="AX91" i="102"/>
  <c r="R91" i="102"/>
  <c r="AW91" i="102" s="1"/>
  <c r="Q94" i="102"/>
  <c r="AV93" i="102" s="1"/>
  <c r="AQ92" i="102"/>
  <c r="L94" i="102"/>
  <c r="AQ93" i="102" s="1"/>
  <c r="AU26" i="102"/>
  <c r="O27" i="102"/>
  <c r="AT26" i="102" s="1"/>
  <c r="AU24" i="102"/>
  <c r="O24" i="102"/>
  <c r="AT24" i="102" s="1"/>
  <c r="P94" i="102"/>
  <c r="AU93" i="102" s="1"/>
  <c r="AY23" i="102"/>
  <c r="T24" i="102"/>
  <c r="AY24" i="102" s="1"/>
  <c r="T90" i="102"/>
  <c r="T91" i="102" s="1"/>
  <c r="AY91" i="102" s="1"/>
  <c r="T76" i="102"/>
  <c r="AY76" i="102" s="1"/>
  <c r="AV91" i="102"/>
  <c r="P91" i="102"/>
  <c r="AU91" i="102" s="1"/>
  <c r="AY25" i="102"/>
  <c r="T27" i="102"/>
  <c r="AY26" i="102" s="1"/>
  <c r="T93" i="102"/>
  <c r="T94" i="102" s="1"/>
  <c r="AY93" i="102" s="1"/>
  <c r="T79" i="102"/>
  <c r="AY78" i="102" s="1"/>
  <c r="N93" i="102"/>
  <c r="N94" i="102" s="1"/>
  <c r="AS93" i="102" s="1"/>
  <c r="N79" i="102"/>
  <c r="AS78" i="102" s="1"/>
  <c r="L90" i="102"/>
  <c r="M91" i="102" s="1"/>
  <c r="AR91" i="102" s="1"/>
  <c r="L76" i="102"/>
  <c r="AQ76" i="102" s="1"/>
  <c r="AR76" i="102"/>
  <c r="AQ75" i="102"/>
  <c r="M4" i="102"/>
  <c r="L6" i="102"/>
  <c r="K84" i="102"/>
  <c r="K85" i="102" s="1"/>
  <c r="K99" i="102"/>
  <c r="AP22" i="102"/>
  <c r="AP74" i="102" s="1"/>
  <c r="AP76" i="102"/>
  <c r="H76" i="102"/>
  <c r="AT78" i="102"/>
  <c r="AO75" i="102"/>
  <c r="AT76" i="102"/>
  <c r="AU92" i="102"/>
  <c r="AL75" i="102"/>
  <c r="AT90" i="102"/>
  <c r="E94" i="102"/>
  <c r="AM93" i="102" s="1"/>
  <c r="AM92" i="102"/>
  <c r="G76" i="102"/>
  <c r="AO76" i="102" s="1"/>
  <c r="AR90" i="102"/>
  <c r="AW90" i="102"/>
  <c r="AM90" i="102"/>
  <c r="AU90" i="102"/>
  <c r="AR93" i="102"/>
  <c r="AR92" i="102"/>
  <c r="AK77" i="102"/>
  <c r="AT92" i="102"/>
  <c r="AN77" i="102"/>
  <c r="AS77" i="102"/>
  <c r="AS75" i="102"/>
  <c r="AN23" i="102"/>
  <c r="F24" i="102"/>
  <c r="AN24" i="102" s="1"/>
  <c r="F79" i="102"/>
  <c r="AN78" i="102" s="1"/>
  <c r="G79" i="102"/>
  <c r="AO78" i="102" s="1"/>
  <c r="D76" i="102"/>
  <c r="AL76" i="102" s="1"/>
  <c r="AT25" i="102"/>
  <c r="AT23" i="102"/>
  <c r="E76" i="102"/>
  <c r="AM76" i="102" s="1"/>
  <c r="AY77" i="102"/>
  <c r="D24" i="102"/>
  <c r="AL24" i="102" s="1"/>
  <c r="AL23" i="102"/>
  <c r="E24" i="102"/>
  <c r="AM24" i="102" s="1"/>
  <c r="AL25" i="102"/>
  <c r="E27" i="102"/>
  <c r="AM26" i="102" s="1"/>
  <c r="D27" i="102"/>
  <c r="AL26" i="102" s="1"/>
  <c r="AY75" i="102"/>
  <c r="X38" i="93"/>
  <c r="Y37" i="93"/>
  <c r="Y38" i="93" s="1"/>
  <c r="Z37" i="93"/>
  <c r="Z38" i="93" s="1"/>
  <c r="AA37" i="93"/>
  <c r="AA38" i="93" s="1"/>
  <c r="AB37" i="93"/>
  <c r="AB38" i="93" s="1"/>
  <c r="AC37" i="93"/>
  <c r="AC38" i="93" s="1"/>
  <c r="AD37" i="93"/>
  <c r="AD38" i="93" s="1"/>
  <c r="AE37" i="93"/>
  <c r="AE38" i="93" s="1"/>
  <c r="AF37" i="93"/>
  <c r="AF38" i="93" s="1"/>
  <c r="AG37" i="93"/>
  <c r="AG38" i="93" s="1"/>
  <c r="O94" i="102" l="1"/>
  <c r="AT93" i="102" s="1"/>
  <c r="O91" i="102"/>
  <c r="AT91" i="102" s="1"/>
  <c r="AS90" i="102"/>
  <c r="AS92" i="102"/>
  <c r="AY90" i="102"/>
  <c r="AY92" i="102"/>
  <c r="AQ90" i="102"/>
  <c r="L91" i="102"/>
  <c r="AQ91" i="102" s="1"/>
  <c r="L84" i="102"/>
  <c r="L85" i="102" s="1"/>
  <c r="AQ22" i="102"/>
  <c r="AQ74" i="102" s="1"/>
  <c r="L99" i="102"/>
  <c r="N4" i="102"/>
  <c r="M6" i="102"/>
  <c r="AP91" i="102"/>
  <c r="H91" i="102"/>
  <c r="AO90" i="102"/>
  <c r="G91" i="102"/>
  <c r="AO91" i="102" s="1"/>
  <c r="D91" i="102"/>
  <c r="AL91" i="102" s="1"/>
  <c r="AL90" i="102"/>
  <c r="AK92" i="102"/>
  <c r="D94" i="102"/>
  <c r="AL93" i="102" s="1"/>
  <c r="E91" i="102"/>
  <c r="AM91" i="102" s="1"/>
  <c r="AN92" i="102"/>
  <c r="F94" i="102"/>
  <c r="AN93" i="102" s="1"/>
  <c r="G94" i="102"/>
  <c r="AO93" i="102" s="1"/>
  <c r="AC108" i="89"/>
  <c r="AD108" i="89"/>
  <c r="AE108" i="89"/>
  <c r="AF108" i="89"/>
  <c r="AG108" i="89"/>
  <c r="AO89" i="98" l="1"/>
  <c r="AG21" i="89"/>
  <c r="AG23" i="89" s="1"/>
  <c r="AN89" i="98"/>
  <c r="AF21" i="89"/>
  <c r="AF23" i="89" s="1"/>
  <c r="AM89" i="98"/>
  <c r="AE21" i="89"/>
  <c r="AE23" i="89" s="1"/>
  <c r="AL89" i="98"/>
  <c r="AD21" i="89"/>
  <c r="AD23" i="89" s="1"/>
  <c r="AK89" i="98"/>
  <c r="AC21" i="89"/>
  <c r="AC23" i="89" s="1"/>
  <c r="M84" i="102"/>
  <c r="M85" i="102" s="1"/>
  <c r="AR22" i="102"/>
  <c r="AR74" i="102" s="1"/>
  <c r="M99" i="102"/>
  <c r="O4" i="102"/>
  <c r="N6" i="102"/>
  <c r="V49" i="89"/>
  <c r="AS318" i="57"/>
  <c r="AR318" i="57"/>
  <c r="AQ318" i="57"/>
  <c r="AP318" i="57"/>
  <c r="AO318" i="57"/>
  <c r="AN318" i="57"/>
  <c r="AM318" i="57"/>
  <c r="AL318" i="57"/>
  <c r="AK318" i="57"/>
  <c r="AJ318" i="57"/>
  <c r="AS315" i="57"/>
  <c r="AR315" i="57"/>
  <c r="AQ315" i="57"/>
  <c r="AP315" i="57"/>
  <c r="AO315" i="57"/>
  <c r="AN315" i="57"/>
  <c r="AM315" i="57"/>
  <c r="AL315" i="57"/>
  <c r="AK315" i="57"/>
  <c r="AJ315" i="57"/>
  <c r="AS312" i="57"/>
  <c r="AR312" i="57"/>
  <c r="AQ312" i="57"/>
  <c r="AP312" i="57"/>
  <c r="AO312" i="57"/>
  <c r="AN312" i="57"/>
  <c r="AM312" i="57"/>
  <c r="AL312" i="57"/>
  <c r="AK312" i="57"/>
  <c r="AJ312" i="57"/>
  <c r="AS309" i="57"/>
  <c r="AR309" i="57"/>
  <c r="AQ309" i="57"/>
  <c r="AP309" i="57"/>
  <c r="AO309" i="57"/>
  <c r="AN309" i="57"/>
  <c r="AM309" i="57"/>
  <c r="AL309" i="57"/>
  <c r="AK309" i="57"/>
  <c r="AJ309" i="57"/>
  <c r="AS306" i="57"/>
  <c r="AR306" i="57"/>
  <c r="AQ306" i="57"/>
  <c r="AP306" i="57"/>
  <c r="AO306" i="57"/>
  <c r="AN306" i="57"/>
  <c r="AM306" i="57"/>
  <c r="AL306" i="57"/>
  <c r="AK306" i="57"/>
  <c r="AJ306" i="57"/>
  <c r="AS303" i="57"/>
  <c r="AR303" i="57"/>
  <c r="AQ303" i="57"/>
  <c r="AP303" i="57"/>
  <c r="AO303" i="57"/>
  <c r="AN303" i="57"/>
  <c r="AM303" i="57"/>
  <c r="AL303" i="57"/>
  <c r="AK303" i="57"/>
  <c r="AJ303" i="57"/>
  <c r="AS300" i="57"/>
  <c r="AR300" i="57"/>
  <c r="AQ300" i="57"/>
  <c r="AP300" i="57"/>
  <c r="AO300" i="57"/>
  <c r="AN300" i="57"/>
  <c r="AM300" i="57"/>
  <c r="AL300" i="57"/>
  <c r="AK300" i="57"/>
  <c r="AJ300" i="57"/>
  <c r="AS297" i="57"/>
  <c r="AR297" i="57"/>
  <c r="AQ297" i="57"/>
  <c r="AP297" i="57"/>
  <c r="AO297" i="57"/>
  <c r="AN297" i="57"/>
  <c r="AM297" i="57"/>
  <c r="AL297" i="57"/>
  <c r="AK297" i="57"/>
  <c r="AJ297" i="57"/>
  <c r="AS294" i="57"/>
  <c r="AR294" i="57"/>
  <c r="AQ294" i="57"/>
  <c r="AP294" i="57"/>
  <c r="AO294" i="57"/>
  <c r="AN294" i="57"/>
  <c r="AM294" i="57"/>
  <c r="AL294" i="57"/>
  <c r="AK294" i="57"/>
  <c r="AJ294" i="57"/>
  <c r="AS291" i="57"/>
  <c r="AR291" i="57"/>
  <c r="AQ291" i="57"/>
  <c r="AP291" i="57"/>
  <c r="AO291" i="57"/>
  <c r="AN291" i="57"/>
  <c r="AM291" i="57"/>
  <c r="AL291" i="57"/>
  <c r="AK291" i="57"/>
  <c r="AJ291" i="57"/>
  <c r="AS288" i="57"/>
  <c r="AR288" i="57"/>
  <c r="AQ288" i="57"/>
  <c r="AP288" i="57"/>
  <c r="AO288" i="57"/>
  <c r="AN288" i="57"/>
  <c r="AM288" i="57"/>
  <c r="AL288" i="57"/>
  <c r="AK288" i="57"/>
  <c r="AJ288" i="57"/>
  <c r="AS285" i="57"/>
  <c r="AR285" i="57"/>
  <c r="AQ285" i="57"/>
  <c r="AP285" i="57"/>
  <c r="AO285" i="57"/>
  <c r="AN285" i="57"/>
  <c r="AM285" i="57"/>
  <c r="AL285" i="57"/>
  <c r="AK285" i="57"/>
  <c r="AJ285" i="57"/>
  <c r="AS282" i="57"/>
  <c r="AR282" i="57"/>
  <c r="AQ282" i="57"/>
  <c r="AP282" i="57"/>
  <c r="AO282" i="57"/>
  <c r="AN282" i="57"/>
  <c r="AM282" i="57"/>
  <c r="AL282" i="57"/>
  <c r="AK282" i="57"/>
  <c r="AJ282" i="57"/>
  <c r="AS279" i="57"/>
  <c r="AR279" i="57"/>
  <c r="AQ279" i="57"/>
  <c r="AP279" i="57"/>
  <c r="AO279" i="57"/>
  <c r="AN279" i="57"/>
  <c r="AM279" i="57"/>
  <c r="AL279" i="57"/>
  <c r="AK279" i="57"/>
  <c r="AJ279" i="57"/>
  <c r="AS276" i="57"/>
  <c r="AR276" i="57"/>
  <c r="AQ276" i="57"/>
  <c r="AP276" i="57"/>
  <c r="AO276" i="57"/>
  <c r="AN276" i="57"/>
  <c r="AM276" i="57"/>
  <c r="AL276" i="57"/>
  <c r="AK276" i="57"/>
  <c r="AJ276" i="57"/>
  <c r="AS273" i="57"/>
  <c r="AR273" i="57"/>
  <c r="AQ273" i="57"/>
  <c r="AP273" i="57"/>
  <c r="AO273" i="57"/>
  <c r="AN273" i="57"/>
  <c r="AM273" i="57"/>
  <c r="AL273" i="57"/>
  <c r="AK273" i="57"/>
  <c r="AJ273" i="57"/>
  <c r="AS270" i="57"/>
  <c r="AR270" i="57"/>
  <c r="AQ270" i="57"/>
  <c r="AP270" i="57"/>
  <c r="AO270" i="57"/>
  <c r="AN270" i="57"/>
  <c r="AM270" i="57"/>
  <c r="AL270" i="57"/>
  <c r="AK270" i="57"/>
  <c r="AJ270" i="57"/>
  <c r="AS267" i="57"/>
  <c r="AR267" i="57"/>
  <c r="AQ267" i="57"/>
  <c r="AP267" i="57"/>
  <c r="AO267" i="57"/>
  <c r="AN267" i="57"/>
  <c r="AM267" i="57"/>
  <c r="AL267" i="57"/>
  <c r="AK267" i="57"/>
  <c r="AJ267" i="57"/>
  <c r="AS264" i="57"/>
  <c r="AR264" i="57"/>
  <c r="AQ264" i="57"/>
  <c r="AP264" i="57"/>
  <c r="AO264" i="57"/>
  <c r="AN264" i="57"/>
  <c r="AM264" i="57"/>
  <c r="AL264" i="57"/>
  <c r="AK264" i="57"/>
  <c r="AJ264" i="57"/>
  <c r="AS261" i="57"/>
  <c r="AR261" i="57"/>
  <c r="AQ261" i="57"/>
  <c r="AP261" i="57"/>
  <c r="AO261" i="57"/>
  <c r="AN261" i="57"/>
  <c r="AM261" i="57"/>
  <c r="AL261" i="57"/>
  <c r="AK261" i="57"/>
  <c r="AJ261" i="57"/>
  <c r="AS258" i="57"/>
  <c r="AR258" i="57"/>
  <c r="AQ258" i="57"/>
  <c r="AP258" i="57"/>
  <c r="AO258" i="57"/>
  <c r="AN258" i="57"/>
  <c r="AM258" i="57"/>
  <c r="AL258" i="57"/>
  <c r="AK258" i="57"/>
  <c r="AJ258" i="57"/>
  <c r="AS255" i="57"/>
  <c r="AR255" i="57"/>
  <c r="AQ255" i="57"/>
  <c r="AP255" i="57"/>
  <c r="AO255" i="57"/>
  <c r="AN255" i="57"/>
  <c r="AM255" i="57"/>
  <c r="AL255" i="57"/>
  <c r="AK255" i="57"/>
  <c r="AJ255" i="57"/>
  <c r="AS252" i="57"/>
  <c r="AR252" i="57"/>
  <c r="AQ252" i="57"/>
  <c r="AP252" i="57"/>
  <c r="AO252" i="57"/>
  <c r="AN252" i="57"/>
  <c r="AM252" i="57"/>
  <c r="AL252" i="57"/>
  <c r="AK252" i="57"/>
  <c r="AJ252" i="57"/>
  <c r="AS249" i="57"/>
  <c r="AR249" i="57"/>
  <c r="AQ249" i="57"/>
  <c r="AP249" i="57"/>
  <c r="AO249" i="57"/>
  <c r="AN249" i="57"/>
  <c r="AM249" i="57"/>
  <c r="AL249" i="57"/>
  <c r="AK249" i="57"/>
  <c r="AJ249" i="57"/>
  <c r="AS246" i="57"/>
  <c r="AR246" i="57"/>
  <c r="AQ246" i="57"/>
  <c r="AP246" i="57"/>
  <c r="AO246" i="57"/>
  <c r="AN246" i="57"/>
  <c r="AM246" i="57"/>
  <c r="AL246" i="57"/>
  <c r="AK246" i="57"/>
  <c r="AJ246" i="57"/>
  <c r="AS243" i="57"/>
  <c r="AR243" i="57"/>
  <c r="AQ243" i="57"/>
  <c r="AP243" i="57"/>
  <c r="AO243" i="57"/>
  <c r="AN243" i="57"/>
  <c r="AM243" i="57"/>
  <c r="AL243" i="57"/>
  <c r="AK243" i="57"/>
  <c r="AJ243" i="57"/>
  <c r="AS240" i="57"/>
  <c r="AR240" i="57"/>
  <c r="AQ240" i="57"/>
  <c r="AP240" i="57"/>
  <c r="AO240" i="57"/>
  <c r="AN240" i="57"/>
  <c r="AM240" i="57"/>
  <c r="AL240" i="57"/>
  <c r="AK240" i="57"/>
  <c r="AJ240" i="57"/>
  <c r="AS237" i="57"/>
  <c r="AR237" i="57"/>
  <c r="AQ237" i="57"/>
  <c r="AP237" i="57"/>
  <c r="AO237" i="57"/>
  <c r="AN237" i="57"/>
  <c r="AM237" i="57"/>
  <c r="AL237" i="57"/>
  <c r="AK237" i="57"/>
  <c r="AJ237" i="57"/>
  <c r="AS234" i="57"/>
  <c r="AR234" i="57"/>
  <c r="AQ234" i="57"/>
  <c r="AP234" i="57"/>
  <c r="AO234" i="57"/>
  <c r="AN234" i="57"/>
  <c r="AM234" i="57"/>
  <c r="AL234" i="57"/>
  <c r="AK234" i="57"/>
  <c r="AJ234" i="57"/>
  <c r="AS231" i="57"/>
  <c r="AR231" i="57"/>
  <c r="AQ231" i="57"/>
  <c r="AP231" i="57"/>
  <c r="AO231" i="57"/>
  <c r="AN231" i="57"/>
  <c r="AM231" i="57"/>
  <c r="AL231" i="57"/>
  <c r="AK231" i="57"/>
  <c r="AJ231" i="57"/>
  <c r="AS228" i="57"/>
  <c r="AR228" i="57"/>
  <c r="AQ228" i="57"/>
  <c r="AP228" i="57"/>
  <c r="AO228" i="57"/>
  <c r="AN228" i="57"/>
  <c r="AM228" i="57"/>
  <c r="AL228" i="57"/>
  <c r="AK228" i="57"/>
  <c r="AJ228" i="57"/>
  <c r="AS225" i="57"/>
  <c r="AR225" i="57"/>
  <c r="AQ225" i="57"/>
  <c r="AP225" i="57"/>
  <c r="AO225" i="57"/>
  <c r="AN225" i="57"/>
  <c r="AM225" i="57"/>
  <c r="AL225" i="57"/>
  <c r="AK225" i="57"/>
  <c r="AJ225" i="57"/>
  <c r="AS222" i="57"/>
  <c r="AR222" i="57"/>
  <c r="AQ222" i="57"/>
  <c r="AP222" i="57"/>
  <c r="AO222" i="57"/>
  <c r="AN222" i="57"/>
  <c r="AM222" i="57"/>
  <c r="AL222" i="57"/>
  <c r="AK222" i="57"/>
  <c r="AJ222" i="57"/>
  <c r="AS219" i="57"/>
  <c r="AR219" i="57"/>
  <c r="AQ219" i="57"/>
  <c r="AP219" i="57"/>
  <c r="AO219" i="57"/>
  <c r="AN219" i="57"/>
  <c r="AM219" i="57"/>
  <c r="AL219" i="57"/>
  <c r="AK219" i="57"/>
  <c r="AJ219" i="57"/>
  <c r="AS216" i="57"/>
  <c r="AR216" i="57"/>
  <c r="AQ216" i="57"/>
  <c r="AP216" i="57"/>
  <c r="AO216" i="57"/>
  <c r="AN216" i="57"/>
  <c r="AM216" i="57"/>
  <c r="AL216" i="57"/>
  <c r="AK216" i="57"/>
  <c r="AJ216" i="57"/>
  <c r="AS213" i="57"/>
  <c r="AR213" i="57"/>
  <c r="AQ213" i="57"/>
  <c r="AP213" i="57"/>
  <c r="AO213" i="57"/>
  <c r="AN213" i="57"/>
  <c r="AM213" i="57"/>
  <c r="AL213" i="57"/>
  <c r="AK213" i="57"/>
  <c r="AJ213" i="57"/>
  <c r="AS210" i="57"/>
  <c r="AR210" i="57"/>
  <c r="AQ210" i="57"/>
  <c r="AP210" i="57"/>
  <c r="AO210" i="57"/>
  <c r="AN210" i="57"/>
  <c r="AM210" i="57"/>
  <c r="AL210" i="57"/>
  <c r="AK210" i="57"/>
  <c r="AJ210" i="57"/>
  <c r="AS207" i="57"/>
  <c r="AR207" i="57"/>
  <c r="AQ207" i="57"/>
  <c r="AP207" i="57"/>
  <c r="AO207" i="57"/>
  <c r="AN207" i="57"/>
  <c r="AM207" i="57"/>
  <c r="AL207" i="57"/>
  <c r="AK207" i="57"/>
  <c r="AJ207" i="57"/>
  <c r="AS204" i="57"/>
  <c r="AR204" i="57"/>
  <c r="AQ204" i="57"/>
  <c r="AP204" i="57"/>
  <c r="AO204" i="57"/>
  <c r="AN204" i="57"/>
  <c r="AM204" i="57"/>
  <c r="AL204" i="57"/>
  <c r="AK204" i="57"/>
  <c r="AJ204" i="57"/>
  <c r="AS201" i="57"/>
  <c r="AR201" i="57"/>
  <c r="AQ201" i="57"/>
  <c r="AP201" i="57"/>
  <c r="AO201" i="57"/>
  <c r="AN201" i="57"/>
  <c r="AM201" i="57"/>
  <c r="AL201" i="57"/>
  <c r="AK201" i="57"/>
  <c r="AJ201" i="57"/>
  <c r="AS198" i="57"/>
  <c r="AR198" i="57"/>
  <c r="AQ198" i="57"/>
  <c r="AP198" i="57"/>
  <c r="AO198" i="57"/>
  <c r="AN198" i="57"/>
  <c r="AM198" i="57"/>
  <c r="AL198" i="57"/>
  <c r="AK198" i="57"/>
  <c r="AJ198" i="57"/>
  <c r="AS195" i="57"/>
  <c r="AR195" i="57"/>
  <c r="AQ195" i="57"/>
  <c r="AP195" i="57"/>
  <c r="AO195" i="57"/>
  <c r="AN195" i="57"/>
  <c r="AM195" i="57"/>
  <c r="AL195" i="57"/>
  <c r="AK195" i="57"/>
  <c r="AJ195" i="57"/>
  <c r="AS192" i="57"/>
  <c r="AR192" i="57"/>
  <c r="AQ192" i="57"/>
  <c r="AP192" i="57"/>
  <c r="AO192" i="57"/>
  <c r="AN192" i="57"/>
  <c r="AM192" i="57"/>
  <c r="AL192" i="57"/>
  <c r="AK192" i="57"/>
  <c r="AJ192" i="57"/>
  <c r="AS189" i="57"/>
  <c r="AR189" i="57"/>
  <c r="AQ189" i="57"/>
  <c r="AP189" i="57"/>
  <c r="AO189" i="57"/>
  <c r="AN189" i="57"/>
  <c r="AM189" i="57"/>
  <c r="AL189" i="57"/>
  <c r="AK189" i="57"/>
  <c r="AJ189" i="57"/>
  <c r="AS186" i="57"/>
  <c r="AR186" i="57"/>
  <c r="AQ186" i="57"/>
  <c r="AP186" i="57"/>
  <c r="AO186" i="57"/>
  <c r="AN186" i="57"/>
  <c r="AM186" i="57"/>
  <c r="AL186" i="57"/>
  <c r="AK186" i="57"/>
  <c r="AJ186" i="57"/>
  <c r="AS183" i="57"/>
  <c r="AR183" i="57"/>
  <c r="AQ183" i="57"/>
  <c r="AP183" i="57"/>
  <c r="AO183" i="57"/>
  <c r="AN183" i="57"/>
  <c r="AM183" i="57"/>
  <c r="AL183" i="57"/>
  <c r="AK183" i="57"/>
  <c r="AJ183" i="57"/>
  <c r="AS180" i="57"/>
  <c r="AR180" i="57"/>
  <c r="AQ180" i="57"/>
  <c r="AP180" i="57"/>
  <c r="AO180" i="57"/>
  <c r="AN180" i="57"/>
  <c r="AM180" i="57"/>
  <c r="AL180" i="57"/>
  <c r="AK180" i="57"/>
  <c r="AJ180" i="57"/>
  <c r="AS177" i="57"/>
  <c r="AR177" i="57"/>
  <c r="AQ177" i="57"/>
  <c r="AP177" i="57"/>
  <c r="AO177" i="57"/>
  <c r="AN177" i="57"/>
  <c r="AM177" i="57"/>
  <c r="AL177" i="57"/>
  <c r="AK177" i="57"/>
  <c r="AJ177" i="57"/>
  <c r="AS174" i="57"/>
  <c r="AR174" i="57"/>
  <c r="AQ174" i="57"/>
  <c r="AP174" i="57"/>
  <c r="AO174" i="57"/>
  <c r="AN174" i="57"/>
  <c r="AM174" i="57"/>
  <c r="AL174" i="57"/>
  <c r="AK174" i="57"/>
  <c r="AJ174" i="57"/>
  <c r="AS171" i="57"/>
  <c r="AR171" i="57"/>
  <c r="AQ171" i="57"/>
  <c r="AP171" i="57"/>
  <c r="AO171" i="57"/>
  <c r="AN171" i="57"/>
  <c r="AM171" i="57"/>
  <c r="AL171" i="57"/>
  <c r="AK171" i="57"/>
  <c r="AJ171" i="57"/>
  <c r="AS168" i="57"/>
  <c r="AR168" i="57"/>
  <c r="AQ168" i="57"/>
  <c r="AP168" i="57"/>
  <c r="AO168" i="57"/>
  <c r="AN168" i="57"/>
  <c r="AM168" i="57"/>
  <c r="AL168" i="57"/>
  <c r="AK168" i="57"/>
  <c r="AJ168" i="57"/>
  <c r="AS165" i="57"/>
  <c r="AR165" i="57"/>
  <c r="AQ165" i="57"/>
  <c r="AP165" i="57"/>
  <c r="AO165" i="57"/>
  <c r="AN165" i="57"/>
  <c r="AM165" i="57"/>
  <c r="AL165" i="57"/>
  <c r="AK165" i="57"/>
  <c r="AJ165" i="57"/>
  <c r="AS162" i="57"/>
  <c r="AR162" i="57"/>
  <c r="AQ162" i="57"/>
  <c r="AP162" i="57"/>
  <c r="AO162" i="57"/>
  <c r="AN162" i="57"/>
  <c r="AM162" i="57"/>
  <c r="AL162" i="57"/>
  <c r="AK162" i="57"/>
  <c r="AJ162" i="57"/>
  <c r="AS159" i="57"/>
  <c r="AR159" i="57"/>
  <c r="AQ159" i="57"/>
  <c r="AP159" i="57"/>
  <c r="AO159" i="57"/>
  <c r="AN159" i="57"/>
  <c r="AM159" i="57"/>
  <c r="AL159" i="57"/>
  <c r="AK159" i="57"/>
  <c r="AJ159" i="57"/>
  <c r="AS156" i="57"/>
  <c r="AR156" i="57"/>
  <c r="AQ156" i="57"/>
  <c r="AP156" i="57"/>
  <c r="AO156" i="57"/>
  <c r="AN156" i="57"/>
  <c r="AM156" i="57"/>
  <c r="AL156" i="57"/>
  <c r="AK156" i="57"/>
  <c r="AJ156" i="57"/>
  <c r="AS153" i="57"/>
  <c r="AR153" i="57"/>
  <c r="AQ153" i="57"/>
  <c r="AP153" i="57"/>
  <c r="AO153" i="57"/>
  <c r="AN153" i="57"/>
  <c r="AM153" i="57"/>
  <c r="AL153" i="57"/>
  <c r="AK153" i="57"/>
  <c r="AJ153" i="57"/>
  <c r="AS150" i="57"/>
  <c r="AR150" i="57"/>
  <c r="AQ150" i="57"/>
  <c r="AP150" i="57"/>
  <c r="AO150" i="57"/>
  <c r="AN150" i="57"/>
  <c r="AM150" i="57"/>
  <c r="AL150" i="57"/>
  <c r="AK150" i="57"/>
  <c r="AJ150" i="57"/>
  <c r="AS147" i="57"/>
  <c r="AR147" i="57"/>
  <c r="AQ147" i="57"/>
  <c r="AP147" i="57"/>
  <c r="AO147" i="57"/>
  <c r="AN147" i="57"/>
  <c r="AM147" i="57"/>
  <c r="AL147" i="57"/>
  <c r="AK147" i="57"/>
  <c r="AJ147" i="57"/>
  <c r="AS144" i="57"/>
  <c r="AR144" i="57"/>
  <c r="AQ144" i="57"/>
  <c r="AP144" i="57"/>
  <c r="AO144" i="57"/>
  <c r="AN144" i="57"/>
  <c r="AM144" i="57"/>
  <c r="AL144" i="57"/>
  <c r="AK144" i="57"/>
  <c r="AJ144" i="57"/>
  <c r="AS141" i="57"/>
  <c r="AR141" i="57"/>
  <c r="AQ141" i="57"/>
  <c r="AP141" i="57"/>
  <c r="AO141" i="57"/>
  <c r="AN141" i="57"/>
  <c r="AM141" i="57"/>
  <c r="AL141" i="57"/>
  <c r="AK141" i="57"/>
  <c r="AJ141" i="57"/>
  <c r="AS138" i="57"/>
  <c r="AR138" i="57"/>
  <c r="AQ138" i="57"/>
  <c r="AP138" i="57"/>
  <c r="AO138" i="57"/>
  <c r="AN138" i="57"/>
  <c r="AM138" i="57"/>
  <c r="AL138" i="57"/>
  <c r="AK138" i="57"/>
  <c r="AJ138" i="57"/>
  <c r="AS135" i="57"/>
  <c r="AR135" i="57"/>
  <c r="AQ135" i="57"/>
  <c r="AP135" i="57"/>
  <c r="AO135" i="57"/>
  <c r="AN135" i="57"/>
  <c r="AM135" i="57"/>
  <c r="AL135" i="57"/>
  <c r="AK135" i="57"/>
  <c r="AJ135" i="57"/>
  <c r="AS132" i="57"/>
  <c r="AR132" i="57"/>
  <c r="AQ132" i="57"/>
  <c r="AP132" i="57"/>
  <c r="AO132" i="57"/>
  <c r="AN132" i="57"/>
  <c r="AM132" i="57"/>
  <c r="AL132" i="57"/>
  <c r="AK132" i="57"/>
  <c r="AJ132" i="57"/>
  <c r="AS129" i="57"/>
  <c r="AR129" i="57"/>
  <c r="AQ129" i="57"/>
  <c r="AP129" i="57"/>
  <c r="AO129" i="57"/>
  <c r="AN129" i="57"/>
  <c r="AM129" i="57"/>
  <c r="AL129" i="57"/>
  <c r="AK129" i="57"/>
  <c r="AJ129" i="57"/>
  <c r="AS126" i="57"/>
  <c r="AR126" i="57"/>
  <c r="AQ126" i="57"/>
  <c r="AP126" i="57"/>
  <c r="AO126" i="57"/>
  <c r="AN126" i="57"/>
  <c r="AM126" i="57"/>
  <c r="AL126" i="57"/>
  <c r="AK126" i="57"/>
  <c r="AJ126" i="57"/>
  <c r="AS123" i="57"/>
  <c r="AR123" i="57"/>
  <c r="AQ123" i="57"/>
  <c r="AP123" i="57"/>
  <c r="AO123" i="57"/>
  <c r="AN123" i="57"/>
  <c r="AM123" i="57"/>
  <c r="AL123" i="57"/>
  <c r="AK123" i="57"/>
  <c r="AJ123" i="57"/>
  <c r="AS120" i="57"/>
  <c r="AR120" i="57"/>
  <c r="AQ120" i="57"/>
  <c r="AP120" i="57"/>
  <c r="AO120" i="57"/>
  <c r="AN120" i="57"/>
  <c r="AM120" i="57"/>
  <c r="AL120" i="57"/>
  <c r="AK120" i="57"/>
  <c r="AJ120" i="57"/>
  <c r="AS117" i="57"/>
  <c r="AR117" i="57"/>
  <c r="AQ117" i="57"/>
  <c r="AP117" i="57"/>
  <c r="AO117" i="57"/>
  <c r="AN117" i="57"/>
  <c r="AM117" i="57"/>
  <c r="AL117" i="57"/>
  <c r="AK117" i="57"/>
  <c r="AJ117" i="57"/>
  <c r="AS114" i="57"/>
  <c r="AR114" i="57"/>
  <c r="AQ114" i="57"/>
  <c r="AP114" i="57"/>
  <c r="AO114" i="57"/>
  <c r="AN114" i="57"/>
  <c r="AM114" i="57"/>
  <c r="AL114" i="57"/>
  <c r="AK114" i="57"/>
  <c r="AJ114" i="57"/>
  <c r="AS111" i="57"/>
  <c r="AR111" i="57"/>
  <c r="AQ111" i="57"/>
  <c r="AP111" i="57"/>
  <c r="AO111" i="57"/>
  <c r="AN111" i="57"/>
  <c r="AM111" i="57"/>
  <c r="AL111" i="57"/>
  <c r="AK111" i="57"/>
  <c r="AJ111" i="57"/>
  <c r="AS108" i="57"/>
  <c r="AR108" i="57"/>
  <c r="AQ108" i="57"/>
  <c r="AP108" i="57"/>
  <c r="AO108" i="57"/>
  <c r="AN108" i="57"/>
  <c r="AM108" i="57"/>
  <c r="AL108" i="57"/>
  <c r="AK108" i="57"/>
  <c r="AJ108" i="57"/>
  <c r="AS105" i="57"/>
  <c r="AR105" i="57"/>
  <c r="AQ105" i="57"/>
  <c r="AP105" i="57"/>
  <c r="AO105" i="57"/>
  <c r="AN105" i="57"/>
  <c r="AM105" i="57"/>
  <c r="AL105" i="57"/>
  <c r="AK105" i="57"/>
  <c r="AJ105" i="57"/>
  <c r="AS102" i="57"/>
  <c r="AR102" i="57"/>
  <c r="AQ102" i="57"/>
  <c r="AP102" i="57"/>
  <c r="AO102" i="57"/>
  <c r="AN102" i="57"/>
  <c r="AM102" i="57"/>
  <c r="AL102" i="57"/>
  <c r="AK102" i="57"/>
  <c r="AJ102" i="57"/>
  <c r="AS99" i="57"/>
  <c r="AR99" i="57"/>
  <c r="AQ99" i="57"/>
  <c r="AP99" i="57"/>
  <c r="AO99" i="57"/>
  <c r="AN99" i="57"/>
  <c r="AM99" i="57"/>
  <c r="AL99" i="57"/>
  <c r="AK99" i="57"/>
  <c r="AJ99" i="57"/>
  <c r="AS96" i="57"/>
  <c r="AR96" i="57"/>
  <c r="AQ96" i="57"/>
  <c r="AP96" i="57"/>
  <c r="AO96" i="57"/>
  <c r="AN96" i="57"/>
  <c r="AM96" i="57"/>
  <c r="AL96" i="57"/>
  <c r="AK96" i="57"/>
  <c r="AJ96" i="57"/>
  <c r="AS93" i="57"/>
  <c r="AR93" i="57"/>
  <c r="AQ93" i="57"/>
  <c r="AP93" i="57"/>
  <c r="AO93" i="57"/>
  <c r="AN93" i="57"/>
  <c r="AM93" i="57"/>
  <c r="AL93" i="57"/>
  <c r="AK93" i="57"/>
  <c r="AJ93" i="57"/>
  <c r="AS90" i="57"/>
  <c r="AR90" i="57"/>
  <c r="AQ90" i="57"/>
  <c r="AP90" i="57"/>
  <c r="AO90" i="57"/>
  <c r="AN90" i="57"/>
  <c r="AM90" i="57"/>
  <c r="AL90" i="57"/>
  <c r="AK90" i="57"/>
  <c r="AJ90" i="57"/>
  <c r="AS87" i="57"/>
  <c r="AR87" i="57"/>
  <c r="AQ87" i="57"/>
  <c r="AP87" i="57"/>
  <c r="AO87" i="57"/>
  <c r="AN87" i="57"/>
  <c r="AM87" i="57"/>
  <c r="AL87" i="57"/>
  <c r="AK87" i="57"/>
  <c r="AJ87" i="57"/>
  <c r="AS84" i="57"/>
  <c r="AR84" i="57"/>
  <c r="AQ84" i="57"/>
  <c r="AP84" i="57"/>
  <c r="AO84" i="57"/>
  <c r="AN84" i="57"/>
  <c r="AM84" i="57"/>
  <c r="AL84" i="57"/>
  <c r="AK84" i="57"/>
  <c r="AJ84" i="57"/>
  <c r="AS81" i="57"/>
  <c r="AR81" i="57"/>
  <c r="AQ81" i="57"/>
  <c r="AP81" i="57"/>
  <c r="AO81" i="57"/>
  <c r="AN81" i="57"/>
  <c r="AM81" i="57"/>
  <c r="AL81" i="57"/>
  <c r="AK81" i="57"/>
  <c r="AJ81" i="57"/>
  <c r="AS78" i="57"/>
  <c r="AR78" i="57"/>
  <c r="AQ78" i="57"/>
  <c r="AP78" i="57"/>
  <c r="AO78" i="57"/>
  <c r="AN78" i="57"/>
  <c r="AM78" i="57"/>
  <c r="AL78" i="57"/>
  <c r="AK78" i="57"/>
  <c r="AJ78" i="57"/>
  <c r="AS75" i="57"/>
  <c r="AR75" i="57"/>
  <c r="AQ75" i="57"/>
  <c r="AP75" i="57"/>
  <c r="AO75" i="57"/>
  <c r="AN75" i="57"/>
  <c r="AM75" i="57"/>
  <c r="AL75" i="57"/>
  <c r="AK75" i="57"/>
  <c r="AJ75" i="57"/>
  <c r="AS72" i="57"/>
  <c r="AR72" i="57"/>
  <c r="AQ72" i="57"/>
  <c r="AP72" i="57"/>
  <c r="AO72" i="57"/>
  <c r="AN72" i="57"/>
  <c r="AM72" i="57"/>
  <c r="AL72" i="57"/>
  <c r="AK72" i="57"/>
  <c r="AJ72" i="57"/>
  <c r="AS69" i="57"/>
  <c r="AR69" i="57"/>
  <c r="AQ69" i="57"/>
  <c r="AP69" i="57"/>
  <c r="AO69" i="57"/>
  <c r="AN69" i="57"/>
  <c r="AM69" i="57"/>
  <c r="AL69" i="57"/>
  <c r="AK69" i="57"/>
  <c r="AJ69" i="57"/>
  <c r="AG87" i="41"/>
  <c r="AG24" i="89" l="1"/>
  <c r="V17" i="89"/>
  <c r="V19" i="89" s="1"/>
  <c r="AD73" i="98"/>
  <c r="N84" i="102"/>
  <c r="N85" i="102" s="1"/>
  <c r="AS22" i="102"/>
  <c r="AS74" i="102" s="1"/>
  <c r="N99" i="102"/>
  <c r="P4" i="102"/>
  <c r="O6" i="102"/>
  <c r="K440" i="36"/>
  <c r="O84" i="102" l="1"/>
  <c r="O85" i="102" s="1"/>
  <c r="O99" i="102"/>
  <c r="AT22" i="102"/>
  <c r="AT74" i="102" s="1"/>
  <c r="Q4" i="102"/>
  <c r="P6" i="102"/>
  <c r="P84" i="102" l="1"/>
  <c r="P85" i="102" s="1"/>
  <c r="P99" i="102"/>
  <c r="AU22" i="102"/>
  <c r="AU74" i="102" s="1"/>
  <c r="R4" i="102"/>
  <c r="Q6" i="102"/>
  <c r="AF36" i="98"/>
  <c r="Q84" i="102" l="1"/>
  <c r="Q85" i="102" s="1"/>
  <c r="AV22" i="102"/>
  <c r="AV74" i="102" s="1"/>
  <c r="Q99" i="102"/>
  <c r="S4" i="102"/>
  <c r="T4" i="102" s="1"/>
  <c r="R6" i="102"/>
  <c r="X48" i="45"/>
  <c r="Y48" i="45"/>
  <c r="Z48" i="45"/>
  <c r="AA48" i="45"/>
  <c r="AB48" i="45"/>
  <c r="AC48" i="45"/>
  <c r="AD48" i="45"/>
  <c r="AE48" i="45"/>
  <c r="AF48" i="45"/>
  <c r="AG48" i="45"/>
  <c r="X49" i="45"/>
  <c r="Y49" i="45"/>
  <c r="Z49" i="45"/>
  <c r="AA49" i="45"/>
  <c r="AB49" i="45"/>
  <c r="AC49" i="45"/>
  <c r="AD49" i="45"/>
  <c r="AE49" i="45"/>
  <c r="AF49" i="45"/>
  <c r="AG49" i="45"/>
  <c r="X50" i="45"/>
  <c r="Y50" i="45"/>
  <c r="Z50" i="45"/>
  <c r="AA50" i="45"/>
  <c r="AB50" i="45"/>
  <c r="AC50" i="45"/>
  <c r="AD50" i="45"/>
  <c r="AE50" i="45"/>
  <c r="AF50" i="45"/>
  <c r="AG50" i="45"/>
  <c r="X51" i="45"/>
  <c r="Y51" i="45"/>
  <c r="Z51" i="45"/>
  <c r="AA51" i="45"/>
  <c r="AB51" i="45"/>
  <c r="AC51" i="45"/>
  <c r="AD51" i="45"/>
  <c r="AE51" i="45"/>
  <c r="AF51" i="45"/>
  <c r="AG51" i="45"/>
  <c r="X52" i="45"/>
  <c r="Y52" i="45"/>
  <c r="Z52" i="45"/>
  <c r="AA52" i="45"/>
  <c r="AB52" i="45"/>
  <c r="AC52" i="45"/>
  <c r="AD52" i="45"/>
  <c r="AE52" i="45"/>
  <c r="AF52" i="45"/>
  <c r="AG52" i="45"/>
  <c r="X53" i="45"/>
  <c r="Y53" i="45"/>
  <c r="Z53" i="45"/>
  <c r="AA53" i="45"/>
  <c r="AB53" i="45"/>
  <c r="AC53" i="45"/>
  <c r="AD53" i="45"/>
  <c r="AE53" i="45"/>
  <c r="AF53" i="45"/>
  <c r="AG53" i="45"/>
  <c r="X54" i="45"/>
  <c r="Y54" i="45"/>
  <c r="Z54" i="45"/>
  <c r="AA54" i="45"/>
  <c r="AB54" i="45"/>
  <c r="AC54" i="45"/>
  <c r="AD54" i="45"/>
  <c r="AE54" i="45"/>
  <c r="AF54" i="45"/>
  <c r="AG54" i="45"/>
  <c r="X55" i="45"/>
  <c r="Y55" i="45"/>
  <c r="Z55" i="45"/>
  <c r="AA55" i="45"/>
  <c r="AB55" i="45"/>
  <c r="AC55" i="45"/>
  <c r="AD55" i="45"/>
  <c r="AE55" i="45"/>
  <c r="AF55" i="45"/>
  <c r="AG55" i="45"/>
  <c r="X56" i="45"/>
  <c r="Y56" i="45"/>
  <c r="Z56" i="45"/>
  <c r="AA56" i="45"/>
  <c r="AB56" i="45"/>
  <c r="AC56" i="45"/>
  <c r="AD56" i="45"/>
  <c r="AE56" i="45"/>
  <c r="AF56" i="45"/>
  <c r="AG56" i="45"/>
  <c r="X57" i="45"/>
  <c r="Y57" i="45"/>
  <c r="Z57" i="45"/>
  <c r="AA57" i="45"/>
  <c r="AB57" i="45"/>
  <c r="AC57" i="45"/>
  <c r="AD57" i="45"/>
  <c r="AE57" i="45"/>
  <c r="AF57" i="45"/>
  <c r="AG57" i="45"/>
  <c r="X58" i="45"/>
  <c r="Y58" i="45"/>
  <c r="Z58" i="45"/>
  <c r="AA58" i="45"/>
  <c r="AB58" i="45"/>
  <c r="AC58" i="45"/>
  <c r="AD58" i="45"/>
  <c r="AE58" i="45"/>
  <c r="AF58" i="45"/>
  <c r="AG58" i="45"/>
  <c r="X59" i="45"/>
  <c r="Y59" i="45"/>
  <c r="Z59" i="45"/>
  <c r="AA59" i="45"/>
  <c r="AB59" i="45"/>
  <c r="AC59" i="45"/>
  <c r="AD59" i="45"/>
  <c r="AE59" i="45"/>
  <c r="AF59" i="45"/>
  <c r="AG59" i="45"/>
  <c r="X60" i="45"/>
  <c r="Y60" i="45"/>
  <c r="Z60" i="45"/>
  <c r="AA60" i="45"/>
  <c r="AB60" i="45"/>
  <c r="AC60" i="45"/>
  <c r="AD60" i="45"/>
  <c r="AE60" i="45"/>
  <c r="AF60" i="45"/>
  <c r="AG60" i="45"/>
  <c r="X61" i="45"/>
  <c r="Y61" i="45"/>
  <c r="Z61" i="45"/>
  <c r="AA61" i="45"/>
  <c r="AB61" i="45"/>
  <c r="AC61" i="45"/>
  <c r="AD61" i="45"/>
  <c r="AE61" i="45"/>
  <c r="AF61" i="45"/>
  <c r="AG61" i="45"/>
  <c r="X62" i="45"/>
  <c r="Y62" i="45"/>
  <c r="Z62" i="45"/>
  <c r="AA62" i="45"/>
  <c r="AB62" i="45"/>
  <c r="AC62" i="45"/>
  <c r="AD62" i="45"/>
  <c r="AE62" i="45"/>
  <c r="AF62" i="45"/>
  <c r="AG62" i="45"/>
  <c r="X63" i="45"/>
  <c r="Y63" i="45"/>
  <c r="Z63" i="45"/>
  <c r="AA63" i="45"/>
  <c r="AB63" i="45"/>
  <c r="AC63" i="45"/>
  <c r="AD63" i="45"/>
  <c r="AE63" i="45"/>
  <c r="AF63" i="45"/>
  <c r="AG63" i="45"/>
  <c r="X64" i="45"/>
  <c r="Y64" i="45"/>
  <c r="Z64" i="45"/>
  <c r="AA64" i="45"/>
  <c r="AB64" i="45"/>
  <c r="AC64" i="45"/>
  <c r="AD64" i="45"/>
  <c r="AE64" i="45"/>
  <c r="AF64" i="45"/>
  <c r="AG64" i="45"/>
  <c r="X65" i="45"/>
  <c r="Y65" i="45"/>
  <c r="Z65" i="45"/>
  <c r="AA65" i="45"/>
  <c r="AB65" i="45"/>
  <c r="AC65" i="45"/>
  <c r="AD65" i="45"/>
  <c r="AE65" i="45"/>
  <c r="AF65" i="45"/>
  <c r="AG65" i="45"/>
  <c r="X66" i="45"/>
  <c r="Y66" i="45"/>
  <c r="Z66" i="45"/>
  <c r="AA66" i="45"/>
  <c r="AB66" i="45"/>
  <c r="AC66" i="45"/>
  <c r="AD66" i="45"/>
  <c r="AE66" i="45"/>
  <c r="AF66" i="45"/>
  <c r="AG66" i="45"/>
  <c r="X67" i="45"/>
  <c r="Y67" i="45"/>
  <c r="Z67" i="45"/>
  <c r="AA67" i="45"/>
  <c r="AB67" i="45"/>
  <c r="AC67" i="45"/>
  <c r="AD67" i="45"/>
  <c r="AE67" i="45"/>
  <c r="AF67" i="45"/>
  <c r="AG67" i="45"/>
  <c r="X68" i="45"/>
  <c r="Y68" i="45"/>
  <c r="Z68" i="45"/>
  <c r="AA68" i="45"/>
  <c r="AB68" i="45"/>
  <c r="AC68" i="45"/>
  <c r="AD68" i="45"/>
  <c r="AE68" i="45"/>
  <c r="AF68" i="45"/>
  <c r="AG68" i="45"/>
  <c r="X69" i="45"/>
  <c r="Y69" i="45"/>
  <c r="Z69" i="45"/>
  <c r="AA69" i="45"/>
  <c r="AB69" i="45"/>
  <c r="AC69" i="45"/>
  <c r="AD69" i="45"/>
  <c r="AE69" i="45"/>
  <c r="AF69" i="45"/>
  <c r="AG69" i="45"/>
  <c r="X70" i="45"/>
  <c r="Y70" i="45"/>
  <c r="Z70" i="45"/>
  <c r="AA70" i="45"/>
  <c r="AB70" i="45"/>
  <c r="AC70" i="45"/>
  <c r="AD70" i="45"/>
  <c r="AE70" i="45"/>
  <c r="AF70" i="45"/>
  <c r="AG70" i="45"/>
  <c r="X71" i="45"/>
  <c r="Y71" i="45"/>
  <c r="Z71" i="45"/>
  <c r="AA71" i="45"/>
  <c r="AB71" i="45"/>
  <c r="AC71" i="45"/>
  <c r="AD71" i="45"/>
  <c r="AE71" i="45"/>
  <c r="AF71" i="45"/>
  <c r="AG71" i="45"/>
  <c r="X72" i="45"/>
  <c r="Y72" i="45"/>
  <c r="Z72" i="45"/>
  <c r="AA72" i="45"/>
  <c r="AB72" i="45"/>
  <c r="AC72" i="45"/>
  <c r="AD72" i="45"/>
  <c r="AE72" i="45"/>
  <c r="AF72" i="45"/>
  <c r="AG72" i="45"/>
  <c r="X73" i="45"/>
  <c r="Y73" i="45"/>
  <c r="Z73" i="45"/>
  <c r="AA73" i="45"/>
  <c r="AB73" i="45"/>
  <c r="AC73" i="45"/>
  <c r="AD73" i="45"/>
  <c r="AE73" i="45"/>
  <c r="AF73" i="45"/>
  <c r="AG73" i="45"/>
  <c r="X74" i="45"/>
  <c r="Y74" i="45"/>
  <c r="Z74" i="45"/>
  <c r="AA74" i="45"/>
  <c r="AB74" i="45"/>
  <c r="AC74" i="45"/>
  <c r="AD74" i="45"/>
  <c r="AE74" i="45"/>
  <c r="AF74" i="45"/>
  <c r="AG74" i="45"/>
  <c r="X75" i="45"/>
  <c r="Y75" i="45"/>
  <c r="Z75" i="45"/>
  <c r="AA75" i="45"/>
  <c r="AB75" i="45"/>
  <c r="AC75" i="45"/>
  <c r="AD75" i="45"/>
  <c r="AE75" i="45"/>
  <c r="AF75" i="45"/>
  <c r="AG75" i="45"/>
  <c r="X76" i="45"/>
  <c r="Y76" i="45"/>
  <c r="Z76" i="45"/>
  <c r="AA76" i="45"/>
  <c r="AB76" i="45"/>
  <c r="AC76" i="45"/>
  <c r="AD76" i="45"/>
  <c r="AE76" i="45"/>
  <c r="AF76" i="45"/>
  <c r="AG76" i="45"/>
  <c r="X77" i="45"/>
  <c r="Y77" i="45"/>
  <c r="Z77" i="45"/>
  <c r="AA77" i="45"/>
  <c r="AB77" i="45"/>
  <c r="AC77" i="45"/>
  <c r="AD77" i="45"/>
  <c r="AE77" i="45"/>
  <c r="AF77" i="45"/>
  <c r="AG77" i="45"/>
  <c r="X78" i="45"/>
  <c r="Y78" i="45"/>
  <c r="Z78" i="45"/>
  <c r="AA78" i="45"/>
  <c r="AB78" i="45"/>
  <c r="AC78" i="45"/>
  <c r="AD78" i="45"/>
  <c r="AE78" i="45"/>
  <c r="AF78" i="45"/>
  <c r="AG78" i="45"/>
  <c r="X79" i="45"/>
  <c r="Y79" i="45"/>
  <c r="Z79" i="45"/>
  <c r="AA79" i="45"/>
  <c r="AB79" i="45"/>
  <c r="AC79" i="45"/>
  <c r="AD79" i="45"/>
  <c r="AE79" i="45"/>
  <c r="AF79" i="45"/>
  <c r="AG79" i="45"/>
  <c r="X80" i="45"/>
  <c r="Y80" i="45"/>
  <c r="Z80" i="45"/>
  <c r="AA80" i="45"/>
  <c r="AB80" i="45"/>
  <c r="AC80" i="45"/>
  <c r="AD80" i="45"/>
  <c r="AE80" i="45"/>
  <c r="AF80" i="45"/>
  <c r="AG80" i="45"/>
  <c r="T6" i="102" l="1"/>
  <c r="R84" i="102"/>
  <c r="R85" i="102" s="1"/>
  <c r="R99" i="102"/>
  <c r="AW22" i="102"/>
  <c r="AW74" i="102" s="1"/>
  <c r="S6" i="102"/>
  <c r="R70" i="30"/>
  <c r="R63" i="30"/>
  <c r="S84" i="102" l="1"/>
  <c r="S85" i="102" s="1"/>
  <c r="S99" i="102"/>
  <c r="AX22" i="102"/>
  <c r="AX74" i="102" s="1"/>
  <c r="T84" i="102"/>
  <c r="T85" i="102" s="1"/>
  <c r="T99" i="102"/>
  <c r="AY22" i="102"/>
  <c r="AY74" i="102" s="1"/>
  <c r="AN83" i="40"/>
  <c r="AG59" i="36" l="1"/>
  <c r="AF59" i="36"/>
  <c r="AE59" i="36"/>
  <c r="AD59" i="36"/>
  <c r="AC59" i="36"/>
  <c r="AB59" i="36"/>
  <c r="AA59" i="36"/>
  <c r="Z59" i="36"/>
  <c r="Y59" i="36"/>
  <c r="X59" i="36"/>
  <c r="Y62" i="57"/>
  <c r="Z62" i="57"/>
  <c r="AA62" i="57"/>
  <c r="AB62" i="57"/>
  <c r="AC62" i="57"/>
  <c r="AD62" i="57"/>
  <c r="AE62" i="57"/>
  <c r="AF62" i="57"/>
  <c r="AG62" i="57"/>
  <c r="X62" i="57"/>
  <c r="R40" i="89"/>
  <c r="R41" i="89" s="1"/>
  <c r="S40" i="89"/>
  <c r="T40" i="89"/>
  <c r="U40" i="89"/>
  <c r="V40" i="89"/>
  <c r="W40" i="89"/>
  <c r="X40" i="89"/>
  <c r="Y40" i="89"/>
  <c r="Z40" i="89"/>
  <c r="AA40" i="89"/>
  <c r="AB40" i="89"/>
  <c r="AC40" i="89"/>
  <c r="AD40" i="89"/>
  <c r="AE40" i="89"/>
  <c r="AF40" i="89"/>
  <c r="AG40" i="89"/>
  <c r="X48" i="89"/>
  <c r="X13" i="89" s="1"/>
  <c r="Y48" i="89"/>
  <c r="Y13" i="89" s="1"/>
  <c r="Z48" i="89"/>
  <c r="Z13" i="89" s="1"/>
  <c r="AA48" i="89"/>
  <c r="AA13" i="89" s="1"/>
  <c r="AB48" i="89"/>
  <c r="AB13" i="89" s="1"/>
  <c r="AC48" i="89"/>
  <c r="AC13" i="89" s="1"/>
  <c r="AD48" i="89"/>
  <c r="AD13" i="89" s="1"/>
  <c r="AE48" i="89"/>
  <c r="AE13" i="89" s="1"/>
  <c r="AF48" i="89"/>
  <c r="AF13" i="89" s="1"/>
  <c r="AG48" i="89"/>
  <c r="AG13" i="89" s="1"/>
  <c r="W15" i="89"/>
  <c r="R48" i="89"/>
  <c r="S48" i="89"/>
  <c r="T48" i="89"/>
  <c r="U48" i="89"/>
  <c r="V48" i="89"/>
  <c r="V13" i="89" s="1"/>
  <c r="V15" i="89" s="1"/>
  <c r="R49" i="89"/>
  <c r="S49" i="89"/>
  <c r="T49" i="89"/>
  <c r="U49" i="89"/>
  <c r="X49" i="89"/>
  <c r="Y49" i="89"/>
  <c r="Z17" i="89"/>
  <c r="Z19" i="89" s="1"/>
  <c r="AA49" i="89"/>
  <c r="AB49" i="89"/>
  <c r="AC49" i="89"/>
  <c r="AD49" i="89"/>
  <c r="AE49" i="89"/>
  <c r="AF49" i="89"/>
  <c r="AG49" i="89"/>
  <c r="W17" i="89"/>
  <c r="W19" i="89" s="1"/>
  <c r="AC67" i="89"/>
  <c r="AD67" i="89"/>
  <c r="AE67" i="89"/>
  <c r="AF67" i="89"/>
  <c r="AG67" i="89"/>
  <c r="AG68" i="89" s="1"/>
  <c r="AC73" i="89"/>
  <c r="AD73" i="89"/>
  <c r="AE73" i="89"/>
  <c r="AE74" i="89" s="1"/>
  <c r="AF73" i="89"/>
  <c r="AG73" i="89"/>
  <c r="AC79" i="89"/>
  <c r="AD79" i="89"/>
  <c r="AE79" i="89"/>
  <c r="AF79" i="89"/>
  <c r="AG79" i="89"/>
  <c r="AG80" i="89" s="1"/>
  <c r="AC88" i="89"/>
  <c r="AD88" i="89"/>
  <c r="AE88" i="89"/>
  <c r="AF88" i="89"/>
  <c r="AG88" i="89"/>
  <c r="AC94" i="89"/>
  <c r="AD94" i="89"/>
  <c r="AE94" i="89"/>
  <c r="AE95" i="89" s="1"/>
  <c r="AF94" i="89"/>
  <c r="AG94" i="89"/>
  <c r="AG95" i="89" s="1"/>
  <c r="T105" i="89"/>
  <c r="U105" i="89"/>
  <c r="V105" i="89"/>
  <c r="W105" i="89"/>
  <c r="X105" i="89"/>
  <c r="Y105" i="89"/>
  <c r="Z105" i="89"/>
  <c r="AA105" i="89"/>
  <c r="AB105" i="89"/>
  <c r="AC105" i="89"/>
  <c r="AD105" i="89"/>
  <c r="AE105" i="89"/>
  <c r="AF105" i="89"/>
  <c r="AG105" i="89"/>
  <c r="S105" i="89"/>
  <c r="AD109" i="89"/>
  <c r="AE109" i="89"/>
  <c r="AF109" i="89"/>
  <c r="AG109" i="89"/>
  <c r="AC100" i="89"/>
  <c r="AD100" i="89"/>
  <c r="AE100" i="89"/>
  <c r="AF100" i="89"/>
  <c r="AF101" i="89" s="1"/>
  <c r="AG100" i="89"/>
  <c r="AC119" i="89"/>
  <c r="AD119" i="89"/>
  <c r="AE119" i="89"/>
  <c r="AF119" i="89"/>
  <c r="AF25" i="89" s="1"/>
  <c r="AF27" i="89" s="1"/>
  <c r="AG119" i="89"/>
  <c r="AC130" i="89"/>
  <c r="AD130" i="89"/>
  <c r="AE130" i="89"/>
  <c r="AF130" i="89"/>
  <c r="AG130" i="89"/>
  <c r="AC76" i="98" l="1"/>
  <c r="U13" i="89"/>
  <c r="U15" i="89" s="1"/>
  <c r="AB76" i="98"/>
  <c r="T13" i="89"/>
  <c r="T15" i="89" s="1"/>
  <c r="Z76" i="98"/>
  <c r="R13" i="89"/>
  <c r="R15" i="89" s="1"/>
  <c r="AA76" i="98"/>
  <c r="S13" i="89"/>
  <c r="S15" i="89" s="1"/>
  <c r="Y17" i="89"/>
  <c r="Y19" i="89" s="1"/>
  <c r="AG79" i="98"/>
  <c r="AG73" i="98"/>
  <c r="AD95" i="89"/>
  <c r="X17" i="89"/>
  <c r="X19" i="89" s="1"/>
  <c r="AF79" i="98"/>
  <c r="AF73" i="98"/>
  <c r="AJ76" i="98"/>
  <c r="AF89" i="89"/>
  <c r="S17" i="89"/>
  <c r="S19" i="89" s="1"/>
  <c r="AA79" i="98"/>
  <c r="AA73" i="98"/>
  <c r="Y15" i="89"/>
  <c r="AG76" i="98"/>
  <c r="AB17" i="89"/>
  <c r="AB19" i="89" s="1"/>
  <c r="AJ79" i="98"/>
  <c r="AJ73" i="98"/>
  <c r="AK84" i="98"/>
  <c r="AC29" i="89"/>
  <c r="AC31" i="89" s="1"/>
  <c r="R17" i="89"/>
  <c r="R19" i="89" s="1"/>
  <c r="Z79" i="98"/>
  <c r="Z73" i="98"/>
  <c r="X15" i="89"/>
  <c r="AF76" i="98"/>
  <c r="AI76" i="98"/>
  <c r="AG101" i="89"/>
  <c r="AD76" i="98"/>
  <c r="AD79" i="98"/>
  <c r="AO84" i="98"/>
  <c r="AG29" i="89"/>
  <c r="AG31" i="89" s="1"/>
  <c r="AL84" i="98"/>
  <c r="AD29" i="89"/>
  <c r="AD31" i="89" s="1"/>
  <c r="AM84" i="98"/>
  <c r="AE29" i="89"/>
  <c r="AE31" i="89" s="1"/>
  <c r="T17" i="89"/>
  <c r="T19" i="89" s="1"/>
  <c r="AB79" i="98"/>
  <c r="AB73" i="98"/>
  <c r="AG17" i="89"/>
  <c r="AG19" i="89" s="1"/>
  <c r="AO79" i="98"/>
  <c r="AO73" i="98"/>
  <c r="AO76" i="98"/>
  <c r="AN84" i="98"/>
  <c r="AF29" i="89"/>
  <c r="AF31" i="89" s="1"/>
  <c r="AF17" i="89"/>
  <c r="AF19" i="89" s="1"/>
  <c r="AN79" i="98"/>
  <c r="AN73" i="98"/>
  <c r="AA17" i="89"/>
  <c r="AA19" i="89" s="1"/>
  <c r="AI79" i="98"/>
  <c r="AI73" i="98"/>
  <c r="AL76" i="98"/>
  <c r="AK76" i="98"/>
  <c r="U17" i="89"/>
  <c r="U19" i="89" s="1"/>
  <c r="AC79" i="98"/>
  <c r="AC73" i="98"/>
  <c r="AH79" i="98"/>
  <c r="AH76" i="98"/>
  <c r="AE17" i="89"/>
  <c r="AE19" i="89" s="1"/>
  <c r="AM79" i="98"/>
  <c r="AM73" i="98"/>
  <c r="AC17" i="89"/>
  <c r="AC19" i="89" s="1"/>
  <c r="AK79" i="98"/>
  <c r="AK73" i="98"/>
  <c r="AN76" i="98"/>
  <c r="AM76" i="98"/>
  <c r="AD17" i="89"/>
  <c r="AD19" i="89" s="1"/>
  <c r="AL79" i="98"/>
  <c r="AL73" i="98"/>
  <c r="AD25" i="89"/>
  <c r="AD27" i="89" s="1"/>
  <c r="AC25" i="89"/>
  <c r="AC27" i="89" s="1"/>
  <c r="AG25" i="89"/>
  <c r="AG27" i="89" s="1"/>
  <c r="AE25" i="89"/>
  <c r="AE27" i="89" s="1"/>
  <c r="AG41" i="89"/>
  <c r="AE68" i="89"/>
  <c r="AG131" i="89"/>
  <c r="AG89" i="89"/>
  <c r="AD80" i="89"/>
  <c r="R51" i="89"/>
  <c r="AE120" i="89"/>
  <c r="AD120" i="89"/>
  <c r="AE89" i="89"/>
  <c r="AE131" i="89"/>
  <c r="AD131" i="89"/>
  <c r="AF120" i="89"/>
  <c r="AG51" i="89"/>
  <c r="AE50" i="89"/>
  <c r="AF50" i="89"/>
  <c r="AE41" i="89"/>
  <c r="AB51" i="89"/>
  <c r="AA51" i="89"/>
  <c r="AD41" i="89"/>
  <c r="AD50" i="89"/>
  <c r="W51" i="89"/>
  <c r="AG120" i="89"/>
  <c r="AF131" i="89"/>
  <c r="AG50" i="89"/>
  <c r="Z51" i="89"/>
  <c r="AF95" i="89"/>
  <c r="AD89" i="89"/>
  <c r="AF74" i="89"/>
  <c r="AD68" i="89"/>
  <c r="AF51" i="89"/>
  <c r="AC51" i="89"/>
  <c r="X51" i="89"/>
  <c r="Y51" i="89"/>
  <c r="AF41" i="89"/>
  <c r="AC41" i="89"/>
  <c r="AE51" i="89"/>
  <c r="AC50" i="89"/>
  <c r="AD51" i="89"/>
  <c r="AD74" i="89"/>
  <c r="AF68" i="89"/>
  <c r="AG74" i="89"/>
  <c r="AE80" i="89"/>
  <c r="AF80" i="89"/>
  <c r="AD101" i="89"/>
  <c r="AE101" i="89"/>
  <c r="S24" i="40"/>
  <c r="R24" i="40"/>
  <c r="Q24" i="40"/>
  <c r="P24" i="40"/>
  <c r="O24" i="40"/>
  <c r="N24" i="40"/>
  <c r="M24" i="40"/>
  <c r="L24" i="40"/>
  <c r="W16" i="89" l="1"/>
  <c r="AB20" i="89"/>
  <c r="W20" i="89"/>
  <c r="AG28" i="89"/>
  <c r="AG32" i="89"/>
  <c r="AG20" i="89"/>
  <c r="AE52" i="89"/>
  <c r="AF52" i="89"/>
  <c r="AG52" i="89"/>
  <c r="AD52" i="89"/>
  <c r="R142" i="12"/>
  <c r="R56" i="12" s="1"/>
  <c r="E59" i="98" s="1"/>
  <c r="R143" i="12"/>
  <c r="R67" i="12" s="1"/>
  <c r="E70" i="98" s="1"/>
  <c r="R144" i="12"/>
  <c r="R78" i="12" s="1"/>
  <c r="R145" i="12"/>
  <c r="R61" i="44"/>
  <c r="S61" i="44"/>
  <c r="R51" i="44"/>
  <c r="R41" i="44"/>
  <c r="S41" i="44"/>
  <c r="R28" i="44"/>
  <c r="S28" i="44"/>
  <c r="R20" i="44"/>
  <c r="S20" i="44"/>
  <c r="J80" i="44"/>
  <c r="R89" i="12" l="1"/>
  <c r="R146" i="12"/>
  <c r="AC61" i="44" l="1"/>
  <c r="AC194" i="44" s="1"/>
  <c r="AD61" i="44"/>
  <c r="AD194" i="44" s="1"/>
  <c r="AE61" i="44"/>
  <c r="AE194" i="44" s="1"/>
  <c r="AF61" i="44"/>
  <c r="AF194" i="44" s="1"/>
  <c r="AG61" i="44"/>
  <c r="AG194" i="44" s="1"/>
  <c r="AC51" i="44"/>
  <c r="AC138" i="44" s="1"/>
  <c r="AD51" i="44"/>
  <c r="AD138" i="44" s="1"/>
  <c r="AE51" i="44"/>
  <c r="AE138" i="44" s="1"/>
  <c r="AF51" i="44"/>
  <c r="AF138" i="44" s="1"/>
  <c r="AG51" i="44"/>
  <c r="AG138" i="44" s="1"/>
  <c r="AC41" i="44"/>
  <c r="AD41" i="44"/>
  <c r="AE41" i="44"/>
  <c r="AF41" i="44"/>
  <c r="AG41" i="44"/>
  <c r="AC28" i="44"/>
  <c r="AC100" i="44" s="1"/>
  <c r="AD28" i="44"/>
  <c r="AD100" i="44" s="1"/>
  <c r="AE28" i="44"/>
  <c r="AE100" i="44" s="1"/>
  <c r="AF28" i="44"/>
  <c r="AF100" i="44" s="1"/>
  <c r="AG28" i="44"/>
  <c r="AG100" i="44" s="1"/>
  <c r="AC20" i="44"/>
  <c r="AC91" i="44" s="1"/>
  <c r="AD20" i="44"/>
  <c r="AD91" i="44" s="1"/>
  <c r="AE20" i="44"/>
  <c r="AE91" i="44" s="1"/>
  <c r="AF20" i="44"/>
  <c r="AF91" i="44" s="1"/>
  <c r="AG20" i="44"/>
  <c r="AG91" i="44" s="1"/>
  <c r="C15" i="5"/>
  <c r="L55" i="57"/>
  <c r="M55" i="57"/>
  <c r="N55" i="57"/>
  <c r="X55" i="57"/>
  <c r="Y55" i="57"/>
  <c r="Z55" i="57"/>
  <c r="AA55" i="57"/>
  <c r="AB55" i="57"/>
  <c r="AC55" i="57"/>
  <c r="AD55" i="57"/>
  <c r="AE55" i="57"/>
  <c r="AF55" i="57"/>
  <c r="AG55" i="57"/>
  <c r="T52" i="36"/>
  <c r="U52" i="36"/>
  <c r="V52" i="36"/>
  <c r="W52" i="36"/>
  <c r="X52" i="36"/>
  <c r="Y52" i="36"/>
  <c r="Z52" i="36"/>
  <c r="AA52" i="36"/>
  <c r="AB52" i="36"/>
  <c r="AC52" i="36"/>
  <c r="AD52" i="36"/>
  <c r="AE52" i="36"/>
  <c r="AF52" i="36"/>
  <c r="AG52" i="36"/>
  <c r="Y19" i="41"/>
  <c r="Z19" i="41"/>
  <c r="AA19" i="41"/>
  <c r="AB19" i="41"/>
  <c r="AC19" i="41"/>
  <c r="AD19" i="41"/>
  <c r="AE19" i="41"/>
  <c r="AF19" i="41"/>
  <c r="AG19" i="41"/>
  <c r="AF132" i="44" l="1"/>
  <c r="AF208" i="44" s="1"/>
  <c r="AG132" i="44"/>
  <c r="AG208" i="44" s="1"/>
  <c r="AE132" i="44"/>
  <c r="AE208" i="44" s="1"/>
  <c r="AC132" i="44"/>
  <c r="AC208" i="44" s="1"/>
  <c r="AD132" i="44"/>
  <c r="AD208" i="44" s="1"/>
  <c r="C17" i="98"/>
  <c r="AC15" i="57"/>
  <c r="AD15" i="57"/>
  <c r="AE15" i="57"/>
  <c r="AF15" i="57"/>
  <c r="AG15" i="57"/>
  <c r="AD57" i="57"/>
  <c r="AD12" i="57" s="1"/>
  <c r="AC49" i="57"/>
  <c r="AC57" i="57" s="1"/>
  <c r="AC12" i="57" s="1"/>
  <c r="AD49" i="57"/>
  <c r="AE49" i="57"/>
  <c r="AE57" i="57" s="1"/>
  <c r="AE12" i="57" s="1"/>
  <c r="AF49" i="57"/>
  <c r="AF57" i="57" s="1"/>
  <c r="AF12" i="57" s="1"/>
  <c r="AG49" i="57"/>
  <c r="AG57" i="57" s="1"/>
  <c r="AG12" i="57" s="1"/>
  <c r="F73" i="57"/>
  <c r="G73" i="57"/>
  <c r="H73" i="57"/>
  <c r="I73" i="57"/>
  <c r="F76" i="57"/>
  <c r="G76" i="57"/>
  <c r="H76" i="57"/>
  <c r="I76" i="57"/>
  <c r="F79" i="57"/>
  <c r="AX79" i="57" s="1"/>
  <c r="G79" i="57"/>
  <c r="H79" i="57"/>
  <c r="I79" i="57"/>
  <c r="AY79" i="57" s="1"/>
  <c r="F82" i="57"/>
  <c r="G82" i="57"/>
  <c r="H82" i="57"/>
  <c r="I82" i="57"/>
  <c r="F85" i="57"/>
  <c r="AX85" i="57" s="1"/>
  <c r="G85" i="57"/>
  <c r="H85" i="57"/>
  <c r="I85" i="57"/>
  <c r="AY85" i="57" s="1"/>
  <c r="F88" i="57"/>
  <c r="G88" i="57"/>
  <c r="H88" i="57"/>
  <c r="I88" i="57"/>
  <c r="F91" i="57"/>
  <c r="G91" i="57"/>
  <c r="H91" i="57"/>
  <c r="I91" i="57"/>
  <c r="F94" i="57"/>
  <c r="G94" i="57"/>
  <c r="H94" i="57"/>
  <c r="I94" i="57"/>
  <c r="F97" i="57"/>
  <c r="AX97" i="57" s="1"/>
  <c r="G97" i="57"/>
  <c r="H97" i="57"/>
  <c r="I97" i="57"/>
  <c r="AY97" i="57" s="1"/>
  <c r="F100" i="57"/>
  <c r="G100" i="57"/>
  <c r="H100" i="57"/>
  <c r="I100" i="57"/>
  <c r="F103" i="57"/>
  <c r="AX103" i="57" s="1"/>
  <c r="G103" i="57"/>
  <c r="H103" i="57"/>
  <c r="I103" i="57"/>
  <c r="AY103" i="57" s="1"/>
  <c r="F106" i="57"/>
  <c r="G106" i="57"/>
  <c r="H106" i="57"/>
  <c r="I106" i="57"/>
  <c r="F109" i="57"/>
  <c r="G109" i="57"/>
  <c r="H109" i="57"/>
  <c r="I109" i="57"/>
  <c r="F112" i="57"/>
  <c r="G112" i="57"/>
  <c r="H112" i="57"/>
  <c r="I112" i="57"/>
  <c r="F115" i="57"/>
  <c r="AX115" i="57" s="1"/>
  <c r="G115" i="57"/>
  <c r="H115" i="57"/>
  <c r="I115" i="57"/>
  <c r="AY115" i="57" s="1"/>
  <c r="F118" i="57"/>
  <c r="G118" i="57"/>
  <c r="H118" i="57"/>
  <c r="I118" i="57"/>
  <c r="F121" i="57"/>
  <c r="AX121" i="57" s="1"/>
  <c r="G121" i="57"/>
  <c r="H121" i="57"/>
  <c r="I121" i="57"/>
  <c r="AY121" i="57" s="1"/>
  <c r="F124" i="57"/>
  <c r="G124" i="57"/>
  <c r="H124" i="57"/>
  <c r="I124" i="57"/>
  <c r="F127" i="57"/>
  <c r="G127" i="57"/>
  <c r="H127" i="57"/>
  <c r="I127" i="57"/>
  <c r="F130" i="57"/>
  <c r="G130" i="57"/>
  <c r="H130" i="57"/>
  <c r="I130" i="57"/>
  <c r="F133" i="57"/>
  <c r="AX133" i="57" s="1"/>
  <c r="G133" i="57"/>
  <c r="H133" i="57"/>
  <c r="I133" i="57"/>
  <c r="AY133" i="57" s="1"/>
  <c r="F136" i="57"/>
  <c r="G136" i="57"/>
  <c r="H136" i="57"/>
  <c r="I136" i="57"/>
  <c r="F139" i="57"/>
  <c r="AX139" i="57" s="1"/>
  <c r="G139" i="57"/>
  <c r="H139" i="57"/>
  <c r="I139" i="57"/>
  <c r="AY139" i="57" s="1"/>
  <c r="F142" i="57"/>
  <c r="G142" i="57"/>
  <c r="H142" i="57"/>
  <c r="I142" i="57"/>
  <c r="F145" i="57"/>
  <c r="G145" i="57"/>
  <c r="H145" i="57"/>
  <c r="I145" i="57"/>
  <c r="F148" i="57"/>
  <c r="G148" i="57"/>
  <c r="H148" i="57"/>
  <c r="I148" i="57"/>
  <c r="F151" i="57"/>
  <c r="AX151" i="57" s="1"/>
  <c r="G151" i="57"/>
  <c r="H151" i="57"/>
  <c r="I151" i="57"/>
  <c r="AY151" i="57" s="1"/>
  <c r="F154" i="57"/>
  <c r="G154" i="57"/>
  <c r="H154" i="57"/>
  <c r="I154" i="57"/>
  <c r="F157" i="57"/>
  <c r="AX157" i="57" s="1"/>
  <c r="G157" i="57"/>
  <c r="H157" i="57"/>
  <c r="I157" i="57"/>
  <c r="AY157" i="57" s="1"/>
  <c r="F160" i="57"/>
  <c r="G160" i="57"/>
  <c r="H160" i="57"/>
  <c r="I160" i="57"/>
  <c r="F163" i="57"/>
  <c r="G163" i="57"/>
  <c r="H163" i="57"/>
  <c r="I163" i="57"/>
  <c r="F166" i="57"/>
  <c r="G166" i="57"/>
  <c r="H166" i="57"/>
  <c r="I166" i="57"/>
  <c r="F169" i="57"/>
  <c r="AX169" i="57" s="1"/>
  <c r="G169" i="57"/>
  <c r="H169" i="57"/>
  <c r="I169" i="57"/>
  <c r="AY169" i="57" s="1"/>
  <c r="F172" i="57"/>
  <c r="G172" i="57"/>
  <c r="H172" i="57"/>
  <c r="I172" i="57"/>
  <c r="F175" i="57"/>
  <c r="AX175" i="57" s="1"/>
  <c r="G175" i="57"/>
  <c r="H175" i="57"/>
  <c r="I175" i="57"/>
  <c r="AY175" i="57" s="1"/>
  <c r="F178" i="57"/>
  <c r="G178" i="57"/>
  <c r="H178" i="57"/>
  <c r="I178" i="57"/>
  <c r="F181" i="57"/>
  <c r="G181" i="57"/>
  <c r="H181" i="57"/>
  <c r="I181" i="57"/>
  <c r="F184" i="57"/>
  <c r="G184" i="57"/>
  <c r="H184" i="57"/>
  <c r="I184" i="57"/>
  <c r="F187" i="57"/>
  <c r="AX187" i="57" s="1"/>
  <c r="G187" i="57"/>
  <c r="H187" i="57"/>
  <c r="I187" i="57"/>
  <c r="AY187" i="57" s="1"/>
  <c r="F190" i="57"/>
  <c r="G190" i="57"/>
  <c r="H190" i="57"/>
  <c r="I190" i="57"/>
  <c r="F193" i="57"/>
  <c r="AX193" i="57" s="1"/>
  <c r="G193" i="57"/>
  <c r="H193" i="57"/>
  <c r="I193" i="57"/>
  <c r="AY193" i="57" s="1"/>
  <c r="F196" i="57"/>
  <c r="G196" i="57"/>
  <c r="H196" i="57"/>
  <c r="I196" i="57"/>
  <c r="F199" i="57"/>
  <c r="G199" i="57"/>
  <c r="H199" i="57"/>
  <c r="I199" i="57"/>
  <c r="F202" i="57"/>
  <c r="G202" i="57"/>
  <c r="H202" i="57"/>
  <c r="I202" i="57"/>
  <c r="F205" i="57"/>
  <c r="AX205" i="57" s="1"/>
  <c r="G205" i="57"/>
  <c r="H205" i="57"/>
  <c r="I205" i="57"/>
  <c r="AY205" i="57" s="1"/>
  <c r="F208" i="57"/>
  <c r="G208" i="57"/>
  <c r="H208" i="57"/>
  <c r="I208" i="57"/>
  <c r="F211" i="57"/>
  <c r="AX211" i="57" s="1"/>
  <c r="G211" i="57"/>
  <c r="H211" i="57"/>
  <c r="I211" i="57"/>
  <c r="AY211" i="57" s="1"/>
  <c r="F214" i="57"/>
  <c r="G214" i="57"/>
  <c r="H214" i="57"/>
  <c r="I214" i="57"/>
  <c r="F217" i="57"/>
  <c r="G217" i="57"/>
  <c r="H217" i="57"/>
  <c r="I217" i="57"/>
  <c r="F220" i="57"/>
  <c r="G220" i="57"/>
  <c r="H220" i="57"/>
  <c r="I220" i="57"/>
  <c r="F223" i="57"/>
  <c r="AX223" i="57" s="1"/>
  <c r="G223" i="57"/>
  <c r="H223" i="57"/>
  <c r="I223" i="57"/>
  <c r="AY223" i="57" s="1"/>
  <c r="F226" i="57"/>
  <c r="G226" i="57"/>
  <c r="H226" i="57"/>
  <c r="I226" i="57"/>
  <c r="F229" i="57"/>
  <c r="AX229" i="57" s="1"/>
  <c r="G229" i="57"/>
  <c r="H229" i="57"/>
  <c r="I229" i="57"/>
  <c r="AY229" i="57" s="1"/>
  <c r="F232" i="57"/>
  <c r="G232" i="57"/>
  <c r="H232" i="57"/>
  <c r="I232" i="57"/>
  <c r="F235" i="57"/>
  <c r="G235" i="57"/>
  <c r="H235" i="57"/>
  <c r="I235" i="57"/>
  <c r="F238" i="57"/>
  <c r="G238" i="57"/>
  <c r="H238" i="57"/>
  <c r="I238" i="57"/>
  <c r="F241" i="57"/>
  <c r="AX241" i="57" s="1"/>
  <c r="G241" i="57"/>
  <c r="H241" i="57"/>
  <c r="I241" i="57"/>
  <c r="AY241" i="57" s="1"/>
  <c r="F244" i="57"/>
  <c r="G244" i="57"/>
  <c r="H244" i="57"/>
  <c r="I244" i="57"/>
  <c r="F247" i="57"/>
  <c r="AX247" i="57" s="1"/>
  <c r="G247" i="57"/>
  <c r="H247" i="57"/>
  <c r="I247" i="57"/>
  <c r="AY247" i="57" s="1"/>
  <c r="F250" i="57"/>
  <c r="G250" i="57"/>
  <c r="H250" i="57"/>
  <c r="I250" i="57"/>
  <c r="F253" i="57"/>
  <c r="G253" i="57"/>
  <c r="H253" i="57"/>
  <c r="I253" i="57"/>
  <c r="F256" i="57"/>
  <c r="G256" i="57"/>
  <c r="H256" i="57"/>
  <c r="I256" i="57"/>
  <c r="F259" i="57"/>
  <c r="AX259" i="57" s="1"/>
  <c r="G259" i="57"/>
  <c r="H259" i="57"/>
  <c r="I259" i="57"/>
  <c r="AY259" i="57" s="1"/>
  <c r="F262" i="57"/>
  <c r="G262" i="57"/>
  <c r="H262" i="57"/>
  <c r="I262" i="57"/>
  <c r="F265" i="57"/>
  <c r="AX265" i="57" s="1"/>
  <c r="G265" i="57"/>
  <c r="H265" i="57"/>
  <c r="I265" i="57"/>
  <c r="AY265" i="57" s="1"/>
  <c r="F268" i="57"/>
  <c r="G268" i="57"/>
  <c r="H268" i="57"/>
  <c r="I268" i="57"/>
  <c r="F271" i="57"/>
  <c r="G271" i="57"/>
  <c r="H271" i="57"/>
  <c r="I271" i="57"/>
  <c r="F274" i="57"/>
  <c r="G274" i="57"/>
  <c r="H274" i="57"/>
  <c r="I274" i="57"/>
  <c r="F277" i="57"/>
  <c r="AX277" i="57" s="1"/>
  <c r="G277" i="57"/>
  <c r="H277" i="57"/>
  <c r="I277" i="57"/>
  <c r="AY277" i="57" s="1"/>
  <c r="F280" i="57"/>
  <c r="G280" i="57"/>
  <c r="H280" i="57"/>
  <c r="I280" i="57"/>
  <c r="F283" i="57"/>
  <c r="AX283" i="57" s="1"/>
  <c r="G283" i="57"/>
  <c r="H283" i="57"/>
  <c r="I283" i="57"/>
  <c r="AY283" i="57" s="1"/>
  <c r="F286" i="57"/>
  <c r="G286" i="57"/>
  <c r="H286" i="57"/>
  <c r="I286" i="57"/>
  <c r="F289" i="57"/>
  <c r="G289" i="57"/>
  <c r="H289" i="57"/>
  <c r="I289" i="57"/>
  <c r="F292" i="57"/>
  <c r="G292" i="57"/>
  <c r="H292" i="57"/>
  <c r="I292" i="57"/>
  <c r="F295" i="57"/>
  <c r="AX295" i="57" s="1"/>
  <c r="G295" i="57"/>
  <c r="H295" i="57"/>
  <c r="I295" i="57"/>
  <c r="AY295" i="57" s="1"/>
  <c r="F298" i="57"/>
  <c r="G298" i="57"/>
  <c r="H298" i="57"/>
  <c r="I298" i="57"/>
  <c r="F301" i="57"/>
  <c r="AX301" i="57" s="1"/>
  <c r="G301" i="57"/>
  <c r="H301" i="57"/>
  <c r="I301" i="57"/>
  <c r="AY301" i="57" s="1"/>
  <c r="F304" i="57"/>
  <c r="G304" i="57"/>
  <c r="H304" i="57"/>
  <c r="I304" i="57"/>
  <c r="F307" i="57"/>
  <c r="G307" i="57"/>
  <c r="H307" i="57"/>
  <c r="I307" i="57"/>
  <c r="F310" i="57"/>
  <c r="G310" i="57"/>
  <c r="H310" i="57"/>
  <c r="I310" i="57"/>
  <c r="F313" i="57"/>
  <c r="AX313" i="57" s="1"/>
  <c r="G313" i="57"/>
  <c r="H313" i="57"/>
  <c r="I313" i="57"/>
  <c r="AY313" i="57" s="1"/>
  <c r="F316" i="57"/>
  <c r="G316" i="57"/>
  <c r="H316" i="57"/>
  <c r="I316" i="57"/>
  <c r="F319" i="57"/>
  <c r="G319" i="57"/>
  <c r="H319" i="57"/>
  <c r="I319" i="57"/>
  <c r="F322" i="57"/>
  <c r="G322" i="57"/>
  <c r="H322" i="57"/>
  <c r="I322" i="57"/>
  <c r="F325" i="57"/>
  <c r="G325" i="57"/>
  <c r="H325" i="57"/>
  <c r="I325" i="57"/>
  <c r="F328" i="57"/>
  <c r="G328" i="57"/>
  <c r="H328" i="57"/>
  <c r="I328" i="57"/>
  <c r="F331" i="57"/>
  <c r="G331" i="57"/>
  <c r="H331" i="57"/>
  <c r="I331" i="57"/>
  <c r="F334" i="57"/>
  <c r="G334" i="57"/>
  <c r="H334" i="57"/>
  <c r="I334" i="57"/>
  <c r="F337" i="57"/>
  <c r="G337" i="57"/>
  <c r="H337" i="57"/>
  <c r="I337" i="57"/>
  <c r="F340" i="57"/>
  <c r="G340" i="57"/>
  <c r="H340" i="57"/>
  <c r="I340" i="57"/>
  <c r="F343" i="57"/>
  <c r="G343" i="57"/>
  <c r="H343" i="57"/>
  <c r="I343" i="57"/>
  <c r="F346" i="57"/>
  <c r="G346" i="57"/>
  <c r="H346" i="57"/>
  <c r="I346" i="57"/>
  <c r="F349" i="57"/>
  <c r="G349" i="57"/>
  <c r="H349" i="57"/>
  <c r="I349" i="57"/>
  <c r="F352" i="57"/>
  <c r="G352" i="57"/>
  <c r="H352" i="57"/>
  <c r="I352" i="57"/>
  <c r="F355" i="57"/>
  <c r="G355" i="57"/>
  <c r="H355" i="57"/>
  <c r="I355" i="57"/>
  <c r="F358" i="57"/>
  <c r="G358" i="57"/>
  <c r="H358" i="57"/>
  <c r="I358" i="57"/>
  <c r="F361" i="57"/>
  <c r="G361" i="57"/>
  <c r="H361" i="57"/>
  <c r="I361" i="57"/>
  <c r="F364" i="57"/>
  <c r="G364" i="57"/>
  <c r="H364" i="57"/>
  <c r="I364" i="57"/>
  <c r="F367" i="57"/>
  <c r="G367" i="57"/>
  <c r="H367" i="57"/>
  <c r="I367" i="57"/>
  <c r="F370" i="57"/>
  <c r="G370" i="57"/>
  <c r="H370" i="57"/>
  <c r="I370" i="57"/>
  <c r="F373" i="57"/>
  <c r="G373" i="57"/>
  <c r="H373" i="57"/>
  <c r="I373" i="57"/>
  <c r="F376" i="57"/>
  <c r="G376" i="57"/>
  <c r="H376" i="57"/>
  <c r="I376" i="57"/>
  <c r="F379" i="57"/>
  <c r="G379" i="57"/>
  <c r="H379" i="57"/>
  <c r="I379" i="57"/>
  <c r="F382" i="57"/>
  <c r="G382" i="57"/>
  <c r="H382" i="57"/>
  <c r="I382" i="57"/>
  <c r="F385" i="57"/>
  <c r="G385" i="57"/>
  <c r="H385" i="57"/>
  <c r="I385" i="57"/>
  <c r="F388" i="57"/>
  <c r="G388" i="57"/>
  <c r="H388" i="57"/>
  <c r="I388" i="57"/>
  <c r="F391" i="57"/>
  <c r="G391" i="57"/>
  <c r="H391" i="57"/>
  <c r="I391" i="57"/>
  <c r="F394" i="57"/>
  <c r="G394" i="57"/>
  <c r="H394" i="57"/>
  <c r="I394" i="57"/>
  <c r="F397" i="57"/>
  <c r="G397" i="57"/>
  <c r="H397" i="57"/>
  <c r="I397" i="57"/>
  <c r="F400" i="57"/>
  <c r="G400" i="57"/>
  <c r="H400" i="57"/>
  <c r="I400" i="57"/>
  <c r="F403" i="57"/>
  <c r="G403" i="57"/>
  <c r="H403" i="57"/>
  <c r="I403" i="57"/>
  <c r="F406" i="57"/>
  <c r="G406" i="57"/>
  <c r="H406" i="57"/>
  <c r="I406" i="57"/>
  <c r="F409" i="57"/>
  <c r="G409" i="57"/>
  <c r="H409" i="57"/>
  <c r="I409" i="57"/>
  <c r="F412" i="57"/>
  <c r="G412" i="57"/>
  <c r="H412" i="57"/>
  <c r="I412" i="57"/>
  <c r="F415" i="57"/>
  <c r="G415" i="57"/>
  <c r="H415" i="57"/>
  <c r="I415" i="57"/>
  <c r="F418" i="57"/>
  <c r="G418" i="57"/>
  <c r="H418" i="57"/>
  <c r="I418" i="57"/>
  <c r="F421" i="57"/>
  <c r="G421" i="57"/>
  <c r="H421" i="57"/>
  <c r="I421" i="57"/>
  <c r="F424" i="57"/>
  <c r="G424" i="57"/>
  <c r="H424" i="57"/>
  <c r="I424" i="57"/>
  <c r="F427" i="57"/>
  <c r="G427" i="57"/>
  <c r="H427" i="57"/>
  <c r="I427" i="57"/>
  <c r="F430" i="57"/>
  <c r="G430" i="57"/>
  <c r="H430" i="57"/>
  <c r="I430" i="57"/>
  <c r="F433" i="57"/>
  <c r="G433" i="57"/>
  <c r="H433" i="57"/>
  <c r="I433" i="57"/>
  <c r="F436" i="57"/>
  <c r="G436" i="57"/>
  <c r="H436" i="57"/>
  <c r="I436" i="57"/>
  <c r="F439" i="57"/>
  <c r="G439" i="57"/>
  <c r="H439" i="57"/>
  <c r="I439" i="57"/>
  <c r="F442" i="57"/>
  <c r="G442" i="57"/>
  <c r="G74" i="57" s="1"/>
  <c r="G80" i="57" s="1"/>
  <c r="G86" i="57" s="1"/>
  <c r="G92" i="57" s="1"/>
  <c r="G98" i="57" s="1"/>
  <c r="G104" i="57" s="1"/>
  <c r="G110" i="57" s="1"/>
  <c r="G116" i="57" s="1"/>
  <c r="G122" i="57" s="1"/>
  <c r="G128" i="57" s="1"/>
  <c r="G134" i="57" s="1"/>
  <c r="G140" i="57" s="1"/>
  <c r="G146" i="57" s="1"/>
  <c r="G152" i="57" s="1"/>
  <c r="G158" i="57" s="1"/>
  <c r="G164" i="57" s="1"/>
  <c r="G170" i="57" s="1"/>
  <c r="G176" i="57" s="1"/>
  <c r="G182" i="57" s="1"/>
  <c r="G188" i="57" s="1"/>
  <c r="G194" i="57" s="1"/>
  <c r="G200" i="57" s="1"/>
  <c r="G206" i="57" s="1"/>
  <c r="G212" i="57" s="1"/>
  <c r="G218" i="57" s="1"/>
  <c r="G224" i="57" s="1"/>
  <c r="G230" i="57" s="1"/>
  <c r="G236" i="57" s="1"/>
  <c r="G242" i="57" s="1"/>
  <c r="G248" i="57" s="1"/>
  <c r="G254" i="57" s="1"/>
  <c r="G260" i="57" s="1"/>
  <c r="G266" i="57" s="1"/>
  <c r="G272" i="57" s="1"/>
  <c r="G278" i="57" s="1"/>
  <c r="G284" i="57" s="1"/>
  <c r="G290" i="57" s="1"/>
  <c r="G296" i="57" s="1"/>
  <c r="G302" i="57" s="1"/>
  <c r="G308" i="57" s="1"/>
  <c r="G314" i="57" s="1"/>
  <c r="G320" i="57" s="1"/>
  <c r="G326" i="57" s="1"/>
  <c r="G332" i="57" s="1"/>
  <c r="G338" i="57" s="1"/>
  <c r="G344" i="57" s="1"/>
  <c r="G350" i="57" s="1"/>
  <c r="G356" i="57" s="1"/>
  <c r="G362" i="57" s="1"/>
  <c r="G368" i="57" s="1"/>
  <c r="G374" i="57" s="1"/>
  <c r="G380" i="57" s="1"/>
  <c r="G386" i="57" s="1"/>
  <c r="G392" i="57" s="1"/>
  <c r="G398" i="57" s="1"/>
  <c r="G404" i="57" s="1"/>
  <c r="G410" i="57" s="1"/>
  <c r="G416" i="57" s="1"/>
  <c r="G422" i="57" s="1"/>
  <c r="G428" i="57" s="1"/>
  <c r="G434" i="57" s="1"/>
  <c r="G440" i="57" s="1"/>
  <c r="H442" i="57"/>
  <c r="H74" i="57" s="1"/>
  <c r="H80" i="57" s="1"/>
  <c r="H86" i="57" s="1"/>
  <c r="H92" i="57" s="1"/>
  <c r="H98" i="57" s="1"/>
  <c r="H104" i="57" s="1"/>
  <c r="H110" i="57" s="1"/>
  <c r="H116" i="57" s="1"/>
  <c r="H122" i="57" s="1"/>
  <c r="H128" i="57" s="1"/>
  <c r="H134" i="57" s="1"/>
  <c r="H140" i="57" s="1"/>
  <c r="H146" i="57" s="1"/>
  <c r="H152" i="57" s="1"/>
  <c r="H158" i="57" s="1"/>
  <c r="H164" i="57" s="1"/>
  <c r="H170" i="57" s="1"/>
  <c r="H176" i="57" s="1"/>
  <c r="H182" i="57" s="1"/>
  <c r="H188" i="57" s="1"/>
  <c r="H194" i="57" s="1"/>
  <c r="H200" i="57" s="1"/>
  <c r="H206" i="57" s="1"/>
  <c r="H212" i="57" s="1"/>
  <c r="H218" i="57" s="1"/>
  <c r="H224" i="57" s="1"/>
  <c r="H230" i="57" s="1"/>
  <c r="H236" i="57" s="1"/>
  <c r="H242" i="57" s="1"/>
  <c r="H248" i="57" s="1"/>
  <c r="H254" i="57" s="1"/>
  <c r="H260" i="57" s="1"/>
  <c r="H266" i="57" s="1"/>
  <c r="H272" i="57" s="1"/>
  <c r="H278" i="57" s="1"/>
  <c r="H284" i="57" s="1"/>
  <c r="H290" i="57" s="1"/>
  <c r="H296" i="57" s="1"/>
  <c r="H302" i="57" s="1"/>
  <c r="H308" i="57" s="1"/>
  <c r="H314" i="57" s="1"/>
  <c r="H320" i="57" s="1"/>
  <c r="H326" i="57" s="1"/>
  <c r="H332" i="57" s="1"/>
  <c r="H338" i="57" s="1"/>
  <c r="H344" i="57" s="1"/>
  <c r="H350" i="57" s="1"/>
  <c r="H356" i="57" s="1"/>
  <c r="H362" i="57" s="1"/>
  <c r="H368" i="57" s="1"/>
  <c r="H374" i="57" s="1"/>
  <c r="H380" i="57" s="1"/>
  <c r="H386" i="57" s="1"/>
  <c r="H392" i="57" s="1"/>
  <c r="H398" i="57" s="1"/>
  <c r="H404" i="57" s="1"/>
  <c r="H410" i="57" s="1"/>
  <c r="H416" i="57" s="1"/>
  <c r="H422" i="57" s="1"/>
  <c r="H428" i="57" s="1"/>
  <c r="H434" i="57" s="1"/>
  <c r="H440" i="57" s="1"/>
  <c r="I442" i="57"/>
  <c r="I71" i="57"/>
  <c r="I77" i="57" s="1"/>
  <c r="H71" i="57"/>
  <c r="H77" i="57" s="1"/>
  <c r="H83" i="57" s="1"/>
  <c r="H89" i="57" s="1"/>
  <c r="H95" i="57" s="1"/>
  <c r="H101" i="57" s="1"/>
  <c r="H107" i="57" s="1"/>
  <c r="H113" i="57" s="1"/>
  <c r="H119" i="57" s="1"/>
  <c r="H125" i="57" s="1"/>
  <c r="H131" i="57" s="1"/>
  <c r="H137" i="57" s="1"/>
  <c r="H143" i="57" s="1"/>
  <c r="H149" i="57" s="1"/>
  <c r="H155" i="57" s="1"/>
  <c r="H161" i="57" s="1"/>
  <c r="H167" i="57" s="1"/>
  <c r="H173" i="57" s="1"/>
  <c r="H179" i="57" s="1"/>
  <c r="H185" i="57" s="1"/>
  <c r="H191" i="57" s="1"/>
  <c r="H197" i="57" s="1"/>
  <c r="H203" i="57" s="1"/>
  <c r="H209" i="57" s="1"/>
  <c r="H215" i="57" s="1"/>
  <c r="H221" i="57" s="1"/>
  <c r="H227" i="57" s="1"/>
  <c r="H233" i="57" s="1"/>
  <c r="H239" i="57" s="1"/>
  <c r="H245" i="57" s="1"/>
  <c r="H251" i="57" s="1"/>
  <c r="H257" i="57" s="1"/>
  <c r="H263" i="57" s="1"/>
  <c r="H269" i="57" s="1"/>
  <c r="H275" i="57" s="1"/>
  <c r="H281" i="57" s="1"/>
  <c r="H287" i="57" s="1"/>
  <c r="H293" i="57" s="1"/>
  <c r="H299" i="57" s="1"/>
  <c r="H305" i="57" s="1"/>
  <c r="H311" i="57" s="1"/>
  <c r="H317" i="57" s="1"/>
  <c r="H323" i="57" s="1"/>
  <c r="H329" i="57" s="1"/>
  <c r="H335" i="57" s="1"/>
  <c r="H341" i="57" s="1"/>
  <c r="H347" i="57" s="1"/>
  <c r="H353" i="57" s="1"/>
  <c r="H359" i="57" s="1"/>
  <c r="H365" i="57" s="1"/>
  <c r="H371" i="57" s="1"/>
  <c r="H377" i="57" s="1"/>
  <c r="H383" i="57" s="1"/>
  <c r="H389" i="57" s="1"/>
  <c r="H395" i="57" s="1"/>
  <c r="H401" i="57" s="1"/>
  <c r="H407" i="57" s="1"/>
  <c r="H413" i="57" s="1"/>
  <c r="H419" i="57" s="1"/>
  <c r="H425" i="57" s="1"/>
  <c r="H431" i="57" s="1"/>
  <c r="H437" i="57" s="1"/>
  <c r="H443" i="57" s="1"/>
  <c r="G71" i="57"/>
  <c r="G77" i="57" s="1"/>
  <c r="G83" i="57" s="1"/>
  <c r="G89" i="57" s="1"/>
  <c r="G95" i="57" s="1"/>
  <c r="G101" i="57" s="1"/>
  <c r="G107" i="57" s="1"/>
  <c r="G113" i="57" s="1"/>
  <c r="G119" i="57" s="1"/>
  <c r="G125" i="57" s="1"/>
  <c r="G131" i="57" s="1"/>
  <c r="G137" i="57" s="1"/>
  <c r="G143" i="57" s="1"/>
  <c r="G149" i="57" s="1"/>
  <c r="G155" i="57" s="1"/>
  <c r="G161" i="57" s="1"/>
  <c r="G167" i="57" s="1"/>
  <c r="G173" i="57" s="1"/>
  <c r="G179" i="57" s="1"/>
  <c r="G185" i="57" s="1"/>
  <c r="G191" i="57" s="1"/>
  <c r="G197" i="57" s="1"/>
  <c r="G203" i="57" s="1"/>
  <c r="G209" i="57" s="1"/>
  <c r="G215" i="57" s="1"/>
  <c r="G221" i="57" s="1"/>
  <c r="G227" i="57" s="1"/>
  <c r="G233" i="57" s="1"/>
  <c r="G239" i="57" s="1"/>
  <c r="G245" i="57" s="1"/>
  <c r="G251" i="57" s="1"/>
  <c r="G257" i="57" s="1"/>
  <c r="G263" i="57" s="1"/>
  <c r="G269" i="57" s="1"/>
  <c r="G275" i="57" s="1"/>
  <c r="G281" i="57" s="1"/>
  <c r="G287" i="57" s="1"/>
  <c r="G293" i="57" s="1"/>
  <c r="G299" i="57" s="1"/>
  <c r="G305" i="57" s="1"/>
  <c r="G311" i="57" s="1"/>
  <c r="G317" i="57" s="1"/>
  <c r="G323" i="57" s="1"/>
  <c r="G329" i="57" s="1"/>
  <c r="G335" i="57" s="1"/>
  <c r="G341" i="57" s="1"/>
  <c r="G347" i="57" s="1"/>
  <c r="G353" i="57" s="1"/>
  <c r="G359" i="57" s="1"/>
  <c r="G365" i="57" s="1"/>
  <c r="G371" i="57" s="1"/>
  <c r="G377" i="57" s="1"/>
  <c r="G383" i="57" s="1"/>
  <c r="G389" i="57" s="1"/>
  <c r="G395" i="57" s="1"/>
  <c r="G401" i="57" s="1"/>
  <c r="G407" i="57" s="1"/>
  <c r="G413" i="57" s="1"/>
  <c r="G419" i="57" s="1"/>
  <c r="G425" i="57" s="1"/>
  <c r="G431" i="57" s="1"/>
  <c r="G437" i="57" s="1"/>
  <c r="G443" i="57" s="1"/>
  <c r="F71" i="57"/>
  <c r="F77" i="57" s="1"/>
  <c r="I70" i="57"/>
  <c r="AY70" i="57" s="1"/>
  <c r="H70" i="57"/>
  <c r="G70" i="57"/>
  <c r="F70" i="57"/>
  <c r="AX70" i="57" s="1"/>
  <c r="AG71" i="57"/>
  <c r="AG74" i="57" s="1"/>
  <c r="AF71" i="57"/>
  <c r="AF74" i="57" s="1"/>
  <c r="AE71" i="57"/>
  <c r="AE74" i="57" s="1"/>
  <c r="AD71" i="57"/>
  <c r="AC71" i="57"/>
  <c r="AC74" i="57" s="1"/>
  <c r="AB71" i="57"/>
  <c r="AB74" i="57" s="1"/>
  <c r="AA71" i="57"/>
  <c r="AA74" i="57" s="1"/>
  <c r="Z71" i="57"/>
  <c r="Z74" i="57" s="1"/>
  <c r="Y71" i="57"/>
  <c r="Y74" i="57" s="1"/>
  <c r="X71" i="57"/>
  <c r="BH319" i="57" s="1"/>
  <c r="W71" i="57"/>
  <c r="BG319" i="57" s="1"/>
  <c r="V71" i="57"/>
  <c r="U71" i="57"/>
  <c r="T71" i="57"/>
  <c r="S71" i="57"/>
  <c r="BC319" i="57" s="1"/>
  <c r="R71" i="57"/>
  <c r="R74" i="57" s="1"/>
  <c r="Q71" i="57"/>
  <c r="Q74" i="57" s="1"/>
  <c r="P71" i="57"/>
  <c r="AZ319" i="57" s="1"/>
  <c r="O71" i="57"/>
  <c r="N71" i="57"/>
  <c r="N74" i="57" s="1"/>
  <c r="M71" i="57"/>
  <c r="M74" i="57" s="1"/>
  <c r="L71" i="57"/>
  <c r="L74" i="57" s="1"/>
  <c r="K71" i="57"/>
  <c r="K74" i="57" s="1"/>
  <c r="AG68" i="57"/>
  <c r="AF68" i="57"/>
  <c r="AE68" i="57"/>
  <c r="AD68" i="57"/>
  <c r="AC68" i="57"/>
  <c r="AC15" i="36"/>
  <c r="AD15" i="36"/>
  <c r="AE15" i="36"/>
  <c r="AF15" i="36"/>
  <c r="AG15" i="36"/>
  <c r="AC46" i="36"/>
  <c r="AC54" i="36" s="1"/>
  <c r="AC12" i="36" s="1"/>
  <c r="AD46" i="36"/>
  <c r="AD54" i="36" s="1"/>
  <c r="AD12" i="36" s="1"/>
  <c r="AE46" i="36"/>
  <c r="AE54" i="36" s="1"/>
  <c r="AE12" i="36" s="1"/>
  <c r="AF46" i="36"/>
  <c r="AF54" i="36" s="1"/>
  <c r="AF12" i="36" s="1"/>
  <c r="AG46" i="36"/>
  <c r="AG54" i="36" s="1"/>
  <c r="AG12" i="36" s="1"/>
  <c r="X422" i="36"/>
  <c r="Y422" i="36"/>
  <c r="Z422" i="36"/>
  <c r="AA422" i="36"/>
  <c r="AB422" i="36"/>
  <c r="AC422" i="36"/>
  <c r="AD422" i="36"/>
  <c r="AE422" i="36"/>
  <c r="AF422" i="36"/>
  <c r="AG422" i="36"/>
  <c r="X425" i="36"/>
  <c r="Y425" i="36"/>
  <c r="AK425" i="36" s="1"/>
  <c r="Z425" i="36"/>
  <c r="AL425" i="36" s="1"/>
  <c r="AA425" i="36"/>
  <c r="AM425" i="36" s="1"/>
  <c r="AB425" i="36"/>
  <c r="AN425" i="36" s="1"/>
  <c r="AC425" i="36"/>
  <c r="AO425" i="36" s="1"/>
  <c r="AD425" i="36"/>
  <c r="AP425" i="36" s="1"/>
  <c r="AE425" i="36"/>
  <c r="AQ425" i="36" s="1"/>
  <c r="AF425" i="36"/>
  <c r="AR425" i="36" s="1"/>
  <c r="AG425" i="36"/>
  <c r="AS425" i="36" s="1"/>
  <c r="X428" i="36"/>
  <c r="Y428" i="36"/>
  <c r="AK428" i="36" s="1"/>
  <c r="Z428" i="36"/>
  <c r="AL428" i="36" s="1"/>
  <c r="AA428" i="36"/>
  <c r="AM428" i="36" s="1"/>
  <c r="AB428" i="36"/>
  <c r="AN428" i="36" s="1"/>
  <c r="AC428" i="36"/>
  <c r="AO428" i="36" s="1"/>
  <c r="AD428" i="36"/>
  <c r="AP428" i="36" s="1"/>
  <c r="AE428" i="36"/>
  <c r="AQ428" i="36" s="1"/>
  <c r="AF428" i="36"/>
  <c r="AR428" i="36" s="1"/>
  <c r="AG428" i="36"/>
  <c r="AS428" i="36" s="1"/>
  <c r="X431" i="36"/>
  <c r="Y431" i="36"/>
  <c r="AK431" i="36" s="1"/>
  <c r="Z431" i="36"/>
  <c r="AL431" i="36" s="1"/>
  <c r="AA431" i="36"/>
  <c r="AM431" i="36" s="1"/>
  <c r="AB431" i="36"/>
  <c r="AN431" i="36" s="1"/>
  <c r="AC431" i="36"/>
  <c r="AO431" i="36" s="1"/>
  <c r="AD431" i="36"/>
  <c r="AP431" i="36" s="1"/>
  <c r="AE431" i="36"/>
  <c r="AQ431" i="36" s="1"/>
  <c r="AF431" i="36"/>
  <c r="AR431" i="36" s="1"/>
  <c r="AG431" i="36"/>
  <c r="AS431" i="36" s="1"/>
  <c r="X434" i="36"/>
  <c r="Y434" i="36"/>
  <c r="AK434" i="36" s="1"/>
  <c r="Z434" i="36"/>
  <c r="AL434" i="36" s="1"/>
  <c r="AA434" i="36"/>
  <c r="AM434" i="36" s="1"/>
  <c r="AB434" i="36"/>
  <c r="AN434" i="36" s="1"/>
  <c r="AC434" i="36"/>
  <c r="AO434" i="36" s="1"/>
  <c r="AD434" i="36"/>
  <c r="AP434" i="36" s="1"/>
  <c r="AE434" i="36"/>
  <c r="AQ434" i="36" s="1"/>
  <c r="AF434" i="36"/>
  <c r="AR434" i="36" s="1"/>
  <c r="AG434" i="36"/>
  <c r="AS434" i="36" s="1"/>
  <c r="X437" i="36"/>
  <c r="Y437" i="36"/>
  <c r="AK437" i="36" s="1"/>
  <c r="Z437" i="36"/>
  <c r="AL437" i="36" s="1"/>
  <c r="AA437" i="36"/>
  <c r="AM437" i="36" s="1"/>
  <c r="AB437" i="36"/>
  <c r="AN437" i="36" s="1"/>
  <c r="AC437" i="36"/>
  <c r="AO437" i="36" s="1"/>
  <c r="AD437" i="36"/>
  <c r="AP437" i="36" s="1"/>
  <c r="AE437" i="36"/>
  <c r="AQ437" i="36" s="1"/>
  <c r="AF437" i="36"/>
  <c r="AR437" i="36" s="1"/>
  <c r="AG437" i="36"/>
  <c r="AS437" i="36" s="1"/>
  <c r="X440" i="36"/>
  <c r="Y440" i="36"/>
  <c r="AK440" i="36" s="1"/>
  <c r="Z440" i="36"/>
  <c r="AL440" i="36" s="1"/>
  <c r="AA440" i="36"/>
  <c r="AM440" i="36" s="1"/>
  <c r="AB440" i="36"/>
  <c r="AN440" i="36" s="1"/>
  <c r="AC440" i="36"/>
  <c r="AO440" i="36" s="1"/>
  <c r="AD440" i="36"/>
  <c r="AP440" i="36" s="1"/>
  <c r="AE440" i="36"/>
  <c r="AQ440" i="36" s="1"/>
  <c r="AF440" i="36"/>
  <c r="AR440" i="36" s="1"/>
  <c r="AG440" i="36"/>
  <c r="AS440" i="36" s="1"/>
  <c r="K422" i="36"/>
  <c r="L422" i="36"/>
  <c r="M422" i="36"/>
  <c r="N422" i="36"/>
  <c r="O422" i="36"/>
  <c r="P422" i="36"/>
  <c r="Q422" i="36"/>
  <c r="R422" i="36"/>
  <c r="S422" i="36"/>
  <c r="T422" i="36"/>
  <c r="U422" i="36"/>
  <c r="V422" i="36"/>
  <c r="W422" i="36"/>
  <c r="K425" i="36"/>
  <c r="L425" i="36"/>
  <c r="M425" i="36"/>
  <c r="N425" i="36"/>
  <c r="O425" i="36"/>
  <c r="P425" i="36"/>
  <c r="Q425" i="36"/>
  <c r="R425" i="36"/>
  <c r="S425" i="36"/>
  <c r="T425" i="36"/>
  <c r="U425" i="36"/>
  <c r="V425" i="36"/>
  <c r="W425" i="36"/>
  <c r="BG425" i="36" s="1"/>
  <c r="K428" i="36"/>
  <c r="L428" i="36"/>
  <c r="M428" i="36"/>
  <c r="N428" i="36"/>
  <c r="O428" i="36"/>
  <c r="P428" i="36"/>
  <c r="Q428" i="36"/>
  <c r="R428" i="36"/>
  <c r="S428" i="36"/>
  <c r="T428" i="36"/>
  <c r="U428" i="36"/>
  <c r="V428" i="36"/>
  <c r="W428" i="36"/>
  <c r="K431" i="36"/>
  <c r="L431" i="36"/>
  <c r="M431" i="36"/>
  <c r="N431" i="36"/>
  <c r="O431" i="36"/>
  <c r="P431" i="36"/>
  <c r="Q431" i="36"/>
  <c r="R431" i="36"/>
  <c r="S431" i="36"/>
  <c r="T431" i="36"/>
  <c r="U431" i="36"/>
  <c r="BE431" i="36" s="1"/>
  <c r="V431" i="36"/>
  <c r="W431" i="36"/>
  <c r="K434" i="36"/>
  <c r="L434" i="36"/>
  <c r="M434" i="36"/>
  <c r="N434" i="36"/>
  <c r="O434" i="36"/>
  <c r="P434" i="36"/>
  <c r="Q434" i="36"/>
  <c r="R434" i="36"/>
  <c r="S434" i="36"/>
  <c r="T434" i="36"/>
  <c r="U434" i="36"/>
  <c r="V434" i="36"/>
  <c r="W434" i="36"/>
  <c r="K437" i="36"/>
  <c r="L437" i="36"/>
  <c r="M437" i="36"/>
  <c r="N437" i="36"/>
  <c r="O437" i="36"/>
  <c r="P437" i="36"/>
  <c r="Q437" i="36"/>
  <c r="R437" i="36"/>
  <c r="S437" i="36"/>
  <c r="BC437" i="36" s="1"/>
  <c r="T437" i="36"/>
  <c r="U437" i="36"/>
  <c r="V437" i="36"/>
  <c r="W437" i="36"/>
  <c r="L440" i="36"/>
  <c r="M440" i="36"/>
  <c r="N440" i="36"/>
  <c r="O440" i="36"/>
  <c r="P440" i="36"/>
  <c r="Q440" i="36"/>
  <c r="R440" i="36"/>
  <c r="S440" i="36"/>
  <c r="T440" i="36"/>
  <c r="U440" i="36"/>
  <c r="V440" i="36"/>
  <c r="W440" i="36"/>
  <c r="BG440" i="36" s="1"/>
  <c r="F422" i="36"/>
  <c r="G422" i="36"/>
  <c r="H422" i="36"/>
  <c r="I422" i="36"/>
  <c r="F424" i="36"/>
  <c r="AX424" i="36" s="1"/>
  <c r="G424" i="36"/>
  <c r="H424" i="36"/>
  <c r="I424" i="36"/>
  <c r="AY424" i="36" s="1"/>
  <c r="F425" i="36"/>
  <c r="AX425" i="36" s="1"/>
  <c r="G425" i="36"/>
  <c r="H425" i="36"/>
  <c r="I425" i="36"/>
  <c r="AY425" i="36" s="1"/>
  <c r="F427" i="36"/>
  <c r="AX427" i="36" s="1"/>
  <c r="G427" i="36"/>
  <c r="H427" i="36"/>
  <c r="I427" i="36"/>
  <c r="AY427" i="36" s="1"/>
  <c r="F428" i="36"/>
  <c r="AX428" i="36" s="1"/>
  <c r="G428" i="36"/>
  <c r="H428" i="36"/>
  <c r="I428" i="36"/>
  <c r="AY428" i="36" s="1"/>
  <c r="F430" i="36"/>
  <c r="AX430" i="36" s="1"/>
  <c r="G430" i="36"/>
  <c r="H430" i="36"/>
  <c r="I430" i="36"/>
  <c r="AY430" i="36" s="1"/>
  <c r="F431" i="36"/>
  <c r="AX431" i="36" s="1"/>
  <c r="G431" i="36"/>
  <c r="H431" i="36"/>
  <c r="I431" i="36"/>
  <c r="AY431" i="36" s="1"/>
  <c r="F433" i="36"/>
  <c r="AX433" i="36" s="1"/>
  <c r="G433" i="36"/>
  <c r="H433" i="36"/>
  <c r="I433" i="36"/>
  <c r="AY433" i="36" s="1"/>
  <c r="F434" i="36"/>
  <c r="AX434" i="36" s="1"/>
  <c r="G434" i="36"/>
  <c r="H434" i="36"/>
  <c r="I434" i="36"/>
  <c r="AY434" i="36" s="1"/>
  <c r="F436" i="36"/>
  <c r="AX436" i="36" s="1"/>
  <c r="G436" i="36"/>
  <c r="H436" i="36"/>
  <c r="I436" i="36"/>
  <c r="AY436" i="36" s="1"/>
  <c r="F437" i="36"/>
  <c r="AX437" i="36" s="1"/>
  <c r="G437" i="36"/>
  <c r="H437" i="36"/>
  <c r="I437" i="36"/>
  <c r="AY437" i="36" s="1"/>
  <c r="F439" i="36"/>
  <c r="AX439" i="36" s="1"/>
  <c r="G439" i="36"/>
  <c r="H439" i="36"/>
  <c r="I439" i="36"/>
  <c r="AY439" i="36" s="1"/>
  <c r="F440" i="36"/>
  <c r="AX440" i="36" s="1"/>
  <c r="G440" i="36"/>
  <c r="H440" i="36"/>
  <c r="I440" i="36"/>
  <c r="AY440" i="36" s="1"/>
  <c r="AG65" i="36"/>
  <c r="AF65" i="36"/>
  <c r="AE65" i="36"/>
  <c r="AD65" i="36"/>
  <c r="AC65" i="36"/>
  <c r="T142" i="12"/>
  <c r="T56" i="12" s="1"/>
  <c r="U142" i="12"/>
  <c r="U56" i="12" s="1"/>
  <c r="V142" i="12"/>
  <c r="V56" i="12" s="1"/>
  <c r="W142" i="12"/>
  <c r="W56" i="12" s="1"/>
  <c r="X142" i="12"/>
  <c r="X56" i="12" s="1"/>
  <c r="Y142" i="12"/>
  <c r="Y56" i="12" s="1"/>
  <c r="Z142" i="12"/>
  <c r="Z56" i="12" s="1"/>
  <c r="AA142" i="12"/>
  <c r="AA56" i="12" s="1"/>
  <c r="AB142" i="12"/>
  <c r="AB56" i="12" s="1"/>
  <c r="AC142" i="12"/>
  <c r="AC56" i="12" s="1"/>
  <c r="AD142" i="12"/>
  <c r="AD56" i="12" s="1"/>
  <c r="AE142" i="12"/>
  <c r="AE56" i="12" s="1"/>
  <c r="AF142" i="12"/>
  <c r="AF56" i="12" s="1"/>
  <c r="AG142" i="12"/>
  <c r="AG56" i="12" s="1"/>
  <c r="T59" i="98" s="1"/>
  <c r="T66" i="98" s="1"/>
  <c r="T143" i="12"/>
  <c r="T67" i="12" s="1"/>
  <c r="U143" i="12"/>
  <c r="U67" i="12" s="1"/>
  <c r="V143" i="12"/>
  <c r="V67" i="12" s="1"/>
  <c r="W143" i="12"/>
  <c r="W67" i="12" s="1"/>
  <c r="X143" i="12"/>
  <c r="X67" i="12" s="1"/>
  <c r="Y143" i="12"/>
  <c r="Y67" i="12" s="1"/>
  <c r="Z143" i="12"/>
  <c r="Z67" i="12" s="1"/>
  <c r="AA143" i="12"/>
  <c r="AA67" i="12" s="1"/>
  <c r="AB143" i="12"/>
  <c r="AB67" i="12" s="1"/>
  <c r="AC143" i="12"/>
  <c r="AC67" i="12" s="1"/>
  <c r="AD143" i="12"/>
  <c r="AD67" i="12" s="1"/>
  <c r="AE143" i="12"/>
  <c r="AE67" i="12" s="1"/>
  <c r="AF143" i="12"/>
  <c r="AF67" i="12" s="1"/>
  <c r="AG143" i="12"/>
  <c r="AG67" i="12" s="1"/>
  <c r="T70" i="98" s="1"/>
  <c r="T77" i="98" s="1"/>
  <c r="T144" i="12"/>
  <c r="T78" i="12" s="1"/>
  <c r="U144" i="12"/>
  <c r="U78" i="12" s="1"/>
  <c r="V144" i="12"/>
  <c r="V78" i="12" s="1"/>
  <c r="W144" i="12"/>
  <c r="W78" i="12" s="1"/>
  <c r="X144" i="12"/>
  <c r="X78" i="12" s="1"/>
  <c r="Y144" i="12"/>
  <c r="Y78" i="12" s="1"/>
  <c r="Z144" i="12"/>
  <c r="Z78" i="12" s="1"/>
  <c r="AA144" i="12"/>
  <c r="AA78" i="12" s="1"/>
  <c r="AB144" i="12"/>
  <c r="AB78" i="12" s="1"/>
  <c r="AC144" i="12"/>
  <c r="AC78" i="12" s="1"/>
  <c r="AD144" i="12"/>
  <c r="AD78" i="12" s="1"/>
  <c r="AE144" i="12"/>
  <c r="AE78" i="12" s="1"/>
  <c r="AF144" i="12"/>
  <c r="AF78" i="12" s="1"/>
  <c r="AG144" i="12"/>
  <c r="AG78" i="12" s="1"/>
  <c r="T145" i="12"/>
  <c r="T89" i="12" s="1"/>
  <c r="U145" i="12"/>
  <c r="U89" i="12" s="1"/>
  <c r="V145" i="12"/>
  <c r="V89" i="12" s="1"/>
  <c r="W145" i="12"/>
  <c r="W89" i="12" s="1"/>
  <c r="X145" i="12"/>
  <c r="Y145" i="12"/>
  <c r="Y89" i="12" s="1"/>
  <c r="Z145" i="12"/>
  <c r="Z89" i="12" s="1"/>
  <c r="AA145" i="12"/>
  <c r="AA89" i="12" s="1"/>
  <c r="AB145" i="12"/>
  <c r="AB89" i="12" s="1"/>
  <c r="AC145" i="12"/>
  <c r="AD145" i="12"/>
  <c r="AD89" i="12" s="1"/>
  <c r="AE145" i="12"/>
  <c r="AE89" i="12" s="1"/>
  <c r="AF145" i="12"/>
  <c r="AF89" i="12" s="1"/>
  <c r="AG145" i="12"/>
  <c r="AG89" i="12" s="1"/>
  <c r="S145" i="12"/>
  <c r="S144" i="12"/>
  <c r="S78" i="12" s="1"/>
  <c r="S143" i="12"/>
  <c r="S67" i="12" s="1"/>
  <c r="F70" i="98" s="1"/>
  <c r="S142" i="12"/>
  <c r="S56" i="12" s="1"/>
  <c r="I47" i="56"/>
  <c r="I48" i="56"/>
  <c r="I49" i="56"/>
  <c r="I50" i="56"/>
  <c r="I51" i="56"/>
  <c r="I52" i="56"/>
  <c r="I53" i="56"/>
  <c r="I60" i="56"/>
  <c r="I61" i="56"/>
  <c r="I62" i="56"/>
  <c r="I63" i="56"/>
  <c r="I64" i="56"/>
  <c r="I65" i="56"/>
  <c r="I66" i="56"/>
  <c r="I67" i="56"/>
  <c r="I68" i="56"/>
  <c r="I69" i="56"/>
  <c r="I70" i="56"/>
  <c r="I71" i="56"/>
  <c r="I72" i="56"/>
  <c r="I73" i="56"/>
  <c r="I74" i="56"/>
  <c r="I75" i="56"/>
  <c r="I76" i="56"/>
  <c r="I77" i="56"/>
  <c r="I78" i="56"/>
  <c r="I79" i="56"/>
  <c r="I80" i="56"/>
  <c r="I81" i="56"/>
  <c r="I82" i="56"/>
  <c r="I83" i="56"/>
  <c r="I84" i="56"/>
  <c r="I85" i="56"/>
  <c r="I86" i="56"/>
  <c r="I87" i="56"/>
  <c r="I88" i="56"/>
  <c r="I89" i="56"/>
  <c r="I90" i="56"/>
  <c r="I91" i="56"/>
  <c r="I92" i="56"/>
  <c r="I93" i="56"/>
  <c r="I94" i="56"/>
  <c r="I95" i="56"/>
  <c r="I96" i="56"/>
  <c r="I97" i="56"/>
  <c r="I98" i="56"/>
  <c r="I99" i="56"/>
  <c r="I100" i="56"/>
  <c r="I101" i="56"/>
  <c r="I102" i="56"/>
  <c r="I103" i="56"/>
  <c r="I104" i="56"/>
  <c r="I105" i="56"/>
  <c r="I106" i="56"/>
  <c r="I107" i="56"/>
  <c r="I108" i="56"/>
  <c r="I109" i="56"/>
  <c r="I110" i="56"/>
  <c r="I111" i="56"/>
  <c r="I112" i="56"/>
  <c r="I113" i="56"/>
  <c r="I114" i="56"/>
  <c r="I115" i="56"/>
  <c r="I116" i="56"/>
  <c r="I117" i="56"/>
  <c r="I118" i="56"/>
  <c r="I119" i="56"/>
  <c r="I120" i="56"/>
  <c r="I121" i="56"/>
  <c r="I122" i="56"/>
  <c r="I123" i="56"/>
  <c r="I124" i="56"/>
  <c r="I125" i="56"/>
  <c r="I126" i="56"/>
  <c r="I127" i="56"/>
  <c r="I128" i="56"/>
  <c r="I129" i="56"/>
  <c r="I130" i="56"/>
  <c r="I131" i="56"/>
  <c r="I132" i="56"/>
  <c r="I133" i="56"/>
  <c r="I134" i="56"/>
  <c r="I135" i="56"/>
  <c r="I136" i="56"/>
  <c r="I137" i="56"/>
  <c r="I138" i="56"/>
  <c r="I139" i="56"/>
  <c r="I140" i="56"/>
  <c r="I141" i="56"/>
  <c r="I142" i="56"/>
  <c r="I143" i="56"/>
  <c r="I144" i="56"/>
  <c r="I145" i="56"/>
  <c r="I146" i="56"/>
  <c r="I147" i="56"/>
  <c r="I148" i="56"/>
  <c r="I149" i="56"/>
  <c r="D47" i="56"/>
  <c r="D48" i="56"/>
  <c r="D49" i="56"/>
  <c r="D50" i="56"/>
  <c r="D51" i="56"/>
  <c r="D52" i="56"/>
  <c r="D53" i="56"/>
  <c r="D60" i="56"/>
  <c r="D61" i="56"/>
  <c r="D62" i="56"/>
  <c r="D63" i="56"/>
  <c r="D64" i="56"/>
  <c r="D65" i="56"/>
  <c r="D66" i="56"/>
  <c r="D67" i="56"/>
  <c r="D68" i="56"/>
  <c r="D69" i="56"/>
  <c r="D70" i="56"/>
  <c r="D71" i="56"/>
  <c r="D72" i="56"/>
  <c r="D73" i="56"/>
  <c r="D74" i="56"/>
  <c r="D75" i="56"/>
  <c r="D76" i="56"/>
  <c r="D77" i="56"/>
  <c r="D78" i="56"/>
  <c r="D79" i="56"/>
  <c r="D80" i="56"/>
  <c r="D81" i="56"/>
  <c r="D82" i="56"/>
  <c r="D83" i="56"/>
  <c r="D84" i="56"/>
  <c r="D85" i="56"/>
  <c r="D86" i="56"/>
  <c r="D87" i="56"/>
  <c r="D88" i="56"/>
  <c r="D89" i="56"/>
  <c r="D90" i="56"/>
  <c r="D91" i="56"/>
  <c r="D92" i="56"/>
  <c r="D93" i="56"/>
  <c r="D94" i="56"/>
  <c r="D95" i="56"/>
  <c r="D96" i="56"/>
  <c r="D97" i="56"/>
  <c r="D98" i="56"/>
  <c r="D99" i="56"/>
  <c r="D100" i="56"/>
  <c r="D101" i="56"/>
  <c r="D102" i="56"/>
  <c r="D103" i="56"/>
  <c r="D104" i="56"/>
  <c r="D105" i="56"/>
  <c r="D106" i="56"/>
  <c r="D107" i="56"/>
  <c r="D108" i="56"/>
  <c r="D109" i="56"/>
  <c r="D110" i="56"/>
  <c r="D111" i="56"/>
  <c r="D112" i="56"/>
  <c r="D113" i="56"/>
  <c r="D114" i="56"/>
  <c r="D115" i="56"/>
  <c r="D116" i="56"/>
  <c r="D117" i="56"/>
  <c r="D118" i="56"/>
  <c r="D119" i="56"/>
  <c r="D120" i="56"/>
  <c r="D121" i="56"/>
  <c r="D122" i="56"/>
  <c r="D123" i="56"/>
  <c r="D124" i="56"/>
  <c r="D125" i="56"/>
  <c r="D126" i="56"/>
  <c r="D127" i="56"/>
  <c r="D128" i="56"/>
  <c r="D129" i="56"/>
  <c r="D130" i="56"/>
  <c r="D131" i="56"/>
  <c r="D132" i="56"/>
  <c r="D133" i="56"/>
  <c r="D134" i="56"/>
  <c r="D135" i="56"/>
  <c r="D136" i="56"/>
  <c r="D137" i="56"/>
  <c r="D138" i="56"/>
  <c r="D139" i="56"/>
  <c r="D140" i="56"/>
  <c r="D141" i="56"/>
  <c r="D142" i="56"/>
  <c r="D143" i="56"/>
  <c r="D144" i="56"/>
  <c r="D145" i="56"/>
  <c r="D146" i="56"/>
  <c r="D147" i="56"/>
  <c r="D148" i="56"/>
  <c r="D149" i="56"/>
  <c r="D46" i="56"/>
  <c r="D45" i="56"/>
  <c r="I45" i="56"/>
  <c r="AC18" i="56"/>
  <c r="AC113" i="41" s="1"/>
  <c r="AD18" i="56"/>
  <c r="AD113" i="41" s="1"/>
  <c r="AE18" i="56"/>
  <c r="AE113" i="41" s="1"/>
  <c r="AF18" i="56"/>
  <c r="AF113" i="41" s="1"/>
  <c r="AG18" i="56"/>
  <c r="AG113" i="41" s="1"/>
  <c r="AC17" i="56"/>
  <c r="AC97" i="44" s="1"/>
  <c r="AD17" i="56"/>
  <c r="AD97" i="44" s="1"/>
  <c r="AE17" i="56"/>
  <c r="AE97" i="44" s="1"/>
  <c r="AF17" i="56"/>
  <c r="AF97" i="44" s="1"/>
  <c r="AG17" i="56"/>
  <c r="AG97" i="44" s="1"/>
  <c r="AC15" i="56"/>
  <c r="AD15" i="56"/>
  <c r="AE15" i="56"/>
  <c r="AF15" i="56"/>
  <c r="AG15" i="56"/>
  <c r="AC14" i="56"/>
  <c r="AD14" i="56"/>
  <c r="AE14" i="56"/>
  <c r="AF14" i="56"/>
  <c r="AG14" i="56"/>
  <c r="AC13" i="56"/>
  <c r="AD13" i="56"/>
  <c r="AE13" i="56"/>
  <c r="AF13" i="56"/>
  <c r="AG13" i="56"/>
  <c r="AC12" i="56"/>
  <c r="AD12" i="56"/>
  <c r="AE12" i="56"/>
  <c r="AF12" i="56"/>
  <c r="AG12" i="56"/>
  <c r="X20" i="56"/>
  <c r="AB38" i="34"/>
  <c r="AC38" i="34"/>
  <c r="AD38" i="34"/>
  <c r="AE38" i="34"/>
  <c r="AF38" i="34"/>
  <c r="AG38" i="34"/>
  <c r="AB53" i="34"/>
  <c r="AC53" i="34"/>
  <c r="AD53" i="34"/>
  <c r="AE53" i="34"/>
  <c r="AF53" i="34"/>
  <c r="AG53" i="34"/>
  <c r="AB68" i="34"/>
  <c r="AC68" i="34"/>
  <c r="AD68" i="34"/>
  <c r="AE68" i="34"/>
  <c r="AF68" i="34"/>
  <c r="AG68" i="34"/>
  <c r="AB83" i="34"/>
  <c r="AC83" i="34"/>
  <c r="AD83" i="34"/>
  <c r="AE83" i="34"/>
  <c r="AF83" i="34"/>
  <c r="AG83" i="34"/>
  <c r="AB98" i="34"/>
  <c r="AC98" i="34"/>
  <c r="AD98" i="34"/>
  <c r="AE98" i="34"/>
  <c r="AF98" i="34"/>
  <c r="AG98" i="34"/>
  <c r="AB113" i="34"/>
  <c r="AC113" i="34"/>
  <c r="AD113" i="34"/>
  <c r="AE113" i="34"/>
  <c r="AF113" i="34"/>
  <c r="AG113" i="34"/>
  <c r="AB128" i="34"/>
  <c r="AC128" i="34"/>
  <c r="AD128" i="34"/>
  <c r="AE128" i="34"/>
  <c r="AF128" i="34"/>
  <c r="AG128" i="34"/>
  <c r="AB143" i="34"/>
  <c r="AC143" i="34"/>
  <c r="AD143" i="34"/>
  <c r="AE143" i="34"/>
  <c r="AF143" i="34"/>
  <c r="AG143" i="34"/>
  <c r="AB158" i="34"/>
  <c r="AC158" i="34"/>
  <c r="AD158" i="34"/>
  <c r="AE158" i="34"/>
  <c r="AF158" i="34"/>
  <c r="AG158" i="34"/>
  <c r="AB173" i="34"/>
  <c r="AC173" i="34"/>
  <c r="AD173" i="34"/>
  <c r="AE173" i="34"/>
  <c r="AF173" i="34"/>
  <c r="AG173" i="34"/>
  <c r="AB188" i="34"/>
  <c r="AC188" i="34"/>
  <c r="AD188" i="34"/>
  <c r="AE188" i="34"/>
  <c r="AF188" i="34"/>
  <c r="AG188" i="34"/>
  <c r="AB203" i="34"/>
  <c r="AC203" i="34"/>
  <c r="AD203" i="34"/>
  <c r="AE203" i="34"/>
  <c r="AF203" i="34"/>
  <c r="AG203" i="34"/>
  <c r="AB218" i="34"/>
  <c r="AC218" i="34"/>
  <c r="AD218" i="34"/>
  <c r="AE218" i="34"/>
  <c r="AF218" i="34"/>
  <c r="AG218" i="34"/>
  <c r="AB233" i="34"/>
  <c r="AC233" i="34"/>
  <c r="AD233" i="34"/>
  <c r="AE233" i="34"/>
  <c r="AF233" i="34"/>
  <c r="AG233" i="34"/>
  <c r="AB248" i="34"/>
  <c r="AC248" i="34"/>
  <c r="AD248" i="34"/>
  <c r="AE248" i="34"/>
  <c r="AF248" i="34"/>
  <c r="AG248" i="34"/>
  <c r="AC12" i="34"/>
  <c r="AD12" i="34"/>
  <c r="AE12" i="34"/>
  <c r="AF12" i="34"/>
  <c r="AG12" i="34"/>
  <c r="AC14" i="34"/>
  <c r="AD14" i="34"/>
  <c r="AE14" i="34"/>
  <c r="AF14" i="34"/>
  <c r="AG14" i="34"/>
  <c r="AC16" i="34"/>
  <c r="AD16" i="34"/>
  <c r="AE16" i="34"/>
  <c r="AF16" i="34"/>
  <c r="AG16" i="34"/>
  <c r="AC17" i="34"/>
  <c r="AD17" i="34"/>
  <c r="AE17" i="34"/>
  <c r="AF17" i="34"/>
  <c r="AG17" i="34"/>
  <c r="AC18" i="34"/>
  <c r="AD18" i="34"/>
  <c r="AE18" i="34"/>
  <c r="AF18" i="34"/>
  <c r="AG18" i="34"/>
  <c r="AC21" i="34"/>
  <c r="AD21" i="34"/>
  <c r="AE21" i="34"/>
  <c r="AF21" i="34"/>
  <c r="AG21" i="34"/>
  <c r="AC22" i="34"/>
  <c r="AD22" i="34"/>
  <c r="AE22" i="34"/>
  <c r="AF22" i="34"/>
  <c r="AG22" i="34"/>
  <c r="BF319" i="57" l="1"/>
  <c r="BD319" i="57"/>
  <c r="BE319" i="57"/>
  <c r="BN319" i="57"/>
  <c r="DN319" i="57"/>
  <c r="DB319" i="57"/>
  <c r="O74" i="57"/>
  <c r="O77" i="57" s="1"/>
  <c r="W74" i="57"/>
  <c r="AF77" i="57"/>
  <c r="BO319" i="57"/>
  <c r="DO319" i="57"/>
  <c r="DC319" i="57"/>
  <c r="P74" i="57"/>
  <c r="P77" i="57" s="1"/>
  <c r="X74" i="57"/>
  <c r="X77" i="57" s="1"/>
  <c r="Q77" i="57"/>
  <c r="Y77" i="57"/>
  <c r="AG77" i="57"/>
  <c r="BP319" i="57"/>
  <c r="DP319" i="57"/>
  <c r="DD319" i="57"/>
  <c r="R77" i="57"/>
  <c r="R80" i="57" s="1"/>
  <c r="Z77" i="57"/>
  <c r="Z80" i="57" s="1"/>
  <c r="BA71" i="57"/>
  <c r="BA319" i="57"/>
  <c r="BI319" i="57"/>
  <c r="CW319" i="57"/>
  <c r="BQ319" i="57"/>
  <c r="DQ319" i="57"/>
  <c r="DE319" i="57"/>
  <c r="K77" i="57"/>
  <c r="K80" i="57" s="1"/>
  <c r="AA77" i="57"/>
  <c r="AA80" i="57" s="1"/>
  <c r="BB319" i="57"/>
  <c r="DJ319" i="57"/>
  <c r="BJ319" i="57"/>
  <c r="CX319" i="57"/>
  <c r="S74" i="57"/>
  <c r="S77" i="57" s="1"/>
  <c r="L77" i="57"/>
  <c r="AB77" i="57"/>
  <c r="BK319" i="57"/>
  <c r="DK319" i="57"/>
  <c r="CY319" i="57"/>
  <c r="T74" i="57"/>
  <c r="T77" i="57" s="1"/>
  <c r="M77" i="57"/>
  <c r="AC77" i="57"/>
  <c r="BL319" i="57"/>
  <c r="DL319" i="57"/>
  <c r="CZ319" i="57"/>
  <c r="U74" i="57"/>
  <c r="U77" i="57" s="1"/>
  <c r="N77" i="57"/>
  <c r="N80" i="57" s="1"/>
  <c r="BM319" i="57"/>
  <c r="DM319" i="57"/>
  <c r="DA319" i="57"/>
  <c r="V74" i="57"/>
  <c r="AD74" i="57"/>
  <c r="AD77" i="57" s="1"/>
  <c r="W77" i="57"/>
  <c r="AE77" i="57"/>
  <c r="AE80" i="57" s="1"/>
  <c r="AY77" i="57"/>
  <c r="AY321" i="57"/>
  <c r="I83" i="57"/>
  <c r="AX312" i="57"/>
  <c r="AX300" i="57"/>
  <c r="AX288" i="57"/>
  <c r="AX276" i="57"/>
  <c r="AX264" i="57"/>
  <c r="AY318" i="57"/>
  <c r="I74" i="57"/>
  <c r="AY306" i="57"/>
  <c r="AY294" i="57"/>
  <c r="AY282" i="57"/>
  <c r="AX318" i="57"/>
  <c r="F74" i="57"/>
  <c r="AX306" i="57"/>
  <c r="AX294" i="57"/>
  <c r="AX282" i="57"/>
  <c r="AX270" i="57"/>
  <c r="AX77" i="57"/>
  <c r="AX321" i="57"/>
  <c r="F83" i="57"/>
  <c r="AY312" i="57"/>
  <c r="AY300" i="57"/>
  <c r="AY288" i="57"/>
  <c r="AX258" i="57"/>
  <c r="AX252" i="57"/>
  <c r="AX246" i="57"/>
  <c r="AX240" i="57"/>
  <c r="AX319" i="57"/>
  <c r="AX316" i="57"/>
  <c r="AX234" i="57"/>
  <c r="AX310" i="57"/>
  <c r="AX307" i="57"/>
  <c r="CU307" i="57" s="1"/>
  <c r="DH307" i="57" s="1"/>
  <c r="AX228" i="57"/>
  <c r="AX304" i="57"/>
  <c r="AX298" i="57"/>
  <c r="BY298" i="57" s="1"/>
  <c r="AX222" i="57"/>
  <c r="AX292" i="57"/>
  <c r="AX289" i="57"/>
  <c r="AX216" i="57"/>
  <c r="AX286" i="57"/>
  <c r="CU286" i="57" s="1"/>
  <c r="DH286" i="57" s="1"/>
  <c r="AX280" i="57"/>
  <c r="AX210" i="57"/>
  <c r="AX274" i="57"/>
  <c r="BY274" i="57" s="1"/>
  <c r="AX271" i="57"/>
  <c r="AX204" i="57"/>
  <c r="AX268" i="57"/>
  <c r="AX262" i="57"/>
  <c r="AX198" i="57"/>
  <c r="AX256" i="57"/>
  <c r="AX253" i="57"/>
  <c r="AX192" i="57"/>
  <c r="AX250" i="57"/>
  <c r="AX244" i="57"/>
  <c r="AX186" i="57"/>
  <c r="AX238" i="57"/>
  <c r="AX235" i="57"/>
  <c r="BY235" i="57" s="1"/>
  <c r="AX180" i="57"/>
  <c r="AX232" i="57"/>
  <c r="AX226" i="57"/>
  <c r="CU226" i="57" s="1"/>
  <c r="DH226" i="57" s="1"/>
  <c r="AX174" i="57"/>
  <c r="AX220" i="57"/>
  <c r="AX217" i="57"/>
  <c r="AX168" i="57"/>
  <c r="AX214" i="57"/>
  <c r="CU214" i="57" s="1"/>
  <c r="DH214" i="57" s="1"/>
  <c r="AX208" i="57"/>
  <c r="AX162" i="57"/>
  <c r="AX202" i="57"/>
  <c r="CU202" i="57" s="1"/>
  <c r="DH202" i="57" s="1"/>
  <c r="AX199" i="57"/>
  <c r="AX156" i="57"/>
  <c r="AX196" i="57"/>
  <c r="AX190" i="57"/>
  <c r="AX150" i="57"/>
  <c r="AX184" i="57"/>
  <c r="AX181" i="57"/>
  <c r="AX144" i="57"/>
  <c r="AX178" i="57"/>
  <c r="AX172" i="57"/>
  <c r="AX138" i="57"/>
  <c r="AX166" i="57"/>
  <c r="AX163" i="57"/>
  <c r="CU163" i="57" s="1"/>
  <c r="DH163" i="57" s="1"/>
  <c r="AX132" i="57"/>
  <c r="AX160" i="57"/>
  <c r="AX154" i="57"/>
  <c r="BY154" i="57" s="1"/>
  <c r="AX126" i="57"/>
  <c r="AX148" i="57"/>
  <c r="AX145" i="57"/>
  <c r="AX120" i="57"/>
  <c r="AX142" i="57"/>
  <c r="CU142" i="57" s="1"/>
  <c r="DH142" i="57" s="1"/>
  <c r="AX136" i="57"/>
  <c r="AX114" i="57"/>
  <c r="AX130" i="57"/>
  <c r="CU130" i="57" s="1"/>
  <c r="DH130" i="57" s="1"/>
  <c r="AX127" i="57"/>
  <c r="AX108" i="57"/>
  <c r="AX124" i="57"/>
  <c r="AX118" i="57"/>
  <c r="AX102" i="57"/>
  <c r="AX112" i="57"/>
  <c r="AX109" i="57"/>
  <c r="AX96" i="57"/>
  <c r="AX106" i="57"/>
  <c r="AX100" i="57"/>
  <c r="AX90" i="57"/>
  <c r="AX94" i="57"/>
  <c r="AX91" i="57"/>
  <c r="BY91" i="57" s="1"/>
  <c r="AX84" i="57"/>
  <c r="AX88" i="57"/>
  <c r="AX82" i="57"/>
  <c r="CU82" i="57" s="1"/>
  <c r="DH82" i="57" s="1"/>
  <c r="AX78" i="57"/>
  <c r="AX76" i="57"/>
  <c r="AX73" i="57"/>
  <c r="AX72" i="57"/>
  <c r="AY276" i="57"/>
  <c r="AY270" i="57"/>
  <c r="AY264" i="57"/>
  <c r="AY258" i="57"/>
  <c r="AY252" i="57"/>
  <c r="AY246" i="57"/>
  <c r="AY240" i="57"/>
  <c r="AY319" i="57"/>
  <c r="AY316" i="57"/>
  <c r="CV316" i="57" s="1"/>
  <c r="DI316" i="57" s="1"/>
  <c r="AY234" i="57"/>
  <c r="AY310" i="57"/>
  <c r="AY307" i="57"/>
  <c r="CV307" i="57" s="1"/>
  <c r="DI307" i="57" s="1"/>
  <c r="AY228" i="57"/>
  <c r="AY304" i="57"/>
  <c r="AY298" i="57"/>
  <c r="AY222" i="57"/>
  <c r="AY292" i="57"/>
  <c r="CV292" i="57" s="1"/>
  <c r="DI292" i="57" s="1"/>
  <c r="AY289" i="57"/>
  <c r="AY216" i="57"/>
  <c r="AY286" i="57"/>
  <c r="BZ286" i="57" s="1"/>
  <c r="AY280" i="57"/>
  <c r="AY210" i="57"/>
  <c r="AY274" i="57"/>
  <c r="AY271" i="57"/>
  <c r="AY204" i="57"/>
  <c r="AY268" i="57"/>
  <c r="AY262" i="57"/>
  <c r="AY198" i="57"/>
  <c r="AY256" i="57"/>
  <c r="AY253" i="57"/>
  <c r="AY192" i="57"/>
  <c r="AY250" i="57"/>
  <c r="AY244" i="57"/>
  <c r="BZ244" i="57" s="1"/>
  <c r="AY186" i="57"/>
  <c r="AY238" i="57"/>
  <c r="AY235" i="57"/>
  <c r="BZ235" i="57" s="1"/>
  <c r="AY180" i="57"/>
  <c r="AY232" i="57"/>
  <c r="AY226" i="57"/>
  <c r="AY174" i="57"/>
  <c r="AY220" i="57"/>
  <c r="BZ220" i="57" s="1"/>
  <c r="AY217" i="57"/>
  <c r="AY168" i="57"/>
  <c r="AY214" i="57"/>
  <c r="CV214" i="57" s="1"/>
  <c r="DI214" i="57" s="1"/>
  <c r="AY208" i="57"/>
  <c r="AY162" i="57"/>
  <c r="AY202" i="57"/>
  <c r="AY199" i="57"/>
  <c r="AY156" i="57"/>
  <c r="AY196" i="57"/>
  <c r="AY190" i="57"/>
  <c r="AY150" i="57"/>
  <c r="AY184" i="57"/>
  <c r="AY181" i="57"/>
  <c r="AY144" i="57"/>
  <c r="AY178" i="57"/>
  <c r="AY172" i="57"/>
  <c r="CV172" i="57" s="1"/>
  <c r="DI172" i="57" s="1"/>
  <c r="AY138" i="57"/>
  <c r="AY166" i="57"/>
  <c r="AY163" i="57"/>
  <c r="BZ163" i="57" s="1"/>
  <c r="AY132" i="57"/>
  <c r="AY160" i="57"/>
  <c r="AY154" i="57"/>
  <c r="AY126" i="57"/>
  <c r="AY148" i="57"/>
  <c r="CV148" i="57" s="1"/>
  <c r="DI148" i="57" s="1"/>
  <c r="AY145" i="57"/>
  <c r="AY120" i="57"/>
  <c r="AY142" i="57"/>
  <c r="CV142" i="57" s="1"/>
  <c r="DI142" i="57" s="1"/>
  <c r="AY136" i="57"/>
  <c r="AY114" i="57"/>
  <c r="AY130" i="57"/>
  <c r="AY127" i="57"/>
  <c r="AY108" i="57"/>
  <c r="AY124" i="57"/>
  <c r="AY118" i="57"/>
  <c r="AY102" i="57"/>
  <c r="AY112" i="57"/>
  <c r="AY109" i="57"/>
  <c r="AY96" i="57"/>
  <c r="AY106" i="57"/>
  <c r="AY100" i="57"/>
  <c r="BZ100" i="57" s="1"/>
  <c r="AY90" i="57"/>
  <c r="AY94" i="57"/>
  <c r="AY91" i="57"/>
  <c r="CV91" i="57" s="1"/>
  <c r="DI91" i="57" s="1"/>
  <c r="AY84" i="57"/>
  <c r="AY88" i="57"/>
  <c r="AY82" i="57"/>
  <c r="AY78" i="57"/>
  <c r="AY76" i="57"/>
  <c r="BZ76" i="57" s="1"/>
  <c r="AY73" i="57"/>
  <c r="AY72" i="57"/>
  <c r="O468" i="36"/>
  <c r="O472" i="36"/>
  <c r="P470" i="36"/>
  <c r="Q470" i="36"/>
  <c r="Q473" i="36"/>
  <c r="O469" i="36"/>
  <c r="P469" i="36"/>
  <c r="O470" i="36"/>
  <c r="P473" i="36"/>
  <c r="Q469" i="36"/>
  <c r="O473" i="36"/>
  <c r="Q474" i="36"/>
  <c r="P474" i="36"/>
  <c r="O474" i="36"/>
  <c r="P477" i="36"/>
  <c r="Q477" i="36"/>
  <c r="O477" i="36"/>
  <c r="O478" i="36"/>
  <c r="P478" i="36"/>
  <c r="Q478" i="36"/>
  <c r="O485" i="36"/>
  <c r="Q481" i="36"/>
  <c r="P485" i="36"/>
  <c r="Q485" i="36"/>
  <c r="O482" i="36"/>
  <c r="Q482" i="36"/>
  <c r="P482" i="36"/>
  <c r="O481" i="36"/>
  <c r="P481" i="36"/>
  <c r="O489" i="36"/>
  <c r="P489" i="36"/>
  <c r="Q489" i="36"/>
  <c r="P486" i="36"/>
  <c r="Q486" i="36"/>
  <c r="O486" i="36"/>
  <c r="O490" i="36"/>
  <c r="P490" i="36"/>
  <c r="Q490" i="36"/>
  <c r="X115" i="41"/>
  <c r="X169" i="44"/>
  <c r="BB71" i="57"/>
  <c r="BB74" i="57"/>
  <c r="R474" i="36"/>
  <c r="O446" i="36"/>
  <c r="P445" i="36"/>
  <c r="O445" i="36"/>
  <c r="R481" i="36"/>
  <c r="Q499" i="36"/>
  <c r="P499" i="36"/>
  <c r="O458" i="36"/>
  <c r="P13" i="36"/>
  <c r="CB73" i="36" s="1"/>
  <c r="O13" i="36"/>
  <c r="S89" i="12"/>
  <c r="F77" i="98"/>
  <c r="I70" i="98"/>
  <c r="I77" i="98" s="1"/>
  <c r="P70" i="98"/>
  <c r="P77" i="98" s="1"/>
  <c r="E77" i="98"/>
  <c r="H70" i="98"/>
  <c r="H77" i="98" s="1"/>
  <c r="N59" i="98"/>
  <c r="N66" i="98" s="1"/>
  <c r="Q70" i="98"/>
  <c r="Q77" i="98" s="1"/>
  <c r="X89" i="12"/>
  <c r="O70" i="98"/>
  <c r="O77" i="98" s="1"/>
  <c r="D77" i="98"/>
  <c r="G70" i="98"/>
  <c r="G77" i="98" s="1"/>
  <c r="M59" i="98"/>
  <c r="M66" i="98" s="1"/>
  <c r="N70" i="98"/>
  <c r="N77" i="98" s="1"/>
  <c r="L59" i="98"/>
  <c r="L66" i="98" s="1"/>
  <c r="M70" i="98"/>
  <c r="M77" i="98" s="1"/>
  <c r="S59" i="98"/>
  <c r="S66" i="98" s="1"/>
  <c r="K59" i="98"/>
  <c r="K66" i="98" s="1"/>
  <c r="C66" i="98"/>
  <c r="F59" i="98"/>
  <c r="F66" i="98" s="1"/>
  <c r="AC89" i="12"/>
  <c r="L70" i="98"/>
  <c r="L77" i="98" s="1"/>
  <c r="R59" i="98"/>
  <c r="R66" i="98" s="1"/>
  <c r="J59" i="98"/>
  <c r="J66" i="98" s="1"/>
  <c r="D66" i="98"/>
  <c r="G59" i="98"/>
  <c r="G66" i="98" s="1"/>
  <c r="S70" i="98"/>
  <c r="S77" i="98" s="1"/>
  <c r="K70" i="98"/>
  <c r="K77" i="98" s="1"/>
  <c r="Q59" i="98"/>
  <c r="Q66" i="98" s="1"/>
  <c r="I59" i="98"/>
  <c r="I66" i="98" s="1"/>
  <c r="O59" i="98"/>
  <c r="O66" i="98" s="1"/>
  <c r="R70" i="98"/>
  <c r="R77" i="98" s="1"/>
  <c r="J70" i="98"/>
  <c r="J77" i="98" s="1"/>
  <c r="P59" i="98"/>
  <c r="P66" i="98" s="1"/>
  <c r="E66" i="98"/>
  <c r="H59" i="98"/>
  <c r="H66" i="98" s="1"/>
  <c r="AZ77" i="57"/>
  <c r="AZ71" i="57"/>
  <c r="BA74" i="57"/>
  <c r="BB77" i="57"/>
  <c r="BC74" i="57"/>
  <c r="BC77" i="57"/>
  <c r="BC71" i="57"/>
  <c r="AZ74" i="57"/>
  <c r="BA77" i="57"/>
  <c r="AJ434" i="36"/>
  <c r="AJ431" i="36"/>
  <c r="AJ428" i="36"/>
  <c r="AJ437" i="36"/>
  <c r="AJ425" i="36"/>
  <c r="BA440" i="36"/>
  <c r="BB434" i="36"/>
  <c r="BA425" i="36"/>
  <c r="AZ425" i="36"/>
  <c r="AZ434" i="36"/>
  <c r="BB428" i="36"/>
  <c r="BB422" i="36"/>
  <c r="AZ437" i="36"/>
  <c r="BB431" i="36"/>
  <c r="BA422" i="36"/>
  <c r="BA431" i="36"/>
  <c r="AZ422" i="36"/>
  <c r="AZ440" i="36"/>
  <c r="BA434" i="36"/>
  <c r="BB437" i="36"/>
  <c r="BA428" i="36"/>
  <c r="BA437" i="36"/>
  <c r="AZ428" i="36"/>
  <c r="BB440" i="36"/>
  <c r="AZ431" i="36"/>
  <c r="BB425" i="36"/>
  <c r="W13" i="36"/>
  <c r="W452" i="36" s="1"/>
  <c r="BG431" i="36"/>
  <c r="V13" i="36"/>
  <c r="V452" i="36" s="1"/>
  <c r="AS422" i="36"/>
  <c r="AG13" i="36"/>
  <c r="AK422" i="36"/>
  <c r="Y13" i="36"/>
  <c r="R449" i="36"/>
  <c r="R446" i="36"/>
  <c r="R445" i="36"/>
  <c r="R450" i="36"/>
  <c r="R448" i="36"/>
  <c r="R447" i="36"/>
  <c r="U13" i="36"/>
  <c r="U452" i="36" s="1"/>
  <c r="AR422" i="36"/>
  <c r="AF13" i="36"/>
  <c r="AJ422" i="36"/>
  <c r="X13" i="36"/>
  <c r="T13" i="36"/>
  <c r="T452" i="36" s="1"/>
  <c r="AQ422" i="36"/>
  <c r="AE13" i="36"/>
  <c r="CQ420" i="36" s="1"/>
  <c r="S13" i="36"/>
  <c r="S452" i="36" s="1"/>
  <c r="AP422" i="36"/>
  <c r="AD13" i="36"/>
  <c r="CP422" i="36" s="1"/>
  <c r="R13" i="36"/>
  <c r="AO422" i="36"/>
  <c r="AC13" i="36"/>
  <c r="CO66" i="36" s="1"/>
  <c r="Q13" i="36"/>
  <c r="CC426" i="36" s="1"/>
  <c r="AN422" i="36"/>
  <c r="AB13" i="36"/>
  <c r="R459" i="36"/>
  <c r="E25" i="98" s="1"/>
  <c r="R458" i="36"/>
  <c r="AM422" i="36"/>
  <c r="AA13" i="36"/>
  <c r="CM421" i="36" s="1"/>
  <c r="AL422" i="36"/>
  <c r="Z13" i="36"/>
  <c r="CL422" i="36" s="1"/>
  <c r="BM68" i="57"/>
  <c r="AO68" i="57"/>
  <c r="BN68" i="57"/>
  <c r="AP68" i="57"/>
  <c r="BQ68" i="57"/>
  <c r="AS68" i="57"/>
  <c r="BO68" i="57"/>
  <c r="AQ68" i="57"/>
  <c r="BP68" i="57"/>
  <c r="AR68" i="57"/>
  <c r="BY289" i="57"/>
  <c r="CU289" i="57"/>
  <c r="DH289" i="57" s="1"/>
  <c r="BY271" i="57"/>
  <c r="CU271" i="57"/>
  <c r="DH271" i="57" s="1"/>
  <c r="BY250" i="57"/>
  <c r="CU250" i="57"/>
  <c r="DH250" i="57" s="1"/>
  <c r="CU232" i="57"/>
  <c r="DH232" i="57" s="1"/>
  <c r="BY232" i="57"/>
  <c r="BY196" i="57"/>
  <c r="CU196" i="57"/>
  <c r="DH196" i="57" s="1"/>
  <c r="BY178" i="57"/>
  <c r="CU178" i="57"/>
  <c r="DH178" i="57" s="1"/>
  <c r="BY160" i="57"/>
  <c r="CU160" i="57"/>
  <c r="DH160" i="57" s="1"/>
  <c r="CU85" i="57"/>
  <c r="DH85" i="57" s="1"/>
  <c r="BY85" i="57"/>
  <c r="BE71" i="57"/>
  <c r="BM71" i="57"/>
  <c r="DM71" i="57"/>
  <c r="DA71" i="57"/>
  <c r="BF74" i="57"/>
  <c r="BN74" i="57"/>
  <c r="DN74" i="57"/>
  <c r="DB74" i="57"/>
  <c r="BO77" i="57"/>
  <c r="DO77" i="57"/>
  <c r="DC77" i="57"/>
  <c r="CU70" i="57"/>
  <c r="DH70" i="57" s="1"/>
  <c r="BY70" i="57"/>
  <c r="BZ77" i="57"/>
  <c r="CV77" i="57"/>
  <c r="DI77" i="57" s="1"/>
  <c r="BE74" i="57"/>
  <c r="BY316" i="57"/>
  <c r="CU316" i="57"/>
  <c r="DH316" i="57" s="1"/>
  <c r="BY304" i="57"/>
  <c r="CU304" i="57"/>
  <c r="DH304" i="57" s="1"/>
  <c r="CU262" i="57"/>
  <c r="DH262" i="57" s="1"/>
  <c r="BY262" i="57"/>
  <c r="CU244" i="57"/>
  <c r="DH244" i="57" s="1"/>
  <c r="BY244" i="57"/>
  <c r="BY223" i="57"/>
  <c r="CU223" i="57"/>
  <c r="DH223" i="57" s="1"/>
  <c r="CU205" i="57"/>
  <c r="DH205" i="57" s="1"/>
  <c r="BY205" i="57"/>
  <c r="BY187" i="57"/>
  <c r="CU187" i="57"/>
  <c r="DH187" i="57" s="1"/>
  <c r="CU172" i="57"/>
  <c r="DH172" i="57" s="1"/>
  <c r="BY172" i="57"/>
  <c r="CU136" i="57"/>
  <c r="DH136" i="57" s="1"/>
  <c r="BY136" i="57"/>
  <c r="BF71" i="57"/>
  <c r="BN71" i="57"/>
  <c r="DN71" i="57"/>
  <c r="DB71" i="57"/>
  <c r="BG74" i="57"/>
  <c r="BO74" i="57"/>
  <c r="DO74" i="57"/>
  <c r="DC74" i="57"/>
  <c r="BH77" i="57"/>
  <c r="BP77" i="57"/>
  <c r="DP77" i="57"/>
  <c r="DD77" i="57"/>
  <c r="BD71" i="57"/>
  <c r="CU313" i="57"/>
  <c r="DH313" i="57" s="1"/>
  <c r="BY313" i="57"/>
  <c r="CU295" i="57"/>
  <c r="DH295" i="57" s="1"/>
  <c r="BY295" i="57"/>
  <c r="CU277" i="57"/>
  <c r="DH277" i="57" s="1"/>
  <c r="BY277" i="57"/>
  <c r="CU259" i="57"/>
  <c r="DH259" i="57" s="1"/>
  <c r="BY259" i="57"/>
  <c r="CU247" i="57"/>
  <c r="DH247" i="57" s="1"/>
  <c r="BY247" i="57"/>
  <c r="CU229" i="57"/>
  <c r="DH229" i="57" s="1"/>
  <c r="BY229" i="57"/>
  <c r="BY199" i="57"/>
  <c r="CU199" i="57"/>
  <c r="DH199" i="57" s="1"/>
  <c r="CU181" i="57"/>
  <c r="DH181" i="57" s="1"/>
  <c r="BY181" i="57"/>
  <c r="CU154" i="57"/>
  <c r="DH154" i="57" s="1"/>
  <c r="BY79" i="57"/>
  <c r="CU79" i="57"/>
  <c r="DH79" i="57" s="1"/>
  <c r="BG71" i="57"/>
  <c r="BO71" i="57"/>
  <c r="DO71" i="57"/>
  <c r="DC71" i="57"/>
  <c r="BH74" i="57"/>
  <c r="BP74" i="57"/>
  <c r="DP74" i="57"/>
  <c r="DD74" i="57"/>
  <c r="CW77" i="57"/>
  <c r="BI77" i="57"/>
  <c r="BQ77" i="57"/>
  <c r="DQ77" i="57"/>
  <c r="DE77" i="57"/>
  <c r="AY71" i="57"/>
  <c r="CU283" i="57"/>
  <c r="DH283" i="57" s="1"/>
  <c r="BY283" i="57"/>
  <c r="CU268" i="57"/>
  <c r="DH268" i="57" s="1"/>
  <c r="BY268" i="57"/>
  <c r="CU253" i="57"/>
  <c r="DH253" i="57" s="1"/>
  <c r="BY253" i="57"/>
  <c r="CU235" i="57"/>
  <c r="DH235" i="57" s="1"/>
  <c r="CU217" i="57"/>
  <c r="DH217" i="57" s="1"/>
  <c r="BY217" i="57"/>
  <c r="CU211" i="57"/>
  <c r="DH211" i="57" s="1"/>
  <c r="BY211" i="57"/>
  <c r="CU193" i="57"/>
  <c r="DH193" i="57" s="1"/>
  <c r="BY193" i="57"/>
  <c r="BY175" i="57"/>
  <c r="CU175" i="57"/>
  <c r="DH175" i="57" s="1"/>
  <c r="CU157" i="57"/>
  <c r="DH157" i="57" s="1"/>
  <c r="BY157" i="57"/>
  <c r="CU145" i="57"/>
  <c r="DH145" i="57" s="1"/>
  <c r="BY145" i="57"/>
  <c r="BY127" i="57"/>
  <c r="CU127" i="57"/>
  <c r="DH127" i="57" s="1"/>
  <c r="CU118" i="57"/>
  <c r="DH118" i="57" s="1"/>
  <c r="BY118" i="57"/>
  <c r="CU109" i="57"/>
  <c r="DH109" i="57" s="1"/>
  <c r="BY109" i="57"/>
  <c r="CU106" i="57"/>
  <c r="DH106" i="57" s="1"/>
  <c r="BY106" i="57"/>
  <c r="CU97" i="57"/>
  <c r="DH97" i="57" s="1"/>
  <c r="BY97" i="57"/>
  <c r="CU94" i="57"/>
  <c r="DH94" i="57" s="1"/>
  <c r="BY94" i="57"/>
  <c r="CU88" i="57"/>
  <c r="DH88" i="57" s="1"/>
  <c r="BY88" i="57"/>
  <c r="CU76" i="57"/>
  <c r="DH76" i="57" s="1"/>
  <c r="BY76" i="57"/>
  <c r="BH71" i="57"/>
  <c r="BP71" i="57"/>
  <c r="DP71" i="57"/>
  <c r="DD71" i="57"/>
  <c r="CW74" i="57"/>
  <c r="BI74" i="57"/>
  <c r="BQ74" i="57"/>
  <c r="DQ74" i="57"/>
  <c r="DE74" i="57"/>
  <c r="DJ77" i="57"/>
  <c r="BJ77" i="57"/>
  <c r="CX77" i="57"/>
  <c r="BK80" i="57"/>
  <c r="CV70" i="57"/>
  <c r="DI70" i="57" s="1"/>
  <c r="BZ70" i="57"/>
  <c r="CU77" i="57"/>
  <c r="DH77" i="57" s="1"/>
  <c r="BY77" i="57"/>
  <c r="BY310" i="57"/>
  <c r="CU310" i="57"/>
  <c r="DH310" i="57" s="1"/>
  <c r="CU292" i="57"/>
  <c r="DH292" i="57" s="1"/>
  <c r="BY292" i="57"/>
  <c r="CU274" i="57"/>
  <c r="DH274" i="57" s="1"/>
  <c r="CU256" i="57"/>
  <c r="DH256" i="57" s="1"/>
  <c r="BY256" i="57"/>
  <c r="CU238" i="57"/>
  <c r="DH238" i="57" s="1"/>
  <c r="BY238" i="57"/>
  <c r="BY220" i="57"/>
  <c r="CU220" i="57"/>
  <c r="DH220" i="57" s="1"/>
  <c r="BY202" i="57"/>
  <c r="BY184" i="57"/>
  <c r="CU184" i="57"/>
  <c r="DH184" i="57" s="1"/>
  <c r="CU166" i="57"/>
  <c r="DH166" i="57" s="1"/>
  <c r="BY166" i="57"/>
  <c r="CU148" i="57"/>
  <c r="DH148" i="57" s="1"/>
  <c r="BY148" i="57"/>
  <c r="BY139" i="57"/>
  <c r="CU139" i="57"/>
  <c r="DH139" i="57" s="1"/>
  <c r="CU124" i="57"/>
  <c r="DH124" i="57" s="1"/>
  <c r="BY124" i="57"/>
  <c r="BY115" i="57"/>
  <c r="CU115" i="57"/>
  <c r="DH115" i="57" s="1"/>
  <c r="BY103" i="57"/>
  <c r="CU103" i="57"/>
  <c r="DH103" i="57" s="1"/>
  <c r="CU73" i="57"/>
  <c r="DH73" i="57" s="1"/>
  <c r="BY73" i="57"/>
  <c r="BI71" i="57"/>
  <c r="CW71" i="57"/>
  <c r="BQ71" i="57"/>
  <c r="DQ71" i="57"/>
  <c r="DE71" i="57"/>
  <c r="DJ74" i="57"/>
  <c r="BJ74" i="57"/>
  <c r="CX74" i="57"/>
  <c r="BK77" i="57"/>
  <c r="DK77" i="57"/>
  <c r="CY77" i="57"/>
  <c r="AX71" i="57"/>
  <c r="CV319" i="57"/>
  <c r="DI319" i="57" s="1"/>
  <c r="BZ319" i="57"/>
  <c r="CV313" i="57"/>
  <c r="DI313" i="57" s="1"/>
  <c r="BZ313" i="57"/>
  <c r="CV310" i="57"/>
  <c r="DI310" i="57" s="1"/>
  <c r="BZ310" i="57"/>
  <c r="CV304" i="57"/>
  <c r="DI304" i="57" s="1"/>
  <c r="BZ304" i="57"/>
  <c r="BZ301" i="57"/>
  <c r="CV301" i="57"/>
  <c r="DI301" i="57" s="1"/>
  <c r="BZ298" i="57"/>
  <c r="CV298" i="57"/>
  <c r="DI298" i="57" s="1"/>
  <c r="CV295" i="57"/>
  <c r="DI295" i="57" s="1"/>
  <c r="BZ295" i="57"/>
  <c r="CV289" i="57"/>
  <c r="DI289" i="57" s="1"/>
  <c r="BZ289" i="57"/>
  <c r="CV286" i="57"/>
  <c r="DI286" i="57" s="1"/>
  <c r="CV283" i="57"/>
  <c r="DI283" i="57" s="1"/>
  <c r="BZ283" i="57"/>
  <c r="CV280" i="57"/>
  <c r="DI280" i="57" s="1"/>
  <c r="BZ280" i="57"/>
  <c r="BZ277" i="57"/>
  <c r="CV277" i="57"/>
  <c r="DI277" i="57" s="1"/>
  <c r="CV274" i="57"/>
  <c r="DI274" i="57" s="1"/>
  <c r="BZ274" i="57"/>
  <c r="BZ271" i="57"/>
  <c r="CV271" i="57"/>
  <c r="DI271" i="57" s="1"/>
  <c r="BZ268" i="57"/>
  <c r="CV268" i="57"/>
  <c r="DI268" i="57" s="1"/>
  <c r="CV265" i="57"/>
  <c r="DI265" i="57" s="1"/>
  <c r="BZ265" i="57"/>
  <c r="CV262" i="57"/>
  <c r="DI262" i="57" s="1"/>
  <c r="BZ262" i="57"/>
  <c r="CV259" i="57"/>
  <c r="DI259" i="57" s="1"/>
  <c r="BZ259" i="57"/>
  <c r="BZ256" i="57"/>
  <c r="CV256" i="57"/>
  <c r="DI256" i="57" s="1"/>
  <c r="BZ253" i="57"/>
  <c r="CV253" i="57"/>
  <c r="DI253" i="57" s="1"/>
  <c r="BZ250" i="57"/>
  <c r="CV250" i="57"/>
  <c r="DI250" i="57" s="1"/>
  <c r="BZ247" i="57"/>
  <c r="CV247" i="57"/>
  <c r="DI247" i="57" s="1"/>
  <c r="CV241" i="57"/>
  <c r="DI241" i="57" s="1"/>
  <c r="BZ241" i="57"/>
  <c r="BZ238" i="57"/>
  <c r="CV238" i="57"/>
  <c r="DI238" i="57" s="1"/>
  <c r="BZ232" i="57"/>
  <c r="CV232" i="57"/>
  <c r="DI232" i="57" s="1"/>
  <c r="BZ229" i="57"/>
  <c r="CV229" i="57"/>
  <c r="DI229" i="57" s="1"/>
  <c r="CV226" i="57"/>
  <c r="DI226" i="57" s="1"/>
  <c r="BZ226" i="57"/>
  <c r="CV223" i="57"/>
  <c r="DI223" i="57" s="1"/>
  <c r="BZ223" i="57"/>
  <c r="CV220" i="57"/>
  <c r="DI220" i="57" s="1"/>
  <c r="BZ217" i="57"/>
  <c r="CV217" i="57"/>
  <c r="DI217" i="57" s="1"/>
  <c r="BZ214" i="57"/>
  <c r="CV211" i="57"/>
  <c r="DI211" i="57" s="1"/>
  <c r="BZ211" i="57"/>
  <c r="CV208" i="57"/>
  <c r="DI208" i="57" s="1"/>
  <c r="BZ208" i="57"/>
  <c r="BZ205" i="57"/>
  <c r="CV205" i="57"/>
  <c r="DI205" i="57" s="1"/>
  <c r="CV202" i="57"/>
  <c r="DI202" i="57" s="1"/>
  <c r="BZ202" i="57"/>
  <c r="BZ199" i="57"/>
  <c r="CV199" i="57"/>
  <c r="DI199" i="57" s="1"/>
  <c r="CV196" i="57"/>
  <c r="DI196" i="57" s="1"/>
  <c r="BZ196" i="57"/>
  <c r="BZ193" i="57"/>
  <c r="CV193" i="57"/>
  <c r="DI193" i="57" s="1"/>
  <c r="CV190" i="57"/>
  <c r="DI190" i="57" s="1"/>
  <c r="BZ190" i="57"/>
  <c r="CV187" i="57"/>
  <c r="DI187" i="57" s="1"/>
  <c r="BZ187" i="57"/>
  <c r="CV184" i="57"/>
  <c r="DI184" i="57" s="1"/>
  <c r="BZ184" i="57"/>
  <c r="CV181" i="57"/>
  <c r="DI181" i="57" s="1"/>
  <c r="BZ181" i="57"/>
  <c r="BZ178" i="57"/>
  <c r="CV178" i="57"/>
  <c r="DI178" i="57" s="1"/>
  <c r="CV175" i="57"/>
  <c r="DI175" i="57" s="1"/>
  <c r="BZ175" i="57"/>
  <c r="BZ169" i="57"/>
  <c r="CV169" i="57"/>
  <c r="DI169" i="57" s="1"/>
  <c r="CV166" i="57"/>
  <c r="DI166" i="57" s="1"/>
  <c r="BZ166" i="57"/>
  <c r="CV160" i="57"/>
  <c r="DI160" i="57" s="1"/>
  <c r="BZ160" i="57"/>
  <c r="BZ157" i="57"/>
  <c r="CV157" i="57"/>
  <c r="DI157" i="57" s="1"/>
  <c r="BZ154" i="57"/>
  <c r="CV154" i="57"/>
  <c r="DI154" i="57" s="1"/>
  <c r="CV151" i="57"/>
  <c r="DI151" i="57" s="1"/>
  <c r="BZ151" i="57"/>
  <c r="BZ145" i="57"/>
  <c r="CV145" i="57"/>
  <c r="DI145" i="57" s="1"/>
  <c r="BZ142" i="57"/>
  <c r="CV139" i="57"/>
  <c r="DI139" i="57" s="1"/>
  <c r="BZ139" i="57"/>
  <c r="BZ136" i="57"/>
  <c r="CV136" i="57"/>
  <c r="DI136" i="57" s="1"/>
  <c r="CV133" i="57"/>
  <c r="DI133" i="57" s="1"/>
  <c r="BZ133" i="57"/>
  <c r="BZ130" i="57"/>
  <c r="CV130" i="57"/>
  <c r="DI130" i="57" s="1"/>
  <c r="CV127" i="57"/>
  <c r="DI127" i="57" s="1"/>
  <c r="BZ127" i="57"/>
  <c r="BZ124" i="57"/>
  <c r="CV124" i="57"/>
  <c r="DI124" i="57" s="1"/>
  <c r="BZ121" i="57"/>
  <c r="CV121" i="57"/>
  <c r="DI121" i="57" s="1"/>
  <c r="CV118" i="57"/>
  <c r="DI118" i="57" s="1"/>
  <c r="BZ118" i="57"/>
  <c r="CV115" i="57"/>
  <c r="DI115" i="57" s="1"/>
  <c r="BZ115" i="57"/>
  <c r="BZ112" i="57"/>
  <c r="CV112" i="57"/>
  <c r="DI112" i="57" s="1"/>
  <c r="CV109" i="57"/>
  <c r="DI109" i="57" s="1"/>
  <c r="BZ109" i="57"/>
  <c r="CV106" i="57"/>
  <c r="DI106" i="57" s="1"/>
  <c r="BZ106" i="57"/>
  <c r="CV103" i="57"/>
  <c r="DI103" i="57" s="1"/>
  <c r="BZ103" i="57"/>
  <c r="CV97" i="57"/>
  <c r="DI97" i="57" s="1"/>
  <c r="BZ97" i="57"/>
  <c r="CV94" i="57"/>
  <c r="DI94" i="57" s="1"/>
  <c r="BZ94" i="57"/>
  <c r="CV88" i="57"/>
  <c r="DI88" i="57" s="1"/>
  <c r="BZ88" i="57"/>
  <c r="CV85" i="57"/>
  <c r="DI85" i="57" s="1"/>
  <c r="BZ85" i="57"/>
  <c r="CV82" i="57"/>
  <c r="DI82" i="57" s="1"/>
  <c r="BZ82" i="57"/>
  <c r="CV79" i="57"/>
  <c r="DI79" i="57" s="1"/>
  <c r="BZ79" i="57"/>
  <c r="BZ73" i="57"/>
  <c r="CV73" i="57"/>
  <c r="DI73" i="57" s="1"/>
  <c r="BL71" i="57"/>
  <c r="DL71" i="57"/>
  <c r="CZ71" i="57"/>
  <c r="BN77" i="57"/>
  <c r="DN77" i="57"/>
  <c r="DB77" i="57"/>
  <c r="CU319" i="57"/>
  <c r="DH319" i="57" s="1"/>
  <c r="BY319" i="57"/>
  <c r="BY301" i="57"/>
  <c r="CU301" i="57"/>
  <c r="DH301" i="57" s="1"/>
  <c r="BY280" i="57"/>
  <c r="CU280" i="57"/>
  <c r="DH280" i="57" s="1"/>
  <c r="CU265" i="57"/>
  <c r="DH265" i="57" s="1"/>
  <c r="BY265" i="57"/>
  <c r="CU241" i="57"/>
  <c r="DH241" i="57" s="1"/>
  <c r="BY241" i="57"/>
  <c r="CU208" i="57"/>
  <c r="DH208" i="57" s="1"/>
  <c r="BY208" i="57"/>
  <c r="CU190" i="57"/>
  <c r="DH190" i="57" s="1"/>
  <c r="BY190" i="57"/>
  <c r="BY169" i="57"/>
  <c r="CU169" i="57"/>
  <c r="DH169" i="57" s="1"/>
  <c r="CU151" i="57"/>
  <c r="DH151" i="57" s="1"/>
  <c r="BY151" i="57"/>
  <c r="BY142" i="57"/>
  <c r="CU133" i="57"/>
  <c r="DH133" i="57" s="1"/>
  <c r="BY133" i="57"/>
  <c r="CU121" i="57"/>
  <c r="DH121" i="57" s="1"/>
  <c r="BY121" i="57"/>
  <c r="CU112" i="57"/>
  <c r="DH112" i="57" s="1"/>
  <c r="BY112" i="57"/>
  <c r="CU100" i="57"/>
  <c r="DH100" i="57" s="1"/>
  <c r="BY100" i="57"/>
  <c r="DJ71" i="57"/>
  <c r="CX71" i="57"/>
  <c r="BJ71" i="57"/>
  <c r="BK74" i="57"/>
  <c r="DK74" i="57"/>
  <c r="CY74" i="57"/>
  <c r="BD77" i="57"/>
  <c r="BL77" i="57"/>
  <c r="DL77" i="57"/>
  <c r="CZ77" i="57"/>
  <c r="BM74" i="57"/>
  <c r="DM74" i="57"/>
  <c r="DA74" i="57"/>
  <c r="BK71" i="57"/>
  <c r="DK71" i="57"/>
  <c r="CY71" i="57"/>
  <c r="BD74" i="57"/>
  <c r="BL74" i="57"/>
  <c r="DL74" i="57"/>
  <c r="CZ74" i="57"/>
  <c r="BE77" i="57"/>
  <c r="BM77" i="57"/>
  <c r="DM77" i="57"/>
  <c r="DA77" i="57"/>
  <c r="BE437" i="36"/>
  <c r="BC440" i="36"/>
  <c r="BG437" i="36"/>
  <c r="BD434" i="36"/>
  <c r="BF428" i="36"/>
  <c r="BE428" i="36"/>
  <c r="BC425" i="36"/>
  <c r="BD440" i="36"/>
  <c r="BE434" i="36"/>
  <c r="BG428" i="36"/>
  <c r="BD425" i="36"/>
  <c r="BO65" i="36"/>
  <c r="AQ65" i="36"/>
  <c r="BP65" i="36"/>
  <c r="AR65" i="36"/>
  <c r="BE440" i="36"/>
  <c r="BF434" i="36"/>
  <c r="BC431" i="36"/>
  <c r="BE425" i="36"/>
  <c r="BQ65" i="36"/>
  <c r="AS65" i="36"/>
  <c r="BF437" i="36"/>
  <c r="BC434" i="36"/>
  <c r="BN65" i="36"/>
  <c r="AP65" i="36"/>
  <c r="BH440" i="36"/>
  <c r="AJ440" i="36"/>
  <c r="BM65" i="36"/>
  <c r="BU65" i="36" s="1"/>
  <c r="BU68" i="57" s="1"/>
  <c r="AO65" i="36"/>
  <c r="BI440" i="36"/>
  <c r="CW440" i="36"/>
  <c r="BM434" i="36"/>
  <c r="DA434" i="36"/>
  <c r="DN434" i="36"/>
  <c r="BO431" i="36"/>
  <c r="DC431" i="36"/>
  <c r="DP431" i="36"/>
  <c r="BQ428" i="36"/>
  <c r="DE428" i="36"/>
  <c r="DR428" i="36"/>
  <c r="BK425" i="36"/>
  <c r="CY425" i="36"/>
  <c r="DL425" i="36"/>
  <c r="CV439" i="36"/>
  <c r="DI439" i="36" s="1"/>
  <c r="BZ439" i="36"/>
  <c r="CV436" i="36"/>
  <c r="DI436" i="36" s="1"/>
  <c r="BZ436" i="36"/>
  <c r="CV433" i="36"/>
  <c r="DI433" i="36" s="1"/>
  <c r="BZ433" i="36"/>
  <c r="BZ430" i="36"/>
  <c r="CV430" i="36"/>
  <c r="DI430" i="36" s="1"/>
  <c r="CV427" i="36"/>
  <c r="DI427" i="36" s="1"/>
  <c r="BZ427" i="36"/>
  <c r="CV424" i="36"/>
  <c r="DI424" i="36" s="1"/>
  <c r="BZ424" i="36"/>
  <c r="BK440" i="36"/>
  <c r="CY440" i="36"/>
  <c r="DL440" i="36"/>
  <c r="BM437" i="36"/>
  <c r="DA437" i="36"/>
  <c r="DN437" i="36"/>
  <c r="BO434" i="36"/>
  <c r="DC434" i="36"/>
  <c r="DP434" i="36"/>
  <c r="BQ431" i="36"/>
  <c r="DE431" i="36"/>
  <c r="DR431" i="36"/>
  <c r="CW431" i="36"/>
  <c r="BI431" i="36"/>
  <c r="BK428" i="36"/>
  <c r="CY428" i="36"/>
  <c r="DL428" i="36"/>
  <c r="BM425" i="36"/>
  <c r="DA425" i="36"/>
  <c r="DN425" i="36"/>
  <c r="BF440" i="36"/>
  <c r="BG434" i="36"/>
  <c r="BD431" i="36"/>
  <c r="BF425" i="36"/>
  <c r="BJ440" i="36"/>
  <c r="DK440" i="36"/>
  <c r="CX440" i="36"/>
  <c r="BL437" i="36"/>
  <c r="CZ437" i="36"/>
  <c r="DM437" i="36"/>
  <c r="BN434" i="36"/>
  <c r="DB434" i="36"/>
  <c r="DO434" i="36"/>
  <c r="BP431" i="36"/>
  <c r="DD431" i="36"/>
  <c r="DQ431" i="36"/>
  <c r="BH431" i="36"/>
  <c r="BJ428" i="36"/>
  <c r="DK428" i="36"/>
  <c r="CX428" i="36"/>
  <c r="BL425" i="36"/>
  <c r="CZ425" i="36"/>
  <c r="DM425" i="36"/>
  <c r="CU436" i="36"/>
  <c r="DH436" i="36" s="1"/>
  <c r="BY436" i="36"/>
  <c r="BL434" i="36"/>
  <c r="CZ434" i="36"/>
  <c r="DM434" i="36"/>
  <c r="CV440" i="36"/>
  <c r="DI440" i="36" s="1"/>
  <c r="BZ440" i="36"/>
  <c r="CV425" i="36"/>
  <c r="DI425" i="36" s="1"/>
  <c r="BZ425" i="36"/>
  <c r="BK434" i="36"/>
  <c r="DL434" i="36"/>
  <c r="CY434" i="36"/>
  <c r="BN440" i="36"/>
  <c r="DB440" i="36"/>
  <c r="DO440" i="36"/>
  <c r="BP437" i="36"/>
  <c r="DD437" i="36"/>
  <c r="DQ437" i="36"/>
  <c r="BH437" i="36"/>
  <c r="BJ434" i="36"/>
  <c r="DK434" i="36"/>
  <c r="CX434" i="36"/>
  <c r="BL431" i="36"/>
  <c r="CZ431" i="36"/>
  <c r="DM431" i="36"/>
  <c r="BN428" i="36"/>
  <c r="DB428" i="36"/>
  <c r="DO428" i="36"/>
  <c r="BP425" i="36"/>
  <c r="DD425" i="36"/>
  <c r="DQ425" i="36"/>
  <c r="BH425" i="36"/>
  <c r="BQ440" i="36"/>
  <c r="DE440" i="36"/>
  <c r="DR440" i="36"/>
  <c r="BK437" i="36"/>
  <c r="DL437" i="36"/>
  <c r="CY437" i="36"/>
  <c r="CW428" i="36"/>
  <c r="BI428" i="36"/>
  <c r="CU439" i="36"/>
  <c r="DH439" i="36" s="1"/>
  <c r="BY439" i="36"/>
  <c r="CU433" i="36"/>
  <c r="DH433" i="36" s="1"/>
  <c r="BY433" i="36"/>
  <c r="CU430" i="36"/>
  <c r="DH430" i="36" s="1"/>
  <c r="BY430" i="36"/>
  <c r="BY427" i="36"/>
  <c r="CU427" i="36"/>
  <c r="DH427" i="36" s="1"/>
  <c r="BY424" i="36"/>
  <c r="CU424" i="36"/>
  <c r="DH424" i="36" s="1"/>
  <c r="DK437" i="36"/>
  <c r="BJ437" i="36"/>
  <c r="CX437" i="36"/>
  <c r="BN431" i="36"/>
  <c r="DB431" i="36"/>
  <c r="DO431" i="36"/>
  <c r="BP428" i="36"/>
  <c r="DD428" i="36"/>
  <c r="DQ428" i="36"/>
  <c r="BH428" i="36"/>
  <c r="BJ425" i="36"/>
  <c r="DK425" i="36"/>
  <c r="CX425" i="36"/>
  <c r="CV437" i="36"/>
  <c r="DI437" i="36" s="1"/>
  <c r="BZ437" i="36"/>
  <c r="BZ434" i="36"/>
  <c r="CV434" i="36"/>
  <c r="DI434" i="36" s="1"/>
  <c r="CV431" i="36"/>
  <c r="DI431" i="36" s="1"/>
  <c r="BZ431" i="36"/>
  <c r="CV428" i="36"/>
  <c r="DI428" i="36" s="1"/>
  <c r="BZ428" i="36"/>
  <c r="BO440" i="36"/>
  <c r="DC440" i="36"/>
  <c r="DP440" i="36"/>
  <c r="BQ437" i="36"/>
  <c r="DE437" i="36"/>
  <c r="DR437" i="36"/>
  <c r="BI437" i="36"/>
  <c r="CW437" i="36"/>
  <c r="BM431" i="36"/>
  <c r="DA431" i="36"/>
  <c r="DN431" i="36"/>
  <c r="BO428" i="36"/>
  <c r="DC428" i="36"/>
  <c r="DP428" i="36"/>
  <c r="BQ425" i="36"/>
  <c r="DE425" i="36"/>
  <c r="DR425" i="36"/>
  <c r="BI425" i="36"/>
  <c r="CW425" i="36"/>
  <c r="BD428" i="36"/>
  <c r="BM440" i="36"/>
  <c r="DA440" i="36"/>
  <c r="DN440" i="36"/>
  <c r="BO437" i="36"/>
  <c r="DC437" i="36"/>
  <c r="DP437" i="36"/>
  <c r="BQ434" i="36"/>
  <c r="DE434" i="36"/>
  <c r="DR434" i="36"/>
  <c r="CW434" i="36"/>
  <c r="BI434" i="36"/>
  <c r="BK431" i="36"/>
  <c r="DL431" i="36"/>
  <c r="CY431" i="36"/>
  <c r="BM428" i="36"/>
  <c r="DA428" i="36"/>
  <c r="DN428" i="36"/>
  <c r="BO425" i="36"/>
  <c r="DC425" i="36"/>
  <c r="DP425" i="36"/>
  <c r="BP440" i="36"/>
  <c r="DD440" i="36"/>
  <c r="DQ440" i="36"/>
  <c r="BY440" i="36"/>
  <c r="CU440" i="36"/>
  <c r="DH440" i="36" s="1"/>
  <c r="CU437" i="36"/>
  <c r="DH437" i="36" s="1"/>
  <c r="BY437" i="36"/>
  <c r="CU434" i="36"/>
  <c r="DH434" i="36" s="1"/>
  <c r="BY434" i="36"/>
  <c r="CU431" i="36"/>
  <c r="DH431" i="36" s="1"/>
  <c r="BY431" i="36"/>
  <c r="BY428" i="36"/>
  <c r="CU428" i="36"/>
  <c r="DH428" i="36" s="1"/>
  <c r="CU425" i="36"/>
  <c r="DH425" i="36" s="1"/>
  <c r="BY425" i="36"/>
  <c r="BD437" i="36"/>
  <c r="BF431" i="36"/>
  <c r="BC428" i="36"/>
  <c r="BL440" i="36"/>
  <c r="CZ440" i="36"/>
  <c r="DM440" i="36"/>
  <c r="BN437" i="36"/>
  <c r="DB437" i="36"/>
  <c r="DO437" i="36"/>
  <c r="BP434" i="36"/>
  <c r="DD434" i="36"/>
  <c r="DQ434" i="36"/>
  <c r="BH434" i="36"/>
  <c r="BJ431" i="36"/>
  <c r="DK431" i="36"/>
  <c r="CX431" i="36"/>
  <c r="BL428" i="36"/>
  <c r="CZ428" i="36"/>
  <c r="DM428" i="36"/>
  <c r="BN425" i="36"/>
  <c r="DB425" i="36"/>
  <c r="DO425" i="36"/>
  <c r="BD422" i="36"/>
  <c r="BO422" i="36"/>
  <c r="DC422" i="36"/>
  <c r="DP422" i="36"/>
  <c r="BM422" i="36"/>
  <c r="DA422" i="36"/>
  <c r="DN422" i="36"/>
  <c r="BL422" i="36"/>
  <c r="CZ422" i="36"/>
  <c r="DM422" i="36"/>
  <c r="AY422" i="36"/>
  <c r="O476" i="36"/>
  <c r="O503" i="36"/>
  <c r="N476" i="36"/>
  <c r="L476" i="36"/>
  <c r="M468" i="36"/>
  <c r="Q515" i="36"/>
  <c r="O488" i="36"/>
  <c r="Q476" i="36"/>
  <c r="N472" i="36"/>
  <c r="N488" i="36"/>
  <c r="K476" i="36"/>
  <c r="P468" i="36"/>
  <c r="L468" i="36"/>
  <c r="O515" i="36"/>
  <c r="Q468" i="36"/>
  <c r="N468" i="36"/>
  <c r="Q488" i="36"/>
  <c r="P488" i="36"/>
  <c r="P476" i="36"/>
  <c r="M472" i="36"/>
  <c r="N503" i="36"/>
  <c r="P515" i="36"/>
  <c r="M515" i="36"/>
  <c r="Q503" i="36"/>
  <c r="K472" i="36"/>
  <c r="M488" i="36"/>
  <c r="M476" i="36"/>
  <c r="N515" i="36"/>
  <c r="L515" i="36"/>
  <c r="P472" i="36"/>
  <c r="K468" i="36"/>
  <c r="P503" i="36"/>
  <c r="K503" i="36"/>
  <c r="Q472" i="36"/>
  <c r="M503" i="36"/>
  <c r="L472" i="36"/>
  <c r="L488" i="36"/>
  <c r="L503" i="36"/>
  <c r="K515" i="36"/>
  <c r="K488" i="36"/>
  <c r="O495" i="36"/>
  <c r="L499" i="36"/>
  <c r="K495" i="36"/>
  <c r="O499" i="36"/>
  <c r="L495" i="36"/>
  <c r="K499" i="36"/>
  <c r="M495" i="36"/>
  <c r="Q495" i="36"/>
  <c r="P495" i="36"/>
  <c r="M499" i="36"/>
  <c r="N495" i="36"/>
  <c r="N499" i="36"/>
  <c r="BG422" i="36"/>
  <c r="DK422" i="36"/>
  <c r="BJ422" i="36"/>
  <c r="CX422" i="36"/>
  <c r="BC422" i="36"/>
  <c r="BN422" i="36"/>
  <c r="DB422" i="36"/>
  <c r="DO422" i="36"/>
  <c r="BF422" i="36"/>
  <c r="BQ422" i="36"/>
  <c r="DE422" i="36"/>
  <c r="DR422" i="36"/>
  <c r="BI422" i="36"/>
  <c r="CW422" i="36"/>
  <c r="BK422" i="36"/>
  <c r="DL422" i="36"/>
  <c r="CY422" i="36"/>
  <c r="AX422" i="36"/>
  <c r="T474" i="36"/>
  <c r="V470" i="36"/>
  <c r="AD469" i="36"/>
  <c r="T469" i="36"/>
  <c r="S474" i="36"/>
  <c r="AE470" i="36"/>
  <c r="U470" i="36"/>
  <c r="AC469" i="36"/>
  <c r="S469" i="36"/>
  <c r="AD470" i="36"/>
  <c r="T470" i="36"/>
  <c r="AB469" i="36"/>
  <c r="Y474" i="36"/>
  <c r="Z470" i="36"/>
  <c r="AF469" i="36"/>
  <c r="AE469" i="36"/>
  <c r="X474" i="36"/>
  <c r="W470" i="36"/>
  <c r="AF478" i="36"/>
  <c r="AC470" i="36"/>
  <c r="AA469" i="36"/>
  <c r="AA470" i="36"/>
  <c r="AG478" i="36"/>
  <c r="S470" i="36"/>
  <c r="AG474" i="36"/>
  <c r="AB470" i="36"/>
  <c r="X469" i="36"/>
  <c r="W469" i="36"/>
  <c r="V469" i="36"/>
  <c r="U469" i="36"/>
  <c r="Z473" i="36"/>
  <c r="R470" i="36"/>
  <c r="T478" i="36"/>
  <c r="AA473" i="36"/>
  <c r="AB482" i="36"/>
  <c r="AE473" i="36"/>
  <c r="AF474" i="36"/>
  <c r="AC482" i="36"/>
  <c r="AB474" i="36"/>
  <c r="S478" i="36"/>
  <c r="X478" i="36"/>
  <c r="Y482" i="36"/>
  <c r="S473" i="36"/>
  <c r="AB478" i="36"/>
  <c r="AG473" i="36"/>
  <c r="U478" i="36"/>
  <c r="AC474" i="36"/>
  <c r="AD482" i="36"/>
  <c r="U473" i="36"/>
  <c r="Y478" i="36"/>
  <c r="S482" i="36"/>
  <c r="W473" i="36"/>
  <c r="W474" i="36"/>
  <c r="AE482" i="36"/>
  <c r="AB477" i="36"/>
  <c r="AF482" i="36"/>
  <c r="AF473" i="36"/>
  <c r="W478" i="36"/>
  <c r="X473" i="36"/>
  <c r="Z478" i="36"/>
  <c r="R473" i="36"/>
  <c r="AE478" i="36"/>
  <c r="AB473" i="36"/>
  <c r="X482" i="36"/>
  <c r="R469" i="36"/>
  <c r="AD473" i="36"/>
  <c r="AG469" i="36"/>
  <c r="AF470" i="36"/>
  <c r="Y473" i="36"/>
  <c r="AD478" i="36"/>
  <c r="R478" i="36"/>
  <c r="AA482" i="36"/>
  <c r="U474" i="36"/>
  <c r="AA474" i="36"/>
  <c r="Z469" i="36"/>
  <c r="V478" i="36"/>
  <c r="Y469" i="36"/>
  <c r="R482" i="36"/>
  <c r="Y470" i="36"/>
  <c r="Z482" i="36"/>
  <c r="AE474" i="36"/>
  <c r="V473" i="36"/>
  <c r="AC473" i="36"/>
  <c r="AG470" i="36"/>
  <c r="X470" i="36"/>
  <c r="AC478" i="36"/>
  <c r="V474" i="36"/>
  <c r="Z474" i="36"/>
  <c r="T473" i="36"/>
  <c r="AA478" i="36"/>
  <c r="AD474" i="36"/>
  <c r="U477" i="36"/>
  <c r="T477" i="36"/>
  <c r="Z477" i="36"/>
  <c r="T482" i="36"/>
  <c r="Y477" i="36"/>
  <c r="AG482" i="36"/>
  <c r="X477" i="36"/>
  <c r="AD477" i="36"/>
  <c r="W482" i="36"/>
  <c r="W477" i="36"/>
  <c r="AC477" i="36"/>
  <c r="AG477" i="36"/>
  <c r="V482" i="36"/>
  <c r="S477" i="36"/>
  <c r="AF477" i="36"/>
  <c r="U482" i="36"/>
  <c r="AA477" i="36"/>
  <c r="AE477" i="36"/>
  <c r="R477" i="36"/>
  <c r="V477" i="36"/>
  <c r="AB481" i="36"/>
  <c r="Z481" i="36"/>
  <c r="AE486" i="36"/>
  <c r="AD486" i="36"/>
  <c r="T486" i="36"/>
  <c r="AC486" i="36"/>
  <c r="V481" i="36"/>
  <c r="X486" i="36"/>
  <c r="AC481" i="36"/>
  <c r="Z486" i="36"/>
  <c r="R486" i="36"/>
  <c r="AF481" i="36"/>
  <c r="Y481" i="36"/>
  <c r="T481" i="36"/>
  <c r="U481" i="36"/>
  <c r="W481" i="36"/>
  <c r="S481" i="36"/>
  <c r="AA486" i="36"/>
  <c r="W486" i="36"/>
  <c r="AA481" i="36"/>
  <c r="AG486" i="36"/>
  <c r="AG481" i="36"/>
  <c r="X481" i="36"/>
  <c r="AE481" i="36"/>
  <c r="AD481" i="36"/>
  <c r="S486" i="36"/>
  <c r="V486" i="36"/>
  <c r="U486" i="36"/>
  <c r="Y486" i="36"/>
  <c r="AF486" i="36"/>
  <c r="AB486" i="36"/>
  <c r="T490" i="36"/>
  <c r="V490" i="36"/>
  <c r="AF485" i="36"/>
  <c r="R485" i="36"/>
  <c r="R490" i="36"/>
  <c r="AD485" i="36"/>
  <c r="V485" i="36"/>
  <c r="AA485" i="36"/>
  <c r="AC490" i="36"/>
  <c r="AG490" i="36"/>
  <c r="AE485" i="36"/>
  <c r="S485" i="36"/>
  <c r="AB490" i="36"/>
  <c r="X490" i="36"/>
  <c r="Y485" i="36"/>
  <c r="AC485" i="36"/>
  <c r="Z490" i="36"/>
  <c r="Y490" i="36"/>
  <c r="W490" i="36"/>
  <c r="T485" i="36"/>
  <c r="Z485" i="36"/>
  <c r="X485" i="36"/>
  <c r="AE490" i="36"/>
  <c r="S490" i="36"/>
  <c r="U490" i="36"/>
  <c r="AF490" i="36"/>
  <c r="AG485" i="36"/>
  <c r="AB485" i="36"/>
  <c r="AA490" i="36"/>
  <c r="AD490" i="36"/>
  <c r="W485" i="36"/>
  <c r="U485" i="36"/>
  <c r="R489" i="36"/>
  <c r="W489" i="36"/>
  <c r="AA489" i="36"/>
  <c r="V489" i="36"/>
  <c r="AG489" i="36"/>
  <c r="T489" i="36"/>
  <c r="AF489" i="36"/>
  <c r="AB489" i="36"/>
  <c r="AC489" i="36"/>
  <c r="U489" i="36"/>
  <c r="AE489" i="36"/>
  <c r="S489" i="36"/>
  <c r="Z489" i="36"/>
  <c r="AD489" i="36"/>
  <c r="Y489" i="36"/>
  <c r="X489" i="36"/>
  <c r="BE422" i="36"/>
  <c r="BP422" i="36"/>
  <c r="DD422" i="36"/>
  <c r="DQ422" i="36"/>
  <c r="BH422" i="36"/>
  <c r="AD24" i="34"/>
  <c r="AD25" i="34"/>
  <c r="AC24" i="34"/>
  <c r="AC25" i="34"/>
  <c r="AE25" i="34"/>
  <c r="AE24" i="34"/>
  <c r="AF25" i="34"/>
  <c r="AF24" i="34"/>
  <c r="AG25" i="34"/>
  <c r="AG24" i="34"/>
  <c r="S458" i="36"/>
  <c r="F24" i="98" s="1"/>
  <c r="S459" i="36"/>
  <c r="F25" i="98" s="1"/>
  <c r="P458" i="36"/>
  <c r="C24" i="98" s="1"/>
  <c r="X458" i="36"/>
  <c r="K24" i="98" s="1"/>
  <c r="AF458" i="36"/>
  <c r="S24" i="98" s="1"/>
  <c r="Z459" i="36"/>
  <c r="M25" i="98" s="1"/>
  <c r="K459" i="36"/>
  <c r="M459" i="36"/>
  <c r="U459" i="36"/>
  <c r="H25" i="98" s="1"/>
  <c r="P459" i="36"/>
  <c r="C25" i="98" s="1"/>
  <c r="W458" i="36"/>
  <c r="J24" i="98" s="1"/>
  <c r="Q458" i="36"/>
  <c r="D24" i="98" s="1"/>
  <c r="Y458" i="36"/>
  <c r="L24" i="98" s="1"/>
  <c r="AG458" i="36"/>
  <c r="T24" i="98" s="1"/>
  <c r="AA459" i="36"/>
  <c r="N25" i="98" s="1"/>
  <c r="K458" i="36"/>
  <c r="AD458" i="36"/>
  <c r="Q24" i="98" s="1"/>
  <c r="AF459" i="36"/>
  <c r="S25" i="98" s="1"/>
  <c r="Y459" i="36"/>
  <c r="L25" i="98" s="1"/>
  <c r="Z458" i="36"/>
  <c r="M24" i="98" s="1"/>
  <c r="L459" i="36"/>
  <c r="T459" i="36"/>
  <c r="G25" i="98" s="1"/>
  <c r="AB459" i="36"/>
  <c r="O25" i="98" s="1"/>
  <c r="AA458" i="36"/>
  <c r="N24" i="98" s="1"/>
  <c r="AC459" i="36"/>
  <c r="P25" i="98" s="1"/>
  <c r="V458" i="36"/>
  <c r="I24" i="98" s="1"/>
  <c r="Q459" i="36"/>
  <c r="D25" i="98" s="1"/>
  <c r="AG459" i="36"/>
  <c r="T25" i="98" s="1"/>
  <c r="L458" i="36"/>
  <c r="T458" i="36"/>
  <c r="G24" i="98" s="1"/>
  <c r="AB458" i="36"/>
  <c r="O24" i="98" s="1"/>
  <c r="N459" i="36"/>
  <c r="V459" i="36"/>
  <c r="I25" i="98" s="1"/>
  <c r="AD459" i="36"/>
  <c r="Q25" i="98" s="1"/>
  <c r="M458" i="36"/>
  <c r="U458" i="36"/>
  <c r="H24" i="98" s="1"/>
  <c r="AC458" i="36"/>
  <c r="P24" i="98" s="1"/>
  <c r="O459" i="36"/>
  <c r="W459" i="36"/>
  <c r="J25" i="98" s="1"/>
  <c r="AE459" i="36"/>
  <c r="R25" i="98" s="1"/>
  <c r="N458" i="36"/>
  <c r="X459" i="36"/>
  <c r="K25" i="98" s="1"/>
  <c r="AE458" i="36"/>
  <c r="R24" i="98" s="1"/>
  <c r="K446" i="36"/>
  <c r="S446" i="36"/>
  <c r="AA446" i="36"/>
  <c r="L447" i="36"/>
  <c r="T447" i="36"/>
  <c r="AB447" i="36"/>
  <c r="M448" i="36"/>
  <c r="U448" i="36"/>
  <c r="AC448" i="36"/>
  <c r="N449" i="36"/>
  <c r="V449" i="36"/>
  <c r="AD449" i="36"/>
  <c r="O450" i="36"/>
  <c r="W450" i="36"/>
  <c r="AE450" i="36"/>
  <c r="Q445" i="36"/>
  <c r="Y445" i="36"/>
  <c r="AG445" i="36"/>
  <c r="AD446" i="36"/>
  <c r="X448" i="36"/>
  <c r="Y449" i="36"/>
  <c r="Z450" i="36"/>
  <c r="AB445" i="36"/>
  <c r="W446" i="36"/>
  <c r="AF447" i="36"/>
  <c r="Y448" i="36"/>
  <c r="Z449" i="36"/>
  <c r="S450" i="36"/>
  <c r="U445" i="36"/>
  <c r="Z446" i="36"/>
  <c r="M449" i="36"/>
  <c r="V450" i="36"/>
  <c r="AF445" i="36"/>
  <c r="L446" i="36"/>
  <c r="T446" i="36"/>
  <c r="AB446" i="36"/>
  <c r="M447" i="36"/>
  <c r="U447" i="36"/>
  <c r="AC447" i="36"/>
  <c r="N448" i="36"/>
  <c r="V448" i="36"/>
  <c r="AD448" i="36"/>
  <c r="O449" i="36"/>
  <c r="W449" i="36"/>
  <c r="AE449" i="36"/>
  <c r="P450" i="36"/>
  <c r="X450" i="36"/>
  <c r="AF450" i="36"/>
  <c r="Z445" i="36"/>
  <c r="K445" i="36"/>
  <c r="N446" i="36"/>
  <c r="W447" i="36"/>
  <c r="AE447" i="36"/>
  <c r="AF448" i="36"/>
  <c r="AG449" i="36"/>
  <c r="T445" i="36"/>
  <c r="AE446" i="36"/>
  <c r="P447" i="36"/>
  <c r="Q448" i="36"/>
  <c r="M445" i="36"/>
  <c r="K447" i="36"/>
  <c r="AB448" i="36"/>
  <c r="N450" i="36"/>
  <c r="X445" i="36"/>
  <c r="M446" i="36"/>
  <c r="U446" i="36"/>
  <c r="AC446" i="36"/>
  <c r="N447" i="36"/>
  <c r="V447" i="36"/>
  <c r="AD447" i="36"/>
  <c r="O448" i="36"/>
  <c r="W448" i="36"/>
  <c r="AE448" i="36"/>
  <c r="P449" i="36"/>
  <c r="X449" i="36"/>
  <c r="AF449" i="36"/>
  <c r="Q450" i="36"/>
  <c r="Y450" i="36"/>
  <c r="AG450" i="36"/>
  <c r="S445" i="36"/>
  <c r="AA445" i="36"/>
  <c r="V446" i="36"/>
  <c r="O447" i="36"/>
  <c r="P448" i="36"/>
  <c r="Q449" i="36"/>
  <c r="L445" i="36"/>
  <c r="X447" i="36"/>
  <c r="AG448" i="36"/>
  <c r="K450" i="36"/>
  <c r="AA450" i="36"/>
  <c r="AC445" i="36"/>
  <c r="S447" i="36"/>
  <c r="T448" i="36"/>
  <c r="AC449" i="36"/>
  <c r="P446" i="36"/>
  <c r="X446" i="36"/>
  <c r="AF446" i="36"/>
  <c r="Q447" i="36"/>
  <c r="Y447" i="36"/>
  <c r="AG447" i="36"/>
  <c r="Z448" i="36"/>
  <c r="K449" i="36"/>
  <c r="S449" i="36"/>
  <c r="AA449" i="36"/>
  <c r="L450" i="36"/>
  <c r="T450" i="36"/>
  <c r="AB450" i="36"/>
  <c r="N445" i="36"/>
  <c r="V445" i="36"/>
  <c r="AD445" i="36"/>
  <c r="Q446" i="36"/>
  <c r="Y446" i="36"/>
  <c r="AG446" i="36"/>
  <c r="Z447" i="36"/>
  <c r="K448" i="36"/>
  <c r="S448" i="36"/>
  <c r="AA448" i="36"/>
  <c r="L449" i="36"/>
  <c r="T449" i="36"/>
  <c r="AB449" i="36"/>
  <c r="M450" i="36"/>
  <c r="U450" i="36"/>
  <c r="AC450" i="36"/>
  <c r="W445" i="36"/>
  <c r="AE445" i="36"/>
  <c r="AA447" i="36"/>
  <c r="L448" i="36"/>
  <c r="U449" i="36"/>
  <c r="AD450" i="36"/>
  <c r="AD20" i="36"/>
  <c r="AF20" i="36"/>
  <c r="AC20" i="36"/>
  <c r="AG20" i="36"/>
  <c r="AE20" i="36"/>
  <c r="AG20" i="57"/>
  <c r="AF20" i="57"/>
  <c r="AE20" i="57"/>
  <c r="AD20" i="57"/>
  <c r="AC20" i="57"/>
  <c r="CJ421" i="36"/>
  <c r="CK422" i="36"/>
  <c r="Y146" i="12"/>
  <c r="X146" i="12"/>
  <c r="AF146" i="12"/>
  <c r="U146" i="12"/>
  <c r="AB146" i="12"/>
  <c r="T146" i="12"/>
  <c r="AG146" i="12"/>
  <c r="AD146" i="12"/>
  <c r="Z146" i="12"/>
  <c r="V146" i="12"/>
  <c r="S146" i="12"/>
  <c r="AC146" i="12"/>
  <c r="AA146" i="12"/>
  <c r="W146" i="12"/>
  <c r="AE146" i="12"/>
  <c r="AG19" i="34"/>
  <c r="AF19" i="34"/>
  <c r="AD19" i="34"/>
  <c r="AC19" i="34"/>
  <c r="AE19" i="34"/>
  <c r="AC28" i="30"/>
  <c r="AC24" i="42" s="1"/>
  <c r="AD28" i="30"/>
  <c r="AD24" i="42" s="1"/>
  <c r="AD101" i="41" s="1"/>
  <c r="AE28" i="30"/>
  <c r="AE24" i="42" s="1"/>
  <c r="AE101" i="41" s="1"/>
  <c r="AF28" i="30"/>
  <c r="AF24" i="42" s="1"/>
  <c r="AF101" i="41" s="1"/>
  <c r="AG28" i="30"/>
  <c r="AG24" i="42" s="1"/>
  <c r="AG101" i="41" s="1"/>
  <c r="AC29" i="30"/>
  <c r="AC25" i="42" s="1"/>
  <c r="AD29" i="30"/>
  <c r="AD25" i="42" s="1"/>
  <c r="AE29" i="30"/>
  <c r="AE25" i="42" s="1"/>
  <c r="AF29" i="30"/>
  <c r="AF25" i="42" s="1"/>
  <c r="AG29" i="30"/>
  <c r="AG25" i="42" s="1"/>
  <c r="AC30" i="30"/>
  <c r="AD30" i="30"/>
  <c r="AE30" i="30"/>
  <c r="AF30" i="30"/>
  <c r="AG30" i="30"/>
  <c r="R16" i="30"/>
  <c r="R15" i="30"/>
  <c r="C18" i="5"/>
  <c r="CW146" i="90"/>
  <c r="AG149" i="56" s="1"/>
  <c r="CV146" i="90"/>
  <c r="AF149" i="56" s="1"/>
  <c r="CU146" i="90"/>
  <c r="AE149" i="56" s="1"/>
  <c r="CT146" i="90"/>
  <c r="AD149" i="56" s="1"/>
  <c r="CS146" i="90"/>
  <c r="AC149" i="56" s="1"/>
  <c r="CR146" i="90"/>
  <c r="AB149" i="56" s="1"/>
  <c r="CQ146" i="90"/>
  <c r="AA149" i="56" s="1"/>
  <c r="CP146" i="90"/>
  <c r="Z149" i="56" s="1"/>
  <c r="CO146" i="90"/>
  <c r="Y149" i="56" s="1"/>
  <c r="CN146" i="90"/>
  <c r="X149" i="56" s="1"/>
  <c r="BE146" i="90"/>
  <c r="CA146" i="90" s="1"/>
  <c r="BD146" i="90"/>
  <c r="BZ146" i="90" s="1"/>
  <c r="BC146" i="90"/>
  <c r="BY146" i="90" s="1"/>
  <c r="BB146" i="90"/>
  <c r="BX146" i="90" s="1"/>
  <c r="BA146" i="90"/>
  <c r="BW146" i="90" s="1"/>
  <c r="AZ146" i="90"/>
  <c r="BV146" i="90" s="1"/>
  <c r="AY146" i="90"/>
  <c r="BU146" i="90" s="1"/>
  <c r="AX146" i="90"/>
  <c r="BT146" i="90" s="1"/>
  <c r="AW146" i="90"/>
  <c r="BS146" i="90" s="1"/>
  <c r="AV146" i="90"/>
  <c r="BR146" i="90" s="1"/>
  <c r="BG146" i="90" s="1"/>
  <c r="BE145" i="90"/>
  <c r="CA145" i="90" s="1"/>
  <c r="BD145" i="90"/>
  <c r="BZ145" i="90" s="1"/>
  <c r="BC145" i="90"/>
  <c r="BY145" i="90" s="1"/>
  <c r="BB145" i="90"/>
  <c r="BX145" i="90" s="1"/>
  <c r="BA145" i="90"/>
  <c r="BW145" i="90" s="1"/>
  <c r="AZ145" i="90"/>
  <c r="BV145" i="90" s="1"/>
  <c r="AY145" i="90"/>
  <c r="BU145" i="90" s="1"/>
  <c r="AX145" i="90"/>
  <c r="BT145" i="90" s="1"/>
  <c r="AW145" i="90"/>
  <c r="BS145" i="90" s="1"/>
  <c r="AV145" i="90"/>
  <c r="BR145" i="90" s="1"/>
  <c r="BG145" i="90" s="1"/>
  <c r="CW144" i="90"/>
  <c r="AG147" i="56" s="1"/>
  <c r="CV144" i="90"/>
  <c r="AF147" i="56" s="1"/>
  <c r="CU144" i="90"/>
  <c r="AE147" i="56" s="1"/>
  <c r="CT144" i="90"/>
  <c r="AD147" i="56" s="1"/>
  <c r="CS144" i="90"/>
  <c r="AC147" i="56" s="1"/>
  <c r="CR144" i="90"/>
  <c r="AB147" i="56" s="1"/>
  <c r="CQ144" i="90"/>
  <c r="AA147" i="56" s="1"/>
  <c r="CP144" i="90"/>
  <c r="Z147" i="56" s="1"/>
  <c r="CO144" i="90"/>
  <c r="Y147" i="56" s="1"/>
  <c r="CN144" i="90"/>
  <c r="X147" i="56" s="1"/>
  <c r="BP144" i="90"/>
  <c r="BO144" i="90"/>
  <c r="BN144" i="90"/>
  <c r="BM144" i="90"/>
  <c r="BL144" i="90"/>
  <c r="BK144" i="90"/>
  <c r="BJ144" i="90"/>
  <c r="BI144" i="90"/>
  <c r="BH144" i="90"/>
  <c r="BG144" i="90"/>
  <c r="BE144" i="90"/>
  <c r="CA144" i="90" s="1"/>
  <c r="BD144" i="90"/>
  <c r="BZ144" i="90" s="1"/>
  <c r="BC144" i="90"/>
  <c r="BY144" i="90" s="1"/>
  <c r="BB144" i="90"/>
  <c r="BX144" i="90" s="1"/>
  <c r="BA144" i="90"/>
  <c r="BW144" i="90" s="1"/>
  <c r="AZ144" i="90"/>
  <c r="BV144" i="90" s="1"/>
  <c r="AY144" i="90"/>
  <c r="BU144" i="90" s="1"/>
  <c r="AX144" i="90"/>
  <c r="BT144" i="90" s="1"/>
  <c r="AW144" i="90"/>
  <c r="BS144" i="90" s="1"/>
  <c r="AV144" i="90"/>
  <c r="BR144" i="90" s="1"/>
  <c r="BE143" i="90"/>
  <c r="CA143" i="90" s="1"/>
  <c r="BD143" i="90"/>
  <c r="BZ143" i="90" s="1"/>
  <c r="BC143" i="90"/>
  <c r="BY143" i="90" s="1"/>
  <c r="BB143" i="90"/>
  <c r="BX143" i="90" s="1"/>
  <c r="BA143" i="90"/>
  <c r="BW143" i="90" s="1"/>
  <c r="AZ143" i="90"/>
  <c r="BV143" i="90" s="1"/>
  <c r="AY143" i="90"/>
  <c r="AX143" i="90"/>
  <c r="BT143" i="90" s="1"/>
  <c r="AW143" i="90"/>
  <c r="BS143" i="90" s="1"/>
  <c r="AV143" i="90"/>
  <c r="BR143" i="90" s="1"/>
  <c r="BE142" i="90"/>
  <c r="BD142" i="90"/>
  <c r="BZ142" i="90" s="1"/>
  <c r="BC142" i="90"/>
  <c r="BY142" i="90" s="1"/>
  <c r="BB142" i="90"/>
  <c r="BX142" i="90" s="1"/>
  <c r="BA142" i="90"/>
  <c r="BW142" i="90" s="1"/>
  <c r="AZ142" i="90"/>
  <c r="BV142" i="90" s="1"/>
  <c r="AY142" i="90"/>
  <c r="BU142" i="90" s="1"/>
  <c r="AX142" i="90"/>
  <c r="BT142" i="90" s="1"/>
  <c r="AW142" i="90"/>
  <c r="AV142" i="90"/>
  <c r="BR142" i="90" s="1"/>
  <c r="BE141" i="90"/>
  <c r="BD141" i="90"/>
  <c r="BZ141" i="90" s="1"/>
  <c r="BC141" i="90"/>
  <c r="BY141" i="90" s="1"/>
  <c r="BB141" i="90"/>
  <c r="BX141" i="90" s="1"/>
  <c r="BA141" i="90"/>
  <c r="BW141" i="90" s="1"/>
  <c r="AZ141" i="90"/>
  <c r="BV141" i="90" s="1"/>
  <c r="AY141" i="90"/>
  <c r="BU141" i="90" s="1"/>
  <c r="AX141" i="90"/>
  <c r="BT141" i="90" s="1"/>
  <c r="AW141" i="90"/>
  <c r="AV141" i="90"/>
  <c r="BR141" i="90" s="1"/>
  <c r="BE140" i="90"/>
  <c r="BD140" i="90"/>
  <c r="BZ140" i="90" s="1"/>
  <c r="BC140" i="90"/>
  <c r="BY140" i="90" s="1"/>
  <c r="BB140" i="90"/>
  <c r="BX140" i="90" s="1"/>
  <c r="BA140" i="90"/>
  <c r="BW140" i="90" s="1"/>
  <c r="AZ140" i="90"/>
  <c r="BV140" i="90" s="1"/>
  <c r="AY140" i="90"/>
  <c r="BU140" i="90" s="1"/>
  <c r="AX140" i="90"/>
  <c r="BT140" i="90" s="1"/>
  <c r="AW140" i="90"/>
  <c r="AV140" i="90"/>
  <c r="BR140" i="90" s="1"/>
  <c r="BE139" i="90"/>
  <c r="BD139" i="90"/>
  <c r="BZ139" i="90" s="1"/>
  <c r="BC139" i="90"/>
  <c r="BY139" i="90" s="1"/>
  <c r="BB139" i="90"/>
  <c r="BX139" i="90" s="1"/>
  <c r="BA139" i="90"/>
  <c r="BW139" i="90" s="1"/>
  <c r="AZ139" i="90"/>
  <c r="BV139" i="90" s="1"/>
  <c r="AY139" i="90"/>
  <c r="BU139" i="90" s="1"/>
  <c r="AX139" i="90"/>
  <c r="BT139" i="90" s="1"/>
  <c r="AW139" i="90"/>
  <c r="AV139" i="90"/>
  <c r="BR139" i="90" s="1"/>
  <c r="BG139" i="90" s="1"/>
  <c r="BE138" i="90"/>
  <c r="BD138" i="90"/>
  <c r="BZ138" i="90" s="1"/>
  <c r="BC138" i="90"/>
  <c r="BY138" i="90" s="1"/>
  <c r="BB138" i="90"/>
  <c r="BX138" i="90" s="1"/>
  <c r="BA138" i="90"/>
  <c r="BW138" i="90" s="1"/>
  <c r="AZ138" i="90"/>
  <c r="BV138" i="90" s="1"/>
  <c r="AY138" i="90"/>
  <c r="BU138" i="90" s="1"/>
  <c r="AX138" i="90"/>
  <c r="BT138" i="90" s="1"/>
  <c r="AW138" i="90"/>
  <c r="AV138" i="90"/>
  <c r="BR138" i="90" s="1"/>
  <c r="BG138" i="90" s="1"/>
  <c r="BE137" i="90"/>
  <c r="BD137" i="90"/>
  <c r="BZ137" i="90" s="1"/>
  <c r="BC137" i="90"/>
  <c r="BY137" i="90" s="1"/>
  <c r="BB137" i="90"/>
  <c r="BX137" i="90" s="1"/>
  <c r="BA137" i="90"/>
  <c r="BW137" i="90" s="1"/>
  <c r="AZ137" i="90"/>
  <c r="BV137" i="90" s="1"/>
  <c r="AY137" i="90"/>
  <c r="BU137" i="90" s="1"/>
  <c r="AX137" i="90"/>
  <c r="BT137" i="90" s="1"/>
  <c r="AW137" i="90"/>
  <c r="AV137" i="90"/>
  <c r="BR137" i="90" s="1"/>
  <c r="BG137" i="90" s="1"/>
  <c r="BE136" i="90"/>
  <c r="BD136" i="90"/>
  <c r="BZ136" i="90" s="1"/>
  <c r="BC136" i="90"/>
  <c r="BY136" i="90" s="1"/>
  <c r="BB136" i="90"/>
  <c r="BX136" i="90" s="1"/>
  <c r="BA136" i="90"/>
  <c r="BW136" i="90" s="1"/>
  <c r="AZ136" i="90"/>
  <c r="BV136" i="90" s="1"/>
  <c r="AY136" i="90"/>
  <c r="BU136" i="90" s="1"/>
  <c r="AX136" i="90"/>
  <c r="BT136" i="90" s="1"/>
  <c r="AW136" i="90"/>
  <c r="AV136" i="90"/>
  <c r="BR136" i="90" s="1"/>
  <c r="BG136" i="90" s="1"/>
  <c r="BE135" i="90"/>
  <c r="BD135" i="90"/>
  <c r="BZ135" i="90" s="1"/>
  <c r="BC135" i="90"/>
  <c r="BY135" i="90" s="1"/>
  <c r="BB135" i="90"/>
  <c r="BX135" i="90" s="1"/>
  <c r="BA135" i="90"/>
  <c r="BW135" i="90" s="1"/>
  <c r="AZ135" i="90"/>
  <c r="BV135" i="90" s="1"/>
  <c r="AY135" i="90"/>
  <c r="BU135" i="90" s="1"/>
  <c r="AX135" i="90"/>
  <c r="BT135" i="90" s="1"/>
  <c r="AW135" i="90"/>
  <c r="AV135" i="90"/>
  <c r="BR135" i="90" s="1"/>
  <c r="BG135" i="90" s="1"/>
  <c r="BE134" i="90"/>
  <c r="BD134" i="90"/>
  <c r="BZ134" i="90" s="1"/>
  <c r="BC134" i="90"/>
  <c r="BY134" i="90" s="1"/>
  <c r="BB134" i="90"/>
  <c r="BX134" i="90" s="1"/>
  <c r="BA134" i="90"/>
  <c r="BW134" i="90" s="1"/>
  <c r="AZ134" i="90"/>
  <c r="BV134" i="90" s="1"/>
  <c r="AY134" i="90"/>
  <c r="BU134" i="90" s="1"/>
  <c r="AX134" i="90"/>
  <c r="BT134" i="90" s="1"/>
  <c r="AW134" i="90"/>
  <c r="AV134" i="90"/>
  <c r="BR134" i="90" s="1"/>
  <c r="BE133" i="90"/>
  <c r="BD133" i="90"/>
  <c r="BZ133" i="90" s="1"/>
  <c r="BC133" i="90"/>
  <c r="BY133" i="90" s="1"/>
  <c r="BB133" i="90"/>
  <c r="BX133" i="90" s="1"/>
  <c r="BA133" i="90"/>
  <c r="BW133" i="90" s="1"/>
  <c r="AZ133" i="90"/>
  <c r="BV133" i="90" s="1"/>
  <c r="AY133" i="90"/>
  <c r="BU133" i="90" s="1"/>
  <c r="AX133" i="90"/>
  <c r="BT133" i="90" s="1"/>
  <c r="AW133" i="90"/>
  <c r="AV133" i="90"/>
  <c r="BR133" i="90" s="1"/>
  <c r="BE132" i="90"/>
  <c r="BD132" i="90"/>
  <c r="BZ132" i="90" s="1"/>
  <c r="BC132" i="90"/>
  <c r="BY132" i="90" s="1"/>
  <c r="BB132" i="90"/>
  <c r="BX132" i="90" s="1"/>
  <c r="BA132" i="90"/>
  <c r="BW132" i="90" s="1"/>
  <c r="AZ132" i="90"/>
  <c r="BV132" i="90" s="1"/>
  <c r="AY132" i="90"/>
  <c r="BU132" i="90" s="1"/>
  <c r="AX132" i="90"/>
  <c r="BT132" i="90" s="1"/>
  <c r="AW132" i="90"/>
  <c r="AV132" i="90"/>
  <c r="BR132" i="90" s="1"/>
  <c r="BE131" i="90"/>
  <c r="BD131" i="90"/>
  <c r="BZ131" i="90" s="1"/>
  <c r="BC131" i="90"/>
  <c r="BY131" i="90" s="1"/>
  <c r="BB131" i="90"/>
  <c r="BX131" i="90" s="1"/>
  <c r="BA131" i="90"/>
  <c r="BW131" i="90" s="1"/>
  <c r="AZ131" i="90"/>
  <c r="BV131" i="90" s="1"/>
  <c r="AY131" i="90"/>
  <c r="BU131" i="90" s="1"/>
  <c r="AX131" i="90"/>
  <c r="BT131" i="90" s="1"/>
  <c r="AW131" i="90"/>
  <c r="AV131" i="90"/>
  <c r="BR131" i="90" s="1"/>
  <c r="BG131" i="90" s="1"/>
  <c r="BE130" i="90"/>
  <c r="BD130" i="90"/>
  <c r="BZ130" i="90" s="1"/>
  <c r="BC130" i="90"/>
  <c r="BY130" i="90" s="1"/>
  <c r="BB130" i="90"/>
  <c r="BX130" i="90" s="1"/>
  <c r="BA130" i="90"/>
  <c r="BW130" i="90" s="1"/>
  <c r="AZ130" i="90"/>
  <c r="BV130" i="90" s="1"/>
  <c r="AY130" i="90"/>
  <c r="BU130" i="90" s="1"/>
  <c r="AX130" i="90"/>
  <c r="BT130" i="90" s="1"/>
  <c r="AW130" i="90"/>
  <c r="AV130" i="90"/>
  <c r="BR130" i="90" s="1"/>
  <c r="BG130" i="90" s="1"/>
  <c r="BE129" i="90"/>
  <c r="BD129" i="90"/>
  <c r="BZ129" i="90" s="1"/>
  <c r="BC129" i="90"/>
  <c r="BY129" i="90" s="1"/>
  <c r="BB129" i="90"/>
  <c r="BX129" i="90" s="1"/>
  <c r="BA129" i="90"/>
  <c r="BW129" i="90" s="1"/>
  <c r="AZ129" i="90"/>
  <c r="BV129" i="90" s="1"/>
  <c r="AY129" i="90"/>
  <c r="BU129" i="90" s="1"/>
  <c r="AX129" i="90"/>
  <c r="BT129" i="90" s="1"/>
  <c r="AW129" i="90"/>
  <c r="AV129" i="90"/>
  <c r="BR129" i="90" s="1"/>
  <c r="BG129" i="90" s="1"/>
  <c r="BE128" i="90"/>
  <c r="BD128" i="90"/>
  <c r="BZ128" i="90" s="1"/>
  <c r="BC128" i="90"/>
  <c r="BY128" i="90" s="1"/>
  <c r="BB128" i="90"/>
  <c r="BX128" i="90" s="1"/>
  <c r="BA128" i="90"/>
  <c r="BW128" i="90" s="1"/>
  <c r="AZ128" i="90"/>
  <c r="BV128" i="90" s="1"/>
  <c r="AY128" i="90"/>
  <c r="BU128" i="90" s="1"/>
  <c r="AX128" i="90"/>
  <c r="BT128" i="90" s="1"/>
  <c r="AW128" i="90"/>
  <c r="AV128" i="90"/>
  <c r="BR128" i="90" s="1"/>
  <c r="BG128" i="90" s="1"/>
  <c r="BG127" i="90"/>
  <c r="BE127" i="90"/>
  <c r="BD127" i="90"/>
  <c r="BZ127" i="90" s="1"/>
  <c r="BC127" i="90"/>
  <c r="BY127" i="90" s="1"/>
  <c r="BB127" i="90"/>
  <c r="BX127" i="90" s="1"/>
  <c r="BA127" i="90"/>
  <c r="BW127" i="90" s="1"/>
  <c r="AZ127" i="90"/>
  <c r="BV127" i="90" s="1"/>
  <c r="AY127" i="90"/>
  <c r="BU127" i="90" s="1"/>
  <c r="AX127" i="90"/>
  <c r="BT127" i="90" s="1"/>
  <c r="AW127" i="90"/>
  <c r="AV127" i="90"/>
  <c r="BR127" i="90" s="1"/>
  <c r="BE126" i="90"/>
  <c r="BD126" i="90"/>
  <c r="BZ126" i="90" s="1"/>
  <c r="BC126" i="90"/>
  <c r="BY126" i="90" s="1"/>
  <c r="BB126" i="90"/>
  <c r="BX126" i="90" s="1"/>
  <c r="BA126" i="90"/>
  <c r="BW126" i="90" s="1"/>
  <c r="AZ126" i="90"/>
  <c r="BV126" i="90" s="1"/>
  <c r="AY126" i="90"/>
  <c r="BU126" i="90" s="1"/>
  <c r="AX126" i="90"/>
  <c r="BT126" i="90" s="1"/>
  <c r="AW126" i="90"/>
  <c r="AV126" i="90"/>
  <c r="BR126" i="90" s="1"/>
  <c r="BE125" i="90"/>
  <c r="BD125" i="90"/>
  <c r="BZ125" i="90" s="1"/>
  <c r="BC125" i="90"/>
  <c r="BY125" i="90" s="1"/>
  <c r="BB125" i="90"/>
  <c r="BX125" i="90" s="1"/>
  <c r="BA125" i="90"/>
  <c r="BW125" i="90" s="1"/>
  <c r="AZ125" i="90"/>
  <c r="BV125" i="90" s="1"/>
  <c r="AY125" i="90"/>
  <c r="BU125" i="90" s="1"/>
  <c r="AX125" i="90"/>
  <c r="BT125" i="90" s="1"/>
  <c r="AW125" i="90"/>
  <c r="BS125" i="90" s="1"/>
  <c r="AV125" i="90"/>
  <c r="BR125" i="90" s="1"/>
  <c r="BG125" i="90" s="1"/>
  <c r="BE124" i="90"/>
  <c r="BD124" i="90"/>
  <c r="BZ124" i="90" s="1"/>
  <c r="BC124" i="90"/>
  <c r="BY124" i="90" s="1"/>
  <c r="BB124" i="90"/>
  <c r="BX124" i="90" s="1"/>
  <c r="BA124" i="90"/>
  <c r="BW124" i="90" s="1"/>
  <c r="AZ124" i="90"/>
  <c r="BV124" i="90" s="1"/>
  <c r="AY124" i="90"/>
  <c r="BU124" i="90" s="1"/>
  <c r="AX124" i="90"/>
  <c r="BT124" i="90" s="1"/>
  <c r="AW124" i="90"/>
  <c r="BS124" i="90" s="1"/>
  <c r="AV124" i="90"/>
  <c r="BR124" i="90" s="1"/>
  <c r="BE123" i="90"/>
  <c r="BD123" i="90"/>
  <c r="BZ123" i="90" s="1"/>
  <c r="BC123" i="90"/>
  <c r="BY123" i="90" s="1"/>
  <c r="BB123" i="90"/>
  <c r="BX123" i="90" s="1"/>
  <c r="BA123" i="90"/>
  <c r="BW123" i="90" s="1"/>
  <c r="AZ123" i="90"/>
  <c r="BV123" i="90" s="1"/>
  <c r="AY123" i="90"/>
  <c r="BU123" i="90" s="1"/>
  <c r="AX123" i="90"/>
  <c r="BT123" i="90" s="1"/>
  <c r="AW123" i="90"/>
  <c r="AV123" i="90"/>
  <c r="BR123" i="90" s="1"/>
  <c r="BG123" i="90" s="1"/>
  <c r="BE122" i="90"/>
  <c r="BD122" i="90"/>
  <c r="BZ122" i="90" s="1"/>
  <c r="BC122" i="90"/>
  <c r="BY122" i="90" s="1"/>
  <c r="BB122" i="90"/>
  <c r="BX122" i="90" s="1"/>
  <c r="BA122" i="90"/>
  <c r="BW122" i="90" s="1"/>
  <c r="AZ122" i="90"/>
  <c r="BV122" i="90" s="1"/>
  <c r="AY122" i="90"/>
  <c r="BU122" i="90" s="1"/>
  <c r="AX122" i="90"/>
  <c r="BT122" i="90" s="1"/>
  <c r="AW122" i="90"/>
  <c r="AV122" i="90"/>
  <c r="BR122" i="90" s="1"/>
  <c r="BG122" i="90" s="1"/>
  <c r="BE121" i="90"/>
  <c r="BD121" i="90"/>
  <c r="BZ121" i="90" s="1"/>
  <c r="BC121" i="90"/>
  <c r="BY121" i="90" s="1"/>
  <c r="BB121" i="90"/>
  <c r="BX121" i="90" s="1"/>
  <c r="BA121" i="90"/>
  <c r="BW121" i="90" s="1"/>
  <c r="AZ121" i="90"/>
  <c r="BV121" i="90" s="1"/>
  <c r="AY121" i="90"/>
  <c r="BU121" i="90" s="1"/>
  <c r="AX121" i="90"/>
  <c r="BT121" i="90" s="1"/>
  <c r="AW121" i="90"/>
  <c r="BS121" i="90" s="1"/>
  <c r="AV121" i="90"/>
  <c r="BR121" i="90" s="1"/>
  <c r="BG121" i="90" s="1"/>
  <c r="BE120" i="90"/>
  <c r="CA120" i="90" s="1"/>
  <c r="BD120" i="90"/>
  <c r="BC120" i="90"/>
  <c r="BY120" i="90" s="1"/>
  <c r="BB120" i="90"/>
  <c r="BX120" i="90" s="1"/>
  <c r="BA120" i="90"/>
  <c r="BW120" i="90" s="1"/>
  <c r="AZ120" i="90"/>
  <c r="BV120" i="90" s="1"/>
  <c r="AY120" i="90"/>
  <c r="BU120" i="90" s="1"/>
  <c r="AX120" i="90"/>
  <c r="BT120" i="90" s="1"/>
  <c r="AW120" i="90"/>
  <c r="BS120" i="90" s="1"/>
  <c r="AV120" i="90"/>
  <c r="BR120" i="90" s="1"/>
  <c r="BE119" i="90"/>
  <c r="CA119" i="90" s="1"/>
  <c r="BD119" i="90"/>
  <c r="BC119" i="90"/>
  <c r="BY119" i="90" s="1"/>
  <c r="BB119" i="90"/>
  <c r="BX119" i="90" s="1"/>
  <c r="BA119" i="90"/>
  <c r="BW119" i="90" s="1"/>
  <c r="AZ119" i="90"/>
  <c r="BV119" i="90" s="1"/>
  <c r="AY119" i="90"/>
  <c r="BU119" i="90" s="1"/>
  <c r="AX119" i="90"/>
  <c r="BT119" i="90" s="1"/>
  <c r="AW119" i="90"/>
  <c r="BS119" i="90" s="1"/>
  <c r="BH119" i="90" s="1"/>
  <c r="AV119" i="90"/>
  <c r="BR119" i="90" s="1"/>
  <c r="BE118" i="90"/>
  <c r="CA118" i="90" s="1"/>
  <c r="BD118" i="90"/>
  <c r="BC118" i="90"/>
  <c r="BY118" i="90" s="1"/>
  <c r="BB118" i="90"/>
  <c r="BX118" i="90" s="1"/>
  <c r="BA118" i="90"/>
  <c r="BW118" i="90" s="1"/>
  <c r="AZ118" i="90"/>
  <c r="BV118" i="90" s="1"/>
  <c r="AY118" i="90"/>
  <c r="BU118" i="90" s="1"/>
  <c r="AX118" i="90"/>
  <c r="BT118" i="90" s="1"/>
  <c r="AW118" i="90"/>
  <c r="BS118" i="90" s="1"/>
  <c r="AV118" i="90"/>
  <c r="BR118" i="90" s="1"/>
  <c r="BE117" i="90"/>
  <c r="CA117" i="90" s="1"/>
  <c r="BD117" i="90"/>
  <c r="BC117" i="90"/>
  <c r="BY117" i="90" s="1"/>
  <c r="BB117" i="90"/>
  <c r="BX117" i="90" s="1"/>
  <c r="BA117" i="90"/>
  <c r="BW117" i="90" s="1"/>
  <c r="AZ117" i="90"/>
  <c r="AY117" i="90"/>
  <c r="BU117" i="90" s="1"/>
  <c r="AX117" i="90"/>
  <c r="BT117" i="90" s="1"/>
  <c r="AW117" i="90"/>
  <c r="BS117" i="90" s="1"/>
  <c r="AV117" i="90"/>
  <c r="BR117" i="90" s="1"/>
  <c r="BG117" i="90" s="1"/>
  <c r="BE116" i="90"/>
  <c r="CA116" i="90" s="1"/>
  <c r="BD116" i="90"/>
  <c r="BC116" i="90"/>
  <c r="BY116" i="90" s="1"/>
  <c r="BB116" i="90"/>
  <c r="BX116" i="90" s="1"/>
  <c r="BA116" i="90"/>
  <c r="AZ116" i="90"/>
  <c r="AY116" i="90"/>
  <c r="BU116" i="90" s="1"/>
  <c r="AX116" i="90"/>
  <c r="BT116" i="90" s="1"/>
  <c r="AW116" i="90"/>
  <c r="BS116" i="90" s="1"/>
  <c r="AV116" i="90"/>
  <c r="BR116" i="90" s="1"/>
  <c r="BE115" i="90"/>
  <c r="BD115" i="90"/>
  <c r="BC115" i="90"/>
  <c r="BY115" i="90" s="1"/>
  <c r="BB115" i="90"/>
  <c r="BX115" i="90" s="1"/>
  <c r="BA115" i="90"/>
  <c r="AZ115" i="90"/>
  <c r="BV115" i="90" s="1"/>
  <c r="AY115" i="90"/>
  <c r="BU115" i="90" s="1"/>
  <c r="AX115" i="90"/>
  <c r="BT115" i="90" s="1"/>
  <c r="AW115" i="90"/>
  <c r="BS115" i="90" s="1"/>
  <c r="AV115" i="90"/>
  <c r="BR115" i="90" s="1"/>
  <c r="BG115" i="90" s="1"/>
  <c r="BE114" i="90"/>
  <c r="CA114" i="90" s="1"/>
  <c r="BD114" i="90"/>
  <c r="BC114" i="90"/>
  <c r="BY114" i="90" s="1"/>
  <c r="BB114" i="90"/>
  <c r="BX114" i="90" s="1"/>
  <c r="BA114" i="90"/>
  <c r="BW114" i="90" s="1"/>
  <c r="AZ114" i="90"/>
  <c r="BV114" i="90" s="1"/>
  <c r="AY114" i="90"/>
  <c r="BU114" i="90" s="1"/>
  <c r="AX114" i="90"/>
  <c r="BT114" i="90" s="1"/>
  <c r="AW114" i="90"/>
  <c r="BS114" i="90" s="1"/>
  <c r="AV114" i="90"/>
  <c r="BR114" i="90" s="1"/>
  <c r="BE113" i="90"/>
  <c r="BD113" i="90"/>
  <c r="BC113" i="90"/>
  <c r="BY113" i="90" s="1"/>
  <c r="BB113" i="90"/>
  <c r="BX113" i="90" s="1"/>
  <c r="BA113" i="90"/>
  <c r="BW113" i="90" s="1"/>
  <c r="AZ113" i="90"/>
  <c r="BV113" i="90" s="1"/>
  <c r="AY113" i="90"/>
  <c r="BU113" i="90" s="1"/>
  <c r="AX113" i="90"/>
  <c r="BT113" i="90" s="1"/>
  <c r="AW113" i="90"/>
  <c r="BS113" i="90" s="1"/>
  <c r="AV113" i="90"/>
  <c r="BR113" i="90" s="1"/>
  <c r="BG113" i="90" s="1"/>
  <c r="BE112" i="90"/>
  <c r="BD112" i="90"/>
  <c r="BC112" i="90"/>
  <c r="BY112" i="90" s="1"/>
  <c r="BB112" i="90"/>
  <c r="BX112" i="90" s="1"/>
  <c r="BA112" i="90"/>
  <c r="BW112" i="90" s="1"/>
  <c r="AZ112" i="90"/>
  <c r="BV112" i="90" s="1"/>
  <c r="AY112" i="90"/>
  <c r="BU112" i="90" s="1"/>
  <c r="AX112" i="90"/>
  <c r="BT112" i="90" s="1"/>
  <c r="AW112" i="90"/>
  <c r="BS112" i="90" s="1"/>
  <c r="AV112" i="90"/>
  <c r="BR112" i="90" s="1"/>
  <c r="BE111" i="90"/>
  <c r="BD111" i="90"/>
  <c r="BC111" i="90"/>
  <c r="BY111" i="90" s="1"/>
  <c r="BB111" i="90"/>
  <c r="BX111" i="90" s="1"/>
  <c r="BA111" i="90"/>
  <c r="BW111" i="90" s="1"/>
  <c r="AZ111" i="90"/>
  <c r="BV111" i="90" s="1"/>
  <c r="AY111" i="90"/>
  <c r="BU111" i="90" s="1"/>
  <c r="AX111" i="90"/>
  <c r="BT111" i="90" s="1"/>
  <c r="AW111" i="90"/>
  <c r="BS111" i="90" s="1"/>
  <c r="AV111" i="90"/>
  <c r="BR111" i="90" s="1"/>
  <c r="BE110" i="90"/>
  <c r="BD110" i="90"/>
  <c r="BC110" i="90"/>
  <c r="BY110" i="90" s="1"/>
  <c r="BB110" i="90"/>
  <c r="BX110" i="90" s="1"/>
  <c r="BA110" i="90"/>
  <c r="BW110" i="90" s="1"/>
  <c r="AZ110" i="90"/>
  <c r="BV110" i="90" s="1"/>
  <c r="AY110" i="90"/>
  <c r="BU110" i="90" s="1"/>
  <c r="AX110" i="90"/>
  <c r="BT110" i="90" s="1"/>
  <c r="AW110" i="90"/>
  <c r="BS110" i="90" s="1"/>
  <c r="AV110" i="90"/>
  <c r="BR110" i="90" s="1"/>
  <c r="BG110" i="90" s="1"/>
  <c r="BE109" i="90"/>
  <c r="BD109" i="90"/>
  <c r="BC109" i="90"/>
  <c r="BY109" i="90" s="1"/>
  <c r="BB109" i="90"/>
  <c r="BX109" i="90" s="1"/>
  <c r="BA109" i="90"/>
  <c r="BW109" i="90" s="1"/>
  <c r="AZ109" i="90"/>
  <c r="BV109" i="90" s="1"/>
  <c r="AY109" i="90"/>
  <c r="BU109" i="90" s="1"/>
  <c r="AX109" i="90"/>
  <c r="BT109" i="90" s="1"/>
  <c r="AW109" i="90"/>
  <c r="BS109" i="90" s="1"/>
  <c r="AV109" i="90"/>
  <c r="BR109" i="90" s="1"/>
  <c r="BG109" i="90" s="1"/>
  <c r="BH108" i="90"/>
  <c r="BE108" i="90"/>
  <c r="BD108" i="90"/>
  <c r="BZ108" i="90" s="1"/>
  <c r="BC108" i="90"/>
  <c r="BY108" i="90" s="1"/>
  <c r="BB108" i="90"/>
  <c r="BX108" i="90" s="1"/>
  <c r="BA108" i="90"/>
  <c r="BW108" i="90" s="1"/>
  <c r="AZ108" i="90"/>
  <c r="BV108" i="90" s="1"/>
  <c r="AY108" i="90"/>
  <c r="BU108" i="90" s="1"/>
  <c r="AX108" i="90"/>
  <c r="BT108" i="90" s="1"/>
  <c r="AW108" i="90"/>
  <c r="BS108" i="90" s="1"/>
  <c r="AV108" i="90"/>
  <c r="BR108" i="90" s="1"/>
  <c r="BJ108" i="90" s="1"/>
  <c r="BH107" i="90"/>
  <c r="BE107" i="90"/>
  <c r="BD107" i="90"/>
  <c r="BZ107" i="90" s="1"/>
  <c r="BC107" i="90"/>
  <c r="BY107" i="90" s="1"/>
  <c r="BB107" i="90"/>
  <c r="BX107" i="90" s="1"/>
  <c r="BA107" i="90"/>
  <c r="BW107" i="90" s="1"/>
  <c r="AZ107" i="90"/>
  <c r="BV107" i="90" s="1"/>
  <c r="AY107" i="90"/>
  <c r="BU107" i="90" s="1"/>
  <c r="AX107" i="90"/>
  <c r="BT107" i="90" s="1"/>
  <c r="AW107" i="90"/>
  <c r="BS107" i="90" s="1"/>
  <c r="AV107" i="90"/>
  <c r="BR107" i="90" s="1"/>
  <c r="BG107" i="90" s="1"/>
  <c r="BE106" i="90"/>
  <c r="BD106" i="90"/>
  <c r="BC106" i="90"/>
  <c r="BY106" i="90" s="1"/>
  <c r="BB106" i="90"/>
  <c r="BX106" i="90" s="1"/>
  <c r="BA106" i="90"/>
  <c r="BW106" i="90" s="1"/>
  <c r="AZ106" i="90"/>
  <c r="BV106" i="90" s="1"/>
  <c r="AY106" i="90"/>
  <c r="BU106" i="90" s="1"/>
  <c r="AX106" i="90"/>
  <c r="BT106" i="90" s="1"/>
  <c r="AW106" i="90"/>
  <c r="BS106" i="90" s="1"/>
  <c r="AV106" i="90"/>
  <c r="BR106" i="90" s="1"/>
  <c r="BE105" i="90"/>
  <c r="BD105" i="90"/>
  <c r="BZ105" i="90" s="1"/>
  <c r="BC105" i="90"/>
  <c r="BY105" i="90" s="1"/>
  <c r="BB105" i="90"/>
  <c r="BX105" i="90" s="1"/>
  <c r="BA105" i="90"/>
  <c r="BW105" i="90" s="1"/>
  <c r="AZ105" i="90"/>
  <c r="BV105" i="90" s="1"/>
  <c r="AY105" i="90"/>
  <c r="BU105" i="90" s="1"/>
  <c r="AX105" i="90"/>
  <c r="BT105" i="90" s="1"/>
  <c r="AW105" i="90"/>
  <c r="BS105" i="90" s="1"/>
  <c r="AV105" i="90"/>
  <c r="BR105" i="90" s="1"/>
  <c r="BG105" i="90" s="1"/>
  <c r="BE104" i="90"/>
  <c r="BD104" i="90"/>
  <c r="BZ104" i="90" s="1"/>
  <c r="BC104" i="90"/>
  <c r="BY104" i="90" s="1"/>
  <c r="BB104" i="90"/>
  <c r="BX104" i="90" s="1"/>
  <c r="BA104" i="90"/>
  <c r="BW104" i="90" s="1"/>
  <c r="AZ104" i="90"/>
  <c r="BV104" i="90" s="1"/>
  <c r="AY104" i="90"/>
  <c r="AX104" i="90"/>
  <c r="BT104" i="90" s="1"/>
  <c r="AW104" i="90"/>
  <c r="BS104" i="90" s="1"/>
  <c r="AV104" i="90"/>
  <c r="BR104" i="90" s="1"/>
  <c r="BE103" i="90"/>
  <c r="BD103" i="90"/>
  <c r="BZ103" i="90" s="1"/>
  <c r="BC103" i="90"/>
  <c r="BY103" i="90" s="1"/>
  <c r="BB103" i="90"/>
  <c r="BX103" i="90" s="1"/>
  <c r="BA103" i="90"/>
  <c r="BW103" i="90" s="1"/>
  <c r="AZ103" i="90"/>
  <c r="BV103" i="90" s="1"/>
  <c r="AY103" i="90"/>
  <c r="BU103" i="90" s="1"/>
  <c r="AX103" i="90"/>
  <c r="AW103" i="90"/>
  <c r="BS103" i="90" s="1"/>
  <c r="AV103" i="90"/>
  <c r="BR103" i="90" s="1"/>
  <c r="BE102" i="90"/>
  <c r="BD102" i="90"/>
  <c r="BZ102" i="90" s="1"/>
  <c r="BC102" i="90"/>
  <c r="BY102" i="90" s="1"/>
  <c r="BB102" i="90"/>
  <c r="BX102" i="90" s="1"/>
  <c r="BA102" i="90"/>
  <c r="BW102" i="90" s="1"/>
  <c r="AZ102" i="90"/>
  <c r="BV102" i="90" s="1"/>
  <c r="AY102" i="90"/>
  <c r="AX102" i="90"/>
  <c r="BT102" i="90" s="1"/>
  <c r="AW102" i="90"/>
  <c r="BS102" i="90" s="1"/>
  <c r="AV102" i="90"/>
  <c r="BR102" i="90" s="1"/>
  <c r="BG102" i="90" s="1"/>
  <c r="BE101" i="90"/>
  <c r="BD101" i="90"/>
  <c r="BZ101" i="90" s="1"/>
  <c r="BC101" i="90"/>
  <c r="BY101" i="90" s="1"/>
  <c r="BB101" i="90"/>
  <c r="BX101" i="90" s="1"/>
  <c r="BA101" i="90"/>
  <c r="BW101" i="90" s="1"/>
  <c r="AZ101" i="90"/>
  <c r="BV101" i="90" s="1"/>
  <c r="AY101" i="90"/>
  <c r="AX101" i="90"/>
  <c r="BT101" i="90" s="1"/>
  <c r="AW101" i="90"/>
  <c r="BS101" i="90" s="1"/>
  <c r="AV101" i="90"/>
  <c r="BR101" i="90" s="1"/>
  <c r="BG101" i="90" s="1"/>
  <c r="BE100" i="90"/>
  <c r="CA100" i="90" s="1"/>
  <c r="BD100" i="90"/>
  <c r="BZ100" i="90" s="1"/>
  <c r="BC100" i="90"/>
  <c r="BY100" i="90" s="1"/>
  <c r="BB100" i="90"/>
  <c r="BX100" i="90" s="1"/>
  <c r="BA100" i="90"/>
  <c r="BW100" i="90" s="1"/>
  <c r="AZ100" i="90"/>
  <c r="BV100" i="90" s="1"/>
  <c r="AY100" i="90"/>
  <c r="BU100" i="90" s="1"/>
  <c r="AX100" i="90"/>
  <c r="BT100" i="90" s="1"/>
  <c r="AW100" i="90"/>
  <c r="BS100" i="90" s="1"/>
  <c r="AV100" i="90"/>
  <c r="BR100" i="90" s="1"/>
  <c r="BG100" i="90" s="1"/>
  <c r="BE99" i="90"/>
  <c r="BD99" i="90"/>
  <c r="BZ99" i="90" s="1"/>
  <c r="BC99" i="90"/>
  <c r="BY99" i="90" s="1"/>
  <c r="BB99" i="90"/>
  <c r="BX99" i="90" s="1"/>
  <c r="BA99" i="90"/>
  <c r="BW99" i="90" s="1"/>
  <c r="AZ99" i="90"/>
  <c r="BV99" i="90" s="1"/>
  <c r="AY99" i="90"/>
  <c r="BU99" i="90" s="1"/>
  <c r="AX99" i="90"/>
  <c r="BT99" i="90" s="1"/>
  <c r="AW99" i="90"/>
  <c r="BS99" i="90" s="1"/>
  <c r="AV99" i="90"/>
  <c r="BR99" i="90" s="1"/>
  <c r="BG99" i="90" s="1"/>
  <c r="BE98" i="90"/>
  <c r="BD98" i="90"/>
  <c r="BZ98" i="90" s="1"/>
  <c r="BC98" i="90"/>
  <c r="BY98" i="90" s="1"/>
  <c r="BB98" i="90"/>
  <c r="BX98" i="90" s="1"/>
  <c r="BA98" i="90"/>
  <c r="BW98" i="90" s="1"/>
  <c r="AZ98" i="90"/>
  <c r="BV98" i="90" s="1"/>
  <c r="AY98" i="90"/>
  <c r="BU98" i="90" s="1"/>
  <c r="AX98" i="90"/>
  <c r="BT98" i="90" s="1"/>
  <c r="AW98" i="90"/>
  <c r="AV98" i="90"/>
  <c r="BR98" i="90" s="1"/>
  <c r="BE97" i="90"/>
  <c r="CA97" i="90" s="1"/>
  <c r="BD97" i="90"/>
  <c r="BZ97" i="90" s="1"/>
  <c r="BC97" i="90"/>
  <c r="BY97" i="90" s="1"/>
  <c r="BB97" i="90"/>
  <c r="BX97" i="90" s="1"/>
  <c r="BA97" i="90"/>
  <c r="BW97" i="90" s="1"/>
  <c r="AZ97" i="90"/>
  <c r="BV97" i="90" s="1"/>
  <c r="AY97" i="90"/>
  <c r="BU97" i="90" s="1"/>
  <c r="AX97" i="90"/>
  <c r="AW97" i="90"/>
  <c r="AV97" i="90"/>
  <c r="BR97" i="90" s="1"/>
  <c r="BG97" i="90" s="1"/>
  <c r="BE96" i="90"/>
  <c r="CA96" i="90" s="1"/>
  <c r="BD96" i="90"/>
  <c r="BZ96" i="90" s="1"/>
  <c r="BC96" i="90"/>
  <c r="BY96" i="90" s="1"/>
  <c r="BB96" i="90"/>
  <c r="BX96" i="90" s="1"/>
  <c r="BA96" i="90"/>
  <c r="AZ96" i="90"/>
  <c r="BV96" i="90" s="1"/>
  <c r="AY96" i="90"/>
  <c r="BU96" i="90" s="1"/>
  <c r="AX96" i="90"/>
  <c r="AW96" i="90"/>
  <c r="BS96" i="90" s="1"/>
  <c r="AV96" i="90"/>
  <c r="BR96" i="90" s="1"/>
  <c r="BE95" i="90"/>
  <c r="CA95" i="90" s="1"/>
  <c r="BD95" i="90"/>
  <c r="BZ95" i="90" s="1"/>
  <c r="BC95" i="90"/>
  <c r="BY95" i="90" s="1"/>
  <c r="BB95" i="90"/>
  <c r="BX95" i="90" s="1"/>
  <c r="BA95" i="90"/>
  <c r="BW95" i="90" s="1"/>
  <c r="AZ95" i="90"/>
  <c r="BV95" i="90" s="1"/>
  <c r="AY95" i="90"/>
  <c r="BU95" i="90" s="1"/>
  <c r="AX95" i="90"/>
  <c r="BT95" i="90" s="1"/>
  <c r="AW95" i="90"/>
  <c r="AV95" i="90"/>
  <c r="BR95" i="90" s="1"/>
  <c r="BG95" i="90" s="1"/>
  <c r="BE94" i="90"/>
  <c r="CA94" i="90" s="1"/>
  <c r="BD94" i="90"/>
  <c r="BZ94" i="90" s="1"/>
  <c r="BC94" i="90"/>
  <c r="BB94" i="90"/>
  <c r="BX94" i="90" s="1"/>
  <c r="BA94" i="90"/>
  <c r="BW94" i="90" s="1"/>
  <c r="AZ94" i="90"/>
  <c r="BV94" i="90" s="1"/>
  <c r="AY94" i="90"/>
  <c r="AX94" i="90"/>
  <c r="BT94" i="90" s="1"/>
  <c r="AW94" i="90"/>
  <c r="BS94" i="90" s="1"/>
  <c r="AV94" i="90"/>
  <c r="BR94" i="90" s="1"/>
  <c r="BG94" i="90" s="1"/>
  <c r="BE93" i="90"/>
  <c r="CA93" i="90" s="1"/>
  <c r="BD93" i="90"/>
  <c r="BZ93" i="90" s="1"/>
  <c r="BC93" i="90"/>
  <c r="BB93" i="90"/>
  <c r="BX93" i="90" s="1"/>
  <c r="BA93" i="90"/>
  <c r="BW93" i="90" s="1"/>
  <c r="AZ93" i="90"/>
  <c r="BV93" i="90" s="1"/>
  <c r="AY93" i="90"/>
  <c r="AX93" i="90"/>
  <c r="BT93" i="90" s="1"/>
  <c r="AW93" i="90"/>
  <c r="AV93" i="90"/>
  <c r="BR93" i="90" s="1"/>
  <c r="BE92" i="90"/>
  <c r="CA92" i="90" s="1"/>
  <c r="BD92" i="90"/>
  <c r="BZ92" i="90" s="1"/>
  <c r="BC92" i="90"/>
  <c r="BY92" i="90" s="1"/>
  <c r="BB92" i="90"/>
  <c r="BX92" i="90" s="1"/>
  <c r="BA92" i="90"/>
  <c r="BW92" i="90" s="1"/>
  <c r="AZ92" i="90"/>
  <c r="BV92" i="90" s="1"/>
  <c r="AY92" i="90"/>
  <c r="BU92" i="90" s="1"/>
  <c r="AX92" i="90"/>
  <c r="AW92" i="90"/>
  <c r="AV92" i="90"/>
  <c r="BR92" i="90" s="1"/>
  <c r="BG92" i="90" s="1"/>
  <c r="BE91" i="90"/>
  <c r="CA91" i="90" s="1"/>
  <c r="BD91" i="90"/>
  <c r="BZ91" i="90" s="1"/>
  <c r="BC91" i="90"/>
  <c r="BY91" i="90" s="1"/>
  <c r="BB91" i="90"/>
  <c r="BX91" i="90" s="1"/>
  <c r="BA91" i="90"/>
  <c r="BW91" i="90" s="1"/>
  <c r="AZ91" i="90"/>
  <c r="AY91" i="90"/>
  <c r="BU91" i="90" s="1"/>
  <c r="AX91" i="90"/>
  <c r="AW91" i="90"/>
  <c r="BS91" i="90" s="1"/>
  <c r="AV91" i="90"/>
  <c r="BR91" i="90" s="1"/>
  <c r="BG91" i="90" s="1"/>
  <c r="BE90" i="90"/>
  <c r="CA90" i="90" s="1"/>
  <c r="BD90" i="90"/>
  <c r="BZ90" i="90" s="1"/>
  <c r="BC90" i="90"/>
  <c r="BY90" i="90" s="1"/>
  <c r="BB90" i="90"/>
  <c r="BX90" i="90" s="1"/>
  <c r="BA90" i="90"/>
  <c r="AZ90" i="90"/>
  <c r="AY90" i="90"/>
  <c r="BU90" i="90" s="1"/>
  <c r="AX90" i="90"/>
  <c r="BT90" i="90" s="1"/>
  <c r="AW90" i="90"/>
  <c r="BS90" i="90" s="1"/>
  <c r="AV90" i="90"/>
  <c r="BR90" i="90" s="1"/>
  <c r="BG90" i="90" s="1"/>
  <c r="BE89" i="90"/>
  <c r="CA89" i="90" s="1"/>
  <c r="BD89" i="90"/>
  <c r="BZ89" i="90" s="1"/>
  <c r="BC89" i="90"/>
  <c r="BB89" i="90"/>
  <c r="BX89" i="90" s="1"/>
  <c r="BA89" i="90"/>
  <c r="BW89" i="90" s="1"/>
  <c r="AZ89" i="90"/>
  <c r="BV89" i="90" s="1"/>
  <c r="AY89" i="90"/>
  <c r="BU89" i="90" s="1"/>
  <c r="AX89" i="90"/>
  <c r="BT89" i="90" s="1"/>
  <c r="AW89" i="90"/>
  <c r="BS89" i="90" s="1"/>
  <c r="AV89" i="90"/>
  <c r="BR89" i="90" s="1"/>
  <c r="BG89" i="90" s="1"/>
  <c r="BE88" i="90"/>
  <c r="CA88" i="90" s="1"/>
  <c r="BD88" i="90"/>
  <c r="BZ88" i="90" s="1"/>
  <c r="BC88" i="90"/>
  <c r="BY88" i="90" s="1"/>
  <c r="BB88" i="90"/>
  <c r="BX88" i="90" s="1"/>
  <c r="BA88" i="90"/>
  <c r="BW88" i="90" s="1"/>
  <c r="AZ88" i="90"/>
  <c r="BV88" i="90" s="1"/>
  <c r="AY88" i="90"/>
  <c r="BU88" i="90" s="1"/>
  <c r="AX88" i="90"/>
  <c r="BT88" i="90" s="1"/>
  <c r="AW88" i="90"/>
  <c r="BS88" i="90" s="1"/>
  <c r="AV88" i="90"/>
  <c r="BR88" i="90" s="1"/>
  <c r="BG88" i="90" s="1"/>
  <c r="BE87" i="90"/>
  <c r="CA87" i="90" s="1"/>
  <c r="BD87" i="90"/>
  <c r="BZ87" i="90" s="1"/>
  <c r="BC87" i="90"/>
  <c r="BY87" i="90" s="1"/>
  <c r="BB87" i="90"/>
  <c r="BX87" i="90" s="1"/>
  <c r="BA87" i="90"/>
  <c r="BW87" i="90" s="1"/>
  <c r="AZ87" i="90"/>
  <c r="AY87" i="90"/>
  <c r="BU87" i="90" s="1"/>
  <c r="AX87" i="90"/>
  <c r="BT87" i="90" s="1"/>
  <c r="AW87" i="90"/>
  <c r="BS87" i="90" s="1"/>
  <c r="AV87" i="90"/>
  <c r="BR87" i="90" s="1"/>
  <c r="BG87" i="90" s="1"/>
  <c r="BE86" i="90"/>
  <c r="CA86" i="90" s="1"/>
  <c r="BD86" i="90"/>
  <c r="BZ86" i="90" s="1"/>
  <c r="BC86" i="90"/>
  <c r="BY86" i="90" s="1"/>
  <c r="BB86" i="90"/>
  <c r="BX86" i="90" s="1"/>
  <c r="BA86" i="90"/>
  <c r="BW86" i="90" s="1"/>
  <c r="AZ86" i="90"/>
  <c r="AY86" i="90"/>
  <c r="AX86" i="90"/>
  <c r="BT86" i="90" s="1"/>
  <c r="AW86" i="90"/>
  <c r="BS86" i="90" s="1"/>
  <c r="AV86" i="90"/>
  <c r="BR86" i="90" s="1"/>
  <c r="BG86" i="90" s="1"/>
  <c r="BE85" i="90"/>
  <c r="CA85" i="90" s="1"/>
  <c r="BD85" i="90"/>
  <c r="BZ85" i="90" s="1"/>
  <c r="BC85" i="90"/>
  <c r="BY85" i="90" s="1"/>
  <c r="BB85" i="90"/>
  <c r="BX85" i="90" s="1"/>
  <c r="BA85" i="90"/>
  <c r="BW85" i="90" s="1"/>
  <c r="AZ85" i="90"/>
  <c r="AY85" i="90"/>
  <c r="AX85" i="90"/>
  <c r="BT85" i="90" s="1"/>
  <c r="AW85" i="90"/>
  <c r="BS85" i="90" s="1"/>
  <c r="AV85" i="90"/>
  <c r="BR85" i="90" s="1"/>
  <c r="BG85" i="90" s="1"/>
  <c r="BE84" i="90"/>
  <c r="CA84" i="90" s="1"/>
  <c r="BD84" i="90"/>
  <c r="BZ84" i="90" s="1"/>
  <c r="BC84" i="90"/>
  <c r="BB84" i="90"/>
  <c r="BX84" i="90" s="1"/>
  <c r="BA84" i="90"/>
  <c r="BW84" i="90" s="1"/>
  <c r="AZ84" i="90"/>
  <c r="AY84" i="90"/>
  <c r="AX84" i="90"/>
  <c r="BT84" i="90" s="1"/>
  <c r="AW84" i="90"/>
  <c r="BS84" i="90" s="1"/>
  <c r="AV84" i="90"/>
  <c r="BR84" i="90" s="1"/>
  <c r="BG84" i="90" s="1"/>
  <c r="BE83" i="90"/>
  <c r="CA83" i="90" s="1"/>
  <c r="BD83" i="90"/>
  <c r="BZ83" i="90" s="1"/>
  <c r="BC83" i="90"/>
  <c r="BY83" i="90" s="1"/>
  <c r="BB83" i="90"/>
  <c r="BX83" i="90" s="1"/>
  <c r="BA83" i="90"/>
  <c r="BW83" i="90" s="1"/>
  <c r="AZ83" i="90"/>
  <c r="AY83" i="90"/>
  <c r="BU83" i="90" s="1"/>
  <c r="AX83" i="90"/>
  <c r="BT83" i="90" s="1"/>
  <c r="AW83" i="90"/>
  <c r="AV83" i="90"/>
  <c r="BR83" i="90" s="1"/>
  <c r="BE82" i="90"/>
  <c r="CA82" i="90" s="1"/>
  <c r="BD82" i="90"/>
  <c r="BZ82" i="90" s="1"/>
  <c r="BC82" i="90"/>
  <c r="BB82" i="90"/>
  <c r="BX82" i="90" s="1"/>
  <c r="BA82" i="90"/>
  <c r="BW82" i="90" s="1"/>
  <c r="AZ82" i="90"/>
  <c r="BV82" i="90" s="1"/>
  <c r="AY82" i="90"/>
  <c r="AX82" i="90"/>
  <c r="BT82" i="90" s="1"/>
  <c r="AW82" i="90"/>
  <c r="BS82" i="90" s="1"/>
  <c r="AV82" i="90"/>
  <c r="BR82" i="90" s="1"/>
  <c r="BG82" i="90" s="1"/>
  <c r="BE81" i="90"/>
  <c r="CA81" i="90" s="1"/>
  <c r="BD81" i="90"/>
  <c r="BZ81" i="90" s="1"/>
  <c r="BC81" i="90"/>
  <c r="BY81" i="90" s="1"/>
  <c r="BB81" i="90"/>
  <c r="BX81" i="90" s="1"/>
  <c r="BA81" i="90"/>
  <c r="BW81" i="90" s="1"/>
  <c r="AZ81" i="90"/>
  <c r="AY81" i="90"/>
  <c r="AX81" i="90"/>
  <c r="BT81" i="90" s="1"/>
  <c r="AW81" i="90"/>
  <c r="BS81" i="90" s="1"/>
  <c r="AV81" i="90"/>
  <c r="BR81" i="90" s="1"/>
  <c r="BE80" i="90"/>
  <c r="CA80" i="90" s="1"/>
  <c r="BD80" i="90"/>
  <c r="BZ80" i="90" s="1"/>
  <c r="BC80" i="90"/>
  <c r="BY80" i="90" s="1"/>
  <c r="BB80" i="90"/>
  <c r="BX80" i="90" s="1"/>
  <c r="BA80" i="90"/>
  <c r="BW80" i="90" s="1"/>
  <c r="AZ80" i="90"/>
  <c r="BV80" i="90" s="1"/>
  <c r="AY80" i="90"/>
  <c r="BU80" i="90" s="1"/>
  <c r="AX80" i="90"/>
  <c r="BT80" i="90" s="1"/>
  <c r="AW80" i="90"/>
  <c r="BS80" i="90" s="1"/>
  <c r="AV80" i="90"/>
  <c r="BR80" i="90" s="1"/>
  <c r="BE79" i="90"/>
  <c r="CA79" i="90" s="1"/>
  <c r="BD79" i="90"/>
  <c r="BZ79" i="90" s="1"/>
  <c r="BC79" i="90"/>
  <c r="BY79" i="90" s="1"/>
  <c r="BB79" i="90"/>
  <c r="BA79" i="90"/>
  <c r="BW79" i="90" s="1"/>
  <c r="AZ79" i="90"/>
  <c r="BV79" i="90" s="1"/>
  <c r="AY79" i="90"/>
  <c r="BU79" i="90" s="1"/>
  <c r="AX79" i="90"/>
  <c r="BT79" i="90" s="1"/>
  <c r="AW79" i="90"/>
  <c r="BS79" i="90" s="1"/>
  <c r="AV79" i="90"/>
  <c r="BR79" i="90" s="1"/>
  <c r="BE78" i="90"/>
  <c r="CA78" i="90" s="1"/>
  <c r="BD78" i="90"/>
  <c r="BZ78" i="90" s="1"/>
  <c r="BC78" i="90"/>
  <c r="BY78" i="90" s="1"/>
  <c r="BB78" i="90"/>
  <c r="BA78" i="90"/>
  <c r="BW78" i="90" s="1"/>
  <c r="AZ78" i="90"/>
  <c r="BV78" i="90" s="1"/>
  <c r="AY78" i="90"/>
  <c r="BU78" i="90" s="1"/>
  <c r="AX78" i="90"/>
  <c r="BT78" i="90" s="1"/>
  <c r="AW78" i="90"/>
  <c r="BS78" i="90" s="1"/>
  <c r="AV78" i="90"/>
  <c r="BR78" i="90" s="1"/>
  <c r="BG78" i="90" s="1"/>
  <c r="BE77" i="90"/>
  <c r="CA77" i="90" s="1"/>
  <c r="BD77" i="90"/>
  <c r="BZ77" i="90" s="1"/>
  <c r="BC77" i="90"/>
  <c r="BY77" i="90" s="1"/>
  <c r="BB77" i="90"/>
  <c r="BX77" i="90" s="1"/>
  <c r="BA77" i="90"/>
  <c r="BW77" i="90" s="1"/>
  <c r="AZ77" i="90"/>
  <c r="AY77" i="90"/>
  <c r="BU77" i="90" s="1"/>
  <c r="AX77" i="90"/>
  <c r="BT77" i="90" s="1"/>
  <c r="AW77" i="90"/>
  <c r="BS77" i="90" s="1"/>
  <c r="AV77" i="90"/>
  <c r="BR77" i="90" s="1"/>
  <c r="BG77" i="90" s="1"/>
  <c r="BE76" i="90"/>
  <c r="CA76" i="90" s="1"/>
  <c r="BD76" i="90"/>
  <c r="BZ76" i="90" s="1"/>
  <c r="BC76" i="90"/>
  <c r="BY76" i="90" s="1"/>
  <c r="BB76" i="90"/>
  <c r="BX76" i="90" s="1"/>
  <c r="BA76" i="90"/>
  <c r="BW76" i="90" s="1"/>
  <c r="AZ76" i="90"/>
  <c r="AY76" i="90"/>
  <c r="BU76" i="90" s="1"/>
  <c r="AX76" i="90"/>
  <c r="AW76" i="90"/>
  <c r="BS76" i="90" s="1"/>
  <c r="AV76" i="90"/>
  <c r="BR76" i="90" s="1"/>
  <c r="BG76" i="90" s="1"/>
  <c r="BE75" i="90"/>
  <c r="CA75" i="90" s="1"/>
  <c r="BD75" i="90"/>
  <c r="BZ75" i="90" s="1"/>
  <c r="BC75" i="90"/>
  <c r="BY75" i="90" s="1"/>
  <c r="BB75" i="90"/>
  <c r="BX75" i="90" s="1"/>
  <c r="BA75" i="90"/>
  <c r="BW75" i="90" s="1"/>
  <c r="AZ75" i="90"/>
  <c r="AY75" i="90"/>
  <c r="BU75" i="90" s="1"/>
  <c r="AX75" i="90"/>
  <c r="BT75" i="90" s="1"/>
  <c r="AW75" i="90"/>
  <c r="AV75" i="90"/>
  <c r="BR75" i="90" s="1"/>
  <c r="BE74" i="90"/>
  <c r="CA74" i="90" s="1"/>
  <c r="BD74" i="90"/>
  <c r="BZ74" i="90" s="1"/>
  <c r="BC74" i="90"/>
  <c r="BY74" i="90" s="1"/>
  <c r="BB74" i="90"/>
  <c r="BX74" i="90" s="1"/>
  <c r="BA74" i="90"/>
  <c r="BW74" i="90" s="1"/>
  <c r="AZ74" i="90"/>
  <c r="AY74" i="90"/>
  <c r="BU74" i="90" s="1"/>
  <c r="AX74" i="90"/>
  <c r="BT74" i="90" s="1"/>
  <c r="AW74" i="90"/>
  <c r="BS74" i="90" s="1"/>
  <c r="AV74" i="90"/>
  <c r="BR74" i="90" s="1"/>
  <c r="BG74" i="90" s="1"/>
  <c r="BE73" i="90"/>
  <c r="CA73" i="90" s="1"/>
  <c r="BD73" i="90"/>
  <c r="BZ73" i="90" s="1"/>
  <c r="BC73" i="90"/>
  <c r="BY73" i="90" s="1"/>
  <c r="BB73" i="90"/>
  <c r="BX73" i="90" s="1"/>
  <c r="BA73" i="90"/>
  <c r="BW73" i="90" s="1"/>
  <c r="AZ73" i="90"/>
  <c r="BV73" i="90" s="1"/>
  <c r="AY73" i="90"/>
  <c r="AX73" i="90"/>
  <c r="BT73" i="90" s="1"/>
  <c r="AW73" i="90"/>
  <c r="BS73" i="90" s="1"/>
  <c r="AV73" i="90"/>
  <c r="BR73" i="90" s="1"/>
  <c r="BE72" i="90"/>
  <c r="CA72" i="90" s="1"/>
  <c r="BD72" i="90"/>
  <c r="BZ72" i="90" s="1"/>
  <c r="BC72" i="90"/>
  <c r="BB72" i="90"/>
  <c r="BX72" i="90" s="1"/>
  <c r="BA72" i="90"/>
  <c r="BW72" i="90" s="1"/>
  <c r="AZ72" i="90"/>
  <c r="BV72" i="90" s="1"/>
  <c r="AY72" i="90"/>
  <c r="BU72" i="90" s="1"/>
  <c r="AX72" i="90"/>
  <c r="BT72" i="90" s="1"/>
  <c r="AW72" i="90"/>
  <c r="BS72" i="90" s="1"/>
  <c r="AV72" i="90"/>
  <c r="BR72" i="90" s="1"/>
  <c r="BG72" i="90" s="1"/>
  <c r="BE71" i="90"/>
  <c r="CA71" i="90" s="1"/>
  <c r="BD71" i="90"/>
  <c r="BZ71" i="90" s="1"/>
  <c r="BC71" i="90"/>
  <c r="BY71" i="90" s="1"/>
  <c r="BB71" i="90"/>
  <c r="BX71" i="90" s="1"/>
  <c r="BA71" i="90"/>
  <c r="AZ71" i="90"/>
  <c r="BV71" i="90" s="1"/>
  <c r="AY71" i="90"/>
  <c r="BU71" i="90" s="1"/>
  <c r="AX71" i="90"/>
  <c r="BT71" i="90" s="1"/>
  <c r="AW71" i="90"/>
  <c r="BS71" i="90" s="1"/>
  <c r="AV71" i="90"/>
  <c r="BR71" i="90" s="1"/>
  <c r="BG71" i="90" s="1"/>
  <c r="BE70" i="90"/>
  <c r="CA70" i="90" s="1"/>
  <c r="BD70" i="90"/>
  <c r="BZ70" i="90" s="1"/>
  <c r="BC70" i="90"/>
  <c r="BY70" i="90" s="1"/>
  <c r="BB70" i="90"/>
  <c r="BX70" i="90" s="1"/>
  <c r="BA70" i="90"/>
  <c r="BW70" i="90" s="1"/>
  <c r="AZ70" i="90"/>
  <c r="BV70" i="90" s="1"/>
  <c r="AY70" i="90"/>
  <c r="BU70" i="90" s="1"/>
  <c r="AX70" i="90"/>
  <c r="BT70" i="90" s="1"/>
  <c r="AW70" i="90"/>
  <c r="BS70" i="90" s="1"/>
  <c r="AV70" i="90"/>
  <c r="BR70" i="90" s="1"/>
  <c r="BG70" i="90" s="1"/>
  <c r="BE69" i="90"/>
  <c r="CA69" i="90" s="1"/>
  <c r="BD69" i="90"/>
  <c r="BZ69" i="90" s="1"/>
  <c r="BC69" i="90"/>
  <c r="BY69" i="90" s="1"/>
  <c r="BB69" i="90"/>
  <c r="BX69" i="90" s="1"/>
  <c r="BA69" i="90"/>
  <c r="BW69" i="90" s="1"/>
  <c r="AZ69" i="90"/>
  <c r="BV69" i="90" s="1"/>
  <c r="AY69" i="90"/>
  <c r="BU69" i="90" s="1"/>
  <c r="AX69" i="90"/>
  <c r="BT69" i="90" s="1"/>
  <c r="AW69" i="90"/>
  <c r="BS69" i="90" s="1"/>
  <c r="AV69" i="90"/>
  <c r="BR69" i="90" s="1"/>
  <c r="BG69" i="90" s="1"/>
  <c r="BE68" i="90"/>
  <c r="CA68" i="90" s="1"/>
  <c r="BD68" i="90"/>
  <c r="BZ68" i="90" s="1"/>
  <c r="BC68" i="90"/>
  <c r="BY68" i="90" s="1"/>
  <c r="BB68" i="90"/>
  <c r="BX68" i="90" s="1"/>
  <c r="BA68" i="90"/>
  <c r="BW68" i="90" s="1"/>
  <c r="AZ68" i="90"/>
  <c r="BV68" i="90" s="1"/>
  <c r="AY68" i="90"/>
  <c r="BU68" i="90" s="1"/>
  <c r="AX68" i="90"/>
  <c r="BT68" i="90" s="1"/>
  <c r="AW68" i="90"/>
  <c r="BS68" i="90" s="1"/>
  <c r="BH68" i="90" s="1"/>
  <c r="AV68" i="90"/>
  <c r="BR68" i="90" s="1"/>
  <c r="BG68" i="90" s="1"/>
  <c r="BE67" i="90"/>
  <c r="CA67" i="90" s="1"/>
  <c r="BD67" i="90"/>
  <c r="BZ67" i="90" s="1"/>
  <c r="BC67" i="90"/>
  <c r="BY67" i="90" s="1"/>
  <c r="BB67" i="90"/>
  <c r="BX67" i="90" s="1"/>
  <c r="BA67" i="90"/>
  <c r="BW67" i="90" s="1"/>
  <c r="AZ67" i="90"/>
  <c r="BV67" i="90" s="1"/>
  <c r="AY67" i="90"/>
  <c r="BU67" i="90" s="1"/>
  <c r="AX67" i="90"/>
  <c r="AW67" i="90"/>
  <c r="BS67" i="90" s="1"/>
  <c r="AV67" i="90"/>
  <c r="BR67" i="90" s="1"/>
  <c r="BG67" i="90" s="1"/>
  <c r="BE66" i="90"/>
  <c r="CA66" i="90" s="1"/>
  <c r="BD66" i="90"/>
  <c r="BZ66" i="90" s="1"/>
  <c r="BC66" i="90"/>
  <c r="BY66" i="90" s="1"/>
  <c r="BB66" i="90"/>
  <c r="BX66" i="90" s="1"/>
  <c r="BA66" i="90"/>
  <c r="BW66" i="90" s="1"/>
  <c r="AZ66" i="90"/>
  <c r="BV66" i="90" s="1"/>
  <c r="AY66" i="90"/>
  <c r="BU66" i="90" s="1"/>
  <c r="AX66" i="90"/>
  <c r="BT66" i="90" s="1"/>
  <c r="AW66" i="90"/>
  <c r="BS66" i="90" s="1"/>
  <c r="AV66" i="90"/>
  <c r="BR66" i="90" s="1"/>
  <c r="BE65" i="90"/>
  <c r="CA65" i="90" s="1"/>
  <c r="BD65" i="90"/>
  <c r="BZ65" i="90" s="1"/>
  <c r="BC65" i="90"/>
  <c r="BY65" i="90" s="1"/>
  <c r="BB65" i="90"/>
  <c r="BX65" i="90" s="1"/>
  <c r="BA65" i="90"/>
  <c r="BW65" i="90" s="1"/>
  <c r="AZ65" i="90"/>
  <c r="BV65" i="90" s="1"/>
  <c r="AY65" i="90"/>
  <c r="BU65" i="90" s="1"/>
  <c r="AX65" i="90"/>
  <c r="AW65" i="90"/>
  <c r="BS65" i="90" s="1"/>
  <c r="AV65" i="90"/>
  <c r="BE64" i="90"/>
  <c r="CA64" i="90" s="1"/>
  <c r="BD64" i="90"/>
  <c r="BZ64" i="90" s="1"/>
  <c r="BC64" i="90"/>
  <c r="BY64" i="90" s="1"/>
  <c r="BB64" i="90"/>
  <c r="BX64" i="90" s="1"/>
  <c r="BA64" i="90"/>
  <c r="BW64" i="90" s="1"/>
  <c r="AZ64" i="90"/>
  <c r="BV64" i="90" s="1"/>
  <c r="AY64" i="90"/>
  <c r="BU64" i="90" s="1"/>
  <c r="AX64" i="90"/>
  <c r="BT64" i="90" s="1"/>
  <c r="AW64" i="90"/>
  <c r="BS64" i="90" s="1"/>
  <c r="AV64" i="90"/>
  <c r="BR64" i="90" s="1"/>
  <c r="BG64" i="90" s="1"/>
  <c r="BE63" i="90"/>
  <c r="CA63" i="90" s="1"/>
  <c r="BD63" i="90"/>
  <c r="BZ63" i="90" s="1"/>
  <c r="BC63" i="90"/>
  <c r="BY63" i="90" s="1"/>
  <c r="BB63" i="90"/>
  <c r="BX63" i="90" s="1"/>
  <c r="BA63" i="90"/>
  <c r="BW63" i="90" s="1"/>
  <c r="AZ63" i="90"/>
  <c r="BV63" i="90" s="1"/>
  <c r="AY63" i="90"/>
  <c r="BU63" i="90" s="1"/>
  <c r="AX63" i="90"/>
  <c r="BT63" i="90" s="1"/>
  <c r="AW63" i="90"/>
  <c r="BS63" i="90" s="1"/>
  <c r="AV63" i="90"/>
  <c r="BR63" i="90" s="1"/>
  <c r="BE62" i="90"/>
  <c r="CA62" i="90" s="1"/>
  <c r="BD62" i="90"/>
  <c r="BZ62" i="90" s="1"/>
  <c r="BC62" i="90"/>
  <c r="BY62" i="90" s="1"/>
  <c r="BB62" i="90"/>
  <c r="BX62" i="90" s="1"/>
  <c r="BA62" i="90"/>
  <c r="BW62" i="90" s="1"/>
  <c r="AZ62" i="90"/>
  <c r="BV62" i="90" s="1"/>
  <c r="AY62" i="90"/>
  <c r="BU62" i="90" s="1"/>
  <c r="AX62" i="90"/>
  <c r="BT62" i="90" s="1"/>
  <c r="AW62" i="90"/>
  <c r="BS62" i="90" s="1"/>
  <c r="AV62" i="90"/>
  <c r="BR62" i="90" s="1"/>
  <c r="BG62" i="90" s="1"/>
  <c r="BE61" i="90"/>
  <c r="CA61" i="90" s="1"/>
  <c r="BD61" i="90"/>
  <c r="BZ61" i="90" s="1"/>
  <c r="BC61" i="90"/>
  <c r="BY61" i="90" s="1"/>
  <c r="BB61" i="90"/>
  <c r="BX61" i="90" s="1"/>
  <c r="BA61" i="90"/>
  <c r="BW61" i="90" s="1"/>
  <c r="AZ61" i="90"/>
  <c r="BV61" i="90" s="1"/>
  <c r="AY61" i="90"/>
  <c r="BU61" i="90" s="1"/>
  <c r="AX61" i="90"/>
  <c r="BT61" i="90" s="1"/>
  <c r="AW61" i="90"/>
  <c r="BS61" i="90" s="1"/>
  <c r="AV61" i="90"/>
  <c r="BR61" i="90" s="1"/>
  <c r="BG61" i="90" s="1"/>
  <c r="BE60" i="90"/>
  <c r="CA60" i="90" s="1"/>
  <c r="BD60" i="90"/>
  <c r="BZ60" i="90" s="1"/>
  <c r="BC60" i="90"/>
  <c r="BY60" i="90" s="1"/>
  <c r="BB60" i="90"/>
  <c r="BX60" i="90" s="1"/>
  <c r="BA60" i="90"/>
  <c r="BW60" i="90" s="1"/>
  <c r="AZ60" i="90"/>
  <c r="BV60" i="90" s="1"/>
  <c r="AY60" i="90"/>
  <c r="BU60" i="90" s="1"/>
  <c r="AX60" i="90"/>
  <c r="BT60" i="90" s="1"/>
  <c r="AW60" i="90"/>
  <c r="BS60" i="90" s="1"/>
  <c r="AV60" i="90"/>
  <c r="BR60" i="90" s="1"/>
  <c r="BE59" i="90"/>
  <c r="CA59" i="90" s="1"/>
  <c r="BD59" i="90"/>
  <c r="BZ59" i="90" s="1"/>
  <c r="BC59" i="90"/>
  <c r="BY59" i="90" s="1"/>
  <c r="BB59" i="90"/>
  <c r="BX59" i="90" s="1"/>
  <c r="BA59" i="90"/>
  <c r="BW59" i="90" s="1"/>
  <c r="AZ59" i="90"/>
  <c r="BV59" i="90" s="1"/>
  <c r="AY59" i="90"/>
  <c r="BU59" i="90" s="1"/>
  <c r="AX59" i="90"/>
  <c r="BT59" i="90" s="1"/>
  <c r="AW59" i="90"/>
  <c r="BS59" i="90" s="1"/>
  <c r="AV59" i="90"/>
  <c r="BR59" i="90" s="1"/>
  <c r="BG59" i="90" s="1"/>
  <c r="BE58" i="90"/>
  <c r="BD58" i="90"/>
  <c r="BC58" i="90"/>
  <c r="BB58" i="90"/>
  <c r="BA58" i="90"/>
  <c r="AZ58" i="90"/>
  <c r="AY58" i="90"/>
  <c r="AX58" i="90"/>
  <c r="AW58" i="90"/>
  <c r="AV58" i="90"/>
  <c r="BE57" i="90"/>
  <c r="BD57" i="90"/>
  <c r="BC57" i="90"/>
  <c r="BB57" i="90"/>
  <c r="BA57" i="90"/>
  <c r="AZ57" i="90"/>
  <c r="AY57" i="90"/>
  <c r="AX57" i="90"/>
  <c r="AW57" i="90"/>
  <c r="AV57" i="90"/>
  <c r="BE55" i="90"/>
  <c r="BD55" i="90"/>
  <c r="BC55" i="90"/>
  <c r="BB55" i="90"/>
  <c r="BA55" i="90"/>
  <c r="AZ55" i="90"/>
  <c r="AY55" i="90"/>
  <c r="AX55" i="90"/>
  <c r="AW55" i="90"/>
  <c r="AV55" i="90"/>
  <c r="BE51" i="90"/>
  <c r="CA51" i="90" s="1"/>
  <c r="BD51" i="90"/>
  <c r="BZ51" i="90" s="1"/>
  <c r="BC51" i="90"/>
  <c r="BB51" i="90"/>
  <c r="BX51" i="90" s="1"/>
  <c r="BA51" i="90"/>
  <c r="BW51" i="90" s="1"/>
  <c r="AZ51" i="90"/>
  <c r="BV51" i="90" s="1"/>
  <c r="AY51" i="90"/>
  <c r="BU51" i="90" s="1"/>
  <c r="AX51" i="90"/>
  <c r="BT51" i="90" s="1"/>
  <c r="AW51" i="90"/>
  <c r="BS51" i="90" s="1"/>
  <c r="AV51" i="90"/>
  <c r="BR51" i="90" s="1"/>
  <c r="BG51" i="90" s="1"/>
  <c r="BE50" i="90"/>
  <c r="CA50" i="90" s="1"/>
  <c r="BD50" i="90"/>
  <c r="BZ50" i="90" s="1"/>
  <c r="BC50" i="90"/>
  <c r="BB50" i="90"/>
  <c r="BX50" i="90" s="1"/>
  <c r="BA50" i="90"/>
  <c r="BW50" i="90" s="1"/>
  <c r="AZ50" i="90"/>
  <c r="AY50" i="90"/>
  <c r="BU50" i="90" s="1"/>
  <c r="AX50" i="90"/>
  <c r="AW50" i="90"/>
  <c r="BS50" i="90" s="1"/>
  <c r="AV50" i="90"/>
  <c r="BR50" i="90" s="1"/>
  <c r="BG50" i="90" s="1"/>
  <c r="BE49" i="90"/>
  <c r="BD49" i="90"/>
  <c r="BZ49" i="90" s="1"/>
  <c r="BC49" i="90"/>
  <c r="BB49" i="90"/>
  <c r="BX49" i="90" s="1"/>
  <c r="BA49" i="90"/>
  <c r="BW49" i="90" s="1"/>
  <c r="AZ49" i="90"/>
  <c r="AY49" i="90"/>
  <c r="BU49" i="90" s="1"/>
  <c r="AX49" i="90"/>
  <c r="BT49" i="90" s="1"/>
  <c r="AW49" i="90"/>
  <c r="AV49" i="90"/>
  <c r="BR49" i="90" s="1"/>
  <c r="BG49" i="90" s="1"/>
  <c r="BE48" i="90"/>
  <c r="BD48" i="90"/>
  <c r="BC48" i="90"/>
  <c r="BB48" i="90"/>
  <c r="BA48" i="90"/>
  <c r="AZ48" i="90"/>
  <c r="AY48" i="90"/>
  <c r="AX48" i="90"/>
  <c r="AW48" i="90"/>
  <c r="AV48" i="90"/>
  <c r="BE47" i="90"/>
  <c r="CA47" i="90" s="1"/>
  <c r="BD47" i="90"/>
  <c r="BC47" i="90"/>
  <c r="BY47" i="90" s="1"/>
  <c r="BB47" i="90"/>
  <c r="BX47" i="90" s="1"/>
  <c r="BA47" i="90"/>
  <c r="BW47" i="90" s="1"/>
  <c r="AZ47" i="90"/>
  <c r="AY47" i="90"/>
  <c r="BU47" i="90" s="1"/>
  <c r="AX47" i="90"/>
  <c r="BT47" i="90" s="1"/>
  <c r="AW47" i="90"/>
  <c r="AV47" i="90"/>
  <c r="BR47" i="90" s="1"/>
  <c r="BG47" i="90" s="1"/>
  <c r="BE46" i="90"/>
  <c r="CA46" i="90" s="1"/>
  <c r="BD46" i="90"/>
  <c r="BZ46" i="90" s="1"/>
  <c r="BC46" i="90"/>
  <c r="BY46" i="90" s="1"/>
  <c r="BB46" i="90"/>
  <c r="BA46" i="90"/>
  <c r="BW46" i="90" s="1"/>
  <c r="AZ46" i="90"/>
  <c r="AY46" i="90"/>
  <c r="BU46" i="90" s="1"/>
  <c r="AX46" i="90"/>
  <c r="BT46" i="90" s="1"/>
  <c r="AW46" i="90"/>
  <c r="BS46" i="90" s="1"/>
  <c r="AV46" i="90"/>
  <c r="BR46" i="90" s="1"/>
  <c r="BG46" i="90" s="1"/>
  <c r="BE45" i="90"/>
  <c r="CA45" i="90" s="1"/>
  <c r="BD45" i="90"/>
  <c r="BZ45" i="90" s="1"/>
  <c r="BC45" i="90"/>
  <c r="BY45" i="90" s="1"/>
  <c r="BB45" i="90"/>
  <c r="BX45" i="90" s="1"/>
  <c r="BA45" i="90"/>
  <c r="BW45" i="90" s="1"/>
  <c r="AZ45" i="90"/>
  <c r="AY45" i="90"/>
  <c r="BU45" i="90" s="1"/>
  <c r="AX45" i="90"/>
  <c r="AW45" i="90"/>
  <c r="AV45" i="90"/>
  <c r="BE44" i="90"/>
  <c r="BD44" i="90"/>
  <c r="BC44" i="90"/>
  <c r="BB44" i="90"/>
  <c r="BA44" i="90"/>
  <c r="AZ44" i="90"/>
  <c r="AY44" i="90"/>
  <c r="AX44" i="90"/>
  <c r="AW44" i="90"/>
  <c r="AV44" i="90"/>
  <c r="BE43" i="90"/>
  <c r="BD43" i="90"/>
  <c r="BC43" i="90"/>
  <c r="BB43" i="90"/>
  <c r="BA43" i="90"/>
  <c r="AZ43" i="90"/>
  <c r="AY43" i="90"/>
  <c r="AX43" i="90"/>
  <c r="AW43" i="90"/>
  <c r="AT42" i="90"/>
  <c r="M15" i="90" s="1"/>
  <c r="AO16" i="98" s="1"/>
  <c r="AS42" i="90"/>
  <c r="L15" i="90" s="1"/>
  <c r="AN16" i="98" s="1"/>
  <c r="AR42" i="90"/>
  <c r="K15" i="90" s="1"/>
  <c r="AM16" i="98" s="1"/>
  <c r="AQ42" i="90"/>
  <c r="J15" i="90" s="1"/>
  <c r="AL16" i="98" s="1"/>
  <c r="AP42" i="90"/>
  <c r="I15" i="90" s="1"/>
  <c r="AK16" i="98" s="1"/>
  <c r="AO42" i="90"/>
  <c r="H15" i="90" s="1"/>
  <c r="AJ16" i="98" s="1"/>
  <c r="AN42" i="90"/>
  <c r="G15" i="90" s="1"/>
  <c r="AI16" i="98" s="1"/>
  <c r="AM42" i="90"/>
  <c r="F15" i="90" s="1"/>
  <c r="AH16" i="98" s="1"/>
  <c r="AL42" i="90"/>
  <c r="E15" i="90" s="1"/>
  <c r="AG16" i="98" s="1"/>
  <c r="AK42" i="90"/>
  <c r="D15" i="90" s="1"/>
  <c r="AF16" i="98" s="1"/>
  <c r="AI42" i="90"/>
  <c r="M14" i="90" s="1"/>
  <c r="AO15" i="98" s="1"/>
  <c r="AH42" i="90"/>
  <c r="L14" i="90" s="1"/>
  <c r="AN15" i="98" s="1"/>
  <c r="AG42" i="90"/>
  <c r="K14" i="90" s="1"/>
  <c r="AM15" i="98" s="1"/>
  <c r="AF42" i="90"/>
  <c r="J14" i="90" s="1"/>
  <c r="AL15" i="98" s="1"/>
  <c r="AE42" i="90"/>
  <c r="I14" i="90" s="1"/>
  <c r="AK15" i="98" s="1"/>
  <c r="AD42" i="90"/>
  <c r="H14" i="90" s="1"/>
  <c r="AJ15" i="98" s="1"/>
  <c r="AC42" i="90"/>
  <c r="G14" i="90" s="1"/>
  <c r="AI15" i="98" s="1"/>
  <c r="AB42" i="90"/>
  <c r="F14" i="90" s="1"/>
  <c r="AH15" i="98" s="1"/>
  <c r="AA42" i="90"/>
  <c r="E14" i="90" s="1"/>
  <c r="AG15" i="98" s="1"/>
  <c r="Z42" i="90"/>
  <c r="D14" i="90" s="1"/>
  <c r="M22" i="90"/>
  <c r="AO39" i="98" s="1"/>
  <c r="L22" i="90"/>
  <c r="AN39" i="98" s="1"/>
  <c r="K22" i="90"/>
  <c r="AM39" i="98" s="1"/>
  <c r="J22" i="90"/>
  <c r="AL39" i="98" s="1"/>
  <c r="I22" i="90"/>
  <c r="AK39" i="98" s="1"/>
  <c r="H22" i="90"/>
  <c r="AJ39" i="98" s="1"/>
  <c r="G22" i="90"/>
  <c r="AI39" i="98" s="1"/>
  <c r="F22" i="90"/>
  <c r="AH39" i="98" s="1"/>
  <c r="E22" i="90"/>
  <c r="AG39" i="98" s="1"/>
  <c r="D22" i="90"/>
  <c r="AF39" i="98" s="1"/>
  <c r="M21" i="90"/>
  <c r="AO38" i="98" s="1"/>
  <c r="L21" i="90"/>
  <c r="AN38" i="98" s="1"/>
  <c r="K21" i="90"/>
  <c r="AM38" i="98" s="1"/>
  <c r="J21" i="90"/>
  <c r="AL38" i="98" s="1"/>
  <c r="I21" i="90"/>
  <c r="AK38" i="98" s="1"/>
  <c r="H21" i="90"/>
  <c r="AJ38" i="98" s="1"/>
  <c r="G21" i="90"/>
  <c r="AI38" i="98" s="1"/>
  <c r="F21" i="90"/>
  <c r="AH38" i="98" s="1"/>
  <c r="E21" i="90"/>
  <c r="AG38" i="98" s="1"/>
  <c r="D21" i="90"/>
  <c r="AF38" i="98" s="1"/>
  <c r="M20" i="90"/>
  <c r="AO37" i="98" s="1"/>
  <c r="L20" i="90"/>
  <c r="AN37" i="98" s="1"/>
  <c r="K20" i="90"/>
  <c r="AM37" i="98" s="1"/>
  <c r="J20" i="90"/>
  <c r="AL37" i="98" s="1"/>
  <c r="I20" i="90"/>
  <c r="AK37" i="98" s="1"/>
  <c r="H20" i="90"/>
  <c r="AJ37" i="98" s="1"/>
  <c r="G20" i="90"/>
  <c r="AI37" i="98" s="1"/>
  <c r="F20" i="90"/>
  <c r="AH37" i="98" s="1"/>
  <c r="E20" i="90"/>
  <c r="AF37" i="98"/>
  <c r="M19" i="90"/>
  <c r="AO36" i="98" s="1"/>
  <c r="L19" i="90"/>
  <c r="AN36" i="98" s="1"/>
  <c r="K19" i="90"/>
  <c r="AM36" i="98" s="1"/>
  <c r="J19" i="90"/>
  <c r="AL36" i="98" s="1"/>
  <c r="I19" i="90"/>
  <c r="H19" i="90"/>
  <c r="AJ36" i="98" s="1"/>
  <c r="G19" i="90"/>
  <c r="AI36" i="98" s="1"/>
  <c r="F19" i="90"/>
  <c r="AH36" i="98" s="1"/>
  <c r="E19" i="90"/>
  <c r="M9" i="90"/>
  <c r="L9" i="90"/>
  <c r="K9" i="90"/>
  <c r="J9" i="90"/>
  <c r="I9" i="90"/>
  <c r="H9" i="90"/>
  <c r="G9" i="90"/>
  <c r="F9" i="90"/>
  <c r="E9" i="90"/>
  <c r="D9" i="90"/>
  <c r="BH90" i="90" l="1"/>
  <c r="BS93" i="90"/>
  <c r="BU94" i="90"/>
  <c r="BJ94" i="90" s="1"/>
  <c r="BH64" i="90"/>
  <c r="CA99" i="90"/>
  <c r="BW116" i="90"/>
  <c r="BV85" i="90"/>
  <c r="BV91" i="90"/>
  <c r="BU84" i="90"/>
  <c r="BU82" i="90"/>
  <c r="BK82" i="90" s="1"/>
  <c r="BT97" i="90"/>
  <c r="BV117" i="90"/>
  <c r="BN117" i="90" s="1"/>
  <c r="BS83" i="90"/>
  <c r="BH83" i="90" s="1"/>
  <c r="BV76" i="90"/>
  <c r="BI68" i="90"/>
  <c r="BV87" i="90"/>
  <c r="BL87" i="90" s="1"/>
  <c r="AK28" i="98"/>
  <c r="BU86" i="90"/>
  <c r="BJ86" i="90" s="1"/>
  <c r="BS98" i="90"/>
  <c r="BL98" i="90" s="1"/>
  <c r="CA115" i="90"/>
  <c r="AJ28" i="98"/>
  <c r="CA108" i="90"/>
  <c r="BP108" i="90" s="1"/>
  <c r="BI64" i="90"/>
  <c r="BG108" i="90"/>
  <c r="CA112" i="90"/>
  <c r="BN64" i="90"/>
  <c r="BT96" i="90"/>
  <c r="BK96" i="90" s="1"/>
  <c r="CA111" i="90"/>
  <c r="BW115" i="90"/>
  <c r="BS92" i="90"/>
  <c r="CA101" i="90"/>
  <c r="CA107" i="90"/>
  <c r="BP107" i="90" s="1"/>
  <c r="BV116" i="90"/>
  <c r="BK116" i="90" s="1"/>
  <c r="BO68" i="90"/>
  <c r="CA105" i="90"/>
  <c r="BP105" i="90" s="1"/>
  <c r="BK108" i="90"/>
  <c r="BR65" i="90"/>
  <c r="BG65" i="90" s="1"/>
  <c r="D11" i="90"/>
  <c r="AF12" i="98" s="1"/>
  <c r="BP68" i="90"/>
  <c r="BV84" i="90"/>
  <c r="BV90" i="90"/>
  <c r="CA110" i="90"/>
  <c r="BU81" i="90"/>
  <c r="BJ81" i="90" s="1"/>
  <c r="BV75" i="90"/>
  <c r="CA113" i="90"/>
  <c r="BP64" i="90"/>
  <c r="BS97" i="90"/>
  <c r="BM97" i="90" s="1"/>
  <c r="AG28" i="98"/>
  <c r="CA98" i="90"/>
  <c r="CA104" i="90"/>
  <c r="BM108" i="90"/>
  <c r="BU93" i="90"/>
  <c r="BM93" i="90" s="1"/>
  <c r="AO28" i="98"/>
  <c r="BH102" i="90"/>
  <c r="CA109" i="90"/>
  <c r="CA102" i="90"/>
  <c r="BO64" i="90"/>
  <c r="BK90" i="90"/>
  <c r="CA106" i="90"/>
  <c r="BL68" i="90"/>
  <c r="CA103" i="90"/>
  <c r="BN108" i="90"/>
  <c r="BO108" i="90"/>
  <c r="BJ107" i="90"/>
  <c r="BJ68" i="90"/>
  <c r="BJ90" i="90"/>
  <c r="BK64" i="90"/>
  <c r="BK68" i="90"/>
  <c r="BL64" i="90"/>
  <c r="BN107" i="90"/>
  <c r="BJ114" i="90"/>
  <c r="BM64" i="90"/>
  <c r="BH62" i="90"/>
  <c r="BN68" i="90"/>
  <c r="BJ64" i="90"/>
  <c r="BM107" i="90"/>
  <c r="BH67" i="90"/>
  <c r="BM68" i="90"/>
  <c r="BL108" i="90"/>
  <c r="BI107" i="90"/>
  <c r="BI90" i="90"/>
  <c r="BK107" i="90"/>
  <c r="BL107" i="90"/>
  <c r="BO107" i="90"/>
  <c r="BI108" i="90"/>
  <c r="BV50" i="90"/>
  <c r="BV49" i="90"/>
  <c r="BV45" i="90"/>
  <c r="O480" i="36"/>
  <c r="O483" i="36" s="1"/>
  <c r="Q484" i="36"/>
  <c r="R472" i="36"/>
  <c r="R501" i="36" s="1"/>
  <c r="BZ172" i="57"/>
  <c r="BZ148" i="57"/>
  <c r="BZ316" i="57"/>
  <c r="BY286" i="57"/>
  <c r="BY214" i="57"/>
  <c r="CV100" i="57"/>
  <c r="DI100" i="57" s="1"/>
  <c r="BZ292" i="57"/>
  <c r="BY163" i="57"/>
  <c r="BY307" i="57"/>
  <c r="CV76" i="57"/>
  <c r="DI76" i="57" s="1"/>
  <c r="CV244" i="57"/>
  <c r="DI244" i="57" s="1"/>
  <c r="CU91" i="57"/>
  <c r="DH91" i="57" s="1"/>
  <c r="BY82" i="57"/>
  <c r="CU298" i="57"/>
  <c r="DH298" i="57" s="1"/>
  <c r="BY226" i="57"/>
  <c r="BZ91" i="57"/>
  <c r="CV163" i="57"/>
  <c r="DI163" i="57" s="1"/>
  <c r="CV235" i="57"/>
  <c r="DI235" i="57" s="1"/>
  <c r="BZ307" i="57"/>
  <c r="BY130" i="57"/>
  <c r="BK322" i="57"/>
  <c r="CV90" i="57"/>
  <c r="DI90" i="57" s="1"/>
  <c r="BZ90" i="57"/>
  <c r="CV138" i="57"/>
  <c r="DI138" i="57" s="1"/>
  <c r="BZ138" i="57"/>
  <c r="BZ186" i="57"/>
  <c r="CV186" i="57"/>
  <c r="DI186" i="57" s="1"/>
  <c r="CV234" i="57"/>
  <c r="DI234" i="57" s="1"/>
  <c r="BZ234" i="57"/>
  <c r="CV246" i="57"/>
  <c r="DI246" i="57" s="1"/>
  <c r="BZ246" i="57"/>
  <c r="BZ258" i="57"/>
  <c r="CV258" i="57"/>
  <c r="DI258" i="57" s="1"/>
  <c r="CV270" i="57"/>
  <c r="DI270" i="57" s="1"/>
  <c r="BZ270" i="57"/>
  <c r="CU108" i="57"/>
  <c r="DH108" i="57" s="1"/>
  <c r="BY108" i="57"/>
  <c r="CU156" i="57"/>
  <c r="DH156" i="57" s="1"/>
  <c r="BY156" i="57"/>
  <c r="BY204" i="57"/>
  <c r="CU204" i="57"/>
  <c r="DH204" i="57" s="1"/>
  <c r="CV300" i="57"/>
  <c r="DI300" i="57" s="1"/>
  <c r="BZ300" i="57"/>
  <c r="CU321" i="57"/>
  <c r="DH321" i="57" s="1"/>
  <c r="BY321" i="57"/>
  <c r="CU282" i="57"/>
  <c r="DH282" i="57" s="1"/>
  <c r="BY282" i="57"/>
  <c r="CU306" i="57"/>
  <c r="DH306" i="57" s="1"/>
  <c r="BY306" i="57"/>
  <c r="BZ282" i="57"/>
  <c r="CV282" i="57"/>
  <c r="DI282" i="57" s="1"/>
  <c r="CV306" i="57"/>
  <c r="DI306" i="57" s="1"/>
  <c r="BZ306" i="57"/>
  <c r="BZ108" i="57"/>
  <c r="CV108" i="57"/>
  <c r="DI108" i="57" s="1"/>
  <c r="BZ156" i="57"/>
  <c r="CV156" i="57"/>
  <c r="DI156" i="57" s="1"/>
  <c r="BZ204" i="57"/>
  <c r="CV204" i="57"/>
  <c r="DI204" i="57" s="1"/>
  <c r="CU78" i="57"/>
  <c r="DH78" i="57" s="1"/>
  <c r="BY78" i="57"/>
  <c r="BY126" i="57"/>
  <c r="CU126" i="57"/>
  <c r="DH126" i="57" s="1"/>
  <c r="CU174" i="57"/>
  <c r="DH174" i="57" s="1"/>
  <c r="BY174" i="57"/>
  <c r="CU222" i="57"/>
  <c r="DH222" i="57" s="1"/>
  <c r="BY222" i="57"/>
  <c r="BQ321" i="57"/>
  <c r="DQ321" i="57"/>
  <c r="DE321" i="57"/>
  <c r="AS321" i="57"/>
  <c r="BP321" i="57"/>
  <c r="DP321" i="57"/>
  <c r="DD321" i="57"/>
  <c r="AR321" i="57"/>
  <c r="CV78" i="57"/>
  <c r="DI78" i="57" s="1"/>
  <c r="BZ78" i="57"/>
  <c r="CV126" i="57"/>
  <c r="DI126" i="57" s="1"/>
  <c r="BZ126" i="57"/>
  <c r="BZ174" i="57"/>
  <c r="CV174" i="57"/>
  <c r="DI174" i="57" s="1"/>
  <c r="CV222" i="57"/>
  <c r="DI222" i="57" s="1"/>
  <c r="BZ222" i="57"/>
  <c r="BY96" i="57"/>
  <c r="CU96" i="57"/>
  <c r="DH96" i="57" s="1"/>
  <c r="BY144" i="57"/>
  <c r="CU144" i="57"/>
  <c r="DH144" i="57" s="1"/>
  <c r="BY192" i="57"/>
  <c r="CU192" i="57"/>
  <c r="DH192" i="57" s="1"/>
  <c r="AY83" i="57"/>
  <c r="I89" i="57"/>
  <c r="BL321" i="57"/>
  <c r="DL321" i="57"/>
  <c r="CZ321" i="57"/>
  <c r="AN321" i="57"/>
  <c r="BK321" i="57"/>
  <c r="DK321" i="57"/>
  <c r="CY321" i="57"/>
  <c r="AM321" i="57"/>
  <c r="AA83" i="57"/>
  <c r="CW321" i="57"/>
  <c r="BI321" i="57"/>
  <c r="AK321" i="57"/>
  <c r="BH321" i="57"/>
  <c r="AJ321" i="57"/>
  <c r="CV96" i="57"/>
  <c r="DI96" i="57" s="1"/>
  <c r="BZ96" i="57"/>
  <c r="CV144" i="57"/>
  <c r="DI144" i="57" s="1"/>
  <c r="BZ144" i="57"/>
  <c r="CV192" i="57"/>
  <c r="DI192" i="57" s="1"/>
  <c r="BZ192" i="57"/>
  <c r="BY114" i="57"/>
  <c r="CU114" i="57"/>
  <c r="DH114" i="57" s="1"/>
  <c r="CU162" i="57"/>
  <c r="DH162" i="57" s="1"/>
  <c r="BY162" i="57"/>
  <c r="BY210" i="57"/>
  <c r="CU210" i="57"/>
  <c r="DH210" i="57" s="1"/>
  <c r="CU240" i="57"/>
  <c r="DH240" i="57" s="1"/>
  <c r="BY240" i="57"/>
  <c r="CU252" i="57"/>
  <c r="DH252" i="57" s="1"/>
  <c r="BY252" i="57"/>
  <c r="CU276" i="57"/>
  <c r="DH276" i="57" s="1"/>
  <c r="BY276" i="57"/>
  <c r="CU300" i="57"/>
  <c r="DH300" i="57" s="1"/>
  <c r="BY300" i="57"/>
  <c r="BZ321" i="57"/>
  <c r="CV321" i="57"/>
  <c r="DI321" i="57" s="1"/>
  <c r="BM321" i="57"/>
  <c r="DM321" i="57"/>
  <c r="DA321" i="57"/>
  <c r="AO321" i="57"/>
  <c r="BD321" i="57"/>
  <c r="BC321" i="57"/>
  <c r="BA321" i="57"/>
  <c r="AZ321" i="57"/>
  <c r="BZ114" i="57"/>
  <c r="CV114" i="57"/>
  <c r="DI114" i="57" s="1"/>
  <c r="BZ162" i="57"/>
  <c r="CV162" i="57"/>
  <c r="DI162" i="57" s="1"/>
  <c r="CV210" i="57"/>
  <c r="DI210" i="57" s="1"/>
  <c r="BZ210" i="57"/>
  <c r="BZ240" i="57"/>
  <c r="CV240" i="57"/>
  <c r="DI240" i="57" s="1"/>
  <c r="BZ252" i="57"/>
  <c r="CV252" i="57"/>
  <c r="DI252" i="57" s="1"/>
  <c r="CV264" i="57"/>
  <c r="DI264" i="57" s="1"/>
  <c r="BZ264" i="57"/>
  <c r="BZ276" i="57"/>
  <c r="CV276" i="57"/>
  <c r="DI276" i="57" s="1"/>
  <c r="CU84" i="57"/>
  <c r="DH84" i="57" s="1"/>
  <c r="BY84" i="57"/>
  <c r="CU132" i="57"/>
  <c r="DH132" i="57" s="1"/>
  <c r="BY132" i="57"/>
  <c r="BY180" i="57"/>
  <c r="CU180" i="57"/>
  <c r="DH180" i="57" s="1"/>
  <c r="BY228" i="57"/>
  <c r="CU228" i="57"/>
  <c r="DH228" i="57" s="1"/>
  <c r="BZ288" i="57"/>
  <c r="CV288" i="57"/>
  <c r="DI288" i="57" s="1"/>
  <c r="CV312" i="57"/>
  <c r="DI312" i="57" s="1"/>
  <c r="BZ312" i="57"/>
  <c r="CU270" i="57"/>
  <c r="DH270" i="57" s="1"/>
  <c r="BY270" i="57"/>
  <c r="CU294" i="57"/>
  <c r="DH294" i="57" s="1"/>
  <c r="BY294" i="57"/>
  <c r="AX74" i="57"/>
  <c r="F80" i="57"/>
  <c r="BZ294" i="57"/>
  <c r="CV294" i="57"/>
  <c r="DI294" i="57" s="1"/>
  <c r="AY74" i="57"/>
  <c r="I80" i="57"/>
  <c r="BN321" i="57"/>
  <c r="DN321" i="57"/>
  <c r="DB321" i="57"/>
  <c r="AP321" i="57"/>
  <c r="BE321" i="57"/>
  <c r="K83" i="57"/>
  <c r="K86" i="57" s="1"/>
  <c r="DJ321" i="57"/>
  <c r="BJ321" i="57"/>
  <c r="CX321" i="57"/>
  <c r="AL321" i="57"/>
  <c r="Z83" i="57"/>
  <c r="X80" i="57"/>
  <c r="W80" i="57"/>
  <c r="AC80" i="57"/>
  <c r="AG80" i="57"/>
  <c r="BZ84" i="57"/>
  <c r="CV84" i="57"/>
  <c r="DI84" i="57" s="1"/>
  <c r="BZ132" i="57"/>
  <c r="CV132" i="57"/>
  <c r="DI132" i="57" s="1"/>
  <c r="BZ180" i="57"/>
  <c r="CV180" i="57"/>
  <c r="DI180" i="57" s="1"/>
  <c r="CV228" i="57"/>
  <c r="DI228" i="57" s="1"/>
  <c r="BZ228" i="57"/>
  <c r="CU102" i="57"/>
  <c r="DH102" i="57" s="1"/>
  <c r="BY102" i="57"/>
  <c r="BY150" i="57"/>
  <c r="CU150" i="57"/>
  <c r="DH150" i="57" s="1"/>
  <c r="CU198" i="57"/>
  <c r="DH198" i="57" s="1"/>
  <c r="BY198" i="57"/>
  <c r="CU318" i="57"/>
  <c r="DH318" i="57" s="1"/>
  <c r="BY318" i="57"/>
  <c r="BZ318" i="57"/>
  <c r="CV318" i="57"/>
  <c r="DI318" i="57" s="1"/>
  <c r="BO321" i="57"/>
  <c r="DO321" i="57"/>
  <c r="DC321" i="57"/>
  <c r="AQ321" i="57"/>
  <c r="AE83" i="57"/>
  <c r="V77" i="57"/>
  <c r="S80" i="57"/>
  <c r="BB321" i="57"/>
  <c r="R83" i="57"/>
  <c r="P80" i="57"/>
  <c r="O80" i="57"/>
  <c r="M80" i="57"/>
  <c r="M83" i="57" s="1"/>
  <c r="Y80" i="57"/>
  <c r="CV102" i="57"/>
  <c r="DI102" i="57" s="1"/>
  <c r="BZ102" i="57"/>
  <c r="CV150" i="57"/>
  <c r="DI150" i="57" s="1"/>
  <c r="BZ150" i="57"/>
  <c r="CV198" i="57"/>
  <c r="DI198" i="57" s="1"/>
  <c r="BZ198" i="57"/>
  <c r="CU72" i="57"/>
  <c r="DH72" i="57" s="1"/>
  <c r="BY72" i="57"/>
  <c r="CU120" i="57"/>
  <c r="DH120" i="57" s="1"/>
  <c r="BY120" i="57"/>
  <c r="BY168" i="57"/>
  <c r="CU168" i="57"/>
  <c r="DH168" i="57" s="1"/>
  <c r="BY216" i="57"/>
  <c r="CU216" i="57"/>
  <c r="DH216" i="57" s="1"/>
  <c r="W83" i="57"/>
  <c r="N83" i="57"/>
  <c r="T80" i="57"/>
  <c r="BD80" i="57" s="1"/>
  <c r="AB80" i="57"/>
  <c r="Q80" i="57"/>
  <c r="CV72" i="57"/>
  <c r="DI72" i="57" s="1"/>
  <c r="BZ72" i="57"/>
  <c r="BZ120" i="57"/>
  <c r="CV120" i="57"/>
  <c r="DI120" i="57" s="1"/>
  <c r="CV168" i="57"/>
  <c r="DI168" i="57" s="1"/>
  <c r="BZ168" i="57"/>
  <c r="BZ216" i="57"/>
  <c r="CV216" i="57"/>
  <c r="DI216" i="57" s="1"/>
  <c r="CU90" i="57"/>
  <c r="DH90" i="57" s="1"/>
  <c r="BY90" i="57"/>
  <c r="CU138" i="57"/>
  <c r="DH138" i="57" s="1"/>
  <c r="BY138" i="57"/>
  <c r="CU186" i="57"/>
  <c r="DH186" i="57" s="1"/>
  <c r="BY186" i="57"/>
  <c r="BY234" i="57"/>
  <c r="CU234" i="57"/>
  <c r="DH234" i="57" s="1"/>
  <c r="CU246" i="57"/>
  <c r="DH246" i="57" s="1"/>
  <c r="BY246" i="57"/>
  <c r="BY258" i="57"/>
  <c r="CU258" i="57"/>
  <c r="DH258" i="57" s="1"/>
  <c r="AX83" i="57"/>
  <c r="F89" i="57"/>
  <c r="CU264" i="57"/>
  <c r="DH264" i="57" s="1"/>
  <c r="BY264" i="57"/>
  <c r="BY288" i="57"/>
  <c r="CU288" i="57"/>
  <c r="DH288" i="57" s="1"/>
  <c r="BY312" i="57"/>
  <c r="CU312" i="57"/>
  <c r="DH312" i="57" s="1"/>
  <c r="AD80" i="57"/>
  <c r="U80" i="57"/>
  <c r="L80" i="57"/>
  <c r="L83" i="57" s="1"/>
  <c r="AF80" i="57"/>
  <c r="P480" i="36"/>
  <c r="P483" i="36" s="1"/>
  <c r="Q492" i="36"/>
  <c r="P479" i="36"/>
  <c r="P492" i="36"/>
  <c r="P484" i="36"/>
  <c r="Q475" i="36"/>
  <c r="P491" i="36"/>
  <c r="O492" i="36"/>
  <c r="Q480" i="36"/>
  <c r="Q483" i="36" s="1"/>
  <c r="Q491" i="36"/>
  <c r="O479" i="36"/>
  <c r="O484" i="36"/>
  <c r="Q479" i="36"/>
  <c r="O491" i="36"/>
  <c r="P475" i="36"/>
  <c r="O475" i="36"/>
  <c r="W147" i="12"/>
  <c r="AG36" i="98"/>
  <c r="P19" i="90"/>
  <c r="AF40" i="98"/>
  <c r="AG37" i="98"/>
  <c r="P20" i="90"/>
  <c r="AK36" i="98"/>
  <c r="AK40" i="98" s="1"/>
  <c r="S19" i="90"/>
  <c r="AG147" i="12"/>
  <c r="AB147" i="12"/>
  <c r="BA56" i="36"/>
  <c r="BB56" i="36"/>
  <c r="O452" i="36"/>
  <c r="CA66" i="36"/>
  <c r="O14" i="36"/>
  <c r="AZ56" i="36"/>
  <c r="R492" i="36"/>
  <c r="R452" i="36"/>
  <c r="AH28" i="98"/>
  <c r="AM29" i="98"/>
  <c r="AI28" i="98"/>
  <c r="AI20" i="98"/>
  <c r="AM21" i="98"/>
  <c r="BS131" i="90"/>
  <c r="BH131" i="90" s="1"/>
  <c r="BS135" i="90"/>
  <c r="BH135" i="90" s="1"/>
  <c r="AF21" i="98"/>
  <c r="AN21" i="98"/>
  <c r="AL28" i="98"/>
  <c r="AJ20" i="98"/>
  <c r="BI143" i="90"/>
  <c r="BS128" i="90"/>
  <c r="BS132" i="90"/>
  <c r="AF20" i="98"/>
  <c r="AN20" i="98"/>
  <c r="BH69" i="90"/>
  <c r="BS130" i="90"/>
  <c r="BS134" i="90"/>
  <c r="BS142" i="90"/>
  <c r="BJ142" i="90" s="1"/>
  <c r="AK21" i="98"/>
  <c r="AG20" i="98"/>
  <c r="AO20" i="98"/>
  <c r="AF29" i="98"/>
  <c r="AN29" i="98"/>
  <c r="AL30" i="98"/>
  <c r="AL21" i="98"/>
  <c r="AH20" i="98"/>
  <c r="BS139" i="90"/>
  <c r="BH71" i="90"/>
  <c r="BH110" i="90"/>
  <c r="BS136" i="90"/>
  <c r="BH136" i="90" s="1"/>
  <c r="BS140" i="90"/>
  <c r="AG30" i="98"/>
  <c r="AO30" i="98"/>
  <c r="AG21" i="98"/>
  <c r="AO21" i="98"/>
  <c r="AM28" i="98"/>
  <c r="AK20" i="98"/>
  <c r="BJ78" i="90"/>
  <c r="BH82" i="90"/>
  <c r="BH91" i="90"/>
  <c r="BI110" i="90"/>
  <c r="BS122" i="90"/>
  <c r="BN122" i="90" s="1"/>
  <c r="BS126" i="90"/>
  <c r="BS129" i="90"/>
  <c r="BS133" i="90"/>
  <c r="AH21" i="98"/>
  <c r="AF28" i="98"/>
  <c r="AN28" i="98"/>
  <c r="AL20" i="98"/>
  <c r="BI82" i="90"/>
  <c r="BS137" i="90"/>
  <c r="BS141" i="90"/>
  <c r="AK29" i="98"/>
  <c r="AI21" i="98"/>
  <c r="AM20" i="98"/>
  <c r="BS123" i="90"/>
  <c r="AJ21" i="98"/>
  <c r="BN70" i="90"/>
  <c r="BS127" i="90"/>
  <c r="BH127" i="90" s="1"/>
  <c r="BS138" i="90"/>
  <c r="CA425" i="36"/>
  <c r="P452" i="36"/>
  <c r="CB66" i="36"/>
  <c r="CB115" i="36"/>
  <c r="CB191" i="36"/>
  <c r="CB259" i="36"/>
  <c r="CB282" i="36"/>
  <c r="CB306" i="36"/>
  <c r="CB383" i="36"/>
  <c r="CB407" i="36"/>
  <c r="CB406" i="36"/>
  <c r="CB112" i="36"/>
  <c r="CB188" i="36"/>
  <c r="CB255" i="36"/>
  <c r="CB279" i="36"/>
  <c r="CB380" i="36"/>
  <c r="CB109" i="36"/>
  <c r="CB233" i="36"/>
  <c r="CB276" i="36"/>
  <c r="CB301" i="36"/>
  <c r="CB377" i="36"/>
  <c r="CB237" i="36"/>
  <c r="CB333" i="36"/>
  <c r="CB158" i="36"/>
  <c r="CB202" i="36"/>
  <c r="CB225" i="36"/>
  <c r="CB346" i="36"/>
  <c r="CB94" i="36"/>
  <c r="CB142" i="36"/>
  <c r="CB107" i="36"/>
  <c r="CB150" i="36"/>
  <c r="CB203" i="36"/>
  <c r="CB271" i="36"/>
  <c r="CB294" i="36"/>
  <c r="CB338" i="36"/>
  <c r="CB90" i="36"/>
  <c r="CB139" i="36"/>
  <c r="CB215" i="36"/>
  <c r="CB283" i="36"/>
  <c r="CB307" i="36"/>
  <c r="CB330" i="36"/>
  <c r="CB87" i="36"/>
  <c r="CB136" i="36"/>
  <c r="CB212" i="36"/>
  <c r="CB303" i="36"/>
  <c r="CB404" i="36"/>
  <c r="CB194" i="36"/>
  <c r="CB84" i="36"/>
  <c r="CB133" i="36"/>
  <c r="CB257" i="36"/>
  <c r="CB325" i="36"/>
  <c r="CB401" i="36"/>
  <c r="CB238" i="36"/>
  <c r="CB334" i="36"/>
  <c r="CB182" i="36"/>
  <c r="CB226" i="36"/>
  <c r="CB326" i="36"/>
  <c r="CB345" i="36"/>
  <c r="CB370" i="36"/>
  <c r="CB362" i="36"/>
  <c r="CB131" i="36"/>
  <c r="CB151" i="36"/>
  <c r="CB227" i="36"/>
  <c r="CB251" i="36"/>
  <c r="CB295" i="36"/>
  <c r="CB318" i="36"/>
  <c r="CB371" i="36"/>
  <c r="CB98" i="36"/>
  <c r="CB146" i="36"/>
  <c r="CB114" i="36"/>
  <c r="CB239" i="36"/>
  <c r="CB331" i="36"/>
  <c r="CB354" i="36"/>
  <c r="CB386" i="36"/>
  <c r="CB111" i="36"/>
  <c r="CB160" i="36"/>
  <c r="CB236" i="36"/>
  <c r="CB304" i="36"/>
  <c r="CB327" i="36"/>
  <c r="CB108" i="36"/>
  <c r="CB157" i="36"/>
  <c r="CB281" i="36"/>
  <c r="CB300" i="36"/>
  <c r="CB349" i="36"/>
  <c r="CB81" i="36"/>
  <c r="CB206" i="36"/>
  <c r="CB249" i="36"/>
  <c r="CB369" i="36"/>
  <c r="CB394" i="36"/>
  <c r="CB71" i="36"/>
  <c r="CB138" i="36"/>
  <c r="CB162" i="36"/>
  <c r="CB263" i="36"/>
  <c r="CB355" i="36"/>
  <c r="CB378" i="36"/>
  <c r="CB68" i="36"/>
  <c r="CB135" i="36"/>
  <c r="CB184" i="36"/>
  <c r="CB260" i="36"/>
  <c r="CB328" i="36"/>
  <c r="CB351" i="36"/>
  <c r="CB314" i="36"/>
  <c r="CB89" i="36"/>
  <c r="CB132" i="36"/>
  <c r="CB156" i="36"/>
  <c r="CB181" i="36"/>
  <c r="CB324" i="36"/>
  <c r="CB373" i="36"/>
  <c r="CB82" i="36"/>
  <c r="CB105" i="36"/>
  <c r="CB230" i="36"/>
  <c r="CB250" i="36"/>
  <c r="CB350" i="36"/>
  <c r="CB393" i="36"/>
  <c r="CB418" i="36"/>
  <c r="CB117" i="36"/>
  <c r="CB175" i="36"/>
  <c r="CB95" i="36"/>
  <c r="CB163" i="36"/>
  <c r="CB186" i="36"/>
  <c r="CB287" i="36"/>
  <c r="CB379" i="36"/>
  <c r="CB402" i="36"/>
  <c r="CB92" i="36"/>
  <c r="CB116" i="36"/>
  <c r="CB159" i="36"/>
  <c r="CB208" i="36"/>
  <c r="CB284" i="36"/>
  <c r="CB352" i="36"/>
  <c r="CB375" i="36"/>
  <c r="CB113" i="36"/>
  <c r="CB180" i="36"/>
  <c r="CB205" i="36"/>
  <c r="CB348" i="36"/>
  <c r="CB397" i="36"/>
  <c r="CB213" i="36"/>
  <c r="CB266" i="36"/>
  <c r="CB357" i="36"/>
  <c r="CB106" i="36"/>
  <c r="CB129" i="36"/>
  <c r="CB273" i="36"/>
  <c r="CB298" i="36"/>
  <c r="CB374" i="36"/>
  <c r="CB417" i="36"/>
  <c r="CB118" i="36"/>
  <c r="CB78" i="36"/>
  <c r="CB155" i="36"/>
  <c r="CB198" i="36"/>
  <c r="CB323" i="36"/>
  <c r="CB189" i="36"/>
  <c r="CB119" i="36"/>
  <c r="CB122" i="36"/>
  <c r="CB190" i="36"/>
  <c r="CB67" i="36"/>
  <c r="CB143" i="36"/>
  <c r="CB211" i="36"/>
  <c r="CB234" i="36"/>
  <c r="CB405" i="36"/>
  <c r="CB140" i="36"/>
  <c r="CB207" i="36"/>
  <c r="CB256" i="36"/>
  <c r="CB332" i="36"/>
  <c r="CB400" i="36"/>
  <c r="CB185" i="36"/>
  <c r="CB253" i="36"/>
  <c r="CB329" i="36"/>
  <c r="CB396" i="36"/>
  <c r="CB358" i="36"/>
  <c r="CB110" i="36"/>
  <c r="CB154" i="36"/>
  <c r="CB177" i="36"/>
  <c r="CB322" i="36"/>
  <c r="CB91" i="36"/>
  <c r="CB167" i="36"/>
  <c r="CB235" i="36"/>
  <c r="CB258" i="36"/>
  <c r="CB359" i="36"/>
  <c r="CB88" i="36"/>
  <c r="CB164" i="36"/>
  <c r="CB231" i="36"/>
  <c r="CB280" i="36"/>
  <c r="CB356" i="36"/>
  <c r="CB290" i="36"/>
  <c r="CB85" i="36"/>
  <c r="CB209" i="36"/>
  <c r="CB228" i="36"/>
  <c r="CB252" i="36"/>
  <c r="CB277" i="36"/>
  <c r="CB353" i="36"/>
  <c r="CB74" i="36"/>
  <c r="CB134" i="36"/>
  <c r="CB178" i="36"/>
  <c r="CB201" i="36"/>
  <c r="CB278" i="36"/>
  <c r="CB302" i="36"/>
  <c r="CB321" i="36"/>
  <c r="CB93" i="36"/>
  <c r="CB141" i="36"/>
  <c r="CB382" i="36"/>
  <c r="CB83" i="36"/>
  <c r="CB127" i="36"/>
  <c r="CB247" i="36"/>
  <c r="CB311" i="36"/>
  <c r="CB214" i="36"/>
  <c r="CB130" i="36"/>
  <c r="CB126" i="36"/>
  <c r="CB174" i="36"/>
  <c r="CB223" i="36"/>
  <c r="CB270" i="36"/>
  <c r="CB342" i="36"/>
  <c r="CB366" i="36"/>
  <c r="CB176" i="36"/>
  <c r="CB220" i="36"/>
  <c r="CB244" i="36"/>
  <c r="CB320" i="36"/>
  <c r="CB364" i="36"/>
  <c r="CB387" i="36"/>
  <c r="CB170" i="36"/>
  <c r="CB262" i="36"/>
  <c r="CB96" i="36"/>
  <c r="CB197" i="36"/>
  <c r="CB217" i="36"/>
  <c r="CB240" i="36"/>
  <c r="CB389" i="36"/>
  <c r="CB312" i="36"/>
  <c r="CB299" i="36"/>
  <c r="CB219" i="36"/>
  <c r="CB363" i="36"/>
  <c r="CB72" i="36"/>
  <c r="CB336" i="36"/>
  <c r="CB335" i="36"/>
  <c r="CB218" i="36"/>
  <c r="CB137" i="36"/>
  <c r="CB305" i="36"/>
  <c r="CB153" i="36"/>
  <c r="CB274" i="36"/>
  <c r="CB398" i="36"/>
  <c r="CB79" i="36"/>
  <c r="CB343" i="36"/>
  <c r="CB367" i="36"/>
  <c r="CB390" i="36"/>
  <c r="CB165" i="36"/>
  <c r="CB75" i="36"/>
  <c r="CB200" i="36"/>
  <c r="CB267" i="36"/>
  <c r="CB388" i="36"/>
  <c r="CB410" i="36"/>
  <c r="CB97" i="36"/>
  <c r="CB120" i="36"/>
  <c r="CB241" i="36"/>
  <c r="CB264" i="36"/>
  <c r="CB361" i="36"/>
  <c r="CB408" i="36"/>
  <c r="CB416" i="36"/>
  <c r="CB409" i="36"/>
  <c r="CB187" i="36"/>
  <c r="CB161" i="36"/>
  <c r="CB297" i="36"/>
  <c r="CB179" i="36"/>
  <c r="CB275" i="36"/>
  <c r="CB391" i="36"/>
  <c r="CB414" i="36"/>
  <c r="CB166" i="36"/>
  <c r="CB285" i="36"/>
  <c r="CB76" i="36"/>
  <c r="CB99" i="36"/>
  <c r="CB224" i="36"/>
  <c r="CB243" i="36"/>
  <c r="CB268" i="36"/>
  <c r="CB344" i="36"/>
  <c r="CB411" i="36"/>
  <c r="CB77" i="36"/>
  <c r="CB121" i="36"/>
  <c r="CB221" i="36"/>
  <c r="CB265" i="36"/>
  <c r="CB288" i="36"/>
  <c r="CB341" i="36"/>
  <c r="CB360" i="36"/>
  <c r="CB413" i="36"/>
  <c r="CB232" i="36"/>
  <c r="CB296" i="36"/>
  <c r="CB261" i="36"/>
  <c r="CB173" i="36"/>
  <c r="CB210" i="36"/>
  <c r="CB308" i="36"/>
  <c r="CB246" i="36"/>
  <c r="CB319" i="36"/>
  <c r="CB415" i="36"/>
  <c r="CB100" i="36"/>
  <c r="CB123" i="36"/>
  <c r="CB248" i="36"/>
  <c r="CB291" i="36"/>
  <c r="CB368" i="36"/>
  <c r="CB412" i="36"/>
  <c r="CB69" i="36"/>
  <c r="CB309" i="36"/>
  <c r="CB101" i="36"/>
  <c r="CB144" i="36"/>
  <c r="CB245" i="36"/>
  <c r="CB289" i="36"/>
  <c r="CB403" i="36"/>
  <c r="CB204" i="36"/>
  <c r="CB372" i="36"/>
  <c r="CB102" i="36"/>
  <c r="CB199" i="36"/>
  <c r="CB347" i="36"/>
  <c r="CB286" i="36"/>
  <c r="CB80" i="36"/>
  <c r="CB124" i="36"/>
  <c r="CB147" i="36"/>
  <c r="CB272" i="36"/>
  <c r="CB292" i="36"/>
  <c r="CB315" i="36"/>
  <c r="CB392" i="36"/>
  <c r="CB70" i="36"/>
  <c r="CB242" i="36"/>
  <c r="CB310" i="36"/>
  <c r="CB125" i="36"/>
  <c r="CB145" i="36"/>
  <c r="CB168" i="36"/>
  <c r="CB269" i="36"/>
  <c r="CB313" i="36"/>
  <c r="CB385" i="36"/>
  <c r="CB196" i="36"/>
  <c r="CB222" i="36"/>
  <c r="CB183" i="36"/>
  <c r="CB229" i="36"/>
  <c r="CB103" i="36"/>
  <c r="CB395" i="36"/>
  <c r="CB419" i="36"/>
  <c r="CB104" i="36"/>
  <c r="CB148" i="36"/>
  <c r="CB172" i="36"/>
  <c r="CB316" i="36"/>
  <c r="CB169" i="36"/>
  <c r="CB192" i="36"/>
  <c r="CB293" i="36"/>
  <c r="CB365" i="36"/>
  <c r="CB384" i="36"/>
  <c r="CB193" i="36"/>
  <c r="CB337" i="36"/>
  <c r="CB195" i="36"/>
  <c r="CB340" i="36"/>
  <c r="CB216" i="36"/>
  <c r="CB376" i="36"/>
  <c r="CB86" i="36"/>
  <c r="CB381" i="36"/>
  <c r="CB128" i="36"/>
  <c r="CB171" i="36"/>
  <c r="CB339" i="36"/>
  <c r="CB149" i="36"/>
  <c r="CB399" i="36"/>
  <c r="CB254" i="36"/>
  <c r="CB152" i="36"/>
  <c r="CB317" i="36"/>
  <c r="CA431" i="36"/>
  <c r="CC429" i="36"/>
  <c r="CB422" i="36"/>
  <c r="CA437" i="36"/>
  <c r="CC435" i="36"/>
  <c r="CA423" i="36"/>
  <c r="CA439" i="36"/>
  <c r="CB434" i="36"/>
  <c r="CA430" i="36"/>
  <c r="CB430" i="36"/>
  <c r="CB431" i="36"/>
  <c r="CB437" i="36"/>
  <c r="CA424" i="36"/>
  <c r="CA438" i="36"/>
  <c r="CB439" i="36"/>
  <c r="CA429" i="36"/>
  <c r="CB429" i="36"/>
  <c r="CC430" i="36"/>
  <c r="CA427" i="36"/>
  <c r="CC422" i="36"/>
  <c r="CB428" i="36"/>
  <c r="CC428" i="36"/>
  <c r="CB424" i="36"/>
  <c r="CB438" i="36"/>
  <c r="CC434" i="36"/>
  <c r="CC440" i="36"/>
  <c r="CA426" i="36"/>
  <c r="CC427" i="36"/>
  <c r="CB423" i="36"/>
  <c r="CA440" i="36"/>
  <c r="CB420" i="36"/>
  <c r="CA435" i="36"/>
  <c r="CC431" i="36"/>
  <c r="CA428" i="36"/>
  <c r="CA434" i="36"/>
  <c r="CB425" i="36"/>
  <c r="CB440" i="36"/>
  <c r="CA92" i="36"/>
  <c r="CA135" i="36"/>
  <c r="CA160" i="36"/>
  <c r="CA327" i="36"/>
  <c r="CA352" i="36"/>
  <c r="CA379" i="36"/>
  <c r="CA89" i="36"/>
  <c r="CA133" i="36"/>
  <c r="CA156" i="36"/>
  <c r="CA305" i="36"/>
  <c r="CA324" i="36"/>
  <c r="CA349" i="36"/>
  <c r="CA86" i="36"/>
  <c r="CA130" i="36"/>
  <c r="CA153" i="36"/>
  <c r="CA254" i="36"/>
  <c r="CA322" i="36"/>
  <c r="CA345" i="36"/>
  <c r="CA79" i="36"/>
  <c r="CA102" i="36"/>
  <c r="CA270" i="36"/>
  <c r="CA323" i="36"/>
  <c r="CA367" i="36"/>
  <c r="CA390" i="36"/>
  <c r="CA75" i="36"/>
  <c r="CA195" i="36"/>
  <c r="CA320" i="36"/>
  <c r="CA339" i="36"/>
  <c r="CA392" i="36"/>
  <c r="CA412" i="36"/>
  <c r="CA67" i="36"/>
  <c r="CA211" i="36"/>
  <c r="CA116" i="36"/>
  <c r="CA159" i="36"/>
  <c r="CA184" i="36"/>
  <c r="CA351" i="36"/>
  <c r="CA376" i="36"/>
  <c r="CA113" i="36"/>
  <c r="CA157" i="36"/>
  <c r="CA180" i="36"/>
  <c r="CA281" i="36"/>
  <c r="CA329" i="36"/>
  <c r="CA348" i="36"/>
  <c r="CA373" i="36"/>
  <c r="CA110" i="36"/>
  <c r="CA154" i="36"/>
  <c r="CA177" i="36"/>
  <c r="CA278" i="36"/>
  <c r="CA302" i="36"/>
  <c r="CA346" i="36"/>
  <c r="CA369" i="36"/>
  <c r="CA163" i="36"/>
  <c r="CA83" i="36"/>
  <c r="CA103" i="36"/>
  <c r="CA126" i="36"/>
  <c r="CA251" i="36"/>
  <c r="CA271" i="36"/>
  <c r="CA391" i="36"/>
  <c r="CA414" i="36"/>
  <c r="CA95" i="36"/>
  <c r="CA143" i="36"/>
  <c r="CA76" i="36"/>
  <c r="CA176" i="36"/>
  <c r="CA196" i="36"/>
  <c r="CA344" i="36"/>
  <c r="CA364" i="36"/>
  <c r="CA140" i="36"/>
  <c r="CA164" i="36"/>
  <c r="CA183" i="36"/>
  <c r="CA208" i="36"/>
  <c r="CA308" i="36"/>
  <c r="CA375" i="36"/>
  <c r="CA400" i="36"/>
  <c r="CA137" i="36"/>
  <c r="CA181" i="36"/>
  <c r="CA204" i="36"/>
  <c r="CA353" i="36"/>
  <c r="CA372" i="36"/>
  <c r="CA397" i="36"/>
  <c r="CA134" i="36"/>
  <c r="CA178" i="36"/>
  <c r="CA201" i="36"/>
  <c r="CA326" i="36"/>
  <c r="CA370" i="36"/>
  <c r="CA393" i="36"/>
  <c r="CA162" i="36"/>
  <c r="CA239" i="36"/>
  <c r="CA335" i="36"/>
  <c r="CA107" i="36"/>
  <c r="CA127" i="36"/>
  <c r="CA151" i="36"/>
  <c r="CA294" i="36"/>
  <c r="CA347" i="36"/>
  <c r="CA415" i="36"/>
  <c r="CA188" i="36"/>
  <c r="CA207" i="36"/>
  <c r="CA232" i="36"/>
  <c r="CA332" i="36"/>
  <c r="CA399" i="36"/>
  <c r="CA91" i="36"/>
  <c r="CA161" i="36"/>
  <c r="CA205" i="36"/>
  <c r="CA228" i="36"/>
  <c r="CA377" i="36"/>
  <c r="CA396" i="36"/>
  <c r="CA115" i="36"/>
  <c r="CA202" i="36"/>
  <c r="CA225" i="36"/>
  <c r="CA350" i="36"/>
  <c r="CA394" i="36"/>
  <c r="CA417" i="36"/>
  <c r="CA131" i="36"/>
  <c r="CA150" i="36"/>
  <c r="CA175" i="36"/>
  <c r="CA275" i="36"/>
  <c r="CA295" i="36"/>
  <c r="CA318" i="36"/>
  <c r="CA371" i="36"/>
  <c r="CA234" i="36"/>
  <c r="CA80" i="36"/>
  <c r="CA100" i="36"/>
  <c r="CA123" i="36"/>
  <c r="CA200" i="36"/>
  <c r="CA220" i="36"/>
  <c r="CA243" i="36"/>
  <c r="CA354" i="36"/>
  <c r="CA212" i="36"/>
  <c r="CA231" i="36"/>
  <c r="CA256" i="36"/>
  <c r="CA356" i="36"/>
  <c r="CA90" i="36"/>
  <c r="CA185" i="36"/>
  <c r="CA229" i="36"/>
  <c r="CA252" i="36"/>
  <c r="CA401" i="36"/>
  <c r="CA114" i="36"/>
  <c r="CA158" i="36"/>
  <c r="CA226" i="36"/>
  <c r="CA249" i="36"/>
  <c r="CA374" i="36"/>
  <c r="CA418" i="36"/>
  <c r="CA155" i="36"/>
  <c r="CA174" i="36"/>
  <c r="CA199" i="36"/>
  <c r="CA319" i="36"/>
  <c r="CA395" i="36"/>
  <c r="CA283" i="36"/>
  <c r="CA104" i="36"/>
  <c r="CA124" i="36"/>
  <c r="CA147" i="36"/>
  <c r="CA224" i="36"/>
  <c r="CA244" i="36"/>
  <c r="CA267" i="36"/>
  <c r="CA368" i="36"/>
  <c r="CA355" i="36"/>
  <c r="CA88" i="36"/>
  <c r="CA87" i="36"/>
  <c r="CA112" i="36"/>
  <c r="CA260" i="36"/>
  <c r="CA279" i="36"/>
  <c r="CA304" i="36"/>
  <c r="CA404" i="36"/>
  <c r="CA307" i="36"/>
  <c r="CA85" i="36"/>
  <c r="CA108" i="36"/>
  <c r="CA233" i="36"/>
  <c r="CA277" i="36"/>
  <c r="CA301" i="36"/>
  <c r="CA138" i="36"/>
  <c r="CA82" i="36"/>
  <c r="CA105" i="36"/>
  <c r="CA206" i="36"/>
  <c r="CA230" i="36"/>
  <c r="CA274" i="36"/>
  <c r="CA297" i="36"/>
  <c r="CA215" i="36"/>
  <c r="CA203" i="36"/>
  <c r="CA222" i="36"/>
  <c r="CA246" i="36"/>
  <c r="CA299" i="36"/>
  <c r="CA343" i="36"/>
  <c r="CA191" i="36"/>
  <c r="CA68" i="36"/>
  <c r="CA111" i="36"/>
  <c r="CA136" i="36"/>
  <c r="CA284" i="36"/>
  <c r="CA303" i="36"/>
  <c r="CA328" i="36"/>
  <c r="CA378" i="36"/>
  <c r="CA407" i="36"/>
  <c r="CA109" i="36"/>
  <c r="CA132" i="36"/>
  <c r="CA257" i="36"/>
  <c r="CA300" i="36"/>
  <c r="CA325" i="36"/>
  <c r="CA106" i="36"/>
  <c r="CA129" i="36"/>
  <c r="CA298" i="36"/>
  <c r="CA321" i="36"/>
  <c r="CA78" i="36"/>
  <c r="CA227" i="36"/>
  <c r="CA247" i="36"/>
  <c r="CA366" i="36"/>
  <c r="CA331" i="36"/>
  <c r="CA152" i="36"/>
  <c r="CA172" i="36"/>
  <c r="CA84" i="36"/>
  <c r="CA253" i="36"/>
  <c r="CA139" i="36"/>
  <c r="CA235" i="36"/>
  <c r="CA411" i="36"/>
  <c r="CA258" i="36"/>
  <c r="CA73" i="36"/>
  <c r="CA96" i="36"/>
  <c r="CA197" i="36"/>
  <c r="CA265" i="36"/>
  <c r="CA288" i="36"/>
  <c r="CA117" i="36"/>
  <c r="CA142" i="36"/>
  <c r="CA262" i="36"/>
  <c r="CA285" i="36"/>
  <c r="CA338" i="36"/>
  <c r="CA410" i="36"/>
  <c r="CA72" i="36"/>
  <c r="CA194" i="36"/>
  <c r="CA276" i="36"/>
  <c r="CA282" i="36"/>
  <c r="CA316" i="36"/>
  <c r="CA416" i="36"/>
  <c r="CA97" i="36"/>
  <c r="CA120" i="36"/>
  <c r="CA221" i="36"/>
  <c r="CA245" i="36"/>
  <c r="CA289" i="36"/>
  <c r="CA312" i="36"/>
  <c r="CA413" i="36"/>
  <c r="CA263" i="36"/>
  <c r="CA74" i="36"/>
  <c r="CA141" i="36"/>
  <c r="CA218" i="36"/>
  <c r="CA286" i="36"/>
  <c r="CA309" i="36"/>
  <c r="CA381" i="36"/>
  <c r="CA402" i="36"/>
  <c r="CA357" i="36"/>
  <c r="CA273" i="36"/>
  <c r="CA387" i="36"/>
  <c r="CA264" i="36"/>
  <c r="CA118" i="36"/>
  <c r="CA179" i="36"/>
  <c r="CA330" i="36"/>
  <c r="CA148" i="36"/>
  <c r="CA248" i="36"/>
  <c r="CA315" i="36"/>
  <c r="CA121" i="36"/>
  <c r="CA144" i="36"/>
  <c r="CA293" i="36"/>
  <c r="CA313" i="36"/>
  <c r="CA98" i="36"/>
  <c r="CA165" i="36"/>
  <c r="CA242" i="36"/>
  <c r="CA310" i="36"/>
  <c r="CA382" i="36"/>
  <c r="CA94" i="36"/>
  <c r="CA272" i="36"/>
  <c r="CA173" i="36"/>
  <c r="CA380" i="36"/>
  <c r="CA182" i="36"/>
  <c r="CA198" i="36"/>
  <c r="CA419" i="36"/>
  <c r="CA99" i="36"/>
  <c r="CA292" i="36"/>
  <c r="CA167" i="36"/>
  <c r="CA287" i="36"/>
  <c r="CA77" i="36"/>
  <c r="CA145" i="36"/>
  <c r="CA168" i="36"/>
  <c r="CA269" i="36"/>
  <c r="CA317" i="36"/>
  <c r="CA336" i="36"/>
  <c r="CA122" i="36"/>
  <c r="CA166" i="36"/>
  <c r="CA189" i="36"/>
  <c r="CA266" i="36"/>
  <c r="CA333" i="36"/>
  <c r="CA362" i="36"/>
  <c r="CA406" i="36"/>
  <c r="CA383" i="36"/>
  <c r="CA409" i="36"/>
  <c r="CA261" i="36"/>
  <c r="CA236" i="36"/>
  <c r="CA223" i="36"/>
  <c r="CA342" i="36"/>
  <c r="CA291" i="36"/>
  <c r="CA187" i="36"/>
  <c r="CA101" i="36"/>
  <c r="CA169" i="36"/>
  <c r="CA192" i="36"/>
  <c r="CA337" i="36"/>
  <c r="CA360" i="36"/>
  <c r="CA70" i="36"/>
  <c r="CA190" i="36"/>
  <c r="CA214" i="36"/>
  <c r="CA290" i="36"/>
  <c r="CA334" i="36"/>
  <c r="CA170" i="36"/>
  <c r="CA386" i="36"/>
  <c r="CA241" i="36"/>
  <c r="CA389" i="36"/>
  <c r="CA93" i="36"/>
  <c r="CA238" i="36"/>
  <c r="CA255" i="36"/>
  <c r="CA306" i="36"/>
  <c r="CA398" i="36"/>
  <c r="CA359" i="36"/>
  <c r="CA296" i="36"/>
  <c r="CA186" i="36"/>
  <c r="CA125" i="36"/>
  <c r="CA193" i="36"/>
  <c r="CA216" i="36"/>
  <c r="CA341" i="36"/>
  <c r="CA361" i="36"/>
  <c r="CA384" i="36"/>
  <c r="CA71" i="36"/>
  <c r="CA311" i="36"/>
  <c r="CA69" i="36"/>
  <c r="CA146" i="36"/>
  <c r="CA213" i="36"/>
  <c r="CA314" i="36"/>
  <c r="CA405" i="36"/>
  <c r="CA340" i="36"/>
  <c r="CA259" i="36"/>
  <c r="CA403" i="36"/>
  <c r="CA358" i="36"/>
  <c r="CA280" i="36"/>
  <c r="CA209" i="36"/>
  <c r="CA81" i="36"/>
  <c r="CA250" i="36"/>
  <c r="CA119" i="36"/>
  <c r="CA171" i="36"/>
  <c r="CA219" i="36"/>
  <c r="CA268" i="36"/>
  <c r="CA363" i="36"/>
  <c r="CA388" i="36"/>
  <c r="CA210" i="36"/>
  <c r="CA149" i="36"/>
  <c r="CA217" i="36"/>
  <c r="CA240" i="36"/>
  <c r="CA365" i="36"/>
  <c r="CA385" i="36"/>
  <c r="CA408" i="36"/>
  <c r="CA237" i="36"/>
  <c r="CA128" i="36"/>
  <c r="Q452" i="36"/>
  <c r="CC96" i="36"/>
  <c r="CC144" i="36"/>
  <c r="CC167" i="36"/>
  <c r="CC214" i="36"/>
  <c r="CC237" i="36"/>
  <c r="CC362" i="36"/>
  <c r="CC164" i="36"/>
  <c r="CC211" i="36"/>
  <c r="CC234" i="36"/>
  <c r="CC359" i="36"/>
  <c r="CC403" i="36"/>
  <c r="CC192" i="36"/>
  <c r="CC288" i="36"/>
  <c r="CC341" i="36"/>
  <c r="CC161" i="36"/>
  <c r="CC184" i="36"/>
  <c r="CC207" i="36"/>
  <c r="CC356" i="36"/>
  <c r="CC400" i="36"/>
  <c r="CC74" i="36"/>
  <c r="CC110" i="36"/>
  <c r="CC132" i="36"/>
  <c r="CC181" i="36"/>
  <c r="CC276" i="36"/>
  <c r="CC301" i="36"/>
  <c r="CC401" i="36"/>
  <c r="CC81" i="36"/>
  <c r="CC130" i="36"/>
  <c r="CC225" i="36"/>
  <c r="CC250" i="36"/>
  <c r="CC350" i="36"/>
  <c r="CC370" i="36"/>
  <c r="CC97" i="36"/>
  <c r="CC145" i="36"/>
  <c r="CC69" i="36"/>
  <c r="CC191" i="36"/>
  <c r="CC238" i="36"/>
  <c r="CC261" i="36"/>
  <c r="CC386" i="36"/>
  <c r="CC405" i="36"/>
  <c r="CC66" i="36"/>
  <c r="CC188" i="36"/>
  <c r="CC235" i="36"/>
  <c r="CC258" i="36"/>
  <c r="CC383" i="36"/>
  <c r="CC289" i="36"/>
  <c r="CC185" i="36"/>
  <c r="CC208" i="36"/>
  <c r="CC231" i="36"/>
  <c r="CC380" i="36"/>
  <c r="CC134" i="36"/>
  <c r="CC156" i="36"/>
  <c r="CC205" i="36"/>
  <c r="CC278" i="36"/>
  <c r="CC300" i="36"/>
  <c r="CC83" i="36"/>
  <c r="CC105" i="36"/>
  <c r="CC203" i="36"/>
  <c r="CC274" i="36"/>
  <c r="CC336" i="36"/>
  <c r="CC70" i="36"/>
  <c r="CC93" i="36"/>
  <c r="CC215" i="36"/>
  <c r="CC262" i="36"/>
  <c r="CC285" i="36"/>
  <c r="CC410" i="36"/>
  <c r="CC67" i="36"/>
  <c r="CC90" i="36"/>
  <c r="CC212" i="36"/>
  <c r="CC259" i="36"/>
  <c r="CC282" i="36"/>
  <c r="CC407" i="36"/>
  <c r="CC194" i="36"/>
  <c r="CC290" i="36"/>
  <c r="CC365" i="36"/>
  <c r="CC88" i="36"/>
  <c r="CC209" i="36"/>
  <c r="CC232" i="36"/>
  <c r="CC255" i="36"/>
  <c r="CC404" i="36"/>
  <c r="CC158" i="36"/>
  <c r="CC180" i="36"/>
  <c r="CC229" i="36"/>
  <c r="CC302" i="36"/>
  <c r="CC324" i="36"/>
  <c r="CC98" i="36"/>
  <c r="CC146" i="36"/>
  <c r="CC337" i="36"/>
  <c r="CC94" i="36"/>
  <c r="CC117" i="36"/>
  <c r="CC239" i="36"/>
  <c r="CC286" i="36"/>
  <c r="CC310" i="36"/>
  <c r="CC384" i="36"/>
  <c r="CC91" i="36"/>
  <c r="CC114" i="36"/>
  <c r="CC236" i="36"/>
  <c r="CC283" i="36"/>
  <c r="CC306" i="36"/>
  <c r="CC217" i="36"/>
  <c r="CC112" i="36"/>
  <c r="CC233" i="36"/>
  <c r="CC256" i="36"/>
  <c r="CC279" i="36"/>
  <c r="CC303" i="36"/>
  <c r="CC265" i="36"/>
  <c r="CC182" i="36"/>
  <c r="CC204" i="36"/>
  <c r="CC325" i="36"/>
  <c r="CC361" i="36"/>
  <c r="CC131" i="36"/>
  <c r="CC153" i="36"/>
  <c r="CC120" i="36"/>
  <c r="CC71" i="36"/>
  <c r="CC118" i="36"/>
  <c r="CC141" i="36"/>
  <c r="CC263" i="36"/>
  <c r="CC309" i="36"/>
  <c r="CC334" i="36"/>
  <c r="CC385" i="36"/>
  <c r="CC68" i="36"/>
  <c r="CC138" i="36"/>
  <c r="CC260" i="36"/>
  <c r="CC307" i="36"/>
  <c r="CC330" i="36"/>
  <c r="CC216" i="36"/>
  <c r="CC312" i="36"/>
  <c r="CC413" i="36"/>
  <c r="CC87" i="36"/>
  <c r="CC136" i="36"/>
  <c r="CC257" i="36"/>
  <c r="CC280" i="36"/>
  <c r="CC304" i="36"/>
  <c r="CC327" i="36"/>
  <c r="CC85" i="36"/>
  <c r="CC206" i="36"/>
  <c r="CC228" i="36"/>
  <c r="CC253" i="36"/>
  <c r="CC329" i="36"/>
  <c r="CC348" i="36"/>
  <c r="CC178" i="36"/>
  <c r="CC275" i="36"/>
  <c r="CC297" i="36"/>
  <c r="CC121" i="36"/>
  <c r="CC95" i="36"/>
  <c r="CC142" i="36"/>
  <c r="CC165" i="36"/>
  <c r="CC119" i="36"/>
  <c r="CC166" i="36"/>
  <c r="CC189" i="36"/>
  <c r="CC311" i="36"/>
  <c r="CC333" i="36"/>
  <c r="CC357" i="36"/>
  <c r="CC382" i="36"/>
  <c r="CC116" i="36"/>
  <c r="CC163" i="36"/>
  <c r="CC186" i="36"/>
  <c r="CC308" i="36"/>
  <c r="CC355" i="36"/>
  <c r="CC378" i="36"/>
  <c r="CC218" i="36"/>
  <c r="CC314" i="36"/>
  <c r="CC113" i="36"/>
  <c r="CC135" i="36"/>
  <c r="CC160" i="36"/>
  <c r="CC305" i="36"/>
  <c r="CC352" i="36"/>
  <c r="CC375" i="36"/>
  <c r="CC73" i="36"/>
  <c r="CC266" i="36"/>
  <c r="CC84" i="36"/>
  <c r="CC133" i="36"/>
  <c r="CC252" i="36"/>
  <c r="CC277" i="36"/>
  <c r="CC353" i="36"/>
  <c r="CC122" i="36"/>
  <c r="CC143" i="36"/>
  <c r="CC190" i="36"/>
  <c r="CC213" i="36"/>
  <c r="CC338" i="36"/>
  <c r="CC381" i="36"/>
  <c r="CC406" i="36"/>
  <c r="CC140" i="36"/>
  <c r="CC187" i="36"/>
  <c r="CC210" i="36"/>
  <c r="CC335" i="36"/>
  <c r="CC379" i="36"/>
  <c r="CC402" i="36"/>
  <c r="CC193" i="36"/>
  <c r="CC137" i="36"/>
  <c r="CC159" i="36"/>
  <c r="CC183" i="36"/>
  <c r="CC332" i="36"/>
  <c r="CC376" i="36"/>
  <c r="CC399" i="36"/>
  <c r="CC86" i="36"/>
  <c r="CC108" i="36"/>
  <c r="CC157" i="36"/>
  <c r="CC254" i="36"/>
  <c r="CC377" i="36"/>
  <c r="CC397" i="36"/>
  <c r="CC106" i="36"/>
  <c r="CC179" i="36"/>
  <c r="CC201" i="36"/>
  <c r="CC226" i="36"/>
  <c r="CC111" i="36"/>
  <c r="CC281" i="36"/>
  <c r="CC373" i="36"/>
  <c r="CC299" i="36"/>
  <c r="CC104" i="36"/>
  <c r="CC127" i="36"/>
  <c r="CC150" i="36"/>
  <c r="CC296" i="36"/>
  <c r="CC343" i="36"/>
  <c r="CC148" i="36"/>
  <c r="CC171" i="36"/>
  <c r="CC293" i="36"/>
  <c r="CC315" i="36"/>
  <c r="CC368" i="36"/>
  <c r="CC92" i="36"/>
  <c r="CC129" i="36"/>
  <c r="CC177" i="36"/>
  <c r="CC227" i="36"/>
  <c r="CC273" i="36"/>
  <c r="CC128" i="36"/>
  <c r="CC151" i="36"/>
  <c r="CC174" i="36"/>
  <c r="CC320" i="36"/>
  <c r="CC342" i="36"/>
  <c r="CC367" i="36"/>
  <c r="CC419" i="36"/>
  <c r="CC170" i="36"/>
  <c r="CC149" i="36"/>
  <c r="CC172" i="36"/>
  <c r="CC195" i="36"/>
  <c r="CC316" i="36"/>
  <c r="CC387" i="36"/>
  <c r="CC126" i="36"/>
  <c r="CC269" i="36"/>
  <c r="CC358" i="36"/>
  <c r="CC115" i="36"/>
  <c r="CC284" i="36"/>
  <c r="CC313" i="36"/>
  <c r="CC328" i="36"/>
  <c r="CC264" i="36"/>
  <c r="CC396" i="36"/>
  <c r="CC82" i="36"/>
  <c r="CC152" i="36"/>
  <c r="CC175" i="36"/>
  <c r="CC198" i="36"/>
  <c r="CC323" i="36"/>
  <c r="CC366" i="36"/>
  <c r="CC391" i="36"/>
  <c r="CC240" i="36"/>
  <c r="CC408" i="36"/>
  <c r="CC173" i="36"/>
  <c r="CC196" i="36"/>
  <c r="CC317" i="36"/>
  <c r="CC388" i="36"/>
  <c r="CC372" i="36"/>
  <c r="CC292" i="36"/>
  <c r="CC139" i="36"/>
  <c r="CC351" i="36"/>
  <c r="CC346" i="36"/>
  <c r="CC369" i="36"/>
  <c r="CC176" i="36"/>
  <c r="CC199" i="36"/>
  <c r="CC222" i="36"/>
  <c r="CC347" i="36"/>
  <c r="CC390" i="36"/>
  <c r="CC241" i="36"/>
  <c r="CC409" i="36"/>
  <c r="CC75" i="36"/>
  <c r="CC197" i="36"/>
  <c r="CC219" i="36"/>
  <c r="CC339" i="36"/>
  <c r="CC411" i="36"/>
  <c r="CC271" i="36"/>
  <c r="CC124" i="36"/>
  <c r="CC291" i="36"/>
  <c r="CC109" i="36"/>
  <c r="CC103" i="36"/>
  <c r="CC272" i="36"/>
  <c r="CC125" i="36"/>
  <c r="CC162" i="36"/>
  <c r="CC331" i="36"/>
  <c r="CC360" i="36"/>
  <c r="CC154" i="36"/>
  <c r="CC249" i="36"/>
  <c r="CC322" i="36"/>
  <c r="CC394" i="36"/>
  <c r="CC418" i="36"/>
  <c r="CC200" i="36"/>
  <c r="CC223" i="36"/>
  <c r="CC246" i="36"/>
  <c r="CC371" i="36"/>
  <c r="CC76" i="36"/>
  <c r="CC99" i="36"/>
  <c r="CC220" i="36"/>
  <c r="CC243" i="36"/>
  <c r="CC340" i="36"/>
  <c r="CC392" i="36"/>
  <c r="CC412" i="36"/>
  <c r="CC268" i="36"/>
  <c r="CC287" i="36"/>
  <c r="CC80" i="36"/>
  <c r="CC364" i="36"/>
  <c r="CC354" i="36"/>
  <c r="CC230" i="36"/>
  <c r="CC155" i="36"/>
  <c r="CC202" i="36"/>
  <c r="CC251" i="36"/>
  <c r="CC321" i="36"/>
  <c r="CC345" i="36"/>
  <c r="CC374" i="36"/>
  <c r="CC78" i="36"/>
  <c r="CC224" i="36"/>
  <c r="CC247" i="36"/>
  <c r="CC270" i="36"/>
  <c r="CC295" i="36"/>
  <c r="CC395" i="36"/>
  <c r="CC415" i="36"/>
  <c r="CC242" i="36"/>
  <c r="CC77" i="36"/>
  <c r="CC100" i="36"/>
  <c r="CC123" i="36"/>
  <c r="CC221" i="36"/>
  <c r="CC244" i="36"/>
  <c r="CC267" i="36"/>
  <c r="CC344" i="36"/>
  <c r="CC416" i="36"/>
  <c r="CC248" i="36"/>
  <c r="CC101" i="36"/>
  <c r="CC245" i="36"/>
  <c r="CC89" i="36"/>
  <c r="CC72" i="36"/>
  <c r="CC349" i="36"/>
  <c r="CC107" i="36"/>
  <c r="CC298" i="36"/>
  <c r="CC326" i="36"/>
  <c r="CC393" i="36"/>
  <c r="CC417" i="36"/>
  <c r="CC389" i="36"/>
  <c r="CC79" i="36"/>
  <c r="CC102" i="36"/>
  <c r="CC294" i="36"/>
  <c r="CC319" i="36"/>
  <c r="CC414" i="36"/>
  <c r="CC169" i="36"/>
  <c r="CC363" i="36"/>
  <c r="CC398" i="36"/>
  <c r="CC318" i="36"/>
  <c r="CC168" i="36"/>
  <c r="CC147" i="36"/>
  <c r="CA420" i="36"/>
  <c r="CA422" i="36"/>
  <c r="CA436" i="36"/>
  <c r="CB427" i="36"/>
  <c r="CA433" i="36"/>
  <c r="CB432" i="36"/>
  <c r="CC424" i="36"/>
  <c r="CC438" i="36"/>
  <c r="CA421" i="36"/>
  <c r="CB421" i="36"/>
  <c r="CC421" i="36"/>
  <c r="CB436" i="36"/>
  <c r="CB426" i="36"/>
  <c r="CA432" i="36"/>
  <c r="CB433" i="36"/>
  <c r="CC433" i="36"/>
  <c r="CC423" i="36"/>
  <c r="CC439" i="36"/>
  <c r="CC425" i="36"/>
  <c r="CC420" i="36"/>
  <c r="CB435" i="36"/>
  <c r="CC436" i="36"/>
  <c r="CC437" i="36"/>
  <c r="CC432" i="36"/>
  <c r="R26" i="98"/>
  <c r="S26" i="98"/>
  <c r="Q26" i="98"/>
  <c r="T26" i="98"/>
  <c r="R460" i="36"/>
  <c r="E24" i="98"/>
  <c r="E26" i="98" s="1"/>
  <c r="AO25" i="42"/>
  <c r="AK25" i="42"/>
  <c r="AC101" i="41"/>
  <c r="AO24" i="42"/>
  <c r="AK24" i="42"/>
  <c r="AL40" i="98"/>
  <c r="AH29" i="98"/>
  <c r="AM22" i="98"/>
  <c r="AO29" i="98"/>
  <c r="AI29" i="98"/>
  <c r="AN22" i="98"/>
  <c r="AM40" i="98"/>
  <c r="AN40" i="98"/>
  <c r="AG22" i="98"/>
  <c r="AO22" i="98"/>
  <c r="AI30" i="98"/>
  <c r="AH22" i="98"/>
  <c r="AG29" i="98"/>
  <c r="AK30" i="98"/>
  <c r="AJ22" i="98"/>
  <c r="AF30" i="98"/>
  <c r="AN30" i="98"/>
  <c r="AF22" i="98"/>
  <c r="AJ29" i="98"/>
  <c r="AH30" i="98"/>
  <c r="AO40" i="98"/>
  <c r="AL29" i="98"/>
  <c r="AJ30" i="98"/>
  <c r="AI22" i="98"/>
  <c r="AK22" i="98"/>
  <c r="AM30" i="98"/>
  <c r="AL22" i="98"/>
  <c r="R451" i="36"/>
  <c r="BH100" i="90"/>
  <c r="BJ110" i="90"/>
  <c r="BI118" i="90"/>
  <c r="BI87" i="90"/>
  <c r="BH87" i="90"/>
  <c r="BN105" i="90"/>
  <c r="BK66" i="90"/>
  <c r="BH85" i="90"/>
  <c r="BL133" i="90"/>
  <c r="BO139" i="90"/>
  <c r="BJ74" i="90"/>
  <c r="BH121" i="90"/>
  <c r="BM126" i="90"/>
  <c r="BM132" i="90"/>
  <c r="BH50" i="90"/>
  <c r="BI121" i="90"/>
  <c r="BL121" i="90"/>
  <c r="BI135" i="90"/>
  <c r="BH88" i="90"/>
  <c r="BV47" i="90"/>
  <c r="BH51" i="90"/>
  <c r="BH59" i="90"/>
  <c r="BH70" i="90"/>
  <c r="BJ82" i="90"/>
  <c r="BI94" i="90"/>
  <c r="BK114" i="90"/>
  <c r="BH115" i="90"/>
  <c r="BJ118" i="90"/>
  <c r="BO127" i="90"/>
  <c r="BN106" i="90"/>
  <c r="BI112" i="90"/>
  <c r="BK135" i="90"/>
  <c r="BG143" i="90"/>
  <c r="BI69" i="90"/>
  <c r="BH99" i="90"/>
  <c r="BN100" i="90"/>
  <c r="BH113" i="90"/>
  <c r="BU143" i="90"/>
  <c r="BH143" i="90"/>
  <c r="BJ51" i="90"/>
  <c r="BH77" i="90"/>
  <c r="BK88" i="90"/>
  <c r="BK51" i="90"/>
  <c r="BK70" i="90"/>
  <c r="BH92" i="90"/>
  <c r="BH120" i="90"/>
  <c r="BM66" i="90"/>
  <c r="BI46" i="90"/>
  <c r="BM61" i="90"/>
  <c r="BO80" i="90"/>
  <c r="BT92" i="90"/>
  <c r="BL115" i="90"/>
  <c r="BI123" i="90"/>
  <c r="BH123" i="90"/>
  <c r="BJ126" i="90"/>
  <c r="BH139" i="90"/>
  <c r="BY72" i="90"/>
  <c r="BN72" i="90" s="1"/>
  <c r="BI142" i="90"/>
  <c r="BY71" i="57"/>
  <c r="CU71" i="57"/>
  <c r="DH71" i="57" s="1"/>
  <c r="CV71" i="57"/>
  <c r="DI71" i="57" s="1"/>
  <c r="BZ71" i="57"/>
  <c r="DC68" i="57"/>
  <c r="DO68" i="57" s="1"/>
  <c r="CP68" i="57"/>
  <c r="CP56" i="57" s="1"/>
  <c r="BO56" i="57"/>
  <c r="CR68" i="57"/>
  <c r="CR56" i="57" s="1"/>
  <c r="BQ56" i="57"/>
  <c r="DE68" i="57"/>
  <c r="DQ68" i="57" s="1"/>
  <c r="DB68" i="57"/>
  <c r="DN68" i="57" s="1"/>
  <c r="BN56" i="57"/>
  <c r="CO68" i="57"/>
  <c r="CO56" i="57" s="1"/>
  <c r="CQ68" i="57"/>
  <c r="CQ56" i="57" s="1"/>
  <c r="DD68" i="57"/>
  <c r="DP68" i="57" s="1"/>
  <c r="BP56" i="57"/>
  <c r="BM56" i="57"/>
  <c r="CN68" i="57"/>
  <c r="CN56" i="57" s="1"/>
  <c r="DA68" i="57"/>
  <c r="DM68" i="57" s="1"/>
  <c r="L26" i="98"/>
  <c r="D26" i="98"/>
  <c r="BP59" i="90"/>
  <c r="BH60" i="90"/>
  <c r="BH145" i="90"/>
  <c r="BJ145" i="90"/>
  <c r="BL145" i="90"/>
  <c r="BN145" i="90"/>
  <c r="BK145" i="90"/>
  <c r="BM145" i="90"/>
  <c r="BP145" i="90"/>
  <c r="BI145" i="90"/>
  <c r="BO145" i="90"/>
  <c r="AJ40" i="98"/>
  <c r="DD65" i="36"/>
  <c r="DQ65" i="36" s="1"/>
  <c r="BP53" i="36"/>
  <c r="CQ65" i="36"/>
  <c r="CQ53" i="36" s="1"/>
  <c r="CO65" i="36"/>
  <c r="CO53" i="36" s="1"/>
  <c r="BN53" i="36"/>
  <c r="DB65" i="36"/>
  <c r="DO65" i="36" s="1"/>
  <c r="BP56" i="36"/>
  <c r="BE56" i="36"/>
  <c r="CN65" i="36"/>
  <c r="CN53" i="36" s="1"/>
  <c r="DA65" i="36"/>
  <c r="DN65" i="36" s="1"/>
  <c r="BM53" i="36"/>
  <c r="DE65" i="36"/>
  <c r="DR65" i="36" s="1"/>
  <c r="CR65" i="36"/>
  <c r="CR53" i="36" s="1"/>
  <c r="BQ53" i="36"/>
  <c r="CP65" i="36"/>
  <c r="CP53" i="36" s="1"/>
  <c r="BO53" i="36"/>
  <c r="DC65" i="36"/>
  <c r="DP65" i="36" s="1"/>
  <c r="AD484" i="36"/>
  <c r="AD487" i="36" s="1"/>
  <c r="J26" i="98"/>
  <c r="Z480" i="36"/>
  <c r="Z483" i="36" s="1"/>
  <c r="BG56" i="36"/>
  <c r="BF56" i="36"/>
  <c r="BH56" i="36"/>
  <c r="BK56" i="36"/>
  <c r="BO56" i="36"/>
  <c r="BJ56" i="36"/>
  <c r="BQ56" i="36"/>
  <c r="BM56" i="36"/>
  <c r="K26" i="98"/>
  <c r="BN56" i="36"/>
  <c r="BD56" i="36"/>
  <c r="BI56" i="36"/>
  <c r="BC56" i="36"/>
  <c r="BL56" i="36"/>
  <c r="G26" i="98"/>
  <c r="CL420" i="36"/>
  <c r="CK421" i="36"/>
  <c r="AE476" i="36"/>
  <c r="AE479" i="36" s="1"/>
  <c r="R480" i="36"/>
  <c r="R509" i="36" s="1"/>
  <c r="CQ422" i="36"/>
  <c r="CP421" i="36"/>
  <c r="CJ422" i="36"/>
  <c r="K492" i="36"/>
  <c r="AB484" i="36"/>
  <c r="AB512" i="36" s="1"/>
  <c r="AF480" i="36"/>
  <c r="AF508" i="36" s="1"/>
  <c r="CL421" i="36"/>
  <c r="CJ420" i="36"/>
  <c r="X480" i="36"/>
  <c r="X509" i="36" s="1"/>
  <c r="R476" i="36"/>
  <c r="CQ421" i="36"/>
  <c r="N26" i="98"/>
  <c r="X484" i="36"/>
  <c r="X487" i="36" s="1"/>
  <c r="AG480" i="36"/>
  <c r="AG508" i="36" s="1"/>
  <c r="AG472" i="36"/>
  <c r="AG500" i="36" s="1"/>
  <c r="M492" i="36"/>
  <c r="Y480" i="36"/>
  <c r="Y509" i="36" s="1"/>
  <c r="CM420" i="36"/>
  <c r="AB452" i="36"/>
  <c r="CN438" i="36"/>
  <c r="CN427" i="36"/>
  <c r="CN412" i="36"/>
  <c r="CN411" i="36"/>
  <c r="CN434" i="36"/>
  <c r="CN419" i="36"/>
  <c r="CN418" i="36"/>
  <c r="CN413" i="36"/>
  <c r="CN440" i="36"/>
  <c r="CN430" i="36"/>
  <c r="CN424" i="36"/>
  <c r="CN407" i="36"/>
  <c r="CN431" i="36"/>
  <c r="CN415" i="36"/>
  <c r="CN410" i="36"/>
  <c r="CN401" i="36"/>
  <c r="CN397" i="36"/>
  <c r="CN381" i="36"/>
  <c r="CN377" i="36"/>
  <c r="CN374" i="36"/>
  <c r="CN414" i="36"/>
  <c r="CN394" i="36"/>
  <c r="CN393" i="36"/>
  <c r="CN387" i="36"/>
  <c r="CN384" i="36"/>
  <c r="CN378" i="36"/>
  <c r="CN370" i="36"/>
  <c r="CN363" i="36"/>
  <c r="CN362" i="36"/>
  <c r="CN429" i="36"/>
  <c r="CN398" i="36"/>
  <c r="CN379" i="36"/>
  <c r="CN371" i="36"/>
  <c r="CN436" i="36"/>
  <c r="CN435" i="36"/>
  <c r="CN428" i="36"/>
  <c r="CN425" i="36"/>
  <c r="CN417" i="36"/>
  <c r="CN437" i="36"/>
  <c r="CN416" i="36"/>
  <c r="CN409" i="36"/>
  <c r="CN390" i="36"/>
  <c r="CN389" i="36"/>
  <c r="CN351" i="36"/>
  <c r="CN349" i="36"/>
  <c r="CN337" i="36"/>
  <c r="CN408" i="36"/>
  <c r="CN391" i="36"/>
  <c r="CN388" i="36"/>
  <c r="CN366" i="36"/>
  <c r="CN359" i="36"/>
  <c r="CN356" i="36"/>
  <c r="CN346" i="36"/>
  <c r="CN345" i="36"/>
  <c r="CN338" i="36"/>
  <c r="CN439" i="36"/>
  <c r="CN433" i="36"/>
  <c r="CN392" i="36"/>
  <c r="CN382" i="36"/>
  <c r="CN380" i="36"/>
  <c r="CN369" i="36"/>
  <c r="CN350" i="36"/>
  <c r="CN347" i="36"/>
  <c r="CN339" i="36"/>
  <c r="CN333" i="36"/>
  <c r="CN329" i="36"/>
  <c r="CN326" i="36"/>
  <c r="CN321" i="36"/>
  <c r="CN317" i="36"/>
  <c r="CN404" i="36"/>
  <c r="CN373" i="36"/>
  <c r="CN372" i="36"/>
  <c r="CN432" i="36"/>
  <c r="CN406" i="36"/>
  <c r="CN403" i="36"/>
  <c r="CN400" i="36"/>
  <c r="CN386" i="36"/>
  <c r="CN395" i="36"/>
  <c r="CN367" i="36"/>
  <c r="CN354" i="36"/>
  <c r="CN353" i="36"/>
  <c r="CN341" i="36"/>
  <c r="CN314" i="36"/>
  <c r="CN313" i="36"/>
  <c r="CN310" i="36"/>
  <c r="CN396" i="36"/>
  <c r="CN365" i="36"/>
  <c r="CN355" i="36"/>
  <c r="CN324" i="36"/>
  <c r="CN322" i="36"/>
  <c r="CN318" i="36"/>
  <c r="CN306" i="36"/>
  <c r="CN305" i="36"/>
  <c r="CN296" i="36"/>
  <c r="CN288" i="36"/>
  <c r="CN285" i="36"/>
  <c r="CN277" i="36"/>
  <c r="CN402" i="36"/>
  <c r="CN375" i="36"/>
  <c r="CN334" i="36"/>
  <c r="CN330" i="36"/>
  <c r="CN320" i="36"/>
  <c r="CN311" i="36"/>
  <c r="CN385" i="36"/>
  <c r="CN383" i="36"/>
  <c r="CN360" i="36"/>
  <c r="CN357" i="36"/>
  <c r="CN343" i="36"/>
  <c r="CN352" i="36"/>
  <c r="CN336" i="36"/>
  <c r="CN327" i="36"/>
  <c r="CN426" i="36"/>
  <c r="CN423" i="36"/>
  <c r="CN331" i="36"/>
  <c r="CN308" i="36"/>
  <c r="CN368" i="36"/>
  <c r="CN361" i="36"/>
  <c r="CN312" i="36"/>
  <c r="CN309" i="36"/>
  <c r="CN303" i="36"/>
  <c r="CN399" i="36"/>
  <c r="CN358" i="36"/>
  <c r="CN323" i="36"/>
  <c r="CN319" i="36"/>
  <c r="CN364" i="36"/>
  <c r="CN348" i="36"/>
  <c r="CN268" i="36"/>
  <c r="CN258" i="36"/>
  <c r="CN254" i="36"/>
  <c r="CN251" i="36"/>
  <c r="CN245" i="36"/>
  <c r="CN241" i="36"/>
  <c r="CN232" i="36"/>
  <c r="CN211" i="36"/>
  <c r="CN328" i="36"/>
  <c r="CN269" i="36"/>
  <c r="CN265" i="36"/>
  <c r="CN259" i="36"/>
  <c r="CN255" i="36"/>
  <c r="CN242" i="36"/>
  <c r="CN227" i="36"/>
  <c r="CN223" i="36"/>
  <c r="CN218" i="36"/>
  <c r="CN210" i="36"/>
  <c r="CN340" i="36"/>
  <c r="CN335" i="36"/>
  <c r="CN325" i="36"/>
  <c r="CN316" i="36"/>
  <c r="CN283" i="36"/>
  <c r="CN281" i="36"/>
  <c r="CN279" i="36"/>
  <c r="CN315" i="36"/>
  <c r="CN267" i="36"/>
  <c r="CN261" i="36"/>
  <c r="CN257" i="36"/>
  <c r="CN253" i="36"/>
  <c r="CN250" i="36"/>
  <c r="CN244" i="36"/>
  <c r="CN240" i="36"/>
  <c r="CN237" i="36"/>
  <c r="CN304" i="36"/>
  <c r="CN299" i="36"/>
  <c r="CN294" i="36"/>
  <c r="CN290" i="36"/>
  <c r="CN272" i="36"/>
  <c r="CN266" i="36"/>
  <c r="CN246" i="36"/>
  <c r="CN226" i="36"/>
  <c r="CN221" i="36"/>
  <c r="CN220" i="36"/>
  <c r="CN405" i="36"/>
  <c r="CN344" i="36"/>
  <c r="CN298" i="36"/>
  <c r="CN286" i="36"/>
  <c r="CN278" i="36"/>
  <c r="CN260" i="36"/>
  <c r="CN248" i="36"/>
  <c r="CN247" i="36"/>
  <c r="CN236" i="36"/>
  <c r="CN235" i="36"/>
  <c r="CN228" i="36"/>
  <c r="CN225" i="36"/>
  <c r="CN216" i="36"/>
  <c r="CN215" i="36"/>
  <c r="CN199" i="36"/>
  <c r="CN198" i="36"/>
  <c r="CN256" i="36"/>
  <c r="CN212" i="36"/>
  <c r="CN207" i="36"/>
  <c r="CN202" i="36"/>
  <c r="CN201" i="36"/>
  <c r="CN194" i="36"/>
  <c r="CN191" i="36"/>
  <c r="CN275" i="36"/>
  <c r="CN264" i="36"/>
  <c r="CN249" i="36"/>
  <c r="CN224" i="36"/>
  <c r="CN213" i="36"/>
  <c r="CN208" i="36"/>
  <c r="CN187" i="36"/>
  <c r="CN184" i="36"/>
  <c r="CN176" i="36"/>
  <c r="CN172" i="36"/>
  <c r="CN376" i="36"/>
  <c r="CN332" i="36"/>
  <c r="CN307" i="36"/>
  <c r="CN293" i="36"/>
  <c r="CN297" i="36"/>
  <c r="CN292" i="36"/>
  <c r="CN287" i="36"/>
  <c r="CN302" i="36"/>
  <c r="CN274" i="36"/>
  <c r="CN271" i="36"/>
  <c r="CN263" i="36"/>
  <c r="CN252" i="36"/>
  <c r="CN342" i="36"/>
  <c r="CN295" i="36"/>
  <c r="CN284" i="36"/>
  <c r="CN273" i="36"/>
  <c r="CN238" i="36"/>
  <c r="CN234" i="36"/>
  <c r="CN222" i="36"/>
  <c r="CN196" i="36"/>
  <c r="CN189" i="36"/>
  <c r="CN186" i="36"/>
  <c r="CN182" i="36"/>
  <c r="CN174" i="36"/>
  <c r="CN170" i="36"/>
  <c r="CN300" i="36"/>
  <c r="CN291" i="36"/>
  <c r="CN276" i="36"/>
  <c r="CN243" i="36"/>
  <c r="CN229" i="36"/>
  <c r="CN217" i="36"/>
  <c r="CN289" i="36"/>
  <c r="CN282" i="36"/>
  <c r="CN280" i="36"/>
  <c r="CN230" i="36"/>
  <c r="CN206" i="36"/>
  <c r="CN190" i="36"/>
  <c r="CN180" i="36"/>
  <c r="CN171" i="36"/>
  <c r="CN167" i="36"/>
  <c r="CN163" i="36"/>
  <c r="CN152" i="36"/>
  <c r="CN181" i="36"/>
  <c r="CN164" i="36"/>
  <c r="CN214" i="36"/>
  <c r="CN203" i="36"/>
  <c r="CN193" i="36"/>
  <c r="CN179" i="36"/>
  <c r="CN239" i="36"/>
  <c r="CN205" i="36"/>
  <c r="CN168" i="36"/>
  <c r="CN301" i="36"/>
  <c r="CN262" i="36"/>
  <c r="CN219" i="36"/>
  <c r="CN178" i="36"/>
  <c r="CN160" i="36"/>
  <c r="CN153" i="36"/>
  <c r="CN151" i="36"/>
  <c r="CN166" i="36"/>
  <c r="CN161" i="36"/>
  <c r="CN159" i="36"/>
  <c r="CN137" i="36"/>
  <c r="CN126" i="36"/>
  <c r="CN122" i="36"/>
  <c r="CN121" i="36"/>
  <c r="CN113" i="36"/>
  <c r="CN102" i="36"/>
  <c r="CN231" i="36"/>
  <c r="CN209" i="36"/>
  <c r="CN200" i="36"/>
  <c r="CN188" i="36"/>
  <c r="CN169" i="36"/>
  <c r="CN142" i="36"/>
  <c r="CN133" i="36"/>
  <c r="CN132" i="36"/>
  <c r="CN127" i="36"/>
  <c r="CN114" i="36"/>
  <c r="CN104" i="36"/>
  <c r="CN103" i="36"/>
  <c r="CN233" i="36"/>
  <c r="CN204" i="36"/>
  <c r="CN158" i="36"/>
  <c r="CN157" i="36"/>
  <c r="CN149" i="36"/>
  <c r="CN145" i="36"/>
  <c r="CN138" i="36"/>
  <c r="CN134" i="36"/>
  <c r="CN128" i="36"/>
  <c r="CN123" i="36"/>
  <c r="CN118" i="36"/>
  <c r="CN105" i="36"/>
  <c r="CN197" i="36"/>
  <c r="CN195" i="36"/>
  <c r="CN148" i="36"/>
  <c r="CN143" i="36"/>
  <c r="CN139" i="36"/>
  <c r="CN120" i="36"/>
  <c r="CN156" i="36"/>
  <c r="CN150" i="36"/>
  <c r="CN119" i="36"/>
  <c r="CN116" i="36"/>
  <c r="CN108" i="36"/>
  <c r="CN98" i="36"/>
  <c r="CN92" i="36"/>
  <c r="CN90" i="36"/>
  <c r="CN89" i="36"/>
  <c r="CN87" i="36"/>
  <c r="CN85" i="36"/>
  <c r="CN84" i="36"/>
  <c r="CN71" i="36"/>
  <c r="CN67" i="36"/>
  <c r="CN66" i="36"/>
  <c r="CN147" i="36"/>
  <c r="CN106" i="36"/>
  <c r="CN93" i="36"/>
  <c r="CN91" i="36"/>
  <c r="CN83" i="36"/>
  <c r="CN82" i="36"/>
  <c r="CN69" i="36"/>
  <c r="CN68" i="36"/>
  <c r="CN270" i="36"/>
  <c r="CN192" i="36"/>
  <c r="CN146" i="36"/>
  <c r="CN130" i="36"/>
  <c r="CN109" i="36"/>
  <c r="CN99" i="36"/>
  <c r="CN94" i="36"/>
  <c r="CN81" i="36"/>
  <c r="CN162" i="36"/>
  <c r="CN144" i="36"/>
  <c r="CN136" i="36"/>
  <c r="CN77" i="36"/>
  <c r="CN76" i="36"/>
  <c r="CN155" i="36"/>
  <c r="CN154" i="36"/>
  <c r="CN101" i="36"/>
  <c r="CN73" i="36"/>
  <c r="CN72" i="36"/>
  <c r="CN173" i="36"/>
  <c r="CN117" i="36"/>
  <c r="CN112" i="36"/>
  <c r="CN75" i="36"/>
  <c r="CN124" i="36"/>
  <c r="CN96" i="36"/>
  <c r="CN80" i="36"/>
  <c r="CN79" i="36"/>
  <c r="CN74" i="36"/>
  <c r="CN185" i="36"/>
  <c r="CN135" i="36"/>
  <c r="CN107" i="36"/>
  <c r="CN86" i="36"/>
  <c r="CN131" i="36"/>
  <c r="CN175" i="36"/>
  <c r="CN100" i="36"/>
  <c r="CN177" i="36"/>
  <c r="CN111" i="36"/>
  <c r="CN110" i="36"/>
  <c r="CN97" i="36"/>
  <c r="CN95" i="36"/>
  <c r="CN141" i="36"/>
  <c r="CN140" i="36"/>
  <c r="CN125" i="36"/>
  <c r="CN88" i="36"/>
  <c r="CN78" i="36"/>
  <c r="CN70" i="36"/>
  <c r="CN183" i="36"/>
  <c r="CN165" i="36"/>
  <c r="CN129" i="36"/>
  <c r="CN115" i="36"/>
  <c r="W476" i="36"/>
  <c r="W505" i="36" s="1"/>
  <c r="Y472" i="36"/>
  <c r="Y500" i="36" s="1"/>
  <c r="V468" i="36"/>
  <c r="V497" i="36" s="1"/>
  <c r="V492" i="36"/>
  <c r="CV422" i="36"/>
  <c r="DI422" i="36" s="1"/>
  <c r="BZ422" i="36"/>
  <c r="Z488" i="36"/>
  <c r="Z516" i="36" s="1"/>
  <c r="U476" i="36"/>
  <c r="U504" i="36" s="1"/>
  <c r="W468" i="36"/>
  <c r="W496" i="36" s="1"/>
  <c r="S488" i="36"/>
  <c r="S484" i="36"/>
  <c r="X472" i="36"/>
  <c r="T468" i="36"/>
  <c r="T496" i="36" s="1"/>
  <c r="T492" i="36"/>
  <c r="CN422" i="36"/>
  <c r="X476" i="36"/>
  <c r="X505" i="36" s="1"/>
  <c r="CR429" i="36"/>
  <c r="CR425" i="36"/>
  <c r="CR415" i="36"/>
  <c r="CR402" i="36"/>
  <c r="CR436" i="36"/>
  <c r="CR431" i="36"/>
  <c r="CR408" i="36"/>
  <c r="CR403" i="36"/>
  <c r="CR437" i="36"/>
  <c r="CR433" i="36"/>
  <c r="CR426" i="36"/>
  <c r="CR417" i="36"/>
  <c r="CR410" i="36"/>
  <c r="CR405" i="36"/>
  <c r="CR439" i="36"/>
  <c r="CR438" i="36"/>
  <c r="CR399" i="36"/>
  <c r="CR395" i="36"/>
  <c r="CR390" i="36"/>
  <c r="CR385" i="36"/>
  <c r="CR383" i="36"/>
  <c r="CR376" i="36"/>
  <c r="CR372" i="36"/>
  <c r="CR419" i="36"/>
  <c r="CR391" i="36"/>
  <c r="CR386" i="36"/>
  <c r="CR373" i="36"/>
  <c r="CR367" i="36"/>
  <c r="CR351" i="36"/>
  <c r="CR434" i="36"/>
  <c r="CR396" i="36"/>
  <c r="CR392" i="36"/>
  <c r="CR369" i="36"/>
  <c r="CR360" i="36"/>
  <c r="CR432" i="36"/>
  <c r="CR424" i="36"/>
  <c r="CR409" i="36"/>
  <c r="CR407" i="36"/>
  <c r="CR423" i="36"/>
  <c r="CR412" i="36"/>
  <c r="CR394" i="36"/>
  <c r="CR381" i="36"/>
  <c r="CR380" i="36"/>
  <c r="CR362" i="36"/>
  <c r="CR350" i="36"/>
  <c r="CR427" i="36"/>
  <c r="CR393" i="36"/>
  <c r="CR382" i="36"/>
  <c r="CR358" i="36"/>
  <c r="CR352" i="36"/>
  <c r="CR343" i="36"/>
  <c r="CR414" i="36"/>
  <c r="CR397" i="36"/>
  <c r="CR374" i="36"/>
  <c r="CR357" i="36"/>
  <c r="CR355" i="36"/>
  <c r="CR344" i="36"/>
  <c r="CR336" i="36"/>
  <c r="CR331" i="36"/>
  <c r="CR324" i="36"/>
  <c r="CR400" i="36"/>
  <c r="CR398" i="36"/>
  <c r="CR384" i="36"/>
  <c r="CR375" i="36"/>
  <c r="CR440" i="36"/>
  <c r="CR418" i="36"/>
  <c r="CR416" i="36"/>
  <c r="CR411" i="36"/>
  <c r="CR388" i="36"/>
  <c r="CR387" i="36"/>
  <c r="CR379" i="36"/>
  <c r="CR378" i="36"/>
  <c r="CR406" i="36"/>
  <c r="CR370" i="36"/>
  <c r="CR368" i="36"/>
  <c r="CR365" i="36"/>
  <c r="CR359" i="36"/>
  <c r="CR342" i="36"/>
  <c r="CR334" i="36"/>
  <c r="CR332" i="36"/>
  <c r="CR330" i="36"/>
  <c r="CR328" i="36"/>
  <c r="CR356" i="36"/>
  <c r="CR316" i="36"/>
  <c r="CR312" i="36"/>
  <c r="CR275" i="36"/>
  <c r="CR401" i="36"/>
  <c r="CR363" i="36"/>
  <c r="CR347" i="36"/>
  <c r="CR346" i="36"/>
  <c r="CR339" i="36"/>
  <c r="CR335" i="36"/>
  <c r="CR321" i="36"/>
  <c r="CR317" i="36"/>
  <c r="CR309" i="36"/>
  <c r="CR428" i="36"/>
  <c r="CR364" i="36"/>
  <c r="CR361" i="36"/>
  <c r="CR348" i="36"/>
  <c r="CR345" i="36"/>
  <c r="CR340" i="36"/>
  <c r="CR404" i="36"/>
  <c r="CR389" i="36"/>
  <c r="CR366" i="36"/>
  <c r="CR341" i="36"/>
  <c r="CR371" i="36"/>
  <c r="CR305" i="36"/>
  <c r="CR299" i="36"/>
  <c r="CR354" i="36"/>
  <c r="CR320" i="36"/>
  <c r="CR314" i="36"/>
  <c r="CR313" i="36"/>
  <c r="CR430" i="36"/>
  <c r="CR325" i="36"/>
  <c r="CR311" i="36"/>
  <c r="CR307" i="36"/>
  <c r="CR413" i="36"/>
  <c r="CR338" i="36"/>
  <c r="CR337" i="36"/>
  <c r="CR327" i="36"/>
  <c r="CR308" i="36"/>
  <c r="CR290" i="36"/>
  <c r="CR283" i="36"/>
  <c r="CR266" i="36"/>
  <c r="CR263" i="36"/>
  <c r="CR260" i="36"/>
  <c r="CR256" i="36"/>
  <c r="CR252" i="36"/>
  <c r="CR248" i="36"/>
  <c r="CR239" i="36"/>
  <c r="CR236" i="36"/>
  <c r="CR230" i="36"/>
  <c r="CR224" i="36"/>
  <c r="CR219" i="36"/>
  <c r="CR435" i="36"/>
  <c r="CR326" i="36"/>
  <c r="CR323" i="36"/>
  <c r="CR310" i="36"/>
  <c r="CR306" i="36"/>
  <c r="CR302" i="36"/>
  <c r="CR292" i="36"/>
  <c r="CR278" i="36"/>
  <c r="CR274" i="36"/>
  <c r="CR267" i="36"/>
  <c r="CR261" i="36"/>
  <c r="CR257" i="36"/>
  <c r="CR253" i="36"/>
  <c r="CR250" i="36"/>
  <c r="CR244" i="36"/>
  <c r="CR240" i="36"/>
  <c r="CR237" i="36"/>
  <c r="CR234" i="36"/>
  <c r="CR231" i="36"/>
  <c r="CR225" i="36"/>
  <c r="CR300" i="36"/>
  <c r="CR296" i="36"/>
  <c r="CR287" i="36"/>
  <c r="CR280" i="36"/>
  <c r="CR276" i="36"/>
  <c r="CR333" i="36"/>
  <c r="CR329" i="36"/>
  <c r="CR322" i="36"/>
  <c r="CR294" i="36"/>
  <c r="CR277" i="36"/>
  <c r="CR273" i="36"/>
  <c r="CR269" i="36"/>
  <c r="CR265" i="36"/>
  <c r="CR259" i="36"/>
  <c r="CR255" i="36"/>
  <c r="CR242" i="36"/>
  <c r="CR303" i="36"/>
  <c r="CR298" i="36"/>
  <c r="CR268" i="36"/>
  <c r="CR196" i="36"/>
  <c r="CR318" i="36"/>
  <c r="CR284" i="36"/>
  <c r="CR282" i="36"/>
  <c r="CR270" i="36"/>
  <c r="CR262" i="36"/>
  <c r="CR251" i="36"/>
  <c r="CR233" i="36"/>
  <c r="CR223" i="36"/>
  <c r="CR218" i="36"/>
  <c r="CR214" i="36"/>
  <c r="CR209" i="36"/>
  <c r="CR200" i="36"/>
  <c r="CR197" i="36"/>
  <c r="CR319" i="36"/>
  <c r="CR288" i="36"/>
  <c r="CR286" i="36"/>
  <c r="CR249" i="36"/>
  <c r="CR247" i="36"/>
  <c r="CR228" i="36"/>
  <c r="CR211" i="36"/>
  <c r="CR208" i="36"/>
  <c r="CR195" i="36"/>
  <c r="CR254" i="36"/>
  <c r="CR189" i="36"/>
  <c r="CR186" i="36"/>
  <c r="CR182" i="36"/>
  <c r="CR174" i="36"/>
  <c r="CR170" i="36"/>
  <c r="CR349" i="36"/>
  <c r="CR297" i="36"/>
  <c r="CR285" i="36"/>
  <c r="CR279" i="36"/>
  <c r="CR271" i="36"/>
  <c r="CR353" i="36"/>
  <c r="CR295" i="36"/>
  <c r="CR377" i="36"/>
  <c r="CR301" i="36"/>
  <c r="CR291" i="36"/>
  <c r="CR243" i="36"/>
  <c r="CR229" i="36"/>
  <c r="CR220" i="36"/>
  <c r="CR215" i="36"/>
  <c r="CR212" i="36"/>
  <c r="CR198" i="36"/>
  <c r="CR194" i="36"/>
  <c r="CR187" i="36"/>
  <c r="CR184" i="36"/>
  <c r="CR176" i="36"/>
  <c r="CR172" i="36"/>
  <c r="CR315" i="36"/>
  <c r="CR258" i="36"/>
  <c r="CR241" i="36"/>
  <c r="CR232" i="36"/>
  <c r="CR213" i="36"/>
  <c r="CR207" i="36"/>
  <c r="CR293" i="36"/>
  <c r="CR281" i="36"/>
  <c r="CR221" i="36"/>
  <c r="CR169" i="36"/>
  <c r="CR162" i="36"/>
  <c r="CR161" i="36"/>
  <c r="CR227" i="36"/>
  <c r="CR168" i="36"/>
  <c r="CR238" i="36"/>
  <c r="CR185" i="36"/>
  <c r="CR183" i="36"/>
  <c r="CR166" i="36"/>
  <c r="CR289" i="36"/>
  <c r="CR272" i="36"/>
  <c r="CR226" i="36"/>
  <c r="CR222" i="36"/>
  <c r="CR204" i="36"/>
  <c r="CR202" i="36"/>
  <c r="CR188" i="36"/>
  <c r="CR246" i="36"/>
  <c r="CR217" i="36"/>
  <c r="CR203" i="36"/>
  <c r="CR181" i="36"/>
  <c r="CR180" i="36"/>
  <c r="CR179" i="36"/>
  <c r="CR159" i="36"/>
  <c r="CR150" i="36"/>
  <c r="CR148" i="36"/>
  <c r="CR304" i="36"/>
  <c r="CR264" i="36"/>
  <c r="CR216" i="36"/>
  <c r="CR205" i="36"/>
  <c r="CR191" i="36"/>
  <c r="CR157" i="36"/>
  <c r="CR143" i="36"/>
  <c r="CR139" i="36"/>
  <c r="CR120" i="36"/>
  <c r="CR206" i="36"/>
  <c r="CR201" i="36"/>
  <c r="CR199" i="36"/>
  <c r="CR178" i="36"/>
  <c r="CR173" i="36"/>
  <c r="CR164" i="36"/>
  <c r="CR140" i="36"/>
  <c r="CR135" i="36"/>
  <c r="CR130" i="36"/>
  <c r="CR124" i="36"/>
  <c r="CR107" i="36"/>
  <c r="CR165" i="36"/>
  <c r="CR152" i="36"/>
  <c r="CR147" i="36"/>
  <c r="CR146" i="36"/>
  <c r="CR136" i="36"/>
  <c r="CR131" i="36"/>
  <c r="CR125" i="36"/>
  <c r="CR116" i="36"/>
  <c r="CR193" i="36"/>
  <c r="CR167" i="36"/>
  <c r="CR160" i="36"/>
  <c r="CR155" i="36"/>
  <c r="CR154" i="36"/>
  <c r="CR137" i="36"/>
  <c r="CR126" i="36"/>
  <c r="CR122" i="36"/>
  <c r="CR121" i="36"/>
  <c r="CR113" i="36"/>
  <c r="CR245" i="36"/>
  <c r="CR134" i="36"/>
  <c r="CR114" i="36"/>
  <c r="CR110" i="36"/>
  <c r="CR106" i="36"/>
  <c r="CR100" i="36"/>
  <c r="CR80" i="36"/>
  <c r="CR78" i="36"/>
  <c r="CR192" i="36"/>
  <c r="CR151" i="36"/>
  <c r="CR141" i="36"/>
  <c r="CR123" i="36"/>
  <c r="CR117" i="36"/>
  <c r="CR105" i="36"/>
  <c r="CR101" i="36"/>
  <c r="CR96" i="36"/>
  <c r="CR79" i="36"/>
  <c r="CR75" i="36"/>
  <c r="CR74" i="36"/>
  <c r="CR73" i="36"/>
  <c r="CR235" i="36"/>
  <c r="CR175" i="36"/>
  <c r="CR163" i="36"/>
  <c r="CR158" i="36"/>
  <c r="CR153" i="36"/>
  <c r="CR138" i="36"/>
  <c r="CR111" i="36"/>
  <c r="CR104" i="36"/>
  <c r="CR77" i="36"/>
  <c r="CR76" i="36"/>
  <c r="CR156" i="36"/>
  <c r="CR145" i="36"/>
  <c r="CR132" i="36"/>
  <c r="CR129" i="36"/>
  <c r="CR99" i="36"/>
  <c r="CR94" i="36"/>
  <c r="CR81" i="36"/>
  <c r="CR210" i="36"/>
  <c r="CR133" i="36"/>
  <c r="CR119" i="36"/>
  <c r="CR109" i="36"/>
  <c r="CR93" i="36"/>
  <c r="CR86" i="36"/>
  <c r="CR83" i="36"/>
  <c r="CR68" i="36"/>
  <c r="CR88" i="36"/>
  <c r="CR71" i="36"/>
  <c r="CR128" i="36"/>
  <c r="CR112" i="36"/>
  <c r="CR149" i="36"/>
  <c r="CR70" i="36"/>
  <c r="CR95" i="36"/>
  <c r="CR98" i="36"/>
  <c r="CR89" i="36"/>
  <c r="CR127" i="36"/>
  <c r="CR118" i="36"/>
  <c r="CR108" i="36"/>
  <c r="CR102" i="36"/>
  <c r="CR97" i="36"/>
  <c r="CR87" i="36"/>
  <c r="CR67" i="36"/>
  <c r="CR66" i="36"/>
  <c r="CR171" i="36"/>
  <c r="CR115" i="36"/>
  <c r="CR190" i="36"/>
  <c r="CR72" i="36"/>
  <c r="CR69" i="36"/>
  <c r="CR90" i="36"/>
  <c r="CR103" i="36"/>
  <c r="CR92" i="36"/>
  <c r="CR91" i="36"/>
  <c r="CR85" i="36"/>
  <c r="CR84" i="36"/>
  <c r="CR82" i="36"/>
  <c r="CR177" i="36"/>
  <c r="CR144" i="36"/>
  <c r="CR142" i="36"/>
  <c r="F26" i="98"/>
  <c r="P26" i="98"/>
  <c r="CR421" i="36"/>
  <c r="Y488" i="36"/>
  <c r="Y517" i="36" s="1"/>
  <c r="AF488" i="36"/>
  <c r="AF516" i="36" s="1"/>
  <c r="W484" i="36"/>
  <c r="W512" i="36" s="1"/>
  <c r="Y484" i="36"/>
  <c r="Y512" i="36" s="1"/>
  <c r="V484" i="36"/>
  <c r="V512" i="36" s="1"/>
  <c r="U480" i="36"/>
  <c r="U508" i="36" s="1"/>
  <c r="V480" i="36"/>
  <c r="V508" i="36" s="1"/>
  <c r="AC476" i="36"/>
  <c r="AC504" i="36" s="1"/>
  <c r="Z476" i="36"/>
  <c r="Z504" i="36" s="1"/>
  <c r="U468" i="36"/>
  <c r="U496" i="36" s="1"/>
  <c r="U492" i="36"/>
  <c r="CK420" i="36"/>
  <c r="CP420" i="36"/>
  <c r="N492" i="36"/>
  <c r="T488" i="36"/>
  <c r="T517" i="36" s="1"/>
  <c r="AA468" i="36"/>
  <c r="AA492" i="36"/>
  <c r="Z484" i="36"/>
  <c r="Z513" i="36" s="1"/>
  <c r="AA476" i="36"/>
  <c r="AA504" i="36" s="1"/>
  <c r="AE472" i="36"/>
  <c r="AE501" i="36" s="1"/>
  <c r="CO434" i="36"/>
  <c r="CO419" i="36"/>
  <c r="CO418" i="36"/>
  <c r="CO413" i="36"/>
  <c r="CO439" i="36"/>
  <c r="CO435" i="36"/>
  <c r="CO428" i="36"/>
  <c r="CO423" i="36"/>
  <c r="CO414" i="36"/>
  <c r="CO406" i="36"/>
  <c r="CO429" i="36"/>
  <c r="CO425" i="36"/>
  <c r="CO415" i="36"/>
  <c r="CO402" i="36"/>
  <c r="CO440" i="36"/>
  <c r="CO430" i="36"/>
  <c r="CO412" i="36"/>
  <c r="CO411" i="36"/>
  <c r="CO394" i="36"/>
  <c r="CO393" i="36"/>
  <c r="CO387" i="36"/>
  <c r="CO384" i="36"/>
  <c r="CO378" i="36"/>
  <c r="CO416" i="36"/>
  <c r="CO389" i="36"/>
  <c r="CO388" i="36"/>
  <c r="CO382" i="36"/>
  <c r="CO375" i="36"/>
  <c r="CO364" i="36"/>
  <c r="CO349" i="36"/>
  <c r="CO438" i="36"/>
  <c r="CO436" i="36"/>
  <c r="CO417" i="36"/>
  <c r="CO403" i="36"/>
  <c r="CO399" i="36"/>
  <c r="CO395" i="36"/>
  <c r="CO390" i="36"/>
  <c r="CO385" i="36"/>
  <c r="CO383" i="36"/>
  <c r="CO376" i="36"/>
  <c r="CO372" i="36"/>
  <c r="CO366" i="36"/>
  <c r="CO365" i="36"/>
  <c r="CO437" i="36"/>
  <c r="CO433" i="36"/>
  <c r="CO427" i="36"/>
  <c r="CO424" i="36"/>
  <c r="CO408" i="36"/>
  <c r="CO401" i="36"/>
  <c r="CO391" i="36"/>
  <c r="CO379" i="36"/>
  <c r="CO359" i="36"/>
  <c r="CO356" i="36"/>
  <c r="CO346" i="36"/>
  <c r="CO345" i="36"/>
  <c r="CO338" i="36"/>
  <c r="CO405" i="36"/>
  <c r="CO377" i="36"/>
  <c r="CO370" i="36"/>
  <c r="CO363" i="36"/>
  <c r="CO353" i="36"/>
  <c r="CO342" i="36"/>
  <c r="CO404" i="36"/>
  <c r="CO381" i="36"/>
  <c r="CO373" i="36"/>
  <c r="CO362" i="36"/>
  <c r="CO358" i="36"/>
  <c r="CO322" i="36"/>
  <c r="CO318" i="36"/>
  <c r="CO396" i="36"/>
  <c r="CO409" i="36"/>
  <c r="CO407" i="36"/>
  <c r="CO398" i="36"/>
  <c r="CO355" i="36"/>
  <c r="CO324" i="36"/>
  <c r="CO368" i="36"/>
  <c r="CO326" i="36"/>
  <c r="CO315" i="36"/>
  <c r="CO300" i="36"/>
  <c r="CO295" i="36"/>
  <c r="CO294" i="36"/>
  <c r="CO293" i="36"/>
  <c r="CO292" i="36"/>
  <c r="CO286" i="36"/>
  <c r="CO282" i="36"/>
  <c r="CO273" i="36"/>
  <c r="CO410" i="36"/>
  <c r="CO392" i="36"/>
  <c r="CO360" i="36"/>
  <c r="CO357" i="36"/>
  <c r="CO351" i="36"/>
  <c r="CO343" i="36"/>
  <c r="CO332" i="36"/>
  <c r="CO328" i="36"/>
  <c r="CO371" i="36"/>
  <c r="CO352" i="36"/>
  <c r="CO347" i="36"/>
  <c r="CO339" i="36"/>
  <c r="CO432" i="36"/>
  <c r="CO426" i="36"/>
  <c r="CO374" i="36"/>
  <c r="CO369" i="36"/>
  <c r="CO344" i="36"/>
  <c r="CO337" i="36"/>
  <c r="CO335" i="36"/>
  <c r="CO400" i="36"/>
  <c r="CO361" i="36"/>
  <c r="CO336" i="36"/>
  <c r="CO329" i="36"/>
  <c r="CO312" i="36"/>
  <c r="CO311" i="36"/>
  <c r="CO309" i="36"/>
  <c r="CO303" i="36"/>
  <c r="CO325" i="36"/>
  <c r="CO310" i="36"/>
  <c r="CO307" i="36"/>
  <c r="CO397" i="36"/>
  <c r="CO333" i="36"/>
  <c r="CO331" i="36"/>
  <c r="CO327" i="36"/>
  <c r="CO308" i="36"/>
  <c r="CO367" i="36"/>
  <c r="CO317" i="36"/>
  <c r="CO304" i="36"/>
  <c r="CO291" i="36"/>
  <c r="CO284" i="36"/>
  <c r="CO275" i="36"/>
  <c r="CO271" i="36"/>
  <c r="CO262" i="36"/>
  <c r="CO246" i="36"/>
  <c r="CO238" i="36"/>
  <c r="CO235" i="36"/>
  <c r="CO226" i="36"/>
  <c r="CO222" i="36"/>
  <c r="CO212" i="36"/>
  <c r="CO207" i="36"/>
  <c r="CO431" i="36"/>
  <c r="CO340" i="36"/>
  <c r="CO321" i="36"/>
  <c r="CO316" i="36"/>
  <c r="CO288" i="36"/>
  <c r="CO283" i="36"/>
  <c r="CO281" i="36"/>
  <c r="CO279" i="36"/>
  <c r="CO247" i="36"/>
  <c r="CO243" i="36"/>
  <c r="CO229" i="36"/>
  <c r="CO228" i="36"/>
  <c r="CO213" i="36"/>
  <c r="CO380" i="36"/>
  <c r="CO354" i="36"/>
  <c r="CO341" i="36"/>
  <c r="CO323" i="36"/>
  <c r="CO320" i="36"/>
  <c r="CO301" i="36"/>
  <c r="CO299" i="36"/>
  <c r="CO298" i="36"/>
  <c r="CO297" i="36"/>
  <c r="CO290" i="36"/>
  <c r="CO348" i="36"/>
  <c r="CO296" i="36"/>
  <c r="CO289" i="36"/>
  <c r="CO287" i="36"/>
  <c r="CO280" i="36"/>
  <c r="CO276" i="36"/>
  <c r="CO264" i="36"/>
  <c r="CO386" i="36"/>
  <c r="CO319" i="36"/>
  <c r="CO278" i="36"/>
  <c r="CO267" i="36"/>
  <c r="CO260" i="36"/>
  <c r="CO248" i="36"/>
  <c r="CO245" i="36"/>
  <c r="CO244" i="36"/>
  <c r="CO236" i="36"/>
  <c r="CO232" i="36"/>
  <c r="CO225" i="36"/>
  <c r="CO216" i="36"/>
  <c r="CO215" i="36"/>
  <c r="CO199" i="36"/>
  <c r="CO198" i="36"/>
  <c r="CO314" i="36"/>
  <c r="CO302" i="36"/>
  <c r="CO269" i="36"/>
  <c r="CO249" i="36"/>
  <c r="CO234" i="36"/>
  <c r="CO231" i="36"/>
  <c r="CO224" i="36"/>
  <c r="CO219" i="36"/>
  <c r="CO208" i="36"/>
  <c r="CO334" i="36"/>
  <c r="CO272" i="36"/>
  <c r="CO266" i="36"/>
  <c r="CO259" i="36"/>
  <c r="CO258" i="36"/>
  <c r="CO257" i="36"/>
  <c r="CO221" i="36"/>
  <c r="CO220" i="36"/>
  <c r="CO210" i="36"/>
  <c r="CO350" i="36"/>
  <c r="CO305" i="36"/>
  <c r="CO268" i="36"/>
  <c r="CO256" i="36"/>
  <c r="CO241" i="36"/>
  <c r="CO239" i="36"/>
  <c r="CO209" i="36"/>
  <c r="CO191" i="36"/>
  <c r="CO188" i="36"/>
  <c r="CO185" i="36"/>
  <c r="CO181" i="36"/>
  <c r="CO177" i="36"/>
  <c r="CO330" i="36"/>
  <c r="CO306" i="36"/>
  <c r="CO285" i="36"/>
  <c r="CO265" i="36"/>
  <c r="CO242" i="36"/>
  <c r="CO227" i="36"/>
  <c r="CO313" i="36"/>
  <c r="CO270" i="36"/>
  <c r="CO255" i="36"/>
  <c r="CO251" i="36"/>
  <c r="CO223" i="36"/>
  <c r="CO197" i="36"/>
  <c r="CO195" i="36"/>
  <c r="CO192" i="36"/>
  <c r="CO175" i="36"/>
  <c r="CO166" i="36"/>
  <c r="CO261" i="36"/>
  <c r="CO237" i="36"/>
  <c r="CO230" i="36"/>
  <c r="CO218" i="36"/>
  <c r="CO253" i="36"/>
  <c r="CO194" i="36"/>
  <c r="CO187" i="36"/>
  <c r="CO184" i="36"/>
  <c r="CO176" i="36"/>
  <c r="CO172" i="36"/>
  <c r="CO160" i="36"/>
  <c r="CO153" i="36"/>
  <c r="CO149" i="36"/>
  <c r="CO263" i="36"/>
  <c r="CO217" i="36"/>
  <c r="CO214" i="36"/>
  <c r="CO203" i="36"/>
  <c r="CO193" i="36"/>
  <c r="CO180" i="36"/>
  <c r="CO179" i="36"/>
  <c r="CO205" i="36"/>
  <c r="CO168" i="36"/>
  <c r="CO167" i="36"/>
  <c r="CO211" i="36"/>
  <c r="CO200" i="36"/>
  <c r="CO196" i="36"/>
  <c r="CO182" i="36"/>
  <c r="CO169" i="36"/>
  <c r="CO274" i="36"/>
  <c r="CO206" i="36"/>
  <c r="CO174" i="36"/>
  <c r="CO146" i="36"/>
  <c r="CO254" i="36"/>
  <c r="CO240" i="36"/>
  <c r="CO171" i="36"/>
  <c r="CO170" i="36"/>
  <c r="CO142" i="36"/>
  <c r="CO133" i="36"/>
  <c r="CO132" i="36"/>
  <c r="CO127" i="36"/>
  <c r="CO114" i="36"/>
  <c r="CO104" i="36"/>
  <c r="CO103" i="36"/>
  <c r="CO252" i="36"/>
  <c r="CO233" i="36"/>
  <c r="CO204" i="36"/>
  <c r="CO202" i="36"/>
  <c r="CO158" i="36"/>
  <c r="CO157" i="36"/>
  <c r="CO145" i="36"/>
  <c r="CO138" i="36"/>
  <c r="CO134" i="36"/>
  <c r="CO128" i="36"/>
  <c r="CO123" i="36"/>
  <c r="CO118" i="36"/>
  <c r="CO105" i="36"/>
  <c r="CO201" i="36"/>
  <c r="CO183" i="36"/>
  <c r="CO178" i="36"/>
  <c r="CO173" i="36"/>
  <c r="CO164" i="36"/>
  <c r="CO129" i="36"/>
  <c r="CO119" i="36"/>
  <c r="CO115" i="36"/>
  <c r="CO106" i="36"/>
  <c r="CO165" i="36"/>
  <c r="CO140" i="36"/>
  <c r="CO135" i="36"/>
  <c r="CO130" i="36"/>
  <c r="CO124" i="36"/>
  <c r="CO107" i="36"/>
  <c r="CO250" i="36"/>
  <c r="CO190" i="36"/>
  <c r="CO159" i="36"/>
  <c r="CO147" i="36"/>
  <c r="CO143" i="36"/>
  <c r="CO113" i="36"/>
  <c r="CO93" i="36"/>
  <c r="CO91" i="36"/>
  <c r="CO83" i="36"/>
  <c r="CO82" i="36"/>
  <c r="CO69" i="36"/>
  <c r="CO68" i="36"/>
  <c r="CO189" i="36"/>
  <c r="CO137" i="36"/>
  <c r="CO122" i="36"/>
  <c r="CO120" i="36"/>
  <c r="CO109" i="36"/>
  <c r="CO99" i="36"/>
  <c r="CO94" i="36"/>
  <c r="CO81" i="36"/>
  <c r="CO161" i="36"/>
  <c r="CO110" i="36"/>
  <c r="CO95" i="36"/>
  <c r="CO88" i="36"/>
  <c r="CO186" i="36"/>
  <c r="CO154" i="36"/>
  <c r="CO125" i="36"/>
  <c r="CO112" i="36"/>
  <c r="CO97" i="36"/>
  <c r="CO86" i="36"/>
  <c r="CO72" i="36"/>
  <c r="CO70" i="36"/>
  <c r="CO156" i="36"/>
  <c r="CO151" i="36"/>
  <c r="CO139" i="36"/>
  <c r="CO96" i="36"/>
  <c r="CO90" i="36"/>
  <c r="CO80" i="36"/>
  <c r="CO79" i="36"/>
  <c r="CO74" i="36"/>
  <c r="CO277" i="36"/>
  <c r="CO78" i="36"/>
  <c r="CO152" i="36"/>
  <c r="CO92" i="36"/>
  <c r="CO85" i="36"/>
  <c r="CO84" i="36"/>
  <c r="CO108" i="36"/>
  <c r="CO126" i="36"/>
  <c r="CO111" i="36"/>
  <c r="CO87" i="36"/>
  <c r="CO67" i="36"/>
  <c r="CO150" i="36"/>
  <c r="CO136" i="36"/>
  <c r="CO117" i="36"/>
  <c r="CO116" i="36"/>
  <c r="CO75" i="36"/>
  <c r="CO131" i="36"/>
  <c r="CO100" i="36"/>
  <c r="CO102" i="36"/>
  <c r="CO141" i="36"/>
  <c r="CO76" i="36"/>
  <c r="CO163" i="36"/>
  <c r="CO144" i="36"/>
  <c r="CO121" i="36"/>
  <c r="CO77" i="36"/>
  <c r="CO162" i="36"/>
  <c r="CO155" i="36"/>
  <c r="CO101" i="36"/>
  <c r="CO98" i="36"/>
  <c r="CO89" i="36"/>
  <c r="CO73" i="36"/>
  <c r="CO71" i="36"/>
  <c r="CO148" i="36"/>
  <c r="AA480" i="36"/>
  <c r="AA508" i="36" s="1"/>
  <c r="AD476" i="36"/>
  <c r="AD504" i="36" s="1"/>
  <c r="AG468" i="36"/>
  <c r="AG496" i="36" s="1"/>
  <c r="AG492" i="36"/>
  <c r="X468" i="36"/>
  <c r="X492" i="36"/>
  <c r="AA488" i="36"/>
  <c r="AA516" i="36" s="1"/>
  <c r="AF484" i="36"/>
  <c r="AF512" i="36" s="1"/>
  <c r="V472" i="36"/>
  <c r="V501" i="36" s="1"/>
  <c r="AD468" i="36"/>
  <c r="AD496" i="36" s="1"/>
  <c r="AD492" i="36"/>
  <c r="L492" i="36"/>
  <c r="Y452" i="36"/>
  <c r="CK436" i="36"/>
  <c r="CK431" i="36"/>
  <c r="CK408" i="36"/>
  <c r="CK403" i="36"/>
  <c r="CK432" i="36"/>
  <c r="CK416" i="36"/>
  <c r="CK409" i="36"/>
  <c r="CK404" i="36"/>
  <c r="CK438" i="36"/>
  <c r="CK427" i="36"/>
  <c r="CK412" i="36"/>
  <c r="CK411" i="36"/>
  <c r="CK426" i="36"/>
  <c r="CK424" i="36"/>
  <c r="CK407" i="36"/>
  <c r="CK391" i="36"/>
  <c r="CK386" i="36"/>
  <c r="CK373" i="36"/>
  <c r="CK423" i="36"/>
  <c r="CK410" i="36"/>
  <c r="CK406" i="36"/>
  <c r="CK400" i="36"/>
  <c r="CK380" i="36"/>
  <c r="CK368" i="36"/>
  <c r="CK359" i="36"/>
  <c r="CK358" i="36"/>
  <c r="CK357" i="36"/>
  <c r="CK440" i="36"/>
  <c r="CK430" i="36"/>
  <c r="CK415" i="36"/>
  <c r="CK414" i="36"/>
  <c r="CK413" i="36"/>
  <c r="CK401" i="36"/>
  <c r="CK397" i="36"/>
  <c r="CK381" i="36"/>
  <c r="CK377" i="36"/>
  <c r="CK374" i="36"/>
  <c r="CK361" i="36"/>
  <c r="CK439" i="36"/>
  <c r="CK419" i="36"/>
  <c r="CK417" i="36"/>
  <c r="CK418" i="36"/>
  <c r="CK399" i="36"/>
  <c r="CK398" i="36"/>
  <c r="CK384" i="36"/>
  <c r="CK376" i="36"/>
  <c r="CK375" i="36"/>
  <c r="CK354" i="36"/>
  <c r="CK343" i="36"/>
  <c r="CK437" i="36"/>
  <c r="CK385" i="36"/>
  <c r="CK371" i="36"/>
  <c r="CK364" i="36"/>
  <c r="CK360" i="36"/>
  <c r="CK355" i="36"/>
  <c r="CK348" i="36"/>
  <c r="CK341" i="36"/>
  <c r="CK340" i="36"/>
  <c r="CK405" i="36"/>
  <c r="CK390" i="36"/>
  <c r="CK388" i="36"/>
  <c r="CK387" i="36"/>
  <c r="CK379" i="36"/>
  <c r="CK378" i="36"/>
  <c r="CK370" i="36"/>
  <c r="CK363" i="36"/>
  <c r="CK351" i="36"/>
  <c r="CK349" i="36"/>
  <c r="CK337" i="36"/>
  <c r="CK433" i="36"/>
  <c r="CK429" i="36"/>
  <c r="CK394" i="36"/>
  <c r="CK392" i="36"/>
  <c r="CK428" i="36"/>
  <c r="CK425" i="36"/>
  <c r="CK345" i="36"/>
  <c r="CK327" i="36"/>
  <c r="CK325" i="36"/>
  <c r="CK323" i="36"/>
  <c r="CK319" i="36"/>
  <c r="CK316" i="36"/>
  <c r="CK312" i="36"/>
  <c r="CK395" i="36"/>
  <c r="CK367" i="36"/>
  <c r="CK335" i="36"/>
  <c r="CK321" i="36"/>
  <c r="CK317" i="36"/>
  <c r="CK308" i="36"/>
  <c r="CK304" i="36"/>
  <c r="CK299" i="36"/>
  <c r="CK290" i="36"/>
  <c r="CK279" i="36"/>
  <c r="CK271" i="36"/>
  <c r="CK435" i="36"/>
  <c r="CK393" i="36"/>
  <c r="CK314" i="36"/>
  <c r="CK313" i="36"/>
  <c r="CK310" i="36"/>
  <c r="CK434" i="36"/>
  <c r="CK402" i="36"/>
  <c r="CK365" i="36"/>
  <c r="CK356" i="36"/>
  <c r="CK342" i="36"/>
  <c r="CK383" i="36"/>
  <c r="CK333" i="36"/>
  <c r="CK318" i="36"/>
  <c r="CK372" i="36"/>
  <c r="CK336" i="36"/>
  <c r="CK331" i="36"/>
  <c r="CK329" i="36"/>
  <c r="CK306" i="36"/>
  <c r="CK302" i="36"/>
  <c r="CK389" i="36"/>
  <c r="CK346" i="36"/>
  <c r="CK344" i="36"/>
  <c r="CK322" i="36"/>
  <c r="CK301" i="36"/>
  <c r="CK297" i="36"/>
  <c r="CK334" i="36"/>
  <c r="CK330" i="36"/>
  <c r="CK324" i="36"/>
  <c r="CK369" i="36"/>
  <c r="CK366" i="36"/>
  <c r="CK315" i="36"/>
  <c r="CK307" i="36"/>
  <c r="CK303" i="36"/>
  <c r="CK292" i="36"/>
  <c r="CK278" i="36"/>
  <c r="CK274" i="36"/>
  <c r="CK270" i="36"/>
  <c r="CK249" i="36"/>
  <c r="CK220" i="36"/>
  <c r="CK215" i="36"/>
  <c r="CK214" i="36"/>
  <c r="CK332" i="36"/>
  <c r="CK293" i="36"/>
  <c r="CK289" i="36"/>
  <c r="CK286" i="36"/>
  <c r="CK282" i="36"/>
  <c r="CK264" i="36"/>
  <c r="CK233" i="36"/>
  <c r="CK221" i="36"/>
  <c r="CK217" i="36"/>
  <c r="CK216" i="36"/>
  <c r="CK328" i="36"/>
  <c r="CK291" i="36"/>
  <c r="CK284" i="36"/>
  <c r="CK347" i="36"/>
  <c r="CK309" i="36"/>
  <c r="CK283" i="36"/>
  <c r="CK247" i="36"/>
  <c r="CK243" i="36"/>
  <c r="CK396" i="36"/>
  <c r="CK338" i="36"/>
  <c r="CK300" i="36"/>
  <c r="CK296" i="36"/>
  <c r="CK281" i="36"/>
  <c r="CK275" i="36"/>
  <c r="CK255" i="36"/>
  <c r="CK254" i="36"/>
  <c r="CK253" i="36"/>
  <c r="CK241" i="36"/>
  <c r="CK240" i="36"/>
  <c r="CK229" i="36"/>
  <c r="CK222" i="36"/>
  <c r="CK213" i="36"/>
  <c r="CK200" i="36"/>
  <c r="CK197" i="36"/>
  <c r="CK294" i="36"/>
  <c r="CK272" i="36"/>
  <c r="CK265" i="36"/>
  <c r="CK258" i="36"/>
  <c r="CK257" i="36"/>
  <c r="CK256" i="36"/>
  <c r="CK242" i="36"/>
  <c r="CK212" i="36"/>
  <c r="CK206" i="36"/>
  <c r="CK205" i="36"/>
  <c r="CK204" i="36"/>
  <c r="CK203" i="36"/>
  <c r="CK382" i="36"/>
  <c r="CK326" i="36"/>
  <c r="CK311" i="36"/>
  <c r="CK305" i="36"/>
  <c r="CK287" i="36"/>
  <c r="CK285" i="36"/>
  <c r="CK277" i="36"/>
  <c r="CK252" i="36"/>
  <c r="CK239" i="36"/>
  <c r="CK227" i="36"/>
  <c r="CK209" i="36"/>
  <c r="CK196" i="36"/>
  <c r="CK193" i="36"/>
  <c r="CK362" i="36"/>
  <c r="CK280" i="36"/>
  <c r="CK261" i="36"/>
  <c r="CK237" i="36"/>
  <c r="CK236" i="36"/>
  <c r="CK232" i="36"/>
  <c r="CK198" i="36"/>
  <c r="CK195" i="36"/>
  <c r="CK192" i="36"/>
  <c r="CK175" i="36"/>
  <c r="CK352" i="36"/>
  <c r="CK350" i="36"/>
  <c r="CK320" i="36"/>
  <c r="CK298" i="36"/>
  <c r="CK353" i="36"/>
  <c r="CK339" i="36"/>
  <c r="CK267" i="36"/>
  <c r="CK235" i="36"/>
  <c r="CK226" i="36"/>
  <c r="CK224" i="36"/>
  <c r="CK259" i="36"/>
  <c r="CK248" i="36"/>
  <c r="CK231" i="36"/>
  <c r="CK211" i="36"/>
  <c r="CK188" i="36"/>
  <c r="CK185" i="36"/>
  <c r="CK181" i="36"/>
  <c r="CK177" i="36"/>
  <c r="CK164" i="36"/>
  <c r="CK295" i="36"/>
  <c r="CK288" i="36"/>
  <c r="CK273" i="36"/>
  <c r="CK251" i="36"/>
  <c r="CK245" i="36"/>
  <c r="CK238" i="36"/>
  <c r="CK234" i="36"/>
  <c r="CK276" i="36"/>
  <c r="CK269" i="36"/>
  <c r="CK266" i="36"/>
  <c r="CK262" i="36"/>
  <c r="CK250" i="36"/>
  <c r="CK228" i="36"/>
  <c r="CK225" i="36"/>
  <c r="CK223" i="36"/>
  <c r="CK202" i="36"/>
  <c r="CK201" i="36"/>
  <c r="CK189" i="36"/>
  <c r="CK186" i="36"/>
  <c r="CK182" i="36"/>
  <c r="CK174" i="36"/>
  <c r="CK170" i="36"/>
  <c r="CK158" i="36"/>
  <c r="CK151" i="36"/>
  <c r="CK147" i="36"/>
  <c r="CK219" i="36"/>
  <c r="CK178" i="36"/>
  <c r="CK263" i="36"/>
  <c r="CK244" i="36"/>
  <c r="CK180" i="36"/>
  <c r="CK179" i="36"/>
  <c r="CK176" i="36"/>
  <c r="CK218" i="36"/>
  <c r="CK210" i="36"/>
  <c r="CK194" i="36"/>
  <c r="CK184" i="36"/>
  <c r="CK166" i="36"/>
  <c r="CK152" i="36"/>
  <c r="CK162" i="36"/>
  <c r="CK156" i="36"/>
  <c r="CK146" i="36"/>
  <c r="CK140" i="36"/>
  <c r="CK135" i="36"/>
  <c r="CK130" i="36"/>
  <c r="CK124" i="36"/>
  <c r="CK107" i="36"/>
  <c r="CK268" i="36"/>
  <c r="CK207" i="36"/>
  <c r="CK171" i="36"/>
  <c r="CK163" i="36"/>
  <c r="CK161" i="36"/>
  <c r="CK160" i="36"/>
  <c r="CK155" i="36"/>
  <c r="CK136" i="36"/>
  <c r="CK131" i="36"/>
  <c r="CK125" i="36"/>
  <c r="CK116" i="36"/>
  <c r="CK230" i="36"/>
  <c r="CK208" i="36"/>
  <c r="CK159" i="36"/>
  <c r="CK154" i="36"/>
  <c r="CK150" i="36"/>
  <c r="CK144" i="36"/>
  <c r="CK141" i="36"/>
  <c r="CK117" i="36"/>
  <c r="CK112" i="36"/>
  <c r="CK111" i="36"/>
  <c r="CK110" i="36"/>
  <c r="CK109" i="36"/>
  <c r="CK108" i="36"/>
  <c r="CK183" i="36"/>
  <c r="CK173" i="36"/>
  <c r="CK168" i="36"/>
  <c r="CK153" i="36"/>
  <c r="CK149" i="36"/>
  <c r="CK142" i="36"/>
  <c r="CK133" i="36"/>
  <c r="CK132" i="36"/>
  <c r="CK127" i="36"/>
  <c r="CK114" i="36"/>
  <c r="CK191" i="36"/>
  <c r="CK187" i="36"/>
  <c r="CK169" i="36"/>
  <c r="CK167" i="36"/>
  <c r="CK165" i="36"/>
  <c r="CK139" i="36"/>
  <c r="CK128" i="36"/>
  <c r="CK121" i="36"/>
  <c r="CK118" i="36"/>
  <c r="CK103" i="36"/>
  <c r="CK101" i="36"/>
  <c r="CK96" i="36"/>
  <c r="CK79" i="36"/>
  <c r="CK75" i="36"/>
  <c r="CK74" i="36"/>
  <c r="CK73" i="36"/>
  <c r="CK246" i="36"/>
  <c r="CK190" i="36"/>
  <c r="CK145" i="36"/>
  <c r="CK129" i="36"/>
  <c r="CK113" i="36"/>
  <c r="CK102" i="36"/>
  <c r="CK77" i="36"/>
  <c r="CK76" i="36"/>
  <c r="CK137" i="36"/>
  <c r="CK122" i="36"/>
  <c r="CK119" i="36"/>
  <c r="CK97" i="36"/>
  <c r="CK86" i="36"/>
  <c r="CK72" i="36"/>
  <c r="CK70" i="36"/>
  <c r="CK199" i="36"/>
  <c r="CK157" i="36"/>
  <c r="CK115" i="36"/>
  <c r="CK104" i="36"/>
  <c r="CK95" i="36"/>
  <c r="CK88" i="36"/>
  <c r="CK98" i="36"/>
  <c r="CK89" i="36"/>
  <c r="CK78" i="36"/>
  <c r="CK71" i="36"/>
  <c r="CK69" i="36"/>
  <c r="CK81" i="36"/>
  <c r="CK67" i="36"/>
  <c r="CK66" i="36"/>
  <c r="CK90" i="36"/>
  <c r="CK99" i="36"/>
  <c r="CK93" i="36"/>
  <c r="CK83" i="36"/>
  <c r="CK260" i="36"/>
  <c r="CK138" i="36"/>
  <c r="CK123" i="36"/>
  <c r="CK105" i="36"/>
  <c r="CK92" i="36"/>
  <c r="CK91" i="36"/>
  <c r="CK85" i="36"/>
  <c r="CK84" i="36"/>
  <c r="CK82" i="36"/>
  <c r="CK80" i="36"/>
  <c r="CK143" i="36"/>
  <c r="CK172" i="36"/>
  <c r="CK148" i="36"/>
  <c r="CK134" i="36"/>
  <c r="CK126" i="36"/>
  <c r="CK87" i="36"/>
  <c r="CK120" i="36"/>
  <c r="CK106" i="36"/>
  <c r="CK100" i="36"/>
  <c r="CK94" i="36"/>
  <c r="CK68" i="36"/>
  <c r="M26" i="98"/>
  <c r="U488" i="36"/>
  <c r="U516" i="36" s="1"/>
  <c r="W492" i="36"/>
  <c r="W488" i="36"/>
  <c r="W517" i="36" s="1"/>
  <c r="S476" i="36"/>
  <c r="S505" i="36" s="1"/>
  <c r="T472" i="36"/>
  <c r="T500" i="36" s="1"/>
  <c r="R468" i="36"/>
  <c r="AF472" i="36"/>
  <c r="AF500" i="36" s="1"/>
  <c r="U472" i="36"/>
  <c r="U500" i="36" s="1"/>
  <c r="CO420" i="36"/>
  <c r="AD488" i="36"/>
  <c r="AD517" i="36" s="1"/>
  <c r="T480" i="36"/>
  <c r="T509" i="36" s="1"/>
  <c r="T476" i="36"/>
  <c r="T504" i="36" s="1"/>
  <c r="CP439" i="36"/>
  <c r="CP435" i="36"/>
  <c r="CP428" i="36"/>
  <c r="CP423" i="36"/>
  <c r="CP414" i="36"/>
  <c r="CP406" i="36"/>
  <c r="CP440" i="36"/>
  <c r="CP430" i="36"/>
  <c r="CP424" i="36"/>
  <c r="CP407" i="36"/>
  <c r="CP436" i="36"/>
  <c r="CP431" i="36"/>
  <c r="CP408" i="36"/>
  <c r="CP403" i="36"/>
  <c r="CP416" i="36"/>
  <c r="CP389" i="36"/>
  <c r="CP388" i="36"/>
  <c r="CP382" i="36"/>
  <c r="CP375" i="36"/>
  <c r="CP413" i="36"/>
  <c r="CP398" i="36"/>
  <c r="CP379" i="36"/>
  <c r="CP371" i="36"/>
  <c r="CP355" i="36"/>
  <c r="CP353" i="36"/>
  <c r="CP350" i="36"/>
  <c r="CP437" i="36"/>
  <c r="CP425" i="36"/>
  <c r="CP419" i="36"/>
  <c r="CP404" i="36"/>
  <c r="CP402" i="36"/>
  <c r="CP391" i="36"/>
  <c r="CP386" i="36"/>
  <c r="CP373" i="36"/>
  <c r="CP367" i="36"/>
  <c r="CP433" i="36"/>
  <c r="CP427" i="36"/>
  <c r="CP418" i="36"/>
  <c r="CP434" i="36"/>
  <c r="CP432" i="36"/>
  <c r="CP426" i="36"/>
  <c r="CP405" i="36"/>
  <c r="CP377" i="36"/>
  <c r="CP370" i="36"/>
  <c r="CP366" i="36"/>
  <c r="CP363" i="36"/>
  <c r="CP342" i="36"/>
  <c r="CP415" i="36"/>
  <c r="CP411" i="36"/>
  <c r="CP395" i="36"/>
  <c r="CP392" i="36"/>
  <c r="CP387" i="36"/>
  <c r="CP383" i="36"/>
  <c r="CP380" i="36"/>
  <c r="CP378" i="36"/>
  <c r="CP369" i="36"/>
  <c r="CP347" i="36"/>
  <c r="CP339" i="36"/>
  <c r="CP429" i="36"/>
  <c r="CP396" i="36"/>
  <c r="CP393" i="36"/>
  <c r="CP372" i="36"/>
  <c r="CP368" i="36"/>
  <c r="CP365" i="36"/>
  <c r="CP354" i="36"/>
  <c r="CP352" i="36"/>
  <c r="CP343" i="36"/>
  <c r="CP334" i="36"/>
  <c r="CP330" i="36"/>
  <c r="CP327" i="36"/>
  <c r="CP410" i="36"/>
  <c r="CP399" i="36"/>
  <c r="CP376" i="36"/>
  <c r="CP417" i="36"/>
  <c r="CP401" i="36"/>
  <c r="CP390" i="36"/>
  <c r="CP438" i="36"/>
  <c r="CP362" i="36"/>
  <c r="CP349" i="36"/>
  <c r="CP326" i="36"/>
  <c r="CP322" i="36"/>
  <c r="CP318" i="36"/>
  <c r="CP315" i="36"/>
  <c r="CP397" i="36"/>
  <c r="CP394" i="36"/>
  <c r="CP359" i="36"/>
  <c r="CP320" i="36"/>
  <c r="CP311" i="36"/>
  <c r="CP307" i="36"/>
  <c r="CP302" i="36"/>
  <c r="CP301" i="36"/>
  <c r="CP298" i="36"/>
  <c r="CP297" i="36"/>
  <c r="CP278" i="36"/>
  <c r="CP409" i="36"/>
  <c r="CP385" i="36"/>
  <c r="CP336" i="36"/>
  <c r="CP323" i="36"/>
  <c r="CP319" i="36"/>
  <c r="CP316" i="36"/>
  <c r="CP312" i="36"/>
  <c r="CP374" i="36"/>
  <c r="CP344" i="36"/>
  <c r="CP338" i="36"/>
  <c r="CP337" i="36"/>
  <c r="CP412" i="36"/>
  <c r="CP400" i="36"/>
  <c r="CP361" i="36"/>
  <c r="CP358" i="36"/>
  <c r="CP348" i="36"/>
  <c r="CP346" i="36"/>
  <c r="CP340" i="36"/>
  <c r="CP331" i="36"/>
  <c r="CP384" i="36"/>
  <c r="CP356" i="36"/>
  <c r="CP325" i="36"/>
  <c r="CP324" i="36"/>
  <c r="CP310" i="36"/>
  <c r="CP300" i="36"/>
  <c r="CP360" i="36"/>
  <c r="CP329" i="36"/>
  <c r="CP309" i="36"/>
  <c r="CP303" i="36"/>
  <c r="CP333" i="36"/>
  <c r="CP332" i="36"/>
  <c r="CP314" i="36"/>
  <c r="CP305" i="36"/>
  <c r="CP294" i="36"/>
  <c r="CP277" i="36"/>
  <c r="CP273" i="36"/>
  <c r="CP269" i="36"/>
  <c r="CP265" i="36"/>
  <c r="CP259" i="36"/>
  <c r="CP255" i="36"/>
  <c r="CP242" i="36"/>
  <c r="CP227" i="36"/>
  <c r="CP223" i="36"/>
  <c r="CP218" i="36"/>
  <c r="CP210" i="36"/>
  <c r="CP209" i="36"/>
  <c r="CP208" i="36"/>
  <c r="CP341" i="36"/>
  <c r="CP335" i="36"/>
  <c r="CP299" i="36"/>
  <c r="CP290" i="36"/>
  <c r="CP266" i="36"/>
  <c r="CP263" i="36"/>
  <c r="CP260" i="36"/>
  <c r="CP256" i="36"/>
  <c r="CP252" i="36"/>
  <c r="CP248" i="36"/>
  <c r="CP239" i="36"/>
  <c r="CP236" i="36"/>
  <c r="CP230" i="36"/>
  <c r="CP224" i="36"/>
  <c r="CP219" i="36"/>
  <c r="CP351" i="36"/>
  <c r="CP345" i="36"/>
  <c r="CP295" i="36"/>
  <c r="CP285" i="36"/>
  <c r="CP364" i="36"/>
  <c r="CP357" i="36"/>
  <c r="CP317" i="36"/>
  <c r="CP293" i="36"/>
  <c r="CP286" i="36"/>
  <c r="CP282" i="36"/>
  <c r="CP268" i="36"/>
  <c r="CP258" i="36"/>
  <c r="CP254" i="36"/>
  <c r="CP251" i="36"/>
  <c r="CP245" i="36"/>
  <c r="CP241" i="36"/>
  <c r="CP288" i="36"/>
  <c r="CP249" i="36"/>
  <c r="CP247" i="36"/>
  <c r="CP235" i="36"/>
  <c r="CP234" i="36"/>
  <c r="CP231" i="36"/>
  <c r="CP228" i="36"/>
  <c r="CP321" i="36"/>
  <c r="CP313" i="36"/>
  <c r="CP292" i="36"/>
  <c r="CP280" i="36"/>
  <c r="CP261" i="36"/>
  <c r="CP250" i="36"/>
  <c r="CP211" i="36"/>
  <c r="CP381" i="36"/>
  <c r="CP304" i="36"/>
  <c r="CP267" i="36"/>
  <c r="CP246" i="36"/>
  <c r="CP244" i="36"/>
  <c r="CP232" i="36"/>
  <c r="CP226" i="36"/>
  <c r="CP225" i="36"/>
  <c r="CP216" i="36"/>
  <c r="CP215" i="36"/>
  <c r="CP199" i="36"/>
  <c r="CP198" i="36"/>
  <c r="CP281" i="36"/>
  <c r="CP233" i="36"/>
  <c r="CP207" i="36"/>
  <c r="CP193" i="36"/>
  <c r="CP178" i="36"/>
  <c r="CP173" i="36"/>
  <c r="CP168" i="36"/>
  <c r="CP308" i="36"/>
  <c r="CP306" i="36"/>
  <c r="CP287" i="36"/>
  <c r="CP274" i="36"/>
  <c r="CP284" i="36"/>
  <c r="CP270" i="36"/>
  <c r="CP257" i="36"/>
  <c r="CP238" i="36"/>
  <c r="CP296" i="36"/>
  <c r="CP262" i="36"/>
  <c r="CP240" i="36"/>
  <c r="CP217" i="36"/>
  <c r="CP205" i="36"/>
  <c r="CP204" i="36"/>
  <c r="CP203" i="36"/>
  <c r="CP200" i="36"/>
  <c r="CP183" i="36"/>
  <c r="CP179" i="36"/>
  <c r="CP289" i="36"/>
  <c r="CP283" i="36"/>
  <c r="CP272" i="36"/>
  <c r="CP253" i="36"/>
  <c r="CP212" i="36"/>
  <c r="CP328" i="36"/>
  <c r="CP275" i="36"/>
  <c r="CP264" i="36"/>
  <c r="CP213" i="36"/>
  <c r="CP191" i="36"/>
  <c r="CP188" i="36"/>
  <c r="CP185" i="36"/>
  <c r="CP181" i="36"/>
  <c r="CP177" i="36"/>
  <c r="CP164" i="36"/>
  <c r="CP156" i="36"/>
  <c r="CP243" i="36"/>
  <c r="CP167" i="36"/>
  <c r="CP163" i="36"/>
  <c r="CP271" i="36"/>
  <c r="CP196" i="36"/>
  <c r="CP182" i="36"/>
  <c r="CP169" i="36"/>
  <c r="CP276" i="36"/>
  <c r="CP186" i="36"/>
  <c r="CP170" i="36"/>
  <c r="CP279" i="36"/>
  <c r="CP201" i="36"/>
  <c r="CP197" i="36"/>
  <c r="CP195" i="36"/>
  <c r="CP192" i="36"/>
  <c r="CP175" i="36"/>
  <c r="CP157" i="36"/>
  <c r="CP202" i="36"/>
  <c r="CP158" i="36"/>
  <c r="CP145" i="36"/>
  <c r="CP138" i="36"/>
  <c r="CP134" i="36"/>
  <c r="CP128" i="36"/>
  <c r="CP123" i="36"/>
  <c r="CP118" i="36"/>
  <c r="CP105" i="36"/>
  <c r="CP237" i="36"/>
  <c r="CP184" i="36"/>
  <c r="CP153" i="36"/>
  <c r="CP149" i="36"/>
  <c r="CP129" i="36"/>
  <c r="CP119" i="36"/>
  <c r="CP115" i="36"/>
  <c r="CP106" i="36"/>
  <c r="CP229" i="36"/>
  <c r="CP206" i="36"/>
  <c r="CP176" i="36"/>
  <c r="CP148" i="36"/>
  <c r="CP143" i="36"/>
  <c r="CP139" i="36"/>
  <c r="CP120" i="36"/>
  <c r="CP214" i="36"/>
  <c r="CP190" i="36"/>
  <c r="CP187" i="36"/>
  <c r="CP162" i="36"/>
  <c r="CP152" i="36"/>
  <c r="CP147" i="36"/>
  <c r="CP146" i="36"/>
  <c r="CP136" i="36"/>
  <c r="CP131" i="36"/>
  <c r="CP125" i="36"/>
  <c r="CP116" i="36"/>
  <c r="CP189" i="36"/>
  <c r="CP137" i="36"/>
  <c r="CP132" i="36"/>
  <c r="CP122" i="36"/>
  <c r="CP109" i="36"/>
  <c r="CP99" i="36"/>
  <c r="CP94" i="36"/>
  <c r="CP81" i="36"/>
  <c r="CP161" i="36"/>
  <c r="CP133" i="36"/>
  <c r="CP130" i="36"/>
  <c r="CP110" i="36"/>
  <c r="CP95" i="36"/>
  <c r="CP88" i="36"/>
  <c r="CP194" i="36"/>
  <c r="CP155" i="36"/>
  <c r="CP151" i="36"/>
  <c r="CP141" i="36"/>
  <c r="CP135" i="36"/>
  <c r="CP126" i="36"/>
  <c r="CP117" i="36"/>
  <c r="CP114" i="36"/>
  <c r="CP107" i="36"/>
  <c r="CP100" i="36"/>
  <c r="CP80" i="36"/>
  <c r="CP78" i="36"/>
  <c r="CP222" i="36"/>
  <c r="CP165" i="36"/>
  <c r="CP150" i="36"/>
  <c r="CP142" i="36"/>
  <c r="CP140" i="36"/>
  <c r="CP121" i="36"/>
  <c r="CP108" i="36"/>
  <c r="CP103" i="36"/>
  <c r="CP102" i="36"/>
  <c r="CP98" i="36"/>
  <c r="CP92" i="36"/>
  <c r="CP90" i="36"/>
  <c r="CP89" i="36"/>
  <c r="CP87" i="36"/>
  <c r="CP85" i="36"/>
  <c r="CP84" i="36"/>
  <c r="CP71" i="36"/>
  <c r="CP67" i="36"/>
  <c r="CP66" i="36"/>
  <c r="CP160" i="36"/>
  <c r="CP159" i="36"/>
  <c r="CP124" i="36"/>
  <c r="CP91" i="36"/>
  <c r="CP82" i="36"/>
  <c r="CP221" i="36"/>
  <c r="CP97" i="36"/>
  <c r="CP77" i="36"/>
  <c r="CP220" i="36"/>
  <c r="CP166" i="36"/>
  <c r="CP93" i="36"/>
  <c r="CP83" i="36"/>
  <c r="CP75" i="36"/>
  <c r="CP172" i="36"/>
  <c r="CP111" i="36"/>
  <c r="CP104" i="36"/>
  <c r="CP76" i="36"/>
  <c r="CP70" i="36"/>
  <c r="CP112" i="36"/>
  <c r="CP86" i="36"/>
  <c r="CP127" i="36"/>
  <c r="CP144" i="36"/>
  <c r="CP68" i="36"/>
  <c r="CP180" i="36"/>
  <c r="CP101" i="36"/>
  <c r="CP73" i="36"/>
  <c r="CP69" i="36"/>
  <c r="CP154" i="36"/>
  <c r="CP113" i="36"/>
  <c r="CP96" i="36"/>
  <c r="CP79" i="36"/>
  <c r="CP74" i="36"/>
  <c r="CP72" i="36"/>
  <c r="CP291" i="36"/>
  <c r="CP174" i="36"/>
  <c r="CP171" i="36"/>
  <c r="C26" i="98"/>
  <c r="V488" i="36"/>
  <c r="V517" i="36" s="1"/>
  <c r="Z468" i="36"/>
  <c r="Z496" i="36" s="1"/>
  <c r="Z492" i="36"/>
  <c r="S472" i="36"/>
  <c r="S500" i="36" s="1"/>
  <c r="CQ440" i="36"/>
  <c r="CQ430" i="36"/>
  <c r="CQ424" i="36"/>
  <c r="CQ407" i="36"/>
  <c r="CQ429" i="36"/>
  <c r="CQ425" i="36"/>
  <c r="CQ415" i="36"/>
  <c r="CQ402" i="36"/>
  <c r="CQ432" i="36"/>
  <c r="CQ416" i="36"/>
  <c r="CQ409" i="36"/>
  <c r="CQ404" i="36"/>
  <c r="CQ414" i="36"/>
  <c r="CQ413" i="36"/>
  <c r="CQ398" i="36"/>
  <c r="CQ379" i="36"/>
  <c r="CQ439" i="36"/>
  <c r="CQ438" i="36"/>
  <c r="CQ417" i="36"/>
  <c r="CQ399" i="36"/>
  <c r="CQ395" i="36"/>
  <c r="CQ390" i="36"/>
  <c r="CQ385" i="36"/>
  <c r="CQ383" i="36"/>
  <c r="CQ376" i="36"/>
  <c r="CQ372" i="36"/>
  <c r="CQ366" i="36"/>
  <c r="CQ365" i="36"/>
  <c r="CQ356" i="36"/>
  <c r="CQ354" i="36"/>
  <c r="CQ435" i="36"/>
  <c r="CQ433" i="36"/>
  <c r="CQ428" i="36"/>
  <c r="CQ427" i="36"/>
  <c r="CQ418" i="36"/>
  <c r="CQ405" i="36"/>
  <c r="CQ400" i="36"/>
  <c r="CQ380" i="36"/>
  <c r="CQ368" i="36"/>
  <c r="CQ359" i="36"/>
  <c r="CQ358" i="36"/>
  <c r="CQ357" i="36"/>
  <c r="CQ434" i="36"/>
  <c r="CQ426" i="36"/>
  <c r="CQ408" i="36"/>
  <c r="CQ437" i="36"/>
  <c r="CQ411" i="36"/>
  <c r="CQ392" i="36"/>
  <c r="CQ388" i="36"/>
  <c r="CQ387" i="36"/>
  <c r="CQ378" i="36"/>
  <c r="CQ369" i="36"/>
  <c r="CQ353" i="36"/>
  <c r="CQ347" i="36"/>
  <c r="CQ339" i="36"/>
  <c r="CQ431" i="36"/>
  <c r="CQ394" i="36"/>
  <c r="CQ381" i="36"/>
  <c r="CQ362" i="36"/>
  <c r="CQ350" i="36"/>
  <c r="CQ436" i="36"/>
  <c r="CQ410" i="36"/>
  <c r="CQ361" i="36"/>
  <c r="CQ348" i="36"/>
  <c r="CQ341" i="36"/>
  <c r="CQ340" i="36"/>
  <c r="CQ335" i="36"/>
  <c r="CQ323" i="36"/>
  <c r="CQ319" i="36"/>
  <c r="CQ423" i="36"/>
  <c r="CQ397" i="36"/>
  <c r="CQ374" i="36"/>
  <c r="CQ391" i="36"/>
  <c r="CQ389" i="36"/>
  <c r="CQ377" i="36"/>
  <c r="CQ419" i="36"/>
  <c r="CQ396" i="36"/>
  <c r="CQ320" i="36"/>
  <c r="CQ311" i="36"/>
  <c r="CQ406" i="36"/>
  <c r="CQ386" i="36"/>
  <c r="CQ370" i="36"/>
  <c r="CQ360" i="36"/>
  <c r="CQ351" i="36"/>
  <c r="CQ342" i="36"/>
  <c r="CQ334" i="36"/>
  <c r="CQ332" i="36"/>
  <c r="CQ330" i="36"/>
  <c r="CQ328" i="36"/>
  <c r="CQ303" i="36"/>
  <c r="CQ289" i="36"/>
  <c r="CQ283" i="36"/>
  <c r="CQ274" i="36"/>
  <c r="CQ371" i="36"/>
  <c r="CQ352" i="36"/>
  <c r="CQ344" i="36"/>
  <c r="CQ338" i="36"/>
  <c r="CQ337" i="36"/>
  <c r="CQ327" i="36"/>
  <c r="CQ325" i="36"/>
  <c r="CQ308" i="36"/>
  <c r="CQ412" i="36"/>
  <c r="CQ401" i="36"/>
  <c r="CQ363" i="36"/>
  <c r="CQ346" i="36"/>
  <c r="CQ403" i="36"/>
  <c r="CQ384" i="36"/>
  <c r="CQ382" i="36"/>
  <c r="CQ373" i="36"/>
  <c r="CQ364" i="36"/>
  <c r="CQ345" i="36"/>
  <c r="CQ333" i="36"/>
  <c r="CQ329" i="36"/>
  <c r="CQ355" i="36"/>
  <c r="CQ307" i="36"/>
  <c r="CQ305" i="36"/>
  <c r="CQ336" i="36"/>
  <c r="CQ324" i="36"/>
  <c r="CQ312" i="36"/>
  <c r="CQ310" i="36"/>
  <c r="CQ300" i="36"/>
  <c r="CQ322" i="36"/>
  <c r="CQ314" i="36"/>
  <c r="CQ375" i="36"/>
  <c r="CQ321" i="36"/>
  <c r="CQ288" i="36"/>
  <c r="CQ281" i="36"/>
  <c r="CQ279" i="36"/>
  <c r="CQ247" i="36"/>
  <c r="CQ243" i="36"/>
  <c r="CQ229" i="36"/>
  <c r="CQ228" i="36"/>
  <c r="CQ213" i="36"/>
  <c r="CQ318" i="36"/>
  <c r="CQ301" i="36"/>
  <c r="CQ298" i="36"/>
  <c r="CQ297" i="36"/>
  <c r="CQ295" i="36"/>
  <c r="CQ285" i="36"/>
  <c r="CQ272" i="36"/>
  <c r="CQ270" i="36"/>
  <c r="CQ249" i="36"/>
  <c r="CQ220" i="36"/>
  <c r="CQ215" i="36"/>
  <c r="CQ214" i="36"/>
  <c r="CQ331" i="36"/>
  <c r="CQ326" i="36"/>
  <c r="CQ313" i="36"/>
  <c r="CQ306" i="36"/>
  <c r="CQ302" i="36"/>
  <c r="CQ292" i="36"/>
  <c r="CQ278" i="36"/>
  <c r="CQ367" i="36"/>
  <c r="CQ349" i="36"/>
  <c r="CQ343" i="36"/>
  <c r="CQ304" i="36"/>
  <c r="CQ291" i="36"/>
  <c r="CQ284" i="36"/>
  <c r="CQ275" i="36"/>
  <c r="CQ271" i="36"/>
  <c r="CQ262" i="36"/>
  <c r="CQ246" i="36"/>
  <c r="CQ238" i="36"/>
  <c r="CQ393" i="36"/>
  <c r="CQ286" i="36"/>
  <c r="CQ280" i="36"/>
  <c r="CQ269" i="36"/>
  <c r="CQ261" i="36"/>
  <c r="CQ250" i="36"/>
  <c r="CQ224" i="36"/>
  <c r="CQ219" i="36"/>
  <c r="CQ211" i="36"/>
  <c r="CQ208" i="36"/>
  <c r="CQ276" i="36"/>
  <c r="CQ273" i="36"/>
  <c r="CQ268" i="36"/>
  <c r="CQ237" i="36"/>
  <c r="CQ230" i="36"/>
  <c r="CQ196" i="36"/>
  <c r="CQ299" i="36"/>
  <c r="CQ294" i="36"/>
  <c r="CQ290" i="36"/>
  <c r="CQ260" i="36"/>
  <c r="CQ248" i="36"/>
  <c r="CQ245" i="36"/>
  <c r="CQ236" i="36"/>
  <c r="CQ235" i="36"/>
  <c r="CQ234" i="36"/>
  <c r="CQ231" i="36"/>
  <c r="CQ192" i="36"/>
  <c r="CQ293" i="36"/>
  <c r="CQ287" i="36"/>
  <c r="CQ221" i="36"/>
  <c r="CQ169" i="36"/>
  <c r="CQ309" i="36"/>
  <c r="CQ296" i="36"/>
  <c r="CQ259" i="36"/>
  <c r="CQ255" i="36"/>
  <c r="CQ251" i="36"/>
  <c r="CQ240" i="36"/>
  <c r="CQ223" i="36"/>
  <c r="CQ277" i="36"/>
  <c r="CQ206" i="36"/>
  <c r="CQ202" i="36"/>
  <c r="CQ201" i="36"/>
  <c r="CQ190" i="36"/>
  <c r="CQ180" i="36"/>
  <c r="CQ171" i="36"/>
  <c r="CQ167" i="36"/>
  <c r="CQ163" i="36"/>
  <c r="CQ282" i="36"/>
  <c r="CQ266" i="36"/>
  <c r="CQ264" i="36"/>
  <c r="CQ317" i="36"/>
  <c r="CQ316" i="36"/>
  <c r="CQ315" i="36"/>
  <c r="CQ258" i="36"/>
  <c r="CQ256" i="36"/>
  <c r="CQ241" i="36"/>
  <c r="CQ239" i="36"/>
  <c r="CQ233" i="36"/>
  <c r="CQ232" i="36"/>
  <c r="CQ209" i="36"/>
  <c r="CQ207" i="36"/>
  <c r="CQ193" i="36"/>
  <c r="CQ178" i="36"/>
  <c r="CQ173" i="36"/>
  <c r="CQ168" i="36"/>
  <c r="CQ165" i="36"/>
  <c r="CQ157" i="36"/>
  <c r="CQ154" i="36"/>
  <c r="CQ150" i="36"/>
  <c r="CQ265" i="36"/>
  <c r="CQ244" i="36"/>
  <c r="CQ216" i="36"/>
  <c r="CQ205" i="36"/>
  <c r="CQ182" i="36"/>
  <c r="CQ267" i="36"/>
  <c r="CQ257" i="36"/>
  <c r="CQ227" i="36"/>
  <c r="CQ212" i="36"/>
  <c r="CQ200" i="36"/>
  <c r="CQ186" i="36"/>
  <c r="CQ170" i="36"/>
  <c r="CQ254" i="36"/>
  <c r="CQ242" i="36"/>
  <c r="CQ225" i="36"/>
  <c r="CQ189" i="36"/>
  <c r="CQ185" i="36"/>
  <c r="CQ184" i="36"/>
  <c r="CQ183" i="36"/>
  <c r="CQ166" i="36"/>
  <c r="CQ177" i="36"/>
  <c r="CQ176" i="36"/>
  <c r="CQ164" i="36"/>
  <c r="CQ155" i="36"/>
  <c r="CQ253" i="36"/>
  <c r="CQ252" i="36"/>
  <c r="CQ210" i="36"/>
  <c r="CQ204" i="36"/>
  <c r="CQ188" i="36"/>
  <c r="CQ179" i="36"/>
  <c r="CQ153" i="36"/>
  <c r="CQ149" i="36"/>
  <c r="CQ129" i="36"/>
  <c r="CQ119" i="36"/>
  <c r="CQ115" i="36"/>
  <c r="CQ106" i="36"/>
  <c r="CQ203" i="36"/>
  <c r="CQ191" i="36"/>
  <c r="CQ148" i="36"/>
  <c r="CQ143" i="36"/>
  <c r="CQ139" i="36"/>
  <c r="CQ120" i="36"/>
  <c r="CQ226" i="36"/>
  <c r="CQ199" i="36"/>
  <c r="CQ140" i="36"/>
  <c r="CQ135" i="36"/>
  <c r="CQ130" i="36"/>
  <c r="CQ124" i="36"/>
  <c r="CQ107" i="36"/>
  <c r="CQ218" i="36"/>
  <c r="CQ194" i="36"/>
  <c r="CQ175" i="36"/>
  <c r="CQ172" i="36"/>
  <c r="CQ156" i="36"/>
  <c r="CQ151" i="36"/>
  <c r="CQ144" i="36"/>
  <c r="CQ141" i="36"/>
  <c r="CQ117" i="36"/>
  <c r="CQ112" i="36"/>
  <c r="CQ111" i="36"/>
  <c r="CQ110" i="36"/>
  <c r="CQ109" i="36"/>
  <c r="CQ108" i="36"/>
  <c r="CQ263" i="36"/>
  <c r="CQ161" i="36"/>
  <c r="CQ133" i="36"/>
  <c r="CQ95" i="36"/>
  <c r="CQ88" i="36"/>
  <c r="CQ146" i="36"/>
  <c r="CQ134" i="36"/>
  <c r="CQ126" i="36"/>
  <c r="CQ114" i="36"/>
  <c r="CQ100" i="36"/>
  <c r="CQ80" i="36"/>
  <c r="CQ78" i="36"/>
  <c r="CQ195" i="36"/>
  <c r="CQ181" i="36"/>
  <c r="CQ131" i="36"/>
  <c r="CQ123" i="36"/>
  <c r="CQ105" i="36"/>
  <c r="CQ101" i="36"/>
  <c r="CQ96" i="36"/>
  <c r="CQ79" i="36"/>
  <c r="CQ75" i="36"/>
  <c r="CQ74" i="36"/>
  <c r="CQ73" i="36"/>
  <c r="CQ198" i="36"/>
  <c r="CQ187" i="36"/>
  <c r="CQ159" i="36"/>
  <c r="CQ152" i="36"/>
  <c r="CQ128" i="36"/>
  <c r="CQ118" i="36"/>
  <c r="CQ116" i="36"/>
  <c r="CQ113" i="36"/>
  <c r="CQ93" i="36"/>
  <c r="CQ91" i="36"/>
  <c r="CQ83" i="36"/>
  <c r="CQ82" i="36"/>
  <c r="CQ69" i="36"/>
  <c r="CQ68" i="36"/>
  <c r="CQ158" i="36"/>
  <c r="CQ138" i="36"/>
  <c r="CQ137" i="36"/>
  <c r="CQ103" i="36"/>
  <c r="CQ99" i="36"/>
  <c r="CQ92" i="36"/>
  <c r="CQ85" i="36"/>
  <c r="CQ84" i="36"/>
  <c r="CQ81" i="36"/>
  <c r="CQ197" i="36"/>
  <c r="CQ174" i="36"/>
  <c r="CQ145" i="36"/>
  <c r="CQ122" i="36"/>
  <c r="CQ102" i="36"/>
  <c r="CQ87" i="36"/>
  <c r="CQ66" i="36"/>
  <c r="CQ136" i="36"/>
  <c r="CQ86" i="36"/>
  <c r="CQ127" i="36"/>
  <c r="CQ67" i="36"/>
  <c r="CQ77" i="36"/>
  <c r="CQ70" i="36"/>
  <c r="CQ217" i="36"/>
  <c r="CQ104" i="36"/>
  <c r="CQ147" i="36"/>
  <c r="CQ132" i="36"/>
  <c r="CQ97" i="36"/>
  <c r="CQ94" i="36"/>
  <c r="CQ76" i="36"/>
  <c r="CQ142" i="36"/>
  <c r="CQ125" i="36"/>
  <c r="CQ121" i="36"/>
  <c r="CQ162" i="36"/>
  <c r="CQ98" i="36"/>
  <c r="CQ89" i="36"/>
  <c r="CQ72" i="36"/>
  <c r="CQ71" i="36"/>
  <c r="CQ160" i="36"/>
  <c r="CQ90" i="36"/>
  <c r="CQ222" i="36"/>
  <c r="AE488" i="36"/>
  <c r="AE517" i="36" s="1"/>
  <c r="AE484" i="36"/>
  <c r="AE513" i="36" s="1"/>
  <c r="CN421" i="36"/>
  <c r="AA452" i="36"/>
  <c r="CM437" i="36"/>
  <c r="CM433" i="36"/>
  <c r="CM426" i="36"/>
  <c r="CM417" i="36"/>
  <c r="CM410" i="36"/>
  <c r="CM405" i="36"/>
  <c r="CM438" i="36"/>
  <c r="CM427" i="36"/>
  <c r="CM412" i="36"/>
  <c r="CM411" i="36"/>
  <c r="CM439" i="36"/>
  <c r="CM435" i="36"/>
  <c r="CM428" i="36"/>
  <c r="CM423" i="36"/>
  <c r="CM414" i="36"/>
  <c r="CM406" i="36"/>
  <c r="CM432" i="36"/>
  <c r="CM409" i="36"/>
  <c r="CM396" i="36"/>
  <c r="CM392" i="36"/>
  <c r="CM440" i="36"/>
  <c r="CM431" i="36"/>
  <c r="CM430" i="36"/>
  <c r="CM415" i="36"/>
  <c r="CM401" i="36"/>
  <c r="CM397" i="36"/>
  <c r="CM381" i="36"/>
  <c r="CM377" i="36"/>
  <c r="CM374" i="36"/>
  <c r="CM361" i="36"/>
  <c r="CM416" i="36"/>
  <c r="CM389" i="36"/>
  <c r="CM388" i="36"/>
  <c r="CM382" i="36"/>
  <c r="CM375" i="36"/>
  <c r="CM364" i="36"/>
  <c r="CM429" i="36"/>
  <c r="CM419" i="36"/>
  <c r="CM436" i="36"/>
  <c r="CM425" i="36"/>
  <c r="CM418" i="36"/>
  <c r="CM403" i="36"/>
  <c r="CM400" i="36"/>
  <c r="CM386" i="36"/>
  <c r="CM367" i="36"/>
  <c r="CM360" i="36"/>
  <c r="CM344" i="36"/>
  <c r="CM336" i="36"/>
  <c r="CM434" i="36"/>
  <c r="CM424" i="36"/>
  <c r="CM390" i="36"/>
  <c r="CM379" i="36"/>
  <c r="CM351" i="36"/>
  <c r="CM349" i="36"/>
  <c r="CM337" i="36"/>
  <c r="CM407" i="36"/>
  <c r="CM402" i="36"/>
  <c r="CM395" i="36"/>
  <c r="CM394" i="36"/>
  <c r="CM383" i="36"/>
  <c r="CM353" i="36"/>
  <c r="CM342" i="36"/>
  <c r="CM393" i="36"/>
  <c r="CM380" i="36"/>
  <c r="CM385" i="36"/>
  <c r="CM384" i="36"/>
  <c r="CM376" i="36"/>
  <c r="CM372" i="36"/>
  <c r="CM350" i="36"/>
  <c r="CM348" i="36"/>
  <c r="CM340" i="36"/>
  <c r="CM333" i="36"/>
  <c r="CM331" i="36"/>
  <c r="CM329" i="36"/>
  <c r="CM309" i="36"/>
  <c r="CM398" i="36"/>
  <c r="CM362" i="36"/>
  <c r="CM354" i="36"/>
  <c r="CM341" i="36"/>
  <c r="CM314" i="36"/>
  <c r="CM313" i="36"/>
  <c r="CM310" i="36"/>
  <c r="CM291" i="36"/>
  <c r="CM281" i="36"/>
  <c r="CM276" i="36"/>
  <c r="CM391" i="36"/>
  <c r="CM368" i="36"/>
  <c r="CM356" i="36"/>
  <c r="CM315" i="36"/>
  <c r="CM371" i="36"/>
  <c r="CM363" i="36"/>
  <c r="CM357" i="36"/>
  <c r="CM347" i="36"/>
  <c r="CM343" i="36"/>
  <c r="CM339" i="36"/>
  <c r="CM338" i="36"/>
  <c r="CM332" i="36"/>
  <c r="CM328" i="36"/>
  <c r="CM404" i="36"/>
  <c r="CM399" i="36"/>
  <c r="CM378" i="36"/>
  <c r="CM359" i="36"/>
  <c r="CM358" i="36"/>
  <c r="CM327" i="36"/>
  <c r="CM323" i="36"/>
  <c r="CM319" i="36"/>
  <c r="CM408" i="36"/>
  <c r="CM373" i="36"/>
  <c r="CM370" i="36"/>
  <c r="CM369" i="36"/>
  <c r="CM355" i="36"/>
  <c r="CM324" i="36"/>
  <c r="CM311" i="36"/>
  <c r="CM308" i="36"/>
  <c r="CM345" i="36"/>
  <c r="CM318" i="36"/>
  <c r="CM317" i="36"/>
  <c r="CM306" i="36"/>
  <c r="CM304" i="36"/>
  <c r="CM302" i="36"/>
  <c r="CM298" i="36"/>
  <c r="CM366" i="36"/>
  <c r="CM365" i="36"/>
  <c r="CM387" i="36"/>
  <c r="CM322" i="36"/>
  <c r="CM293" i="36"/>
  <c r="CM289" i="36"/>
  <c r="CM287" i="36"/>
  <c r="CM286" i="36"/>
  <c r="CM282" i="36"/>
  <c r="CM280" i="36"/>
  <c r="CM264" i="36"/>
  <c r="CM233" i="36"/>
  <c r="CM221" i="36"/>
  <c r="CM217" i="36"/>
  <c r="CM216" i="36"/>
  <c r="CM305" i="36"/>
  <c r="CM294" i="36"/>
  <c r="CM284" i="36"/>
  <c r="CM277" i="36"/>
  <c r="CM275" i="36"/>
  <c r="CM273" i="36"/>
  <c r="CM271" i="36"/>
  <c r="CM262" i="36"/>
  <c r="CM246" i="36"/>
  <c r="CM238" i="36"/>
  <c r="CM235" i="36"/>
  <c r="CM226" i="36"/>
  <c r="CM222" i="36"/>
  <c r="CM212" i="36"/>
  <c r="CM352" i="36"/>
  <c r="CM321" i="36"/>
  <c r="CM288" i="36"/>
  <c r="CM334" i="36"/>
  <c r="CM330" i="36"/>
  <c r="CM307" i="36"/>
  <c r="CM303" i="36"/>
  <c r="CM292" i="36"/>
  <c r="CM278" i="36"/>
  <c r="CM274" i="36"/>
  <c r="CM272" i="36"/>
  <c r="CM270" i="36"/>
  <c r="CM249" i="36"/>
  <c r="CM259" i="36"/>
  <c r="CM258" i="36"/>
  <c r="CM257" i="36"/>
  <c r="CM256" i="36"/>
  <c r="CM210" i="36"/>
  <c r="CM207" i="36"/>
  <c r="CM202" i="36"/>
  <c r="CM201" i="36"/>
  <c r="CM320" i="36"/>
  <c r="CM299" i="36"/>
  <c r="CM290" i="36"/>
  <c r="CM267" i="36"/>
  <c r="CM266" i="36"/>
  <c r="CM245" i="36"/>
  <c r="CM244" i="36"/>
  <c r="CM232" i="36"/>
  <c r="CM220" i="36"/>
  <c r="CM413" i="36"/>
  <c r="CM346" i="36"/>
  <c r="CM312" i="36"/>
  <c r="CM300" i="36"/>
  <c r="CM296" i="36"/>
  <c r="CM283" i="36"/>
  <c r="CM265" i="36"/>
  <c r="CM254" i="36"/>
  <c r="CM253" i="36"/>
  <c r="CM243" i="36"/>
  <c r="CM242" i="36"/>
  <c r="CM241" i="36"/>
  <c r="CM240" i="36"/>
  <c r="CM206" i="36"/>
  <c r="CM205" i="36"/>
  <c r="CM204" i="36"/>
  <c r="CM203" i="36"/>
  <c r="CM316" i="36"/>
  <c r="CM260" i="36"/>
  <c r="CM230" i="36"/>
  <c r="CM194" i="36"/>
  <c r="CM190" i="36"/>
  <c r="CM180" i="36"/>
  <c r="CM171" i="36"/>
  <c r="CM326" i="36"/>
  <c r="CM268" i="36"/>
  <c r="CM297" i="36"/>
  <c r="CM285" i="36"/>
  <c r="CM279" i="36"/>
  <c r="CM248" i="36"/>
  <c r="CM231" i="36"/>
  <c r="CM263" i="36"/>
  <c r="CM252" i="36"/>
  <c r="CM227" i="36"/>
  <c r="CM214" i="36"/>
  <c r="CM199" i="36"/>
  <c r="CM169" i="36"/>
  <c r="CM162" i="36"/>
  <c r="CM161" i="36"/>
  <c r="CM335" i="36"/>
  <c r="CM301" i="36"/>
  <c r="CM250" i="36"/>
  <c r="CM225" i="36"/>
  <c r="CM325" i="36"/>
  <c r="CM261" i="36"/>
  <c r="CM247" i="36"/>
  <c r="CM237" i="36"/>
  <c r="CM236" i="36"/>
  <c r="CM229" i="36"/>
  <c r="CM218" i="36"/>
  <c r="CM200" i="36"/>
  <c r="CM183" i="36"/>
  <c r="CM179" i="36"/>
  <c r="CM159" i="36"/>
  <c r="CM155" i="36"/>
  <c r="CM148" i="36"/>
  <c r="CM213" i="36"/>
  <c r="CM209" i="36"/>
  <c r="CM197" i="36"/>
  <c r="CM195" i="36"/>
  <c r="CM192" i="36"/>
  <c r="CM177" i="36"/>
  <c r="CM176" i="36"/>
  <c r="CM175" i="36"/>
  <c r="CM181" i="36"/>
  <c r="CM164" i="36"/>
  <c r="CM255" i="36"/>
  <c r="CM251" i="36"/>
  <c r="CM224" i="36"/>
  <c r="CM223" i="36"/>
  <c r="CM208" i="36"/>
  <c r="CM193" i="36"/>
  <c r="CM167" i="36"/>
  <c r="CM295" i="36"/>
  <c r="CM173" i="36"/>
  <c r="CM165" i="36"/>
  <c r="CM158" i="36"/>
  <c r="CM156" i="36"/>
  <c r="CM149" i="36"/>
  <c r="CM147" i="36"/>
  <c r="CM189" i="36"/>
  <c r="CM185" i="36"/>
  <c r="CM174" i="36"/>
  <c r="CM154" i="36"/>
  <c r="CM150" i="36"/>
  <c r="CM144" i="36"/>
  <c r="CM141" i="36"/>
  <c r="CM117" i="36"/>
  <c r="CM112" i="36"/>
  <c r="CM111" i="36"/>
  <c r="CM110" i="36"/>
  <c r="CM109" i="36"/>
  <c r="CM108" i="36"/>
  <c r="CM170" i="36"/>
  <c r="CM166" i="36"/>
  <c r="CM137" i="36"/>
  <c r="CM126" i="36"/>
  <c r="CM122" i="36"/>
  <c r="CM121" i="36"/>
  <c r="CM113" i="36"/>
  <c r="CM102" i="36"/>
  <c r="CM269" i="36"/>
  <c r="CM196" i="36"/>
  <c r="CM191" i="36"/>
  <c r="CM188" i="36"/>
  <c r="CM184" i="36"/>
  <c r="CM153" i="36"/>
  <c r="CM142" i="36"/>
  <c r="CM133" i="36"/>
  <c r="CM132" i="36"/>
  <c r="CM127" i="36"/>
  <c r="CM114" i="36"/>
  <c r="CM104" i="36"/>
  <c r="CM103" i="36"/>
  <c r="CM198" i="36"/>
  <c r="CM129" i="36"/>
  <c r="CM119" i="36"/>
  <c r="CM115" i="36"/>
  <c r="CM234" i="36"/>
  <c r="CM152" i="36"/>
  <c r="CM145" i="36"/>
  <c r="CM140" i="36"/>
  <c r="CM125" i="36"/>
  <c r="CM97" i="36"/>
  <c r="CM86" i="36"/>
  <c r="CM72" i="36"/>
  <c r="CM70" i="36"/>
  <c r="CM143" i="36"/>
  <c r="CM116" i="36"/>
  <c r="CM98" i="36"/>
  <c r="CM92" i="36"/>
  <c r="CM90" i="36"/>
  <c r="CM89" i="36"/>
  <c r="CM87" i="36"/>
  <c r="CM85" i="36"/>
  <c r="CM84" i="36"/>
  <c r="CM71" i="36"/>
  <c r="CM67" i="36"/>
  <c r="CM66" i="36"/>
  <c r="CM219" i="36"/>
  <c r="CM178" i="36"/>
  <c r="CM134" i="36"/>
  <c r="CM120" i="36"/>
  <c r="CM106" i="36"/>
  <c r="CM93" i="36"/>
  <c r="CM91" i="36"/>
  <c r="CM83" i="36"/>
  <c r="CM82" i="36"/>
  <c r="CM69" i="36"/>
  <c r="CM68" i="36"/>
  <c r="CM239" i="36"/>
  <c r="CM215" i="36"/>
  <c r="CM139" i="36"/>
  <c r="CM124" i="36"/>
  <c r="CM101" i="36"/>
  <c r="CM96" i="36"/>
  <c r="CM79" i="36"/>
  <c r="CM75" i="36"/>
  <c r="CM74" i="36"/>
  <c r="CM73" i="36"/>
  <c r="CM228" i="36"/>
  <c r="CM105" i="36"/>
  <c r="CM118" i="36"/>
  <c r="CM100" i="36"/>
  <c r="CM160" i="36"/>
  <c r="CM157" i="36"/>
  <c r="CM151" i="36"/>
  <c r="CM138" i="36"/>
  <c r="CM123" i="36"/>
  <c r="CM99" i="36"/>
  <c r="CM81" i="36"/>
  <c r="CM94" i="36"/>
  <c r="CM146" i="36"/>
  <c r="CM128" i="36"/>
  <c r="CM80" i="36"/>
  <c r="CM136" i="36"/>
  <c r="CM168" i="36"/>
  <c r="CM131" i="36"/>
  <c r="CM182" i="36"/>
  <c r="CM130" i="36"/>
  <c r="CM95" i="36"/>
  <c r="CM76" i="36"/>
  <c r="CM211" i="36"/>
  <c r="CM187" i="36"/>
  <c r="CM163" i="36"/>
  <c r="CM88" i="36"/>
  <c r="CM78" i="36"/>
  <c r="CM77" i="36"/>
  <c r="CM186" i="36"/>
  <c r="CM172" i="36"/>
  <c r="CM135" i="36"/>
  <c r="CM107" i="36"/>
  <c r="AC488" i="36"/>
  <c r="R488" i="36"/>
  <c r="AD480" i="36"/>
  <c r="S480" i="36"/>
  <c r="AC480" i="36"/>
  <c r="AB480" i="36"/>
  <c r="AB508" i="36" s="1"/>
  <c r="Y476" i="36"/>
  <c r="Y504" i="36" s="1"/>
  <c r="AE468" i="36"/>
  <c r="AE496" i="36" s="1"/>
  <c r="AE492" i="36"/>
  <c r="S468" i="36"/>
  <c r="S496" i="36" s="1"/>
  <c r="S492" i="36"/>
  <c r="CM422" i="36"/>
  <c r="Y468" i="36"/>
  <c r="Y497" i="36" s="1"/>
  <c r="Y492" i="36"/>
  <c r="AG488" i="36"/>
  <c r="AG516" i="36" s="1"/>
  <c r="W472" i="36"/>
  <c r="W501" i="36" s="1"/>
  <c r="AB468" i="36"/>
  <c r="AB497" i="36" s="1"/>
  <c r="AB492" i="36"/>
  <c r="T484" i="36"/>
  <c r="R484" i="36"/>
  <c r="AC472" i="36"/>
  <c r="AC500" i="36" s="1"/>
  <c r="Z452" i="36"/>
  <c r="CL432" i="36"/>
  <c r="CL416" i="36"/>
  <c r="CL409" i="36"/>
  <c r="CL404" i="36"/>
  <c r="CL437" i="36"/>
  <c r="CL433" i="36"/>
  <c r="CL426" i="36"/>
  <c r="CL417" i="36"/>
  <c r="CL410" i="36"/>
  <c r="CL405" i="36"/>
  <c r="CL434" i="36"/>
  <c r="CL419" i="36"/>
  <c r="CL418" i="36"/>
  <c r="CL413" i="36"/>
  <c r="CL423" i="36"/>
  <c r="CL408" i="36"/>
  <c r="CL406" i="36"/>
  <c r="CL400" i="36"/>
  <c r="CL380" i="36"/>
  <c r="CL412" i="36"/>
  <c r="CL411" i="36"/>
  <c r="CL396" i="36"/>
  <c r="CL392" i="36"/>
  <c r="CL369" i="36"/>
  <c r="CL360" i="36"/>
  <c r="CL352" i="36"/>
  <c r="CL439" i="36"/>
  <c r="CL394" i="36"/>
  <c r="CL393" i="36"/>
  <c r="CL387" i="36"/>
  <c r="CL384" i="36"/>
  <c r="CL378" i="36"/>
  <c r="CL370" i="36"/>
  <c r="CL363" i="36"/>
  <c r="CL362" i="36"/>
  <c r="CL438" i="36"/>
  <c r="CL435" i="36"/>
  <c r="CL429" i="36"/>
  <c r="CL428" i="36"/>
  <c r="CL440" i="36"/>
  <c r="CL385" i="36"/>
  <c r="CL371" i="36"/>
  <c r="CL364" i="36"/>
  <c r="CL357" i="36"/>
  <c r="CL355" i="36"/>
  <c r="CL348" i="36"/>
  <c r="CL341" i="36"/>
  <c r="CL340" i="36"/>
  <c r="CL403" i="36"/>
  <c r="CL401" i="36"/>
  <c r="CL389" i="36"/>
  <c r="CL386" i="36"/>
  <c r="CL367" i="36"/>
  <c r="CL344" i="36"/>
  <c r="CL336" i="36"/>
  <c r="CL431" i="36"/>
  <c r="CL391" i="36"/>
  <c r="CL366" i="36"/>
  <c r="CL359" i="36"/>
  <c r="CL356" i="36"/>
  <c r="CL346" i="36"/>
  <c r="CL345" i="36"/>
  <c r="CL338" i="36"/>
  <c r="CL332" i="36"/>
  <c r="CL328" i="36"/>
  <c r="CL325" i="36"/>
  <c r="CL320" i="36"/>
  <c r="CL436" i="36"/>
  <c r="CL414" i="36"/>
  <c r="CL407" i="36"/>
  <c r="CL402" i="36"/>
  <c r="CL395" i="36"/>
  <c r="CL383" i="36"/>
  <c r="CL382" i="36"/>
  <c r="CL381" i="36"/>
  <c r="CL399" i="36"/>
  <c r="CL398" i="36"/>
  <c r="CL397" i="36"/>
  <c r="CL430" i="36"/>
  <c r="CL415" i="36"/>
  <c r="CL377" i="36"/>
  <c r="CL361" i="36"/>
  <c r="CL358" i="36"/>
  <c r="CL335" i="36"/>
  <c r="CL321" i="36"/>
  <c r="CL317" i="36"/>
  <c r="CL388" i="36"/>
  <c r="CL376" i="36"/>
  <c r="CL372" i="36"/>
  <c r="CL353" i="36"/>
  <c r="CL350" i="36"/>
  <c r="CL349" i="36"/>
  <c r="CL333" i="36"/>
  <c r="CL331" i="36"/>
  <c r="CL329" i="36"/>
  <c r="CL309" i="36"/>
  <c r="CL287" i="36"/>
  <c r="CL284" i="36"/>
  <c r="CL280" i="36"/>
  <c r="CL272" i="36"/>
  <c r="CL365" i="36"/>
  <c r="CL342" i="36"/>
  <c r="CL326" i="36"/>
  <c r="CL324" i="36"/>
  <c r="CL322" i="36"/>
  <c r="CL318" i="36"/>
  <c r="CL427" i="36"/>
  <c r="CL390" i="36"/>
  <c r="CL375" i="36"/>
  <c r="CL368" i="36"/>
  <c r="CL351" i="36"/>
  <c r="CL425" i="36"/>
  <c r="CL334" i="36"/>
  <c r="CL330" i="36"/>
  <c r="CL306" i="36"/>
  <c r="CL304" i="36"/>
  <c r="CL302" i="36"/>
  <c r="CL298" i="36"/>
  <c r="CL327" i="36"/>
  <c r="CL323" i="36"/>
  <c r="CL319" i="36"/>
  <c r="CL424" i="36"/>
  <c r="CL316" i="36"/>
  <c r="CL374" i="36"/>
  <c r="CL343" i="36"/>
  <c r="CL315" i="36"/>
  <c r="CL339" i="36"/>
  <c r="CL311" i="36"/>
  <c r="CL296" i="36"/>
  <c r="CL276" i="36"/>
  <c r="CL267" i="36"/>
  <c r="CL261" i="36"/>
  <c r="CL257" i="36"/>
  <c r="CL253" i="36"/>
  <c r="CL250" i="36"/>
  <c r="CL244" i="36"/>
  <c r="CL240" i="36"/>
  <c r="CL237" i="36"/>
  <c r="CL234" i="36"/>
  <c r="CL231" i="36"/>
  <c r="CL225" i="36"/>
  <c r="CL314" i="36"/>
  <c r="CL308" i="36"/>
  <c r="CL291" i="36"/>
  <c r="CL268" i="36"/>
  <c r="CL258" i="36"/>
  <c r="CL254" i="36"/>
  <c r="CL251" i="36"/>
  <c r="CL245" i="36"/>
  <c r="CL241" i="36"/>
  <c r="CL232" i="36"/>
  <c r="CL211" i="36"/>
  <c r="CL310" i="36"/>
  <c r="CL305" i="36"/>
  <c r="CL294" i="36"/>
  <c r="CL277" i="36"/>
  <c r="CL373" i="36"/>
  <c r="CL313" i="36"/>
  <c r="CL312" i="36"/>
  <c r="CL301" i="36"/>
  <c r="CL300" i="36"/>
  <c r="CL299" i="36"/>
  <c r="CL297" i="36"/>
  <c r="CL295" i="36"/>
  <c r="CL290" i="36"/>
  <c r="CL285" i="36"/>
  <c r="CL266" i="36"/>
  <c r="CL263" i="36"/>
  <c r="CL260" i="36"/>
  <c r="CL256" i="36"/>
  <c r="CL252" i="36"/>
  <c r="CL248" i="36"/>
  <c r="CL239" i="36"/>
  <c r="CL236" i="36"/>
  <c r="CL347" i="36"/>
  <c r="CL283" i="36"/>
  <c r="CL265" i="36"/>
  <c r="CL243" i="36"/>
  <c r="CL242" i="36"/>
  <c r="CL212" i="36"/>
  <c r="CL206" i="36"/>
  <c r="CL205" i="36"/>
  <c r="CL204" i="36"/>
  <c r="CL203" i="36"/>
  <c r="CL303" i="36"/>
  <c r="CL288" i="36"/>
  <c r="CL259" i="36"/>
  <c r="CL246" i="36"/>
  <c r="CL226" i="36"/>
  <c r="CL221" i="36"/>
  <c r="CL210" i="36"/>
  <c r="CL207" i="36"/>
  <c r="CL202" i="36"/>
  <c r="CL201" i="36"/>
  <c r="CL281" i="36"/>
  <c r="CL279" i="36"/>
  <c r="CL275" i="36"/>
  <c r="CL271" i="36"/>
  <c r="CL264" i="36"/>
  <c r="CL255" i="36"/>
  <c r="CL229" i="36"/>
  <c r="CL222" i="36"/>
  <c r="CL217" i="36"/>
  <c r="CL213" i="36"/>
  <c r="CL200" i="36"/>
  <c r="CL197" i="36"/>
  <c r="CL289" i="36"/>
  <c r="CL286" i="36"/>
  <c r="CL282" i="36"/>
  <c r="CL247" i="36"/>
  <c r="CL218" i="36"/>
  <c r="CL183" i="36"/>
  <c r="CL179" i="36"/>
  <c r="CL379" i="36"/>
  <c r="CL278" i="36"/>
  <c r="CL354" i="36"/>
  <c r="CL307" i="36"/>
  <c r="CL293" i="36"/>
  <c r="CL292" i="36"/>
  <c r="CL233" i="36"/>
  <c r="CL274" i="36"/>
  <c r="CL219" i="36"/>
  <c r="CL193" i="36"/>
  <c r="CL178" i="36"/>
  <c r="CL173" i="36"/>
  <c r="CL168" i="36"/>
  <c r="CL165" i="36"/>
  <c r="CL337" i="36"/>
  <c r="CL270" i="36"/>
  <c r="CL269" i="36"/>
  <c r="CL262" i="36"/>
  <c r="CL228" i="36"/>
  <c r="CL223" i="36"/>
  <c r="CL220" i="36"/>
  <c r="CL215" i="36"/>
  <c r="CL198" i="36"/>
  <c r="CL195" i="36"/>
  <c r="CL192" i="36"/>
  <c r="CL175" i="36"/>
  <c r="CL166" i="36"/>
  <c r="CL174" i="36"/>
  <c r="CL216" i="36"/>
  <c r="CL209" i="36"/>
  <c r="CL180" i="36"/>
  <c r="CL177" i="36"/>
  <c r="CL176" i="36"/>
  <c r="CL238" i="36"/>
  <c r="CL227" i="36"/>
  <c r="CL214" i="36"/>
  <c r="CL181" i="36"/>
  <c r="CL235" i="36"/>
  <c r="CL199" i="36"/>
  <c r="CL191" i="36"/>
  <c r="CL190" i="36"/>
  <c r="CL189" i="36"/>
  <c r="CL188" i="36"/>
  <c r="CL187" i="36"/>
  <c r="CL172" i="36"/>
  <c r="CL171" i="36"/>
  <c r="CL161" i="36"/>
  <c r="CL224" i="36"/>
  <c r="CL163" i="36"/>
  <c r="CL160" i="36"/>
  <c r="CL155" i="36"/>
  <c r="CL151" i="36"/>
  <c r="CL136" i="36"/>
  <c r="CL131" i="36"/>
  <c r="CL125" i="36"/>
  <c r="CL116" i="36"/>
  <c r="CL230" i="36"/>
  <c r="CL208" i="36"/>
  <c r="CL185" i="36"/>
  <c r="CL159" i="36"/>
  <c r="CL154" i="36"/>
  <c r="CL150" i="36"/>
  <c r="CL144" i="36"/>
  <c r="CL141" i="36"/>
  <c r="CL117" i="36"/>
  <c r="CL112" i="36"/>
  <c r="CL111" i="36"/>
  <c r="CL110" i="36"/>
  <c r="CL109" i="36"/>
  <c r="CL108" i="36"/>
  <c r="CL249" i="36"/>
  <c r="CL170" i="36"/>
  <c r="CL169" i="36"/>
  <c r="CL137" i="36"/>
  <c r="CL126" i="36"/>
  <c r="CL122" i="36"/>
  <c r="CL121" i="36"/>
  <c r="CL113" i="36"/>
  <c r="CL182" i="36"/>
  <c r="CL157" i="36"/>
  <c r="CL145" i="36"/>
  <c r="CL138" i="36"/>
  <c r="CL134" i="36"/>
  <c r="CL128" i="36"/>
  <c r="CL123" i="36"/>
  <c r="CL118" i="36"/>
  <c r="CL186" i="36"/>
  <c r="CL129" i="36"/>
  <c r="CL102" i="36"/>
  <c r="CL77" i="36"/>
  <c r="CL76" i="36"/>
  <c r="CL164" i="36"/>
  <c r="CL156" i="36"/>
  <c r="CL152" i="36"/>
  <c r="CL140" i="36"/>
  <c r="CL132" i="36"/>
  <c r="CL119" i="36"/>
  <c r="CL97" i="36"/>
  <c r="CL86" i="36"/>
  <c r="CL72" i="36"/>
  <c r="CL70" i="36"/>
  <c r="CL147" i="36"/>
  <c r="CL143" i="36"/>
  <c r="CL133" i="36"/>
  <c r="CL98" i="36"/>
  <c r="CL92" i="36"/>
  <c r="CL90" i="36"/>
  <c r="CL89" i="36"/>
  <c r="CL87" i="36"/>
  <c r="CL85" i="36"/>
  <c r="CL84" i="36"/>
  <c r="CL71" i="36"/>
  <c r="CL67" i="36"/>
  <c r="CL66" i="36"/>
  <c r="CL184" i="36"/>
  <c r="CL148" i="36"/>
  <c r="CL127" i="36"/>
  <c r="CL100" i="36"/>
  <c r="CL80" i="36"/>
  <c r="CL78" i="36"/>
  <c r="CL196" i="36"/>
  <c r="CL162" i="36"/>
  <c r="CL88" i="36"/>
  <c r="CL167" i="36"/>
  <c r="CL273" i="36"/>
  <c r="CL158" i="36"/>
  <c r="CL139" i="36"/>
  <c r="CL105" i="36"/>
  <c r="CL103" i="36"/>
  <c r="CL101" i="36"/>
  <c r="CL91" i="36"/>
  <c r="CL82" i="36"/>
  <c r="CL73" i="36"/>
  <c r="CL114" i="36"/>
  <c r="CL124" i="36"/>
  <c r="CL99" i="36"/>
  <c r="CL96" i="36"/>
  <c r="CL93" i="36"/>
  <c r="CL83" i="36"/>
  <c r="CL81" i="36"/>
  <c r="CL79" i="36"/>
  <c r="CL74" i="36"/>
  <c r="CL146" i="36"/>
  <c r="CL104" i="36"/>
  <c r="CL75" i="36"/>
  <c r="CL135" i="36"/>
  <c r="CL120" i="36"/>
  <c r="CL115" i="36"/>
  <c r="CL107" i="36"/>
  <c r="CL106" i="36"/>
  <c r="CL94" i="36"/>
  <c r="CL194" i="36"/>
  <c r="CL142" i="36"/>
  <c r="CL68" i="36"/>
  <c r="CL153" i="36"/>
  <c r="CL130" i="36"/>
  <c r="CL95" i="36"/>
  <c r="CL69" i="36"/>
  <c r="CL149" i="36"/>
  <c r="AG484" i="36"/>
  <c r="AG512" i="36" s="1"/>
  <c r="AF476" i="36"/>
  <c r="AF504" i="36" s="1"/>
  <c r="AD472" i="36"/>
  <c r="AD500" i="36" s="1"/>
  <c r="AA472" i="36"/>
  <c r="AA500" i="36" s="1"/>
  <c r="CO421" i="36"/>
  <c r="X452" i="36"/>
  <c r="CJ429" i="36"/>
  <c r="CJ425" i="36"/>
  <c r="CJ415" i="36"/>
  <c r="CJ402" i="36"/>
  <c r="CJ436" i="36"/>
  <c r="CJ431" i="36"/>
  <c r="CJ408" i="36"/>
  <c r="CJ403" i="36"/>
  <c r="CJ437" i="36"/>
  <c r="CJ433" i="36"/>
  <c r="CJ426" i="36"/>
  <c r="CJ417" i="36"/>
  <c r="CJ410" i="36"/>
  <c r="CJ405" i="36"/>
  <c r="CJ434" i="36"/>
  <c r="CJ399" i="36"/>
  <c r="CJ395" i="36"/>
  <c r="CJ390" i="36"/>
  <c r="CJ385" i="36"/>
  <c r="CJ383" i="36"/>
  <c r="CJ376" i="36"/>
  <c r="CJ372" i="36"/>
  <c r="CJ432" i="36"/>
  <c r="CJ424" i="36"/>
  <c r="CJ409" i="36"/>
  <c r="CJ407" i="36"/>
  <c r="CJ391" i="36"/>
  <c r="CJ386" i="36"/>
  <c r="CJ373" i="36"/>
  <c r="CJ367" i="36"/>
  <c r="CJ351" i="36"/>
  <c r="CJ396" i="36"/>
  <c r="CJ392" i="36"/>
  <c r="CJ369" i="36"/>
  <c r="CJ360" i="36"/>
  <c r="CJ440" i="36"/>
  <c r="CJ430" i="36"/>
  <c r="CJ416" i="36"/>
  <c r="CJ414" i="36"/>
  <c r="CJ413" i="36"/>
  <c r="CJ439" i="36"/>
  <c r="CJ438" i="36"/>
  <c r="CJ428" i="36"/>
  <c r="CJ406" i="36"/>
  <c r="CJ397" i="36"/>
  <c r="CJ374" i="36"/>
  <c r="CJ368" i="36"/>
  <c r="CJ365" i="36"/>
  <c r="CJ361" i="36"/>
  <c r="CJ352" i="36"/>
  <c r="CJ418" i="36"/>
  <c r="CJ400" i="36"/>
  <c r="CJ398" i="36"/>
  <c r="CJ384" i="36"/>
  <c r="CJ375" i="36"/>
  <c r="CJ357" i="36"/>
  <c r="CJ354" i="36"/>
  <c r="CJ343" i="36"/>
  <c r="CJ427" i="36"/>
  <c r="CJ389" i="36"/>
  <c r="CJ377" i="36"/>
  <c r="CJ344" i="36"/>
  <c r="CJ336" i="36"/>
  <c r="CJ331" i="36"/>
  <c r="CJ324" i="36"/>
  <c r="CJ388" i="36"/>
  <c r="CJ387" i="36"/>
  <c r="CJ379" i="36"/>
  <c r="CJ378" i="36"/>
  <c r="CJ435" i="36"/>
  <c r="CJ419" i="36"/>
  <c r="CJ412" i="36"/>
  <c r="CJ423" i="36"/>
  <c r="CJ380" i="36"/>
  <c r="CJ366" i="36"/>
  <c r="CJ364" i="36"/>
  <c r="CJ347" i="36"/>
  <c r="CJ346" i="36"/>
  <c r="CJ339" i="36"/>
  <c r="CJ358" i="36"/>
  <c r="CJ348" i="36"/>
  <c r="CJ345" i="36"/>
  <c r="CJ340" i="36"/>
  <c r="CJ327" i="36"/>
  <c r="CJ325" i="36"/>
  <c r="CJ323" i="36"/>
  <c r="CJ319" i="36"/>
  <c r="CJ316" i="36"/>
  <c r="CJ312" i="36"/>
  <c r="CJ275" i="36"/>
  <c r="CJ370" i="36"/>
  <c r="CJ362" i="36"/>
  <c r="CJ359" i="36"/>
  <c r="CJ355" i="36"/>
  <c r="CJ353" i="36"/>
  <c r="CJ350" i="36"/>
  <c r="CJ333" i="36"/>
  <c r="CJ329" i="36"/>
  <c r="CJ309" i="36"/>
  <c r="CJ411" i="36"/>
  <c r="CJ393" i="36"/>
  <c r="CJ401" i="36"/>
  <c r="CJ356" i="36"/>
  <c r="CJ342" i="36"/>
  <c r="CJ326" i="36"/>
  <c r="CJ322" i="36"/>
  <c r="CJ317" i="36"/>
  <c r="CJ301" i="36"/>
  <c r="CJ297" i="36"/>
  <c r="CJ404" i="36"/>
  <c r="CJ371" i="36"/>
  <c r="CJ318" i="36"/>
  <c r="CJ304" i="36"/>
  <c r="CJ394" i="36"/>
  <c r="CJ337" i="36"/>
  <c r="CJ335" i="36"/>
  <c r="CJ328" i="36"/>
  <c r="CJ315" i="36"/>
  <c r="CJ305" i="36"/>
  <c r="CJ299" i="36"/>
  <c r="CJ349" i="36"/>
  <c r="CJ313" i="36"/>
  <c r="CJ334" i="36"/>
  <c r="CJ330" i="36"/>
  <c r="CJ300" i="36"/>
  <c r="CJ295" i="36"/>
  <c r="CJ285" i="36"/>
  <c r="CJ272" i="36"/>
  <c r="CJ266" i="36"/>
  <c r="CJ263" i="36"/>
  <c r="CJ260" i="36"/>
  <c r="CJ256" i="36"/>
  <c r="CJ252" i="36"/>
  <c r="CJ248" i="36"/>
  <c r="CJ239" i="36"/>
  <c r="CJ236" i="36"/>
  <c r="CJ230" i="36"/>
  <c r="CJ224" i="36"/>
  <c r="CJ219" i="36"/>
  <c r="CJ338" i="36"/>
  <c r="CJ311" i="36"/>
  <c r="CJ296" i="36"/>
  <c r="CJ287" i="36"/>
  <c r="CJ280" i="36"/>
  <c r="CJ276" i="36"/>
  <c r="CJ267" i="36"/>
  <c r="CJ261" i="36"/>
  <c r="CJ257" i="36"/>
  <c r="CJ253" i="36"/>
  <c r="CJ250" i="36"/>
  <c r="CJ244" i="36"/>
  <c r="CJ240" i="36"/>
  <c r="CJ237" i="36"/>
  <c r="CJ234" i="36"/>
  <c r="CJ231" i="36"/>
  <c r="CJ225" i="36"/>
  <c r="CJ332" i="36"/>
  <c r="CJ314" i="36"/>
  <c r="CJ308" i="36"/>
  <c r="CJ293" i="36"/>
  <c r="CJ289" i="36"/>
  <c r="CJ286" i="36"/>
  <c r="CJ282" i="36"/>
  <c r="CJ363" i="36"/>
  <c r="CJ320" i="36"/>
  <c r="CJ306" i="36"/>
  <c r="CJ302" i="36"/>
  <c r="CJ298" i="36"/>
  <c r="CJ288" i="36"/>
  <c r="CJ281" i="36"/>
  <c r="CJ279" i="36"/>
  <c r="CJ269" i="36"/>
  <c r="CJ265" i="36"/>
  <c r="CJ259" i="36"/>
  <c r="CJ255" i="36"/>
  <c r="CJ242" i="36"/>
  <c r="CJ382" i="36"/>
  <c r="CJ381" i="36"/>
  <c r="CJ341" i="36"/>
  <c r="CJ277" i="36"/>
  <c r="CJ271" i="36"/>
  <c r="CJ264" i="36"/>
  <c r="CJ227" i="36"/>
  <c r="CJ217" i="36"/>
  <c r="CJ209" i="36"/>
  <c r="CJ196" i="36"/>
  <c r="CJ283" i="36"/>
  <c r="CJ254" i="36"/>
  <c r="CJ243" i="36"/>
  <c r="CJ241" i="36"/>
  <c r="CJ229" i="36"/>
  <c r="CJ222" i="36"/>
  <c r="CJ213" i="36"/>
  <c r="CJ200" i="36"/>
  <c r="CJ197" i="36"/>
  <c r="CJ291" i="36"/>
  <c r="CJ238" i="36"/>
  <c r="CJ233" i="36"/>
  <c r="CJ223" i="36"/>
  <c r="CJ218" i="36"/>
  <c r="CJ214" i="36"/>
  <c r="CJ195" i="36"/>
  <c r="CJ262" i="36"/>
  <c r="CJ258" i="36"/>
  <c r="CJ228" i="36"/>
  <c r="CJ206" i="36"/>
  <c r="CJ202" i="36"/>
  <c r="CJ201" i="36"/>
  <c r="CJ189" i="36"/>
  <c r="CJ186" i="36"/>
  <c r="CJ182" i="36"/>
  <c r="CJ174" i="36"/>
  <c r="CJ170" i="36"/>
  <c r="CJ321" i="36"/>
  <c r="CJ307" i="36"/>
  <c r="CJ268" i="36"/>
  <c r="CJ246" i="36"/>
  <c r="CJ310" i="36"/>
  <c r="CJ303" i="36"/>
  <c r="CJ292" i="36"/>
  <c r="CJ290" i="36"/>
  <c r="CJ235" i="36"/>
  <c r="CJ226" i="36"/>
  <c r="CJ216" i="36"/>
  <c r="CJ210" i="36"/>
  <c r="CJ208" i="36"/>
  <c r="CJ191" i="36"/>
  <c r="CJ187" i="36"/>
  <c r="CJ184" i="36"/>
  <c r="CJ176" i="36"/>
  <c r="CJ172" i="36"/>
  <c r="CJ294" i="36"/>
  <c r="CJ273" i="36"/>
  <c r="CJ270" i="36"/>
  <c r="CJ251" i="36"/>
  <c r="CJ245" i="36"/>
  <c r="CJ220" i="36"/>
  <c r="CJ215" i="36"/>
  <c r="CJ212" i="36"/>
  <c r="CJ205" i="36"/>
  <c r="CJ204" i="36"/>
  <c r="CJ203" i="36"/>
  <c r="CJ199" i="36"/>
  <c r="CJ169" i="36"/>
  <c r="CJ162" i="36"/>
  <c r="CJ161" i="36"/>
  <c r="CJ249" i="36"/>
  <c r="CJ190" i="36"/>
  <c r="CJ173" i="36"/>
  <c r="CJ171" i="36"/>
  <c r="CJ165" i="36"/>
  <c r="CJ192" i="36"/>
  <c r="CJ178" i="36"/>
  <c r="CJ175" i="36"/>
  <c r="CJ177" i="36"/>
  <c r="CJ284" i="36"/>
  <c r="CJ185" i="36"/>
  <c r="CJ183" i="36"/>
  <c r="CJ154" i="36"/>
  <c r="CJ274" i="36"/>
  <c r="CJ221" i="36"/>
  <c r="CJ152" i="36"/>
  <c r="CJ147" i="36"/>
  <c r="CJ143" i="36"/>
  <c r="CJ139" i="36"/>
  <c r="CJ120" i="36"/>
  <c r="CJ247" i="36"/>
  <c r="CJ179" i="36"/>
  <c r="CJ156" i="36"/>
  <c r="CJ151" i="36"/>
  <c r="CJ146" i="36"/>
  <c r="CJ140" i="36"/>
  <c r="CJ135" i="36"/>
  <c r="CJ130" i="36"/>
  <c r="CJ124" i="36"/>
  <c r="CJ107" i="36"/>
  <c r="CJ207" i="36"/>
  <c r="CJ166" i="36"/>
  <c r="CJ163" i="36"/>
  <c r="CJ160" i="36"/>
  <c r="CJ155" i="36"/>
  <c r="CJ136" i="36"/>
  <c r="CJ131" i="36"/>
  <c r="CJ125" i="36"/>
  <c r="CJ116" i="36"/>
  <c r="CJ181" i="36"/>
  <c r="CJ164" i="36"/>
  <c r="CJ158" i="36"/>
  <c r="CJ137" i="36"/>
  <c r="CJ126" i="36"/>
  <c r="CJ122" i="36"/>
  <c r="CJ121" i="36"/>
  <c r="CJ113" i="36"/>
  <c r="CJ168" i="36"/>
  <c r="CJ148" i="36"/>
  <c r="CJ142" i="36"/>
  <c r="CJ112" i="36"/>
  <c r="CJ100" i="36"/>
  <c r="CJ80" i="36"/>
  <c r="CJ78" i="36"/>
  <c r="CJ193" i="36"/>
  <c r="CJ167" i="36"/>
  <c r="CJ159" i="36"/>
  <c r="CJ150" i="36"/>
  <c r="CJ128" i="36"/>
  <c r="CJ118" i="36"/>
  <c r="CJ108" i="36"/>
  <c r="CJ103" i="36"/>
  <c r="CJ101" i="36"/>
  <c r="CJ96" i="36"/>
  <c r="CJ79" i="36"/>
  <c r="CJ75" i="36"/>
  <c r="CJ74" i="36"/>
  <c r="CJ73" i="36"/>
  <c r="CJ145" i="36"/>
  <c r="CJ132" i="36"/>
  <c r="CJ129" i="36"/>
  <c r="CJ102" i="36"/>
  <c r="CJ77" i="36"/>
  <c r="CJ76" i="36"/>
  <c r="CJ232" i="36"/>
  <c r="CJ138" i="36"/>
  <c r="CJ111" i="36"/>
  <c r="CJ105" i="36"/>
  <c r="CJ99" i="36"/>
  <c r="CJ94" i="36"/>
  <c r="CJ81" i="36"/>
  <c r="CJ211" i="36"/>
  <c r="CJ188" i="36"/>
  <c r="CJ153" i="36"/>
  <c r="CJ95" i="36"/>
  <c r="CJ68" i="36"/>
  <c r="CJ91" i="36"/>
  <c r="CJ85" i="36"/>
  <c r="CJ84" i="36"/>
  <c r="CJ82" i="36"/>
  <c r="CJ86" i="36"/>
  <c r="CJ127" i="36"/>
  <c r="CJ104" i="36"/>
  <c r="CJ133" i="36"/>
  <c r="CJ119" i="36"/>
  <c r="CJ109" i="36"/>
  <c r="CJ98" i="36"/>
  <c r="CJ89" i="36"/>
  <c r="CJ88" i="36"/>
  <c r="CJ72" i="36"/>
  <c r="CJ71" i="36"/>
  <c r="CJ69" i="36"/>
  <c r="CJ123" i="36"/>
  <c r="CJ92" i="36"/>
  <c r="CJ93" i="36"/>
  <c r="CJ157" i="36"/>
  <c r="CJ90" i="36"/>
  <c r="CJ278" i="36"/>
  <c r="CJ83" i="36"/>
  <c r="CJ149" i="36"/>
  <c r="CJ198" i="36"/>
  <c r="CJ134" i="36"/>
  <c r="CJ115" i="36"/>
  <c r="CJ114" i="36"/>
  <c r="CJ110" i="36"/>
  <c r="CJ97" i="36"/>
  <c r="CJ87" i="36"/>
  <c r="CJ67" i="36"/>
  <c r="CJ66" i="36"/>
  <c r="CJ194" i="36"/>
  <c r="CJ180" i="36"/>
  <c r="CJ144" i="36"/>
  <c r="CJ141" i="36"/>
  <c r="CJ106" i="36"/>
  <c r="CJ70" i="36"/>
  <c r="CJ117" i="36"/>
  <c r="O26" i="98"/>
  <c r="I26" i="98"/>
  <c r="CR420" i="36"/>
  <c r="X488" i="36"/>
  <c r="X517" i="36" s="1"/>
  <c r="AB488" i="36"/>
  <c r="AB517" i="36" s="1"/>
  <c r="U484" i="36"/>
  <c r="U487" i="36" s="1"/>
  <c r="AC484" i="36"/>
  <c r="AC513" i="36" s="1"/>
  <c r="AA484" i="36"/>
  <c r="AA513" i="36" s="1"/>
  <c r="AE480" i="36"/>
  <c r="AE508" i="36" s="1"/>
  <c r="W480" i="36"/>
  <c r="W509" i="36" s="1"/>
  <c r="V476" i="36"/>
  <c r="V505" i="36" s="1"/>
  <c r="AG476" i="36"/>
  <c r="AG505" i="36" s="1"/>
  <c r="AB472" i="36"/>
  <c r="AB500" i="36" s="1"/>
  <c r="AB476" i="36"/>
  <c r="AB505" i="36" s="1"/>
  <c r="Z472" i="36"/>
  <c r="Z500" i="36" s="1"/>
  <c r="AF468" i="36"/>
  <c r="AF496" i="36" s="1"/>
  <c r="AF492" i="36"/>
  <c r="AC468" i="36"/>
  <c r="AC497" i="36" s="1"/>
  <c r="AC492" i="36"/>
  <c r="CU422" i="36"/>
  <c r="DH422" i="36" s="1"/>
  <c r="BY422" i="36"/>
  <c r="CR422" i="36"/>
  <c r="CO422" i="36"/>
  <c r="CN420" i="36"/>
  <c r="BT43" i="90"/>
  <c r="BZ43" i="90"/>
  <c r="BT58" i="90"/>
  <c r="BI71" i="90"/>
  <c r="BH74" i="90"/>
  <c r="BI74" i="90"/>
  <c r="CA134" i="90"/>
  <c r="BP134" i="90" s="1"/>
  <c r="BV55" i="90"/>
  <c r="BY57" i="90"/>
  <c r="BL69" i="90"/>
  <c r="BK69" i="90"/>
  <c r="BU85" i="90"/>
  <c r="BJ85" i="90" s="1"/>
  <c r="BG93" i="90"/>
  <c r="BH93" i="90"/>
  <c r="BS57" i="90"/>
  <c r="CA57" i="90"/>
  <c r="BY44" i="90"/>
  <c r="BH46" i="90"/>
  <c r="BI61" i="90"/>
  <c r="BG81" i="90"/>
  <c r="BO70" i="90"/>
  <c r="BH73" i="90"/>
  <c r="BH81" i="90"/>
  <c r="S15" i="90"/>
  <c r="BU43" i="90"/>
  <c r="BW48" i="90"/>
  <c r="BM69" i="90"/>
  <c r="BJ46" i="90"/>
  <c r="CA44" i="90"/>
  <c r="BM51" i="90"/>
  <c r="BS44" i="90"/>
  <c r="BT44" i="90"/>
  <c r="BR45" i="90"/>
  <c r="BG45" i="90" s="1"/>
  <c r="BS45" i="90"/>
  <c r="BS58" i="90"/>
  <c r="CA58" i="90"/>
  <c r="BM80" i="90"/>
  <c r="BP99" i="90"/>
  <c r="BJ112" i="90"/>
  <c r="CA141" i="90"/>
  <c r="BP141" i="90" s="1"/>
  <c r="BV48" i="90"/>
  <c r="BL51" i="90"/>
  <c r="BT55" i="90"/>
  <c r="BR57" i="90"/>
  <c r="BG57" i="90" s="1"/>
  <c r="BZ57" i="90"/>
  <c r="BR58" i="90"/>
  <c r="BG58" i="90" s="1"/>
  <c r="BZ58" i="90"/>
  <c r="BM60" i="90"/>
  <c r="BJ69" i="90"/>
  <c r="BH78" i="90"/>
  <c r="BY82" i="90"/>
  <c r="BP82" i="90" s="1"/>
  <c r="BL88" i="90"/>
  <c r="BY93" i="90"/>
  <c r="BI99" i="90"/>
  <c r="BG106" i="90"/>
  <c r="BH106" i="90"/>
  <c r="BI106" i="90"/>
  <c r="BZ106" i="90"/>
  <c r="BO125" i="90"/>
  <c r="CA125" i="90"/>
  <c r="BP125" i="90" s="1"/>
  <c r="BV43" i="90"/>
  <c r="BV86" i="90"/>
  <c r="BK86" i="90" s="1"/>
  <c r="BG98" i="90"/>
  <c r="BH98" i="90"/>
  <c r="BR48" i="90"/>
  <c r="BG48" i="90" s="1"/>
  <c r="BZ48" i="90"/>
  <c r="BY49" i="90"/>
  <c r="BX55" i="90"/>
  <c r="BV57" i="90"/>
  <c r="BI60" i="90"/>
  <c r="BO66" i="90"/>
  <c r="BM70" i="90"/>
  <c r="BK71" i="90"/>
  <c r="BX79" i="90"/>
  <c r="BM79" i="90" s="1"/>
  <c r="BI81" i="90"/>
  <c r="BJ83" i="90"/>
  <c r="BM100" i="90"/>
  <c r="BN113" i="90"/>
  <c r="BO124" i="90"/>
  <c r="BW55" i="90"/>
  <c r="BU58" i="90"/>
  <c r="BL70" i="90"/>
  <c r="BI113" i="90"/>
  <c r="BH138" i="90"/>
  <c r="P15" i="90"/>
  <c r="BW44" i="90"/>
  <c r="BS48" i="90"/>
  <c r="CA48" i="90"/>
  <c r="BI51" i="90"/>
  <c r="BY55" i="90"/>
  <c r="BJ61" i="90"/>
  <c r="BP62" i="90"/>
  <c r="BN63" i="90"/>
  <c r="BG63" i="90"/>
  <c r="BO63" i="90"/>
  <c r="BW71" i="90"/>
  <c r="BO71" i="90" s="1"/>
  <c r="BV74" i="90"/>
  <c r="BK74" i="90" s="1"/>
  <c r="BI98" i="90"/>
  <c r="BG112" i="90"/>
  <c r="BM112" i="90"/>
  <c r="BZ112" i="90"/>
  <c r="BO112" i="90" s="1"/>
  <c r="BG114" i="90"/>
  <c r="BI114" i="90"/>
  <c r="BH114" i="90"/>
  <c r="BZ114" i="90"/>
  <c r="BP114" i="90" s="1"/>
  <c r="CA124" i="90"/>
  <c r="BP124" i="90" s="1"/>
  <c r="BG111" i="90"/>
  <c r="BH111" i="90"/>
  <c r="BZ111" i="90"/>
  <c r="BV46" i="90"/>
  <c r="BK46" i="90" s="1"/>
  <c r="BM63" i="90"/>
  <c r="BT76" i="90"/>
  <c r="BI76" i="90" s="1"/>
  <c r="CA138" i="90"/>
  <c r="BP138" i="90" s="1"/>
  <c r="BY43" i="90"/>
  <c r="BX57" i="90"/>
  <c r="BX58" i="90"/>
  <c r="BK60" i="90"/>
  <c r="BT67" i="90"/>
  <c r="BI67" i="90" s="1"/>
  <c r="BJ88" i="90"/>
  <c r="BY94" i="90"/>
  <c r="BM129" i="90"/>
  <c r="CA139" i="90"/>
  <c r="BP139" i="90" s="1"/>
  <c r="BO141" i="90"/>
  <c r="BU55" i="90"/>
  <c r="BJ70" i="90"/>
  <c r="BK72" i="90"/>
  <c r="BJ77" i="90"/>
  <c r="BK79" i="90"/>
  <c r="BH89" i="90"/>
  <c r="BG119" i="90"/>
  <c r="BL119" i="90"/>
  <c r="BZ119" i="90"/>
  <c r="BP119" i="90" s="1"/>
  <c r="BU73" i="90"/>
  <c r="BJ73" i="90" s="1"/>
  <c r="BV83" i="90"/>
  <c r="BK83" i="90" s="1"/>
  <c r="BI86" i="90"/>
  <c r="BZ116" i="90"/>
  <c r="BJ129" i="90"/>
  <c r="BM139" i="90"/>
  <c r="S14" i="90"/>
  <c r="BS43" i="90"/>
  <c r="BR44" i="90"/>
  <c r="BZ44" i="90"/>
  <c r="BY48" i="90"/>
  <c r="BY51" i="90"/>
  <c r="BN51" i="90" s="1"/>
  <c r="BR55" i="90"/>
  <c r="BG55" i="90" s="1"/>
  <c r="BZ55" i="90"/>
  <c r="BT57" i="90"/>
  <c r="BV58" i="90"/>
  <c r="BP61" i="90"/>
  <c r="BH63" i="90"/>
  <c r="BP63" i="90"/>
  <c r="BH72" i="90"/>
  <c r="BS75" i="90"/>
  <c r="BK78" i="90"/>
  <c r="BV81" i="90"/>
  <c r="BM89" i="90"/>
  <c r="BJ98" i="90"/>
  <c r="BK99" i="90"/>
  <c r="BL100" i="90"/>
  <c r="BG103" i="90"/>
  <c r="BH103" i="90"/>
  <c r="BN120" i="90"/>
  <c r="BG126" i="90"/>
  <c r="BH126" i="90"/>
  <c r="BI126" i="90"/>
  <c r="BH128" i="90"/>
  <c r="CA128" i="90"/>
  <c r="BP128" i="90" s="1"/>
  <c r="BO131" i="90"/>
  <c r="BS55" i="90"/>
  <c r="CA55" i="90"/>
  <c r="BU57" i="90"/>
  <c r="BW58" i="90"/>
  <c r="BN59" i="90"/>
  <c r="BL61" i="90"/>
  <c r="BL78" i="90"/>
  <c r="BY89" i="90"/>
  <c r="BO89" i="90" s="1"/>
  <c r="BU104" i="90"/>
  <c r="BN104" i="90" s="1"/>
  <c r="BK111" i="90"/>
  <c r="BG120" i="90"/>
  <c r="BJ120" i="90"/>
  <c r="BZ120" i="90"/>
  <c r="BM128" i="90"/>
  <c r="CA131" i="90"/>
  <c r="BP131" i="90" s="1"/>
  <c r="CA136" i="90"/>
  <c r="BV77" i="90"/>
  <c r="BP77" i="90" s="1"/>
  <c r="BX78" i="90"/>
  <c r="BP78" i="90" s="1"/>
  <c r="BL79" i="90"/>
  <c r="BI84" i="90"/>
  <c r="BI88" i="90"/>
  <c r="BT91" i="90"/>
  <c r="BI91" i="90" s="1"/>
  <c r="BS95" i="90"/>
  <c r="BH95" i="90" s="1"/>
  <c r="BU102" i="90"/>
  <c r="BK102" i="90" s="1"/>
  <c r="BL106" i="90"/>
  <c r="BK110" i="90"/>
  <c r="BH112" i="90"/>
  <c r="BI117" i="90"/>
  <c r="BG118" i="90"/>
  <c r="BH118" i="90"/>
  <c r="BZ118" i="90"/>
  <c r="BL120" i="90"/>
  <c r="BO121" i="90"/>
  <c r="BN123" i="90"/>
  <c r="BL126" i="90"/>
  <c r="BY84" i="90"/>
  <c r="BL89" i="90"/>
  <c r="BW90" i="90"/>
  <c r="BL90" i="90" s="1"/>
  <c r="BL99" i="90"/>
  <c r="BK113" i="90"/>
  <c r="BI120" i="90"/>
  <c r="CA121" i="90"/>
  <c r="BP121" i="90" s="1"/>
  <c r="BI130" i="90"/>
  <c r="BN133" i="90"/>
  <c r="BM135" i="90"/>
  <c r="BW96" i="90"/>
  <c r="BU101" i="90"/>
  <c r="BN101" i="90" s="1"/>
  <c r="BJ106" i="90"/>
  <c r="BN112" i="90"/>
  <c r="BZ117" i="90"/>
  <c r="BL129" i="90"/>
  <c r="BO134" i="90"/>
  <c r="BZ109" i="90"/>
  <c r="BZ113" i="90"/>
  <c r="BO113" i="90" s="1"/>
  <c r="BI115" i="90"/>
  <c r="BK118" i="90"/>
  <c r="CA122" i="90"/>
  <c r="BK126" i="90"/>
  <c r="BH129" i="90"/>
  <c r="CA129" i="90"/>
  <c r="BK130" i="90"/>
  <c r="BH132" i="90"/>
  <c r="CA132" i="90"/>
  <c r="BP132" i="90" s="1"/>
  <c r="BN134" i="90"/>
  <c r="BH137" i="90"/>
  <c r="CA137" i="90"/>
  <c r="BP137" i="90" s="1"/>
  <c r="BH140" i="90"/>
  <c r="CA140" i="90"/>
  <c r="CA142" i="90"/>
  <c r="BJ99" i="90"/>
  <c r="BZ110" i="90"/>
  <c r="BO110" i="90" s="1"/>
  <c r="BK112" i="90"/>
  <c r="BI119" i="90"/>
  <c r="CA126" i="90"/>
  <c r="BP126" i="90" s="1"/>
  <c r="BJ128" i="90"/>
  <c r="CA130" i="90"/>
  <c r="BP130" i="90" s="1"/>
  <c r="BK131" i="90"/>
  <c r="CA133" i="90"/>
  <c r="BI138" i="90"/>
  <c r="BK139" i="90"/>
  <c r="BK100" i="90"/>
  <c r="BT103" i="90"/>
  <c r="BI103" i="90" s="1"/>
  <c r="BI111" i="90"/>
  <c r="BL112" i="90"/>
  <c r="BZ115" i="90"/>
  <c r="BO115" i="90" s="1"/>
  <c r="BK119" i="90"/>
  <c r="BK120" i="90"/>
  <c r="BM121" i="90"/>
  <c r="CA123" i="90"/>
  <c r="BP123" i="90" s="1"/>
  <c r="CA127" i="90"/>
  <c r="BL128" i="90"/>
  <c r="BN132" i="90"/>
  <c r="CA135" i="90"/>
  <c r="BP135" i="90" s="1"/>
  <c r="BN140" i="90"/>
  <c r="BO59" i="90"/>
  <c r="BN62" i="90"/>
  <c r="BP100" i="90"/>
  <c r="BL105" i="90"/>
  <c r="BH105" i="90"/>
  <c r="BO105" i="90"/>
  <c r="BM109" i="90"/>
  <c r="BK115" i="90"/>
  <c r="BJ115" i="90"/>
  <c r="BN125" i="90"/>
  <c r="BL125" i="90"/>
  <c r="BH125" i="90"/>
  <c r="BK128" i="90"/>
  <c r="BM138" i="90"/>
  <c r="BO138" i="90"/>
  <c r="BL60" i="90"/>
  <c r="BJ60" i="90"/>
  <c r="BN61" i="90"/>
  <c r="BO62" i="90"/>
  <c r="BL66" i="90"/>
  <c r="BN66" i="90"/>
  <c r="BJ71" i="90"/>
  <c r="BG73" i="90"/>
  <c r="BI73" i="90"/>
  <c r="BG75" i="90"/>
  <c r="BI77" i="90"/>
  <c r="BK80" i="90"/>
  <c r="BG80" i="90"/>
  <c r="BN80" i="90"/>
  <c r="BH94" i="90"/>
  <c r="BH101" i="90"/>
  <c r="BI102" i="90"/>
  <c r="BL113" i="90"/>
  <c r="BN114" i="90"/>
  <c r="BH117" i="90"/>
  <c r="BJ119" i="90"/>
  <c r="BM120" i="90"/>
  <c r="BK121" i="90"/>
  <c r="BN121" i="90"/>
  <c r="BL123" i="90"/>
  <c r="BI125" i="90"/>
  <c r="BJ127" i="90"/>
  <c r="BN129" i="90"/>
  <c r="BM131" i="90"/>
  <c r="BG132" i="90"/>
  <c r="BL132" i="90"/>
  <c r="BK132" i="90"/>
  <c r="BI132" i="90"/>
  <c r="BO132" i="90"/>
  <c r="BO137" i="90"/>
  <c r="BJ139" i="90"/>
  <c r="BI139" i="90"/>
  <c r="BK127" i="90"/>
  <c r="BI59" i="90"/>
  <c r="BO60" i="90"/>
  <c r="BI63" i="90"/>
  <c r="BI72" i="90"/>
  <c r="BH104" i="90"/>
  <c r="BN109" i="90"/>
  <c r="BL109" i="90"/>
  <c r="BH109" i="90"/>
  <c r="BL111" i="90"/>
  <c r="BG116" i="90"/>
  <c r="BP118" i="90"/>
  <c r="BH124" i="90"/>
  <c r="BH134" i="90"/>
  <c r="BG134" i="90"/>
  <c r="BM134" i="90"/>
  <c r="BK137" i="90"/>
  <c r="BJ59" i="90"/>
  <c r="BJ62" i="90"/>
  <c r="BN69" i="90"/>
  <c r="BJ72" i="90"/>
  <c r="BH96" i="90"/>
  <c r="BM118" i="90"/>
  <c r="BI124" i="90"/>
  <c r="BM127" i="90"/>
  <c r="BK138" i="90"/>
  <c r="BK59" i="90"/>
  <c r="BL62" i="90"/>
  <c r="BH66" i="90"/>
  <c r="BP66" i="90"/>
  <c r="BO69" i="90"/>
  <c r="BL72" i="90"/>
  <c r="BM99" i="90"/>
  <c r="BM111" i="90"/>
  <c r="BI116" i="90"/>
  <c r="BJ116" i="90"/>
  <c r="BN119" i="90"/>
  <c r="BM125" i="90"/>
  <c r="BO126" i="90"/>
  <c r="BO129" i="90"/>
  <c r="BJ131" i="90"/>
  <c r="BI131" i="90"/>
  <c r="BI134" i="90"/>
  <c r="BJ135" i="90"/>
  <c r="BN137" i="90"/>
  <c r="BG140" i="90"/>
  <c r="BL140" i="90"/>
  <c r="BK140" i="90"/>
  <c r="BI140" i="90"/>
  <c r="BO140" i="90"/>
  <c r="BG104" i="90"/>
  <c r="BG124" i="90"/>
  <c r="BN124" i="90"/>
  <c r="BM124" i="90"/>
  <c r="BM141" i="90"/>
  <c r="BK141" i="90"/>
  <c r="BG141" i="90"/>
  <c r="BN60" i="90"/>
  <c r="BI62" i="90"/>
  <c r="BL127" i="90"/>
  <c r="BJ138" i="90"/>
  <c r="BH141" i="90"/>
  <c r="BK62" i="90"/>
  <c r="BK63" i="90"/>
  <c r="BI89" i="90"/>
  <c r="BN115" i="90"/>
  <c r="BM119" i="90"/>
  <c r="BO130" i="90"/>
  <c r="BM137" i="90"/>
  <c r="BL59" i="90"/>
  <c r="BM59" i="90"/>
  <c r="BG60" i="90"/>
  <c r="BO61" i="90"/>
  <c r="BM62" i="90"/>
  <c r="BL63" i="90"/>
  <c r="BI66" i="90"/>
  <c r="BG66" i="90"/>
  <c r="BP69" i="90"/>
  <c r="BP70" i="90"/>
  <c r="BM72" i="90"/>
  <c r="BJ87" i="90"/>
  <c r="BM88" i="90"/>
  <c r="BK89" i="90"/>
  <c r="BM110" i="90"/>
  <c r="BN111" i="90"/>
  <c r="BO118" i="90"/>
  <c r="BN126" i="90"/>
  <c r="BP129" i="90"/>
  <c r="BM133" i="90"/>
  <c r="BK133" i="90"/>
  <c r="BG133" i="90"/>
  <c r="BO133" i="90"/>
  <c r="BL137" i="90"/>
  <c r="BP140" i="90"/>
  <c r="BJ111" i="90"/>
  <c r="BG96" i="90"/>
  <c r="BN98" i="90"/>
  <c r="BP60" i="90"/>
  <c r="BK61" i="90"/>
  <c r="BJ63" i="90"/>
  <c r="BG79" i="90"/>
  <c r="BI79" i="90"/>
  <c r="BM106" i="90"/>
  <c r="BI109" i="90"/>
  <c r="BM113" i="90"/>
  <c r="BH116" i="90"/>
  <c r="BJ124" i="90"/>
  <c r="BM130" i="90"/>
  <c r="BJ137" i="90"/>
  <c r="BN141" i="90"/>
  <c r="BJ66" i="90"/>
  <c r="BI70" i="90"/>
  <c r="BG83" i="90"/>
  <c r="BI85" i="90"/>
  <c r="BN88" i="90"/>
  <c r="BN118" i="90"/>
  <c r="BK123" i="90"/>
  <c r="BJ123" i="90"/>
  <c r="BL124" i="90"/>
  <c r="BK129" i="90"/>
  <c r="BJ130" i="90"/>
  <c r="BH130" i="90"/>
  <c r="BH133" i="90"/>
  <c r="BP133" i="90"/>
  <c r="BK134" i="90"/>
  <c r="BL135" i="90"/>
  <c r="BO135" i="90"/>
  <c r="BM140" i="90"/>
  <c r="BL141" i="90"/>
  <c r="BG142" i="90"/>
  <c r="BH61" i="90"/>
  <c r="BH76" i="90"/>
  <c r="BL80" i="90"/>
  <c r="BH84" i="90"/>
  <c r="BJ89" i="90"/>
  <c r="BI93" i="90"/>
  <c r="BK98" i="90"/>
  <c r="BI100" i="90"/>
  <c r="BJ100" i="90"/>
  <c r="BI101" i="90"/>
  <c r="BM105" i="90"/>
  <c r="BK106" i="90"/>
  <c r="BL110" i="90"/>
  <c r="BN110" i="90"/>
  <c r="BJ113" i="90"/>
  <c r="BL118" i="90"/>
  <c r="BJ121" i="90"/>
  <c r="BO123" i="90"/>
  <c r="BI128" i="90"/>
  <c r="BI129" i="90"/>
  <c r="BN131" i="90"/>
  <c r="BL134" i="90"/>
  <c r="BI137" i="90"/>
  <c r="BN139" i="90"/>
  <c r="BH79" i="90"/>
  <c r="BH80" i="90"/>
  <c r="BP80" i="90"/>
  <c r="BO98" i="90"/>
  <c r="BN99" i="90"/>
  <c r="BI104" i="90"/>
  <c r="BI105" i="90"/>
  <c r="BJ109" i="90"/>
  <c r="BL114" i="90"/>
  <c r="BJ117" i="90"/>
  <c r="BO119" i="90"/>
  <c r="BJ125" i="90"/>
  <c r="BN127" i="90"/>
  <c r="BL130" i="90"/>
  <c r="BI133" i="90"/>
  <c r="BN135" i="90"/>
  <c r="BL138" i="90"/>
  <c r="BI141" i="90"/>
  <c r="BI78" i="90"/>
  <c r="BI80" i="90"/>
  <c r="BH86" i="90"/>
  <c r="BO88" i="90"/>
  <c r="BO99" i="90"/>
  <c r="BJ105" i="90"/>
  <c r="BK109" i="90"/>
  <c r="BM114" i="90"/>
  <c r="BO120" i="90"/>
  <c r="BK124" i="90"/>
  <c r="BK125" i="90"/>
  <c r="BN128" i="90"/>
  <c r="BJ132" i="90"/>
  <c r="BJ133" i="90"/>
  <c r="BJ140" i="90"/>
  <c r="BJ141" i="90"/>
  <c r="BJ79" i="90"/>
  <c r="BJ80" i="90"/>
  <c r="BP88" i="90"/>
  <c r="BO100" i="90"/>
  <c r="BK105" i="90"/>
  <c r="BM115" i="90"/>
  <c r="BP120" i="90"/>
  <c r="BM123" i="90"/>
  <c r="BP127" i="90"/>
  <c r="BO128" i="90"/>
  <c r="BN130" i="90"/>
  <c r="BL131" i="90"/>
  <c r="BJ134" i="90"/>
  <c r="BN138" i="90"/>
  <c r="BL139" i="90"/>
  <c r="S21" i="90"/>
  <c r="S20" i="90"/>
  <c r="S22" i="90"/>
  <c r="P21" i="90"/>
  <c r="AI40" i="98"/>
  <c r="P22" i="90"/>
  <c r="H26" i="98"/>
  <c r="BH146" i="90"/>
  <c r="BO146" i="90"/>
  <c r="BI146" i="90"/>
  <c r="BM146" i="90"/>
  <c r="BN146" i="90"/>
  <c r="BP146" i="90"/>
  <c r="BJ146" i="90"/>
  <c r="BK146" i="90"/>
  <c r="BL146" i="90"/>
  <c r="AF15" i="98"/>
  <c r="X451" i="36"/>
  <c r="Z451" i="36"/>
  <c r="AG451" i="36"/>
  <c r="N451" i="36"/>
  <c r="S451" i="36"/>
  <c r="W460" i="36"/>
  <c r="T460" i="36"/>
  <c r="S460" i="36"/>
  <c r="AC460" i="36"/>
  <c r="L460" i="36"/>
  <c r="L462" i="36" s="1"/>
  <c r="K460" i="36"/>
  <c r="K462" i="36" s="1"/>
  <c r="U460" i="36"/>
  <c r="U461" i="36" s="1"/>
  <c r="Z460" i="36"/>
  <c r="AB460" i="36"/>
  <c r="AE460" i="36"/>
  <c r="V460" i="36"/>
  <c r="V461" i="36" s="1"/>
  <c r="AG460" i="36"/>
  <c r="AD460" i="36"/>
  <c r="P460" i="36"/>
  <c r="P461" i="36" s="1"/>
  <c r="M460" i="36"/>
  <c r="M461" i="36" s="1"/>
  <c r="N460" i="36"/>
  <c r="O460" i="36"/>
  <c r="Y460" i="36"/>
  <c r="X460" i="36"/>
  <c r="AA460" i="36"/>
  <c r="Q460" i="36"/>
  <c r="Q462" i="36" s="1"/>
  <c r="AF460" i="36"/>
  <c r="AF451" i="36"/>
  <c r="Q451" i="36"/>
  <c r="P451" i="36"/>
  <c r="L451" i="36"/>
  <c r="T451" i="36"/>
  <c r="AC451" i="36"/>
  <c r="AB451" i="36"/>
  <c r="M451" i="36"/>
  <c r="AE451" i="36"/>
  <c r="U451" i="36"/>
  <c r="Y451" i="36"/>
  <c r="W451" i="36"/>
  <c r="AD451" i="36"/>
  <c r="O451" i="36"/>
  <c r="V451" i="36"/>
  <c r="AA451" i="36"/>
  <c r="K451" i="36"/>
  <c r="AF14" i="36"/>
  <c r="AF17" i="36" s="1"/>
  <c r="AF22" i="36" s="1"/>
  <c r="AF452" i="36"/>
  <c r="AG14" i="36"/>
  <c r="AG17" i="36" s="1"/>
  <c r="AG22" i="36" s="1"/>
  <c r="AG452" i="36"/>
  <c r="AD14" i="36"/>
  <c r="AD17" i="36" s="1"/>
  <c r="AD452" i="36"/>
  <c r="AC14" i="36"/>
  <c r="AC17" i="36" s="1"/>
  <c r="AC452" i="36"/>
  <c r="AE14" i="36"/>
  <c r="AE17" i="36" s="1"/>
  <c r="AE452" i="36"/>
  <c r="BT65" i="90"/>
  <c r="AC42" i="41"/>
  <c r="AC76" i="41" s="1"/>
  <c r="AC28" i="45"/>
  <c r="AF42" i="41"/>
  <c r="AF76" i="41" s="1"/>
  <c r="AF28" i="45"/>
  <c r="AG42" i="41"/>
  <c r="AG76" i="41" s="1"/>
  <c r="AG28" i="45"/>
  <c r="AE28" i="45"/>
  <c r="AE42" i="41"/>
  <c r="AE76" i="41" s="1"/>
  <c r="AD28" i="45"/>
  <c r="AD42" i="41"/>
  <c r="AD76" i="41" s="1"/>
  <c r="D13" i="90"/>
  <c r="AF14" i="98" s="1"/>
  <c r="M11" i="90"/>
  <c r="AO12" i="98" s="1"/>
  <c r="J12" i="90"/>
  <c r="AL13" i="98" s="1"/>
  <c r="I12" i="90"/>
  <c r="AK13" i="98" s="1"/>
  <c r="H13" i="90"/>
  <c r="AJ14" i="98" s="1"/>
  <c r="F11" i="90"/>
  <c r="AH12" i="98" s="1"/>
  <c r="J13" i="90"/>
  <c r="AL14" i="98" s="1"/>
  <c r="G11" i="90"/>
  <c r="AI12" i="98" s="1"/>
  <c r="D12" i="90"/>
  <c r="I13" i="90"/>
  <c r="AK14" i="98" s="1"/>
  <c r="BT50" i="90"/>
  <c r="BL50" i="90" s="1"/>
  <c r="L11" i="90"/>
  <c r="AN12" i="98" s="1"/>
  <c r="BW57" i="90"/>
  <c r="CA43" i="90"/>
  <c r="BX44" i="90"/>
  <c r="BS47" i="90"/>
  <c r="E13" i="90"/>
  <c r="AG14" i="98" s="1"/>
  <c r="M13" i="90"/>
  <c r="AO14" i="98" s="1"/>
  <c r="E11" i="90"/>
  <c r="F13" i="90"/>
  <c r="AH14" i="98" s="1"/>
  <c r="L13" i="90"/>
  <c r="AN14" i="98" s="1"/>
  <c r="I23" i="90"/>
  <c r="H23" i="90"/>
  <c r="D23" i="90"/>
  <c r="E23" i="90"/>
  <c r="G23" i="90"/>
  <c r="L23" i="90"/>
  <c r="J23" i="90"/>
  <c r="M23" i="90"/>
  <c r="F23" i="90"/>
  <c r="F12" i="90"/>
  <c r="AH13" i="98" s="1"/>
  <c r="K12" i="90"/>
  <c r="AM13" i="98" s="1"/>
  <c r="BD42" i="90"/>
  <c r="H11" i="90"/>
  <c r="AJ12" i="98" s="1"/>
  <c r="L12" i="90"/>
  <c r="AN13" i="98" s="1"/>
  <c r="K23" i="90"/>
  <c r="AZ42" i="90"/>
  <c r="BX48" i="90"/>
  <c r="BS49" i="90"/>
  <c r="BJ49" i="90" s="1"/>
  <c r="E12" i="90"/>
  <c r="AG13" i="98" s="1"/>
  <c r="CA49" i="90"/>
  <c r="M12" i="90"/>
  <c r="AO13" i="98" s="1"/>
  <c r="J11" i="90"/>
  <c r="AL12" i="98" s="1"/>
  <c r="BX43" i="90"/>
  <c r="AV42" i="90"/>
  <c r="BZ47" i="90"/>
  <c r="AX42" i="90"/>
  <c r="G13" i="90"/>
  <c r="AI14" i="98" s="1"/>
  <c r="BU48" i="90"/>
  <c r="K11" i="90"/>
  <c r="AM12" i="98" s="1"/>
  <c r="BY50" i="90"/>
  <c r="BB42" i="90"/>
  <c r="AW42" i="90"/>
  <c r="BE42" i="90"/>
  <c r="BU44" i="90"/>
  <c r="AY42" i="90"/>
  <c r="G12" i="90"/>
  <c r="AI13" i="98" s="1"/>
  <c r="BY58" i="90"/>
  <c r="K13" i="90"/>
  <c r="AM14" i="98" s="1"/>
  <c r="BA42" i="90"/>
  <c r="BW43" i="90"/>
  <c r="I11" i="90"/>
  <c r="BX46" i="90"/>
  <c r="BC42" i="90"/>
  <c r="H12" i="90"/>
  <c r="AJ13" i="98" s="1"/>
  <c r="BV44" i="90"/>
  <c r="BT45" i="90"/>
  <c r="BT48" i="90"/>
  <c r="C16" i="5"/>
  <c r="AG110" i="86"/>
  <c r="T126" i="98" s="1"/>
  <c r="AF110" i="86"/>
  <c r="V52" i="86"/>
  <c r="K33" i="12"/>
  <c r="L33" i="12"/>
  <c r="M33" i="12"/>
  <c r="N33" i="12"/>
  <c r="P33" i="12"/>
  <c r="Q33" i="12"/>
  <c r="R33" i="12"/>
  <c r="S33" i="12"/>
  <c r="T33" i="12"/>
  <c r="U33" i="12"/>
  <c r="V33" i="12"/>
  <c r="W33" i="12"/>
  <c r="J153" i="98" s="1"/>
  <c r="J129" i="98" s="1"/>
  <c r="Y33" i="12"/>
  <c r="Z33" i="12"/>
  <c r="AA33" i="12"/>
  <c r="AB33" i="12"/>
  <c r="AC33" i="12"/>
  <c r="AD33" i="12"/>
  <c r="AE33" i="12"/>
  <c r="AF33" i="12"/>
  <c r="AG33" i="12"/>
  <c r="X33" i="12"/>
  <c r="K29" i="12"/>
  <c r="L29" i="12"/>
  <c r="M29" i="12"/>
  <c r="N29" i="12"/>
  <c r="O29" i="12"/>
  <c r="P29" i="12"/>
  <c r="Q29" i="12"/>
  <c r="R29" i="12"/>
  <c r="S29" i="12"/>
  <c r="T29" i="12"/>
  <c r="U29" i="12"/>
  <c r="V29" i="12"/>
  <c r="W29" i="12"/>
  <c r="Y29" i="12"/>
  <c r="Z29" i="12"/>
  <c r="AA29" i="12"/>
  <c r="AB29" i="12"/>
  <c r="AC29" i="12"/>
  <c r="AD29" i="12"/>
  <c r="AE29" i="12"/>
  <c r="AF29" i="12"/>
  <c r="AG29" i="12"/>
  <c r="X29" i="12"/>
  <c r="K28" i="12"/>
  <c r="L28" i="12"/>
  <c r="M28" i="12"/>
  <c r="N28" i="12"/>
  <c r="P28" i="12"/>
  <c r="Q28" i="12"/>
  <c r="R28" i="12"/>
  <c r="S28" i="12"/>
  <c r="T28" i="12"/>
  <c r="U28" i="12"/>
  <c r="V28" i="12"/>
  <c r="W28" i="12"/>
  <c r="Y28" i="12"/>
  <c r="Z28" i="12"/>
  <c r="AA28" i="12"/>
  <c r="AB28" i="12"/>
  <c r="AC28" i="12"/>
  <c r="AD28" i="12"/>
  <c r="AE28" i="12"/>
  <c r="AF28" i="12"/>
  <c r="AG28" i="12"/>
  <c r="X28" i="12"/>
  <c r="K27" i="12"/>
  <c r="L27" i="12"/>
  <c r="M27" i="12"/>
  <c r="N27" i="12"/>
  <c r="O27" i="12"/>
  <c r="P27" i="12"/>
  <c r="Q27" i="12"/>
  <c r="R27" i="12"/>
  <c r="S27" i="12"/>
  <c r="T27" i="12"/>
  <c r="U27" i="12"/>
  <c r="V27" i="12"/>
  <c r="W27" i="12"/>
  <c r="Y27" i="12"/>
  <c r="Y40" i="93" s="1"/>
  <c r="Z27" i="12"/>
  <c r="Z40" i="93" s="1"/>
  <c r="AA27" i="12"/>
  <c r="AA40" i="93" s="1"/>
  <c r="AB27" i="12"/>
  <c r="AB40" i="93" s="1"/>
  <c r="AC27" i="12"/>
  <c r="AC40" i="93" s="1"/>
  <c r="AD27" i="12"/>
  <c r="AD40" i="93" s="1"/>
  <c r="AE27" i="12"/>
  <c r="AE40" i="93" s="1"/>
  <c r="AF27" i="12"/>
  <c r="AF40" i="93" s="1"/>
  <c r="AG27" i="12"/>
  <c r="AG40" i="93" s="1"/>
  <c r="X27" i="12"/>
  <c r="X40" i="93" s="1"/>
  <c r="K26" i="12"/>
  <c r="L26" i="12"/>
  <c r="M26" i="12"/>
  <c r="N26" i="12"/>
  <c r="O26" i="12"/>
  <c r="P26" i="12"/>
  <c r="Q26" i="12"/>
  <c r="R26" i="12"/>
  <c r="S26" i="12"/>
  <c r="T26" i="12"/>
  <c r="U26" i="12"/>
  <c r="V26" i="12"/>
  <c r="W26" i="12"/>
  <c r="Y26" i="12"/>
  <c r="Z26" i="12"/>
  <c r="AA26" i="12"/>
  <c r="AB26" i="12"/>
  <c r="AC26" i="12"/>
  <c r="AD26" i="12"/>
  <c r="AE26" i="12"/>
  <c r="AF26" i="12"/>
  <c r="AG26" i="12"/>
  <c r="X26" i="12"/>
  <c r="K25" i="12"/>
  <c r="L25" i="12"/>
  <c r="M25" i="12"/>
  <c r="N25" i="12"/>
  <c r="O25" i="12"/>
  <c r="P25" i="12"/>
  <c r="Q25" i="12"/>
  <c r="R25" i="12"/>
  <c r="S25" i="12"/>
  <c r="T25" i="12"/>
  <c r="U25" i="12"/>
  <c r="V25" i="12"/>
  <c r="W25" i="12"/>
  <c r="Y25" i="12"/>
  <c r="Z25" i="12"/>
  <c r="AA25" i="12"/>
  <c r="AB25" i="12"/>
  <c r="AC25" i="12"/>
  <c r="AD25" i="12"/>
  <c r="AE25" i="12"/>
  <c r="AF25" i="12"/>
  <c r="AG25" i="12"/>
  <c r="X25" i="12"/>
  <c r="K24" i="12"/>
  <c r="L24" i="12"/>
  <c r="M24" i="12"/>
  <c r="N24" i="12"/>
  <c r="P24" i="12"/>
  <c r="Q24" i="12"/>
  <c r="R24" i="12"/>
  <c r="S24" i="12"/>
  <c r="T24" i="12"/>
  <c r="U24" i="12"/>
  <c r="V24" i="12"/>
  <c r="W24" i="12"/>
  <c r="X24" i="12"/>
  <c r="Y24" i="12"/>
  <c r="Z24" i="12"/>
  <c r="AA24" i="12"/>
  <c r="AB24" i="12"/>
  <c r="AC24" i="12"/>
  <c r="AD24" i="12"/>
  <c r="AE24" i="12"/>
  <c r="AF24" i="12"/>
  <c r="AG24" i="12"/>
  <c r="BN75" i="90" l="1"/>
  <c r="BM84" i="90"/>
  <c r="BP111" i="90"/>
  <c r="BP94" i="90"/>
  <c r="BN87" i="90"/>
  <c r="BI92" i="90"/>
  <c r="BM94" i="90"/>
  <c r="BK94" i="90"/>
  <c r="BJ93" i="90"/>
  <c r="BM87" i="90"/>
  <c r="BL93" i="90"/>
  <c r="BL94" i="90"/>
  <c r="BP85" i="90"/>
  <c r="BM98" i="90"/>
  <c r="BL84" i="90"/>
  <c r="BJ84" i="90"/>
  <c r="BL82" i="90"/>
  <c r="BK84" i="90"/>
  <c r="BJ92" i="90"/>
  <c r="BM82" i="90"/>
  <c r="BP67" i="90"/>
  <c r="BL67" i="90"/>
  <c r="BM116" i="90"/>
  <c r="BL92" i="90"/>
  <c r="BP101" i="90"/>
  <c r="BK87" i="90"/>
  <c r="BP87" i="90"/>
  <c r="BK93" i="90"/>
  <c r="BO67" i="90"/>
  <c r="BN84" i="90"/>
  <c r="BN93" i="90"/>
  <c r="BO87" i="90"/>
  <c r="BP98" i="90"/>
  <c r="BK117" i="90"/>
  <c r="BM117" i="90"/>
  <c r="BL117" i="90"/>
  <c r="BL74" i="90"/>
  <c r="BO117" i="90"/>
  <c r="BI83" i="90"/>
  <c r="BO75" i="90"/>
  <c r="BI96" i="90"/>
  <c r="BJ96" i="90"/>
  <c r="BL96" i="90"/>
  <c r="BH65" i="90"/>
  <c r="BO114" i="90"/>
  <c r="BN67" i="90"/>
  <c r="BK67" i="90"/>
  <c r="BN86" i="90"/>
  <c r="BL116" i="90"/>
  <c r="BO116" i="90"/>
  <c r="BK65" i="90"/>
  <c r="BM101" i="90"/>
  <c r="BM74" i="90"/>
  <c r="BL86" i="90"/>
  <c r="BN116" i="90"/>
  <c r="BJ97" i="90"/>
  <c r="BN103" i="90"/>
  <c r="BL97" i="90"/>
  <c r="BM75" i="90"/>
  <c r="BJ103" i="90"/>
  <c r="BH97" i="90"/>
  <c r="BP109" i="90"/>
  <c r="BK75" i="90"/>
  <c r="BN97" i="90"/>
  <c r="BO90" i="90"/>
  <c r="BO103" i="90"/>
  <c r="BP92" i="90"/>
  <c r="BN94" i="90"/>
  <c r="BP97" i="90"/>
  <c r="BN90" i="90"/>
  <c r="BO97" i="90"/>
  <c r="BK97" i="90"/>
  <c r="BP103" i="90"/>
  <c r="BI97" i="90"/>
  <c r="BN81" i="90"/>
  <c r="BP106" i="90"/>
  <c r="BJ95" i="90"/>
  <c r="BO109" i="90"/>
  <c r="BN96" i="90"/>
  <c r="BM83" i="90"/>
  <c r="BN74" i="90"/>
  <c r="BO86" i="90"/>
  <c r="BP96" i="90"/>
  <c r="BO96" i="90"/>
  <c r="BM96" i="90"/>
  <c r="BP93" i="90"/>
  <c r="BO92" i="90"/>
  <c r="BO95" i="90"/>
  <c r="BO74" i="90"/>
  <c r="BN95" i="90"/>
  <c r="BP115" i="90"/>
  <c r="BM90" i="90"/>
  <c r="BP90" i="90"/>
  <c r="AL33" i="98"/>
  <c r="BN46" i="90"/>
  <c r="AO33" i="98"/>
  <c r="AM33" i="98"/>
  <c r="R499" i="36"/>
  <c r="W455" i="36"/>
  <c r="T39" i="108" s="1"/>
  <c r="T455" i="36"/>
  <c r="Q39" i="108" s="1"/>
  <c r="AG40" i="98"/>
  <c r="AO25" i="98"/>
  <c r="BO322" i="57"/>
  <c r="BO80" i="57"/>
  <c r="BN80" i="57"/>
  <c r="DN80" i="57"/>
  <c r="DB80" i="57"/>
  <c r="S83" i="57"/>
  <c r="BC83" i="57" s="1"/>
  <c r="BC80" i="57"/>
  <c r="CX83" i="57"/>
  <c r="BG321" i="57"/>
  <c r="BG77" i="57"/>
  <c r="BF77" i="57"/>
  <c r="CY83" i="57"/>
  <c r="BK83" i="57"/>
  <c r="Y83" i="57"/>
  <c r="BJ80" i="57"/>
  <c r="CW80" i="57"/>
  <c r="BI80" i="57"/>
  <c r="DC83" i="57"/>
  <c r="BQ80" i="57"/>
  <c r="DQ80" i="57"/>
  <c r="DE80" i="57"/>
  <c r="AF83" i="57"/>
  <c r="BP80" i="57"/>
  <c r="DP80" i="57"/>
  <c r="DD80" i="57"/>
  <c r="P83" i="57"/>
  <c r="AZ80" i="57"/>
  <c r="AC83" i="57"/>
  <c r="BM80" i="57"/>
  <c r="DM80" i="57"/>
  <c r="DA80" i="57"/>
  <c r="Q83" i="57"/>
  <c r="BB83" i="57" s="1"/>
  <c r="BB80" i="57"/>
  <c r="BA80" i="57"/>
  <c r="R86" i="57"/>
  <c r="CX322" i="57"/>
  <c r="DC80" i="57"/>
  <c r="CX80" i="57"/>
  <c r="CY80" i="57"/>
  <c r="U83" i="57"/>
  <c r="BE80" i="57"/>
  <c r="AB83" i="57"/>
  <c r="BL80" i="57"/>
  <c r="DL80" i="57"/>
  <c r="CZ80" i="57"/>
  <c r="DK322" i="57"/>
  <c r="BH80" i="57"/>
  <c r="DO80" i="57"/>
  <c r="DJ80" i="57"/>
  <c r="DK80" i="57"/>
  <c r="BB322" i="57"/>
  <c r="AD83" i="57"/>
  <c r="BD322" i="57"/>
  <c r="W86" i="57"/>
  <c r="AY80" i="57"/>
  <c r="I86" i="57"/>
  <c r="AY322" i="57"/>
  <c r="AY89" i="57"/>
  <c r="I95" i="57"/>
  <c r="AY325" i="57"/>
  <c r="N89" i="57"/>
  <c r="BC322" i="57"/>
  <c r="S86" i="57"/>
  <c r="BH322" i="57"/>
  <c r="CV74" i="57"/>
  <c r="DI74" i="57" s="1"/>
  <c r="BZ74" i="57"/>
  <c r="BZ83" i="57"/>
  <c r="CV83" i="57"/>
  <c r="DI83" i="57" s="1"/>
  <c r="Z89" i="57"/>
  <c r="N86" i="57"/>
  <c r="T83" i="57"/>
  <c r="Z86" i="57"/>
  <c r="BP322" i="57"/>
  <c r="DP322" i="57"/>
  <c r="DD322" i="57"/>
  <c r="AF86" i="57"/>
  <c r="CW322" i="57"/>
  <c r="BI322" i="57"/>
  <c r="Y86" i="57"/>
  <c r="BF321" i="57"/>
  <c r="L86" i="57"/>
  <c r="M86" i="57"/>
  <c r="AX80" i="57"/>
  <c r="F86" i="57"/>
  <c r="AX322" i="57"/>
  <c r="BJ322" i="57"/>
  <c r="BE322" i="57"/>
  <c r="U86" i="57"/>
  <c r="AX89" i="57"/>
  <c r="F95" i="57"/>
  <c r="AX325" i="57"/>
  <c r="CU74" i="57"/>
  <c r="DH74" i="57" s="1"/>
  <c r="BY74" i="57"/>
  <c r="DJ322" i="57"/>
  <c r="AE86" i="57"/>
  <c r="V80" i="57"/>
  <c r="BN322" i="57"/>
  <c r="DN322" i="57"/>
  <c r="DB322" i="57"/>
  <c r="BY83" i="57"/>
  <c r="CU83" i="57"/>
  <c r="DH83" i="57" s="1"/>
  <c r="BA322" i="57"/>
  <c r="Q86" i="57"/>
  <c r="BA86" i="57" s="1"/>
  <c r="AZ322" i="57"/>
  <c r="P86" i="57"/>
  <c r="BQ322" i="57"/>
  <c r="DQ322" i="57"/>
  <c r="DE322" i="57"/>
  <c r="AG86" i="57"/>
  <c r="O83" i="57"/>
  <c r="DC322" i="57"/>
  <c r="AG83" i="57"/>
  <c r="AA86" i="57"/>
  <c r="BL322" i="57"/>
  <c r="DL322" i="57"/>
  <c r="CZ322" i="57"/>
  <c r="AB86" i="57"/>
  <c r="R89" i="57"/>
  <c r="BM322" i="57"/>
  <c r="DA322" i="57"/>
  <c r="DM322" i="57"/>
  <c r="AC86" i="57"/>
  <c r="K89" i="57"/>
  <c r="K92" i="57" s="1"/>
  <c r="X83" i="57"/>
  <c r="DO322" i="57"/>
  <c r="CY322" i="57"/>
  <c r="AF455" i="36"/>
  <c r="AC39" i="108" s="1"/>
  <c r="U455" i="36"/>
  <c r="R39" i="108" s="1"/>
  <c r="AK25" i="98"/>
  <c r="AM25" i="98"/>
  <c r="AG12" i="98"/>
  <c r="AG17" i="98" s="1"/>
  <c r="P11" i="90"/>
  <c r="AK12" i="98"/>
  <c r="AK17" i="98" s="1"/>
  <c r="S11" i="90"/>
  <c r="AF13" i="98"/>
  <c r="AF17" i="98" s="1"/>
  <c r="D16" i="90"/>
  <c r="D26" i="90" s="1"/>
  <c r="P12" i="90"/>
  <c r="BG44" i="90"/>
  <c r="BG42" i="90" s="1"/>
  <c r="D33" i="90" s="1"/>
  <c r="BR42" i="90"/>
  <c r="AF25" i="98"/>
  <c r="I153" i="98"/>
  <c r="I129" i="98" s="1"/>
  <c r="O30" i="12"/>
  <c r="O455" i="36"/>
  <c r="L39" i="108" s="1"/>
  <c r="O461" i="36"/>
  <c r="S483" i="36"/>
  <c r="S507" i="36"/>
  <c r="S512" i="36"/>
  <c r="S511" i="36"/>
  <c r="S517" i="36"/>
  <c r="S515" i="36"/>
  <c r="R517" i="36"/>
  <c r="R515" i="36"/>
  <c r="R504" i="36"/>
  <c r="R503" i="36"/>
  <c r="R513" i="36"/>
  <c r="R511" i="36"/>
  <c r="R497" i="36"/>
  <c r="R495" i="36"/>
  <c r="R471" i="36"/>
  <c r="R496" i="36"/>
  <c r="CA54" i="36"/>
  <c r="BG59" i="36"/>
  <c r="H24" i="90"/>
  <c r="BP89" i="90"/>
  <c r="BJ101" i="90"/>
  <c r="BO136" i="90"/>
  <c r="BI136" i="90"/>
  <c r="BL136" i="90"/>
  <c r="AN25" i="98"/>
  <c r="M24" i="90"/>
  <c r="BM136" i="90"/>
  <c r="BJ136" i="90"/>
  <c r="BO72" i="90"/>
  <c r="BP72" i="90"/>
  <c r="AG25" i="98"/>
  <c r="AH25" i="98"/>
  <c r="BK136" i="90"/>
  <c r="AI25" i="98"/>
  <c r="BN136" i="90"/>
  <c r="BP136" i="90"/>
  <c r="BO122" i="90"/>
  <c r="AJ25" i="98"/>
  <c r="BL142" i="90"/>
  <c r="BP95" i="90"/>
  <c r="BL122" i="90"/>
  <c r="BN89" i="90"/>
  <c r="BP142" i="90"/>
  <c r="BO142" i="90"/>
  <c r="BM142" i="90"/>
  <c r="BP117" i="90"/>
  <c r="BH122" i="90"/>
  <c r="BM122" i="90"/>
  <c r="BN142" i="90"/>
  <c r="BK142" i="90"/>
  <c r="BH142" i="90"/>
  <c r="BJ122" i="90"/>
  <c r="BI122" i="90"/>
  <c r="BK122" i="90"/>
  <c r="BP122" i="90"/>
  <c r="BH45" i="90"/>
  <c r="BM73" i="90"/>
  <c r="BL73" i="90"/>
  <c r="E30" i="90"/>
  <c r="BL104" i="90"/>
  <c r="BM76" i="90"/>
  <c r="BP73" i="90"/>
  <c r="H30" i="90"/>
  <c r="BK73" i="90"/>
  <c r="AL25" i="98"/>
  <c r="F30" i="90"/>
  <c r="BN82" i="90"/>
  <c r="BJ76" i="90"/>
  <c r="BI127" i="90"/>
  <c r="M30" i="90"/>
  <c r="BL76" i="90"/>
  <c r="BN79" i="90"/>
  <c r="BL101" i="90"/>
  <c r="G30" i="90"/>
  <c r="K30" i="90"/>
  <c r="J30" i="90"/>
  <c r="BK104" i="90"/>
  <c r="BJ104" i="90"/>
  <c r="BO73" i="90"/>
  <c r="BO82" i="90"/>
  <c r="L30" i="90"/>
  <c r="BP104" i="90"/>
  <c r="BM104" i="90"/>
  <c r="AE455" i="36"/>
  <c r="AB39" i="108" s="1"/>
  <c r="CA56" i="36"/>
  <c r="CA60" i="36" s="1"/>
  <c r="CA55" i="36"/>
  <c r="CC55" i="36"/>
  <c r="CB56" i="36"/>
  <c r="CB60" i="36" s="1"/>
  <c r="CC56" i="36"/>
  <c r="CC60" i="36" s="1"/>
  <c r="CC54" i="36"/>
  <c r="AD455" i="36"/>
  <c r="AA39" i="108" s="1"/>
  <c r="CB54" i="36"/>
  <c r="R455" i="36"/>
  <c r="O39" i="108" s="1"/>
  <c r="CB55" i="36"/>
  <c r="AG455" i="36"/>
  <c r="AD39" i="108" s="1"/>
  <c r="AB455" i="36"/>
  <c r="Y39" i="108" s="1"/>
  <c r="AC455" i="36"/>
  <c r="Z39" i="108" s="1"/>
  <c r="Q455" i="36"/>
  <c r="N39" i="108" s="1"/>
  <c r="AA455" i="36"/>
  <c r="X39" i="108" s="1"/>
  <c r="Z455" i="36"/>
  <c r="W39" i="108" s="1"/>
  <c r="V455" i="36"/>
  <c r="S39" i="108" s="1"/>
  <c r="X455" i="36"/>
  <c r="U39" i="108" s="1"/>
  <c r="Y455" i="36"/>
  <c r="V39" i="108" s="1"/>
  <c r="P455" i="36"/>
  <c r="M39" i="108" s="1"/>
  <c r="S455" i="36"/>
  <c r="P39" i="108" s="1"/>
  <c r="R453" i="36"/>
  <c r="S126" i="98"/>
  <c r="AG111" i="86"/>
  <c r="T161" i="98"/>
  <c r="P462" i="36"/>
  <c r="Q461" i="36"/>
  <c r="AO17" i="98"/>
  <c r="AN17" i="98"/>
  <c r="AL17" i="98"/>
  <c r="AM17" i="98"/>
  <c r="BN91" i="90"/>
  <c r="BP84" i="90"/>
  <c r="BP113" i="90"/>
  <c r="BL91" i="90"/>
  <c r="BM48" i="90"/>
  <c r="BP112" i="90"/>
  <c r="BK85" i="90"/>
  <c r="BM95" i="90"/>
  <c r="BH48" i="90"/>
  <c r="BL85" i="90"/>
  <c r="BO111" i="90"/>
  <c r="BO84" i="90"/>
  <c r="BJ43" i="90"/>
  <c r="BP86" i="90"/>
  <c r="BN73" i="90"/>
  <c r="BM86" i="90"/>
  <c r="BN47" i="90"/>
  <c r="BI57" i="90"/>
  <c r="BK55" i="90"/>
  <c r="BK77" i="90"/>
  <c r="BK103" i="90"/>
  <c r="BK95" i="90"/>
  <c r="BO104" i="90"/>
  <c r="BL143" i="90"/>
  <c r="BJ143" i="90"/>
  <c r="BM143" i="90"/>
  <c r="BK92" i="90"/>
  <c r="BJ91" i="90"/>
  <c r="BJ67" i="90"/>
  <c r="BJ102" i="90"/>
  <c r="BO77" i="90"/>
  <c r="BP51" i="90"/>
  <c r="BL102" i="90"/>
  <c r="BK81" i="90"/>
  <c r="BI95" i="90"/>
  <c r="BO51" i="90"/>
  <c r="BP110" i="90"/>
  <c r="BK143" i="90"/>
  <c r="BN50" i="90"/>
  <c r="BP79" i="90"/>
  <c r="BP102" i="90"/>
  <c r="BO79" i="90"/>
  <c r="BM92" i="90"/>
  <c r="BL83" i="90"/>
  <c r="BL95" i="90"/>
  <c r="BM67" i="90"/>
  <c r="BP143" i="90"/>
  <c r="BN92" i="90"/>
  <c r="BO143" i="90"/>
  <c r="BO55" i="90"/>
  <c r="BN143" i="90"/>
  <c r="Z509" i="36"/>
  <c r="Z508" i="36"/>
  <c r="BI44" i="90"/>
  <c r="BI43" i="90"/>
  <c r="BH43" i="90"/>
  <c r="AD513" i="36"/>
  <c r="AD22" i="36"/>
  <c r="AD512" i="36"/>
  <c r="AC22" i="36"/>
  <c r="AE22" i="36"/>
  <c r="BK58" i="90"/>
  <c r="BJ57" i="90"/>
  <c r="BI58" i="90"/>
  <c r="BH58" i="90"/>
  <c r="AF507" i="36"/>
  <c r="U509" i="36"/>
  <c r="AD493" i="36"/>
  <c r="AD511" i="36"/>
  <c r="Z517" i="36"/>
  <c r="AF509" i="36"/>
  <c r="R508" i="36"/>
  <c r="AG493" i="36"/>
  <c r="V513" i="36"/>
  <c r="Z507" i="36"/>
  <c r="AG475" i="36"/>
  <c r="R483" i="36"/>
  <c r="AG501" i="36"/>
  <c r="AF483" i="36"/>
  <c r="Y513" i="36"/>
  <c r="AE504" i="36"/>
  <c r="AG509" i="36"/>
  <c r="AG499" i="36"/>
  <c r="AB513" i="36"/>
  <c r="AB453" i="36"/>
  <c r="BL59" i="36"/>
  <c r="BQ59" i="36"/>
  <c r="AF493" i="36"/>
  <c r="Y501" i="36"/>
  <c r="AE503" i="36"/>
  <c r="AE505" i="36"/>
  <c r="AF517" i="36"/>
  <c r="X512" i="36"/>
  <c r="AA453" i="36"/>
  <c r="X513" i="36"/>
  <c r="Y516" i="36"/>
  <c r="AC501" i="36"/>
  <c r="AG497" i="36"/>
  <c r="AC496" i="36"/>
  <c r="S513" i="36"/>
  <c r="AB487" i="36"/>
  <c r="Y453" i="36"/>
  <c r="AB511" i="36"/>
  <c r="S509" i="36"/>
  <c r="R516" i="36"/>
  <c r="AG504" i="36"/>
  <c r="Y483" i="36"/>
  <c r="X493" i="36"/>
  <c r="AA493" i="36"/>
  <c r="Y507" i="36"/>
  <c r="R505" i="36"/>
  <c r="AB496" i="36"/>
  <c r="AC505" i="36"/>
  <c r="U512" i="36"/>
  <c r="R507" i="36"/>
  <c r="AB516" i="36"/>
  <c r="Y508" i="36"/>
  <c r="AC493" i="36"/>
  <c r="X516" i="36"/>
  <c r="AA505" i="36"/>
  <c r="T497" i="36"/>
  <c r="R479" i="36"/>
  <c r="AE512" i="36"/>
  <c r="Z453" i="36"/>
  <c r="CL54" i="36"/>
  <c r="CM54" i="36"/>
  <c r="X507" i="36"/>
  <c r="X483" i="36"/>
  <c r="AF505" i="36"/>
  <c r="AB504" i="36"/>
  <c r="S508" i="36"/>
  <c r="X508" i="36"/>
  <c r="V509" i="36"/>
  <c r="AE516" i="36"/>
  <c r="CL56" i="36"/>
  <c r="CL60" i="36" s="1"/>
  <c r="AE493" i="36"/>
  <c r="AG507" i="36"/>
  <c r="AG483" i="36"/>
  <c r="AD516" i="36"/>
  <c r="W513" i="36"/>
  <c r="W508" i="36"/>
  <c r="R512" i="36"/>
  <c r="Z511" i="36"/>
  <c r="Z487" i="36"/>
  <c r="T515" i="36"/>
  <c r="T491" i="36"/>
  <c r="U511" i="36"/>
  <c r="AF513" i="36"/>
  <c r="X475" i="36"/>
  <c r="X499" i="36"/>
  <c r="S491" i="36"/>
  <c r="V471" i="36"/>
  <c r="V495" i="36"/>
  <c r="X511" i="36"/>
  <c r="AD483" i="36"/>
  <c r="AD507" i="36"/>
  <c r="AC491" i="36"/>
  <c r="AC515" i="36"/>
  <c r="X453" i="36"/>
  <c r="Z501" i="36"/>
  <c r="Z475" i="36"/>
  <c r="Z499" i="36"/>
  <c r="W483" i="36"/>
  <c r="W507" i="36"/>
  <c r="AD497" i="36"/>
  <c r="AG487" i="36"/>
  <c r="AG511" i="36"/>
  <c r="CL55" i="36"/>
  <c r="AG515" i="36"/>
  <c r="AG491" i="36"/>
  <c r="S471" i="36"/>
  <c r="S495" i="36"/>
  <c r="AD509" i="36"/>
  <c r="CM55" i="36"/>
  <c r="CQ54" i="36"/>
  <c r="CQ56" i="36"/>
  <c r="CQ60" i="36" s="1"/>
  <c r="Y493" i="36"/>
  <c r="S501" i="36"/>
  <c r="T516" i="36"/>
  <c r="U471" i="36"/>
  <c r="U495" i="36"/>
  <c r="AF515" i="36"/>
  <c r="AF491" i="36"/>
  <c r="AD501" i="36"/>
  <c r="Y475" i="36"/>
  <c r="Y499" i="36"/>
  <c r="AG471" i="36"/>
  <c r="AG495" i="36"/>
  <c r="AE475" i="36"/>
  <c r="AE499" i="36"/>
  <c r="AA496" i="36"/>
  <c r="AA471" i="36"/>
  <c r="AA495" i="36"/>
  <c r="V483" i="36"/>
  <c r="V507" i="36"/>
  <c r="V487" i="36"/>
  <c r="V511" i="36"/>
  <c r="W471" i="36"/>
  <c r="W495" i="36"/>
  <c r="T487" i="36"/>
  <c r="T511" i="36"/>
  <c r="T479" i="36"/>
  <c r="T503" i="36"/>
  <c r="AC471" i="36"/>
  <c r="AC495" i="36"/>
  <c r="AE483" i="36"/>
  <c r="AE507" i="36"/>
  <c r="CJ55" i="36"/>
  <c r="CJ56" i="36"/>
  <c r="CJ60" i="36" s="1"/>
  <c r="AA475" i="36"/>
  <c r="AA499" i="36"/>
  <c r="AC475" i="36"/>
  <c r="AC499" i="36"/>
  <c r="AB471" i="36"/>
  <c r="AB495" i="36"/>
  <c r="AC483" i="36"/>
  <c r="AC507" i="36"/>
  <c r="U513" i="36"/>
  <c r="T483" i="36"/>
  <c r="T507" i="36"/>
  <c r="AF475" i="36"/>
  <c r="AF499" i="36"/>
  <c r="S479" i="36"/>
  <c r="S503" i="36"/>
  <c r="U515" i="36"/>
  <c r="U491" i="36"/>
  <c r="AF487" i="36"/>
  <c r="AF511" i="36"/>
  <c r="CO54" i="36"/>
  <c r="CO56" i="36"/>
  <c r="CO60" i="36" s="1"/>
  <c r="AE500" i="36"/>
  <c r="AC509" i="36"/>
  <c r="Z479" i="36"/>
  <c r="Z503" i="36"/>
  <c r="Y491" i="36"/>
  <c r="Y515" i="36"/>
  <c r="W497" i="36"/>
  <c r="Z505" i="36"/>
  <c r="Z491" i="36"/>
  <c r="Z515" i="36"/>
  <c r="W479" i="36"/>
  <c r="W503" i="36"/>
  <c r="R475" i="36"/>
  <c r="V475" i="36"/>
  <c r="V499" i="36"/>
  <c r="CJ54" i="36"/>
  <c r="AE497" i="36"/>
  <c r="AB483" i="36"/>
  <c r="AB507" i="36"/>
  <c r="AC517" i="36"/>
  <c r="Z471" i="36"/>
  <c r="Z495" i="36"/>
  <c r="AB479" i="36"/>
  <c r="AB503" i="36"/>
  <c r="AG479" i="36"/>
  <c r="AG503" i="36"/>
  <c r="AB491" i="36"/>
  <c r="AB515" i="36"/>
  <c r="W500" i="36"/>
  <c r="W475" i="36"/>
  <c r="W499" i="36"/>
  <c r="AA509" i="36"/>
  <c r="AC508" i="36"/>
  <c r="U517" i="36"/>
  <c r="AA517" i="36"/>
  <c r="T508" i="36"/>
  <c r="X501" i="36"/>
  <c r="S504" i="36"/>
  <c r="AG517" i="36"/>
  <c r="CO55" i="36"/>
  <c r="AA479" i="36"/>
  <c r="AA503" i="36"/>
  <c r="U505" i="36"/>
  <c r="U483" i="36"/>
  <c r="U507" i="36"/>
  <c r="Y487" i="36"/>
  <c r="Y511" i="36"/>
  <c r="W504" i="36"/>
  <c r="CN56" i="36"/>
  <c r="CN54" i="36"/>
  <c r="U475" i="36"/>
  <c r="U499" i="36"/>
  <c r="V479" i="36"/>
  <c r="V503" i="36"/>
  <c r="CM56" i="36"/>
  <c r="CM60" i="36" s="1"/>
  <c r="CQ55" i="36"/>
  <c r="AD471" i="36"/>
  <c r="AD495" i="36"/>
  <c r="AD479" i="36"/>
  <c r="AD503" i="36"/>
  <c r="U497" i="36"/>
  <c r="AE509" i="36"/>
  <c r="AC479" i="36"/>
  <c r="AC503" i="36"/>
  <c r="AA501" i="36"/>
  <c r="T471" i="36"/>
  <c r="T495" i="36"/>
  <c r="U479" i="36"/>
  <c r="U503" i="36"/>
  <c r="CN55" i="36"/>
  <c r="V515" i="36"/>
  <c r="V491" i="36"/>
  <c r="T475" i="36"/>
  <c r="T499" i="36"/>
  <c r="W515" i="36"/>
  <c r="W491" i="36"/>
  <c r="X497" i="36"/>
  <c r="X471" i="36"/>
  <c r="X495" i="36"/>
  <c r="AA487" i="36"/>
  <c r="AA511" i="36"/>
  <c r="AD475" i="36"/>
  <c r="AD499" i="36"/>
  <c r="AE471" i="36"/>
  <c r="AE495" i="36"/>
  <c r="CK56" i="36"/>
  <c r="CK60" i="36" s="1"/>
  <c r="AA515" i="36"/>
  <c r="AA491" i="36"/>
  <c r="AF497" i="36"/>
  <c r="AF471" i="36"/>
  <c r="AF495" i="36"/>
  <c r="AB501" i="36"/>
  <c r="AB475" i="36"/>
  <c r="AB499" i="36"/>
  <c r="V504" i="36"/>
  <c r="AA512" i="36"/>
  <c r="X515" i="36"/>
  <c r="X491" i="36"/>
  <c r="R487" i="36"/>
  <c r="T513" i="36"/>
  <c r="S497" i="36"/>
  <c r="Y479" i="36"/>
  <c r="Y503" i="36"/>
  <c r="R491" i="36"/>
  <c r="AE487" i="36"/>
  <c r="AE511" i="36"/>
  <c r="CP54" i="36"/>
  <c r="AF501" i="36"/>
  <c r="AD491" i="36"/>
  <c r="AD515" i="36"/>
  <c r="T505" i="36"/>
  <c r="U501" i="36"/>
  <c r="CK54" i="36"/>
  <c r="Y505" i="36"/>
  <c r="AG513" i="36"/>
  <c r="Z497" i="36"/>
  <c r="CR54" i="36"/>
  <c r="X479" i="36"/>
  <c r="X503" i="36"/>
  <c r="AB509" i="36"/>
  <c r="S487" i="36"/>
  <c r="AC512" i="36"/>
  <c r="AC487" i="36"/>
  <c r="AC511" i="36"/>
  <c r="AF479" i="36"/>
  <c r="AF503" i="36"/>
  <c r="Z493" i="36"/>
  <c r="T512" i="36"/>
  <c r="Y496" i="36"/>
  <c r="Y471" i="36"/>
  <c r="Y495" i="36"/>
  <c r="T501" i="36"/>
  <c r="AD508" i="36"/>
  <c r="AC516" i="36"/>
  <c r="AE515" i="36"/>
  <c r="AE491" i="36"/>
  <c r="S475" i="36"/>
  <c r="S499" i="36"/>
  <c r="V516" i="36"/>
  <c r="CP56" i="36"/>
  <c r="CP60" i="36" s="1"/>
  <c r="CP55" i="36"/>
  <c r="R500" i="36"/>
  <c r="W516" i="36"/>
  <c r="CK55" i="36"/>
  <c r="V500" i="36"/>
  <c r="X496" i="36"/>
  <c r="AA483" i="36"/>
  <c r="AA507" i="36"/>
  <c r="Z512" i="36"/>
  <c r="AA497" i="36"/>
  <c r="AD505" i="36"/>
  <c r="W511" i="36"/>
  <c r="W487" i="36"/>
  <c r="CR55" i="36"/>
  <c r="CR56" i="36"/>
  <c r="CR60" i="36" s="1"/>
  <c r="X504" i="36"/>
  <c r="X500" i="36"/>
  <c r="S516" i="36"/>
  <c r="V496" i="36"/>
  <c r="AB493" i="36"/>
  <c r="BN58" i="90"/>
  <c r="BM58" i="90"/>
  <c r="BK91" i="90"/>
  <c r="BK43" i="90"/>
  <c r="BH44" i="90"/>
  <c r="BM47" i="90"/>
  <c r="BO106" i="90"/>
  <c r="BM78" i="90"/>
  <c r="BM77" i="90"/>
  <c r="BJ58" i="90"/>
  <c r="BP91" i="90"/>
  <c r="BL103" i="90"/>
  <c r="BP74" i="90"/>
  <c r="BO78" i="90"/>
  <c r="BO93" i="90"/>
  <c r="BP55" i="90"/>
  <c r="BL57" i="90"/>
  <c r="BN48" i="90"/>
  <c r="BN83" i="90"/>
  <c r="BO91" i="90"/>
  <c r="BO94" i="90"/>
  <c r="BM85" i="90"/>
  <c r="BP81" i="90"/>
  <c r="BO81" i="90"/>
  <c r="BN85" i="90"/>
  <c r="BO76" i="90"/>
  <c r="BN102" i="90"/>
  <c r="BK57" i="90"/>
  <c r="BO101" i="90"/>
  <c r="BM91" i="90"/>
  <c r="BM81" i="90"/>
  <c r="P14" i="90"/>
  <c r="BM71" i="90"/>
  <c r="BL77" i="90"/>
  <c r="BN71" i="90"/>
  <c r="BH55" i="90"/>
  <c r="BJ48" i="90"/>
  <c r="BM102" i="90"/>
  <c r="BO102" i="90"/>
  <c r="BP83" i="90"/>
  <c r="BP75" i="90"/>
  <c r="BO85" i="90"/>
  <c r="BL81" i="90"/>
  <c r="BL58" i="90"/>
  <c r="BN78" i="90"/>
  <c r="BN76" i="90"/>
  <c r="BM103" i="90"/>
  <c r="BP71" i="90"/>
  <c r="BJ55" i="90"/>
  <c r="BJ75" i="90"/>
  <c r="BL46" i="90"/>
  <c r="BK101" i="90"/>
  <c r="BH57" i="90"/>
  <c r="BM49" i="90"/>
  <c r="BI55" i="90"/>
  <c r="BP76" i="90"/>
  <c r="BH75" i="90"/>
  <c r="BO83" i="90"/>
  <c r="BK76" i="90"/>
  <c r="BN77" i="90"/>
  <c r="BP116" i="90"/>
  <c r="BL75" i="90"/>
  <c r="BL71" i="90"/>
  <c r="BN55" i="90"/>
  <c r="BL55" i="90"/>
  <c r="BI75" i="90"/>
  <c r="BM55" i="90"/>
  <c r="BP57" i="90"/>
  <c r="BM57" i="90"/>
  <c r="BP58" i="90"/>
  <c r="BN57" i="90"/>
  <c r="AI17" i="98"/>
  <c r="BO58" i="90"/>
  <c r="BO57" i="90"/>
  <c r="S12" i="90"/>
  <c r="AH40" i="98"/>
  <c r="BI47" i="90"/>
  <c r="BL47" i="90"/>
  <c r="BP49" i="90"/>
  <c r="BI50" i="90"/>
  <c r="BP50" i="90"/>
  <c r="BO50" i="90"/>
  <c r="BM50" i="90"/>
  <c r="BK49" i="90"/>
  <c r="P13" i="90"/>
  <c r="BO48" i="90"/>
  <c r="BO46" i="90"/>
  <c r="BL48" i="90"/>
  <c r="BI48" i="90"/>
  <c r="BK48" i="90"/>
  <c r="BH49" i="90"/>
  <c r="BO49" i="90"/>
  <c r="BN49" i="90"/>
  <c r="AJ17" i="98"/>
  <c r="I30" i="90"/>
  <c r="S23" i="90"/>
  <c r="T23" i="90" s="1"/>
  <c r="BL49" i="90"/>
  <c r="BK50" i="90"/>
  <c r="S13" i="90"/>
  <c r="BZ42" i="90"/>
  <c r="BO47" i="90"/>
  <c r="BM46" i="90"/>
  <c r="BP46" i="90"/>
  <c r="D30" i="90"/>
  <c r="P23" i="90"/>
  <c r="BJ47" i="90"/>
  <c r="BK47" i="90"/>
  <c r="BH47" i="90"/>
  <c r="BP47" i="90"/>
  <c r="BI49" i="90"/>
  <c r="BP48" i="90"/>
  <c r="BJ50" i="90"/>
  <c r="BS42" i="90"/>
  <c r="AG453" i="36"/>
  <c r="AE462" i="36"/>
  <c r="V462" i="36"/>
  <c r="Y462" i="36"/>
  <c r="S462" i="36"/>
  <c r="X461" i="36"/>
  <c r="X462" i="36"/>
  <c r="N455" i="36"/>
  <c r="AF453" i="36"/>
  <c r="M455" i="36"/>
  <c r="AG462" i="36"/>
  <c r="AC462" i="36"/>
  <c r="M462" i="36"/>
  <c r="Z462" i="36"/>
  <c r="AG461" i="36"/>
  <c r="AC461" i="36"/>
  <c r="K461" i="36"/>
  <c r="AD461" i="36"/>
  <c r="AF462" i="36"/>
  <c r="AB461" i="36"/>
  <c r="AA461" i="36"/>
  <c r="R462" i="36"/>
  <c r="AA462" i="36"/>
  <c r="N462" i="36"/>
  <c r="Y461" i="36"/>
  <c r="AB462" i="36"/>
  <c r="AE461" i="36"/>
  <c r="S461" i="36"/>
  <c r="Z461" i="36"/>
  <c r="O462" i="36"/>
  <c r="AF461" i="36"/>
  <c r="N461" i="36"/>
  <c r="U462" i="36"/>
  <c r="T462" i="36"/>
  <c r="T461" i="36"/>
  <c r="W461" i="36"/>
  <c r="R461" i="36"/>
  <c r="AD462" i="36"/>
  <c r="W462" i="36"/>
  <c r="L455" i="36"/>
  <c r="L461" i="36"/>
  <c r="K455" i="36"/>
  <c r="AE453" i="36"/>
  <c r="AD453" i="36"/>
  <c r="AC453" i="36"/>
  <c r="CA42" i="90"/>
  <c r="BN65" i="90"/>
  <c r="BL65" i="90"/>
  <c r="BO65" i="90"/>
  <c r="BM65" i="90"/>
  <c r="BP65" i="90"/>
  <c r="BI65" i="90"/>
  <c r="BJ65" i="90"/>
  <c r="I16" i="90"/>
  <c r="E16" i="90"/>
  <c r="E27" i="90" s="1"/>
  <c r="H16" i="90"/>
  <c r="H27" i="90" s="1"/>
  <c r="Y26" i="108" s="1"/>
  <c r="BM44" i="90"/>
  <c r="G16" i="90"/>
  <c r="G27" i="90" s="1"/>
  <c r="X26" i="108" s="1"/>
  <c r="J16" i="90"/>
  <c r="J27" i="90" s="1"/>
  <c r="AA26" i="108" s="1"/>
  <c r="F16" i="90"/>
  <c r="F27" i="90" s="1"/>
  <c r="W26" i="108" s="1"/>
  <c r="L16" i="90"/>
  <c r="L27" i="90" s="1"/>
  <c r="AC26" i="108" s="1"/>
  <c r="BY42" i="90"/>
  <c r="M16" i="90"/>
  <c r="M27" i="90" s="1"/>
  <c r="AD26" i="108" s="1"/>
  <c r="BN44" i="90"/>
  <c r="BO44" i="90"/>
  <c r="BU42" i="90"/>
  <c r="BO43" i="90"/>
  <c r="BN45" i="90"/>
  <c r="BI45" i="90"/>
  <c r="BM45" i="90"/>
  <c r="BT42" i="90"/>
  <c r="BL43" i="90"/>
  <c r="BW42" i="90"/>
  <c r="BK45" i="90"/>
  <c r="BK44" i="90"/>
  <c r="BV42" i="90"/>
  <c r="K16" i="90"/>
  <c r="K27" i="90" s="1"/>
  <c r="AB26" i="108" s="1"/>
  <c r="BJ44" i="90"/>
  <c r="BP44" i="90"/>
  <c r="BP43" i="90"/>
  <c r="BL45" i="90"/>
  <c r="BJ45" i="90"/>
  <c r="BO45" i="90"/>
  <c r="BP45" i="90"/>
  <c r="BM43" i="90"/>
  <c r="BX42" i="90"/>
  <c r="BL44" i="90"/>
  <c r="BN43" i="90"/>
  <c r="AG116" i="86"/>
  <c r="V29" i="86"/>
  <c r="AD116" i="86"/>
  <c r="AC116" i="86"/>
  <c r="AA116" i="86"/>
  <c r="Z116" i="86"/>
  <c r="AB116" i="86"/>
  <c r="Y116" i="86"/>
  <c r="X116" i="86"/>
  <c r="AF116" i="86"/>
  <c r="AE116" i="86"/>
  <c r="AG134" i="12"/>
  <c r="AG37" i="12" s="1"/>
  <c r="AG120" i="86" s="1"/>
  <c r="AF134" i="12"/>
  <c r="AF37" i="12" s="1"/>
  <c r="AF120" i="86" s="1"/>
  <c r="AE134" i="12"/>
  <c r="AE37" i="12" s="1"/>
  <c r="AE120" i="86" s="1"/>
  <c r="AD134" i="12"/>
  <c r="AD37" i="12" s="1"/>
  <c r="AD120" i="86" s="1"/>
  <c r="AC134" i="12"/>
  <c r="AB134" i="12"/>
  <c r="AB37" i="12" s="1"/>
  <c r="AB120" i="86" s="1"/>
  <c r="AA134" i="12"/>
  <c r="AA37" i="12" s="1"/>
  <c r="AA120" i="86" s="1"/>
  <c r="Z134" i="12"/>
  <c r="Z37" i="12" s="1"/>
  <c r="Z120" i="86" s="1"/>
  <c r="Y134" i="12"/>
  <c r="Y37" i="12" s="1"/>
  <c r="Y120" i="86" s="1"/>
  <c r="X134" i="12"/>
  <c r="W134" i="12"/>
  <c r="W37" i="12" s="1"/>
  <c r="J157" i="98" s="1"/>
  <c r="J131" i="98" s="1"/>
  <c r="V134" i="12"/>
  <c r="V37" i="12" s="1"/>
  <c r="I157" i="98" s="1"/>
  <c r="I131" i="98" s="1"/>
  <c r="U134" i="12"/>
  <c r="U37" i="12" s="1"/>
  <c r="T134" i="12"/>
  <c r="T37" i="12" s="1"/>
  <c r="S134" i="12"/>
  <c r="S37" i="12" s="1"/>
  <c r="R134" i="12"/>
  <c r="R37" i="12" s="1"/>
  <c r="Q134" i="12"/>
  <c r="Q37" i="12" s="1"/>
  <c r="O37" i="12"/>
  <c r="N134" i="12"/>
  <c r="N37" i="12" s="1"/>
  <c r="M134" i="12"/>
  <c r="M37" i="12" s="1"/>
  <c r="L134" i="12"/>
  <c r="L37" i="12" s="1"/>
  <c r="K134" i="12"/>
  <c r="K37" i="12" s="1"/>
  <c r="AC96" i="12"/>
  <c r="AD96" i="12"/>
  <c r="AE96" i="12"/>
  <c r="AF96" i="12"/>
  <c r="AF15" i="12" s="1"/>
  <c r="AG96" i="12"/>
  <c r="AG15" i="12" s="1"/>
  <c r="AC106" i="12"/>
  <c r="AD106" i="12"/>
  <c r="AD16" i="12" s="1"/>
  <c r="AE106" i="12"/>
  <c r="AE16" i="12" s="1"/>
  <c r="AF106" i="12"/>
  <c r="AF16" i="12" s="1"/>
  <c r="AG106" i="12"/>
  <c r="AG16" i="12" s="1"/>
  <c r="AC116" i="12"/>
  <c r="AD116" i="12"/>
  <c r="AD35" i="12" s="1"/>
  <c r="AD118" i="86" s="1"/>
  <c r="AE116" i="12"/>
  <c r="AE35" i="12" s="1"/>
  <c r="AE118" i="86" s="1"/>
  <c r="AF116" i="12"/>
  <c r="AF35" i="12" s="1"/>
  <c r="AF118" i="86" s="1"/>
  <c r="AG116" i="12"/>
  <c r="AG35" i="12" s="1"/>
  <c r="AG118" i="86" s="1"/>
  <c r="AC85" i="12"/>
  <c r="AD85" i="12"/>
  <c r="AD14" i="12" s="1"/>
  <c r="AE85" i="12"/>
  <c r="AE14" i="12" s="1"/>
  <c r="AF85" i="12"/>
  <c r="AF14" i="12" s="1"/>
  <c r="AG85" i="12"/>
  <c r="AG14" i="12" s="1"/>
  <c r="AC74" i="12"/>
  <c r="AD74" i="12"/>
  <c r="AD13" i="12" s="1"/>
  <c r="AE74" i="12"/>
  <c r="AE13" i="12" s="1"/>
  <c r="AF74" i="12"/>
  <c r="AF13" i="12" s="1"/>
  <c r="AG74" i="12"/>
  <c r="AG13" i="12" s="1"/>
  <c r="AC63" i="12"/>
  <c r="AD63" i="12"/>
  <c r="AD12" i="12" s="1"/>
  <c r="Q83" i="98" s="1"/>
  <c r="AE63" i="12"/>
  <c r="AE12" i="12" s="1"/>
  <c r="R83" i="98" s="1"/>
  <c r="AF63" i="12"/>
  <c r="AF12" i="12" s="1"/>
  <c r="S83" i="98" s="1"/>
  <c r="AG63" i="12"/>
  <c r="AG12" i="12" s="1"/>
  <c r="T83" i="98" s="1"/>
  <c r="AC34" i="12"/>
  <c r="AC117" i="86" s="1"/>
  <c r="AD34" i="12"/>
  <c r="AD117" i="86" s="1"/>
  <c r="AE34" i="12"/>
  <c r="AE117" i="86" s="1"/>
  <c r="AF34" i="12"/>
  <c r="AF117" i="86" s="1"/>
  <c r="AG34" i="12"/>
  <c r="AG117" i="86" s="1"/>
  <c r="C13" i="5"/>
  <c r="AO82" i="40"/>
  <c r="AN82" i="40"/>
  <c r="AO81" i="40"/>
  <c r="AN81" i="40"/>
  <c r="AO80" i="40"/>
  <c r="AN80" i="40"/>
  <c r="AO79" i="40"/>
  <c r="AN79" i="40"/>
  <c r="AO76" i="40"/>
  <c r="AO75" i="40"/>
  <c r="AO74" i="40"/>
  <c r="AO61" i="40" s="1"/>
  <c r="AO65" i="40" s="1"/>
  <c r="AO73" i="40"/>
  <c r="AG43" i="40"/>
  <c r="AH43" i="40" s="1"/>
  <c r="AI43" i="40" s="1"/>
  <c r="AJ43" i="40" s="1"/>
  <c r="AK43" i="40" s="1"/>
  <c r="AL43" i="40" s="1"/>
  <c r="AM43" i="40" s="1"/>
  <c r="AN43" i="40" s="1"/>
  <c r="AO43" i="40" s="1"/>
  <c r="R15" i="40"/>
  <c r="S15" i="40"/>
  <c r="T15" i="40"/>
  <c r="U15" i="40"/>
  <c r="V15" i="40"/>
  <c r="AB130" i="89"/>
  <c r="AA130" i="89"/>
  <c r="Z130" i="89"/>
  <c r="Y130" i="89"/>
  <c r="X130" i="89"/>
  <c r="W130" i="89"/>
  <c r="V130" i="89"/>
  <c r="U130" i="89"/>
  <c r="T130" i="89"/>
  <c r="S130" i="89"/>
  <c r="S131" i="89" s="1"/>
  <c r="AB119" i="89"/>
  <c r="AA119" i="89"/>
  <c r="Z119" i="89"/>
  <c r="Y119" i="89"/>
  <c r="X119" i="89"/>
  <c r="W119" i="89"/>
  <c r="V119" i="89"/>
  <c r="U119" i="89"/>
  <c r="R25" i="89"/>
  <c r="R27" i="89" s="1"/>
  <c r="AB108" i="89"/>
  <c r="AA108" i="89"/>
  <c r="Z108" i="89"/>
  <c r="Y108" i="89"/>
  <c r="X108" i="89"/>
  <c r="W108" i="89"/>
  <c r="V108" i="89"/>
  <c r="U108" i="89"/>
  <c r="T108" i="89"/>
  <c r="S108" i="89"/>
  <c r="R108" i="89"/>
  <c r="Q108" i="89"/>
  <c r="O21" i="89"/>
  <c r="O23" i="89" s="1"/>
  <c r="N108" i="89"/>
  <c r="AB100" i="89"/>
  <c r="AC101" i="89" s="1"/>
  <c r="AA100" i="89"/>
  <c r="Z100" i="89"/>
  <c r="Y100" i="89"/>
  <c r="X100" i="89"/>
  <c r="W100" i="89"/>
  <c r="V100" i="89"/>
  <c r="U100" i="89"/>
  <c r="T100" i="89"/>
  <c r="S100" i="89"/>
  <c r="R100" i="89"/>
  <c r="AB94" i="89"/>
  <c r="AC95" i="89" s="1"/>
  <c r="AA94" i="89"/>
  <c r="Z94" i="89"/>
  <c r="Y94" i="89"/>
  <c r="X94" i="89"/>
  <c r="W94" i="89"/>
  <c r="V94" i="89"/>
  <c r="U94" i="89"/>
  <c r="T94" i="89"/>
  <c r="S94" i="89"/>
  <c r="R94" i="89"/>
  <c r="AB88" i="89"/>
  <c r="AA88" i="89"/>
  <c r="Z88" i="89"/>
  <c r="Y88" i="89"/>
  <c r="X88" i="89"/>
  <c r="W88" i="89"/>
  <c r="V88" i="89"/>
  <c r="U88" i="89"/>
  <c r="T88" i="89"/>
  <c r="S88" i="89"/>
  <c r="S89" i="89" s="1"/>
  <c r="R88" i="89"/>
  <c r="R89" i="89" s="1"/>
  <c r="AB79" i="89"/>
  <c r="AC80" i="89" s="1"/>
  <c r="AA79" i="89"/>
  <c r="Z79" i="89"/>
  <c r="Y79" i="89"/>
  <c r="X79" i="89"/>
  <c r="W79" i="89"/>
  <c r="V79" i="89"/>
  <c r="U79" i="89"/>
  <c r="T79" i="89"/>
  <c r="S79" i="89"/>
  <c r="S80" i="89" s="1"/>
  <c r="R79" i="89"/>
  <c r="R80" i="89" s="1"/>
  <c r="AB73" i="89"/>
  <c r="AC74" i="89" s="1"/>
  <c r="AA73" i="89"/>
  <c r="Z73" i="89"/>
  <c r="Y73" i="89"/>
  <c r="X73" i="89"/>
  <c r="W73" i="89"/>
  <c r="V73" i="89"/>
  <c r="U73" i="89"/>
  <c r="T73" i="89"/>
  <c r="S73" i="89"/>
  <c r="R73" i="89"/>
  <c r="AB67" i="89"/>
  <c r="AC68" i="89" s="1"/>
  <c r="AA67" i="89"/>
  <c r="Z67" i="89"/>
  <c r="Y67" i="89"/>
  <c r="X67" i="89"/>
  <c r="W67" i="89"/>
  <c r="V67" i="89"/>
  <c r="U67" i="89"/>
  <c r="T67" i="89"/>
  <c r="S67" i="89"/>
  <c r="R67" i="89"/>
  <c r="R68" i="89" s="1"/>
  <c r="Z50" i="89"/>
  <c r="W50" i="89"/>
  <c r="R50" i="89"/>
  <c r="R52" i="89" s="1"/>
  <c r="S14" i="40"/>
  <c r="T14" i="40"/>
  <c r="U14" i="40"/>
  <c r="V14" i="40"/>
  <c r="AG7" i="40"/>
  <c r="AF7" i="40"/>
  <c r="AE7" i="40"/>
  <c r="AD7" i="40"/>
  <c r="AC7" i="40"/>
  <c r="H10" i="5"/>
  <c r="O24" i="5"/>
  <c r="I7" i="5" s="1"/>
  <c r="H7" i="5"/>
  <c r="X16" i="45" l="1"/>
  <c r="X29" i="42" s="1"/>
  <c r="X86" i="57"/>
  <c r="BH86" i="57" s="1"/>
  <c r="BH83" i="57"/>
  <c r="BL86" i="57"/>
  <c r="CZ86" i="57"/>
  <c r="V83" i="57"/>
  <c r="BF80" i="57"/>
  <c r="DO86" i="57"/>
  <c r="DC86" i="57"/>
  <c r="BL83" i="57"/>
  <c r="DL83" i="57"/>
  <c r="CZ83" i="57"/>
  <c r="AC89" i="57"/>
  <c r="DA86" i="57"/>
  <c r="BM86" i="57"/>
  <c r="DM86" i="57"/>
  <c r="DJ86" i="57"/>
  <c r="CX86" i="57"/>
  <c r="BJ86" i="57"/>
  <c r="DD83" i="57"/>
  <c r="BP83" i="57"/>
  <c r="DP83" i="57"/>
  <c r="DO83" i="57"/>
  <c r="DK83" i="57"/>
  <c r="BQ86" i="57"/>
  <c r="DQ86" i="57"/>
  <c r="DE86" i="57"/>
  <c r="CW86" i="57"/>
  <c r="BI86" i="57"/>
  <c r="BD83" i="57"/>
  <c r="BE83" i="57"/>
  <c r="BB86" i="57"/>
  <c r="BM83" i="57"/>
  <c r="DM83" i="57"/>
  <c r="DA83" i="57"/>
  <c r="AA89" i="57"/>
  <c r="CY86" i="57"/>
  <c r="DK86" i="57"/>
  <c r="BK86" i="57"/>
  <c r="S89" i="57"/>
  <c r="BC89" i="57" s="1"/>
  <c r="BC86" i="57"/>
  <c r="AZ83" i="57"/>
  <c r="BQ83" i="57"/>
  <c r="DQ83" i="57"/>
  <c r="DE83" i="57"/>
  <c r="AF89" i="57"/>
  <c r="BP86" i="57"/>
  <c r="DP86" i="57"/>
  <c r="DD86" i="57"/>
  <c r="W89" i="57"/>
  <c r="BA83" i="57"/>
  <c r="CW83" i="57"/>
  <c r="BI83" i="57"/>
  <c r="BJ83" i="57"/>
  <c r="R92" i="57"/>
  <c r="CX89" i="57"/>
  <c r="DB83" i="57"/>
  <c r="BN83" i="57"/>
  <c r="DN83" i="57"/>
  <c r="BG80" i="57"/>
  <c r="BO83" i="57"/>
  <c r="DJ83" i="57"/>
  <c r="AD86" i="57"/>
  <c r="BO86" i="57" s="1"/>
  <c r="BH324" i="57"/>
  <c r="AJ324" i="57"/>
  <c r="DA325" i="57"/>
  <c r="DD325" i="57"/>
  <c r="BC325" i="57"/>
  <c r="BK324" i="57"/>
  <c r="DK324" i="57"/>
  <c r="CY324" i="57"/>
  <c r="AM324" i="57"/>
  <c r="AA92" i="57"/>
  <c r="DO324" i="57"/>
  <c r="DC324" i="57"/>
  <c r="BZ322" i="57"/>
  <c r="CV322" i="57"/>
  <c r="DI322" i="57" s="1"/>
  <c r="U89" i="57"/>
  <c r="BA324" i="57"/>
  <c r="CU89" i="57"/>
  <c r="DH89" i="57" s="1"/>
  <c r="BY89" i="57"/>
  <c r="BZ89" i="57"/>
  <c r="CV89" i="57"/>
  <c r="DI89" i="57" s="1"/>
  <c r="BQ324" i="57"/>
  <c r="DQ324" i="57"/>
  <c r="DE324" i="57"/>
  <c r="AS324" i="57"/>
  <c r="AE89" i="57"/>
  <c r="CX325" i="57"/>
  <c r="AY86" i="57"/>
  <c r="AY324" i="57"/>
  <c r="I92" i="57"/>
  <c r="AG89" i="57"/>
  <c r="BC324" i="57"/>
  <c r="S92" i="57"/>
  <c r="BC92" i="57" s="1"/>
  <c r="BZ80" i="57"/>
  <c r="CV80" i="57"/>
  <c r="DI80" i="57" s="1"/>
  <c r="BB324" i="57"/>
  <c r="Q89" i="57"/>
  <c r="BB89" i="57" s="1"/>
  <c r="BK325" i="57"/>
  <c r="CY325" i="57"/>
  <c r="X89" i="57"/>
  <c r="DJ89" i="57" s="1"/>
  <c r="R95" i="57"/>
  <c r="AP324" i="57"/>
  <c r="AD92" i="57"/>
  <c r="CU322" i="57"/>
  <c r="DH322" i="57" s="1"/>
  <c r="BY322" i="57"/>
  <c r="BJ324" i="57"/>
  <c r="DJ324" i="57"/>
  <c r="CX324" i="57"/>
  <c r="AL324" i="57"/>
  <c r="Z92" i="57"/>
  <c r="W92" i="57"/>
  <c r="L89" i="57"/>
  <c r="M89" i="57"/>
  <c r="M92" i="57" s="1"/>
  <c r="BF322" i="57"/>
  <c r="V86" i="57"/>
  <c r="BP324" i="57"/>
  <c r="DP324" i="57"/>
  <c r="DD324" i="57"/>
  <c r="AR324" i="57"/>
  <c r="AF92" i="57"/>
  <c r="BL324" i="57"/>
  <c r="CZ324" i="57"/>
  <c r="DL324" i="57"/>
  <c r="AN324" i="57"/>
  <c r="O86" i="57"/>
  <c r="AZ324" i="57" s="1"/>
  <c r="AX86" i="57"/>
  <c r="AX324" i="57"/>
  <c r="F92" i="57"/>
  <c r="CW324" i="57"/>
  <c r="BI324" i="57"/>
  <c r="AK324" i="57"/>
  <c r="BG322" i="57"/>
  <c r="K95" i="57"/>
  <c r="K98" i="57" s="1"/>
  <c r="BY325" i="57"/>
  <c r="CU325" i="57"/>
  <c r="DH325" i="57" s="1"/>
  <c r="BY80" i="57"/>
  <c r="CU80" i="57"/>
  <c r="DH80" i="57" s="1"/>
  <c r="P89" i="57"/>
  <c r="N92" i="57"/>
  <c r="CV325" i="57"/>
  <c r="DI325" i="57" s="1"/>
  <c r="BZ325" i="57"/>
  <c r="T86" i="57"/>
  <c r="BE86" i="57" s="1"/>
  <c r="BM324" i="57"/>
  <c r="DM324" i="57"/>
  <c r="DA324" i="57"/>
  <c r="AO324" i="57"/>
  <c r="AC92" i="57"/>
  <c r="AX95" i="57"/>
  <c r="AX327" i="57"/>
  <c r="F101" i="57"/>
  <c r="AY95" i="57"/>
  <c r="AY327" i="57"/>
  <c r="I101" i="57"/>
  <c r="AB89" i="57"/>
  <c r="Y89" i="57"/>
  <c r="BJ89" i="57" s="1"/>
  <c r="D27" i="90"/>
  <c r="U26" i="108" s="1"/>
  <c r="T19" i="90"/>
  <c r="V26" i="108"/>
  <c r="T21" i="90"/>
  <c r="M31" i="90"/>
  <c r="AG64" i="12"/>
  <c r="Q23" i="90"/>
  <c r="Q20" i="90"/>
  <c r="Q21" i="90"/>
  <c r="Q19" i="90"/>
  <c r="AJ89" i="98"/>
  <c r="AB21" i="89"/>
  <c r="AB23" i="89" s="1"/>
  <c r="AE84" i="98"/>
  <c r="W29" i="89"/>
  <c r="W31" i="89" s="1"/>
  <c r="AF84" i="98"/>
  <c r="X29" i="89"/>
  <c r="X31" i="89" s="1"/>
  <c r="AG84" i="98"/>
  <c r="Y29" i="89"/>
  <c r="Y31" i="89" s="1"/>
  <c r="AH84" i="98"/>
  <c r="Z29" i="89"/>
  <c r="Z31" i="89" s="1"/>
  <c r="Z89" i="98"/>
  <c r="R21" i="89"/>
  <c r="R23" i="89" s="1"/>
  <c r="AJ84" i="98"/>
  <c r="AB29" i="89"/>
  <c r="AB31" i="89" s="1"/>
  <c r="AA89" i="98"/>
  <c r="S21" i="89"/>
  <c r="S23" i="89" s="1"/>
  <c r="AB89" i="98"/>
  <c r="T21" i="89"/>
  <c r="T23" i="89" s="1"/>
  <c r="AC89" i="98"/>
  <c r="U21" i="89"/>
  <c r="U23" i="89" s="1"/>
  <c r="Y89" i="98"/>
  <c r="Q21" i="89"/>
  <c r="Q23" i="89" s="1"/>
  <c r="AI84" i="98"/>
  <c r="AA29" i="89"/>
  <c r="AA31" i="89" s="1"/>
  <c r="AD89" i="98"/>
  <c r="V21" i="89"/>
  <c r="V23" i="89" s="1"/>
  <c r="AE89" i="98"/>
  <c r="W21" i="89"/>
  <c r="W23" i="89" s="1"/>
  <c r="AF89" i="98"/>
  <c r="X21" i="89"/>
  <c r="X23" i="89" s="1"/>
  <c r="Z84" i="98"/>
  <c r="R29" i="89"/>
  <c r="R31" i="89" s="1"/>
  <c r="AG89" i="98"/>
  <c r="Y21" i="89"/>
  <c r="Y23" i="89" s="1"/>
  <c r="AA84" i="98"/>
  <c r="S29" i="89"/>
  <c r="S31" i="89" s="1"/>
  <c r="AD84" i="98"/>
  <c r="V29" i="89"/>
  <c r="V31" i="89" s="1"/>
  <c r="AH89" i="98"/>
  <c r="Z21" i="89"/>
  <c r="Z23" i="89" s="1"/>
  <c r="AB84" i="98"/>
  <c r="T29" i="89"/>
  <c r="T31" i="89" s="1"/>
  <c r="AI89" i="98"/>
  <c r="AA21" i="89"/>
  <c r="AA23" i="89" s="1"/>
  <c r="AC84" i="98"/>
  <c r="U29" i="89"/>
  <c r="U31" i="89" s="1"/>
  <c r="AC12" i="12"/>
  <c r="P83" i="98" s="1"/>
  <c r="AC13" i="12"/>
  <c r="AG75" i="12"/>
  <c r="AG97" i="12"/>
  <c r="AC14" i="12"/>
  <c r="AG86" i="12"/>
  <c r="H17" i="90"/>
  <c r="I27" i="90"/>
  <c r="Z26" i="108" s="1"/>
  <c r="M17" i="90"/>
  <c r="X33" i="30"/>
  <c r="H31" i="90"/>
  <c r="AC16" i="12"/>
  <c r="AG107" i="12"/>
  <c r="AC37" i="12"/>
  <c r="AC120" i="86" s="1"/>
  <c r="P131" i="98" s="1"/>
  <c r="AG135" i="12"/>
  <c r="P37" i="12"/>
  <c r="W135" i="12"/>
  <c r="X37" i="12"/>
  <c r="X120" i="86" s="1"/>
  <c r="K131" i="98" s="1"/>
  <c r="AB135" i="12"/>
  <c r="R131" i="98"/>
  <c r="R157" i="98"/>
  <c r="S131" i="98"/>
  <c r="S157" i="98"/>
  <c r="N153" i="98"/>
  <c r="N129" i="98"/>
  <c r="T130" i="98"/>
  <c r="T154" i="98"/>
  <c r="S130" i="98"/>
  <c r="S154" i="98"/>
  <c r="L157" i="98"/>
  <c r="L131" i="98"/>
  <c r="T157" i="98"/>
  <c r="T131" i="98"/>
  <c r="P153" i="98"/>
  <c r="P129" i="98"/>
  <c r="R154" i="98"/>
  <c r="R130" i="98"/>
  <c r="M157" i="98"/>
  <c r="M131" i="98"/>
  <c r="R153" i="98"/>
  <c r="R129" i="98"/>
  <c r="Q153" i="98"/>
  <c r="Q129" i="98"/>
  <c r="N157" i="98"/>
  <c r="N131" i="98"/>
  <c r="S153" i="98"/>
  <c r="S129" i="98"/>
  <c r="M153" i="98"/>
  <c r="M129" i="98"/>
  <c r="Q154" i="98"/>
  <c r="Q130" i="98"/>
  <c r="P154" i="98"/>
  <c r="P130" i="98"/>
  <c r="T127" i="98"/>
  <c r="T155" i="98"/>
  <c r="O131" i="98"/>
  <c r="O157" i="98"/>
  <c r="K153" i="98"/>
  <c r="K129" i="98"/>
  <c r="T153" i="98"/>
  <c r="T129" i="98"/>
  <c r="Q155" i="98"/>
  <c r="Q127" i="98"/>
  <c r="S127" i="98"/>
  <c r="S155" i="98"/>
  <c r="L153" i="98"/>
  <c r="L129" i="98"/>
  <c r="R127" i="98"/>
  <c r="R155" i="98"/>
  <c r="Q157" i="98"/>
  <c r="Q131" i="98"/>
  <c r="O153" i="98"/>
  <c r="O129" i="98"/>
  <c r="S161" i="98"/>
  <c r="AN33" i="98"/>
  <c r="AC35" i="12"/>
  <c r="AC118" i="86" s="1"/>
  <c r="AG118" i="12"/>
  <c r="U25" i="89"/>
  <c r="U27" i="89" s="1"/>
  <c r="V25" i="89"/>
  <c r="V27" i="89" s="1"/>
  <c r="T25" i="89"/>
  <c r="T27" i="89" s="1"/>
  <c r="W25" i="89"/>
  <c r="W27" i="89" s="1"/>
  <c r="X25" i="89"/>
  <c r="X27" i="89" s="1"/>
  <c r="Y25" i="89"/>
  <c r="Y27" i="89" s="1"/>
  <c r="AB25" i="89"/>
  <c r="AB27" i="89" s="1"/>
  <c r="Z25" i="89"/>
  <c r="Z27" i="89" s="1"/>
  <c r="S25" i="89"/>
  <c r="S27" i="89" s="1"/>
  <c r="AA25" i="89"/>
  <c r="AA27" i="89" s="1"/>
  <c r="P109" i="89"/>
  <c r="Q109" i="89"/>
  <c r="R120" i="89"/>
  <c r="R131" i="89"/>
  <c r="X95" i="89"/>
  <c r="R109" i="89"/>
  <c r="K26" i="90"/>
  <c r="Q22" i="90"/>
  <c r="CR57" i="36"/>
  <c r="CR58" i="36"/>
  <c r="CR59" i="36"/>
  <c r="CN60" i="36"/>
  <c r="BH42" i="90"/>
  <c r="E33" i="90" s="1"/>
  <c r="S16" i="90"/>
  <c r="P16" i="90"/>
  <c r="Q11" i="90" s="1"/>
  <c r="Y67" i="98"/>
  <c r="AH17" i="98"/>
  <c r="T22" i="90"/>
  <c r="T20" i="90"/>
  <c r="AA131" i="89"/>
  <c r="Z131" i="89"/>
  <c r="Y131" i="89"/>
  <c r="Z120" i="89"/>
  <c r="V120" i="89"/>
  <c r="U120" i="89"/>
  <c r="W131" i="89"/>
  <c r="V33" i="86"/>
  <c r="B2" i="92"/>
  <c r="B2" i="93"/>
  <c r="E26" i="90"/>
  <c r="L26" i="90"/>
  <c r="I26" i="90"/>
  <c r="F26" i="90"/>
  <c r="AB33" i="30"/>
  <c r="H26" i="90"/>
  <c r="M26" i="90"/>
  <c r="J26" i="90"/>
  <c r="G26" i="90"/>
  <c r="W120" i="89"/>
  <c r="T131" i="89"/>
  <c r="AB131" i="89"/>
  <c r="AC131" i="89"/>
  <c r="X120" i="89"/>
  <c r="U131" i="89"/>
  <c r="Y120" i="89"/>
  <c r="V131" i="89"/>
  <c r="T89" i="89"/>
  <c r="AB89" i="89"/>
  <c r="AC89" i="89"/>
  <c r="AA120" i="89"/>
  <c r="X131" i="89"/>
  <c r="AB120" i="89"/>
  <c r="AC120" i="89"/>
  <c r="AO63" i="40"/>
  <c r="AF40" i="40" s="1"/>
  <c r="AF42" i="40" s="1"/>
  <c r="H14" i="5"/>
  <c r="V109" i="89"/>
  <c r="W68" i="89"/>
  <c r="X109" i="89"/>
  <c r="Y68" i="89"/>
  <c r="BI42" i="90"/>
  <c r="F33" i="90" s="1"/>
  <c r="U89" i="89"/>
  <c r="Z109" i="89"/>
  <c r="Y109" i="89"/>
  <c r="S109" i="89"/>
  <c r="AA109" i="89"/>
  <c r="T109" i="89"/>
  <c r="AC109" i="89"/>
  <c r="AB109" i="89"/>
  <c r="U109" i="89"/>
  <c r="W109" i="89"/>
  <c r="B2" i="89"/>
  <c r="B2" i="90"/>
  <c r="B2" i="86"/>
  <c r="H9" i="5"/>
  <c r="Y33" i="30"/>
  <c r="AC33" i="30"/>
  <c r="AA33" i="30"/>
  <c r="Z33" i="30"/>
  <c r="AF33" i="30"/>
  <c r="AD33" i="30"/>
  <c r="BO42" i="90"/>
  <c r="L33" i="90" s="1"/>
  <c r="AG33" i="30"/>
  <c r="AE33" i="30"/>
  <c r="X50" i="89"/>
  <c r="X52" i="89" s="1"/>
  <c r="AA95" i="89"/>
  <c r="U80" i="89"/>
  <c r="T50" i="89"/>
  <c r="AB50" i="89"/>
  <c r="AC52" i="89" s="1"/>
  <c r="Y41" i="89"/>
  <c r="W74" i="89"/>
  <c r="BP42" i="90"/>
  <c r="M33" i="90" s="1"/>
  <c r="BM42" i="90"/>
  <c r="J33" i="90" s="1"/>
  <c r="BJ42" i="90"/>
  <c r="G33" i="90" s="1"/>
  <c r="BL42" i="90"/>
  <c r="I33" i="90" s="1"/>
  <c r="BK42" i="90"/>
  <c r="H33" i="90" s="1"/>
  <c r="BN42" i="90"/>
  <c r="K33" i="90" s="1"/>
  <c r="AA68" i="89"/>
  <c r="Y80" i="89"/>
  <c r="X68" i="89"/>
  <c r="Z41" i="89"/>
  <c r="S50" i="89"/>
  <c r="AA50" i="89"/>
  <c r="V74" i="89"/>
  <c r="V80" i="89"/>
  <c r="T95" i="89"/>
  <c r="AB95" i="89"/>
  <c r="Z101" i="89"/>
  <c r="V95" i="89"/>
  <c r="V51" i="89"/>
  <c r="X89" i="89"/>
  <c r="T68" i="89"/>
  <c r="AB68" i="89"/>
  <c r="Z74" i="89"/>
  <c r="Z80" i="89"/>
  <c r="Y89" i="89"/>
  <c r="V101" i="89"/>
  <c r="U41" i="89"/>
  <c r="S74" i="89"/>
  <c r="AA74" i="89"/>
  <c r="Y95" i="89"/>
  <c r="W101" i="89"/>
  <c r="W89" i="89"/>
  <c r="W95" i="89"/>
  <c r="U50" i="89"/>
  <c r="S68" i="89"/>
  <c r="V41" i="89"/>
  <c r="T80" i="89"/>
  <c r="AB80" i="89"/>
  <c r="Y30" i="12"/>
  <c r="R30" i="12"/>
  <c r="K30" i="12"/>
  <c r="Q30" i="12"/>
  <c r="AA30" i="12"/>
  <c r="Z30" i="12"/>
  <c r="AG30" i="12"/>
  <c r="S30" i="12"/>
  <c r="T30" i="12"/>
  <c r="M30" i="12"/>
  <c r="U30" i="12"/>
  <c r="V30" i="12"/>
  <c r="AE30" i="12"/>
  <c r="AD15" i="12"/>
  <c r="AD17" i="12" s="1"/>
  <c r="L30" i="12"/>
  <c r="AB30" i="12"/>
  <c r="AC30" i="12"/>
  <c r="N30" i="12"/>
  <c r="AD30" i="12"/>
  <c r="W30" i="12"/>
  <c r="AC15" i="12"/>
  <c r="AE15" i="12"/>
  <c r="AE17" i="12" s="1"/>
  <c r="P30" i="12"/>
  <c r="X30" i="12"/>
  <c r="AF30" i="12"/>
  <c r="AG17" i="12"/>
  <c r="AF17" i="12"/>
  <c r="AA41" i="89"/>
  <c r="Z68" i="89"/>
  <c r="T41" i="89"/>
  <c r="T101" i="89"/>
  <c r="U74" i="89"/>
  <c r="Z89" i="89"/>
  <c r="X41" i="89"/>
  <c r="U51" i="89"/>
  <c r="Y74" i="89"/>
  <c r="AA80" i="89"/>
  <c r="V89" i="89"/>
  <c r="Y101" i="89"/>
  <c r="AA101" i="89"/>
  <c r="Y50" i="89"/>
  <c r="U68" i="89"/>
  <c r="X80" i="89"/>
  <c r="AA89" i="89"/>
  <c r="U95" i="89"/>
  <c r="S41" i="89"/>
  <c r="AB41" i="89"/>
  <c r="AB74" i="89"/>
  <c r="U101" i="89"/>
  <c r="W41" i="89"/>
  <c r="V68" i="89"/>
  <c r="V50" i="89"/>
  <c r="Z95" i="89"/>
  <c r="T74" i="89"/>
  <c r="AB101" i="89"/>
  <c r="W80" i="89"/>
  <c r="T51" i="89"/>
  <c r="X74" i="89"/>
  <c r="X101" i="89"/>
  <c r="S51" i="89"/>
  <c r="P157" i="98" l="1"/>
  <c r="AE16" i="45"/>
  <c r="AE29" i="42" s="1"/>
  <c r="AB16" i="45"/>
  <c r="AB29" i="42" s="1"/>
  <c r="AC16" i="45"/>
  <c r="AC29" i="42" s="1"/>
  <c r="AA16" i="45"/>
  <c r="AA29" i="42" s="1"/>
  <c r="Y16" i="45"/>
  <c r="Y29" i="42" s="1"/>
  <c r="Z16" i="45"/>
  <c r="Z29" i="42" s="1"/>
  <c r="AF16" i="45"/>
  <c r="AF29" i="42" s="1"/>
  <c r="AG16" i="45"/>
  <c r="AG29" i="42" s="1"/>
  <c r="AD16" i="45"/>
  <c r="AD29" i="42" s="1"/>
  <c r="P92" i="57"/>
  <c r="BN92" i="57"/>
  <c r="DB92" i="57"/>
  <c r="Z95" i="57"/>
  <c r="CX92" i="57"/>
  <c r="AG92" i="57"/>
  <c r="BQ89" i="57"/>
  <c r="DQ89" i="57"/>
  <c r="DE89" i="57"/>
  <c r="AD89" i="57"/>
  <c r="BN86" i="57"/>
  <c r="DB86" i="57"/>
  <c r="DN86" i="57"/>
  <c r="DM89" i="57"/>
  <c r="DA89" i="57"/>
  <c r="BM89" i="57"/>
  <c r="T89" i="57"/>
  <c r="BD89" i="57" s="1"/>
  <c r="BD86" i="57"/>
  <c r="BG324" i="57"/>
  <c r="BF86" i="57"/>
  <c r="DK325" i="57"/>
  <c r="BH89" i="57"/>
  <c r="AZ86" i="57"/>
  <c r="BG86" i="57"/>
  <c r="BF83" i="57"/>
  <c r="BG83" i="57"/>
  <c r="Y92" i="57"/>
  <c r="BI89" i="57"/>
  <c r="CW89" i="57"/>
  <c r="DD92" i="57"/>
  <c r="BP325" i="57"/>
  <c r="BO89" i="57"/>
  <c r="DO89" i="57"/>
  <c r="DC89" i="57"/>
  <c r="BP89" i="57"/>
  <c r="DP89" i="57"/>
  <c r="DD89" i="57"/>
  <c r="BM325" i="57"/>
  <c r="BL89" i="57"/>
  <c r="DL89" i="57"/>
  <c r="CZ89" i="57"/>
  <c r="DA92" i="57"/>
  <c r="BA89" i="57"/>
  <c r="AA95" i="57"/>
  <c r="BK92" i="57"/>
  <c r="CY92" i="57"/>
  <c r="DK89" i="57"/>
  <c r="BK89" i="57"/>
  <c r="CY89" i="57"/>
  <c r="DL86" i="57"/>
  <c r="DB325" i="57"/>
  <c r="DB324" i="57"/>
  <c r="DN324" i="57"/>
  <c r="BN324" i="57"/>
  <c r="AQ324" i="57"/>
  <c r="BO324" i="57"/>
  <c r="X92" i="57"/>
  <c r="DP92" i="57" s="1"/>
  <c r="AE92" i="57"/>
  <c r="DJ325" i="57"/>
  <c r="AD95" i="57"/>
  <c r="DM325" i="57"/>
  <c r="DP325" i="57"/>
  <c r="DN325" i="57"/>
  <c r="BD325" i="57"/>
  <c r="BY95" i="57"/>
  <c r="CU95" i="57"/>
  <c r="DH95" i="57" s="1"/>
  <c r="CV324" i="57"/>
  <c r="DI324" i="57" s="1"/>
  <c r="BZ324" i="57"/>
  <c r="BE325" i="57"/>
  <c r="BL325" i="57"/>
  <c r="CZ325" i="57"/>
  <c r="DL325" i="57"/>
  <c r="AB92" i="57"/>
  <c r="BM92" i="57" s="1"/>
  <c r="CV86" i="57"/>
  <c r="DI86" i="57" s="1"/>
  <c r="BZ86" i="57"/>
  <c r="BI325" i="57"/>
  <c r="CW325" i="57"/>
  <c r="Y95" i="57"/>
  <c r="AY101" i="57"/>
  <c r="I107" i="57"/>
  <c r="P95" i="57"/>
  <c r="K101" i="57"/>
  <c r="K104" i="57" s="1"/>
  <c r="L92" i="57"/>
  <c r="L95" i="57" s="1"/>
  <c r="CV327" i="57"/>
  <c r="DI327" i="57" s="1"/>
  <c r="BZ327" i="57"/>
  <c r="W95" i="57"/>
  <c r="BA325" i="57"/>
  <c r="BO325" i="57"/>
  <c r="DO325" i="57"/>
  <c r="DC325" i="57"/>
  <c r="S95" i="57"/>
  <c r="BC95" i="57" s="1"/>
  <c r="CV95" i="57"/>
  <c r="DI95" i="57" s="1"/>
  <c r="BZ95" i="57"/>
  <c r="BF324" i="57"/>
  <c r="BB325" i="57"/>
  <c r="BJ325" i="57"/>
  <c r="V89" i="57"/>
  <c r="BF89" i="57" s="1"/>
  <c r="AY92" i="57"/>
  <c r="I98" i="57"/>
  <c r="N95" i="57"/>
  <c r="N98" i="57" s="1"/>
  <c r="AX92" i="57"/>
  <c r="F98" i="57"/>
  <c r="Z98" i="57"/>
  <c r="U92" i="57"/>
  <c r="O89" i="57"/>
  <c r="AZ89" i="57" s="1"/>
  <c r="AC95" i="57"/>
  <c r="CU327" i="57"/>
  <c r="DH327" i="57" s="1"/>
  <c r="BY327" i="57"/>
  <c r="BY86" i="57"/>
  <c r="CU86" i="57"/>
  <c r="DH86" i="57" s="1"/>
  <c r="BK327" i="57"/>
  <c r="AM327" i="57"/>
  <c r="AX101" i="57"/>
  <c r="F107" i="57"/>
  <c r="BD324" i="57"/>
  <c r="T92" i="57"/>
  <c r="BD92" i="57" s="1"/>
  <c r="BY324" i="57"/>
  <c r="CU324" i="57"/>
  <c r="DH324" i="57" s="1"/>
  <c r="M95" i="57"/>
  <c r="M98" i="57" s="1"/>
  <c r="AD98" i="57"/>
  <c r="BH325" i="57"/>
  <c r="BQ325" i="57"/>
  <c r="DQ325" i="57"/>
  <c r="DE325" i="57"/>
  <c r="AG95" i="57"/>
  <c r="Q92" i="57"/>
  <c r="BA92" i="57" s="1"/>
  <c r="BE324" i="57"/>
  <c r="AA98" i="57"/>
  <c r="AF95" i="57"/>
  <c r="R98" i="57"/>
  <c r="X68" i="62"/>
  <c r="X28" i="62"/>
  <c r="X26" i="62"/>
  <c r="X36" i="62"/>
  <c r="AF30" i="36"/>
  <c r="Q12" i="90"/>
  <c r="T13" i="90"/>
  <c r="T16" i="90"/>
  <c r="T11" i="90"/>
  <c r="AC17" i="12"/>
  <c r="AG19" i="12" s="1"/>
  <c r="W32" i="89"/>
  <c r="AB24" i="89"/>
  <c r="W24" i="89"/>
  <c r="AB32" i="89"/>
  <c r="AG31" i="12"/>
  <c r="AD23" i="108" s="1"/>
  <c r="M34" i="90"/>
  <c r="H34" i="90"/>
  <c r="AE31" i="12"/>
  <c r="AB23" i="108" s="1"/>
  <c r="AD31" i="12"/>
  <c r="AA23" i="108" s="1"/>
  <c r="K157" i="98"/>
  <c r="S37" i="98"/>
  <c r="AF13" i="42"/>
  <c r="S80" i="98"/>
  <c r="T37" i="98"/>
  <c r="AG13" i="42"/>
  <c r="T80" i="98"/>
  <c r="AF31" i="12"/>
  <c r="AC23" i="108" s="1"/>
  <c r="P155" i="98"/>
  <c r="P127" i="98"/>
  <c r="R37" i="98"/>
  <c r="AE13" i="42"/>
  <c r="R80" i="98"/>
  <c r="Q37" i="98"/>
  <c r="AD13" i="42"/>
  <c r="Q80" i="98"/>
  <c r="W28" i="89"/>
  <c r="AB28" i="89"/>
  <c r="T12" i="90"/>
  <c r="Q16" i="90"/>
  <c r="Q14" i="90"/>
  <c r="Q15" i="90"/>
  <c r="Q13" i="90"/>
  <c r="T14" i="90"/>
  <c r="T15" i="90"/>
  <c r="T52" i="89"/>
  <c r="V52" i="89"/>
  <c r="AO67" i="40"/>
  <c r="U52" i="89"/>
  <c r="S52" i="89"/>
  <c r="Y52" i="89"/>
  <c r="AB52" i="89"/>
  <c r="AA52" i="89"/>
  <c r="Z52" i="89"/>
  <c r="W52" i="89"/>
  <c r="AH40" i="40"/>
  <c r="AO40" i="40"/>
  <c r="AG40" i="40"/>
  <c r="AN40" i="40"/>
  <c r="AM40" i="40"/>
  <c r="AL40" i="40"/>
  <c r="AK40" i="40"/>
  <c r="AJ40" i="40"/>
  <c r="AI40" i="40"/>
  <c r="P80" i="98" l="1"/>
  <c r="AC13" i="42"/>
  <c r="AC31" i="12"/>
  <c r="Z23" i="108" s="1"/>
  <c r="P37" i="98"/>
  <c r="U95" i="57"/>
  <c r="BE92" i="57"/>
  <c r="DK92" i="57"/>
  <c r="CW92" i="57"/>
  <c r="BI92" i="57"/>
  <c r="BN325" i="57"/>
  <c r="BN89" i="57"/>
  <c r="DN89" i="57"/>
  <c r="DB89" i="57"/>
  <c r="DJ92" i="57"/>
  <c r="CX327" i="57"/>
  <c r="BJ327" i="57"/>
  <c r="CW95" i="57"/>
  <c r="BG89" i="57"/>
  <c r="BJ95" i="57"/>
  <c r="CX95" i="57"/>
  <c r="BE89" i="57"/>
  <c r="CY95" i="57"/>
  <c r="BK95" i="57"/>
  <c r="AA101" i="57"/>
  <c r="BK98" i="57"/>
  <c r="BN95" i="57"/>
  <c r="DB95" i="57"/>
  <c r="R101" i="57"/>
  <c r="AF98" i="57"/>
  <c r="DD95" i="57"/>
  <c r="AC98" i="57"/>
  <c r="DA95" i="57"/>
  <c r="DC92" i="57"/>
  <c r="BO92" i="57"/>
  <c r="DO92" i="57"/>
  <c r="BQ95" i="57"/>
  <c r="DE95" i="57"/>
  <c r="BH92" i="57"/>
  <c r="BB92" i="57"/>
  <c r="BP92" i="57"/>
  <c r="BQ92" i="57"/>
  <c r="DQ92" i="57"/>
  <c r="DE92" i="57"/>
  <c r="P98" i="57"/>
  <c r="AB95" i="57"/>
  <c r="BM95" i="57" s="1"/>
  <c r="BL92" i="57"/>
  <c r="DL92" i="57"/>
  <c r="CZ92" i="57"/>
  <c r="DM92" i="57"/>
  <c r="BJ92" i="57"/>
  <c r="DN92" i="57"/>
  <c r="X95" i="57"/>
  <c r="BI95" i="57" s="1"/>
  <c r="AE95" i="57"/>
  <c r="BN327" i="57"/>
  <c r="DB327" i="57"/>
  <c r="AL327" i="57"/>
  <c r="AP327" i="57"/>
  <c r="DN327" i="57"/>
  <c r="BF325" i="57"/>
  <c r="BG325" i="57"/>
  <c r="AY107" i="57"/>
  <c r="I113" i="57"/>
  <c r="AY331" i="57"/>
  <c r="BZ101" i="57"/>
  <c r="CV101" i="57"/>
  <c r="DI101" i="57" s="1"/>
  <c r="BL327" i="57"/>
  <c r="CZ327" i="57"/>
  <c r="AN327" i="57"/>
  <c r="DJ328" i="57"/>
  <c r="BO327" i="57"/>
  <c r="DC327" i="57"/>
  <c r="W98" i="57"/>
  <c r="AE98" i="57"/>
  <c r="T95" i="57"/>
  <c r="BD95" i="57" s="1"/>
  <c r="R104" i="57"/>
  <c r="BQ327" i="57"/>
  <c r="DQ327" i="57"/>
  <c r="DE327" i="57"/>
  <c r="AS327" i="57"/>
  <c r="AX98" i="57"/>
  <c r="F104" i="57"/>
  <c r="AX328" i="57"/>
  <c r="DJ327" i="57"/>
  <c r="CW327" i="57"/>
  <c r="BI327" i="57"/>
  <c r="AK327" i="57"/>
  <c r="AB98" i="57"/>
  <c r="AX107" i="57"/>
  <c r="F113" i="57"/>
  <c r="AX331" i="57"/>
  <c r="CU92" i="57"/>
  <c r="DH92" i="57" s="1"/>
  <c r="BY92" i="57"/>
  <c r="V92" i="57"/>
  <c r="L98" i="57"/>
  <c r="BN328" i="57"/>
  <c r="DN328" i="57"/>
  <c r="DB328" i="57"/>
  <c r="CU101" i="57"/>
  <c r="DH101" i="57" s="1"/>
  <c r="BY101" i="57"/>
  <c r="BM327" i="57"/>
  <c r="DA327" i="57"/>
  <c r="AO327" i="57"/>
  <c r="AC101" i="57"/>
  <c r="AG98" i="57"/>
  <c r="N101" i="57"/>
  <c r="K107" i="57"/>
  <c r="BC327" i="57"/>
  <c r="BP327" i="57"/>
  <c r="DP327" i="57"/>
  <c r="DD327" i="57"/>
  <c r="AR327" i="57"/>
  <c r="AF101" i="57"/>
  <c r="BK328" i="57"/>
  <c r="DK328" i="57"/>
  <c r="CY328" i="57"/>
  <c r="AA104" i="57"/>
  <c r="M101" i="57"/>
  <c r="CY327" i="57"/>
  <c r="AY98" i="57"/>
  <c r="I104" i="57"/>
  <c r="AY328" i="57"/>
  <c r="Q95" i="57"/>
  <c r="P101" i="57"/>
  <c r="S98" i="57"/>
  <c r="BC98" i="57" s="1"/>
  <c r="U98" i="57"/>
  <c r="DA328" i="57"/>
  <c r="BH327" i="57"/>
  <c r="AJ327" i="57"/>
  <c r="X101" i="57"/>
  <c r="AD101" i="57"/>
  <c r="DK327" i="57"/>
  <c r="BZ92" i="57"/>
  <c r="CV92" i="57"/>
  <c r="DI92" i="57" s="1"/>
  <c r="Z101" i="57"/>
  <c r="AZ325" i="57"/>
  <c r="O92" i="57"/>
  <c r="AZ92" i="57" s="1"/>
  <c r="Y98" i="57"/>
  <c r="AK13" i="42"/>
  <c r="AO13" i="42"/>
  <c r="S90" i="30"/>
  <c r="S26" i="30" s="1"/>
  <c r="S21" i="42" s="1"/>
  <c r="S27" i="45" s="1"/>
  <c r="S39" i="41" s="1"/>
  <c r="T90" i="30"/>
  <c r="T26" i="30" s="1"/>
  <c r="T21" i="42" s="1"/>
  <c r="T27" i="45" s="1"/>
  <c r="T39" i="41" s="1"/>
  <c r="U90" i="30"/>
  <c r="U26" i="30" s="1"/>
  <c r="U21" i="42" s="1"/>
  <c r="V90" i="30"/>
  <c r="V26" i="30" s="1"/>
  <c r="V21" i="42" s="1"/>
  <c r="W90" i="30"/>
  <c r="W26" i="30" s="1"/>
  <c r="W21" i="42" s="1"/>
  <c r="S29" i="30"/>
  <c r="S25" i="42" s="1"/>
  <c r="S49" i="30"/>
  <c r="S13" i="30" s="1"/>
  <c r="AA5" i="98" s="1"/>
  <c r="T49" i="30"/>
  <c r="T13" i="30" s="1"/>
  <c r="AB5" i="98" s="1"/>
  <c r="U49" i="30"/>
  <c r="U13" i="30" s="1"/>
  <c r="AC5" i="98" s="1"/>
  <c r="V49" i="30"/>
  <c r="V13" i="30" s="1"/>
  <c r="AD5" i="98" s="1"/>
  <c r="W49" i="30"/>
  <c r="W13" i="30" s="1"/>
  <c r="AE5" i="98" s="1"/>
  <c r="S42" i="30"/>
  <c r="S12" i="30" s="1"/>
  <c r="AA4" i="98" s="1"/>
  <c r="T42" i="30"/>
  <c r="T12" i="30" s="1"/>
  <c r="AB4" i="98" s="1"/>
  <c r="U42" i="30"/>
  <c r="U12" i="30" s="1"/>
  <c r="AC4" i="98" s="1"/>
  <c r="V42" i="30"/>
  <c r="V12" i="30" s="1"/>
  <c r="AD4" i="98" s="1"/>
  <c r="W42" i="30"/>
  <c r="W12" i="30" s="1"/>
  <c r="AE4" i="98" s="1"/>
  <c r="R28" i="30"/>
  <c r="R24" i="42" s="1"/>
  <c r="R101" i="41" s="1"/>
  <c r="R110" i="41" s="1"/>
  <c r="R30" i="30"/>
  <c r="R90" i="30"/>
  <c r="R82" i="30"/>
  <c r="R56" i="30"/>
  <c r="R49" i="30"/>
  <c r="R42" i="30"/>
  <c r="R29" i="30"/>
  <c r="R25" i="42" s="1"/>
  <c r="R42" i="41" s="1"/>
  <c r="R76" i="41" s="1"/>
  <c r="R74" i="12"/>
  <c r="X74" i="12"/>
  <c r="Y74" i="12"/>
  <c r="Y13" i="12" s="1"/>
  <c r="Z74" i="12"/>
  <c r="AA74" i="12"/>
  <c r="AB74" i="12"/>
  <c r="AB13" i="12" s="1"/>
  <c r="R63" i="12"/>
  <c r="R12" i="12" s="1"/>
  <c r="E83" i="98" s="1"/>
  <c r="X63" i="12"/>
  <c r="Y63" i="12"/>
  <c r="Y12" i="12" s="1"/>
  <c r="L83" i="98" s="1"/>
  <c r="Z63" i="12"/>
  <c r="AA63" i="12"/>
  <c r="AA12" i="12" s="1"/>
  <c r="N83" i="98" s="1"/>
  <c r="AB63" i="12"/>
  <c r="AB12" i="12" s="1"/>
  <c r="O83" i="98" s="1"/>
  <c r="S13" i="56"/>
  <c r="R85" i="12"/>
  <c r="S85" i="12"/>
  <c r="S14" i="12" s="1"/>
  <c r="T85" i="12"/>
  <c r="U85" i="12"/>
  <c r="V85" i="12"/>
  <c r="V14" i="12" s="1"/>
  <c r="W85" i="12"/>
  <c r="W14" i="12" s="1"/>
  <c r="X85" i="12"/>
  <c r="Y85" i="12"/>
  <c r="Y14" i="12" s="1"/>
  <c r="Z85" i="12"/>
  <c r="AA85" i="12"/>
  <c r="AA14" i="12" s="1"/>
  <c r="AB85" i="12"/>
  <c r="AB14" i="12" s="1"/>
  <c r="P453" i="36"/>
  <c r="M13" i="36"/>
  <c r="M452" i="36" s="1"/>
  <c r="M453" i="36" s="1"/>
  <c r="L13" i="36"/>
  <c r="L452" i="36" s="1"/>
  <c r="L453" i="36" s="1"/>
  <c r="K13" i="36"/>
  <c r="N12" i="34"/>
  <c r="N18" i="34"/>
  <c r="N17" i="34"/>
  <c r="N14" i="34"/>
  <c r="N21" i="34"/>
  <c r="N22" i="34"/>
  <c r="F184" i="44"/>
  <c r="F183" i="44"/>
  <c r="N16" i="34"/>
  <c r="F80" i="44"/>
  <c r="O14" i="34"/>
  <c r="O96" i="44" s="1"/>
  <c r="O22" i="34"/>
  <c r="P12" i="34"/>
  <c r="P18" i="34"/>
  <c r="P17" i="34"/>
  <c r="P14" i="34"/>
  <c r="P96" i="44" s="1"/>
  <c r="P21" i="34"/>
  <c r="P22" i="34"/>
  <c r="P16" i="34"/>
  <c r="Q12" i="34"/>
  <c r="Q18" i="34"/>
  <c r="Q17" i="34"/>
  <c r="Q14" i="34"/>
  <c r="Q96" i="44" s="1"/>
  <c r="Q21" i="34"/>
  <c r="Q22" i="34"/>
  <c r="Q16" i="34"/>
  <c r="R12" i="34"/>
  <c r="R18" i="34"/>
  <c r="R17" i="34"/>
  <c r="R14" i="34"/>
  <c r="R21" i="34"/>
  <c r="R22" i="34"/>
  <c r="R194" i="44"/>
  <c r="R132" i="44"/>
  <c r="R208" i="44" s="1"/>
  <c r="R16" i="34"/>
  <c r="R138" i="44"/>
  <c r="R91" i="44"/>
  <c r="R100" i="44"/>
  <c r="S12" i="34"/>
  <c r="S18" i="34"/>
  <c r="S17" i="34"/>
  <c r="S14" i="34"/>
  <c r="S21" i="34"/>
  <c r="H184" i="44"/>
  <c r="S22" i="34"/>
  <c r="S194" i="44"/>
  <c r="H183" i="44"/>
  <c r="S132" i="44"/>
  <c r="S208" i="44" s="1"/>
  <c r="S16" i="34"/>
  <c r="S51" i="44"/>
  <c r="S138" i="44" s="1"/>
  <c r="S91" i="44"/>
  <c r="S100" i="44"/>
  <c r="T12" i="34"/>
  <c r="T18" i="34"/>
  <c r="T17" i="34"/>
  <c r="T14" i="34"/>
  <c r="T21" i="34"/>
  <c r="T22" i="34"/>
  <c r="T61" i="44"/>
  <c r="T194" i="44" s="1"/>
  <c r="T41" i="44"/>
  <c r="T16" i="34"/>
  <c r="T51" i="44"/>
  <c r="T138" i="44" s="1"/>
  <c r="T20" i="44"/>
  <c r="T91" i="44" s="1"/>
  <c r="T28" i="44"/>
  <c r="T100" i="44" s="1"/>
  <c r="U12" i="34"/>
  <c r="U18" i="34"/>
  <c r="U17" i="34"/>
  <c r="U14" i="34"/>
  <c r="U21" i="34"/>
  <c r="U22" i="34"/>
  <c r="U61" i="44"/>
  <c r="U194" i="44" s="1"/>
  <c r="U41" i="44"/>
  <c r="U16" i="34"/>
  <c r="U51" i="44"/>
  <c r="U138" i="44" s="1"/>
  <c r="U20" i="44"/>
  <c r="U91" i="44" s="1"/>
  <c r="U28" i="44"/>
  <c r="U100" i="44" s="1"/>
  <c r="V12" i="34"/>
  <c r="V18" i="34"/>
  <c r="V17" i="34"/>
  <c r="V14" i="34"/>
  <c r="V21" i="34"/>
  <c r="V22" i="34"/>
  <c r="V61" i="44"/>
  <c r="V194" i="44" s="1"/>
  <c r="V41" i="44"/>
  <c r="V16" i="34"/>
  <c r="V51" i="44"/>
  <c r="V138" i="44" s="1"/>
  <c r="V20" i="44"/>
  <c r="V91" i="44" s="1"/>
  <c r="V28" i="44"/>
  <c r="V100" i="44" s="1"/>
  <c r="W12" i="34"/>
  <c r="W18" i="34"/>
  <c r="W17" i="34"/>
  <c r="W14" i="34"/>
  <c r="W21" i="34"/>
  <c r="W22" i="34"/>
  <c r="W61" i="44"/>
  <c r="W194" i="44" s="1"/>
  <c r="W41" i="44"/>
  <c r="W16" i="34"/>
  <c r="W51" i="44"/>
  <c r="W138" i="44" s="1"/>
  <c r="W20" i="44"/>
  <c r="W91" i="44" s="1"/>
  <c r="W28" i="44"/>
  <c r="W100" i="44" s="1"/>
  <c r="X12" i="34"/>
  <c r="X18" i="34"/>
  <c r="X17" i="34"/>
  <c r="X14" i="34"/>
  <c r="X21" i="34"/>
  <c r="X22" i="34"/>
  <c r="X61" i="44"/>
  <c r="X194" i="44" s="1"/>
  <c r="X41" i="44"/>
  <c r="X16" i="34"/>
  <c r="X51" i="44"/>
  <c r="X138" i="44" s="1"/>
  <c r="X20" i="44"/>
  <c r="X91" i="44" s="1"/>
  <c r="X28" i="44"/>
  <c r="X100" i="44" s="1"/>
  <c r="Y12" i="34"/>
  <c r="Y18" i="34"/>
  <c r="Y17" i="34"/>
  <c r="Y14" i="34"/>
  <c r="Y21" i="34"/>
  <c r="Y22" i="34"/>
  <c r="Y61" i="44"/>
  <c r="Y194" i="44" s="1"/>
  <c r="Y41" i="44"/>
  <c r="Y16" i="34"/>
  <c r="Y51" i="44"/>
  <c r="Y138" i="44" s="1"/>
  <c r="Y20" i="44"/>
  <c r="Y91" i="44" s="1"/>
  <c r="Y28" i="44"/>
  <c r="Y100" i="44" s="1"/>
  <c r="Z12" i="34"/>
  <c r="Z18" i="34"/>
  <c r="Z17" i="34"/>
  <c r="Z14" i="34"/>
  <c r="Z21" i="34"/>
  <c r="Z22" i="34"/>
  <c r="Z61" i="44"/>
  <c r="Z194" i="44" s="1"/>
  <c r="Z41" i="44"/>
  <c r="Z16" i="34"/>
  <c r="Z51" i="44"/>
  <c r="Z138" i="44" s="1"/>
  <c r="Z20" i="44"/>
  <c r="Z91" i="44" s="1"/>
  <c r="Z28" i="44"/>
  <c r="Z100" i="44" s="1"/>
  <c r="AA12" i="34"/>
  <c r="AA18" i="34"/>
  <c r="AA17" i="34"/>
  <c r="AA14" i="34"/>
  <c r="AA21" i="34"/>
  <c r="AA22" i="34"/>
  <c r="AA61" i="44"/>
  <c r="AA194" i="44" s="1"/>
  <c r="AA41" i="44"/>
  <c r="AA16" i="34"/>
  <c r="AA51" i="44"/>
  <c r="AA138" i="44" s="1"/>
  <c r="AA20" i="44"/>
  <c r="AA91" i="44" s="1"/>
  <c r="AA28" i="44"/>
  <c r="AA100" i="44" s="1"/>
  <c r="AB61" i="44"/>
  <c r="AB194" i="44" s="1"/>
  <c r="AB21" i="34"/>
  <c r="AB18" i="34"/>
  <c r="AB17" i="34"/>
  <c r="AB22" i="34"/>
  <c r="AB12" i="34"/>
  <c r="AB20" i="44"/>
  <c r="AB91" i="44" s="1"/>
  <c r="AB14" i="34"/>
  <c r="AB28" i="44"/>
  <c r="AB100" i="44" s="1"/>
  <c r="H80" i="44"/>
  <c r="D61" i="44"/>
  <c r="AB41" i="44"/>
  <c r="K12" i="34"/>
  <c r="K18" i="34"/>
  <c r="K17" i="34"/>
  <c r="K14" i="34"/>
  <c r="K21" i="34"/>
  <c r="K22" i="34"/>
  <c r="K16" i="34"/>
  <c r="L12" i="34"/>
  <c r="L18" i="34"/>
  <c r="L17" i="34"/>
  <c r="L14" i="34"/>
  <c r="L21" i="34"/>
  <c r="L22" i="34"/>
  <c r="L16" i="34"/>
  <c r="M12" i="34"/>
  <c r="M18" i="34"/>
  <c r="M17" i="34"/>
  <c r="M14" i="34"/>
  <c r="M21" i="34"/>
  <c r="M22" i="34"/>
  <c r="M16" i="34"/>
  <c r="R248" i="34"/>
  <c r="N248" i="34"/>
  <c r="R233" i="34"/>
  <c r="N233" i="34"/>
  <c r="R218" i="34"/>
  <c r="N218" i="34"/>
  <c r="R203" i="34"/>
  <c r="N203" i="34"/>
  <c r="R188" i="34"/>
  <c r="N188" i="34"/>
  <c r="R173" i="34"/>
  <c r="N173" i="34"/>
  <c r="R158" i="34"/>
  <c r="N158" i="34"/>
  <c r="R143" i="34"/>
  <c r="N143" i="34"/>
  <c r="R128" i="34"/>
  <c r="N128" i="34"/>
  <c r="R113" i="34"/>
  <c r="N113" i="34"/>
  <c r="R98" i="34"/>
  <c r="N98" i="34"/>
  <c r="R83" i="34"/>
  <c r="N83" i="34"/>
  <c r="R68" i="34"/>
  <c r="N68" i="34"/>
  <c r="R53" i="34"/>
  <c r="N53" i="34"/>
  <c r="L15" i="57"/>
  <c r="M15" i="57"/>
  <c r="N15" i="57"/>
  <c r="O15" i="57"/>
  <c r="P15" i="57"/>
  <c r="Q15" i="57"/>
  <c r="R15" i="57"/>
  <c r="K15" i="57"/>
  <c r="N49" i="57"/>
  <c r="P49" i="57"/>
  <c r="J56" i="30"/>
  <c r="J14" i="30" s="1"/>
  <c r="J42" i="30"/>
  <c r="J12" i="30" s="1"/>
  <c r="K158" i="34"/>
  <c r="L158" i="34"/>
  <c r="M158" i="34"/>
  <c r="K63" i="12"/>
  <c r="K12" i="12" s="1"/>
  <c r="K74" i="12"/>
  <c r="L63" i="12"/>
  <c r="L12" i="12" s="1"/>
  <c r="L74" i="12"/>
  <c r="L13" i="12" s="1"/>
  <c r="M63" i="12"/>
  <c r="M74" i="12"/>
  <c r="B2" i="41"/>
  <c r="C2" i="57"/>
  <c r="M63" i="30"/>
  <c r="M15" i="30" s="1"/>
  <c r="M42" i="30"/>
  <c r="M12" i="30" s="1"/>
  <c r="M49" i="30"/>
  <c r="M13" i="30" s="1"/>
  <c r="M56" i="30"/>
  <c r="M14" i="30" s="1"/>
  <c r="M70" i="30"/>
  <c r="M16" i="30" s="1"/>
  <c r="L56" i="30"/>
  <c r="L14" i="30" s="1"/>
  <c r="K56" i="30"/>
  <c r="K14" i="30" s="1"/>
  <c r="M85" i="12"/>
  <c r="M14" i="12" s="1"/>
  <c r="L85" i="12"/>
  <c r="K85" i="12"/>
  <c r="L82" i="30"/>
  <c r="M82" i="30"/>
  <c r="K82" i="30"/>
  <c r="K90" i="30"/>
  <c r="K26" i="30" s="1"/>
  <c r="K21" i="42" s="1"/>
  <c r="L90" i="30"/>
  <c r="M90" i="30"/>
  <c r="M26" i="30" s="1"/>
  <c r="M21" i="42" s="1"/>
  <c r="B2" i="45"/>
  <c r="C2" i="36"/>
  <c r="K116" i="12"/>
  <c r="K36" i="12"/>
  <c r="L116" i="12"/>
  <c r="L35" i="12" s="1"/>
  <c r="L36" i="12"/>
  <c r="M116" i="12"/>
  <c r="M35" i="12" s="1"/>
  <c r="M36" i="12"/>
  <c r="K96" i="12"/>
  <c r="K15" i="12" s="1"/>
  <c r="K106" i="12"/>
  <c r="K16" i="12" s="1"/>
  <c r="W116" i="12"/>
  <c r="W106" i="12"/>
  <c r="W16" i="12" s="1"/>
  <c r="W96" i="12"/>
  <c r="W15" i="12" s="1"/>
  <c r="V116" i="12"/>
  <c r="V106" i="12"/>
  <c r="V16" i="12" s="1"/>
  <c r="V96" i="12"/>
  <c r="V15" i="12" s="1"/>
  <c r="U116" i="12"/>
  <c r="U106" i="12"/>
  <c r="U16" i="12" s="1"/>
  <c r="U96" i="12"/>
  <c r="U15" i="12" s="1"/>
  <c r="T116" i="12"/>
  <c r="T106" i="12"/>
  <c r="T16" i="12" s="1"/>
  <c r="T96" i="12"/>
  <c r="T15" i="12" s="1"/>
  <c r="Q106" i="12"/>
  <c r="Q16" i="12" s="1"/>
  <c r="Q96" i="12"/>
  <c r="Q15" i="12" s="1"/>
  <c r="Q85" i="12"/>
  <c r="Q14" i="12" s="1"/>
  <c r="Q63" i="12"/>
  <c r="Q12" i="12" s="1"/>
  <c r="D83" i="98" s="1"/>
  <c r="L34" i="12"/>
  <c r="M34" i="12"/>
  <c r="N34" i="12"/>
  <c r="O34" i="12"/>
  <c r="P34" i="12"/>
  <c r="Q34" i="12"/>
  <c r="R34" i="12"/>
  <c r="S34" i="12"/>
  <c r="T34" i="12"/>
  <c r="U34" i="12"/>
  <c r="V34" i="12"/>
  <c r="I154" i="98" s="1"/>
  <c r="I130" i="98" s="1"/>
  <c r="W34" i="12"/>
  <c r="J154" i="98" s="1"/>
  <c r="J130" i="98" s="1"/>
  <c r="X34" i="12"/>
  <c r="X117" i="86" s="1"/>
  <c r="Y34" i="12"/>
  <c r="Y117" i="86" s="1"/>
  <c r="Z34" i="12"/>
  <c r="Z117" i="86" s="1"/>
  <c r="AA34" i="12"/>
  <c r="AA117" i="86" s="1"/>
  <c r="AB34" i="12"/>
  <c r="AB117" i="86" s="1"/>
  <c r="K34" i="12"/>
  <c r="B2" i="40"/>
  <c r="N90" i="30"/>
  <c r="N26" i="30" s="1"/>
  <c r="N21" i="42" s="1"/>
  <c r="J90" i="30"/>
  <c r="N82" i="30"/>
  <c r="S82" i="30"/>
  <c r="S25" i="30" s="1"/>
  <c r="S20" i="42" s="1"/>
  <c r="S311" i="44" s="1"/>
  <c r="T82" i="30"/>
  <c r="T25" i="30" s="1"/>
  <c r="T20" i="42" s="1"/>
  <c r="T311" i="44" s="1"/>
  <c r="U82" i="30"/>
  <c r="U25" i="30" s="1"/>
  <c r="U20" i="42" s="1"/>
  <c r="U311" i="44" s="1"/>
  <c r="V82" i="30"/>
  <c r="V25" i="30" s="1"/>
  <c r="V20" i="42" s="1"/>
  <c r="V311" i="44" s="1"/>
  <c r="W82" i="30"/>
  <c r="W25" i="30" s="1"/>
  <c r="W20" i="42" s="1"/>
  <c r="W311" i="44" s="1"/>
  <c r="J82" i="30"/>
  <c r="K42" i="30"/>
  <c r="K12" i="30" s="1"/>
  <c r="K49" i="30"/>
  <c r="K13" i="30" s="1"/>
  <c r="K63" i="30"/>
  <c r="K15" i="30" s="1"/>
  <c r="K70" i="30"/>
  <c r="K16" i="30" s="1"/>
  <c r="L42" i="30"/>
  <c r="L12" i="30" s="1"/>
  <c r="L49" i="30"/>
  <c r="L13" i="30" s="1"/>
  <c r="L63" i="30"/>
  <c r="L15" i="30" s="1"/>
  <c r="L70" i="30"/>
  <c r="L16" i="30" s="1"/>
  <c r="N42" i="30"/>
  <c r="N12" i="30" s="1"/>
  <c r="N49" i="30"/>
  <c r="N13" i="30" s="1"/>
  <c r="N56" i="30"/>
  <c r="N14" i="30" s="1"/>
  <c r="N63" i="30"/>
  <c r="N15" i="30" s="1"/>
  <c r="N70" i="30"/>
  <c r="N16" i="30" s="1"/>
  <c r="O13" i="30"/>
  <c r="O14" i="30"/>
  <c r="O15" i="30"/>
  <c r="O16" i="30"/>
  <c r="P12" i="30"/>
  <c r="X4" i="98" s="1"/>
  <c r="P13" i="30"/>
  <c r="X5" i="98" s="1"/>
  <c r="P14" i="30"/>
  <c r="P15" i="30"/>
  <c r="P16" i="30"/>
  <c r="Q12" i="30"/>
  <c r="Y4" i="98" s="1"/>
  <c r="Q13" i="30"/>
  <c r="Y5" i="98" s="1"/>
  <c r="Q14" i="30"/>
  <c r="Q15" i="30"/>
  <c r="Q16" i="30"/>
  <c r="J49" i="30"/>
  <c r="J13" i="30" s="1"/>
  <c r="J63" i="30"/>
  <c r="J15" i="30" s="1"/>
  <c r="J70" i="30"/>
  <c r="J16" i="30" s="1"/>
  <c r="D48" i="30"/>
  <c r="D55" i="30" s="1"/>
  <c r="D62" i="30" s="1"/>
  <c r="D69" i="30" s="1"/>
  <c r="D47" i="30"/>
  <c r="D54" i="30" s="1"/>
  <c r="D61" i="30" s="1"/>
  <c r="D68" i="30" s="1"/>
  <c r="D46" i="30"/>
  <c r="D53" i="30" s="1"/>
  <c r="D60" i="30" s="1"/>
  <c r="D67" i="30" s="1"/>
  <c r="D45" i="30"/>
  <c r="D52" i="30" s="1"/>
  <c r="D59" i="30" s="1"/>
  <c r="D66" i="30" s="1"/>
  <c r="L106" i="12"/>
  <c r="L16" i="12" s="1"/>
  <c r="M106" i="12"/>
  <c r="N106" i="12"/>
  <c r="N16" i="12" s="1"/>
  <c r="O106" i="12"/>
  <c r="O16" i="12" s="1"/>
  <c r="P106" i="12"/>
  <c r="R106" i="12"/>
  <c r="R16" i="12" s="1"/>
  <c r="S106" i="12"/>
  <c r="X106" i="12"/>
  <c r="Y106" i="12"/>
  <c r="Y16" i="12" s="1"/>
  <c r="Z106" i="12"/>
  <c r="AA106" i="12"/>
  <c r="AB106" i="12"/>
  <c r="G82" i="45"/>
  <c r="H90" i="41"/>
  <c r="O86" i="41" s="1"/>
  <c r="J30" i="30"/>
  <c r="J29" i="30"/>
  <c r="J25" i="42" s="1"/>
  <c r="J28" i="30"/>
  <c r="J24" i="42" s="1"/>
  <c r="W49" i="57"/>
  <c r="W57" i="57" s="1"/>
  <c r="W12" i="57" s="1"/>
  <c r="V46" i="36"/>
  <c r="V54" i="36" s="1"/>
  <c r="V12" i="36" s="1"/>
  <c r="W46" i="36"/>
  <c r="W54" i="36" s="1"/>
  <c r="W12" i="36" s="1"/>
  <c r="K30" i="30"/>
  <c r="L96" i="12"/>
  <c r="L15" i="12" s="1"/>
  <c r="M96" i="12"/>
  <c r="M15" i="12" s="1"/>
  <c r="M29" i="30"/>
  <c r="M25" i="42" s="1"/>
  <c r="N74" i="12"/>
  <c r="N13" i="12" s="1"/>
  <c r="N85" i="12"/>
  <c r="N14" i="12" s="1"/>
  <c r="N96" i="12"/>
  <c r="N15" i="12" s="1"/>
  <c r="N116" i="12"/>
  <c r="N35" i="12" s="1"/>
  <c r="N36" i="12"/>
  <c r="O15" i="36"/>
  <c r="O63" i="12"/>
  <c r="O12" i="12" s="1"/>
  <c r="O85" i="12"/>
  <c r="O96" i="12"/>
  <c r="O15" i="12" s="1"/>
  <c r="O35" i="12"/>
  <c r="O36" i="12"/>
  <c r="O29" i="30"/>
  <c r="O25" i="42" s="1"/>
  <c r="P63" i="12"/>
  <c r="P74" i="12"/>
  <c r="P85" i="12"/>
  <c r="P96" i="12"/>
  <c r="P36" i="12"/>
  <c r="R46" i="36"/>
  <c r="R54" i="36" s="1"/>
  <c r="R15" i="36"/>
  <c r="X96" i="12"/>
  <c r="X116" i="12"/>
  <c r="Y96" i="12"/>
  <c r="Y116" i="12"/>
  <c r="Y35" i="12" s="1"/>
  <c r="Y118" i="86" s="1"/>
  <c r="Z96" i="12"/>
  <c r="Z116" i="12"/>
  <c r="Z35" i="12" s="1"/>
  <c r="Z118" i="86" s="1"/>
  <c r="AA96" i="12"/>
  <c r="AA15" i="12" s="1"/>
  <c r="AA116" i="12"/>
  <c r="X49" i="57"/>
  <c r="X57" i="57" s="1"/>
  <c r="X12" i="57" s="1"/>
  <c r="X15" i="57"/>
  <c r="Y15" i="57"/>
  <c r="Z15" i="57"/>
  <c r="AA15" i="57"/>
  <c r="AB15" i="57"/>
  <c r="W15" i="57"/>
  <c r="Y49" i="57"/>
  <c r="Y57" i="57" s="1"/>
  <c r="Y12" i="57" s="1"/>
  <c r="Z49" i="57"/>
  <c r="Z57" i="57" s="1"/>
  <c r="Z12" i="57" s="1"/>
  <c r="AA49" i="57"/>
  <c r="AA57" i="57" s="1"/>
  <c r="AA12" i="57" s="1"/>
  <c r="AB49" i="57"/>
  <c r="AB57" i="57" s="1"/>
  <c r="AB12" i="57" s="1"/>
  <c r="AB68" i="57"/>
  <c r="AA68" i="57"/>
  <c r="Z68" i="57"/>
  <c r="Y68" i="57"/>
  <c r="X68" i="57"/>
  <c r="D72" i="57"/>
  <c r="D75" i="57" s="1"/>
  <c r="D78" i="57" s="1"/>
  <c r="D81" i="57" s="1"/>
  <c r="D84" i="57" s="1"/>
  <c r="D87" i="57" s="1"/>
  <c r="D90" i="57" s="1"/>
  <c r="D93" i="57" s="1"/>
  <c r="D96" i="57" s="1"/>
  <c r="D99" i="57" s="1"/>
  <c r="D102" i="57" s="1"/>
  <c r="D105" i="57" s="1"/>
  <c r="D108" i="57" s="1"/>
  <c r="D111" i="57" s="1"/>
  <c r="D114" i="57" s="1"/>
  <c r="D117" i="57" s="1"/>
  <c r="D120" i="57" s="1"/>
  <c r="D123" i="57" s="1"/>
  <c r="D126" i="57" s="1"/>
  <c r="D129" i="57" s="1"/>
  <c r="D132" i="57" s="1"/>
  <c r="D135" i="57" s="1"/>
  <c r="D138" i="57" s="1"/>
  <c r="D141" i="57" s="1"/>
  <c r="D144" i="57" s="1"/>
  <c r="D147" i="57" s="1"/>
  <c r="D150" i="57" s="1"/>
  <c r="D153" i="57" s="1"/>
  <c r="D156" i="57" s="1"/>
  <c r="D159" i="57" s="1"/>
  <c r="D162" i="57" s="1"/>
  <c r="D165" i="57" s="1"/>
  <c r="D168" i="57" s="1"/>
  <c r="D171" i="57" s="1"/>
  <c r="D174" i="57" s="1"/>
  <c r="D177" i="57" s="1"/>
  <c r="D180" i="57" s="1"/>
  <c r="D183" i="57" s="1"/>
  <c r="D186" i="57" s="1"/>
  <c r="D189" i="57" s="1"/>
  <c r="D192" i="57" s="1"/>
  <c r="D195" i="57" s="1"/>
  <c r="D198" i="57" s="1"/>
  <c r="D201" i="57" s="1"/>
  <c r="D204" i="57" s="1"/>
  <c r="D207" i="57" s="1"/>
  <c r="D210" i="57" s="1"/>
  <c r="D213" i="57" s="1"/>
  <c r="D216" i="57" s="1"/>
  <c r="D219" i="57" s="1"/>
  <c r="D222" i="57" s="1"/>
  <c r="D225" i="57" s="1"/>
  <c r="D228" i="57" s="1"/>
  <c r="D231" i="57" s="1"/>
  <c r="D234" i="57" s="1"/>
  <c r="D237" i="57" s="1"/>
  <c r="D240" i="57" s="1"/>
  <c r="D243" i="57" s="1"/>
  <c r="D246" i="57" s="1"/>
  <c r="D249" i="57" s="1"/>
  <c r="D252" i="57" s="1"/>
  <c r="D255" i="57" s="1"/>
  <c r="D258" i="57" s="1"/>
  <c r="D261" i="57" s="1"/>
  <c r="D264" i="57" s="1"/>
  <c r="D267" i="57" s="1"/>
  <c r="D270" i="57" s="1"/>
  <c r="D273" i="57" s="1"/>
  <c r="D276" i="57" s="1"/>
  <c r="D279" i="57" s="1"/>
  <c r="D282" i="57" s="1"/>
  <c r="D285" i="57" s="1"/>
  <c r="D288" i="57" s="1"/>
  <c r="D291" i="57" s="1"/>
  <c r="D294" i="57" s="1"/>
  <c r="D297" i="57" s="1"/>
  <c r="D300" i="57" s="1"/>
  <c r="D303" i="57" s="1"/>
  <c r="D306" i="57" s="1"/>
  <c r="D309" i="57" s="1"/>
  <c r="D312" i="57" s="1"/>
  <c r="D315" i="57" s="1"/>
  <c r="D318" i="57" s="1"/>
  <c r="D321" i="57" s="1"/>
  <c r="D324" i="57" s="1"/>
  <c r="D327" i="57" s="1"/>
  <c r="D330" i="57" s="1"/>
  <c r="D333" i="57" s="1"/>
  <c r="D336" i="57" s="1"/>
  <c r="D339" i="57" s="1"/>
  <c r="D342" i="57" s="1"/>
  <c r="D345" i="57" s="1"/>
  <c r="D348" i="57" s="1"/>
  <c r="D351" i="57" s="1"/>
  <c r="D354" i="57" s="1"/>
  <c r="D357" i="57" s="1"/>
  <c r="D360" i="57" s="1"/>
  <c r="D363" i="57" s="1"/>
  <c r="D366" i="57" s="1"/>
  <c r="D369" i="57" s="1"/>
  <c r="D372" i="57" s="1"/>
  <c r="D375" i="57" s="1"/>
  <c r="D378" i="57" s="1"/>
  <c r="D381" i="57" s="1"/>
  <c r="D384" i="57" s="1"/>
  <c r="D387" i="57" s="1"/>
  <c r="D390" i="57" s="1"/>
  <c r="D393" i="57" s="1"/>
  <c r="D396" i="57" s="1"/>
  <c r="D399" i="57" s="1"/>
  <c r="D402" i="57" s="1"/>
  <c r="D405" i="57" s="1"/>
  <c r="D408" i="57" s="1"/>
  <c r="D411" i="57" s="1"/>
  <c r="D414" i="57" s="1"/>
  <c r="D417" i="57" s="1"/>
  <c r="D420" i="57" s="1"/>
  <c r="D423" i="57" s="1"/>
  <c r="D426" i="57" s="1"/>
  <c r="D429" i="57" s="1"/>
  <c r="D432" i="57" s="1"/>
  <c r="D435" i="57" s="1"/>
  <c r="D438" i="57" s="1"/>
  <c r="D441" i="57" s="1"/>
  <c r="U46" i="36"/>
  <c r="U54" i="36" s="1"/>
  <c r="U12" i="36" s="1"/>
  <c r="S96" i="12"/>
  <c r="S15" i="12" s="1"/>
  <c r="P20" i="56"/>
  <c r="E13" i="12"/>
  <c r="E14" i="12"/>
  <c r="E15" i="12"/>
  <c r="E12" i="12"/>
  <c r="R96" i="12"/>
  <c r="R15" i="12" s="1"/>
  <c r="AB96" i="12"/>
  <c r="K29" i="30"/>
  <c r="K25" i="42" s="1"/>
  <c r="L29" i="30"/>
  <c r="L25" i="42" s="1"/>
  <c r="N29" i="30"/>
  <c r="N25" i="42" s="1"/>
  <c r="P29" i="30"/>
  <c r="P25" i="42" s="1"/>
  <c r="Q29" i="30"/>
  <c r="Q25" i="42" s="1"/>
  <c r="T29" i="30"/>
  <c r="U29" i="30"/>
  <c r="U25" i="42" s="1"/>
  <c r="U28" i="45" s="1"/>
  <c r="V29" i="30"/>
  <c r="W29" i="30"/>
  <c r="W25" i="42" s="1"/>
  <c r="W28" i="45" s="1"/>
  <c r="X29" i="30"/>
  <c r="Y29" i="30"/>
  <c r="W36" i="12"/>
  <c r="J156" i="98" s="1"/>
  <c r="J128" i="98" s="1"/>
  <c r="V36" i="12"/>
  <c r="I156" i="98" s="1"/>
  <c r="I128" i="98" s="1"/>
  <c r="U36" i="12"/>
  <c r="T36" i="12"/>
  <c r="S116" i="12"/>
  <c r="S36" i="12"/>
  <c r="R116" i="12"/>
  <c r="R36" i="12"/>
  <c r="Q36" i="12"/>
  <c r="N28" i="30"/>
  <c r="N24" i="42" s="1"/>
  <c r="N18" i="56"/>
  <c r="N20" i="56"/>
  <c r="O28" i="30"/>
  <c r="O24" i="42" s="1"/>
  <c r="O101" i="41" s="1"/>
  <c r="O110" i="41" s="1"/>
  <c r="O18" i="56"/>
  <c r="P28" i="30"/>
  <c r="P24" i="42" s="1"/>
  <c r="P101" i="41" s="1"/>
  <c r="P110" i="41" s="1"/>
  <c r="P18" i="56"/>
  <c r="Q28" i="30"/>
  <c r="Q24" i="42" s="1"/>
  <c r="Q101" i="41" s="1"/>
  <c r="Q110" i="41" s="1"/>
  <c r="Q18" i="56"/>
  <c r="R18" i="56"/>
  <c r="R113" i="41" s="1"/>
  <c r="S28" i="30"/>
  <c r="S24" i="42" s="1"/>
  <c r="S101" i="41" s="1"/>
  <c r="S110" i="41" s="1"/>
  <c r="S18" i="56"/>
  <c r="S113" i="41" s="1"/>
  <c r="T28" i="30"/>
  <c r="T24" i="42" s="1"/>
  <c r="T101" i="41" s="1"/>
  <c r="T110" i="41" s="1"/>
  <c r="T18" i="56"/>
  <c r="T113" i="41" s="1"/>
  <c r="U28" i="30"/>
  <c r="U24" i="42" s="1"/>
  <c r="U101" i="41" s="1"/>
  <c r="U110" i="41" s="1"/>
  <c r="U18" i="56"/>
  <c r="U113" i="41" s="1"/>
  <c r="V28" i="30"/>
  <c r="V24" i="42" s="1"/>
  <c r="V101" i="41" s="1"/>
  <c r="V110" i="41" s="1"/>
  <c r="V18" i="56"/>
  <c r="V113" i="41" s="1"/>
  <c r="W28" i="30"/>
  <c r="W24" i="42" s="1"/>
  <c r="W101" i="41" s="1"/>
  <c r="W110" i="41" s="1"/>
  <c r="W18" i="56"/>
  <c r="W113" i="41" s="1"/>
  <c r="X28" i="30"/>
  <c r="X24" i="42" s="1"/>
  <c r="X18" i="56"/>
  <c r="X113" i="41" s="1"/>
  <c r="Y28" i="30"/>
  <c r="Y24" i="42" s="1"/>
  <c r="Y18" i="56"/>
  <c r="Y113" i="41" s="1"/>
  <c r="Z29" i="30"/>
  <c r="Z25" i="42" s="1"/>
  <c r="Z42" i="41" s="1"/>
  <c r="Z28" i="30"/>
  <c r="Z18" i="56"/>
  <c r="Z113" i="41" s="1"/>
  <c r="AA29" i="30"/>
  <c r="AA25" i="42" s="1"/>
  <c r="AA42" i="41" s="1"/>
  <c r="AA28" i="30"/>
  <c r="AA18" i="56"/>
  <c r="AA113" i="41" s="1"/>
  <c r="AB116" i="12"/>
  <c r="AB29" i="30"/>
  <c r="AB28" i="30"/>
  <c r="AB18" i="56"/>
  <c r="AB113" i="41" s="1"/>
  <c r="F55" i="57"/>
  <c r="F49" i="57"/>
  <c r="S49" i="57"/>
  <c r="S15" i="57"/>
  <c r="T49" i="57"/>
  <c r="T57" i="57" s="1"/>
  <c r="T12" i="57" s="1"/>
  <c r="T15" i="57"/>
  <c r="U49" i="57"/>
  <c r="U15" i="57"/>
  <c r="V49" i="57"/>
  <c r="V57" i="57" s="1"/>
  <c r="V12" i="57" s="1"/>
  <c r="V15" i="57"/>
  <c r="S68" i="57"/>
  <c r="BC68" i="57" s="1"/>
  <c r="T68" i="57"/>
  <c r="BD68" i="57" s="1"/>
  <c r="CE68" i="57" s="1"/>
  <c r="CE56" i="57" s="1"/>
  <c r="U68" i="57"/>
  <c r="BE68" i="57" s="1"/>
  <c r="V68" i="57"/>
  <c r="BF68" i="57" s="1"/>
  <c r="W68" i="57"/>
  <c r="BG68" i="57" s="1"/>
  <c r="Y65" i="36"/>
  <c r="Z65" i="36"/>
  <c r="AA65" i="36"/>
  <c r="AB65" i="36"/>
  <c r="Z15" i="36"/>
  <c r="X46" i="36"/>
  <c r="X54" i="36" s="1"/>
  <c r="X12" i="36" s="1"/>
  <c r="X14" i="36" s="1"/>
  <c r="X15" i="36"/>
  <c r="AB13" i="56"/>
  <c r="K28" i="30"/>
  <c r="K24" i="42" s="1"/>
  <c r="K13" i="56"/>
  <c r="K12" i="56"/>
  <c r="K15" i="36"/>
  <c r="K15" i="56"/>
  <c r="K14" i="56"/>
  <c r="K18" i="56"/>
  <c r="K20" i="56"/>
  <c r="K17" i="56"/>
  <c r="L28" i="30"/>
  <c r="L24" i="42" s="1"/>
  <c r="L13" i="56"/>
  <c r="L12" i="56"/>
  <c r="L15" i="36"/>
  <c r="L15" i="56"/>
  <c r="L14" i="56"/>
  <c r="L18" i="56"/>
  <c r="L17" i="56"/>
  <c r="L30" i="30"/>
  <c r="M28" i="30"/>
  <c r="M24" i="42" s="1"/>
  <c r="M13" i="56"/>
  <c r="M12" i="56"/>
  <c r="M15" i="36"/>
  <c r="M15" i="56"/>
  <c r="M14" i="56"/>
  <c r="M18" i="56"/>
  <c r="M17" i="56"/>
  <c r="M30" i="30"/>
  <c r="N13" i="56"/>
  <c r="N12" i="56"/>
  <c r="N15" i="36"/>
  <c r="N15" i="56"/>
  <c r="N14" i="56"/>
  <c r="N17" i="56"/>
  <c r="N30" i="30"/>
  <c r="O13" i="56"/>
  <c r="O188" i="44" s="1"/>
  <c r="O12" i="56"/>
  <c r="O186" i="44" s="1"/>
  <c r="O15" i="56"/>
  <c r="O193" i="44" s="1"/>
  <c r="O14" i="56"/>
  <c r="O191" i="44" s="1"/>
  <c r="O17" i="56"/>
  <c r="O97" i="44" s="1"/>
  <c r="O30" i="30"/>
  <c r="O99" i="44" s="1"/>
  <c r="P13" i="56"/>
  <c r="P188" i="44" s="1"/>
  <c r="P12" i="56"/>
  <c r="P186" i="44" s="1"/>
  <c r="P15" i="36"/>
  <c r="P84" i="44" s="1"/>
  <c r="P277" i="44" s="1"/>
  <c r="P15" i="56"/>
  <c r="P193" i="44" s="1"/>
  <c r="P14" i="56"/>
  <c r="P191" i="44" s="1"/>
  <c r="P17" i="56"/>
  <c r="P97" i="44" s="1"/>
  <c r="P30" i="30"/>
  <c r="P99" i="44" s="1"/>
  <c r="Q13" i="56"/>
  <c r="Q188" i="44" s="1"/>
  <c r="Q12" i="56"/>
  <c r="Q186" i="44" s="1"/>
  <c r="Q15" i="36"/>
  <c r="Q84" i="44" s="1"/>
  <c r="Q277" i="44" s="1"/>
  <c r="Q15" i="56"/>
  <c r="Q193" i="44" s="1"/>
  <c r="Q14" i="56"/>
  <c r="Q191" i="44" s="1"/>
  <c r="Q17" i="56"/>
  <c r="Q97" i="44" s="1"/>
  <c r="Q30" i="30"/>
  <c r="Q99" i="44" s="1"/>
  <c r="R13" i="56"/>
  <c r="R12" i="56"/>
  <c r="R15" i="56"/>
  <c r="R14" i="56"/>
  <c r="R17" i="56"/>
  <c r="R97" i="44" s="1"/>
  <c r="S12" i="56"/>
  <c r="S46" i="36"/>
  <c r="S54" i="36" s="1"/>
  <c r="S12" i="36" s="1"/>
  <c r="S15" i="56"/>
  <c r="S14" i="56"/>
  <c r="S17" i="56"/>
  <c r="S97" i="44" s="1"/>
  <c r="S30" i="30"/>
  <c r="T13" i="56"/>
  <c r="T12" i="56"/>
  <c r="T15" i="36"/>
  <c r="T15" i="56"/>
  <c r="T14" i="56"/>
  <c r="T17" i="56"/>
  <c r="T97" i="44" s="1"/>
  <c r="T30" i="30"/>
  <c r="U13" i="56"/>
  <c r="U12" i="56"/>
  <c r="U15" i="36"/>
  <c r="U15" i="56"/>
  <c r="U14" i="56"/>
  <c r="U17" i="56"/>
  <c r="U97" i="44" s="1"/>
  <c r="U30" i="30"/>
  <c r="V13" i="56"/>
  <c r="V12" i="56"/>
  <c r="V15" i="56"/>
  <c r="V14" i="56"/>
  <c r="V17" i="56"/>
  <c r="V97" i="44" s="1"/>
  <c r="V30" i="30"/>
  <c r="W13" i="56"/>
  <c r="W12" i="56"/>
  <c r="W15" i="36"/>
  <c r="W15" i="56"/>
  <c r="W14" i="56"/>
  <c r="W17" i="56"/>
  <c r="W97" i="44" s="1"/>
  <c r="W30" i="30"/>
  <c r="X13" i="56"/>
  <c r="X12" i="56"/>
  <c r="X15" i="56"/>
  <c r="X14" i="56"/>
  <c r="X17" i="56"/>
  <c r="X97" i="44" s="1"/>
  <c r="X30" i="30"/>
  <c r="Y13" i="56"/>
  <c r="Y12" i="56"/>
  <c r="Y15" i="56"/>
  <c r="Y14" i="56"/>
  <c r="Y17" i="56"/>
  <c r="Y97" i="44" s="1"/>
  <c r="Y30" i="30"/>
  <c r="Z13" i="56"/>
  <c r="Z12" i="56"/>
  <c r="Z15" i="56"/>
  <c r="Z14" i="56"/>
  <c r="Z17" i="56"/>
  <c r="Z97" i="44" s="1"/>
  <c r="Z30" i="30"/>
  <c r="AA13" i="56"/>
  <c r="AA12" i="56"/>
  <c r="AA15" i="56"/>
  <c r="AA14" i="56"/>
  <c r="AA17" i="56"/>
  <c r="AA97" i="44" s="1"/>
  <c r="AA30" i="30"/>
  <c r="AB12" i="56"/>
  <c r="AB15" i="56"/>
  <c r="AB14" i="56"/>
  <c r="AB17" i="56"/>
  <c r="AB97" i="44" s="1"/>
  <c r="AB30" i="30"/>
  <c r="AB51" i="44"/>
  <c r="AB138" i="44" s="1"/>
  <c r="AA248" i="34"/>
  <c r="Z248" i="34"/>
  <c r="Y248" i="34"/>
  <c r="X248" i="34"/>
  <c r="W248" i="34"/>
  <c r="V248" i="34"/>
  <c r="U248" i="34"/>
  <c r="T248" i="34"/>
  <c r="S248" i="34"/>
  <c r="M248" i="34"/>
  <c r="L248" i="34"/>
  <c r="K248" i="34"/>
  <c r="AA233" i="34"/>
  <c r="Z233" i="34"/>
  <c r="Y233" i="34"/>
  <c r="X233" i="34"/>
  <c r="W233" i="34"/>
  <c r="V233" i="34"/>
  <c r="U233" i="34"/>
  <c r="T233" i="34"/>
  <c r="S233" i="34"/>
  <c r="M233" i="34"/>
  <c r="L233" i="34"/>
  <c r="K233" i="34"/>
  <c r="AA218" i="34"/>
  <c r="Z218" i="34"/>
  <c r="Y218" i="34"/>
  <c r="X218" i="34"/>
  <c r="W218" i="34"/>
  <c r="V218" i="34"/>
  <c r="U218" i="34"/>
  <c r="T218" i="34"/>
  <c r="S218" i="34"/>
  <c r="M218" i="34"/>
  <c r="L218" i="34"/>
  <c r="K218" i="34"/>
  <c r="AA203" i="34"/>
  <c r="Z203" i="34"/>
  <c r="Y203" i="34"/>
  <c r="X203" i="34"/>
  <c r="W203" i="34"/>
  <c r="V203" i="34"/>
  <c r="U203" i="34"/>
  <c r="T203" i="34"/>
  <c r="S203" i="34"/>
  <c r="M203" i="34"/>
  <c r="L203" i="34"/>
  <c r="K203" i="34"/>
  <c r="AA188" i="34"/>
  <c r="Z188" i="34"/>
  <c r="Y188" i="34"/>
  <c r="X188" i="34"/>
  <c r="W188" i="34"/>
  <c r="V188" i="34"/>
  <c r="U188" i="34"/>
  <c r="T188" i="34"/>
  <c r="S188" i="34"/>
  <c r="M188" i="34"/>
  <c r="L188" i="34"/>
  <c r="K188" i="34"/>
  <c r="AA173" i="34"/>
  <c r="Z173" i="34"/>
  <c r="Y173" i="34"/>
  <c r="X173" i="34"/>
  <c r="W173" i="34"/>
  <c r="V173" i="34"/>
  <c r="U173" i="34"/>
  <c r="T173" i="34"/>
  <c r="S173" i="34"/>
  <c r="M173" i="34"/>
  <c r="L173" i="34"/>
  <c r="K173" i="34"/>
  <c r="AA158" i="34"/>
  <c r="Z158" i="34"/>
  <c r="Y158" i="34"/>
  <c r="X158" i="34"/>
  <c r="W158" i="34"/>
  <c r="V158" i="34"/>
  <c r="U158" i="34"/>
  <c r="T158" i="34"/>
  <c r="S158" i="34"/>
  <c r="AA143" i="34"/>
  <c r="Z143" i="34"/>
  <c r="Y143" i="34"/>
  <c r="X143" i="34"/>
  <c r="W143" i="34"/>
  <c r="V143" i="34"/>
  <c r="U143" i="34"/>
  <c r="T143" i="34"/>
  <c r="S143" i="34"/>
  <c r="M143" i="34"/>
  <c r="L143" i="34"/>
  <c r="K143" i="34"/>
  <c r="AA128" i="34"/>
  <c r="Z128" i="34"/>
  <c r="Y128" i="34"/>
  <c r="X128" i="34"/>
  <c r="W128" i="34"/>
  <c r="V128" i="34"/>
  <c r="U128" i="34"/>
  <c r="T128" i="34"/>
  <c r="S128" i="34"/>
  <c r="M128" i="34"/>
  <c r="L128" i="34"/>
  <c r="K128" i="34"/>
  <c r="AA113" i="34"/>
  <c r="Z113" i="34"/>
  <c r="Y113" i="34"/>
  <c r="X113" i="34"/>
  <c r="W113" i="34"/>
  <c r="V113" i="34"/>
  <c r="U113" i="34"/>
  <c r="T113" i="34"/>
  <c r="S113" i="34"/>
  <c r="M113" i="34"/>
  <c r="L113" i="34"/>
  <c r="K113" i="34"/>
  <c r="AA98" i="34"/>
  <c r="Z98" i="34"/>
  <c r="Y98" i="34"/>
  <c r="X98" i="34"/>
  <c r="W98" i="34"/>
  <c r="V98" i="34"/>
  <c r="U98" i="34"/>
  <c r="T98" i="34"/>
  <c r="S98" i="34"/>
  <c r="M98" i="34"/>
  <c r="L98" i="34"/>
  <c r="K98" i="34"/>
  <c r="AA83" i="34"/>
  <c r="Z83" i="34"/>
  <c r="Y83" i="34"/>
  <c r="X83" i="34"/>
  <c r="W83" i="34"/>
  <c r="V83" i="34"/>
  <c r="U83" i="34"/>
  <c r="T83" i="34"/>
  <c r="S83" i="34"/>
  <c r="M83" i="34"/>
  <c r="L83" i="34"/>
  <c r="K83" i="34"/>
  <c r="AA68" i="34"/>
  <c r="Z68" i="34"/>
  <c r="Y68" i="34"/>
  <c r="X68" i="34"/>
  <c r="W68" i="34"/>
  <c r="V68" i="34"/>
  <c r="U68" i="34"/>
  <c r="T68" i="34"/>
  <c r="S68" i="34"/>
  <c r="M68" i="34"/>
  <c r="L68" i="34"/>
  <c r="K68" i="34"/>
  <c r="AA53" i="34"/>
  <c r="Z53" i="34"/>
  <c r="Y53" i="34"/>
  <c r="X53" i="34"/>
  <c r="W53" i="34"/>
  <c r="V53" i="34"/>
  <c r="U53" i="34"/>
  <c r="T53" i="34"/>
  <c r="S53" i="34"/>
  <c r="M53" i="34"/>
  <c r="L53" i="34"/>
  <c r="K53" i="34"/>
  <c r="AA38" i="34"/>
  <c r="Z38" i="34"/>
  <c r="Y38" i="34"/>
  <c r="X38" i="34"/>
  <c r="D69" i="36"/>
  <c r="D72" i="36" s="1"/>
  <c r="D75" i="36" s="1"/>
  <c r="D78" i="36" s="1"/>
  <c r="D81" i="36" s="1"/>
  <c r="D84" i="36" s="1"/>
  <c r="D87" i="36" s="1"/>
  <c r="D90" i="36" s="1"/>
  <c r="D93" i="36" s="1"/>
  <c r="D96" i="36" s="1"/>
  <c r="D99" i="36" s="1"/>
  <c r="D102" i="36" s="1"/>
  <c r="D105" i="36" s="1"/>
  <c r="D108" i="36" s="1"/>
  <c r="D111" i="36" s="1"/>
  <c r="D114" i="36" s="1"/>
  <c r="D117" i="36" s="1"/>
  <c r="D120" i="36" s="1"/>
  <c r="D123" i="36" s="1"/>
  <c r="D126" i="36" s="1"/>
  <c r="D129" i="36" s="1"/>
  <c r="D132" i="36" s="1"/>
  <c r="D135" i="36" s="1"/>
  <c r="D138" i="36" s="1"/>
  <c r="D141" i="36" s="1"/>
  <c r="D144" i="36" s="1"/>
  <c r="D147" i="36" s="1"/>
  <c r="D150" i="36" s="1"/>
  <c r="D153" i="36" s="1"/>
  <c r="D156" i="36" s="1"/>
  <c r="D159" i="36" s="1"/>
  <c r="D162" i="36" s="1"/>
  <c r="D165" i="36" s="1"/>
  <c r="D168" i="36" s="1"/>
  <c r="D171" i="36" s="1"/>
  <c r="D174" i="36" s="1"/>
  <c r="D177" i="36" s="1"/>
  <c r="D180" i="36" s="1"/>
  <c r="D183" i="36" s="1"/>
  <c r="D186" i="36" s="1"/>
  <c r="D189" i="36" s="1"/>
  <c r="D192" i="36" s="1"/>
  <c r="D195" i="36" s="1"/>
  <c r="D198" i="36" s="1"/>
  <c r="D201" i="36" s="1"/>
  <c r="D204" i="36" s="1"/>
  <c r="D207" i="36" s="1"/>
  <c r="D210" i="36" s="1"/>
  <c r="D213" i="36" s="1"/>
  <c r="D216" i="36" s="1"/>
  <c r="D219" i="36" s="1"/>
  <c r="D222" i="36" s="1"/>
  <c r="D225" i="36" s="1"/>
  <c r="D228" i="36" s="1"/>
  <c r="D231" i="36" s="1"/>
  <c r="D234" i="36" s="1"/>
  <c r="D237" i="36" s="1"/>
  <c r="D240" i="36" s="1"/>
  <c r="D243" i="36" s="1"/>
  <c r="D246" i="36" s="1"/>
  <c r="D249" i="36" s="1"/>
  <c r="D252" i="36" s="1"/>
  <c r="D255" i="36" s="1"/>
  <c r="D258" i="36" s="1"/>
  <c r="D261" i="36" s="1"/>
  <c r="D264" i="36" s="1"/>
  <c r="D267" i="36" s="1"/>
  <c r="D270" i="36" s="1"/>
  <c r="D273" i="36" s="1"/>
  <c r="D276" i="36" s="1"/>
  <c r="D279" i="36" s="1"/>
  <c r="D282" i="36" s="1"/>
  <c r="D285" i="36" s="1"/>
  <c r="D288" i="36" s="1"/>
  <c r="D291" i="36" s="1"/>
  <c r="D294" i="36" s="1"/>
  <c r="D297" i="36" s="1"/>
  <c r="D300" i="36" s="1"/>
  <c r="D303" i="36" s="1"/>
  <c r="D306" i="36" s="1"/>
  <c r="D309" i="36" s="1"/>
  <c r="D312" i="36" s="1"/>
  <c r="D315" i="36" s="1"/>
  <c r="D318" i="36" s="1"/>
  <c r="D321" i="36" s="1"/>
  <c r="D324" i="36" s="1"/>
  <c r="D327" i="36" s="1"/>
  <c r="D330" i="36" s="1"/>
  <c r="D333" i="36" s="1"/>
  <c r="D336" i="36" s="1"/>
  <c r="D339" i="36" s="1"/>
  <c r="D342" i="36" s="1"/>
  <c r="D345" i="36" s="1"/>
  <c r="D348" i="36" s="1"/>
  <c r="D351" i="36" s="1"/>
  <c r="D354" i="36" s="1"/>
  <c r="D357" i="36" s="1"/>
  <c r="D360" i="36" s="1"/>
  <c r="D363" i="36" s="1"/>
  <c r="D366" i="36" s="1"/>
  <c r="D369" i="36" s="1"/>
  <c r="D372" i="36" s="1"/>
  <c r="D375" i="36" s="1"/>
  <c r="D378" i="36" s="1"/>
  <c r="D381" i="36" s="1"/>
  <c r="D384" i="36" s="1"/>
  <c r="D387" i="36" s="1"/>
  <c r="D390" i="36" s="1"/>
  <c r="D393" i="36" s="1"/>
  <c r="D396" i="36" s="1"/>
  <c r="D399" i="36" s="1"/>
  <c r="D402" i="36" s="1"/>
  <c r="D405" i="36" s="1"/>
  <c r="D408" i="36" s="1"/>
  <c r="D411" i="36" s="1"/>
  <c r="D414" i="36" s="1"/>
  <c r="D417" i="36" s="1"/>
  <c r="D420" i="36" s="1"/>
  <c r="D423" i="36" s="1"/>
  <c r="D426" i="36" s="1"/>
  <c r="D429" i="36" s="1"/>
  <c r="D432" i="36" s="1"/>
  <c r="D435" i="36" s="1"/>
  <c r="D438" i="36" s="1"/>
  <c r="X65" i="36"/>
  <c r="E14" i="62"/>
  <c r="U141" i="12"/>
  <c r="V141" i="12"/>
  <c r="W141" i="12"/>
  <c r="X141" i="12"/>
  <c r="L7" i="40"/>
  <c r="M7" i="40"/>
  <c r="N7" i="40"/>
  <c r="O7" i="40"/>
  <c r="P7" i="40"/>
  <c r="Q7" i="40"/>
  <c r="R7" i="40"/>
  <c r="S7" i="40"/>
  <c r="K7" i="40"/>
  <c r="C22" i="5"/>
  <c r="C21" i="5"/>
  <c r="C20" i="5"/>
  <c r="C19" i="5"/>
  <c r="C17" i="5"/>
  <c r="B2" i="30"/>
  <c r="B2" i="12"/>
  <c r="B2" i="81"/>
  <c r="B2" i="44"/>
  <c r="F90" i="41"/>
  <c r="J14" i="40"/>
  <c r="B2" i="56"/>
  <c r="B2" i="34"/>
  <c r="K38" i="34"/>
  <c r="L38" i="34"/>
  <c r="M38" i="34"/>
  <c r="N38" i="34"/>
  <c r="R38" i="34"/>
  <c r="S38" i="34"/>
  <c r="T38" i="34"/>
  <c r="U38" i="34"/>
  <c r="V38" i="34"/>
  <c r="W38" i="34"/>
  <c r="K68" i="57"/>
  <c r="L68" i="57"/>
  <c r="M68" i="57"/>
  <c r="N68" i="57"/>
  <c r="O68" i="57"/>
  <c r="P68" i="57"/>
  <c r="AZ68" i="57" s="1"/>
  <c r="AZ56" i="57" s="1"/>
  <c r="Q68" i="57"/>
  <c r="BA68" i="57" s="1"/>
  <c r="R68" i="57"/>
  <c r="BB68" i="57" s="1"/>
  <c r="E57" i="57"/>
  <c r="K65" i="36"/>
  <c r="L65" i="36"/>
  <c r="M65" i="36"/>
  <c r="N65" i="36"/>
  <c r="O65" i="36"/>
  <c r="P65" i="36"/>
  <c r="AZ65" i="36" s="1"/>
  <c r="CA65" i="36" s="1"/>
  <c r="CA53" i="36" s="1"/>
  <c r="Q65" i="36"/>
  <c r="BA65" i="36" s="1"/>
  <c r="R65" i="36"/>
  <c r="BB65" i="36" s="1"/>
  <c r="S65" i="36"/>
  <c r="BC65" i="36" s="1"/>
  <c r="T65" i="36"/>
  <c r="BD65" i="36" s="1"/>
  <c r="U65" i="36"/>
  <c r="BE65" i="36" s="1"/>
  <c r="V65" i="36"/>
  <c r="BF65" i="36" s="1"/>
  <c r="W65" i="36"/>
  <c r="BG65" i="36" s="1"/>
  <c r="F46" i="36"/>
  <c r="F52" i="36"/>
  <c r="E54" i="36"/>
  <c r="B2" i="62"/>
  <c r="E12" i="62"/>
  <c r="B2" i="42"/>
  <c r="E82" i="30"/>
  <c r="E90" i="30"/>
  <c r="O141" i="12"/>
  <c r="P141" i="12"/>
  <c r="Q141" i="12"/>
  <c r="R141" i="12"/>
  <c r="S141" i="12"/>
  <c r="T141" i="12"/>
  <c r="C63" i="12"/>
  <c r="D66" i="12"/>
  <c r="D77" i="12" s="1"/>
  <c r="D67" i="12"/>
  <c r="D78" i="12" s="1"/>
  <c r="D68" i="12"/>
  <c r="D79" i="12" s="1"/>
  <c r="D69" i="12"/>
  <c r="D91" i="12" s="1"/>
  <c r="D70" i="12"/>
  <c r="D92" i="12" s="1"/>
  <c r="D71" i="12"/>
  <c r="D93" i="12" s="1"/>
  <c r="D72" i="12"/>
  <c r="D94" i="12" s="1"/>
  <c r="D73" i="12"/>
  <c r="D84" i="12" s="1"/>
  <c r="C74" i="12"/>
  <c r="C85" i="12"/>
  <c r="C96" i="12"/>
  <c r="C116" i="12"/>
  <c r="W70" i="30"/>
  <c r="W16" i="30" s="1"/>
  <c r="W63" i="30"/>
  <c r="W15" i="30" s="1"/>
  <c r="W56" i="30"/>
  <c r="W14" i="30" s="1"/>
  <c r="U70" i="30"/>
  <c r="U16" i="30" s="1"/>
  <c r="U63" i="30"/>
  <c r="U15" i="30" s="1"/>
  <c r="U56" i="30"/>
  <c r="U14" i="30" s="1"/>
  <c r="S70" i="30"/>
  <c r="S63" i="30"/>
  <c r="S56" i="30"/>
  <c r="S14" i="30" s="1"/>
  <c r="T46" i="36"/>
  <c r="K46" i="36"/>
  <c r="K52" i="36"/>
  <c r="K12" i="36"/>
  <c r="V70" i="30"/>
  <c r="V16" i="30" s="1"/>
  <c r="V63" i="30"/>
  <c r="V15" i="30" s="1"/>
  <c r="V56" i="30"/>
  <c r="V14" i="30" s="1"/>
  <c r="T70" i="30"/>
  <c r="T16" i="30" s="1"/>
  <c r="T63" i="30"/>
  <c r="T15" i="30" s="1"/>
  <c r="T56" i="30"/>
  <c r="T14" i="30" s="1"/>
  <c r="AB16" i="34"/>
  <c r="Q46" i="36"/>
  <c r="Q54" i="36" s="1"/>
  <c r="Q12" i="36"/>
  <c r="P46" i="36"/>
  <c r="P54" i="36" s="1"/>
  <c r="P12" i="36"/>
  <c r="AA15" i="36"/>
  <c r="AB46" i="36"/>
  <c r="AA46" i="36"/>
  <c r="Z46" i="36"/>
  <c r="Z54" i="36" s="1"/>
  <c r="Z12" i="36" s="1"/>
  <c r="Y46" i="36"/>
  <c r="N52" i="36"/>
  <c r="M52" i="36"/>
  <c r="L52" i="36"/>
  <c r="N46" i="36"/>
  <c r="N12" i="36"/>
  <c r="M46" i="36"/>
  <c r="M12" i="36"/>
  <c r="L46" i="36"/>
  <c r="L12" i="36"/>
  <c r="S15" i="36"/>
  <c r="V15" i="36"/>
  <c r="Y15" i="36"/>
  <c r="AB15" i="36"/>
  <c r="S74" i="12"/>
  <c r="T74" i="12"/>
  <c r="T13" i="12" s="1"/>
  <c r="G86" i="98" s="1"/>
  <c r="U74" i="12"/>
  <c r="U13" i="12" s="1"/>
  <c r="H86" i="98" s="1"/>
  <c r="W74" i="12"/>
  <c r="W13" i="12" s="1"/>
  <c r="J86" i="98" s="1"/>
  <c r="S63" i="12"/>
  <c r="T63" i="12"/>
  <c r="U63" i="12"/>
  <c r="V63" i="12"/>
  <c r="V12" i="12" s="1"/>
  <c r="I83" i="98" s="1"/>
  <c r="W63" i="12"/>
  <c r="V74" i="12"/>
  <c r="V13" i="12" s="1"/>
  <c r="I86" i="98" s="1"/>
  <c r="P169" i="44" l="1"/>
  <c r="P115" i="41"/>
  <c r="W274" i="44"/>
  <c r="W310" i="44"/>
  <c r="V274" i="44"/>
  <c r="V310" i="44"/>
  <c r="U27" i="45"/>
  <c r="U39" i="41" s="1"/>
  <c r="U310" i="44"/>
  <c r="U274" i="44"/>
  <c r="T310" i="44"/>
  <c r="T274" i="44"/>
  <c r="S274" i="44"/>
  <c r="S310" i="44"/>
  <c r="AA107" i="57"/>
  <c r="DM101" i="57"/>
  <c r="BP98" i="57"/>
  <c r="DD98" i="57"/>
  <c r="DN95" i="57"/>
  <c r="BN101" i="57"/>
  <c r="DN101" i="57"/>
  <c r="AE101" i="57"/>
  <c r="DC98" i="57"/>
  <c r="BO98" i="57"/>
  <c r="BM98" i="57"/>
  <c r="DA98" i="57"/>
  <c r="DK95" i="57"/>
  <c r="BJ328" i="57"/>
  <c r="CW98" i="57"/>
  <c r="Q98" i="57"/>
  <c r="BA95" i="57"/>
  <c r="BB95" i="57"/>
  <c r="V95" i="57"/>
  <c r="BF92" i="57"/>
  <c r="BG92" i="57"/>
  <c r="DD328" i="57"/>
  <c r="DB98" i="57"/>
  <c r="BL98" i="57"/>
  <c r="CZ98" i="57"/>
  <c r="CZ95" i="57"/>
  <c r="BL95" i="57"/>
  <c r="DL95" i="57"/>
  <c r="CY98" i="57"/>
  <c r="DJ95" i="57"/>
  <c r="BP101" i="57"/>
  <c r="DP101" i="57"/>
  <c r="X98" i="57"/>
  <c r="BI98" i="57" s="1"/>
  <c r="BH95" i="57"/>
  <c r="BN98" i="57"/>
  <c r="DJ101" i="57"/>
  <c r="BK101" i="57"/>
  <c r="DK101" i="57"/>
  <c r="DQ95" i="57"/>
  <c r="DP95" i="57"/>
  <c r="BJ98" i="57"/>
  <c r="BE95" i="57"/>
  <c r="U101" i="57"/>
  <c r="AG101" i="57"/>
  <c r="DQ98" i="57"/>
  <c r="DE98" i="57"/>
  <c r="BQ98" i="57"/>
  <c r="DO95" i="57"/>
  <c r="DC95" i="57"/>
  <c r="BO95" i="57"/>
  <c r="DM95" i="57"/>
  <c r="BP95" i="57"/>
  <c r="CX98" i="57"/>
  <c r="DM327" i="57"/>
  <c r="DL327" i="57"/>
  <c r="DO327" i="57"/>
  <c r="DM328" i="57"/>
  <c r="AQ327" i="57"/>
  <c r="AC104" i="57"/>
  <c r="Y101" i="57"/>
  <c r="BF327" i="57"/>
  <c r="BG327" i="57"/>
  <c r="BC328" i="57"/>
  <c r="BL328" i="57"/>
  <c r="DL328" i="57"/>
  <c r="CZ328" i="57"/>
  <c r="CU98" i="57"/>
  <c r="DH98" i="57" s="1"/>
  <c r="BY98" i="57"/>
  <c r="BA328" i="57"/>
  <c r="BD327" i="57"/>
  <c r="T101" i="57"/>
  <c r="AX104" i="57"/>
  <c r="AX330" i="57"/>
  <c r="F110" i="57"/>
  <c r="AA110" i="57"/>
  <c r="CU331" i="57"/>
  <c r="DH331" i="57" s="1"/>
  <c r="BY331" i="57"/>
  <c r="BO328" i="57"/>
  <c r="DO328" i="57"/>
  <c r="DC328" i="57"/>
  <c r="AE104" i="57"/>
  <c r="T98" i="57"/>
  <c r="BZ331" i="57"/>
  <c r="CV331" i="57"/>
  <c r="DI331" i="57" s="1"/>
  <c r="BP328" i="57"/>
  <c r="U104" i="57"/>
  <c r="AF104" i="57"/>
  <c r="BA327" i="57"/>
  <c r="Q101" i="57"/>
  <c r="BA101" i="57" s="1"/>
  <c r="BB327" i="57"/>
  <c r="V98" i="57"/>
  <c r="BG98" i="57" s="1"/>
  <c r="AX113" i="57"/>
  <c r="AX333" i="57"/>
  <c r="F119" i="57"/>
  <c r="AB101" i="57"/>
  <c r="AY113" i="57"/>
  <c r="AY333" i="57"/>
  <c r="I119" i="57"/>
  <c r="BE327" i="57"/>
  <c r="X104" i="57"/>
  <c r="O95" i="57"/>
  <c r="CV328" i="57"/>
  <c r="DI328" i="57" s="1"/>
  <c r="BZ328" i="57"/>
  <c r="M104" i="57"/>
  <c r="BY107" i="57"/>
  <c r="CU107" i="57"/>
  <c r="DH107" i="57" s="1"/>
  <c r="L101" i="57"/>
  <c r="CV107" i="57"/>
  <c r="DI107" i="57" s="1"/>
  <c r="BZ107" i="57"/>
  <c r="P104" i="57"/>
  <c r="BH328" i="57"/>
  <c r="BM328" i="57"/>
  <c r="AY104" i="57"/>
  <c r="AY330" i="57"/>
  <c r="I110" i="57"/>
  <c r="S101" i="57"/>
  <c r="BQ328" i="57"/>
  <c r="DQ328" i="57"/>
  <c r="DE328" i="57"/>
  <c r="AG104" i="57"/>
  <c r="W101" i="57"/>
  <c r="DB101" i="57" s="1"/>
  <c r="Z104" i="57"/>
  <c r="N104" i="57"/>
  <c r="CW328" i="57"/>
  <c r="BI328" i="57"/>
  <c r="CV98" i="57"/>
  <c r="DI98" i="57" s="1"/>
  <c r="BZ98" i="57"/>
  <c r="AC107" i="57"/>
  <c r="AD104" i="57"/>
  <c r="CU328" i="57"/>
  <c r="DH328" i="57" s="1"/>
  <c r="BY328" i="57"/>
  <c r="CX328" i="57"/>
  <c r="R107" i="57"/>
  <c r="K110" i="57"/>
  <c r="BB56" i="57"/>
  <c r="CC68" i="57"/>
  <c r="CC56" i="57" s="1"/>
  <c r="BA56" i="57"/>
  <c r="CB68" i="57"/>
  <c r="CB56" i="57" s="1"/>
  <c r="BC56" i="57"/>
  <c r="CD68" i="57"/>
  <c r="CD56" i="57" s="1"/>
  <c r="AB132" i="44"/>
  <c r="AB208" i="44" s="1"/>
  <c r="AA132" i="44"/>
  <c r="AA208" i="44" s="1"/>
  <c r="Y132" i="44"/>
  <c r="Y208" i="44" s="1"/>
  <c r="W132" i="44"/>
  <c r="W208" i="44" s="1"/>
  <c r="U132" i="44"/>
  <c r="U208" i="44" s="1"/>
  <c r="Z132" i="44"/>
  <c r="Z208" i="44" s="1"/>
  <c r="X132" i="44"/>
  <c r="X208" i="44" s="1"/>
  <c r="V132" i="44"/>
  <c r="V208" i="44" s="1"/>
  <c r="T132" i="44"/>
  <c r="T208" i="44" s="1"/>
  <c r="P168" i="44"/>
  <c r="P113" i="41"/>
  <c r="Q168" i="44"/>
  <c r="Q113" i="41"/>
  <c r="O168" i="44"/>
  <c r="O113" i="41"/>
  <c r="O195" i="44"/>
  <c r="O131" i="44" s="1"/>
  <c r="O84" i="44"/>
  <c r="O277" i="44" s="1"/>
  <c r="O17" i="36"/>
  <c r="I41" i="45"/>
  <c r="H41" i="45"/>
  <c r="I47" i="45"/>
  <c r="AB64" i="12"/>
  <c r="O189" i="44"/>
  <c r="O88" i="44" s="1"/>
  <c r="O90" i="44"/>
  <c r="O123" i="44" s="1"/>
  <c r="O20" i="36"/>
  <c r="P24" i="34"/>
  <c r="AB86" i="12"/>
  <c r="AB75" i="12"/>
  <c r="P15" i="12"/>
  <c r="W97" i="12"/>
  <c r="W86" i="12"/>
  <c r="P13" i="12"/>
  <c r="C86" i="98" s="1"/>
  <c r="W75" i="12"/>
  <c r="X15" i="12"/>
  <c r="AB97" i="12"/>
  <c r="P12" i="12"/>
  <c r="C83" i="98" s="1"/>
  <c r="W64" i="12"/>
  <c r="AB107" i="12"/>
  <c r="W107" i="12"/>
  <c r="L127" i="98"/>
  <c r="L155" i="98"/>
  <c r="K154" i="98"/>
  <c r="K130" i="98"/>
  <c r="O154" i="98"/>
  <c r="O130" i="98"/>
  <c r="N154" i="98"/>
  <c r="N130" i="98"/>
  <c r="W118" i="12"/>
  <c r="M155" i="98"/>
  <c r="M127" i="98"/>
  <c r="M130" i="98"/>
  <c r="M154" i="98"/>
  <c r="L154" i="98"/>
  <c r="L130" i="98"/>
  <c r="P90" i="44"/>
  <c r="P123" i="44" s="1"/>
  <c r="P25" i="34"/>
  <c r="Q90" i="44"/>
  <c r="Q123" i="44" s="1"/>
  <c r="Q24" i="34"/>
  <c r="Q25" i="34"/>
  <c r="BB53" i="36"/>
  <c r="CC65" i="36"/>
  <c r="CC53" i="36" s="1"/>
  <c r="BA53" i="36"/>
  <c r="CB65" i="36"/>
  <c r="CB53" i="36" s="1"/>
  <c r="BV65" i="36"/>
  <c r="BV68" i="57" s="1"/>
  <c r="BS65" i="36"/>
  <c r="BS68" i="57" s="1"/>
  <c r="AZ53" i="36"/>
  <c r="P126" i="44"/>
  <c r="P209" i="44"/>
  <c r="Q209" i="44"/>
  <c r="Q126" i="44"/>
  <c r="AM24" i="42"/>
  <c r="AE86" i="41"/>
  <c r="W86" i="41"/>
  <c r="R86" i="41"/>
  <c r="AF86" i="41"/>
  <c r="AD86" i="41"/>
  <c r="V86" i="41"/>
  <c r="AC86" i="41"/>
  <c r="U86" i="41"/>
  <c r="P86" i="41"/>
  <c r="AB86" i="41"/>
  <c r="T86" i="41"/>
  <c r="X86" i="41"/>
  <c r="AA86" i="41"/>
  <c r="S86" i="41"/>
  <c r="Z86" i="41"/>
  <c r="Y86" i="41"/>
  <c r="Q86" i="41"/>
  <c r="S42" i="41"/>
  <c r="S76" i="41" s="1"/>
  <c r="AI24" i="42"/>
  <c r="R12" i="30"/>
  <c r="Z4" i="98" s="1"/>
  <c r="W43" i="30"/>
  <c r="R13" i="30"/>
  <c r="Z5" i="98" s="1"/>
  <c r="W50" i="30"/>
  <c r="R14" i="30"/>
  <c r="W57" i="30"/>
  <c r="W83" i="30"/>
  <c r="R26" i="30"/>
  <c r="R21" i="42" s="1"/>
  <c r="R86" i="44" s="1"/>
  <c r="W91" i="30"/>
  <c r="S15" i="30"/>
  <c r="W64" i="30"/>
  <c r="S16" i="30"/>
  <c r="W71" i="30"/>
  <c r="W17" i="30"/>
  <c r="AM15" i="30" s="1"/>
  <c r="W19" i="42" s="1"/>
  <c r="W309" i="44" s="1"/>
  <c r="X35" i="12"/>
  <c r="X118" i="86" s="1"/>
  <c r="AB118" i="12"/>
  <c r="O209" i="44"/>
  <c r="P42" i="41"/>
  <c r="P76" i="41" s="1"/>
  <c r="P28" i="45"/>
  <c r="O42" i="41"/>
  <c r="O76" i="41" s="1"/>
  <c r="O28" i="45"/>
  <c r="O89" i="44"/>
  <c r="O137" i="44" s="1"/>
  <c r="P89" i="44"/>
  <c r="P137" i="44" s="1"/>
  <c r="O85" i="44"/>
  <c r="Q42" i="41"/>
  <c r="Q76" i="41" s="1"/>
  <c r="Q28" i="45"/>
  <c r="Q89" i="44"/>
  <c r="Q137" i="44" s="1"/>
  <c r="P85" i="44"/>
  <c r="Q85" i="44"/>
  <c r="BG56" i="57"/>
  <c r="CH68" i="57"/>
  <c r="CH56" i="57" s="1"/>
  <c r="V168" i="44"/>
  <c r="R168" i="44"/>
  <c r="BK68" i="57"/>
  <c r="AM68" i="57"/>
  <c r="AE69" i="30"/>
  <c r="AF69" i="30"/>
  <c r="Y69" i="30"/>
  <c r="AG69" i="30"/>
  <c r="Z69" i="30"/>
  <c r="X69" i="30"/>
  <c r="AA69" i="30"/>
  <c r="AC69" i="30"/>
  <c r="AB69" i="30"/>
  <c r="AD69" i="30"/>
  <c r="AA9" i="98"/>
  <c r="BF56" i="57"/>
  <c r="CG68" i="57"/>
  <c r="CG56" i="57" s="1"/>
  <c r="BL68" i="57"/>
  <c r="AN68" i="57"/>
  <c r="BE56" i="57"/>
  <c r="CF68" i="57"/>
  <c r="CF56" i="57" s="1"/>
  <c r="U168" i="44"/>
  <c r="Y9" i="98"/>
  <c r="BD56" i="57"/>
  <c r="CA68" i="57"/>
  <c r="CA56" i="57" s="1"/>
  <c r="T168" i="44"/>
  <c r="BH68" i="57"/>
  <c r="AJ68" i="57"/>
  <c r="Y66" i="30"/>
  <c r="AG66" i="30"/>
  <c r="Z66" i="30"/>
  <c r="AA66" i="30"/>
  <c r="AB66" i="30"/>
  <c r="AC66" i="30"/>
  <c r="AE66" i="30"/>
  <c r="AF66" i="30"/>
  <c r="AD66" i="30"/>
  <c r="X66" i="30"/>
  <c r="W168" i="44"/>
  <c r="S168" i="44"/>
  <c r="BI68" i="57"/>
  <c r="AK68" i="57"/>
  <c r="AA67" i="30"/>
  <c r="AB67" i="30"/>
  <c r="AC67" i="30"/>
  <c r="Y67" i="30"/>
  <c r="AG67" i="30"/>
  <c r="AD67" i="30"/>
  <c r="AE67" i="30"/>
  <c r="AF67" i="30"/>
  <c r="Z67" i="30"/>
  <c r="X67" i="30"/>
  <c r="BJ68" i="57"/>
  <c r="AL68" i="57"/>
  <c r="AF68" i="30"/>
  <c r="Y68" i="30"/>
  <c r="AG68" i="30"/>
  <c r="Z68" i="30"/>
  <c r="AD68" i="30"/>
  <c r="AA68" i="30"/>
  <c r="AE68" i="30"/>
  <c r="AB68" i="30"/>
  <c r="X68" i="30"/>
  <c r="AC68" i="30"/>
  <c r="L20" i="36"/>
  <c r="M20" i="36"/>
  <c r="Z12" i="12"/>
  <c r="M83" i="98" s="1"/>
  <c r="BD53" i="36"/>
  <c r="CE65" i="36"/>
  <c r="CE53" i="36" s="1"/>
  <c r="CD65" i="36"/>
  <c r="CD53" i="36" s="1"/>
  <c r="BC53" i="36"/>
  <c r="AJ65" i="36"/>
  <c r="BH65" i="36"/>
  <c r="BK65" i="36"/>
  <c r="AM65" i="36"/>
  <c r="CG65" i="36"/>
  <c r="CG53" i="36" s="1"/>
  <c r="BF53" i="36"/>
  <c r="CF65" i="36"/>
  <c r="CF53" i="36" s="1"/>
  <c r="BE53" i="36"/>
  <c r="BL65" i="36"/>
  <c r="AN65" i="36"/>
  <c r="BJ65" i="36"/>
  <c r="AL65" i="36"/>
  <c r="CH65" i="36"/>
  <c r="CH53" i="36" s="1"/>
  <c r="BG53" i="36"/>
  <c r="BI65" i="36"/>
  <c r="AK65" i="36"/>
  <c r="Z9" i="98"/>
  <c r="V493" i="36"/>
  <c r="CH439" i="36"/>
  <c r="CH435" i="36"/>
  <c r="CH428" i="36"/>
  <c r="CH423" i="36"/>
  <c r="CH414" i="36"/>
  <c r="CH406" i="36"/>
  <c r="CH440" i="36"/>
  <c r="CH430" i="36"/>
  <c r="CH424" i="36"/>
  <c r="CH407" i="36"/>
  <c r="CH436" i="36"/>
  <c r="CH431" i="36"/>
  <c r="CH408" i="36"/>
  <c r="CH403" i="36"/>
  <c r="CH437" i="36"/>
  <c r="CH425" i="36"/>
  <c r="CH419" i="36"/>
  <c r="CH404" i="36"/>
  <c r="CH402" i="36"/>
  <c r="CH389" i="36"/>
  <c r="CH388" i="36"/>
  <c r="CH382" i="36"/>
  <c r="CH375" i="36"/>
  <c r="CH433" i="36"/>
  <c r="CH427" i="36"/>
  <c r="CH418" i="36"/>
  <c r="CH405" i="36"/>
  <c r="CH398" i="36"/>
  <c r="CH379" i="36"/>
  <c r="CH371" i="36"/>
  <c r="CH355" i="36"/>
  <c r="CH353" i="36"/>
  <c r="CH350" i="36"/>
  <c r="CH410" i="36"/>
  <c r="CH391" i="36"/>
  <c r="CH386" i="36"/>
  <c r="CH373" i="36"/>
  <c r="CH367" i="36"/>
  <c r="CH415" i="36"/>
  <c r="CH412" i="36"/>
  <c r="CH411" i="36"/>
  <c r="CH416" i="36"/>
  <c r="CH432" i="36"/>
  <c r="CH396" i="36"/>
  <c r="CH393" i="36"/>
  <c r="CH372" i="36"/>
  <c r="CH362" i="36"/>
  <c r="CH358" i="36"/>
  <c r="CH342" i="36"/>
  <c r="CH417" i="36"/>
  <c r="CH409" i="36"/>
  <c r="CH399" i="36"/>
  <c r="CH376" i="36"/>
  <c r="CH368" i="36"/>
  <c r="CH365" i="36"/>
  <c r="CH347" i="36"/>
  <c r="CH339" i="36"/>
  <c r="CH434" i="36"/>
  <c r="CH384" i="36"/>
  <c r="CH360" i="36"/>
  <c r="CH343" i="36"/>
  <c r="CH334" i="36"/>
  <c r="CH330" i="36"/>
  <c r="CH327" i="36"/>
  <c r="CH401" i="36"/>
  <c r="CH390" i="36"/>
  <c r="CH438" i="36"/>
  <c r="CH426" i="36"/>
  <c r="CH413" i="36"/>
  <c r="CH394" i="36"/>
  <c r="CH381" i="36"/>
  <c r="CH363" i="36"/>
  <c r="CH352" i="36"/>
  <c r="CH336" i="36"/>
  <c r="CH320" i="36"/>
  <c r="CH315" i="36"/>
  <c r="CH380" i="36"/>
  <c r="CH378" i="36"/>
  <c r="CH377" i="36"/>
  <c r="CH369" i="36"/>
  <c r="CH366" i="36"/>
  <c r="CH364" i="36"/>
  <c r="CH361" i="36"/>
  <c r="CH344" i="36"/>
  <c r="CH338" i="36"/>
  <c r="CH337" i="36"/>
  <c r="CH332" i="36"/>
  <c r="CH328" i="36"/>
  <c r="CH311" i="36"/>
  <c r="CH307" i="36"/>
  <c r="CH302" i="36"/>
  <c r="CH301" i="36"/>
  <c r="CH298" i="36"/>
  <c r="CH297" i="36"/>
  <c r="CH278" i="36"/>
  <c r="CH429" i="36"/>
  <c r="CH397" i="36"/>
  <c r="CH354" i="36"/>
  <c r="CH345" i="36"/>
  <c r="CH341" i="36"/>
  <c r="CH335" i="36"/>
  <c r="CH325" i="36"/>
  <c r="CH316" i="36"/>
  <c r="CH312" i="36"/>
  <c r="CH387" i="36"/>
  <c r="CH359" i="36"/>
  <c r="CH349" i="36"/>
  <c r="CH392" i="36"/>
  <c r="CH385" i="36"/>
  <c r="CH370" i="36"/>
  <c r="CH333" i="36"/>
  <c r="CH329" i="36"/>
  <c r="CH346" i="36"/>
  <c r="CH326" i="36"/>
  <c r="CH314" i="36"/>
  <c r="CH313" i="36"/>
  <c r="CH400" i="36"/>
  <c r="CH395" i="36"/>
  <c r="CH356" i="36"/>
  <c r="CH317" i="36"/>
  <c r="CH305" i="36"/>
  <c r="CH357" i="36"/>
  <c r="CH348" i="36"/>
  <c r="CH340" i="36"/>
  <c r="CH321" i="36"/>
  <c r="CH300" i="36"/>
  <c r="CH374" i="36"/>
  <c r="CH309" i="36"/>
  <c r="CH306" i="36"/>
  <c r="CH288" i="36"/>
  <c r="CH283" i="36"/>
  <c r="CH281" i="36"/>
  <c r="CH279" i="36"/>
  <c r="CH269" i="36"/>
  <c r="CH265" i="36"/>
  <c r="CH259" i="36"/>
  <c r="CH255" i="36"/>
  <c r="CH242" i="36"/>
  <c r="CH227" i="36"/>
  <c r="CH223" i="36"/>
  <c r="CH218" i="36"/>
  <c r="CH210" i="36"/>
  <c r="CH209" i="36"/>
  <c r="CH208" i="36"/>
  <c r="CH303" i="36"/>
  <c r="CH295" i="36"/>
  <c r="CH285" i="36"/>
  <c r="CH274" i="36"/>
  <c r="CH272" i="36"/>
  <c r="CH266" i="36"/>
  <c r="CH263" i="36"/>
  <c r="CH260" i="36"/>
  <c r="CH256" i="36"/>
  <c r="CH252" i="36"/>
  <c r="CH248" i="36"/>
  <c r="CH239" i="36"/>
  <c r="CH236" i="36"/>
  <c r="CH230" i="36"/>
  <c r="CH224" i="36"/>
  <c r="CH219" i="36"/>
  <c r="CH304" i="36"/>
  <c r="CH292" i="36"/>
  <c r="CH319" i="36"/>
  <c r="CH310" i="36"/>
  <c r="CH291" i="36"/>
  <c r="CH284" i="36"/>
  <c r="CH275" i="36"/>
  <c r="CH271" i="36"/>
  <c r="CH268" i="36"/>
  <c r="CH258" i="36"/>
  <c r="CH254" i="36"/>
  <c r="CH251" i="36"/>
  <c r="CH245" i="36"/>
  <c r="CH241" i="36"/>
  <c r="CH383" i="36"/>
  <c r="CH293" i="36"/>
  <c r="CH287" i="36"/>
  <c r="CH238" i="36"/>
  <c r="CH214" i="36"/>
  <c r="CH296" i="36"/>
  <c r="CH277" i="36"/>
  <c r="CH233" i="36"/>
  <c r="CH289" i="36"/>
  <c r="CH270" i="36"/>
  <c r="CH262" i="36"/>
  <c r="CH237" i="36"/>
  <c r="CH211" i="36"/>
  <c r="CH199" i="36"/>
  <c r="CH198" i="36"/>
  <c r="CH351" i="36"/>
  <c r="CH324" i="36"/>
  <c r="CH276" i="36"/>
  <c r="CH273" i="36"/>
  <c r="CH253" i="36"/>
  <c r="CH234" i="36"/>
  <c r="CH229" i="36"/>
  <c r="CH220" i="36"/>
  <c r="CH215" i="36"/>
  <c r="CH197" i="36"/>
  <c r="CH178" i="36"/>
  <c r="CH173" i="36"/>
  <c r="CH168" i="36"/>
  <c r="CH331" i="36"/>
  <c r="CH280" i="36"/>
  <c r="CH308" i="36"/>
  <c r="CH286" i="36"/>
  <c r="CH282" i="36"/>
  <c r="CH249" i="36"/>
  <c r="CH232" i="36"/>
  <c r="CH299" i="36"/>
  <c r="CH246" i="36"/>
  <c r="CH244" i="36"/>
  <c r="CH221" i="36"/>
  <c r="CH207" i="36"/>
  <c r="CH183" i="36"/>
  <c r="CH179" i="36"/>
  <c r="CH322" i="36"/>
  <c r="CH318" i="36"/>
  <c r="CH240" i="36"/>
  <c r="CH235" i="36"/>
  <c r="CH231" i="36"/>
  <c r="CH226" i="36"/>
  <c r="CH222" i="36"/>
  <c r="CH216" i="36"/>
  <c r="CH323" i="36"/>
  <c r="CH294" i="36"/>
  <c r="CH243" i="36"/>
  <c r="CH217" i="36"/>
  <c r="CH196" i="36"/>
  <c r="CH193" i="36"/>
  <c r="CH188" i="36"/>
  <c r="CH185" i="36"/>
  <c r="CH181" i="36"/>
  <c r="CH177" i="36"/>
  <c r="CH164" i="36"/>
  <c r="CH156" i="36"/>
  <c r="CH264" i="36"/>
  <c r="CH250" i="36"/>
  <c r="CH247" i="36"/>
  <c r="CH228" i="36"/>
  <c r="CH206" i="36"/>
  <c r="CH194" i="36"/>
  <c r="CH189" i="36"/>
  <c r="CH184" i="36"/>
  <c r="CH213" i="36"/>
  <c r="CH201" i="36"/>
  <c r="CH191" i="36"/>
  <c r="CH190" i="36"/>
  <c r="CH187" i="36"/>
  <c r="CH172" i="36"/>
  <c r="CH171" i="36"/>
  <c r="CH166" i="36"/>
  <c r="CH165" i="36"/>
  <c r="CH267" i="36"/>
  <c r="CH257" i="36"/>
  <c r="CH212" i="36"/>
  <c r="CH203" i="36"/>
  <c r="CH195" i="36"/>
  <c r="CH192" i="36"/>
  <c r="CH174" i="36"/>
  <c r="CH204" i="36"/>
  <c r="CH202" i="36"/>
  <c r="CH182" i="36"/>
  <c r="CH169" i="36"/>
  <c r="CH167" i="36"/>
  <c r="CH163" i="36"/>
  <c r="CH162" i="36"/>
  <c r="CH155" i="36"/>
  <c r="CH150" i="36"/>
  <c r="CH186" i="36"/>
  <c r="CH180" i="36"/>
  <c r="CH148" i="36"/>
  <c r="CH145" i="36"/>
  <c r="CH138" i="36"/>
  <c r="CH134" i="36"/>
  <c r="CH128" i="36"/>
  <c r="CH123" i="36"/>
  <c r="CH118" i="36"/>
  <c r="CH105" i="36"/>
  <c r="CH261" i="36"/>
  <c r="CH225" i="36"/>
  <c r="CH205" i="36"/>
  <c r="CH129" i="36"/>
  <c r="CH119" i="36"/>
  <c r="CH115" i="36"/>
  <c r="CH106" i="36"/>
  <c r="CH200" i="36"/>
  <c r="CH152" i="36"/>
  <c r="CH147" i="36"/>
  <c r="CH143" i="36"/>
  <c r="CH139" i="36"/>
  <c r="CH120" i="36"/>
  <c r="CH176" i="36"/>
  <c r="CH160" i="36"/>
  <c r="CH159" i="36"/>
  <c r="CH136" i="36"/>
  <c r="CH131" i="36"/>
  <c r="CH125" i="36"/>
  <c r="CH116" i="36"/>
  <c r="CH157" i="36"/>
  <c r="CH154" i="36"/>
  <c r="CH144" i="36"/>
  <c r="CH124" i="36"/>
  <c r="CH99" i="36"/>
  <c r="CH94" i="36"/>
  <c r="CH81" i="36"/>
  <c r="CH127" i="36"/>
  <c r="CH112" i="36"/>
  <c r="CH104" i="36"/>
  <c r="CH95" i="36"/>
  <c r="CH88" i="36"/>
  <c r="CH290" i="36"/>
  <c r="CH170" i="36"/>
  <c r="CH142" i="36"/>
  <c r="CH140" i="36"/>
  <c r="CH121" i="36"/>
  <c r="CH108" i="36"/>
  <c r="CH100" i="36"/>
  <c r="CH80" i="36"/>
  <c r="CH78" i="36"/>
  <c r="CH158" i="36"/>
  <c r="CH153" i="36"/>
  <c r="CH141" i="36"/>
  <c r="CH135" i="36"/>
  <c r="CH126" i="36"/>
  <c r="CH117" i="36"/>
  <c r="CH114" i="36"/>
  <c r="CH107" i="36"/>
  <c r="CH98" i="36"/>
  <c r="CH92" i="36"/>
  <c r="CH90" i="36"/>
  <c r="CH89" i="36"/>
  <c r="CH87" i="36"/>
  <c r="CH85" i="36"/>
  <c r="CH84" i="36"/>
  <c r="CH71" i="36"/>
  <c r="CH67" i="36"/>
  <c r="CH66" i="36"/>
  <c r="CH161" i="36"/>
  <c r="CH130" i="36"/>
  <c r="CH113" i="36"/>
  <c r="CH97" i="36"/>
  <c r="CH76" i="36"/>
  <c r="CH91" i="36"/>
  <c r="CH82" i="36"/>
  <c r="CH77" i="36"/>
  <c r="CH70" i="36"/>
  <c r="CH68" i="36"/>
  <c r="CH133" i="36"/>
  <c r="CH96" i="36"/>
  <c r="CH74" i="36"/>
  <c r="CH75" i="36"/>
  <c r="CH151" i="36"/>
  <c r="CH137" i="36"/>
  <c r="CH109" i="36"/>
  <c r="CH103" i="36"/>
  <c r="CH101" i="36"/>
  <c r="CH73" i="36"/>
  <c r="CH69" i="36"/>
  <c r="CH79" i="36"/>
  <c r="CH72" i="36"/>
  <c r="CH132" i="36"/>
  <c r="CH122" i="36"/>
  <c r="CH93" i="36"/>
  <c r="CH83" i="36"/>
  <c r="CH149" i="36"/>
  <c r="CH111" i="36"/>
  <c r="CH102" i="36"/>
  <c r="CH86" i="36"/>
  <c r="CH110" i="36"/>
  <c r="CH175" i="36"/>
  <c r="CH146" i="36"/>
  <c r="CH421" i="36"/>
  <c r="CH420" i="36"/>
  <c r="CH422" i="36"/>
  <c r="W493" i="36"/>
  <c r="CI440" i="36"/>
  <c r="CI430" i="36"/>
  <c r="CI424" i="36"/>
  <c r="CI407" i="36"/>
  <c r="CI429" i="36"/>
  <c r="CI425" i="36"/>
  <c r="CI415" i="36"/>
  <c r="CI402" i="36"/>
  <c r="CI432" i="36"/>
  <c r="CI416" i="36"/>
  <c r="CI409" i="36"/>
  <c r="CI404" i="36"/>
  <c r="CI435" i="36"/>
  <c r="CI433" i="36"/>
  <c r="CI428" i="36"/>
  <c r="CI427" i="36"/>
  <c r="CI418" i="36"/>
  <c r="CI405" i="36"/>
  <c r="CI398" i="36"/>
  <c r="CI379" i="36"/>
  <c r="CI434" i="36"/>
  <c r="CI426" i="36"/>
  <c r="CI408" i="36"/>
  <c r="CI399" i="36"/>
  <c r="CI395" i="36"/>
  <c r="CI390" i="36"/>
  <c r="CI385" i="36"/>
  <c r="CI383" i="36"/>
  <c r="CI376" i="36"/>
  <c r="CI372" i="36"/>
  <c r="CI366" i="36"/>
  <c r="CI365" i="36"/>
  <c r="CI356" i="36"/>
  <c r="CI354" i="36"/>
  <c r="CI431" i="36"/>
  <c r="CI423" i="36"/>
  <c r="CI412" i="36"/>
  <c r="CI411" i="36"/>
  <c r="CI406" i="36"/>
  <c r="CI400" i="36"/>
  <c r="CI380" i="36"/>
  <c r="CI368" i="36"/>
  <c r="CI359" i="36"/>
  <c r="CI358" i="36"/>
  <c r="CI357" i="36"/>
  <c r="CI414" i="36"/>
  <c r="CI413" i="36"/>
  <c r="CI419" i="36"/>
  <c r="CI417" i="36"/>
  <c r="CI350" i="36"/>
  <c r="CI347" i="36"/>
  <c r="CI339" i="36"/>
  <c r="CI397" i="36"/>
  <c r="CI374" i="36"/>
  <c r="CI361" i="36"/>
  <c r="CI352" i="36"/>
  <c r="CI401" i="36"/>
  <c r="CI371" i="36"/>
  <c r="CI367" i="36"/>
  <c r="CI364" i="36"/>
  <c r="CI355" i="36"/>
  <c r="CI348" i="36"/>
  <c r="CI341" i="36"/>
  <c r="CI340" i="36"/>
  <c r="CI335" i="36"/>
  <c r="CI323" i="36"/>
  <c r="CI319" i="36"/>
  <c r="CI439" i="36"/>
  <c r="CI391" i="36"/>
  <c r="CI389" i="36"/>
  <c r="CI377" i="36"/>
  <c r="CI396" i="36"/>
  <c r="CI393" i="36"/>
  <c r="CI382" i="36"/>
  <c r="CI381" i="36"/>
  <c r="CI378" i="36"/>
  <c r="CI373" i="36"/>
  <c r="CI369" i="36"/>
  <c r="CI344" i="36"/>
  <c r="CI338" i="36"/>
  <c r="CI337" i="36"/>
  <c r="CI334" i="36"/>
  <c r="CI332" i="36"/>
  <c r="CI330" i="36"/>
  <c r="CI328" i="36"/>
  <c r="CI311" i="36"/>
  <c r="CI438" i="36"/>
  <c r="CI346" i="36"/>
  <c r="CI303" i="36"/>
  <c r="CI289" i="36"/>
  <c r="CI283" i="36"/>
  <c r="CI274" i="36"/>
  <c r="CI394" i="36"/>
  <c r="CI387" i="36"/>
  <c r="CI386" i="36"/>
  <c r="CI349" i="36"/>
  <c r="CI331" i="36"/>
  <c r="CI321" i="36"/>
  <c r="CI317" i="36"/>
  <c r="CI308" i="36"/>
  <c r="CI410" i="36"/>
  <c r="CI392" i="36"/>
  <c r="CI370" i="36"/>
  <c r="CI362" i="36"/>
  <c r="CI353" i="36"/>
  <c r="CI375" i="36"/>
  <c r="CI360" i="36"/>
  <c r="CI351" i="36"/>
  <c r="CI388" i="36"/>
  <c r="CI345" i="36"/>
  <c r="CI316" i="36"/>
  <c r="CI315" i="36"/>
  <c r="CI305" i="36"/>
  <c r="CI299" i="36"/>
  <c r="CI384" i="36"/>
  <c r="CI333" i="36"/>
  <c r="CI322" i="36"/>
  <c r="CI437" i="36"/>
  <c r="CI436" i="36"/>
  <c r="CI403" i="36"/>
  <c r="CI343" i="36"/>
  <c r="CI326" i="36"/>
  <c r="CI314" i="36"/>
  <c r="CI313" i="36"/>
  <c r="CI307" i="36"/>
  <c r="CI363" i="36"/>
  <c r="CI329" i="36"/>
  <c r="CI320" i="36"/>
  <c r="CI312" i="36"/>
  <c r="CI309" i="36"/>
  <c r="CI336" i="36"/>
  <c r="CI324" i="36"/>
  <c r="CI290" i="36"/>
  <c r="CI247" i="36"/>
  <c r="CI243" i="36"/>
  <c r="CI229" i="36"/>
  <c r="CI228" i="36"/>
  <c r="CI213" i="36"/>
  <c r="CI304" i="36"/>
  <c r="CI292" i="36"/>
  <c r="CI278" i="36"/>
  <c r="CI270" i="36"/>
  <c r="CI249" i="36"/>
  <c r="CI220" i="36"/>
  <c r="CI215" i="36"/>
  <c r="CI214" i="36"/>
  <c r="CI318" i="36"/>
  <c r="CI296" i="36"/>
  <c r="CI287" i="36"/>
  <c r="CI280" i="36"/>
  <c r="CI276" i="36"/>
  <c r="CI294" i="36"/>
  <c r="CI277" i="36"/>
  <c r="CI273" i="36"/>
  <c r="CI262" i="36"/>
  <c r="CI246" i="36"/>
  <c r="CI238" i="36"/>
  <c r="CI291" i="36"/>
  <c r="CI285" i="36"/>
  <c r="CI279" i="36"/>
  <c r="CI252" i="36"/>
  <c r="CI239" i="36"/>
  <c r="CI233" i="36"/>
  <c r="CI223" i="36"/>
  <c r="CI218" i="36"/>
  <c r="CI300" i="36"/>
  <c r="CI281" i="36"/>
  <c r="CI275" i="36"/>
  <c r="CI271" i="36"/>
  <c r="CI264" i="36"/>
  <c r="CI255" i="36"/>
  <c r="CI253" i="36"/>
  <c r="CI240" i="36"/>
  <c r="CI227" i="36"/>
  <c r="CI217" i="36"/>
  <c r="CI209" i="36"/>
  <c r="CI196" i="36"/>
  <c r="CI327" i="36"/>
  <c r="CI310" i="36"/>
  <c r="CI306" i="36"/>
  <c r="CI293" i="36"/>
  <c r="CI263" i="36"/>
  <c r="CI251" i="36"/>
  <c r="CI230" i="36"/>
  <c r="CI208" i="36"/>
  <c r="CI192" i="36"/>
  <c r="CI325" i="36"/>
  <c r="CI269" i="36"/>
  <c r="CI266" i="36"/>
  <c r="CI250" i="36"/>
  <c r="CI245" i="36"/>
  <c r="CI225" i="36"/>
  <c r="CI212" i="36"/>
  <c r="CI205" i="36"/>
  <c r="CI204" i="36"/>
  <c r="CI203" i="36"/>
  <c r="CI200" i="36"/>
  <c r="CI199" i="36"/>
  <c r="CI169" i="36"/>
  <c r="CI286" i="36"/>
  <c r="CI282" i="36"/>
  <c r="CI298" i="36"/>
  <c r="CI254" i="36"/>
  <c r="CI244" i="36"/>
  <c r="CI302" i="36"/>
  <c r="CI297" i="36"/>
  <c r="CI268" i="36"/>
  <c r="CI267" i="36"/>
  <c r="CI265" i="36"/>
  <c r="CI257" i="36"/>
  <c r="CI242" i="36"/>
  <c r="CI224" i="36"/>
  <c r="CI194" i="36"/>
  <c r="CI190" i="36"/>
  <c r="CI180" i="36"/>
  <c r="CI171" i="36"/>
  <c r="CI167" i="36"/>
  <c r="CI163" i="36"/>
  <c r="CI284" i="36"/>
  <c r="CI219" i="36"/>
  <c r="CI211" i="36"/>
  <c r="CI301" i="36"/>
  <c r="CI295" i="36"/>
  <c r="CI288" i="36"/>
  <c r="CI272" i="36"/>
  <c r="CI234" i="36"/>
  <c r="CI197" i="36"/>
  <c r="CI178" i="36"/>
  <c r="CI173" i="36"/>
  <c r="CI168" i="36"/>
  <c r="CI165" i="36"/>
  <c r="CI157" i="36"/>
  <c r="CI154" i="36"/>
  <c r="CI150" i="36"/>
  <c r="CI342" i="36"/>
  <c r="CI237" i="36"/>
  <c r="CI201" i="36"/>
  <c r="CI191" i="36"/>
  <c r="CI188" i="36"/>
  <c r="CI187" i="36"/>
  <c r="CI172" i="36"/>
  <c r="CI166" i="36"/>
  <c r="CI258" i="36"/>
  <c r="CI195" i="36"/>
  <c r="CI174" i="36"/>
  <c r="CI256" i="36"/>
  <c r="CI241" i="36"/>
  <c r="CI216" i="36"/>
  <c r="CI175" i="36"/>
  <c r="CI236" i="36"/>
  <c r="CI232" i="36"/>
  <c r="CI221" i="36"/>
  <c r="CI198" i="36"/>
  <c r="CI186" i="36"/>
  <c r="CI170" i="36"/>
  <c r="CI159" i="36"/>
  <c r="CI148" i="36"/>
  <c r="CI261" i="36"/>
  <c r="CI260" i="36"/>
  <c r="CI222" i="36"/>
  <c r="CI177" i="36"/>
  <c r="CI129" i="36"/>
  <c r="CI119" i="36"/>
  <c r="CI115" i="36"/>
  <c r="CI106" i="36"/>
  <c r="CI248" i="36"/>
  <c r="CI210" i="36"/>
  <c r="CI189" i="36"/>
  <c r="CI162" i="36"/>
  <c r="CI152" i="36"/>
  <c r="CI147" i="36"/>
  <c r="CI143" i="36"/>
  <c r="CI139" i="36"/>
  <c r="CI120" i="36"/>
  <c r="CI231" i="36"/>
  <c r="CI202" i="36"/>
  <c r="CI185" i="36"/>
  <c r="CI179" i="36"/>
  <c r="CI161" i="36"/>
  <c r="CI156" i="36"/>
  <c r="CI151" i="36"/>
  <c r="CI146" i="36"/>
  <c r="CI140" i="36"/>
  <c r="CI135" i="36"/>
  <c r="CI130" i="36"/>
  <c r="CI124" i="36"/>
  <c r="CI107" i="36"/>
  <c r="CI184" i="36"/>
  <c r="CI144" i="36"/>
  <c r="CI141" i="36"/>
  <c r="CI117" i="36"/>
  <c r="CI112" i="36"/>
  <c r="CI111" i="36"/>
  <c r="CI110" i="36"/>
  <c r="CI109" i="36"/>
  <c r="CI108" i="36"/>
  <c r="CI136" i="36"/>
  <c r="CI127" i="36"/>
  <c r="CI104" i="36"/>
  <c r="CI95" i="36"/>
  <c r="CI88" i="36"/>
  <c r="CI207" i="36"/>
  <c r="CI142" i="36"/>
  <c r="CI125" i="36"/>
  <c r="CI121" i="36"/>
  <c r="CI100" i="36"/>
  <c r="CI80" i="36"/>
  <c r="CI78" i="36"/>
  <c r="CI193" i="36"/>
  <c r="CI164" i="36"/>
  <c r="CI128" i="36"/>
  <c r="CI118" i="36"/>
  <c r="CI116" i="36"/>
  <c r="CI113" i="36"/>
  <c r="CI103" i="36"/>
  <c r="CI101" i="36"/>
  <c r="CI96" i="36"/>
  <c r="CI79" i="36"/>
  <c r="CI75" i="36"/>
  <c r="CI74" i="36"/>
  <c r="CI73" i="36"/>
  <c r="CI259" i="36"/>
  <c r="CI226" i="36"/>
  <c r="CI160" i="36"/>
  <c r="CI149" i="36"/>
  <c r="CI131" i="36"/>
  <c r="CI123" i="36"/>
  <c r="CI93" i="36"/>
  <c r="CI91" i="36"/>
  <c r="CI83" i="36"/>
  <c r="CI82" i="36"/>
  <c r="CI69" i="36"/>
  <c r="CI68" i="36"/>
  <c r="CI235" i="36"/>
  <c r="CI183" i="36"/>
  <c r="CI77" i="36"/>
  <c r="CI70" i="36"/>
  <c r="CI155" i="36"/>
  <c r="CI153" i="36"/>
  <c r="CI137" i="36"/>
  <c r="CI92" i="36"/>
  <c r="CI85" i="36"/>
  <c r="CI84" i="36"/>
  <c r="CI81" i="36"/>
  <c r="CI102" i="36"/>
  <c r="CI86" i="36"/>
  <c r="CI206" i="36"/>
  <c r="CI158" i="36"/>
  <c r="CI133" i="36"/>
  <c r="CI98" i="36"/>
  <c r="CI89" i="36"/>
  <c r="CI72" i="36"/>
  <c r="CI71" i="36"/>
  <c r="CI138" i="36"/>
  <c r="CI105" i="36"/>
  <c r="CI90" i="36"/>
  <c r="CI145" i="36"/>
  <c r="CI132" i="36"/>
  <c r="CI99" i="36"/>
  <c r="CI181" i="36"/>
  <c r="CI126" i="36"/>
  <c r="CI182" i="36"/>
  <c r="CI134" i="36"/>
  <c r="CI114" i="36"/>
  <c r="CI97" i="36"/>
  <c r="CI94" i="36"/>
  <c r="CI87" i="36"/>
  <c r="CI76" i="36"/>
  <c r="CI67" i="36"/>
  <c r="CI66" i="36"/>
  <c r="CI176" i="36"/>
  <c r="CI122" i="36"/>
  <c r="CI420" i="36"/>
  <c r="CI421" i="36"/>
  <c r="CI422" i="36"/>
  <c r="CD432" i="36"/>
  <c r="CD416" i="36"/>
  <c r="CD409" i="36"/>
  <c r="CD404" i="36"/>
  <c r="CD437" i="36"/>
  <c r="CD433" i="36"/>
  <c r="CD426" i="36"/>
  <c r="CD417" i="36"/>
  <c r="CD410" i="36"/>
  <c r="CD405" i="36"/>
  <c r="CD434" i="36"/>
  <c r="CD419" i="36"/>
  <c r="CD418" i="36"/>
  <c r="CD413" i="36"/>
  <c r="CD439" i="36"/>
  <c r="CD400" i="36"/>
  <c r="CD380" i="36"/>
  <c r="CD438" i="36"/>
  <c r="CD396" i="36"/>
  <c r="CD392" i="36"/>
  <c r="CD369" i="36"/>
  <c r="CD360" i="36"/>
  <c r="CD352" i="36"/>
  <c r="CD436" i="36"/>
  <c r="CD427" i="36"/>
  <c r="CD425" i="36"/>
  <c r="CD403" i="36"/>
  <c r="CD402" i="36"/>
  <c r="CD394" i="36"/>
  <c r="CD393" i="36"/>
  <c r="CD387" i="36"/>
  <c r="CD384" i="36"/>
  <c r="CD378" i="36"/>
  <c r="CD370" i="36"/>
  <c r="CD363" i="36"/>
  <c r="CD362" i="36"/>
  <c r="CD424" i="36"/>
  <c r="CD407" i="36"/>
  <c r="CD423" i="36"/>
  <c r="CD435" i="36"/>
  <c r="CD430" i="36"/>
  <c r="CD412" i="36"/>
  <c r="CD391" i="36"/>
  <c r="CD348" i="36"/>
  <c r="CD341" i="36"/>
  <c r="CD340" i="36"/>
  <c r="CD428" i="36"/>
  <c r="CD395" i="36"/>
  <c r="CD383" i="36"/>
  <c r="CD382" i="36"/>
  <c r="CD381" i="36"/>
  <c r="CD366" i="36"/>
  <c r="CD359" i="36"/>
  <c r="CD351" i="36"/>
  <c r="CD349" i="36"/>
  <c r="CD344" i="36"/>
  <c r="CD336" i="36"/>
  <c r="CD373" i="36"/>
  <c r="CD372" i="36"/>
  <c r="CD353" i="36"/>
  <c r="CD346" i="36"/>
  <c r="CD345" i="36"/>
  <c r="CD338" i="36"/>
  <c r="CD332" i="36"/>
  <c r="CD328" i="36"/>
  <c r="CD325" i="36"/>
  <c r="CD320" i="36"/>
  <c r="CD415" i="36"/>
  <c r="CD411" i="36"/>
  <c r="CD408" i="36"/>
  <c r="CD399" i="36"/>
  <c r="CD398" i="36"/>
  <c r="CD397" i="36"/>
  <c r="CD376" i="36"/>
  <c r="CD375" i="36"/>
  <c r="CD374" i="36"/>
  <c r="CD390" i="36"/>
  <c r="CD388" i="36"/>
  <c r="CD379" i="36"/>
  <c r="CD377" i="36"/>
  <c r="CD414" i="36"/>
  <c r="CD389" i="36"/>
  <c r="CD356" i="36"/>
  <c r="CD342" i="36"/>
  <c r="CD333" i="36"/>
  <c r="CD331" i="36"/>
  <c r="CD329" i="36"/>
  <c r="CD317" i="36"/>
  <c r="CD371" i="36"/>
  <c r="CD357" i="36"/>
  <c r="CD309" i="36"/>
  <c r="CD287" i="36"/>
  <c r="CD284" i="36"/>
  <c r="CD280" i="36"/>
  <c r="CD272" i="36"/>
  <c r="CD364" i="36"/>
  <c r="CD361" i="36"/>
  <c r="CD358" i="36"/>
  <c r="CD347" i="36"/>
  <c r="CD343" i="36"/>
  <c r="CD339" i="36"/>
  <c r="CD337" i="36"/>
  <c r="CD429" i="36"/>
  <c r="CD386" i="36"/>
  <c r="CD367" i="36"/>
  <c r="CD350" i="36"/>
  <c r="CD330" i="36"/>
  <c r="CD312" i="36"/>
  <c r="CD308" i="36"/>
  <c r="CD385" i="36"/>
  <c r="CD326" i="36"/>
  <c r="CD440" i="36"/>
  <c r="CD431" i="36"/>
  <c r="CD334" i="36"/>
  <c r="CD311" i="36"/>
  <c r="CD310" i="36"/>
  <c r="CD306" i="36"/>
  <c r="CD304" i="36"/>
  <c r="CD302" i="36"/>
  <c r="CD298" i="36"/>
  <c r="CD406" i="36"/>
  <c r="CD368" i="36"/>
  <c r="CD323" i="36"/>
  <c r="CD316" i="36"/>
  <c r="CD401" i="36"/>
  <c r="CD365" i="36"/>
  <c r="CD313" i="36"/>
  <c r="CD293" i="36"/>
  <c r="CD289" i="36"/>
  <c r="CD286" i="36"/>
  <c r="CD282" i="36"/>
  <c r="CD267" i="36"/>
  <c r="CD261" i="36"/>
  <c r="CD257" i="36"/>
  <c r="CD253" i="36"/>
  <c r="CD250" i="36"/>
  <c r="CD244" i="36"/>
  <c r="CD240" i="36"/>
  <c r="CD237" i="36"/>
  <c r="CD234" i="36"/>
  <c r="CD231" i="36"/>
  <c r="CD225" i="36"/>
  <c r="CD322" i="36"/>
  <c r="CD294" i="36"/>
  <c r="CD277" i="36"/>
  <c r="CD275" i="36"/>
  <c r="CD273" i="36"/>
  <c r="CD271" i="36"/>
  <c r="CD268" i="36"/>
  <c r="CD258" i="36"/>
  <c r="CD254" i="36"/>
  <c r="CD251" i="36"/>
  <c r="CD245" i="36"/>
  <c r="CD241" i="36"/>
  <c r="CD232" i="36"/>
  <c r="CD211" i="36"/>
  <c r="CD327" i="36"/>
  <c r="CD324" i="36"/>
  <c r="CD307" i="36"/>
  <c r="CD303" i="36"/>
  <c r="CD301" i="36"/>
  <c r="CD300" i="36"/>
  <c r="CD299" i="36"/>
  <c r="CD297" i="36"/>
  <c r="CD288" i="36"/>
  <c r="CD281" i="36"/>
  <c r="CD292" i="36"/>
  <c r="CD278" i="36"/>
  <c r="CD274" i="36"/>
  <c r="CD266" i="36"/>
  <c r="CD263" i="36"/>
  <c r="CD260" i="36"/>
  <c r="CD256" i="36"/>
  <c r="CD252" i="36"/>
  <c r="CD248" i="36"/>
  <c r="CD239" i="36"/>
  <c r="CD236" i="36"/>
  <c r="CD295" i="36"/>
  <c r="CD269" i="36"/>
  <c r="CD249" i="36"/>
  <c r="CD247" i="36"/>
  <c r="CD235" i="36"/>
  <c r="CD220" i="36"/>
  <c r="CD216" i="36"/>
  <c r="CD207" i="36"/>
  <c r="CD206" i="36"/>
  <c r="CD205" i="36"/>
  <c r="CD204" i="36"/>
  <c r="CD203" i="36"/>
  <c r="CD319" i="36"/>
  <c r="CD305" i="36"/>
  <c r="CD262" i="36"/>
  <c r="CD228" i="36"/>
  <c r="CD215" i="36"/>
  <c r="CD202" i="36"/>
  <c r="CD201" i="36"/>
  <c r="CD355" i="36"/>
  <c r="CD335" i="36"/>
  <c r="CD276" i="36"/>
  <c r="CD226" i="36"/>
  <c r="CD221" i="36"/>
  <c r="CD210" i="36"/>
  <c r="CD200" i="36"/>
  <c r="CD197" i="36"/>
  <c r="CD315" i="36"/>
  <c r="CD283" i="36"/>
  <c r="CD270" i="36"/>
  <c r="CD259" i="36"/>
  <c r="CD255" i="36"/>
  <c r="CD227" i="36"/>
  <c r="CD222" i="36"/>
  <c r="CD214" i="36"/>
  <c r="CD194" i="36"/>
  <c r="CD183" i="36"/>
  <c r="CD179" i="36"/>
  <c r="CD354" i="36"/>
  <c r="CD264" i="36"/>
  <c r="CD229" i="36"/>
  <c r="CD321" i="36"/>
  <c r="CD285" i="36"/>
  <c r="CD279" i="36"/>
  <c r="CD230" i="36"/>
  <c r="CD198" i="36"/>
  <c r="CD178" i="36"/>
  <c r="CD173" i="36"/>
  <c r="CD168" i="36"/>
  <c r="CD165" i="36"/>
  <c r="CD296" i="36"/>
  <c r="CD246" i="36"/>
  <c r="CD233" i="36"/>
  <c r="CD208" i="36"/>
  <c r="CD318" i="36"/>
  <c r="CD291" i="36"/>
  <c r="CD290" i="36"/>
  <c r="CD265" i="36"/>
  <c r="CD242" i="36"/>
  <c r="CD238" i="36"/>
  <c r="CD219" i="36"/>
  <c r="CD209" i="36"/>
  <c r="CD175" i="36"/>
  <c r="CD166" i="36"/>
  <c r="CD218" i="36"/>
  <c r="CD164" i="36"/>
  <c r="CD314" i="36"/>
  <c r="CD199" i="36"/>
  <c r="CD182" i="36"/>
  <c r="CD169" i="36"/>
  <c r="CD167" i="36"/>
  <c r="CD243" i="36"/>
  <c r="CD217" i="36"/>
  <c r="CD191" i="36"/>
  <c r="CD186" i="36"/>
  <c r="CD185" i="36"/>
  <c r="CD184" i="36"/>
  <c r="CD170" i="36"/>
  <c r="CD180" i="36"/>
  <c r="CD177" i="36"/>
  <c r="CD176" i="36"/>
  <c r="CD158" i="36"/>
  <c r="CD156" i="36"/>
  <c r="CD149" i="36"/>
  <c r="CD147" i="36"/>
  <c r="CD193" i="36"/>
  <c r="CD172" i="36"/>
  <c r="CD136" i="36"/>
  <c r="CD131" i="36"/>
  <c r="CD125" i="36"/>
  <c r="CD116" i="36"/>
  <c r="CD224" i="36"/>
  <c r="CD212" i="36"/>
  <c r="CD153" i="36"/>
  <c r="CD144" i="36"/>
  <c r="CD141" i="36"/>
  <c r="CD117" i="36"/>
  <c r="CD112" i="36"/>
  <c r="CD111" i="36"/>
  <c r="CD110" i="36"/>
  <c r="CD109" i="36"/>
  <c r="CD108" i="36"/>
  <c r="CD213" i="36"/>
  <c r="CD192" i="36"/>
  <c r="CD189" i="36"/>
  <c r="CD171" i="36"/>
  <c r="CD157" i="36"/>
  <c r="CD137" i="36"/>
  <c r="CD126" i="36"/>
  <c r="CD122" i="36"/>
  <c r="CD121" i="36"/>
  <c r="CD113" i="36"/>
  <c r="CD188" i="36"/>
  <c r="CD162" i="36"/>
  <c r="CD145" i="36"/>
  <c r="CD138" i="36"/>
  <c r="CD134" i="36"/>
  <c r="CD128" i="36"/>
  <c r="CD123" i="36"/>
  <c r="CD118" i="36"/>
  <c r="CD160" i="36"/>
  <c r="CD130" i="36"/>
  <c r="CD106" i="36"/>
  <c r="CD102" i="36"/>
  <c r="CD77" i="36"/>
  <c r="CD76" i="36"/>
  <c r="CD187" i="36"/>
  <c r="CD148" i="36"/>
  <c r="CD135" i="36"/>
  <c r="CD115" i="36"/>
  <c r="CD107" i="36"/>
  <c r="CD105" i="36"/>
  <c r="CD97" i="36"/>
  <c r="CD86" i="36"/>
  <c r="CD72" i="36"/>
  <c r="CD70" i="36"/>
  <c r="CD190" i="36"/>
  <c r="CD127" i="36"/>
  <c r="CD104" i="36"/>
  <c r="CD98" i="36"/>
  <c r="CD92" i="36"/>
  <c r="CD90" i="36"/>
  <c r="CD89" i="36"/>
  <c r="CD87" i="36"/>
  <c r="CD85" i="36"/>
  <c r="CD84" i="36"/>
  <c r="CD71" i="36"/>
  <c r="CD67" i="36"/>
  <c r="CD66" i="36"/>
  <c r="CD223" i="36"/>
  <c r="CD163" i="36"/>
  <c r="CD161" i="36"/>
  <c r="CD143" i="36"/>
  <c r="CD133" i="36"/>
  <c r="CD100" i="36"/>
  <c r="CD80" i="36"/>
  <c r="CD78" i="36"/>
  <c r="CD120" i="36"/>
  <c r="CD114" i="36"/>
  <c r="CD75" i="36"/>
  <c r="CD124" i="36"/>
  <c r="CD103" i="36"/>
  <c r="CD95" i="36"/>
  <c r="CD69" i="36"/>
  <c r="CD196" i="36"/>
  <c r="CD195" i="36"/>
  <c r="CD154" i="36"/>
  <c r="CD140" i="36"/>
  <c r="CD129" i="36"/>
  <c r="CD94" i="36"/>
  <c r="CD119" i="36"/>
  <c r="CD88" i="36"/>
  <c r="CD101" i="36"/>
  <c r="CD82" i="36"/>
  <c r="CD159" i="36"/>
  <c r="CD155" i="36"/>
  <c r="CD152" i="36"/>
  <c r="CD139" i="36"/>
  <c r="CD68" i="36"/>
  <c r="CD151" i="36"/>
  <c r="CD174" i="36"/>
  <c r="CD146" i="36"/>
  <c r="CD91" i="36"/>
  <c r="CD73" i="36"/>
  <c r="CD132" i="36"/>
  <c r="CD99" i="36"/>
  <c r="CD96" i="36"/>
  <c r="CD93" i="36"/>
  <c r="CD83" i="36"/>
  <c r="CD81" i="36"/>
  <c r="CD79" i="36"/>
  <c r="CD74" i="36"/>
  <c r="CD181" i="36"/>
  <c r="CD142" i="36"/>
  <c r="CD150" i="36"/>
  <c r="CD420" i="36"/>
  <c r="CD422" i="36"/>
  <c r="CD421" i="36"/>
  <c r="U493" i="36"/>
  <c r="CG434" i="36"/>
  <c r="CG419" i="36"/>
  <c r="CG418" i="36"/>
  <c r="CG413" i="36"/>
  <c r="CG439" i="36"/>
  <c r="CG435" i="36"/>
  <c r="CG428" i="36"/>
  <c r="CG423" i="36"/>
  <c r="CG414" i="36"/>
  <c r="CG406" i="36"/>
  <c r="CG429" i="36"/>
  <c r="CG425" i="36"/>
  <c r="CG415" i="36"/>
  <c r="CG402" i="36"/>
  <c r="CG438" i="36"/>
  <c r="CG436" i="36"/>
  <c r="CG417" i="36"/>
  <c r="CG403" i="36"/>
  <c r="CG394" i="36"/>
  <c r="CG393" i="36"/>
  <c r="CG387" i="36"/>
  <c r="CG384" i="36"/>
  <c r="CG378" i="36"/>
  <c r="CG437" i="36"/>
  <c r="CG404" i="36"/>
  <c r="CG389" i="36"/>
  <c r="CG388" i="36"/>
  <c r="CG382" i="36"/>
  <c r="CG375" i="36"/>
  <c r="CG364" i="36"/>
  <c r="CG349" i="36"/>
  <c r="CG432" i="36"/>
  <c r="CG426" i="36"/>
  <c r="CG409" i="36"/>
  <c r="CG399" i="36"/>
  <c r="CG395" i="36"/>
  <c r="CG390" i="36"/>
  <c r="CG385" i="36"/>
  <c r="CG383" i="36"/>
  <c r="CG376" i="36"/>
  <c r="CG372" i="36"/>
  <c r="CG366" i="36"/>
  <c r="CG365" i="36"/>
  <c r="CG431" i="36"/>
  <c r="CG410" i="36"/>
  <c r="CG440" i="36"/>
  <c r="CG430" i="36"/>
  <c r="CG412" i="36"/>
  <c r="CG381" i="36"/>
  <c r="CG373" i="36"/>
  <c r="CG369" i="36"/>
  <c r="CG353" i="36"/>
  <c r="CG346" i="36"/>
  <c r="CG345" i="36"/>
  <c r="CG338" i="36"/>
  <c r="CG416" i="36"/>
  <c r="CG396" i="36"/>
  <c r="CG362" i="36"/>
  <c r="CG358" i="36"/>
  <c r="CG350" i="36"/>
  <c r="CG342" i="36"/>
  <c r="CG424" i="36"/>
  <c r="CG411" i="36"/>
  <c r="CG408" i="36"/>
  <c r="CG400" i="36"/>
  <c r="CG397" i="36"/>
  <c r="CG386" i="36"/>
  <c r="CG374" i="36"/>
  <c r="CG361" i="36"/>
  <c r="CG357" i="36"/>
  <c r="CG354" i="36"/>
  <c r="CG352" i="36"/>
  <c r="CG322" i="36"/>
  <c r="CG318" i="36"/>
  <c r="CG427" i="36"/>
  <c r="CG405" i="36"/>
  <c r="CG392" i="36"/>
  <c r="CG380" i="36"/>
  <c r="CG379" i="36"/>
  <c r="CG343" i="36"/>
  <c r="CG326" i="36"/>
  <c r="CG407" i="36"/>
  <c r="CG363" i="36"/>
  <c r="CG347" i="36"/>
  <c r="CG339" i="36"/>
  <c r="CG336" i="36"/>
  <c r="CG334" i="36"/>
  <c r="CG330" i="36"/>
  <c r="CG320" i="36"/>
  <c r="CG315" i="36"/>
  <c r="CG300" i="36"/>
  <c r="CG295" i="36"/>
  <c r="CG294" i="36"/>
  <c r="CG293" i="36"/>
  <c r="CG292" i="36"/>
  <c r="CG286" i="36"/>
  <c r="CG282" i="36"/>
  <c r="CG273" i="36"/>
  <c r="CG348" i="36"/>
  <c r="CG340" i="36"/>
  <c r="CG327" i="36"/>
  <c r="CG323" i="36"/>
  <c r="CG319" i="36"/>
  <c r="CG433" i="36"/>
  <c r="CG391" i="36"/>
  <c r="CG355" i="36"/>
  <c r="CG341" i="36"/>
  <c r="CG368" i="36"/>
  <c r="CG359" i="36"/>
  <c r="CG331" i="36"/>
  <c r="CG398" i="36"/>
  <c r="CG360" i="36"/>
  <c r="CG344" i="36"/>
  <c r="CG337" i="36"/>
  <c r="CG335" i="36"/>
  <c r="CG328" i="36"/>
  <c r="CG321" i="36"/>
  <c r="CG307" i="36"/>
  <c r="CG401" i="36"/>
  <c r="CG316" i="36"/>
  <c r="CG314" i="36"/>
  <c r="CG313" i="36"/>
  <c r="CG377" i="36"/>
  <c r="CG303" i="36"/>
  <c r="CG310" i="36"/>
  <c r="CG367" i="36"/>
  <c r="CG333" i="36"/>
  <c r="CG329" i="36"/>
  <c r="CG317" i="36"/>
  <c r="CG312" i="36"/>
  <c r="CG302" i="36"/>
  <c r="CG301" i="36"/>
  <c r="CG299" i="36"/>
  <c r="CG298" i="36"/>
  <c r="CG297" i="36"/>
  <c r="CG277" i="36"/>
  <c r="CG262" i="36"/>
  <c r="CG246" i="36"/>
  <c r="CG238" i="36"/>
  <c r="CG235" i="36"/>
  <c r="CG226" i="36"/>
  <c r="CG222" i="36"/>
  <c r="CG212" i="36"/>
  <c r="CG207" i="36"/>
  <c r="CG371" i="36"/>
  <c r="CG324" i="36"/>
  <c r="CG290" i="36"/>
  <c r="CG247" i="36"/>
  <c r="CG243" i="36"/>
  <c r="CG229" i="36"/>
  <c r="CG228" i="36"/>
  <c r="CG213" i="36"/>
  <c r="CG311" i="36"/>
  <c r="CG285" i="36"/>
  <c r="CG278" i="36"/>
  <c r="CG356" i="36"/>
  <c r="CG325" i="36"/>
  <c r="CG264" i="36"/>
  <c r="CG306" i="36"/>
  <c r="CG305" i="36"/>
  <c r="CG289" i="36"/>
  <c r="CG270" i="36"/>
  <c r="CG263" i="36"/>
  <c r="CG251" i="36"/>
  <c r="CG237" i="36"/>
  <c r="CG230" i="36"/>
  <c r="CG211" i="36"/>
  <c r="CG208" i="36"/>
  <c r="CG199" i="36"/>
  <c r="CG198" i="36"/>
  <c r="CG304" i="36"/>
  <c r="CG291" i="36"/>
  <c r="CG287" i="36"/>
  <c r="CG279" i="36"/>
  <c r="CG252" i="36"/>
  <c r="CG239" i="36"/>
  <c r="CG223" i="36"/>
  <c r="CG218" i="36"/>
  <c r="CG214" i="36"/>
  <c r="CG274" i="36"/>
  <c r="CG268" i="36"/>
  <c r="CG261" i="36"/>
  <c r="CG250" i="36"/>
  <c r="CG234" i="36"/>
  <c r="CG231" i="36"/>
  <c r="CG224" i="36"/>
  <c r="CG219" i="36"/>
  <c r="CG288" i="36"/>
  <c r="CG272" i="36"/>
  <c r="CG217" i="36"/>
  <c r="CG196" i="36"/>
  <c r="CG193" i="36"/>
  <c r="CG188" i="36"/>
  <c r="CG185" i="36"/>
  <c r="CG181" i="36"/>
  <c r="CG177" i="36"/>
  <c r="CG351" i="36"/>
  <c r="CG281" i="36"/>
  <c r="CG276" i="36"/>
  <c r="CG275" i="36"/>
  <c r="CG269" i="36"/>
  <c r="CG266" i="36"/>
  <c r="CG332" i="36"/>
  <c r="CG370" i="36"/>
  <c r="CG309" i="36"/>
  <c r="CG308" i="36"/>
  <c r="CG260" i="36"/>
  <c r="CG271" i="36"/>
  <c r="CG254" i="36"/>
  <c r="CG249" i="36"/>
  <c r="CG233" i="36"/>
  <c r="CG232" i="36"/>
  <c r="CG209" i="36"/>
  <c r="CG175" i="36"/>
  <c r="CG166" i="36"/>
  <c r="CG267" i="36"/>
  <c r="CG259" i="36"/>
  <c r="CG257" i="36"/>
  <c r="CG255" i="36"/>
  <c r="CG248" i="36"/>
  <c r="CG227" i="36"/>
  <c r="CG210" i="36"/>
  <c r="CG284" i="36"/>
  <c r="CG283" i="36"/>
  <c r="CG240" i="36"/>
  <c r="CG216" i="36"/>
  <c r="CG191" i="36"/>
  <c r="CG187" i="36"/>
  <c r="CG184" i="36"/>
  <c r="CG176" i="36"/>
  <c r="CG172" i="36"/>
  <c r="CG160" i="36"/>
  <c r="CG153" i="36"/>
  <c r="CG149" i="36"/>
  <c r="CG280" i="36"/>
  <c r="CG245" i="36"/>
  <c r="CG215" i="36"/>
  <c r="CG186" i="36"/>
  <c r="CG183" i="36"/>
  <c r="CG170" i="36"/>
  <c r="CG296" i="36"/>
  <c r="CG265" i="36"/>
  <c r="CG206" i="36"/>
  <c r="CG197" i="36"/>
  <c r="CG194" i="36"/>
  <c r="CG189" i="36"/>
  <c r="CG173" i="36"/>
  <c r="CG258" i="36"/>
  <c r="CG244" i="36"/>
  <c r="CG201" i="36"/>
  <c r="CG190" i="36"/>
  <c r="CG178" i="36"/>
  <c r="CG171" i="36"/>
  <c r="CG220" i="36"/>
  <c r="CG168" i="36"/>
  <c r="CG157" i="36"/>
  <c r="CG146" i="36"/>
  <c r="CG241" i="36"/>
  <c r="CG192" i="36"/>
  <c r="CG167" i="36"/>
  <c r="CG142" i="36"/>
  <c r="CG133" i="36"/>
  <c r="CG132" i="36"/>
  <c r="CG127" i="36"/>
  <c r="CG114" i="36"/>
  <c r="CG104" i="36"/>
  <c r="CG103" i="36"/>
  <c r="CG253" i="36"/>
  <c r="CG242" i="36"/>
  <c r="CG221" i="36"/>
  <c r="CG180" i="36"/>
  <c r="CG174" i="36"/>
  <c r="CG148" i="36"/>
  <c r="CG145" i="36"/>
  <c r="CG138" i="36"/>
  <c r="CG134" i="36"/>
  <c r="CG128" i="36"/>
  <c r="CG123" i="36"/>
  <c r="CG118" i="36"/>
  <c r="CG105" i="36"/>
  <c r="CG256" i="36"/>
  <c r="CG225" i="36"/>
  <c r="CG205" i="36"/>
  <c r="CG203" i="36"/>
  <c r="CG162" i="36"/>
  <c r="CG129" i="36"/>
  <c r="CG119" i="36"/>
  <c r="CG115" i="36"/>
  <c r="CG106" i="36"/>
  <c r="CG169" i="36"/>
  <c r="CG161" i="36"/>
  <c r="CG155" i="36"/>
  <c r="CG154" i="36"/>
  <c r="CG151" i="36"/>
  <c r="CG150" i="36"/>
  <c r="CG140" i="36"/>
  <c r="CG135" i="36"/>
  <c r="CG130" i="36"/>
  <c r="CG124" i="36"/>
  <c r="CG107" i="36"/>
  <c r="CG200" i="36"/>
  <c r="CG111" i="36"/>
  <c r="CG93" i="36"/>
  <c r="CG91" i="36"/>
  <c r="CG83" i="36"/>
  <c r="CG82" i="36"/>
  <c r="CG69" i="36"/>
  <c r="CG68" i="36"/>
  <c r="CG204" i="36"/>
  <c r="CG165" i="36"/>
  <c r="CG144" i="36"/>
  <c r="CG139" i="36"/>
  <c r="CG136" i="36"/>
  <c r="CG99" i="36"/>
  <c r="CG94" i="36"/>
  <c r="CG81" i="36"/>
  <c r="CG159" i="36"/>
  <c r="CG156" i="36"/>
  <c r="CG152" i="36"/>
  <c r="CG125" i="36"/>
  <c r="CG112" i="36"/>
  <c r="CG95" i="36"/>
  <c r="CG88" i="36"/>
  <c r="CG110" i="36"/>
  <c r="CG97" i="36"/>
  <c r="CG86" i="36"/>
  <c r="CG72" i="36"/>
  <c r="CG70" i="36"/>
  <c r="CG182" i="36"/>
  <c r="CG163" i="36"/>
  <c r="CG141" i="36"/>
  <c r="CG87" i="36"/>
  <c r="CG67" i="36"/>
  <c r="CG66" i="36"/>
  <c r="CG158" i="36"/>
  <c r="CG98" i="36"/>
  <c r="CG89" i="36"/>
  <c r="CG73" i="36"/>
  <c r="CG79" i="36"/>
  <c r="CG92" i="36"/>
  <c r="CG84" i="36"/>
  <c r="CG113" i="36"/>
  <c r="CG78" i="36"/>
  <c r="CG76" i="36"/>
  <c r="CG137" i="36"/>
  <c r="CG101" i="36"/>
  <c r="CG147" i="36"/>
  <c r="CG108" i="36"/>
  <c r="CG74" i="36"/>
  <c r="CG85" i="36"/>
  <c r="CG236" i="36"/>
  <c r="CG77" i="36"/>
  <c r="CG116" i="36"/>
  <c r="CG109" i="36"/>
  <c r="CG71" i="36"/>
  <c r="CG96" i="36"/>
  <c r="CG90" i="36"/>
  <c r="CG80" i="36"/>
  <c r="CG143" i="36"/>
  <c r="CG117" i="36"/>
  <c r="CG202" i="36"/>
  <c r="CG179" i="36"/>
  <c r="CG131" i="36"/>
  <c r="CG122" i="36"/>
  <c r="CG75" i="36"/>
  <c r="CG195" i="36"/>
  <c r="CG164" i="36"/>
  <c r="CG126" i="36"/>
  <c r="CG121" i="36"/>
  <c r="CG120" i="36"/>
  <c r="CG102" i="36"/>
  <c r="CG100" i="36"/>
  <c r="CG422" i="36"/>
  <c r="CG420" i="36"/>
  <c r="CG421" i="36"/>
  <c r="T493" i="36"/>
  <c r="CF438" i="36"/>
  <c r="CF427" i="36"/>
  <c r="CF412" i="36"/>
  <c r="CF411" i="36"/>
  <c r="CF434" i="36"/>
  <c r="CF419" i="36"/>
  <c r="CF418" i="36"/>
  <c r="CF413" i="36"/>
  <c r="CF440" i="36"/>
  <c r="CF430" i="36"/>
  <c r="CF424" i="36"/>
  <c r="CF407" i="36"/>
  <c r="CF429" i="36"/>
  <c r="CF401" i="36"/>
  <c r="CF397" i="36"/>
  <c r="CF381" i="36"/>
  <c r="CF377" i="36"/>
  <c r="CF374" i="36"/>
  <c r="CF436" i="36"/>
  <c r="CF435" i="36"/>
  <c r="CF428" i="36"/>
  <c r="CF425" i="36"/>
  <c r="CF417" i="36"/>
  <c r="CF403" i="36"/>
  <c r="CF402" i="36"/>
  <c r="CF394" i="36"/>
  <c r="CF393" i="36"/>
  <c r="CF387" i="36"/>
  <c r="CF384" i="36"/>
  <c r="CF378" i="36"/>
  <c r="CF370" i="36"/>
  <c r="CF363" i="36"/>
  <c r="CF362" i="36"/>
  <c r="CF433" i="36"/>
  <c r="CF408" i="36"/>
  <c r="CF405" i="36"/>
  <c r="CF398" i="36"/>
  <c r="CF379" i="36"/>
  <c r="CF371" i="36"/>
  <c r="CF432" i="36"/>
  <c r="CF426" i="36"/>
  <c r="CF423" i="36"/>
  <c r="CF409" i="36"/>
  <c r="CF431" i="36"/>
  <c r="CF415" i="36"/>
  <c r="CF392" i="36"/>
  <c r="CF382" i="36"/>
  <c r="CF380" i="36"/>
  <c r="CF356" i="36"/>
  <c r="CF337" i="36"/>
  <c r="CF406" i="36"/>
  <c r="CF373" i="36"/>
  <c r="CF372" i="36"/>
  <c r="CF369" i="36"/>
  <c r="CF353" i="36"/>
  <c r="CF346" i="36"/>
  <c r="CF345" i="36"/>
  <c r="CF338" i="36"/>
  <c r="CF437" i="36"/>
  <c r="CF385" i="36"/>
  <c r="CF375" i="36"/>
  <c r="CF368" i="36"/>
  <c r="CF347" i="36"/>
  <c r="CF339" i="36"/>
  <c r="CF333" i="36"/>
  <c r="CF329" i="36"/>
  <c r="CF326" i="36"/>
  <c r="CF321" i="36"/>
  <c r="CF400" i="36"/>
  <c r="CF386" i="36"/>
  <c r="CF410" i="36"/>
  <c r="CF404" i="36"/>
  <c r="CF395" i="36"/>
  <c r="CF383" i="36"/>
  <c r="CF439" i="36"/>
  <c r="CF399" i="36"/>
  <c r="CF351" i="36"/>
  <c r="CF324" i="36"/>
  <c r="CF322" i="36"/>
  <c r="CF318" i="36"/>
  <c r="CF314" i="36"/>
  <c r="CF313" i="36"/>
  <c r="CF310" i="36"/>
  <c r="CF416" i="36"/>
  <c r="CF352" i="36"/>
  <c r="CF343" i="36"/>
  <c r="CF306" i="36"/>
  <c r="CF305" i="36"/>
  <c r="CF296" i="36"/>
  <c r="CF288" i="36"/>
  <c r="CF285" i="36"/>
  <c r="CF277" i="36"/>
  <c r="CF396" i="36"/>
  <c r="CF388" i="36"/>
  <c r="CF367" i="36"/>
  <c r="CF344" i="36"/>
  <c r="CF332" i="36"/>
  <c r="CF328" i="36"/>
  <c r="CF311" i="36"/>
  <c r="CF354" i="36"/>
  <c r="CF350" i="36"/>
  <c r="CF348" i="36"/>
  <c r="CF340" i="36"/>
  <c r="CF391" i="36"/>
  <c r="CF390" i="36"/>
  <c r="CF365" i="36"/>
  <c r="CF355" i="36"/>
  <c r="CF349" i="36"/>
  <c r="CF341" i="36"/>
  <c r="CF335" i="36"/>
  <c r="CF389" i="36"/>
  <c r="CF357" i="36"/>
  <c r="CF303" i="36"/>
  <c r="CF300" i="36"/>
  <c r="CF360" i="36"/>
  <c r="CF359" i="36"/>
  <c r="CF358" i="36"/>
  <c r="CF315" i="36"/>
  <c r="CF307" i="36"/>
  <c r="CF414" i="36"/>
  <c r="CF342" i="36"/>
  <c r="CF330" i="36"/>
  <c r="CF320" i="36"/>
  <c r="CF325" i="36"/>
  <c r="CF319" i="36"/>
  <c r="CF364" i="36"/>
  <c r="CF294" i="36"/>
  <c r="CF291" i="36"/>
  <c r="CF284" i="36"/>
  <c r="CF275" i="36"/>
  <c r="CF273" i="36"/>
  <c r="CF271" i="36"/>
  <c r="CF268" i="36"/>
  <c r="CF258" i="36"/>
  <c r="CF254" i="36"/>
  <c r="CF251" i="36"/>
  <c r="CF245" i="36"/>
  <c r="CF241" i="36"/>
  <c r="CF232" i="36"/>
  <c r="CF211" i="36"/>
  <c r="CF376" i="36"/>
  <c r="CF327" i="36"/>
  <c r="CF309" i="36"/>
  <c r="CF283" i="36"/>
  <c r="CF281" i="36"/>
  <c r="CF279" i="36"/>
  <c r="CF269" i="36"/>
  <c r="CF265" i="36"/>
  <c r="CF259" i="36"/>
  <c r="CF255" i="36"/>
  <c r="CF242" i="36"/>
  <c r="CF227" i="36"/>
  <c r="CF223" i="36"/>
  <c r="CF218" i="36"/>
  <c r="CF210" i="36"/>
  <c r="CF361" i="36"/>
  <c r="CF295" i="36"/>
  <c r="CF290" i="36"/>
  <c r="CF308" i="36"/>
  <c r="CF293" i="36"/>
  <c r="CF289" i="36"/>
  <c r="CF287" i="36"/>
  <c r="CF286" i="36"/>
  <c r="CF282" i="36"/>
  <c r="CF280" i="36"/>
  <c r="CF276" i="36"/>
  <c r="CF267" i="36"/>
  <c r="CF261" i="36"/>
  <c r="CF257" i="36"/>
  <c r="CF253" i="36"/>
  <c r="CF250" i="36"/>
  <c r="CF244" i="36"/>
  <c r="CF240" i="36"/>
  <c r="CF237" i="36"/>
  <c r="CF334" i="36"/>
  <c r="CF312" i="36"/>
  <c r="CF274" i="36"/>
  <c r="CF262" i="36"/>
  <c r="CF234" i="36"/>
  <c r="CF231" i="36"/>
  <c r="CF224" i="36"/>
  <c r="CF219" i="36"/>
  <c r="CF270" i="36"/>
  <c r="CF263" i="36"/>
  <c r="CF238" i="36"/>
  <c r="CF230" i="36"/>
  <c r="CF208" i="36"/>
  <c r="CF199" i="36"/>
  <c r="CF198" i="36"/>
  <c r="CF301" i="36"/>
  <c r="CF249" i="36"/>
  <c r="CF235" i="36"/>
  <c r="CF228" i="36"/>
  <c r="CF225" i="36"/>
  <c r="CF216" i="36"/>
  <c r="CF215" i="36"/>
  <c r="CF202" i="36"/>
  <c r="CF201" i="36"/>
  <c r="CF194" i="36"/>
  <c r="CF191" i="36"/>
  <c r="CF323" i="36"/>
  <c r="CF317" i="36"/>
  <c r="CF243" i="36"/>
  <c r="CF187" i="36"/>
  <c r="CF184" i="36"/>
  <c r="CF176" i="36"/>
  <c r="CF172" i="36"/>
  <c r="CF316" i="36"/>
  <c r="CF272" i="36"/>
  <c r="CF331" i="36"/>
  <c r="CF366" i="36"/>
  <c r="CF278" i="36"/>
  <c r="CF256" i="36"/>
  <c r="CF247" i="36"/>
  <c r="CF239" i="36"/>
  <c r="CF236" i="36"/>
  <c r="CF298" i="36"/>
  <c r="CF260" i="36"/>
  <c r="CF206" i="36"/>
  <c r="CF195" i="36"/>
  <c r="CF192" i="36"/>
  <c r="CF189" i="36"/>
  <c r="CF186" i="36"/>
  <c r="CF182" i="36"/>
  <c r="CF174" i="36"/>
  <c r="CF170" i="36"/>
  <c r="CF304" i="36"/>
  <c r="CF221" i="36"/>
  <c r="CF214" i="36"/>
  <c r="CF248" i="36"/>
  <c r="CF226" i="36"/>
  <c r="CF222" i="36"/>
  <c r="CF190" i="36"/>
  <c r="CF180" i="36"/>
  <c r="CF171" i="36"/>
  <c r="CF167" i="36"/>
  <c r="CF163" i="36"/>
  <c r="CF152" i="36"/>
  <c r="CF246" i="36"/>
  <c r="CF204" i="36"/>
  <c r="CF185" i="36"/>
  <c r="CF169" i="36"/>
  <c r="CF292" i="36"/>
  <c r="CF266" i="36"/>
  <c r="CF264" i="36"/>
  <c r="CF217" i="36"/>
  <c r="CF188" i="36"/>
  <c r="CF183" i="36"/>
  <c r="CF299" i="36"/>
  <c r="CF213" i="36"/>
  <c r="CF209" i="36"/>
  <c r="CF197" i="36"/>
  <c r="CF173" i="36"/>
  <c r="CF166" i="36"/>
  <c r="CF336" i="36"/>
  <c r="CF229" i="36"/>
  <c r="CF207" i="36"/>
  <c r="CF200" i="36"/>
  <c r="CF179" i="36"/>
  <c r="CF164" i="36"/>
  <c r="CF220" i="36"/>
  <c r="CF212" i="36"/>
  <c r="CF165" i="36"/>
  <c r="CF158" i="36"/>
  <c r="CF157" i="36"/>
  <c r="CF153" i="36"/>
  <c r="CF149" i="36"/>
  <c r="CF137" i="36"/>
  <c r="CF126" i="36"/>
  <c r="CF122" i="36"/>
  <c r="CF121" i="36"/>
  <c r="CF113" i="36"/>
  <c r="CF177" i="36"/>
  <c r="CF142" i="36"/>
  <c r="CF133" i="36"/>
  <c r="CF132" i="36"/>
  <c r="CF127" i="36"/>
  <c r="CF114" i="36"/>
  <c r="CF104" i="36"/>
  <c r="CF103" i="36"/>
  <c r="CF252" i="36"/>
  <c r="CF148" i="36"/>
  <c r="CF145" i="36"/>
  <c r="CF138" i="36"/>
  <c r="CF134" i="36"/>
  <c r="CF128" i="36"/>
  <c r="CF123" i="36"/>
  <c r="CF118" i="36"/>
  <c r="CF105" i="36"/>
  <c r="CF196" i="36"/>
  <c r="CF178" i="36"/>
  <c r="CF156" i="36"/>
  <c r="CF147" i="36"/>
  <c r="CF146" i="36"/>
  <c r="CF143" i="36"/>
  <c r="CF139" i="36"/>
  <c r="CF120" i="36"/>
  <c r="CF162" i="36"/>
  <c r="CF141" i="36"/>
  <c r="CF131" i="36"/>
  <c r="CF117" i="36"/>
  <c r="CF115" i="36"/>
  <c r="CF98" i="36"/>
  <c r="CF92" i="36"/>
  <c r="CF90" i="36"/>
  <c r="CF89" i="36"/>
  <c r="CF87" i="36"/>
  <c r="CF85" i="36"/>
  <c r="CF84" i="36"/>
  <c r="CF71" i="36"/>
  <c r="CF67" i="36"/>
  <c r="CF66" i="36"/>
  <c r="CF168" i="36"/>
  <c r="CF154" i="36"/>
  <c r="CF124" i="36"/>
  <c r="CF111" i="36"/>
  <c r="CF93" i="36"/>
  <c r="CF91" i="36"/>
  <c r="CF83" i="36"/>
  <c r="CF82" i="36"/>
  <c r="CF69" i="36"/>
  <c r="CF68" i="36"/>
  <c r="CF302" i="36"/>
  <c r="CF150" i="36"/>
  <c r="CF144" i="36"/>
  <c r="CF136" i="36"/>
  <c r="CF99" i="36"/>
  <c r="CF94" i="36"/>
  <c r="CF81" i="36"/>
  <c r="CF233" i="36"/>
  <c r="CF155" i="36"/>
  <c r="CF151" i="36"/>
  <c r="CF130" i="36"/>
  <c r="CF109" i="36"/>
  <c r="CF106" i="36"/>
  <c r="CF102" i="36"/>
  <c r="CF77" i="36"/>
  <c r="CF76" i="36"/>
  <c r="CF129" i="36"/>
  <c r="CF110" i="36"/>
  <c r="CF100" i="36"/>
  <c r="CF72" i="36"/>
  <c r="CF203" i="36"/>
  <c r="CF161" i="36"/>
  <c r="CF159" i="36"/>
  <c r="CF97" i="36"/>
  <c r="CF95" i="36"/>
  <c r="CF297" i="36"/>
  <c r="CF73" i="36"/>
  <c r="CF96" i="36"/>
  <c r="CF79" i="36"/>
  <c r="CF74" i="36"/>
  <c r="CF160" i="36"/>
  <c r="CF119" i="36"/>
  <c r="CF88" i="36"/>
  <c r="CF78" i="36"/>
  <c r="CF70" i="36"/>
  <c r="CF112" i="36"/>
  <c r="CF101" i="36"/>
  <c r="CF175" i="36"/>
  <c r="CF108" i="36"/>
  <c r="CF80" i="36"/>
  <c r="CF181" i="36"/>
  <c r="CF135" i="36"/>
  <c r="CF107" i="36"/>
  <c r="CF205" i="36"/>
  <c r="CF140" i="36"/>
  <c r="CF125" i="36"/>
  <c r="CF86" i="36"/>
  <c r="CF75" i="36"/>
  <c r="CF193" i="36"/>
  <c r="CF116" i="36"/>
  <c r="CF420" i="36"/>
  <c r="CF421" i="36"/>
  <c r="CF422" i="36"/>
  <c r="S453" i="36"/>
  <c r="CE437" i="36"/>
  <c r="CE433" i="36"/>
  <c r="CE426" i="36"/>
  <c r="CE417" i="36"/>
  <c r="CE410" i="36"/>
  <c r="CE405" i="36"/>
  <c r="CE438" i="36"/>
  <c r="CE427" i="36"/>
  <c r="CE412" i="36"/>
  <c r="CE411" i="36"/>
  <c r="CE439" i="36"/>
  <c r="CE435" i="36"/>
  <c r="CE428" i="36"/>
  <c r="CE423" i="36"/>
  <c r="CE414" i="36"/>
  <c r="CE406" i="36"/>
  <c r="CE416" i="36"/>
  <c r="CE396" i="36"/>
  <c r="CE392" i="36"/>
  <c r="CE429" i="36"/>
  <c r="CE419" i="36"/>
  <c r="CE401" i="36"/>
  <c r="CE397" i="36"/>
  <c r="CE381" i="36"/>
  <c r="CE377" i="36"/>
  <c r="CE374" i="36"/>
  <c r="CE361" i="36"/>
  <c r="CE434" i="36"/>
  <c r="CE424" i="36"/>
  <c r="CE407" i="36"/>
  <c r="CE404" i="36"/>
  <c r="CE389" i="36"/>
  <c r="CE388" i="36"/>
  <c r="CE382" i="36"/>
  <c r="CE375" i="36"/>
  <c r="CE364" i="36"/>
  <c r="CE408" i="36"/>
  <c r="CE432" i="36"/>
  <c r="CE425" i="36"/>
  <c r="CE413" i="36"/>
  <c r="CE395" i="36"/>
  <c r="CE394" i="36"/>
  <c r="CE383" i="36"/>
  <c r="CE370" i="36"/>
  <c r="CE366" i="36"/>
  <c r="CE363" i="36"/>
  <c r="CE359" i="36"/>
  <c r="CE351" i="36"/>
  <c r="CE349" i="36"/>
  <c r="CE344" i="36"/>
  <c r="CE336" i="36"/>
  <c r="CE440" i="36"/>
  <c r="CE393" i="36"/>
  <c r="CE380" i="36"/>
  <c r="CE356" i="36"/>
  <c r="CE337" i="36"/>
  <c r="CE415" i="36"/>
  <c r="CE403" i="36"/>
  <c r="CE399" i="36"/>
  <c r="CE398" i="36"/>
  <c r="CE376" i="36"/>
  <c r="CE365" i="36"/>
  <c r="CE358" i="36"/>
  <c r="CE350" i="36"/>
  <c r="CE342" i="36"/>
  <c r="CE431" i="36"/>
  <c r="CE385" i="36"/>
  <c r="CE384" i="36"/>
  <c r="CE430" i="36"/>
  <c r="CE391" i="36"/>
  <c r="CE387" i="36"/>
  <c r="CE378" i="36"/>
  <c r="CE400" i="36"/>
  <c r="CE371" i="36"/>
  <c r="CE360" i="36"/>
  <c r="CE357" i="36"/>
  <c r="CE309" i="36"/>
  <c r="CE379" i="36"/>
  <c r="CE373" i="36"/>
  <c r="CE326" i="36"/>
  <c r="CE324" i="36"/>
  <c r="CE322" i="36"/>
  <c r="CE318" i="36"/>
  <c r="CE314" i="36"/>
  <c r="CE313" i="36"/>
  <c r="CE310" i="36"/>
  <c r="CE291" i="36"/>
  <c r="CE281" i="36"/>
  <c r="CE276" i="36"/>
  <c r="CE436" i="36"/>
  <c r="CE372" i="36"/>
  <c r="CE346" i="36"/>
  <c r="CE334" i="36"/>
  <c r="CE330" i="36"/>
  <c r="CE320" i="36"/>
  <c r="CE315" i="36"/>
  <c r="CE409" i="36"/>
  <c r="CE386" i="36"/>
  <c r="CE367" i="36"/>
  <c r="CE345" i="36"/>
  <c r="CE402" i="36"/>
  <c r="CE362" i="36"/>
  <c r="CE354" i="36"/>
  <c r="CE353" i="36"/>
  <c r="CE348" i="36"/>
  <c r="CE340" i="36"/>
  <c r="CE327" i="36"/>
  <c r="CE390" i="36"/>
  <c r="CE343" i="36"/>
  <c r="CE418" i="36"/>
  <c r="CE335" i="36"/>
  <c r="CE328" i="36"/>
  <c r="CE321" i="36"/>
  <c r="CE303" i="36"/>
  <c r="CE347" i="36"/>
  <c r="CE341" i="36"/>
  <c r="CE338" i="36"/>
  <c r="CE332" i="36"/>
  <c r="CE325" i="36"/>
  <c r="CE312" i="36"/>
  <c r="CE308" i="36"/>
  <c r="CE319" i="36"/>
  <c r="CE264" i="36"/>
  <c r="CE233" i="36"/>
  <c r="CE221" i="36"/>
  <c r="CE217" i="36"/>
  <c r="CE216" i="36"/>
  <c r="CE339" i="36"/>
  <c r="CE317" i="36"/>
  <c r="CE307" i="36"/>
  <c r="CE306" i="36"/>
  <c r="CE302" i="36"/>
  <c r="CE301" i="36"/>
  <c r="CE300" i="36"/>
  <c r="CE299" i="36"/>
  <c r="CE298" i="36"/>
  <c r="CE297" i="36"/>
  <c r="CE288" i="36"/>
  <c r="CE262" i="36"/>
  <c r="CE246" i="36"/>
  <c r="CE238" i="36"/>
  <c r="CE235" i="36"/>
  <c r="CE226" i="36"/>
  <c r="CE222" i="36"/>
  <c r="CE212" i="36"/>
  <c r="CE283" i="36"/>
  <c r="CE279" i="36"/>
  <c r="CE368" i="36"/>
  <c r="CE331" i="36"/>
  <c r="CE323" i="36"/>
  <c r="CE316" i="36"/>
  <c r="CE305" i="36"/>
  <c r="CE304" i="36"/>
  <c r="CE296" i="36"/>
  <c r="CE270" i="36"/>
  <c r="CE249" i="36"/>
  <c r="CE311" i="36"/>
  <c r="CE268" i="36"/>
  <c r="CE261" i="36"/>
  <c r="CE250" i="36"/>
  <c r="CE228" i="36"/>
  <c r="CE225" i="36"/>
  <c r="CE215" i="36"/>
  <c r="CE202" i="36"/>
  <c r="CE201" i="36"/>
  <c r="CE293" i="36"/>
  <c r="CE289" i="36"/>
  <c r="CE285" i="36"/>
  <c r="CE274" i="36"/>
  <c r="CE251" i="36"/>
  <c r="CE237" i="36"/>
  <c r="CE234" i="36"/>
  <c r="CE231" i="36"/>
  <c r="CE224" i="36"/>
  <c r="CE219" i="36"/>
  <c r="CE211" i="36"/>
  <c r="CE295" i="36"/>
  <c r="CE284" i="36"/>
  <c r="CE282" i="36"/>
  <c r="CE273" i="36"/>
  <c r="CE269" i="36"/>
  <c r="CE260" i="36"/>
  <c r="CE248" i="36"/>
  <c r="CE247" i="36"/>
  <c r="CE236" i="36"/>
  <c r="CE232" i="36"/>
  <c r="CE220" i="36"/>
  <c r="CE207" i="36"/>
  <c r="CE206" i="36"/>
  <c r="CE205" i="36"/>
  <c r="CE204" i="36"/>
  <c r="CE203" i="36"/>
  <c r="CE294" i="36"/>
  <c r="CE240" i="36"/>
  <c r="CE223" i="36"/>
  <c r="CE191" i="36"/>
  <c r="CE190" i="36"/>
  <c r="CE180" i="36"/>
  <c r="CE171" i="36"/>
  <c r="CE369" i="36"/>
  <c r="CE352" i="36"/>
  <c r="CE333" i="36"/>
  <c r="CE287" i="36"/>
  <c r="CE286" i="36"/>
  <c r="CE280" i="36"/>
  <c r="CE266" i="36"/>
  <c r="CE258" i="36"/>
  <c r="CE241" i="36"/>
  <c r="CE230" i="36"/>
  <c r="CE355" i="36"/>
  <c r="CE278" i="36"/>
  <c r="CE256" i="36"/>
  <c r="CE239" i="36"/>
  <c r="CE213" i="36"/>
  <c r="CE200" i="36"/>
  <c r="CE169" i="36"/>
  <c r="CE162" i="36"/>
  <c r="CE292" i="36"/>
  <c r="CE290" i="36"/>
  <c r="CE277" i="36"/>
  <c r="CE265" i="36"/>
  <c r="CE263" i="36"/>
  <c r="CE252" i="36"/>
  <c r="CE244" i="36"/>
  <c r="CE242" i="36"/>
  <c r="CE209" i="36"/>
  <c r="CE329" i="36"/>
  <c r="CE267" i="36"/>
  <c r="CE259" i="36"/>
  <c r="CE257" i="36"/>
  <c r="CE255" i="36"/>
  <c r="CE227" i="36"/>
  <c r="CE214" i="36"/>
  <c r="CE210" i="36"/>
  <c r="CE194" i="36"/>
  <c r="CE183" i="36"/>
  <c r="CE179" i="36"/>
  <c r="CE159" i="36"/>
  <c r="CE155" i="36"/>
  <c r="CE148" i="36"/>
  <c r="CE199" i="36"/>
  <c r="CE182" i="36"/>
  <c r="CE168" i="36"/>
  <c r="CE167" i="36"/>
  <c r="CE245" i="36"/>
  <c r="CE243" i="36"/>
  <c r="CE186" i="36"/>
  <c r="CE185" i="36"/>
  <c r="CE184" i="36"/>
  <c r="CE170" i="36"/>
  <c r="CE271" i="36"/>
  <c r="CE189" i="36"/>
  <c r="CE188" i="36"/>
  <c r="CE187" i="36"/>
  <c r="CE172" i="36"/>
  <c r="CE196" i="36"/>
  <c r="CE193" i="36"/>
  <c r="CE181" i="36"/>
  <c r="CE160" i="36"/>
  <c r="CE153" i="36"/>
  <c r="CE151" i="36"/>
  <c r="CE175" i="36"/>
  <c r="CE144" i="36"/>
  <c r="CE141" i="36"/>
  <c r="CE117" i="36"/>
  <c r="CE112" i="36"/>
  <c r="CE111" i="36"/>
  <c r="CE110" i="36"/>
  <c r="CE109" i="36"/>
  <c r="CE108" i="36"/>
  <c r="CE275" i="36"/>
  <c r="CE254" i="36"/>
  <c r="CE192" i="36"/>
  <c r="CE165" i="36"/>
  <c r="CE158" i="36"/>
  <c r="CE157" i="36"/>
  <c r="CE149" i="36"/>
  <c r="CE137" i="36"/>
  <c r="CE126" i="36"/>
  <c r="CE122" i="36"/>
  <c r="CE121" i="36"/>
  <c r="CE113" i="36"/>
  <c r="CE253" i="36"/>
  <c r="CE177" i="36"/>
  <c r="CE174" i="36"/>
  <c r="CE142" i="36"/>
  <c r="CE133" i="36"/>
  <c r="CE132" i="36"/>
  <c r="CE127" i="36"/>
  <c r="CE114" i="36"/>
  <c r="CE104" i="36"/>
  <c r="CE103" i="36"/>
  <c r="CE163" i="36"/>
  <c r="CE152" i="36"/>
  <c r="CE129" i="36"/>
  <c r="CE119" i="36"/>
  <c r="CE115" i="36"/>
  <c r="CE272" i="36"/>
  <c r="CE229" i="36"/>
  <c r="CE198" i="36"/>
  <c r="CE166" i="36"/>
  <c r="CE138" i="36"/>
  <c r="CE135" i="36"/>
  <c r="CE107" i="36"/>
  <c r="CE105" i="36"/>
  <c r="CE97" i="36"/>
  <c r="CE86" i="36"/>
  <c r="CE72" i="36"/>
  <c r="CE70" i="36"/>
  <c r="CE131" i="36"/>
  <c r="CE98" i="36"/>
  <c r="CE92" i="36"/>
  <c r="CE90" i="36"/>
  <c r="CE89" i="36"/>
  <c r="CE87" i="36"/>
  <c r="CE85" i="36"/>
  <c r="CE84" i="36"/>
  <c r="CE71" i="36"/>
  <c r="CE67" i="36"/>
  <c r="CE66" i="36"/>
  <c r="CE154" i="36"/>
  <c r="CE139" i="36"/>
  <c r="CE124" i="36"/>
  <c r="CE93" i="36"/>
  <c r="CE91" i="36"/>
  <c r="CE83" i="36"/>
  <c r="CE82" i="36"/>
  <c r="CE69" i="36"/>
  <c r="CE68" i="36"/>
  <c r="CE197" i="36"/>
  <c r="CE146" i="36"/>
  <c r="CE134" i="36"/>
  <c r="CE120" i="36"/>
  <c r="CE101" i="36"/>
  <c r="CE96" i="36"/>
  <c r="CE79" i="36"/>
  <c r="CE75" i="36"/>
  <c r="CE74" i="36"/>
  <c r="CE73" i="36"/>
  <c r="CE195" i="36"/>
  <c r="CE164" i="36"/>
  <c r="CE140" i="36"/>
  <c r="CE125" i="36"/>
  <c r="CE106" i="36"/>
  <c r="CE102" i="36"/>
  <c r="CE94" i="36"/>
  <c r="CE128" i="36"/>
  <c r="CE78" i="36"/>
  <c r="CE99" i="36"/>
  <c r="CE81" i="36"/>
  <c r="CE156" i="36"/>
  <c r="CE130" i="36"/>
  <c r="CE100" i="36"/>
  <c r="CE77" i="36"/>
  <c r="CE123" i="36"/>
  <c r="CE161" i="36"/>
  <c r="CE95" i="36"/>
  <c r="CE76" i="36"/>
  <c r="CE150" i="36"/>
  <c r="CE88" i="36"/>
  <c r="CE173" i="36"/>
  <c r="CE176" i="36"/>
  <c r="CE147" i="36"/>
  <c r="CE145" i="36"/>
  <c r="CE116" i="36"/>
  <c r="CE143" i="36"/>
  <c r="CE80" i="36"/>
  <c r="CE208" i="36"/>
  <c r="CE218" i="36"/>
  <c r="CE178" i="36"/>
  <c r="CE136" i="36"/>
  <c r="CE118" i="36"/>
  <c r="CE421" i="36"/>
  <c r="CE420" i="36"/>
  <c r="CE422" i="36"/>
  <c r="R12" i="36"/>
  <c r="R14" i="36" s="1"/>
  <c r="R17" i="36" s="1"/>
  <c r="S20" i="36"/>
  <c r="S25" i="34"/>
  <c r="S24" i="34"/>
  <c r="V20" i="36"/>
  <c r="V25" i="34"/>
  <c r="V24" i="34"/>
  <c r="AB20" i="36"/>
  <c r="AB25" i="34"/>
  <c r="AB24" i="34"/>
  <c r="Z20" i="36"/>
  <c r="Z25" i="34"/>
  <c r="Z24" i="34"/>
  <c r="T20" i="36"/>
  <c r="T25" i="34"/>
  <c r="T24" i="34"/>
  <c r="AA20" i="36"/>
  <c r="AA25" i="34"/>
  <c r="AA24" i="34"/>
  <c r="Y20" i="36"/>
  <c r="Y25" i="34"/>
  <c r="Y24" i="34"/>
  <c r="R25" i="34"/>
  <c r="R24" i="34"/>
  <c r="X20" i="36"/>
  <c r="X25" i="34"/>
  <c r="X24" i="34"/>
  <c r="W20" i="36"/>
  <c r="W25" i="34"/>
  <c r="W24" i="34"/>
  <c r="U20" i="36"/>
  <c r="U25" i="34"/>
  <c r="U24" i="34"/>
  <c r="T16" i="86"/>
  <c r="V30" i="86"/>
  <c r="AA28" i="45"/>
  <c r="V55" i="86"/>
  <c r="K14" i="36"/>
  <c r="K17" i="36" s="1"/>
  <c r="K452" i="36"/>
  <c r="K453" i="36" s="1"/>
  <c r="T54" i="36"/>
  <c r="T12" i="36" s="1"/>
  <c r="T14" i="36" s="1"/>
  <c r="T17" i="36" s="1"/>
  <c r="V32" i="86"/>
  <c r="AB25" i="42"/>
  <c r="AB42" i="41" s="1"/>
  <c r="AB76" i="41" s="1"/>
  <c r="Y25" i="42"/>
  <c r="Y42" i="41" s="1"/>
  <c r="Y76" i="41" s="1"/>
  <c r="X25" i="42"/>
  <c r="AB24" i="42"/>
  <c r="AB101" i="41" s="1"/>
  <c r="Z24" i="42"/>
  <c r="Z101" i="41" s="1"/>
  <c r="P20" i="36"/>
  <c r="N20" i="36"/>
  <c r="S57" i="57"/>
  <c r="S12" i="57" s="1"/>
  <c r="U57" i="57"/>
  <c r="U12" i="57" s="1"/>
  <c r="P14" i="36"/>
  <c r="P17" i="36" s="1"/>
  <c r="M14" i="36"/>
  <c r="M17" i="36" s="1"/>
  <c r="N13" i="36"/>
  <c r="AB54" i="36"/>
  <c r="AB12" i="36" s="1"/>
  <c r="AB14" i="36" s="1"/>
  <c r="AB17" i="36" s="1"/>
  <c r="X17" i="36"/>
  <c r="AA54" i="36"/>
  <c r="AA12" i="36" s="1"/>
  <c r="AA14" i="36" s="1"/>
  <c r="AA17" i="36" s="1"/>
  <c r="Y54" i="36"/>
  <c r="Y12" i="36" s="1"/>
  <c r="Y14" i="36" s="1"/>
  <c r="Y17" i="36" s="1"/>
  <c r="L14" i="36"/>
  <c r="L17" i="36" s="1"/>
  <c r="L49" i="57"/>
  <c r="W14" i="36"/>
  <c r="W17" i="36" s="1"/>
  <c r="Z14" i="36"/>
  <c r="Z17" i="36" s="1"/>
  <c r="S14" i="36"/>
  <c r="S17" i="36" s="1"/>
  <c r="U14" i="36"/>
  <c r="U17" i="36" s="1"/>
  <c r="V14" i="36"/>
  <c r="V17" i="36" s="1"/>
  <c r="R20" i="36"/>
  <c r="Q20" i="57"/>
  <c r="Q20" i="36"/>
  <c r="Q49" i="57"/>
  <c r="O49" i="57"/>
  <c r="O57" i="57" s="1"/>
  <c r="O12" i="57" s="1"/>
  <c r="M49" i="57"/>
  <c r="N57" i="57"/>
  <c r="N12" i="57" s="1"/>
  <c r="K55" i="57"/>
  <c r="K49" i="57"/>
  <c r="R49" i="57"/>
  <c r="P57" i="57"/>
  <c r="P12" i="57" s="1"/>
  <c r="AG86" i="41"/>
  <c r="C37" i="30"/>
  <c r="X38" i="30" s="1"/>
  <c r="R188" i="44"/>
  <c r="Z20" i="57"/>
  <c r="I49" i="45"/>
  <c r="H70" i="45"/>
  <c r="H74" i="45"/>
  <c r="H78" i="45"/>
  <c r="H71" i="45"/>
  <c r="I75" i="45"/>
  <c r="H72" i="45"/>
  <c r="H76" i="45"/>
  <c r="H80" i="45"/>
  <c r="I72" i="45"/>
  <c r="I76" i="45"/>
  <c r="I80" i="45"/>
  <c r="H73" i="45"/>
  <c r="H77" i="45"/>
  <c r="I73" i="45"/>
  <c r="I77" i="45"/>
  <c r="I70" i="45"/>
  <c r="I74" i="45"/>
  <c r="I78" i="45"/>
  <c r="H75" i="45"/>
  <c r="H79" i="45"/>
  <c r="I71" i="45"/>
  <c r="I79" i="45"/>
  <c r="H62" i="45"/>
  <c r="H57" i="45"/>
  <c r="H58" i="45"/>
  <c r="H49" i="45"/>
  <c r="H47" i="45"/>
  <c r="I45" i="45"/>
  <c r="I53" i="45"/>
  <c r="I58" i="45"/>
  <c r="H59" i="45"/>
  <c r="H50" i="45"/>
  <c r="I48" i="45"/>
  <c r="H42" i="45"/>
  <c r="H52" i="45"/>
  <c r="H64" i="45"/>
  <c r="H69" i="45"/>
  <c r="I65" i="45"/>
  <c r="H66" i="45"/>
  <c r="I66" i="45"/>
  <c r="H63" i="45"/>
  <c r="H67" i="45"/>
  <c r="I63" i="45"/>
  <c r="I67" i="45"/>
  <c r="H68" i="45"/>
  <c r="I64" i="45"/>
  <c r="I68" i="45"/>
  <c r="H65" i="45"/>
  <c r="I69" i="45"/>
  <c r="H48" i="45"/>
  <c r="I62" i="45"/>
  <c r="I55" i="45"/>
  <c r="H43" i="45"/>
  <c r="H44" i="45"/>
  <c r="I51" i="45"/>
  <c r="I50" i="45"/>
  <c r="I56" i="45"/>
  <c r="H46" i="45"/>
  <c r="X46" i="45" s="1"/>
  <c r="I42" i="45"/>
  <c r="H51" i="45"/>
  <c r="H61" i="45"/>
  <c r="H54" i="45"/>
  <c r="H60" i="45"/>
  <c r="I59" i="45"/>
  <c r="I57" i="45"/>
  <c r="H56" i="45"/>
  <c r="I46" i="45"/>
  <c r="H53" i="45"/>
  <c r="I60" i="45"/>
  <c r="H45" i="45"/>
  <c r="I54" i="45"/>
  <c r="I43" i="45"/>
  <c r="H55" i="45"/>
  <c r="I61" i="45"/>
  <c r="I52" i="45"/>
  <c r="I44" i="45"/>
  <c r="T12" i="62"/>
  <c r="S12" i="62"/>
  <c r="V12" i="62"/>
  <c r="U12" i="62"/>
  <c r="W12" i="62"/>
  <c r="Y14" i="62"/>
  <c r="Y18" i="41" s="1"/>
  <c r="AG14" i="62"/>
  <c r="AG18" i="41" s="1"/>
  <c r="Z14" i="62"/>
  <c r="Z18" i="41" s="1"/>
  <c r="X18" i="41"/>
  <c r="AA14" i="62"/>
  <c r="AA18" i="41" s="1"/>
  <c r="AB14" i="62"/>
  <c r="AB18" i="41" s="1"/>
  <c r="AC14" i="62"/>
  <c r="AC18" i="41" s="1"/>
  <c r="AE14" i="62"/>
  <c r="AE18" i="41" s="1"/>
  <c r="AF14" i="62"/>
  <c r="AF18" i="41" s="1"/>
  <c r="AD14" i="62"/>
  <c r="AD18" i="41" s="1"/>
  <c r="AA24" i="42"/>
  <c r="AA101" i="41" s="1"/>
  <c r="R25" i="30"/>
  <c r="R20" i="42" s="1"/>
  <c r="R311" i="44" s="1"/>
  <c r="L26" i="30"/>
  <c r="L21" i="42" s="1"/>
  <c r="Q26" i="30"/>
  <c r="Q21" i="42" s="1"/>
  <c r="O26" i="30"/>
  <c r="O21" i="42" s="1"/>
  <c r="P26" i="30"/>
  <c r="P21" i="42" s="1"/>
  <c r="J21" i="42"/>
  <c r="J26" i="30"/>
  <c r="P25" i="30"/>
  <c r="P20" i="42" s="1"/>
  <c r="P311" i="44" s="1"/>
  <c r="J25" i="30"/>
  <c r="J20" i="42" s="1"/>
  <c r="M25" i="30"/>
  <c r="M20" i="42" s="1"/>
  <c r="K25" i="30"/>
  <c r="K20" i="42" s="1"/>
  <c r="L25" i="30"/>
  <c r="L20" i="42" s="1"/>
  <c r="O25" i="30"/>
  <c r="O20" i="42" s="1"/>
  <c r="N25" i="30"/>
  <c r="N20" i="42" s="1"/>
  <c r="Q25" i="30"/>
  <c r="Q20" i="42" s="1"/>
  <c r="L17" i="30"/>
  <c r="L19" i="42" s="1"/>
  <c r="X101" i="41"/>
  <c r="T25" i="42"/>
  <c r="AM25" i="42" s="1"/>
  <c r="V25" i="42"/>
  <c r="K17" i="30"/>
  <c r="K19" i="42" s="1"/>
  <c r="M17" i="30"/>
  <c r="M19" i="42" s="1"/>
  <c r="J17" i="30"/>
  <c r="J19" i="42" s="1"/>
  <c r="Y101" i="41"/>
  <c r="P17" i="30"/>
  <c r="U26" i="45"/>
  <c r="U40" i="41" s="1"/>
  <c r="N17" i="30"/>
  <c r="N19" i="42" s="1"/>
  <c r="O17" i="30"/>
  <c r="Q17" i="30"/>
  <c r="V27" i="45"/>
  <c r="V39" i="41" s="1"/>
  <c r="V26" i="45"/>
  <c r="V40" i="41" s="1"/>
  <c r="T26" i="45"/>
  <c r="T40" i="41" s="1"/>
  <c r="W27" i="45"/>
  <c r="W39" i="41" s="1"/>
  <c r="S26" i="45"/>
  <c r="S40" i="41" s="1"/>
  <c r="R28" i="45"/>
  <c r="U42" i="41"/>
  <c r="U76" i="41" s="1"/>
  <c r="D89" i="12"/>
  <c r="AA76" i="41"/>
  <c r="W42" i="41"/>
  <c r="W76" i="41" s="1"/>
  <c r="S28" i="45"/>
  <c r="L14" i="12"/>
  <c r="L17" i="12" s="1"/>
  <c r="M12" i="12"/>
  <c r="Z14" i="12"/>
  <c r="Q13" i="12"/>
  <c r="U35" i="12"/>
  <c r="U38" i="12" s="1"/>
  <c r="U12" i="12"/>
  <c r="H83" i="98" s="1"/>
  <c r="D88" i="12"/>
  <c r="P16" i="12"/>
  <c r="AA35" i="12"/>
  <c r="P14" i="12"/>
  <c r="S16" i="12"/>
  <c r="AB16" i="12"/>
  <c r="W12" i="12"/>
  <c r="D80" i="12"/>
  <c r="K14" i="12"/>
  <c r="U14" i="12"/>
  <c r="R14" i="12"/>
  <c r="R35" i="12"/>
  <c r="R38" i="12" s="1"/>
  <c r="X13" i="12"/>
  <c r="K86" i="98" s="1"/>
  <c r="K13" i="12"/>
  <c r="T14" i="12"/>
  <c r="Z16" i="12"/>
  <c r="D82" i="12"/>
  <c r="T12" i="12"/>
  <c r="G83" i="98" s="1"/>
  <c r="V35" i="12"/>
  <c r="I155" i="98" s="1"/>
  <c r="I127" i="98" s="1"/>
  <c r="D95" i="12"/>
  <c r="D90" i="12"/>
  <c r="X12" i="12"/>
  <c r="K83" i="98" s="1"/>
  <c r="C44" i="30"/>
  <c r="S35" i="12"/>
  <c r="S38" i="12" s="1"/>
  <c r="Z13" i="12"/>
  <c r="V17" i="12"/>
  <c r="N12" i="12"/>
  <c r="N17" i="12" s="1"/>
  <c r="R13" i="12"/>
  <c r="E86" i="98" s="1"/>
  <c r="P35" i="12"/>
  <c r="P38" i="12" s="1"/>
  <c r="O14" i="12"/>
  <c r="O17" i="12" s="1"/>
  <c r="O13" i="42" s="1"/>
  <c r="N38" i="12"/>
  <c r="AA16" i="12"/>
  <c r="X16" i="12"/>
  <c r="M16" i="12"/>
  <c r="K35" i="12"/>
  <c r="K38" i="12" s="1"/>
  <c r="M13" i="12"/>
  <c r="Q35" i="12"/>
  <c r="Q38" i="12" s="1"/>
  <c r="W35" i="12"/>
  <c r="J155" i="98" s="1"/>
  <c r="J127" i="98" s="1"/>
  <c r="C51" i="30"/>
  <c r="AB35" i="12"/>
  <c r="AB118" i="86" s="1"/>
  <c r="Z15" i="12"/>
  <c r="Y15" i="12"/>
  <c r="Y17" i="12" s="1"/>
  <c r="T35" i="12"/>
  <c r="T38" i="12" s="1"/>
  <c r="AA13" i="12"/>
  <c r="O38" i="12"/>
  <c r="O14" i="42" s="1"/>
  <c r="L38" i="12"/>
  <c r="S12" i="12"/>
  <c r="F83" i="98" s="1"/>
  <c r="S13" i="12"/>
  <c r="F86" i="98" s="1"/>
  <c r="D81" i="12"/>
  <c r="C58" i="30"/>
  <c r="X14" i="12"/>
  <c r="D83" i="12"/>
  <c r="AB15" i="12"/>
  <c r="AB17" i="12" s="1"/>
  <c r="M38" i="12"/>
  <c r="F81" i="30"/>
  <c r="C70" i="30"/>
  <c r="W26" i="45"/>
  <c r="W40" i="41" s="1"/>
  <c r="R191" i="44"/>
  <c r="R186" i="44"/>
  <c r="R99" i="44"/>
  <c r="R193" i="44"/>
  <c r="R89" i="44"/>
  <c r="R137" i="44" s="1"/>
  <c r="R84" i="44"/>
  <c r="R277" i="44" s="1"/>
  <c r="S188" i="44"/>
  <c r="R85" i="44"/>
  <c r="R96" i="44"/>
  <c r="T86" i="44"/>
  <c r="M20" i="57"/>
  <c r="T20" i="57"/>
  <c r="K20" i="36"/>
  <c r="R90" i="44"/>
  <c r="R207" i="44" s="1"/>
  <c r="K20" i="57"/>
  <c r="V19" i="34"/>
  <c r="L20" i="57"/>
  <c r="O20" i="57"/>
  <c r="X20" i="57"/>
  <c r="K19" i="34"/>
  <c r="R20" i="57"/>
  <c r="Z19" i="34"/>
  <c r="W19" i="34"/>
  <c r="M19" i="34"/>
  <c r="T19" i="34"/>
  <c r="U19" i="34"/>
  <c r="Y20" i="57"/>
  <c r="AA19" i="34"/>
  <c r="V20" i="57"/>
  <c r="Y19" i="34"/>
  <c r="S20" i="57"/>
  <c r="P20" i="57"/>
  <c r="AA20" i="57"/>
  <c r="L19" i="34"/>
  <c r="N20" i="57"/>
  <c r="N19" i="34"/>
  <c r="AB20" i="57"/>
  <c r="W20" i="57"/>
  <c r="R19" i="34"/>
  <c r="AB19" i="34"/>
  <c r="S19" i="34"/>
  <c r="Q19" i="34"/>
  <c r="P19" i="34"/>
  <c r="X19" i="34"/>
  <c r="U20" i="57"/>
  <c r="O130" i="44" l="1"/>
  <c r="R27" i="45"/>
  <c r="R39" i="41" s="1"/>
  <c r="R73" i="41" s="1"/>
  <c r="R99" i="41" s="1"/>
  <c r="R108" i="41" s="1"/>
  <c r="R17" i="30"/>
  <c r="O22" i="36"/>
  <c r="Y46" i="45"/>
  <c r="R310" i="44"/>
  <c r="R274" i="44"/>
  <c r="O126" i="44"/>
  <c r="DQ104" i="57"/>
  <c r="BQ104" i="57"/>
  <c r="M107" i="57"/>
  <c r="BF95" i="57"/>
  <c r="BG95" i="57"/>
  <c r="DM98" i="57"/>
  <c r="AD107" i="57"/>
  <c r="BN104" i="57"/>
  <c r="DN104" i="57"/>
  <c r="BL101" i="57"/>
  <c r="DL101" i="57"/>
  <c r="CZ101" i="57"/>
  <c r="CX101" i="57"/>
  <c r="DL98" i="57"/>
  <c r="BM101" i="57"/>
  <c r="K113" i="57"/>
  <c r="BI101" i="57"/>
  <c r="CW101" i="57"/>
  <c r="BJ101" i="57"/>
  <c r="DD101" i="57"/>
  <c r="DO98" i="57"/>
  <c r="DA101" i="57"/>
  <c r="O98" i="57"/>
  <c r="AZ98" i="57" s="1"/>
  <c r="AZ95" i="57"/>
  <c r="BP104" i="57"/>
  <c r="DP104" i="57"/>
  <c r="BD101" i="57"/>
  <c r="CY101" i="57"/>
  <c r="BB328" i="57"/>
  <c r="BA98" i="57"/>
  <c r="BB98" i="57"/>
  <c r="N107" i="57"/>
  <c r="S104" i="57"/>
  <c r="BC101" i="57"/>
  <c r="DM330" i="57"/>
  <c r="BE328" i="57"/>
  <c r="BD98" i="57"/>
  <c r="DM104" i="57"/>
  <c r="BQ101" i="57"/>
  <c r="DQ101" i="57"/>
  <c r="DE101" i="57"/>
  <c r="BB101" i="57"/>
  <c r="BH101" i="57"/>
  <c r="BK330" i="57"/>
  <c r="DJ104" i="57"/>
  <c r="L104" i="57"/>
  <c r="BE98" i="57"/>
  <c r="BO101" i="57"/>
  <c r="DO101" i="57"/>
  <c r="DC101" i="57"/>
  <c r="DK104" i="57"/>
  <c r="BO104" i="57"/>
  <c r="DO104" i="57"/>
  <c r="BE101" i="57"/>
  <c r="DP328" i="57"/>
  <c r="BH98" i="57"/>
  <c r="DK98" i="57"/>
  <c r="DN98" i="57"/>
  <c r="DJ98" i="57"/>
  <c r="V101" i="57"/>
  <c r="BF98" i="57"/>
  <c r="AA113" i="57"/>
  <c r="DP98" i="57"/>
  <c r="BK104" i="57"/>
  <c r="Y104" i="57"/>
  <c r="W104" i="57"/>
  <c r="DD104" i="57" s="1"/>
  <c r="DK330" i="57"/>
  <c r="U107" i="57"/>
  <c r="BY330" i="57"/>
  <c r="CU330" i="57"/>
  <c r="DH330" i="57" s="1"/>
  <c r="BC330" i="57"/>
  <c r="BP330" i="57"/>
  <c r="DP330" i="57"/>
  <c r="DD330" i="57"/>
  <c r="AR330" i="57"/>
  <c r="AF107" i="57"/>
  <c r="CU113" i="57"/>
  <c r="DH113" i="57" s="1"/>
  <c r="BY113" i="57"/>
  <c r="R110" i="57"/>
  <c r="CV104" i="57"/>
  <c r="DI104" i="57" s="1"/>
  <c r="BZ104" i="57"/>
  <c r="AY119" i="57"/>
  <c r="I125" i="57"/>
  <c r="BN331" i="57"/>
  <c r="BQ330" i="57"/>
  <c r="DQ330" i="57"/>
  <c r="AS330" i="57"/>
  <c r="CV333" i="57"/>
  <c r="DI333" i="57" s="1"/>
  <c r="BZ333" i="57"/>
  <c r="BO330" i="57"/>
  <c r="DO330" i="57"/>
  <c r="DC330" i="57"/>
  <c r="AQ330" i="57"/>
  <c r="AG107" i="57"/>
  <c r="CU104" i="57"/>
  <c r="DH104" i="57" s="1"/>
  <c r="BY104" i="57"/>
  <c r="CW330" i="57"/>
  <c r="BI330" i="57"/>
  <c r="M110" i="57"/>
  <c r="CV113" i="57"/>
  <c r="DI113" i="57" s="1"/>
  <c r="BZ113" i="57"/>
  <c r="AC110" i="57"/>
  <c r="AA119" i="57"/>
  <c r="BF328" i="57"/>
  <c r="V104" i="57"/>
  <c r="AZ328" i="57"/>
  <c r="P107" i="57"/>
  <c r="DA330" i="57"/>
  <c r="AE107" i="57"/>
  <c r="BN330" i="57"/>
  <c r="DB330" i="57"/>
  <c r="DN330" i="57"/>
  <c r="AP330" i="57"/>
  <c r="AD110" i="57"/>
  <c r="N110" i="57"/>
  <c r="S107" i="57"/>
  <c r="O101" i="57"/>
  <c r="AZ101" i="57" s="1"/>
  <c r="AZ327" i="57"/>
  <c r="BG328" i="57"/>
  <c r="AA116" i="57"/>
  <c r="K116" i="57"/>
  <c r="DJ330" i="57"/>
  <c r="BJ330" i="57"/>
  <c r="CX330" i="57"/>
  <c r="AY110" i="57"/>
  <c r="I116" i="57"/>
  <c r="L107" i="57"/>
  <c r="BH330" i="57"/>
  <c r="AX119" i="57"/>
  <c r="F125" i="57"/>
  <c r="AM330" i="57"/>
  <c r="Y107" i="57"/>
  <c r="X107" i="57"/>
  <c r="DK107" i="57" s="1"/>
  <c r="W107" i="57"/>
  <c r="CY107" i="57" s="1"/>
  <c r="CV330" i="57"/>
  <c r="DI330" i="57" s="1"/>
  <c r="BZ330" i="57"/>
  <c r="CU333" i="57"/>
  <c r="DH333" i="57" s="1"/>
  <c r="BY333" i="57"/>
  <c r="BD328" i="57"/>
  <c r="T104" i="57"/>
  <c r="AX110" i="57"/>
  <c r="F116" i="57"/>
  <c r="Q104" i="57"/>
  <c r="Z107" i="57"/>
  <c r="BK107" i="57" s="1"/>
  <c r="AB104" i="57"/>
  <c r="O26" i="45"/>
  <c r="O40" i="41" s="1"/>
  <c r="O74" i="41" s="1"/>
  <c r="O100" i="41" s="1"/>
  <c r="O109" i="41" s="1"/>
  <c r="O311" i="44"/>
  <c r="Q26" i="45"/>
  <c r="Q40" i="41" s="1"/>
  <c r="Q74" i="41" s="1"/>
  <c r="Q100" i="41" s="1"/>
  <c r="Q109" i="41" s="1"/>
  <c r="Q311" i="44"/>
  <c r="Q27" i="45"/>
  <c r="Q39" i="41" s="1"/>
  <c r="Q73" i="41" s="1"/>
  <c r="Q99" i="41" s="1"/>
  <c r="Q108" i="41" s="1"/>
  <c r="Q274" i="44"/>
  <c r="Q310" i="44"/>
  <c r="AM21" i="42"/>
  <c r="P310" i="44"/>
  <c r="P274" i="44"/>
  <c r="O27" i="45"/>
  <c r="O39" i="41" s="1"/>
  <c r="O73" i="41" s="1"/>
  <c r="O99" i="41" s="1"/>
  <c r="O108" i="41" s="1"/>
  <c r="O274" i="44"/>
  <c r="O310" i="44"/>
  <c r="R206" i="44"/>
  <c r="T124" i="44"/>
  <c r="O19" i="42"/>
  <c r="AA30" i="36"/>
  <c r="O207" i="44"/>
  <c r="O22" i="12"/>
  <c r="O31" i="12"/>
  <c r="L23" i="108" s="1"/>
  <c r="E38" i="98"/>
  <c r="R14" i="42"/>
  <c r="K127" i="98"/>
  <c r="K155" i="98"/>
  <c r="D38" i="98"/>
  <c r="Q14" i="42"/>
  <c r="G38" i="98"/>
  <c r="T14" i="42"/>
  <c r="L37" i="98"/>
  <c r="Y13" i="42"/>
  <c r="M173" i="98" s="1"/>
  <c r="L80" i="98"/>
  <c r="Y22" i="12"/>
  <c r="Y31" i="12"/>
  <c r="V23" i="108" s="1"/>
  <c r="I37" i="98"/>
  <c r="V13" i="42"/>
  <c r="J172" i="98" s="1"/>
  <c r="I80" i="98"/>
  <c r="V22" i="12"/>
  <c r="V31" i="12"/>
  <c r="S23" i="108" s="1"/>
  <c r="C38" i="98"/>
  <c r="P14" i="42"/>
  <c r="O127" i="98"/>
  <c r="O155" i="98"/>
  <c r="F38" i="98"/>
  <c r="S14" i="42"/>
  <c r="W17" i="12"/>
  <c r="J83" i="98"/>
  <c r="H38" i="98"/>
  <c r="U14" i="42"/>
  <c r="AB31" i="12"/>
  <c r="Y23" i="108" s="1"/>
  <c r="O37" i="98"/>
  <c r="AB13" i="42"/>
  <c r="P173" i="98" s="1"/>
  <c r="O80" i="98"/>
  <c r="Q17" i="12"/>
  <c r="D86" i="98"/>
  <c r="P207" i="44"/>
  <c r="Q207" i="44"/>
  <c r="CD54" i="36"/>
  <c r="CD55" i="36"/>
  <c r="CD56" i="36"/>
  <c r="BT65" i="36"/>
  <c r="BT68" i="57" s="1"/>
  <c r="R23" i="30"/>
  <c r="AM20" i="42"/>
  <c r="AN25" i="42"/>
  <c r="AJ25" i="42"/>
  <c r="AN24" i="42"/>
  <c r="AJ24" i="42"/>
  <c r="C172" i="98"/>
  <c r="X9" i="98"/>
  <c r="O212" i="44"/>
  <c r="O222" i="44" s="1"/>
  <c r="P26" i="45"/>
  <c r="P40" i="41" s="1"/>
  <c r="P74" i="41" s="1"/>
  <c r="P100" i="41" s="1"/>
  <c r="P109" i="41" s="1"/>
  <c r="AI20" i="42"/>
  <c r="P27" i="45"/>
  <c r="P39" i="41" s="1"/>
  <c r="P73" i="41" s="1"/>
  <c r="P99" i="41" s="1"/>
  <c r="P108" i="41" s="1"/>
  <c r="AI21" i="42"/>
  <c r="X42" i="41"/>
  <c r="X76" i="41" s="1"/>
  <c r="AI25" i="42"/>
  <c r="Q19" i="42"/>
  <c r="Q309" i="44" s="1"/>
  <c r="Q23" i="30"/>
  <c r="W23" i="30"/>
  <c r="O23" i="30"/>
  <c r="P19" i="42"/>
  <c r="P309" i="44" s="1"/>
  <c r="P23" i="30"/>
  <c r="R19" i="42"/>
  <c r="R309" i="44" s="1"/>
  <c r="AA17" i="12"/>
  <c r="Z17" i="12"/>
  <c r="X17" i="12"/>
  <c r="T18" i="86"/>
  <c r="V18" i="86"/>
  <c r="U18" i="86"/>
  <c r="U16" i="86"/>
  <c r="V16" i="86"/>
  <c r="O213" i="44"/>
  <c r="O221" i="44" s="1"/>
  <c r="O98" i="44"/>
  <c r="O167" i="44"/>
  <c r="P83" i="44"/>
  <c r="P273" i="44" s="1"/>
  <c r="P86" i="44"/>
  <c r="Q86" i="44"/>
  <c r="Q87" i="44"/>
  <c r="O86" i="44"/>
  <c r="P87" i="44"/>
  <c r="O87" i="44"/>
  <c r="M22" i="36"/>
  <c r="AD70" i="30"/>
  <c r="AD16" i="30" s="1"/>
  <c r="AL8" i="98" s="1"/>
  <c r="Y70" i="30"/>
  <c r="Y16" i="30" s="1"/>
  <c r="AG8" i="98" s="1"/>
  <c r="L22" i="36"/>
  <c r="CJ68" i="57"/>
  <c r="CJ56" i="57" s="1"/>
  <c r="BI56" i="57"/>
  <c r="CW68" i="57"/>
  <c r="AE70" i="30"/>
  <c r="AE16" i="30" s="1"/>
  <c r="AM8" i="98" s="1"/>
  <c r="CI68" i="57"/>
  <c r="CI56" i="57" s="1"/>
  <c r="BH56" i="57"/>
  <c r="CZ68" i="57"/>
  <c r="DL68" i="57" s="1"/>
  <c r="CM68" i="57"/>
  <c r="CM56" i="57" s="1"/>
  <c r="BL56" i="57"/>
  <c r="AF70" i="30"/>
  <c r="AF16" i="30" s="1"/>
  <c r="AN8" i="98" s="1"/>
  <c r="AC70" i="30"/>
  <c r="CK68" i="57"/>
  <c r="CK56" i="57" s="1"/>
  <c r="BJ56" i="57"/>
  <c r="CX68" i="57"/>
  <c r="DJ68" i="57" s="1"/>
  <c r="AB70" i="30"/>
  <c r="AB16" i="30" s="1"/>
  <c r="AJ8" i="98" s="1"/>
  <c r="CY68" i="57"/>
  <c r="DK68" i="57" s="1"/>
  <c r="CL68" i="57"/>
  <c r="CL56" i="57" s="1"/>
  <c r="BK56" i="57"/>
  <c r="AA70" i="30"/>
  <c r="AA16" i="30" s="1"/>
  <c r="AI8" i="98" s="1"/>
  <c r="Z70" i="30"/>
  <c r="Z16" i="30" s="1"/>
  <c r="AH8" i="98" s="1"/>
  <c r="F89" i="30"/>
  <c r="AC81" i="30"/>
  <c r="AD81" i="30"/>
  <c r="AB81" i="30"/>
  <c r="AE81" i="30"/>
  <c r="AF81" i="30"/>
  <c r="Y81" i="30"/>
  <c r="AG81" i="30"/>
  <c r="AA81" i="30"/>
  <c r="Z81" i="30"/>
  <c r="X81" i="30"/>
  <c r="X70" i="30"/>
  <c r="AG70" i="30"/>
  <c r="AG16" i="30" s="1"/>
  <c r="AO8" i="98" s="1"/>
  <c r="V453" i="36"/>
  <c r="C16" i="98"/>
  <c r="R493" i="36"/>
  <c r="W453" i="36"/>
  <c r="CK65" i="36"/>
  <c r="CK53" i="36" s="1"/>
  <c r="CX65" i="36"/>
  <c r="DK65" i="36" s="1"/>
  <c r="BJ53" i="36"/>
  <c r="CL65" i="36"/>
  <c r="CL53" i="36" s="1"/>
  <c r="BK53" i="36"/>
  <c r="CY65" i="36"/>
  <c r="DL65" i="36" s="1"/>
  <c r="BH53" i="36"/>
  <c r="CI65" i="36"/>
  <c r="CI53" i="36" s="1"/>
  <c r="BL53" i="36"/>
  <c r="CM65" i="36"/>
  <c r="CM53" i="36" s="1"/>
  <c r="CZ65" i="36"/>
  <c r="DM65" i="36" s="1"/>
  <c r="CW65" i="36"/>
  <c r="BI53" i="36"/>
  <c r="CJ65" i="36"/>
  <c r="CJ53" i="36" s="1"/>
  <c r="U453" i="36"/>
  <c r="T453" i="36"/>
  <c r="S493" i="36"/>
  <c r="CG55" i="36"/>
  <c r="CI56" i="36"/>
  <c r="CH56" i="36"/>
  <c r="CH60" i="36" s="1"/>
  <c r="CG54" i="36"/>
  <c r="CF56" i="36"/>
  <c r="CF60" i="36" s="1"/>
  <c r="CI54" i="36"/>
  <c r="CM57" i="36" s="1"/>
  <c r="CH54" i="36"/>
  <c r="CG56" i="36"/>
  <c r="CG60" i="36" s="1"/>
  <c r="CE56" i="36"/>
  <c r="CE60" i="36" s="1"/>
  <c r="CE54" i="36"/>
  <c r="CF54" i="36"/>
  <c r="CI55" i="36"/>
  <c r="CM58" i="36" s="1"/>
  <c r="CH55" i="36"/>
  <c r="CE55" i="36"/>
  <c r="CF55" i="36"/>
  <c r="Z22" i="36"/>
  <c r="V22" i="36"/>
  <c r="U22" i="36"/>
  <c r="W22" i="36"/>
  <c r="Y22" i="36"/>
  <c r="S22" i="36"/>
  <c r="T22" i="36"/>
  <c r="X22" i="36"/>
  <c r="AB22" i="36"/>
  <c r="AA22" i="36"/>
  <c r="AB9" i="98"/>
  <c r="AB28" i="45"/>
  <c r="N14" i="36"/>
  <c r="N17" i="36" s="1"/>
  <c r="N22" i="36" s="1"/>
  <c r="N452" i="36"/>
  <c r="N453" i="36" s="1"/>
  <c r="O453" i="36"/>
  <c r="Q14" i="36"/>
  <c r="Q17" i="36" s="1"/>
  <c r="Q453" i="36"/>
  <c r="P22" i="36"/>
  <c r="X28" i="45"/>
  <c r="Y28" i="45"/>
  <c r="R22" i="36"/>
  <c r="K22" i="36"/>
  <c r="M57" i="57"/>
  <c r="M12" i="57" s="1"/>
  <c r="Q57" i="57"/>
  <c r="Q12" i="57" s="1"/>
  <c r="R57" i="57"/>
  <c r="R12" i="57" s="1"/>
  <c r="K57" i="57"/>
  <c r="K12" i="57" s="1"/>
  <c r="L57" i="57"/>
  <c r="L12" i="57" s="1"/>
  <c r="AB40" i="30"/>
  <c r="AB41" i="30"/>
  <c r="AB39" i="30"/>
  <c r="Z38" i="30"/>
  <c r="AF39" i="30"/>
  <c r="Z40" i="30"/>
  <c r="Y40" i="30"/>
  <c r="F77" i="30"/>
  <c r="AA41" i="30"/>
  <c r="X39" i="30"/>
  <c r="AE40" i="30"/>
  <c r="AA40" i="30"/>
  <c r="AG40" i="30"/>
  <c r="X40" i="30"/>
  <c r="AG38" i="30"/>
  <c r="AB38" i="30"/>
  <c r="Z41" i="30"/>
  <c r="Y39" i="30"/>
  <c r="AF38" i="30"/>
  <c r="AG39" i="30"/>
  <c r="AE38" i="30"/>
  <c r="Y41" i="30"/>
  <c r="AE41" i="30"/>
  <c r="Y38" i="30"/>
  <c r="AD41" i="30"/>
  <c r="AA39" i="30"/>
  <c r="X41" i="30"/>
  <c r="Z39" i="30"/>
  <c r="AD38" i="30"/>
  <c r="AD39" i="30"/>
  <c r="AD40" i="30"/>
  <c r="AG41" i="30"/>
  <c r="AF41" i="30"/>
  <c r="AC39" i="30"/>
  <c r="AC40" i="30"/>
  <c r="AC41" i="30"/>
  <c r="AC38" i="30"/>
  <c r="AF40" i="30"/>
  <c r="C42" i="30"/>
  <c r="AE39" i="30"/>
  <c r="AA38" i="30"/>
  <c r="I82" i="45"/>
  <c r="C56" i="30"/>
  <c r="AD52" i="30"/>
  <c r="AC53" i="30"/>
  <c r="AB54" i="30"/>
  <c r="AA55" i="30"/>
  <c r="X54" i="30"/>
  <c r="AE54" i="30"/>
  <c r="AE52" i="30"/>
  <c r="AD53" i="30"/>
  <c r="AC54" i="30"/>
  <c r="AB55" i="30"/>
  <c r="X53" i="30"/>
  <c r="AG52" i="30"/>
  <c r="AD55" i="30"/>
  <c r="AF52" i="30"/>
  <c r="AE53" i="30"/>
  <c r="AD54" i="30"/>
  <c r="AC55" i="30"/>
  <c r="X52" i="30"/>
  <c r="AF53" i="30"/>
  <c r="AB52" i="30"/>
  <c r="AA53" i="30"/>
  <c r="Z54" i="30"/>
  <c r="Y55" i="30"/>
  <c r="AG55" i="30"/>
  <c r="AC52" i="30"/>
  <c r="AB53" i="30"/>
  <c r="AA54" i="30"/>
  <c r="Z55" i="30"/>
  <c r="X55" i="30"/>
  <c r="AA52" i="30"/>
  <c r="AF55" i="30"/>
  <c r="Y54" i="30"/>
  <c r="Y53" i="30"/>
  <c r="Z53" i="30"/>
  <c r="AG53" i="30"/>
  <c r="AG54" i="30"/>
  <c r="Z52" i="30"/>
  <c r="AE55" i="30"/>
  <c r="AF54" i="30"/>
  <c r="C49" i="30"/>
  <c r="AD45" i="30"/>
  <c r="AC46" i="30"/>
  <c r="AB47" i="30"/>
  <c r="AA48" i="30"/>
  <c r="Y45" i="30"/>
  <c r="AE47" i="30"/>
  <c r="AE45" i="30"/>
  <c r="AD46" i="30"/>
  <c r="AC47" i="30"/>
  <c r="AB48" i="30"/>
  <c r="X46" i="30"/>
  <c r="AF46" i="30"/>
  <c r="AF45" i="30"/>
  <c r="AE46" i="30"/>
  <c r="AD47" i="30"/>
  <c r="AC48" i="30"/>
  <c r="X45" i="30"/>
  <c r="AG45" i="30"/>
  <c r="AD48" i="30"/>
  <c r="AB45" i="30"/>
  <c r="AA46" i="30"/>
  <c r="Z47" i="30"/>
  <c r="Y48" i="30"/>
  <c r="AG48" i="30"/>
  <c r="AC45" i="30"/>
  <c r="AB46" i="30"/>
  <c r="AA47" i="30"/>
  <c r="Z48" i="30"/>
  <c r="X48" i="30"/>
  <c r="AG47" i="30"/>
  <c r="AG46" i="30"/>
  <c r="Z45" i="30"/>
  <c r="AE48" i="30"/>
  <c r="AA45" i="30"/>
  <c r="AF48" i="30"/>
  <c r="Z46" i="30"/>
  <c r="Y47" i="30"/>
  <c r="AF47" i="30"/>
  <c r="Y46" i="30"/>
  <c r="F80" i="30"/>
  <c r="AD59" i="30"/>
  <c r="AC60" i="30"/>
  <c r="AB61" i="30"/>
  <c r="AA62" i="30"/>
  <c r="X61" i="30"/>
  <c r="Y59" i="30"/>
  <c r="AD62" i="30"/>
  <c r="AE59" i="30"/>
  <c r="AD60" i="30"/>
  <c r="AC61" i="30"/>
  <c r="AB62" i="30"/>
  <c r="X60" i="30"/>
  <c r="AG59" i="30"/>
  <c r="AE61" i="30"/>
  <c r="AF59" i="30"/>
  <c r="AE60" i="30"/>
  <c r="AD61" i="30"/>
  <c r="AC62" i="30"/>
  <c r="X59" i="30"/>
  <c r="AF60" i="30"/>
  <c r="AB59" i="30"/>
  <c r="AA60" i="30"/>
  <c r="Z61" i="30"/>
  <c r="Y62" i="30"/>
  <c r="AG62" i="30"/>
  <c r="AC59" i="30"/>
  <c r="AB60" i="30"/>
  <c r="AA61" i="30"/>
  <c r="Z62" i="30"/>
  <c r="X62" i="30"/>
  <c r="Z60" i="30"/>
  <c r="AE62" i="30"/>
  <c r="AG60" i="30"/>
  <c r="AF61" i="30"/>
  <c r="Y61" i="30"/>
  <c r="AG61" i="30"/>
  <c r="Z59" i="30"/>
  <c r="AA59" i="30"/>
  <c r="AF62" i="30"/>
  <c r="Y60" i="30"/>
  <c r="R26" i="45"/>
  <c r="R87" i="44"/>
  <c r="J22" i="42"/>
  <c r="L22" i="42"/>
  <c r="K22" i="42"/>
  <c r="M22" i="42"/>
  <c r="N22" i="42"/>
  <c r="V28" i="45"/>
  <c r="V42" i="41"/>
  <c r="V76" i="41" s="1"/>
  <c r="T28" i="45"/>
  <c r="T42" i="41"/>
  <c r="T76" i="41" s="1"/>
  <c r="Z28" i="45"/>
  <c r="Z76" i="41"/>
  <c r="F78" i="30"/>
  <c r="W38" i="12"/>
  <c r="V38" i="12"/>
  <c r="V31" i="86"/>
  <c r="V34" i="86" s="1"/>
  <c r="AA118" i="86"/>
  <c r="C63" i="30"/>
  <c r="U73" i="41"/>
  <c r="U99" i="41" s="1"/>
  <c r="U108" i="41" s="1"/>
  <c r="V74" i="41"/>
  <c r="V100" i="41" s="1"/>
  <c r="V109" i="41" s="1"/>
  <c r="W74" i="41"/>
  <c r="W100" i="41" s="1"/>
  <c r="W109" i="41" s="1"/>
  <c r="U74" i="41"/>
  <c r="U100" i="41" s="1"/>
  <c r="U109" i="41" s="1"/>
  <c r="S74" i="41"/>
  <c r="S100" i="41" s="1"/>
  <c r="S109" i="41" s="1"/>
  <c r="V73" i="41"/>
  <c r="V99" i="41" s="1"/>
  <c r="V108" i="41" s="1"/>
  <c r="T73" i="41"/>
  <c r="T99" i="41" s="1"/>
  <c r="T108" i="41" s="1"/>
  <c r="S73" i="41"/>
  <c r="S99" i="41" s="1"/>
  <c r="S108" i="41" s="1"/>
  <c r="W73" i="41"/>
  <c r="W99" i="41" s="1"/>
  <c r="W108" i="41" s="1"/>
  <c r="T74" i="41"/>
  <c r="T100" i="41" s="1"/>
  <c r="T109" i="41" s="1"/>
  <c r="L42" i="12"/>
  <c r="L13" i="42" s="1"/>
  <c r="K17" i="12"/>
  <c r="P17" i="12"/>
  <c r="C80" i="98" s="1"/>
  <c r="R17" i="12"/>
  <c r="T17" i="12"/>
  <c r="U17" i="12"/>
  <c r="F79" i="30"/>
  <c r="S17" i="30"/>
  <c r="V17" i="30"/>
  <c r="T17" i="30"/>
  <c r="M17" i="12"/>
  <c r="U17" i="30"/>
  <c r="O42" i="12"/>
  <c r="N42" i="12"/>
  <c r="N13" i="42" s="1"/>
  <c r="S17" i="12"/>
  <c r="S85" i="44"/>
  <c r="S89" i="44"/>
  <c r="S137" i="44" s="1"/>
  <c r="S90" i="44"/>
  <c r="S123" i="44" s="1"/>
  <c r="S86" i="44"/>
  <c r="S87" i="44"/>
  <c r="S96" i="44"/>
  <c r="R260" i="44"/>
  <c r="R124" i="44"/>
  <c r="R209" i="44"/>
  <c r="R126" i="44"/>
  <c r="S99" i="44"/>
  <c r="S186" i="44"/>
  <c r="S193" i="44"/>
  <c r="S84" i="44"/>
  <c r="S277" i="44" s="1"/>
  <c r="S191" i="44"/>
  <c r="S83" i="44"/>
  <c r="S273" i="44" s="1"/>
  <c r="T96" i="44"/>
  <c r="T89" i="44"/>
  <c r="T137" i="44" s="1"/>
  <c r="T90" i="44"/>
  <c r="T123" i="44" s="1"/>
  <c r="T85" i="44"/>
  <c r="T87" i="44"/>
  <c r="T206" i="44"/>
  <c r="T260" i="44"/>
  <c r="T191" i="44"/>
  <c r="T186" i="44"/>
  <c r="T193" i="44"/>
  <c r="T188" i="44"/>
  <c r="T84" i="44"/>
  <c r="T277" i="44" s="1"/>
  <c r="T99" i="44"/>
  <c r="T83" i="44"/>
  <c r="T273" i="44" s="1"/>
  <c r="R123" i="44"/>
  <c r="Z46" i="45" l="1"/>
  <c r="AA46" i="45" s="1"/>
  <c r="BF104" i="57"/>
  <c r="AK330" i="57"/>
  <c r="BI104" i="57"/>
  <c r="CW104" i="57"/>
  <c r="BH104" i="57"/>
  <c r="DM107" i="57"/>
  <c r="DJ107" i="57"/>
  <c r="CX107" i="57"/>
  <c r="BJ107" i="57"/>
  <c r="BI107" i="57"/>
  <c r="CW107" i="57"/>
  <c r="BG101" i="57"/>
  <c r="DA104" i="57"/>
  <c r="DE104" i="57"/>
  <c r="AB107" i="57"/>
  <c r="DL104" i="57"/>
  <c r="BL104" i="57"/>
  <c r="CZ104" i="57"/>
  <c r="BA104" i="57"/>
  <c r="BB104" i="57"/>
  <c r="DB104" i="57"/>
  <c r="X110" i="57"/>
  <c r="BH107" i="57"/>
  <c r="DC107" i="57"/>
  <c r="BO107" i="57"/>
  <c r="DO107" i="57"/>
  <c r="BM104" i="57"/>
  <c r="BC107" i="57"/>
  <c r="BE104" i="57"/>
  <c r="CX104" i="57"/>
  <c r="BC104" i="57"/>
  <c r="P110" i="57"/>
  <c r="BP107" i="57"/>
  <c r="DP107" i="57"/>
  <c r="DD107" i="57"/>
  <c r="DC104" i="57"/>
  <c r="BN107" i="57"/>
  <c r="DN107" i="57"/>
  <c r="DB107" i="57"/>
  <c r="T107" i="57"/>
  <c r="BE107" i="57" s="1"/>
  <c r="BD104" i="57"/>
  <c r="DA331" i="57"/>
  <c r="AD113" i="57"/>
  <c r="DN110" i="57"/>
  <c r="BN110" i="57"/>
  <c r="DB110" i="57"/>
  <c r="AC113" i="57"/>
  <c r="DM110" i="57"/>
  <c r="BQ107" i="57"/>
  <c r="DQ107" i="57"/>
  <c r="DE107" i="57"/>
  <c r="DE330" i="57"/>
  <c r="BG104" i="57"/>
  <c r="CY104" i="57"/>
  <c r="BF101" i="57"/>
  <c r="BJ104" i="57"/>
  <c r="DA107" i="57"/>
  <c r="CY330" i="57"/>
  <c r="AL330" i="57"/>
  <c r="AJ330" i="57"/>
  <c r="DJ331" i="57"/>
  <c r="BJ331" i="57"/>
  <c r="CX331" i="57"/>
  <c r="BK331" i="57"/>
  <c r="BA330" i="57"/>
  <c r="BB330" i="57"/>
  <c r="CW331" i="57"/>
  <c r="BI331" i="57"/>
  <c r="BD331" i="57"/>
  <c r="P113" i="57"/>
  <c r="AX116" i="57"/>
  <c r="F122" i="57"/>
  <c r="AX334" i="57"/>
  <c r="O104" i="57"/>
  <c r="AC116" i="57"/>
  <c r="R113" i="57"/>
  <c r="BH331" i="57"/>
  <c r="X113" i="57"/>
  <c r="DK331" i="57"/>
  <c r="BL331" i="57"/>
  <c r="DL331" i="57"/>
  <c r="CZ331" i="57"/>
  <c r="CU110" i="57"/>
  <c r="DH110" i="57" s="1"/>
  <c r="BY110" i="57"/>
  <c r="BF330" i="57"/>
  <c r="DM331" i="57"/>
  <c r="V107" i="57"/>
  <c r="L110" i="57"/>
  <c r="L113" i="57" s="1"/>
  <c r="AY116" i="57"/>
  <c r="I122" i="57"/>
  <c r="AY334" i="57"/>
  <c r="BC331" i="57"/>
  <c r="BO331" i="57"/>
  <c r="DC331" i="57"/>
  <c r="DO331" i="57"/>
  <c r="BQ331" i="57"/>
  <c r="DQ331" i="57"/>
  <c r="DE331" i="57"/>
  <c r="BM331" i="57"/>
  <c r="BP331" i="57"/>
  <c r="DP331" i="57"/>
  <c r="DD331" i="57"/>
  <c r="K119" i="57"/>
  <c r="K122" i="57" s="1"/>
  <c r="BE331" i="57"/>
  <c r="Q107" i="57"/>
  <c r="CV110" i="57"/>
  <c r="DI110" i="57" s="1"/>
  <c r="BZ110" i="57"/>
  <c r="N113" i="57"/>
  <c r="BN333" i="57"/>
  <c r="AP333" i="57"/>
  <c r="AY125" i="57"/>
  <c r="I131" i="57"/>
  <c r="AY337" i="57"/>
  <c r="U110" i="57"/>
  <c r="BD330" i="57"/>
  <c r="T110" i="57"/>
  <c r="BG331" i="57"/>
  <c r="CY331" i="57"/>
  <c r="AX125" i="57"/>
  <c r="F131" i="57"/>
  <c r="AX337" i="57"/>
  <c r="Z110" i="57"/>
  <c r="W110" i="57"/>
  <c r="Y110" i="57"/>
  <c r="AE110" i="57"/>
  <c r="DB331" i="57"/>
  <c r="CV119" i="57"/>
  <c r="DI119" i="57" s="1"/>
  <c r="BZ119" i="57"/>
  <c r="AF110" i="57"/>
  <c r="S110" i="57"/>
  <c r="BE330" i="57"/>
  <c r="BL330" i="57"/>
  <c r="CZ330" i="57"/>
  <c r="DL330" i="57"/>
  <c r="AN330" i="57"/>
  <c r="AB110" i="57"/>
  <c r="BM110" i="57" s="1"/>
  <c r="BM330" i="57"/>
  <c r="AO330" i="57"/>
  <c r="BY119" i="57"/>
  <c r="CU119" i="57"/>
  <c r="DH119" i="57" s="1"/>
  <c r="AA122" i="57"/>
  <c r="AD116" i="57"/>
  <c r="BG330" i="57"/>
  <c r="AG110" i="57"/>
  <c r="DN331" i="57"/>
  <c r="M113" i="57"/>
  <c r="O22" i="42"/>
  <c r="O309" i="44"/>
  <c r="S260" i="44"/>
  <c r="S261" i="44"/>
  <c r="R125" i="44"/>
  <c r="T125" i="44"/>
  <c r="O223" i="44"/>
  <c r="X67" i="98"/>
  <c r="W19" i="30"/>
  <c r="E31" i="98"/>
  <c r="AM20" i="30"/>
  <c r="AM22" i="30" s="1"/>
  <c r="AM23" i="30" s="1"/>
  <c r="O124" i="44"/>
  <c r="CH57" i="36"/>
  <c r="CH58" i="36"/>
  <c r="O25" i="45"/>
  <c r="X104" i="98"/>
  <c r="Q42" i="12"/>
  <c r="Q15" i="42" s="1"/>
  <c r="Q95" i="44" s="1"/>
  <c r="W19" i="12"/>
  <c r="W40" i="12"/>
  <c r="AB19" i="12"/>
  <c r="K37" i="98"/>
  <c r="X13" i="42"/>
  <c r="K80" i="98"/>
  <c r="X22" i="12"/>
  <c r="X31" i="12"/>
  <c r="U23" i="108" s="1"/>
  <c r="J37" i="98"/>
  <c r="W13" i="42"/>
  <c r="J80" i="98"/>
  <c r="W22" i="12"/>
  <c r="W31" i="12"/>
  <c r="T23" i="108" s="1"/>
  <c r="F37" i="98"/>
  <c r="F39" i="98" s="1"/>
  <c r="S13" i="42"/>
  <c r="G172" i="98" s="1"/>
  <c r="F80" i="98"/>
  <c r="S22" i="12"/>
  <c r="S31" i="12"/>
  <c r="P23" i="108" s="1"/>
  <c r="I158" i="98"/>
  <c r="I38" i="98"/>
  <c r="I39" i="98" s="1"/>
  <c r="V14" i="42"/>
  <c r="M37" i="98"/>
  <c r="Z13" i="42"/>
  <c r="N173" i="98" s="1"/>
  <c r="M80" i="98"/>
  <c r="Z31" i="12"/>
  <c r="W23" i="108" s="1"/>
  <c r="E37" i="98"/>
  <c r="E39" i="98" s="1"/>
  <c r="R13" i="42"/>
  <c r="E80" i="98"/>
  <c r="R22" i="12"/>
  <c r="R31" i="12"/>
  <c r="O23" i="108" s="1"/>
  <c r="C37" i="98"/>
  <c r="C39" i="98" s="1"/>
  <c r="P13" i="42"/>
  <c r="P22" i="12"/>
  <c r="P31" i="12"/>
  <c r="M23" i="108" s="1"/>
  <c r="J158" i="98"/>
  <c r="J38" i="98"/>
  <c r="W14" i="42"/>
  <c r="AA31" i="12"/>
  <c r="X23" i="108" s="1"/>
  <c r="N37" i="98"/>
  <c r="AA13" i="42"/>
  <c r="O173" i="98" s="1"/>
  <c r="N80" i="98"/>
  <c r="H37" i="98"/>
  <c r="H39" i="98" s="1"/>
  <c r="U13" i="42"/>
  <c r="I172" i="98" s="1"/>
  <c r="H80" i="98"/>
  <c r="U22" i="12"/>
  <c r="U31" i="12"/>
  <c r="R23" i="108" s="1"/>
  <c r="G37" i="98"/>
  <c r="G39" i="98" s="1"/>
  <c r="T13" i="42"/>
  <c r="H172" i="98" s="1"/>
  <c r="G80" i="98"/>
  <c r="T22" i="12"/>
  <c r="T31" i="12"/>
  <c r="Q23" i="108" s="1"/>
  <c r="N155" i="98"/>
  <c r="N127" i="98"/>
  <c r="D37" i="98"/>
  <c r="D39" i="98" s="1"/>
  <c r="Q13" i="42"/>
  <c r="E172" i="98" s="1"/>
  <c r="D80" i="98"/>
  <c r="Q22" i="12"/>
  <c r="Q31" i="12"/>
  <c r="N23" i="108" s="1"/>
  <c r="R25" i="45"/>
  <c r="R38" i="41" s="1"/>
  <c r="R72" i="41" s="1"/>
  <c r="AA104" i="98"/>
  <c r="Q25" i="45"/>
  <c r="Q38" i="41" s="1"/>
  <c r="Q136" i="44" s="1"/>
  <c r="Z104" i="98"/>
  <c r="P22" i="42"/>
  <c r="Y104" i="98"/>
  <c r="O15" i="42"/>
  <c r="O95" i="44" s="1"/>
  <c r="O278" i="44" s="1"/>
  <c r="AF105" i="98"/>
  <c r="AF104" i="98"/>
  <c r="Q22" i="42"/>
  <c r="R22" i="42"/>
  <c r="P25" i="45"/>
  <c r="P38" i="41" s="1"/>
  <c r="P72" i="41" s="1"/>
  <c r="S19" i="42"/>
  <c r="S22" i="42" s="1"/>
  <c r="S23" i="30"/>
  <c r="U19" i="42"/>
  <c r="U309" i="44" s="1"/>
  <c r="U23" i="30"/>
  <c r="AC16" i="30"/>
  <c r="AK8" i="98" s="1"/>
  <c r="AG71" i="30"/>
  <c r="T19" i="42"/>
  <c r="T309" i="44" s="1"/>
  <c r="T23" i="30"/>
  <c r="V19" i="42"/>
  <c r="V309" i="44" s="1"/>
  <c r="V23" i="30"/>
  <c r="X16" i="30"/>
  <c r="AF8" i="98" s="1"/>
  <c r="AB71" i="30"/>
  <c r="F85" i="30"/>
  <c r="Q22" i="36"/>
  <c r="Q83" i="44"/>
  <c r="Q273" i="44" s="1"/>
  <c r="P205" i="44"/>
  <c r="P122" i="44"/>
  <c r="O83" i="44"/>
  <c r="R40" i="41"/>
  <c r="R74" i="41" s="1"/>
  <c r="R100" i="41" s="1"/>
  <c r="R109" i="41" s="1"/>
  <c r="O206" i="44"/>
  <c r="O260" i="44"/>
  <c r="Q261" i="44"/>
  <c r="Q125" i="44"/>
  <c r="Q124" i="44"/>
  <c r="Q260" i="44"/>
  <c r="Q206" i="44"/>
  <c r="P124" i="44"/>
  <c r="P260" i="44"/>
  <c r="P206" i="44"/>
  <c r="O125" i="44"/>
  <c r="O261" i="44"/>
  <c r="P125" i="44"/>
  <c r="P261" i="44"/>
  <c r="AE89" i="30"/>
  <c r="AF89" i="30"/>
  <c r="Y89" i="30"/>
  <c r="AG89" i="30"/>
  <c r="AC89" i="30"/>
  <c r="Z89" i="30"/>
  <c r="X89" i="30"/>
  <c r="AA89" i="30"/>
  <c r="AB89" i="30"/>
  <c r="AD89" i="30"/>
  <c r="CH59" i="36"/>
  <c r="CD60" i="36"/>
  <c r="CM59" i="36"/>
  <c r="CI60" i="36"/>
  <c r="F14" i="86"/>
  <c r="T42" i="12"/>
  <c r="W25" i="45"/>
  <c r="W38" i="41" s="1"/>
  <c r="R83" i="44"/>
  <c r="R273" i="44" s="1"/>
  <c r="AF77" i="30"/>
  <c r="Z77" i="30"/>
  <c r="AC77" i="30"/>
  <c r="Y77" i="30"/>
  <c r="W42" i="12"/>
  <c r="J91" i="98" s="1"/>
  <c r="V42" i="12"/>
  <c r="AD77" i="30"/>
  <c r="AG77" i="30"/>
  <c r="AE77" i="30"/>
  <c r="AB77" i="30"/>
  <c r="AA77" i="30"/>
  <c r="AC42" i="30"/>
  <c r="AC63" i="30"/>
  <c r="AA42" i="30"/>
  <c r="AA12" i="30" s="1"/>
  <c r="AI4" i="98" s="1"/>
  <c r="AB42" i="30"/>
  <c r="AB12" i="30" s="1"/>
  <c r="AJ4" i="98" s="1"/>
  <c r="X42" i="30"/>
  <c r="Z42" i="30"/>
  <c r="Z12" i="30" s="1"/>
  <c r="AH4" i="98" s="1"/>
  <c r="AG42" i="30"/>
  <c r="AG12" i="30" s="1"/>
  <c r="AO4" i="98" s="1"/>
  <c r="Y42" i="30"/>
  <c r="Y12" i="30" s="1"/>
  <c r="AG4" i="98" s="1"/>
  <c r="AD42" i="30"/>
  <c r="AD12" i="30" s="1"/>
  <c r="AL4" i="98" s="1"/>
  <c r="AF42" i="30"/>
  <c r="AF12" i="30" s="1"/>
  <c r="AN4" i="98" s="1"/>
  <c r="AE42" i="30"/>
  <c r="AE12" i="30" s="1"/>
  <c r="AM4" i="98" s="1"/>
  <c r="AG56" i="30"/>
  <c r="AG14" i="30" s="1"/>
  <c r="AO6" i="98" s="1"/>
  <c r="AB56" i="30"/>
  <c r="AB14" i="30" s="1"/>
  <c r="AJ6" i="98" s="1"/>
  <c r="AC49" i="30"/>
  <c r="AG49" i="30"/>
  <c r="AG13" i="30" s="1"/>
  <c r="AO5" i="98" s="1"/>
  <c r="Z49" i="30"/>
  <c r="Z13" i="30" s="1"/>
  <c r="AH5" i="98" s="1"/>
  <c r="AA63" i="30"/>
  <c r="AA15" i="30" s="1"/>
  <c r="AI7" i="98" s="1"/>
  <c r="AA49" i="30"/>
  <c r="AA13" i="30" s="1"/>
  <c r="AI5" i="98" s="1"/>
  <c r="AF63" i="30"/>
  <c r="AF15" i="30" s="1"/>
  <c r="AN7" i="98" s="1"/>
  <c r="F87" i="30"/>
  <c r="AE79" i="30"/>
  <c r="AF79" i="30"/>
  <c r="Z79" i="30"/>
  <c r="Y79" i="30"/>
  <c r="AG79" i="30"/>
  <c r="AC79" i="30"/>
  <c r="AD79" i="30"/>
  <c r="X79" i="30"/>
  <c r="AA79" i="30"/>
  <c r="AB79" i="30"/>
  <c r="Y63" i="30"/>
  <c r="Y15" i="30" s="1"/>
  <c r="AG7" i="98" s="1"/>
  <c r="AE49" i="30"/>
  <c r="AE13" i="30" s="1"/>
  <c r="AM5" i="98" s="1"/>
  <c r="AD56" i="30"/>
  <c r="AD14" i="30" s="1"/>
  <c r="AL6" i="98" s="1"/>
  <c r="AA85" i="30"/>
  <c r="AB85" i="30"/>
  <c r="AD85" i="30"/>
  <c r="AC85" i="30"/>
  <c r="Y85" i="30"/>
  <c r="AG85" i="30"/>
  <c r="Z85" i="30"/>
  <c r="AE85" i="30"/>
  <c r="AF85" i="30"/>
  <c r="X49" i="30"/>
  <c r="F86" i="30"/>
  <c r="AF78" i="30"/>
  <c r="X78" i="30"/>
  <c r="AA78" i="30"/>
  <c r="Y78" i="30"/>
  <c r="AG78" i="30"/>
  <c r="Z78" i="30"/>
  <c r="AD78" i="30"/>
  <c r="AE78" i="30"/>
  <c r="AB78" i="30"/>
  <c r="AC78" i="30"/>
  <c r="AD49" i="30"/>
  <c r="AD13" i="30" s="1"/>
  <c r="AL5" i="98" s="1"/>
  <c r="AC56" i="30"/>
  <c r="Z63" i="30"/>
  <c r="Z15" i="30" s="1"/>
  <c r="AH7" i="98" s="1"/>
  <c r="AB63" i="30"/>
  <c r="AB15" i="30" s="1"/>
  <c r="AJ7" i="98" s="1"/>
  <c r="AG63" i="30"/>
  <c r="AG15" i="30" s="1"/>
  <c r="AO7" i="98" s="1"/>
  <c r="AE56" i="30"/>
  <c r="AE14" i="30" s="1"/>
  <c r="AM6" i="98" s="1"/>
  <c r="AF49" i="30"/>
  <c r="AF13" i="30" s="1"/>
  <c r="AN5" i="98" s="1"/>
  <c r="Y49" i="30"/>
  <c r="Y13" i="30" s="1"/>
  <c r="AG5" i="98" s="1"/>
  <c r="AA56" i="30"/>
  <c r="AA14" i="30" s="1"/>
  <c r="AI6" i="98" s="1"/>
  <c r="AF56" i="30"/>
  <c r="AF14" i="30" s="1"/>
  <c r="AN6" i="98" s="1"/>
  <c r="AD63" i="30"/>
  <c r="AD15" i="30" s="1"/>
  <c r="AL7" i="98" s="1"/>
  <c r="AE63" i="30"/>
  <c r="AE15" i="30" s="1"/>
  <c r="AM7" i="98" s="1"/>
  <c r="F88" i="30"/>
  <c r="AD80" i="30"/>
  <c r="Y80" i="30"/>
  <c r="AE80" i="30"/>
  <c r="AG80" i="30"/>
  <c r="AF80" i="30"/>
  <c r="AB80" i="30"/>
  <c r="X80" i="30"/>
  <c r="AC80" i="30"/>
  <c r="Z80" i="30"/>
  <c r="AA80" i="30"/>
  <c r="X56" i="30"/>
  <c r="X63" i="30"/>
  <c r="AB49" i="30"/>
  <c r="AB13" i="30" s="1"/>
  <c r="AJ5" i="98" s="1"/>
  <c r="Z56" i="30"/>
  <c r="Z14" i="30" s="1"/>
  <c r="AH6" i="98" s="1"/>
  <c r="Y56" i="30"/>
  <c r="Y14" i="30" s="1"/>
  <c r="AG6" i="98" s="1"/>
  <c r="R261" i="44"/>
  <c r="K42" i="12"/>
  <c r="K13" i="42" s="1"/>
  <c r="R42" i="12"/>
  <c r="P42" i="12"/>
  <c r="U42" i="12"/>
  <c r="M42" i="12"/>
  <c r="M13" i="42" s="1"/>
  <c r="S42" i="12"/>
  <c r="S124" i="44"/>
  <c r="S206" i="44"/>
  <c r="S207" i="44"/>
  <c r="S125" i="44"/>
  <c r="T261" i="44"/>
  <c r="S122" i="44"/>
  <c r="S205" i="44"/>
  <c r="T207" i="44"/>
  <c r="S209" i="44"/>
  <c r="S126" i="44"/>
  <c r="T122" i="44"/>
  <c r="T205" i="44"/>
  <c r="T209" i="44"/>
  <c r="T126" i="44"/>
  <c r="U99" i="44"/>
  <c r="U193" i="44"/>
  <c r="U84" i="44"/>
  <c r="U277" i="44" s="1"/>
  <c r="U186" i="44"/>
  <c r="U188" i="44"/>
  <c r="U83" i="44"/>
  <c r="U273" i="44" s="1"/>
  <c r="U191" i="44"/>
  <c r="U96" i="44"/>
  <c r="U89" i="44"/>
  <c r="U137" i="44" s="1"/>
  <c r="U87" i="44"/>
  <c r="U86" i="44"/>
  <c r="U90" i="44"/>
  <c r="U85" i="44"/>
  <c r="P136" i="44" l="1"/>
  <c r="P259" i="44" s="1"/>
  <c r="V26" i="86"/>
  <c r="V36" i="86" s="1"/>
  <c r="V54" i="86" s="1"/>
  <c r="I91" i="98"/>
  <c r="AO9" i="98"/>
  <c r="AB46" i="45"/>
  <c r="AB104" i="98"/>
  <c r="S309" i="44"/>
  <c r="CY110" i="57"/>
  <c r="BD110" i="57"/>
  <c r="O107" i="57"/>
  <c r="AZ107" i="57" s="1"/>
  <c r="AZ104" i="57"/>
  <c r="BN113" i="57"/>
  <c r="DN113" i="57"/>
  <c r="BC110" i="57"/>
  <c r="V110" i="57"/>
  <c r="BG110" i="57" s="1"/>
  <c r="BF107" i="57"/>
  <c r="DM113" i="57"/>
  <c r="BP110" i="57"/>
  <c r="DP110" i="57"/>
  <c r="DD110" i="57"/>
  <c r="BJ110" i="57"/>
  <c r="DJ110" i="57"/>
  <c r="CX110" i="57"/>
  <c r="BK110" i="57"/>
  <c r="BE110" i="57"/>
  <c r="BH110" i="57"/>
  <c r="DK110" i="57"/>
  <c r="BN116" i="57"/>
  <c r="BL110" i="57"/>
  <c r="DL110" i="57"/>
  <c r="CZ110" i="57"/>
  <c r="X116" i="57"/>
  <c r="DN116" i="57" s="1"/>
  <c r="Q110" i="57"/>
  <c r="BA107" i="57"/>
  <c r="BB107" i="57"/>
  <c r="BG107" i="57"/>
  <c r="R116" i="57"/>
  <c r="BO110" i="57"/>
  <c r="DO110" i="57"/>
  <c r="DC110" i="57"/>
  <c r="DA110" i="57"/>
  <c r="BL107" i="57"/>
  <c r="DL107" i="57"/>
  <c r="CZ107" i="57"/>
  <c r="BM107" i="57"/>
  <c r="BQ110" i="57"/>
  <c r="DQ110" i="57"/>
  <c r="DE110" i="57"/>
  <c r="BI110" i="57"/>
  <c r="CW110" i="57"/>
  <c r="AC119" i="57"/>
  <c r="DM116" i="57"/>
  <c r="DA116" i="57"/>
  <c r="BD107" i="57"/>
  <c r="DK113" i="57"/>
  <c r="DN333" i="57"/>
  <c r="T113" i="57"/>
  <c r="AB113" i="57"/>
  <c r="S113" i="57"/>
  <c r="DK334" i="57"/>
  <c r="BN334" i="57"/>
  <c r="DN334" i="57"/>
  <c r="R119" i="57"/>
  <c r="W116" i="57"/>
  <c r="W113" i="57"/>
  <c r="BH113" i="57" s="1"/>
  <c r="CV337" i="57"/>
  <c r="DI337" i="57" s="1"/>
  <c r="BZ337" i="57"/>
  <c r="CV334" i="57"/>
  <c r="DI334" i="57" s="1"/>
  <c r="BZ334" i="57"/>
  <c r="BY334" i="57"/>
  <c r="CU334" i="57"/>
  <c r="DH334" i="57" s="1"/>
  <c r="S116" i="57"/>
  <c r="AY131" i="57"/>
  <c r="AY339" i="57"/>
  <c r="I137" i="57"/>
  <c r="U113" i="57"/>
  <c r="AE113" i="57"/>
  <c r="AY122" i="57"/>
  <c r="AY336" i="57"/>
  <c r="I128" i="57"/>
  <c r="AX122" i="57"/>
  <c r="AX336" i="57"/>
  <c r="F128" i="57"/>
  <c r="BD333" i="57"/>
  <c r="BL333" i="57"/>
  <c r="CV125" i="57"/>
  <c r="DI125" i="57" s="1"/>
  <c r="BZ125" i="57"/>
  <c r="M116" i="57"/>
  <c r="M119" i="57" s="1"/>
  <c r="BZ116" i="57"/>
  <c r="CV116" i="57"/>
  <c r="DI116" i="57" s="1"/>
  <c r="AA125" i="57"/>
  <c r="CU116" i="57"/>
  <c r="DH116" i="57" s="1"/>
  <c r="BY116" i="57"/>
  <c r="BA331" i="57"/>
  <c r="Q113" i="57"/>
  <c r="BB331" i="57"/>
  <c r="AB116" i="57"/>
  <c r="BM116" i="57" s="1"/>
  <c r="CU337" i="57"/>
  <c r="DH337" i="57" s="1"/>
  <c r="BY337" i="57"/>
  <c r="N116" i="57"/>
  <c r="K125" i="57"/>
  <c r="L116" i="57"/>
  <c r="R122" i="57"/>
  <c r="AX131" i="57"/>
  <c r="AX339" i="57"/>
  <c r="F137" i="57"/>
  <c r="T116" i="57"/>
  <c r="AD119" i="57"/>
  <c r="AG113" i="57"/>
  <c r="BF331" i="57"/>
  <c r="V113" i="57"/>
  <c r="BH333" i="57"/>
  <c r="AJ333" i="57"/>
  <c r="X119" i="57"/>
  <c r="DK333" i="57"/>
  <c r="DM334" i="57"/>
  <c r="AC122" i="57"/>
  <c r="AZ331" i="57"/>
  <c r="Y113" i="57"/>
  <c r="P116" i="57"/>
  <c r="BY125" i="57"/>
  <c r="CU125" i="57"/>
  <c r="DH125" i="57" s="1"/>
  <c r="AF113" i="57"/>
  <c r="O110" i="57"/>
  <c r="O113" i="57" s="1"/>
  <c r="AZ113" i="57" s="1"/>
  <c r="AZ330" i="57"/>
  <c r="Z113" i="57"/>
  <c r="DM333" i="57"/>
  <c r="O122" i="44"/>
  <c r="O273" i="44"/>
  <c r="Q259" i="44"/>
  <c r="T25" i="45"/>
  <c r="T38" i="41" s="1"/>
  <c r="T136" i="44" s="1"/>
  <c r="AC104" i="98"/>
  <c r="U25" i="45"/>
  <c r="U38" i="41" s="1"/>
  <c r="U136" i="44" s="1"/>
  <c r="AD104" i="98"/>
  <c r="O38" i="41"/>
  <c r="O30" i="45"/>
  <c r="O13" i="45" s="1"/>
  <c r="V22" i="42"/>
  <c r="AE104" i="98"/>
  <c r="AM19" i="42"/>
  <c r="AI19" i="42"/>
  <c r="D91" i="98"/>
  <c r="Z36" i="86"/>
  <c r="Y64" i="86"/>
  <c r="Z64" i="86" s="1"/>
  <c r="AA64" i="86" s="1"/>
  <c r="AM13" i="42"/>
  <c r="AI13" i="42"/>
  <c r="O101" i="44"/>
  <c r="O128" i="44"/>
  <c r="O166" i="44" s="1"/>
  <c r="O92" i="44"/>
  <c r="O165" i="44"/>
  <c r="W44" i="12"/>
  <c r="AI14" i="42"/>
  <c r="AM14" i="42"/>
  <c r="F172" i="98"/>
  <c r="R15" i="42"/>
  <c r="R95" i="44" s="1"/>
  <c r="E91" i="98"/>
  <c r="D172" i="98"/>
  <c r="L173" i="98"/>
  <c r="AJ13" i="42"/>
  <c r="AN13" i="42"/>
  <c r="S15" i="42"/>
  <c r="S95" i="44" s="1"/>
  <c r="F91" i="98"/>
  <c r="D31" i="98"/>
  <c r="P15" i="42"/>
  <c r="P95" i="44" s="1"/>
  <c r="C91" i="98"/>
  <c r="K172" i="98"/>
  <c r="K173" i="98"/>
  <c r="U15" i="42"/>
  <c r="U95" i="44" s="1"/>
  <c r="H91" i="98"/>
  <c r="I132" i="98"/>
  <c r="I124" i="98" s="1"/>
  <c r="V15" i="42"/>
  <c r="V95" i="44" s="1"/>
  <c r="J39" i="98"/>
  <c r="J132" i="98"/>
  <c r="J124" i="98" s="1"/>
  <c r="W15" i="42"/>
  <c r="W95" i="44" s="1"/>
  <c r="T15" i="42"/>
  <c r="T95" i="44" s="1"/>
  <c r="G91" i="98"/>
  <c r="Q139" i="44"/>
  <c r="Q72" i="41"/>
  <c r="AN9" i="98"/>
  <c r="AM9" i="98"/>
  <c r="AL9" i="98"/>
  <c r="V25" i="45"/>
  <c r="V38" i="41" s="1"/>
  <c r="V136" i="44" s="1"/>
  <c r="U22" i="42"/>
  <c r="T22" i="42"/>
  <c r="S25" i="45"/>
  <c r="S38" i="41" s="1"/>
  <c r="S136" i="44" s="1"/>
  <c r="X13" i="30"/>
  <c r="AF5" i="98" s="1"/>
  <c r="AB50" i="30"/>
  <c r="AC14" i="30"/>
  <c r="AK6" i="98" s="1"/>
  <c r="AG57" i="30"/>
  <c r="AC15" i="30"/>
  <c r="AK7" i="98" s="1"/>
  <c r="AG64" i="30"/>
  <c r="X15" i="30"/>
  <c r="AF7" i="98" s="1"/>
  <c r="AB64" i="30"/>
  <c r="AC12" i="30"/>
  <c r="AK4" i="98" s="1"/>
  <c r="AG43" i="30"/>
  <c r="X14" i="30"/>
  <c r="AF6" i="98" s="1"/>
  <c r="AB57" i="30"/>
  <c r="AC13" i="30"/>
  <c r="AK5" i="98" s="1"/>
  <c r="AG50" i="30"/>
  <c r="X12" i="30"/>
  <c r="AF4" i="98" s="1"/>
  <c r="AB43" i="30"/>
  <c r="R136" i="44"/>
  <c r="Q205" i="44"/>
  <c r="Q122" i="44"/>
  <c r="O205" i="44"/>
  <c r="AI9" i="98"/>
  <c r="AJ9" i="98"/>
  <c r="AE9" i="98"/>
  <c r="AD9" i="98"/>
  <c r="AG9" i="98"/>
  <c r="W22" i="42"/>
  <c r="X16" i="86"/>
  <c r="R205" i="44"/>
  <c r="R122" i="44"/>
  <c r="AG17" i="30"/>
  <c r="AG35" i="30" s="1"/>
  <c r="AD29" i="108" s="1"/>
  <c r="Z17" i="30"/>
  <c r="Z35" i="30" s="1"/>
  <c r="W29" i="108" s="1"/>
  <c r="AG82" i="30"/>
  <c r="AG25" i="30" s="1"/>
  <c r="AG20" i="42" s="1"/>
  <c r="AG57" i="41" s="1"/>
  <c r="AG74" i="41" s="1"/>
  <c r="AG100" i="41" s="1"/>
  <c r="Z82" i="30"/>
  <c r="Z25" i="30" s="1"/>
  <c r="Z20" i="42" s="1"/>
  <c r="AF17" i="30"/>
  <c r="AF35" i="30" s="1"/>
  <c r="AC29" i="108" s="1"/>
  <c r="AC82" i="30"/>
  <c r="AD82" i="30"/>
  <c r="AD25" i="30" s="1"/>
  <c r="AD20" i="42" s="1"/>
  <c r="AD57" i="41" s="1"/>
  <c r="AD74" i="41" s="1"/>
  <c r="AD100" i="41" s="1"/>
  <c r="AB82" i="30"/>
  <c r="AB25" i="30" s="1"/>
  <c r="AB20" i="42" s="1"/>
  <c r="AE17" i="30"/>
  <c r="AE35" i="30" s="1"/>
  <c r="AB29" i="108" s="1"/>
  <c r="AF82" i="30"/>
  <c r="AF25" i="30" s="1"/>
  <c r="AF20" i="42" s="1"/>
  <c r="AF57" i="41" s="1"/>
  <c r="AF74" i="41" s="1"/>
  <c r="AF100" i="41" s="1"/>
  <c r="Y82" i="30"/>
  <c r="Y25" i="30" s="1"/>
  <c r="Y20" i="42" s="1"/>
  <c r="AD17" i="30"/>
  <c r="AD35" i="30" s="1"/>
  <c r="AA29" i="108" s="1"/>
  <c r="AA82" i="30"/>
  <c r="AA25" i="30" s="1"/>
  <c r="AA20" i="42" s="1"/>
  <c r="AB17" i="30"/>
  <c r="AB35" i="30" s="1"/>
  <c r="Y29" i="108" s="1"/>
  <c r="X82" i="30"/>
  <c r="AF88" i="30"/>
  <c r="Y88" i="30"/>
  <c r="AG88" i="30"/>
  <c r="AA88" i="30"/>
  <c r="Z88" i="30"/>
  <c r="AD88" i="30"/>
  <c r="AE88" i="30"/>
  <c r="AB88" i="30"/>
  <c r="X88" i="30"/>
  <c r="AC88" i="30"/>
  <c r="Y17" i="30"/>
  <c r="Y35" i="30" s="1"/>
  <c r="V29" i="108" s="1"/>
  <c r="Y87" i="30"/>
  <c r="AG87" i="30"/>
  <c r="Z87" i="30"/>
  <c r="AA87" i="30"/>
  <c r="AB87" i="30"/>
  <c r="AE87" i="30"/>
  <c r="AF87" i="30"/>
  <c r="AC87" i="30"/>
  <c r="AD87" i="30"/>
  <c r="X87" i="30"/>
  <c r="AE82" i="30"/>
  <c r="AE25" i="30" s="1"/>
  <c r="AE20" i="42" s="1"/>
  <c r="AE57" i="41" s="1"/>
  <c r="AE74" i="41" s="1"/>
  <c r="AE100" i="41" s="1"/>
  <c r="Z86" i="30"/>
  <c r="AC86" i="30"/>
  <c r="AA86" i="30"/>
  <c r="AB86" i="30"/>
  <c r="AF86" i="30"/>
  <c r="X86" i="30"/>
  <c r="Y86" i="30"/>
  <c r="AG86" i="30"/>
  <c r="AD86" i="30"/>
  <c r="AE86" i="30"/>
  <c r="AA17" i="30"/>
  <c r="U206" i="44"/>
  <c r="U260" i="44"/>
  <c r="U124" i="44"/>
  <c r="V84" i="44"/>
  <c r="V277" i="44" s="1"/>
  <c r="V191" i="44"/>
  <c r="V193" i="44"/>
  <c r="V188" i="44"/>
  <c r="V186" i="44"/>
  <c r="V99" i="44"/>
  <c r="V83" i="44"/>
  <c r="V273" i="44" s="1"/>
  <c r="V90" i="44"/>
  <c r="V87" i="44"/>
  <c r="V86" i="44"/>
  <c r="V96" i="44"/>
  <c r="V89" i="44"/>
  <c r="V137" i="44" s="1"/>
  <c r="V85" i="44"/>
  <c r="U261" i="44"/>
  <c r="U125" i="44"/>
  <c r="U126" i="44"/>
  <c r="U209" i="44"/>
  <c r="U123" i="44"/>
  <c r="U207" i="44"/>
  <c r="U205" i="44"/>
  <c r="U122" i="44"/>
  <c r="W72" i="41"/>
  <c r="P139" i="44" l="1"/>
  <c r="AC46" i="45"/>
  <c r="AD46" i="45"/>
  <c r="AF116" i="57"/>
  <c r="BP113" i="57"/>
  <c r="DP113" i="57"/>
  <c r="DD113" i="57"/>
  <c r="AD122" i="57"/>
  <c r="BN119" i="57"/>
  <c r="DN119" i="57"/>
  <c r="U116" i="57"/>
  <c r="BE113" i="57"/>
  <c r="BM113" i="57"/>
  <c r="DA113" i="57"/>
  <c r="DB113" i="57"/>
  <c r="AC125" i="57"/>
  <c r="Q116" i="57"/>
  <c r="BA116" i="57" s="1"/>
  <c r="BA113" i="57"/>
  <c r="BD113" i="57"/>
  <c r="AZ110" i="57"/>
  <c r="CW113" i="57"/>
  <c r="BI113" i="57"/>
  <c r="BM334" i="57"/>
  <c r="BL116" i="57"/>
  <c r="DL116" i="57"/>
  <c r="CZ116" i="57"/>
  <c r="DJ113" i="57"/>
  <c r="BJ113" i="57"/>
  <c r="CX113" i="57"/>
  <c r="BK113" i="57"/>
  <c r="BD116" i="57"/>
  <c r="DM119" i="57"/>
  <c r="BA110" i="57"/>
  <c r="BB110" i="57"/>
  <c r="BH116" i="57"/>
  <c r="DK116" i="57"/>
  <c r="BF113" i="57"/>
  <c r="DK119" i="57"/>
  <c r="BC116" i="57"/>
  <c r="DA334" i="57"/>
  <c r="CY116" i="57"/>
  <c r="BC333" i="57"/>
  <c r="BC113" i="57"/>
  <c r="BB113" i="57"/>
  <c r="BG113" i="57"/>
  <c r="CY113" i="57"/>
  <c r="DQ113" i="57"/>
  <c r="DE113" i="57"/>
  <c r="BQ113" i="57"/>
  <c r="AE116" i="57"/>
  <c r="DO113" i="57"/>
  <c r="BO113" i="57"/>
  <c r="DC113" i="57"/>
  <c r="BM333" i="57"/>
  <c r="BL113" i="57"/>
  <c r="DL113" i="57"/>
  <c r="CZ113" i="57"/>
  <c r="BB116" i="57"/>
  <c r="DB116" i="57"/>
  <c r="BF110" i="57"/>
  <c r="AO333" i="57"/>
  <c r="AN333" i="57"/>
  <c r="CZ333" i="57"/>
  <c r="DL333" i="57"/>
  <c r="BN336" i="57"/>
  <c r="AP336" i="57"/>
  <c r="AZ333" i="57"/>
  <c r="BP334" i="57"/>
  <c r="DP334" i="57"/>
  <c r="DD334" i="57"/>
  <c r="BA334" i="57"/>
  <c r="BB334" i="57"/>
  <c r="BD334" i="57"/>
  <c r="AX128" i="57"/>
  <c r="F134" i="57"/>
  <c r="BO333" i="57"/>
  <c r="DO333" i="57"/>
  <c r="DC333" i="57"/>
  <c r="AQ333" i="57"/>
  <c r="AE119" i="57"/>
  <c r="BC334" i="57"/>
  <c r="CY334" i="57"/>
  <c r="BI333" i="57"/>
  <c r="CW333" i="57"/>
  <c r="AK333" i="57"/>
  <c r="BF333" i="57"/>
  <c r="AX137" i="57"/>
  <c r="F143" i="57"/>
  <c r="BE334" i="57"/>
  <c r="CU336" i="57"/>
  <c r="DH336" i="57" s="1"/>
  <c r="BY336" i="57"/>
  <c r="BE333" i="57"/>
  <c r="U119" i="57"/>
  <c r="Y116" i="57"/>
  <c r="CU339" i="57"/>
  <c r="DH339" i="57" s="1"/>
  <c r="BY339" i="57"/>
  <c r="BL334" i="57"/>
  <c r="DL334" i="57"/>
  <c r="CZ334" i="57"/>
  <c r="CU122" i="57"/>
  <c r="DH122" i="57" s="1"/>
  <c r="BY122" i="57"/>
  <c r="N119" i="57"/>
  <c r="N122" i="57" s="1"/>
  <c r="AA128" i="57"/>
  <c r="BO334" i="57"/>
  <c r="DO334" i="57"/>
  <c r="DC334" i="57"/>
  <c r="AE122" i="57"/>
  <c r="DJ333" i="57"/>
  <c r="BJ333" i="57"/>
  <c r="CX333" i="57"/>
  <c r="AL333" i="57"/>
  <c r="BK333" i="57"/>
  <c r="AM333" i="57"/>
  <c r="BQ333" i="57"/>
  <c r="DQ333" i="57"/>
  <c r="DE333" i="57"/>
  <c r="AS333" i="57"/>
  <c r="BY131" i="57"/>
  <c r="CU131" i="57"/>
  <c r="DH131" i="57" s="1"/>
  <c r="M122" i="57"/>
  <c r="M125" i="57" s="1"/>
  <c r="AY137" i="57"/>
  <c r="I143" i="57"/>
  <c r="AG116" i="57"/>
  <c r="BG333" i="57"/>
  <c r="W119" i="57"/>
  <c r="BH119" i="57" s="1"/>
  <c r="CY333" i="57"/>
  <c r="DA333" i="57"/>
  <c r="DB333" i="57"/>
  <c r="R125" i="57"/>
  <c r="V116" i="57"/>
  <c r="AC128" i="57"/>
  <c r="AD125" i="57"/>
  <c r="P119" i="57"/>
  <c r="AZ119" i="57" s="1"/>
  <c r="BA333" i="57"/>
  <c r="Q119" i="57"/>
  <c r="BB119" i="57" s="1"/>
  <c r="L119" i="57"/>
  <c r="CV339" i="57"/>
  <c r="DI339" i="57" s="1"/>
  <c r="BZ339" i="57"/>
  <c r="BB333" i="57"/>
  <c r="DB334" i="57"/>
  <c r="BP333" i="57"/>
  <c r="DP333" i="57"/>
  <c r="DD333" i="57"/>
  <c r="AR333" i="57"/>
  <c r="AF119" i="57"/>
  <c r="O116" i="57"/>
  <c r="O119" i="57" s="1"/>
  <c r="AY128" i="57"/>
  <c r="I134" i="57"/>
  <c r="CV131" i="57"/>
  <c r="DI131" i="57" s="1"/>
  <c r="BZ131" i="57"/>
  <c r="S119" i="57"/>
  <c r="X122" i="57"/>
  <c r="BZ122" i="57"/>
  <c r="CV122" i="57"/>
  <c r="DI122" i="57" s="1"/>
  <c r="Z116" i="57"/>
  <c r="AB119" i="57"/>
  <c r="BM119" i="57" s="1"/>
  <c r="T119" i="57"/>
  <c r="CV336" i="57"/>
  <c r="DI336" i="57" s="1"/>
  <c r="BZ336" i="57"/>
  <c r="K128" i="57"/>
  <c r="BH334" i="57"/>
  <c r="P128" i="44"/>
  <c r="P166" i="44" s="1"/>
  <c r="P278" i="44"/>
  <c r="Q128" i="44"/>
  <c r="Q210" i="44" s="1"/>
  <c r="Q278" i="44"/>
  <c r="R128" i="44"/>
  <c r="R210" i="44" s="1"/>
  <c r="R278" i="44"/>
  <c r="R259" i="44"/>
  <c r="AM22" i="42"/>
  <c r="P24" i="45"/>
  <c r="P37" i="41" s="1"/>
  <c r="X94" i="98" s="1"/>
  <c r="O79" i="41"/>
  <c r="O72" i="41"/>
  <c r="O78" i="41" s="1"/>
  <c r="O136" i="44"/>
  <c r="O43" i="41"/>
  <c r="O45" i="41" s="1"/>
  <c r="AI15" i="42"/>
  <c r="O210" i="44"/>
  <c r="O103" i="44"/>
  <c r="O172" i="44"/>
  <c r="O174" i="44" s="1"/>
  <c r="O129" i="44" s="1"/>
  <c r="O133" i="44" s="1"/>
  <c r="AF9" i="98"/>
  <c r="AA35" i="30"/>
  <c r="X29" i="108" s="1"/>
  <c r="AM15" i="42"/>
  <c r="AC17" i="30"/>
  <c r="AC35" i="30" s="1"/>
  <c r="Z29" i="108" s="1"/>
  <c r="X17" i="30"/>
  <c r="X19" i="42" s="1"/>
  <c r="AK9" i="98"/>
  <c r="AD34" i="30"/>
  <c r="Y23" i="30"/>
  <c r="AE19" i="42"/>
  <c r="AE25" i="45" s="1"/>
  <c r="Z19" i="42"/>
  <c r="AG19" i="42"/>
  <c r="AG55" i="41" s="1"/>
  <c r="AB19" i="42"/>
  <c r="AB25" i="45" s="1"/>
  <c r="AH9" i="98"/>
  <c r="AC9" i="98"/>
  <c r="S72" i="41"/>
  <c r="AI22" i="42"/>
  <c r="X25" i="30"/>
  <c r="X20" i="42" s="1"/>
  <c r="X57" i="41" s="1"/>
  <c r="X74" i="41" s="1"/>
  <c r="X100" i="41" s="1"/>
  <c r="AB83" i="30"/>
  <c r="AC25" i="30"/>
  <c r="AC20" i="42" s="1"/>
  <c r="AG83" i="30"/>
  <c r="R139" i="44"/>
  <c r="V81" i="86"/>
  <c r="W81" i="86" s="1"/>
  <c r="V56" i="86"/>
  <c r="X18" i="86"/>
  <c r="W136" i="44"/>
  <c r="L86" i="98"/>
  <c r="Y16" i="86"/>
  <c r="AB26" i="45"/>
  <c r="AB57" i="41"/>
  <c r="AB74" i="41" s="1"/>
  <c r="AB100" i="41" s="1"/>
  <c r="AA26" i="45"/>
  <c r="AA57" i="41"/>
  <c r="AA74" i="41" s="1"/>
  <c r="AA100" i="41" s="1"/>
  <c r="Y26" i="45"/>
  <c r="Y57" i="41"/>
  <c r="Y74" i="41" s="1"/>
  <c r="Y100" i="41" s="1"/>
  <c r="Z26" i="45"/>
  <c r="Z57" i="41"/>
  <c r="Z74" i="41" s="1"/>
  <c r="Z100" i="41" s="1"/>
  <c r="AD26" i="45"/>
  <c r="AE26" i="45"/>
  <c r="AF26" i="45"/>
  <c r="AG26" i="45"/>
  <c r="AG34" i="30"/>
  <c r="Z34" i="30"/>
  <c r="AF19" i="42"/>
  <c r="AF34" i="30"/>
  <c r="X90" i="30"/>
  <c r="AE34" i="30"/>
  <c r="AD90" i="30"/>
  <c r="AD26" i="30" s="1"/>
  <c r="AD21" i="42" s="1"/>
  <c r="AD56" i="41" s="1"/>
  <c r="AD73" i="41" s="1"/>
  <c r="AD99" i="41" s="1"/>
  <c r="AB90" i="30"/>
  <c r="AB26" i="30" s="1"/>
  <c r="AB34" i="30"/>
  <c r="Z90" i="30"/>
  <c r="Z26" i="30" s="1"/>
  <c r="Z21" i="42" s="1"/>
  <c r="Z56" i="41" s="1"/>
  <c r="Z73" i="41" s="1"/>
  <c r="Z99" i="41" s="1"/>
  <c r="AA90" i="30"/>
  <c r="AA26" i="30" s="1"/>
  <c r="AA21" i="42" s="1"/>
  <c r="AF90" i="30"/>
  <c r="AF26" i="30" s="1"/>
  <c r="AF21" i="42" s="1"/>
  <c r="AC90" i="30"/>
  <c r="AD19" i="42"/>
  <c r="AE90" i="30"/>
  <c r="AE26" i="30" s="1"/>
  <c r="AE21" i="42" s="1"/>
  <c r="AE56" i="41" s="1"/>
  <c r="AE73" i="41" s="1"/>
  <c r="AE99" i="41" s="1"/>
  <c r="Y90" i="30"/>
  <c r="Y26" i="30" s="1"/>
  <c r="Y21" i="42" s="1"/>
  <c r="AA19" i="42"/>
  <c r="AA34" i="30"/>
  <c r="Y19" i="42"/>
  <c r="Y34" i="30"/>
  <c r="AG90" i="30"/>
  <c r="AG26" i="30" s="1"/>
  <c r="AG21" i="42" s="1"/>
  <c r="W278" i="44"/>
  <c r="V205" i="44"/>
  <c r="V122" i="44"/>
  <c r="V125" i="44"/>
  <c r="V261" i="44"/>
  <c r="V207" i="44"/>
  <c r="V123" i="44"/>
  <c r="W84" i="44"/>
  <c r="W277" i="44" s="1"/>
  <c r="W191" i="44"/>
  <c r="W186" i="44"/>
  <c r="W188" i="44"/>
  <c r="W99" i="44"/>
  <c r="W83" i="44"/>
  <c r="W273" i="44" s="1"/>
  <c r="W193" i="44"/>
  <c r="W86" i="44"/>
  <c r="W90" i="44"/>
  <c r="W96" i="44"/>
  <c r="W89" i="44"/>
  <c r="W137" i="44" s="1"/>
  <c r="W87" i="44"/>
  <c r="W85" i="44"/>
  <c r="V209" i="44"/>
  <c r="V126" i="44"/>
  <c r="V206" i="44"/>
  <c r="V124" i="44"/>
  <c r="V260" i="44"/>
  <c r="T72" i="41"/>
  <c r="V72" i="41"/>
  <c r="S139" i="44"/>
  <c r="S259" i="44"/>
  <c r="AC34" i="30" l="1"/>
  <c r="AG25" i="45"/>
  <c r="AE46" i="45"/>
  <c r="P12" i="45"/>
  <c r="DM336" i="57"/>
  <c r="DK122" i="57"/>
  <c r="BE116" i="57"/>
  <c r="AD128" i="57"/>
  <c r="BN125" i="57"/>
  <c r="BC119" i="57"/>
  <c r="AC131" i="57"/>
  <c r="AG119" i="57"/>
  <c r="DE116" i="57"/>
  <c r="BQ116" i="57"/>
  <c r="DQ116" i="57"/>
  <c r="Y119" i="57"/>
  <c r="CW116" i="57"/>
  <c r="BI116" i="57"/>
  <c r="BO116" i="57"/>
  <c r="DO116" i="57"/>
  <c r="DC116" i="57"/>
  <c r="DM122" i="57"/>
  <c r="DP116" i="57"/>
  <c r="BP116" i="57"/>
  <c r="DD116" i="57"/>
  <c r="BG334" i="57"/>
  <c r="BF116" i="57"/>
  <c r="BO122" i="57"/>
  <c r="DO122" i="57"/>
  <c r="U122" i="57"/>
  <c r="BE119" i="57"/>
  <c r="DC119" i="57"/>
  <c r="BO119" i="57"/>
  <c r="DO119" i="57"/>
  <c r="AZ116" i="57"/>
  <c r="BG116" i="57"/>
  <c r="DA119" i="57"/>
  <c r="BN122" i="57"/>
  <c r="DN122" i="57"/>
  <c r="BD119" i="57"/>
  <c r="R128" i="57"/>
  <c r="DL119" i="57"/>
  <c r="CZ119" i="57"/>
  <c r="BL119" i="57"/>
  <c r="BJ116" i="57"/>
  <c r="DJ116" i="57"/>
  <c r="CX116" i="57"/>
  <c r="BK116" i="57"/>
  <c r="BP119" i="57"/>
  <c r="DP119" i="57"/>
  <c r="DD119" i="57"/>
  <c r="CY119" i="57"/>
  <c r="DB119" i="57"/>
  <c r="V119" i="57"/>
  <c r="W122" i="57"/>
  <c r="AZ334" i="57"/>
  <c r="N125" i="57"/>
  <c r="DK336" i="57"/>
  <c r="U125" i="57"/>
  <c r="BZ137" i="57"/>
  <c r="CV137" i="57"/>
  <c r="DI137" i="57" s="1"/>
  <c r="CW334" i="57"/>
  <c r="BI334" i="57"/>
  <c r="Y122" i="57"/>
  <c r="AY134" i="57"/>
  <c r="I140" i="57"/>
  <c r="AY340" i="57"/>
  <c r="BA119" i="57"/>
  <c r="L122" i="57"/>
  <c r="BO336" i="57"/>
  <c r="DO336" i="57"/>
  <c r="DC336" i="57"/>
  <c r="AQ336" i="57"/>
  <c r="AX143" i="57"/>
  <c r="F149" i="57"/>
  <c r="AX343" i="57"/>
  <c r="S122" i="57"/>
  <c r="AX134" i="57"/>
  <c r="F140" i="57"/>
  <c r="AX340" i="57"/>
  <c r="Q122" i="57"/>
  <c r="M128" i="57"/>
  <c r="BJ334" i="57"/>
  <c r="DJ334" i="57"/>
  <c r="CX334" i="57"/>
  <c r="BK334" i="57"/>
  <c r="BZ128" i="57"/>
  <c r="CV128" i="57"/>
  <c r="DI128" i="57" s="1"/>
  <c r="BN337" i="57"/>
  <c r="AD131" i="57"/>
  <c r="BF334" i="57"/>
  <c r="V122" i="57"/>
  <c r="AB122" i="57"/>
  <c r="BY137" i="57"/>
  <c r="CU137" i="57"/>
  <c r="DH137" i="57" s="1"/>
  <c r="CU128" i="57"/>
  <c r="DH128" i="57" s="1"/>
  <c r="BY128" i="57"/>
  <c r="T122" i="57"/>
  <c r="O122" i="57"/>
  <c r="BQ334" i="57"/>
  <c r="DQ334" i="57"/>
  <c r="DE334" i="57"/>
  <c r="AG122" i="57"/>
  <c r="Z119" i="57"/>
  <c r="DN336" i="57"/>
  <c r="CY336" i="57"/>
  <c r="AC134" i="57"/>
  <c r="R131" i="57"/>
  <c r="AY143" i="57"/>
  <c r="I149" i="57"/>
  <c r="AY343" i="57"/>
  <c r="X125" i="57"/>
  <c r="K131" i="57"/>
  <c r="AE125" i="57"/>
  <c r="AA131" i="57"/>
  <c r="P122" i="57"/>
  <c r="AF122" i="57"/>
  <c r="Q166" i="44"/>
  <c r="P210" i="44"/>
  <c r="V128" i="44"/>
  <c r="V166" i="44" s="1"/>
  <c r="V278" i="44"/>
  <c r="S128" i="44"/>
  <c r="S166" i="44" s="1"/>
  <c r="S278" i="44"/>
  <c r="T128" i="44"/>
  <c r="T210" i="44" s="1"/>
  <c r="T278" i="44"/>
  <c r="R166" i="44"/>
  <c r="U128" i="44"/>
  <c r="U166" i="44" s="1"/>
  <c r="U278" i="44"/>
  <c r="O242" i="44"/>
  <c r="O244" i="44" s="1"/>
  <c r="O245" i="44" s="1"/>
  <c r="L59" i="108" s="1"/>
  <c r="O103" i="41"/>
  <c r="O104" i="41" s="1"/>
  <c r="AE55" i="41"/>
  <c r="AE72" i="41" s="1"/>
  <c r="W259" i="44"/>
  <c r="O139" i="44"/>
  <c r="O259" i="44"/>
  <c r="O80" i="41"/>
  <c r="L49" i="108" s="1"/>
  <c r="P71" i="41"/>
  <c r="O81" i="41"/>
  <c r="AG105" i="98"/>
  <c r="AJ19" i="42"/>
  <c r="O107" i="44"/>
  <c r="O109" i="44" s="1"/>
  <c r="O248" i="44" s="1"/>
  <c r="O105" i="44"/>
  <c r="O211" i="44"/>
  <c r="X35" i="30"/>
  <c r="U29" i="108" s="1"/>
  <c r="AB19" i="30"/>
  <c r="X34" i="30"/>
  <c r="AC19" i="42"/>
  <c r="AK19" i="42" s="1"/>
  <c r="Y55" i="41"/>
  <c r="Y72" i="41" s="1"/>
  <c r="AH105" i="98"/>
  <c r="X23" i="30"/>
  <c r="AA55" i="41"/>
  <c r="AA72" i="41" s="1"/>
  <c r="AJ105" i="98"/>
  <c r="E32" i="98"/>
  <c r="AB55" i="41"/>
  <c r="AB72" i="41" s="1"/>
  <c r="AK105" i="98"/>
  <c r="Z55" i="41"/>
  <c r="Z72" i="41" s="1"/>
  <c r="AI105" i="98"/>
  <c r="AN19" i="42"/>
  <c r="AN20" i="42"/>
  <c r="AJ20" i="42"/>
  <c r="AC57" i="41"/>
  <c r="AC74" i="41" s="1"/>
  <c r="AC100" i="41" s="1"/>
  <c r="AK20" i="42"/>
  <c r="AO20" i="42"/>
  <c r="X26" i="45"/>
  <c r="AC26" i="45"/>
  <c r="Z25" i="45"/>
  <c r="X26" i="30"/>
  <c r="X21" i="42" s="1"/>
  <c r="X22" i="42" s="1"/>
  <c r="AB91" i="30"/>
  <c r="AC26" i="30"/>
  <c r="AC21" i="42" s="1"/>
  <c r="AC27" i="45" s="1"/>
  <c r="AG91" i="30"/>
  <c r="Y18" i="86"/>
  <c r="W139" i="44"/>
  <c r="M86" i="98"/>
  <c r="AA36" i="86"/>
  <c r="Z16" i="86"/>
  <c r="AA27" i="45"/>
  <c r="AA56" i="41"/>
  <c r="AA73" i="41" s="1"/>
  <c r="AA99" i="41" s="1"/>
  <c r="AG56" i="41"/>
  <c r="AG73" i="41" s="1"/>
  <c r="AG99" i="41" s="1"/>
  <c r="AD25" i="45"/>
  <c r="AD55" i="41"/>
  <c r="AF25" i="45"/>
  <c r="AF55" i="41"/>
  <c r="X25" i="45"/>
  <c r="X55" i="41"/>
  <c r="X72" i="41" s="1"/>
  <c r="Y27" i="45"/>
  <c r="Y56" i="41"/>
  <c r="Y73" i="41" s="1"/>
  <c r="Y99" i="41" s="1"/>
  <c r="AF56" i="41"/>
  <c r="AF73" i="41" s="1"/>
  <c r="AF99" i="41" s="1"/>
  <c r="AG72" i="41"/>
  <c r="AE27" i="45"/>
  <c r="AD27" i="45"/>
  <c r="AB21" i="42"/>
  <c r="AF22" i="42"/>
  <c r="AF27" i="45"/>
  <c r="AG22" i="42"/>
  <c r="AG27" i="45"/>
  <c r="AE22" i="42"/>
  <c r="AD22" i="42"/>
  <c r="Z27" i="45"/>
  <c r="Z22" i="42"/>
  <c r="Y22" i="42"/>
  <c r="Y25" i="45"/>
  <c r="AA25" i="45"/>
  <c r="AA22" i="42"/>
  <c r="U72" i="41"/>
  <c r="W206" i="44"/>
  <c r="W124" i="44"/>
  <c r="W260" i="44"/>
  <c r="W126" i="44"/>
  <c r="W209" i="44"/>
  <c r="W123" i="44"/>
  <c r="W207" i="44"/>
  <c r="W122" i="44"/>
  <c r="W205" i="44"/>
  <c r="W261" i="44"/>
  <c r="W125" i="44"/>
  <c r="W128" i="44"/>
  <c r="V259" i="44"/>
  <c r="V139" i="44"/>
  <c r="T259" i="44"/>
  <c r="T139" i="44"/>
  <c r="U139" i="44"/>
  <c r="U259" i="44"/>
  <c r="AO19" i="42" l="1"/>
  <c r="AF46" i="45"/>
  <c r="AG46" i="45" s="1"/>
  <c r="DN337" i="57"/>
  <c r="DK125" i="57"/>
  <c r="BG336" i="57"/>
  <c r="BF122" i="57"/>
  <c r="BN128" i="57"/>
  <c r="BL122" i="57"/>
  <c r="DL122" i="57"/>
  <c r="CZ122" i="57"/>
  <c r="BM122" i="57"/>
  <c r="Q125" i="57"/>
  <c r="BA122" i="57"/>
  <c r="BB122" i="57"/>
  <c r="DB336" i="57"/>
  <c r="BG122" i="57"/>
  <c r="CY122" i="57"/>
  <c r="DA122" i="57"/>
  <c r="DJ119" i="57"/>
  <c r="BJ119" i="57"/>
  <c r="CX119" i="57"/>
  <c r="BK119" i="57"/>
  <c r="Y125" i="57"/>
  <c r="BI122" i="57"/>
  <c r="CW122" i="57"/>
  <c r="BF119" i="57"/>
  <c r="DB122" i="57"/>
  <c r="BE336" i="57"/>
  <c r="BD122" i="57"/>
  <c r="AD134" i="57"/>
  <c r="BN131" i="57"/>
  <c r="BG119" i="57"/>
  <c r="DC122" i="57"/>
  <c r="BQ119" i="57"/>
  <c r="DQ119" i="57"/>
  <c r="DE119" i="57"/>
  <c r="DE122" i="57"/>
  <c r="BQ122" i="57"/>
  <c r="DQ122" i="57"/>
  <c r="BH122" i="57"/>
  <c r="AE128" i="57"/>
  <c r="DO125" i="57"/>
  <c r="BO125" i="57"/>
  <c r="AC137" i="57"/>
  <c r="S125" i="57"/>
  <c r="BC122" i="57"/>
  <c r="DN125" i="57"/>
  <c r="AF125" i="57"/>
  <c r="BP122" i="57"/>
  <c r="DP122" i="57"/>
  <c r="DD122" i="57"/>
  <c r="CW119" i="57"/>
  <c r="BI119" i="57"/>
  <c r="AZ122" i="57"/>
  <c r="U128" i="57"/>
  <c r="BE125" i="57"/>
  <c r="DM125" i="57"/>
  <c r="BE122" i="57"/>
  <c r="AJ336" i="57"/>
  <c r="BH336" i="57"/>
  <c r="DA336" i="57"/>
  <c r="W125" i="57"/>
  <c r="Z122" i="57"/>
  <c r="BN340" i="57"/>
  <c r="BP336" i="57"/>
  <c r="DP336" i="57"/>
  <c r="DD336" i="57"/>
  <c r="AR336" i="57"/>
  <c r="AF128" i="57"/>
  <c r="BQ336" i="57"/>
  <c r="DQ336" i="57"/>
  <c r="DE336" i="57"/>
  <c r="AS336" i="57"/>
  <c r="AG125" i="57"/>
  <c r="BC337" i="57"/>
  <c r="CU143" i="57"/>
  <c r="DH143" i="57" s="1"/>
  <c r="BY143" i="57"/>
  <c r="BI337" i="57"/>
  <c r="BA336" i="57"/>
  <c r="Q128" i="57"/>
  <c r="BB128" i="57" s="1"/>
  <c r="BB336" i="57"/>
  <c r="CV340" i="57"/>
  <c r="DI340" i="57" s="1"/>
  <c r="BZ340" i="57"/>
  <c r="BP337" i="57"/>
  <c r="DP337" i="57"/>
  <c r="BH337" i="57"/>
  <c r="DK337" i="57"/>
  <c r="DM337" i="57"/>
  <c r="CU340" i="57"/>
  <c r="DH340" i="57" s="1"/>
  <c r="BY340" i="57"/>
  <c r="AY140" i="57"/>
  <c r="AY342" i="57"/>
  <c r="I146" i="57"/>
  <c r="T125" i="57"/>
  <c r="AX149" i="57"/>
  <c r="AX345" i="57"/>
  <c r="F155" i="57"/>
  <c r="CV343" i="57"/>
  <c r="DI343" i="57" s="1"/>
  <c r="BZ343" i="57"/>
  <c r="BL336" i="57"/>
  <c r="DL336" i="57"/>
  <c r="CZ336" i="57"/>
  <c r="AN336" i="57"/>
  <c r="AO336" i="57"/>
  <c r="BM336" i="57"/>
  <c r="BF336" i="57"/>
  <c r="AX140" i="57"/>
  <c r="AX342" i="57"/>
  <c r="F146" i="57"/>
  <c r="CV134" i="57"/>
  <c r="DI134" i="57" s="1"/>
  <c r="BZ134" i="57"/>
  <c r="N128" i="57"/>
  <c r="N131" i="57" s="1"/>
  <c r="BO337" i="57"/>
  <c r="DO337" i="57"/>
  <c r="AE131" i="57"/>
  <c r="AC140" i="57"/>
  <c r="AA134" i="57"/>
  <c r="CU134" i="57"/>
  <c r="DH134" i="57" s="1"/>
  <c r="BY134" i="57"/>
  <c r="AB125" i="57"/>
  <c r="U131" i="57"/>
  <c r="V125" i="57"/>
  <c r="AZ336" i="57"/>
  <c r="CV143" i="57"/>
  <c r="DI143" i="57" s="1"/>
  <c r="BZ143" i="57"/>
  <c r="BD336" i="57"/>
  <c r="BC336" i="57"/>
  <c r="S128" i="57"/>
  <c r="DA337" i="57"/>
  <c r="CY337" i="57"/>
  <c r="M131" i="57"/>
  <c r="M134" i="57" s="1"/>
  <c r="AY149" i="57"/>
  <c r="AY345" i="57"/>
  <c r="I155" i="57"/>
  <c r="R134" i="57"/>
  <c r="Z125" i="57"/>
  <c r="P125" i="57"/>
  <c r="BN339" i="57"/>
  <c r="AP339" i="57"/>
  <c r="AD137" i="57"/>
  <c r="CU343" i="57"/>
  <c r="DH343" i="57" s="1"/>
  <c r="BY343" i="57"/>
  <c r="CW336" i="57"/>
  <c r="BI336" i="57"/>
  <c r="AK336" i="57"/>
  <c r="Y128" i="57"/>
  <c r="L125" i="57"/>
  <c r="X128" i="57"/>
  <c r="K134" i="57"/>
  <c r="K137" i="57" s="1"/>
  <c r="O125" i="57"/>
  <c r="O128" i="57" s="1"/>
  <c r="V210" i="44"/>
  <c r="T166" i="44"/>
  <c r="S210" i="44"/>
  <c r="U210" i="44"/>
  <c r="O114" i="41"/>
  <c r="O116" i="41" s="1"/>
  <c r="O117" i="41" s="1"/>
  <c r="O298" i="44"/>
  <c r="O215" i="44"/>
  <c r="O141" i="44"/>
  <c r="O111" i="44"/>
  <c r="O258" i="44"/>
  <c r="AC56" i="41"/>
  <c r="AC73" i="41" s="1"/>
  <c r="AC99" i="41" s="1"/>
  <c r="AC25" i="45"/>
  <c r="AC55" i="41"/>
  <c r="AC72" i="41" s="1"/>
  <c r="AK21" i="42"/>
  <c r="AO21" i="42"/>
  <c r="AJ21" i="42"/>
  <c r="AN21" i="42"/>
  <c r="X27" i="45"/>
  <c r="AC22" i="42"/>
  <c r="X56" i="41"/>
  <c r="X73" i="41" s="1"/>
  <c r="X99" i="41" s="1"/>
  <c r="Z18" i="86"/>
  <c r="N86" i="98"/>
  <c r="AA16" i="86"/>
  <c r="AB27" i="45"/>
  <c r="AB56" i="41"/>
  <c r="AB73" i="41" s="1"/>
  <c r="AB99" i="41" s="1"/>
  <c r="AF72" i="41"/>
  <c r="AD72" i="41"/>
  <c r="AB22" i="42"/>
  <c r="AN22" i="42" s="1"/>
  <c r="W166" i="44"/>
  <c r="W210" i="44"/>
  <c r="DO128" i="57" l="1"/>
  <c r="BO128" i="57"/>
  <c r="DK128" i="57"/>
  <c r="DM128" i="57"/>
  <c r="AA137" i="57"/>
  <c r="BP128" i="57"/>
  <c r="DP128" i="57"/>
  <c r="BP125" i="57"/>
  <c r="DP125" i="57"/>
  <c r="DD125" i="57"/>
  <c r="AD140" i="57"/>
  <c r="BN137" i="57"/>
  <c r="AC143" i="57"/>
  <c r="AM336" i="57"/>
  <c r="DJ122" i="57"/>
  <c r="BJ122" i="57"/>
  <c r="CX122" i="57"/>
  <c r="BK122" i="57"/>
  <c r="BC125" i="57"/>
  <c r="BI125" i="57"/>
  <c r="CW125" i="57"/>
  <c r="DN128" i="57"/>
  <c r="W128" i="57"/>
  <c r="BG125" i="57"/>
  <c r="CY125" i="57"/>
  <c r="DB125" i="57"/>
  <c r="DA125" i="57"/>
  <c r="CW128" i="57"/>
  <c r="BI128" i="57"/>
  <c r="BF125" i="57"/>
  <c r="Q131" i="57"/>
  <c r="BA128" i="57"/>
  <c r="DQ125" i="57"/>
  <c r="DE125" i="57"/>
  <c r="BQ125" i="57"/>
  <c r="P128" i="57"/>
  <c r="AZ128" i="57" s="1"/>
  <c r="AZ125" i="57"/>
  <c r="Z128" i="57"/>
  <c r="DJ125" i="57"/>
  <c r="BJ125" i="57"/>
  <c r="CX125" i="57"/>
  <c r="BK125" i="57"/>
  <c r="U134" i="57"/>
  <c r="AE134" i="57"/>
  <c r="BO131" i="57"/>
  <c r="T128" i="57"/>
  <c r="BD125" i="57"/>
  <c r="DB134" i="57"/>
  <c r="BN134" i="57"/>
  <c r="BB337" i="57"/>
  <c r="BA125" i="57"/>
  <c r="BB125" i="57"/>
  <c r="BC128" i="57"/>
  <c r="BL125" i="57"/>
  <c r="DL125" i="57"/>
  <c r="CZ125" i="57"/>
  <c r="BM125" i="57"/>
  <c r="DC125" i="57"/>
  <c r="BH125" i="57"/>
  <c r="DD337" i="57"/>
  <c r="W131" i="57"/>
  <c r="BK336" i="57"/>
  <c r="AL336" i="57"/>
  <c r="CX336" i="57"/>
  <c r="BJ336" i="57"/>
  <c r="DJ336" i="57"/>
  <c r="DB337" i="57"/>
  <c r="CW337" i="57"/>
  <c r="DC337" i="57"/>
  <c r="W134" i="57"/>
  <c r="DB339" i="57"/>
  <c r="BN342" i="57"/>
  <c r="AP342" i="57"/>
  <c r="BZ140" i="57"/>
  <c r="CV140" i="57"/>
  <c r="DI140" i="57" s="1"/>
  <c r="BQ337" i="57"/>
  <c r="DQ337" i="57"/>
  <c r="DE337" i="57"/>
  <c r="BO340" i="57"/>
  <c r="AG128" i="57"/>
  <c r="DJ337" i="57"/>
  <c r="BJ337" i="57"/>
  <c r="CX337" i="57"/>
  <c r="Z131" i="57"/>
  <c r="BK337" i="57"/>
  <c r="R137" i="57"/>
  <c r="BY345" i="57"/>
  <c r="CU345" i="57"/>
  <c r="DH345" i="57" s="1"/>
  <c r="BB339" i="57"/>
  <c r="BF337" i="57"/>
  <c r="AA140" i="57"/>
  <c r="BA337" i="57"/>
  <c r="N134" i="57"/>
  <c r="CU149" i="57"/>
  <c r="DH149" i="57" s="1"/>
  <c r="BY149" i="57"/>
  <c r="BL337" i="57"/>
  <c r="DL337" i="57"/>
  <c r="CZ337" i="57"/>
  <c r="BM337" i="57"/>
  <c r="CU140" i="57"/>
  <c r="DH140" i="57" s="1"/>
  <c r="BY140" i="57"/>
  <c r="AY155" i="57"/>
  <c r="I161" i="57"/>
  <c r="V128" i="57"/>
  <c r="Y131" i="57"/>
  <c r="AX155" i="57"/>
  <c r="F161" i="57"/>
  <c r="M137" i="57"/>
  <c r="BD337" i="57"/>
  <c r="T131" i="57"/>
  <c r="BE131" i="57" s="1"/>
  <c r="CV345" i="57"/>
  <c r="DI345" i="57" s="1"/>
  <c r="BZ345" i="57"/>
  <c r="AC146" i="57"/>
  <c r="O131" i="57"/>
  <c r="O134" i="57" s="1"/>
  <c r="BZ149" i="57"/>
  <c r="CV149" i="57"/>
  <c r="DI149" i="57" s="1"/>
  <c r="W137" i="57"/>
  <c r="DA339" i="57"/>
  <c r="U137" i="57"/>
  <c r="AX146" i="57"/>
  <c r="F152" i="57"/>
  <c r="AY146" i="57"/>
  <c r="I152" i="57"/>
  <c r="X131" i="57"/>
  <c r="DO131" i="57" s="1"/>
  <c r="S131" i="57"/>
  <c r="AZ337" i="57"/>
  <c r="P131" i="57"/>
  <c r="AB128" i="57"/>
  <c r="AD143" i="57"/>
  <c r="K140" i="57"/>
  <c r="K143" i="57" s="1"/>
  <c r="L128" i="57"/>
  <c r="L131" i="57" s="1"/>
  <c r="BG337" i="57"/>
  <c r="BE337" i="57"/>
  <c r="BO339" i="57"/>
  <c r="DC339" i="57"/>
  <c r="AQ339" i="57"/>
  <c r="AE137" i="57"/>
  <c r="CU342" i="57"/>
  <c r="DH342" i="57" s="1"/>
  <c r="BY342" i="57"/>
  <c r="CV342" i="57"/>
  <c r="DI342" i="57" s="1"/>
  <c r="BZ342" i="57"/>
  <c r="AF131" i="57"/>
  <c r="Q134" i="57"/>
  <c r="BB134" i="57" s="1"/>
  <c r="O118" i="41"/>
  <c r="O120" i="41" s="1"/>
  <c r="O247" i="44"/>
  <c r="O143" i="44"/>
  <c r="O156" i="44" s="1"/>
  <c r="O157" i="44" s="1"/>
  <c r="P155" i="44" s="1"/>
  <c r="P187" i="44" s="1"/>
  <c r="P251" i="44" s="1"/>
  <c r="O257" i="44"/>
  <c r="O263" i="44" s="1"/>
  <c r="O264" i="44" s="1"/>
  <c r="L61" i="108" s="1"/>
  <c r="O220" i="44"/>
  <c r="O225" i="44" s="1"/>
  <c r="O226" i="44" s="1"/>
  <c r="O229" i="44"/>
  <c r="O234" i="44" s="1"/>
  <c r="AJ22" i="42"/>
  <c r="AO22" i="42"/>
  <c r="AK22" i="42"/>
  <c r="AA18" i="86"/>
  <c r="O86" i="98"/>
  <c r="AB16" i="86"/>
  <c r="DD131" i="57" l="1"/>
  <c r="BP131" i="57"/>
  <c r="DP131" i="57"/>
  <c r="S134" i="57"/>
  <c r="BC131" i="57"/>
  <c r="R140" i="57"/>
  <c r="BN140" i="57"/>
  <c r="AG131" i="57"/>
  <c r="DE128" i="57"/>
  <c r="BQ128" i="57"/>
  <c r="DQ128" i="57"/>
  <c r="CY137" i="57"/>
  <c r="CY339" i="57"/>
  <c r="BG131" i="57"/>
  <c r="DA131" i="57"/>
  <c r="CY131" i="57"/>
  <c r="DB131" i="57"/>
  <c r="BO134" i="57"/>
  <c r="DO134" i="57"/>
  <c r="DC134" i="57"/>
  <c r="X134" i="57"/>
  <c r="BH131" i="57"/>
  <c r="DK131" i="57"/>
  <c r="DN131" i="57"/>
  <c r="DM131" i="57"/>
  <c r="V131" i="57"/>
  <c r="BF128" i="57"/>
  <c r="BD128" i="57"/>
  <c r="BJ128" i="57"/>
  <c r="DJ128" i="57"/>
  <c r="CX128" i="57"/>
  <c r="BK128" i="57"/>
  <c r="BA131" i="57"/>
  <c r="BB131" i="57"/>
  <c r="BE128" i="57"/>
  <c r="BD131" i="57"/>
  <c r="AD146" i="57"/>
  <c r="BN143" i="57"/>
  <c r="AC149" i="57"/>
  <c r="Z134" i="57"/>
  <c r="DJ131" i="57"/>
  <c r="BJ131" i="57"/>
  <c r="CX131" i="57"/>
  <c r="BK131" i="57"/>
  <c r="DA137" i="57"/>
  <c r="CW131" i="57"/>
  <c r="BI131" i="57"/>
  <c r="AB131" i="57"/>
  <c r="CZ128" i="57"/>
  <c r="DL128" i="57"/>
  <c r="BL128" i="57"/>
  <c r="BM128" i="57"/>
  <c r="BG128" i="57"/>
  <c r="DA128" i="57"/>
  <c r="CY128" i="57"/>
  <c r="DB128" i="57"/>
  <c r="DB137" i="57"/>
  <c r="DC128" i="57"/>
  <c r="DC137" i="57"/>
  <c r="BO137" i="57"/>
  <c r="BA339" i="57"/>
  <c r="AZ131" i="57"/>
  <c r="DB340" i="57"/>
  <c r="DA134" i="57"/>
  <c r="CY134" i="57"/>
  <c r="BB340" i="57"/>
  <c r="DC131" i="57"/>
  <c r="DD128" i="57"/>
  <c r="BH128" i="57"/>
  <c r="DA340" i="57"/>
  <c r="CY340" i="57"/>
  <c r="W140" i="57"/>
  <c r="CY140" i="57" s="1"/>
  <c r="DC340" i="57"/>
  <c r="DO339" i="57"/>
  <c r="BH340" i="57"/>
  <c r="DN340" i="57"/>
  <c r="DM340" i="57"/>
  <c r="DK340" i="57"/>
  <c r="DO340" i="57"/>
  <c r="BQ339" i="57"/>
  <c r="DQ339" i="57"/>
  <c r="DE339" i="57"/>
  <c r="AS339" i="57"/>
  <c r="DJ340" i="57"/>
  <c r="CX340" i="57"/>
  <c r="BK340" i="57"/>
  <c r="T134" i="57"/>
  <c r="BE134" i="57" s="1"/>
  <c r="AX152" i="57"/>
  <c r="F158" i="57"/>
  <c r="AX346" i="57"/>
  <c r="W143" i="57"/>
  <c r="BC340" i="57"/>
  <c r="CU146" i="57"/>
  <c r="DH146" i="57" s="1"/>
  <c r="BY146" i="57"/>
  <c r="BI339" i="57"/>
  <c r="CW339" i="57"/>
  <c r="AK339" i="57"/>
  <c r="Y134" i="57"/>
  <c r="AG134" i="57"/>
  <c r="DB342" i="57"/>
  <c r="BZ146" i="57"/>
  <c r="CV146" i="57"/>
  <c r="DI146" i="57" s="1"/>
  <c r="BF339" i="57"/>
  <c r="L134" i="57"/>
  <c r="AX161" i="57"/>
  <c r="F167" i="57"/>
  <c r="AX349" i="57"/>
  <c r="V134" i="57"/>
  <c r="BG134" i="57" s="1"/>
  <c r="BL339" i="57"/>
  <c r="DL339" i="57"/>
  <c r="CZ339" i="57"/>
  <c r="AN339" i="57"/>
  <c r="BM339" i="57"/>
  <c r="AO339" i="57"/>
  <c r="M140" i="57"/>
  <c r="M143" i="57" s="1"/>
  <c r="BP339" i="57"/>
  <c r="DP339" i="57"/>
  <c r="DD339" i="57"/>
  <c r="AR339" i="57"/>
  <c r="O137" i="57"/>
  <c r="O140" i="57" s="1"/>
  <c r="CU155" i="57"/>
  <c r="DH155" i="57" s="1"/>
  <c r="BY155" i="57"/>
  <c r="CY342" i="57"/>
  <c r="Q137" i="57"/>
  <c r="BB137" i="57" s="1"/>
  <c r="DJ339" i="57"/>
  <c r="BJ339" i="57"/>
  <c r="CX339" i="57"/>
  <c r="AL339" i="57"/>
  <c r="Z137" i="57"/>
  <c r="BK137" i="57" s="1"/>
  <c r="AM339" i="57"/>
  <c r="BK339" i="57"/>
  <c r="N137" i="57"/>
  <c r="N140" i="57" s="1"/>
  <c r="BD339" i="57"/>
  <c r="K146" i="57"/>
  <c r="BC339" i="57"/>
  <c r="S137" i="57"/>
  <c r="BN343" i="57"/>
  <c r="AD149" i="57"/>
  <c r="BH339" i="57"/>
  <c r="AJ339" i="57"/>
  <c r="X137" i="57"/>
  <c r="DM339" i="57"/>
  <c r="DN339" i="57"/>
  <c r="DK339" i="57"/>
  <c r="BE339" i="57"/>
  <c r="AY161" i="57"/>
  <c r="I167" i="57"/>
  <c r="AY349" i="57"/>
  <c r="AF134" i="57"/>
  <c r="AZ339" i="57"/>
  <c r="AB134" i="57"/>
  <c r="AY152" i="57"/>
  <c r="I158" i="57"/>
  <c r="AY346" i="57"/>
  <c r="AC152" i="57"/>
  <c r="CV155" i="57"/>
  <c r="DI155" i="57" s="1"/>
  <c r="BZ155" i="57"/>
  <c r="R143" i="57"/>
  <c r="AE140" i="57"/>
  <c r="AA143" i="57"/>
  <c r="U140" i="57"/>
  <c r="P134" i="57"/>
  <c r="O279" i="44"/>
  <c r="O122" i="41"/>
  <c r="O253" i="44"/>
  <c r="O254" i="44" s="1"/>
  <c r="L60" i="108" s="1"/>
  <c r="O235" i="44"/>
  <c r="O160" i="44"/>
  <c r="O161" i="44" s="1"/>
  <c r="P159" i="44" s="1"/>
  <c r="P192" i="44" s="1"/>
  <c r="L55" i="108"/>
  <c r="P189" i="44"/>
  <c r="P232" i="44"/>
  <c r="P241" i="44"/>
  <c r="AB18" i="86"/>
  <c r="P86" i="98"/>
  <c r="AC16" i="86"/>
  <c r="L56" i="108" l="1"/>
  <c r="AC155" i="57"/>
  <c r="BP134" i="57"/>
  <c r="DP134" i="57"/>
  <c r="DD134" i="57"/>
  <c r="BC137" i="57"/>
  <c r="BL131" i="57"/>
  <c r="DL131" i="57"/>
  <c r="CZ131" i="57"/>
  <c r="BM131" i="57"/>
  <c r="BC134" i="57"/>
  <c r="BA340" i="57"/>
  <c r="AZ134" i="57"/>
  <c r="W146" i="57"/>
  <c r="DB143" i="57"/>
  <c r="BQ131" i="57"/>
  <c r="DQ131" i="57"/>
  <c r="DE131" i="57"/>
  <c r="U143" i="57"/>
  <c r="X140" i="57"/>
  <c r="BH137" i="57"/>
  <c r="DN137" i="57"/>
  <c r="DM137" i="57"/>
  <c r="DO137" i="57"/>
  <c r="AA146" i="57"/>
  <c r="CY143" i="57"/>
  <c r="BO140" i="57"/>
  <c r="DO140" i="57"/>
  <c r="DC140" i="57"/>
  <c r="BN149" i="57"/>
  <c r="AG137" i="57"/>
  <c r="BQ134" i="57"/>
  <c r="DQ134" i="57"/>
  <c r="DE134" i="57"/>
  <c r="T137" i="57"/>
  <c r="BD134" i="57"/>
  <c r="BA134" i="57"/>
  <c r="BN146" i="57"/>
  <c r="DB146" i="57"/>
  <c r="BG339" i="57"/>
  <c r="BF131" i="57"/>
  <c r="BH134" i="57"/>
  <c r="DM134" i="57"/>
  <c r="DK134" i="57"/>
  <c r="DN134" i="57"/>
  <c r="DA143" i="57"/>
  <c r="BF134" i="57"/>
  <c r="CW134" i="57"/>
  <c r="BI134" i="57"/>
  <c r="DA342" i="57"/>
  <c r="DA140" i="57"/>
  <c r="DB140" i="57"/>
  <c r="AB137" i="57"/>
  <c r="BL134" i="57"/>
  <c r="DL134" i="57"/>
  <c r="CZ134" i="57"/>
  <c r="BM134" i="57"/>
  <c r="BJ137" i="57"/>
  <c r="DJ137" i="57"/>
  <c r="CX137" i="57"/>
  <c r="BJ134" i="57"/>
  <c r="DJ134" i="57"/>
  <c r="CX134" i="57"/>
  <c r="BK134" i="57"/>
  <c r="DK137" i="57"/>
  <c r="DB343" i="57"/>
  <c r="S140" i="57"/>
  <c r="BH342" i="57"/>
  <c r="AJ342" i="57"/>
  <c r="DN342" i="57"/>
  <c r="DM342" i="57"/>
  <c r="DK342" i="57"/>
  <c r="BO342" i="57"/>
  <c r="DO342" i="57"/>
  <c r="DC342" i="57"/>
  <c r="AQ342" i="57"/>
  <c r="O143" i="57"/>
  <c r="BY161" i="57"/>
  <c r="CU161" i="57"/>
  <c r="DH161" i="57" s="1"/>
  <c r="CW340" i="57"/>
  <c r="BI340" i="57"/>
  <c r="AX158" i="57"/>
  <c r="AX348" i="57"/>
  <c r="F164" i="57"/>
  <c r="K149" i="57"/>
  <c r="K152" i="57" s="1"/>
  <c r="BN345" i="57"/>
  <c r="AP345" i="57"/>
  <c r="BY152" i="57"/>
  <c r="CU152" i="57"/>
  <c r="DH152" i="57" s="1"/>
  <c r="BQ340" i="57"/>
  <c r="DQ340" i="57"/>
  <c r="DE340" i="57"/>
  <c r="AG140" i="57"/>
  <c r="BY346" i="57"/>
  <c r="CU346" i="57"/>
  <c r="DH346" i="57" s="1"/>
  <c r="Q140" i="57"/>
  <c r="CY343" i="57"/>
  <c r="AA149" i="57"/>
  <c r="AY158" i="57"/>
  <c r="AY348" i="57"/>
  <c r="I164" i="57"/>
  <c r="AE143" i="57"/>
  <c r="Y137" i="57"/>
  <c r="BZ161" i="57"/>
  <c r="CV161" i="57"/>
  <c r="DI161" i="57" s="1"/>
  <c r="BZ346" i="57"/>
  <c r="CV346" i="57"/>
  <c r="DI346" i="57" s="1"/>
  <c r="AZ340" i="57"/>
  <c r="CV152" i="57"/>
  <c r="DI152" i="57" s="1"/>
  <c r="BZ152" i="57"/>
  <c r="BL340" i="57"/>
  <c r="CZ340" i="57"/>
  <c r="DL340" i="57"/>
  <c r="AB140" i="57"/>
  <c r="BM340" i="57"/>
  <c r="BP340" i="57"/>
  <c r="DP340" i="57"/>
  <c r="DD340" i="57"/>
  <c r="M146" i="57"/>
  <c r="M149" i="57" s="1"/>
  <c r="Z140" i="57"/>
  <c r="P137" i="57"/>
  <c r="CV349" i="57"/>
  <c r="DI349" i="57" s="1"/>
  <c r="BZ349" i="57"/>
  <c r="X143" i="57"/>
  <c r="DK143" i="57" s="1"/>
  <c r="N143" i="57"/>
  <c r="BF340" i="57"/>
  <c r="BG340" i="57"/>
  <c r="BD340" i="57"/>
  <c r="T140" i="57"/>
  <c r="BE340" i="57"/>
  <c r="AX167" i="57"/>
  <c r="AX351" i="57"/>
  <c r="F173" i="57"/>
  <c r="O146" i="57"/>
  <c r="AC158" i="57"/>
  <c r="U146" i="57"/>
  <c r="AY167" i="57"/>
  <c r="AY351" i="57"/>
  <c r="I173" i="57"/>
  <c r="S143" i="57"/>
  <c r="AF137" i="57"/>
  <c r="BY349" i="57"/>
  <c r="CU349" i="57"/>
  <c r="DH349" i="57" s="1"/>
  <c r="V137" i="57"/>
  <c r="AD152" i="57"/>
  <c r="W149" i="57"/>
  <c r="DA343" i="57"/>
  <c r="R146" i="57"/>
  <c r="BJ340" i="57"/>
  <c r="L137" i="57"/>
  <c r="P240" i="44"/>
  <c r="P195" i="44"/>
  <c r="P213" i="44" s="1"/>
  <c r="P221" i="44" s="1"/>
  <c r="P249" i="44"/>
  <c r="P230" i="44"/>
  <c r="P130" i="44"/>
  <c r="P212" i="44"/>
  <c r="P88" i="44"/>
  <c r="AC18" i="86"/>
  <c r="Q86" i="98"/>
  <c r="AD16" i="86"/>
  <c r="AZ137" i="57" l="1"/>
  <c r="DB345" i="57"/>
  <c r="BA137" i="57"/>
  <c r="AD155" i="57"/>
  <c r="BN152" i="57"/>
  <c r="AG143" i="57"/>
  <c r="DQ140" i="57"/>
  <c r="DE140" i="57"/>
  <c r="BL137" i="57"/>
  <c r="DL137" i="57"/>
  <c r="CZ137" i="57"/>
  <c r="BM137" i="57"/>
  <c r="DA146" i="57"/>
  <c r="BF137" i="57"/>
  <c r="BG137" i="57"/>
  <c r="BL140" i="57"/>
  <c r="DL140" i="57"/>
  <c r="CZ140" i="57"/>
  <c r="BM140" i="57"/>
  <c r="BO143" i="57"/>
  <c r="DO143" i="57"/>
  <c r="DC143" i="57"/>
  <c r="DE137" i="57"/>
  <c r="BQ137" i="57"/>
  <c r="DQ137" i="57"/>
  <c r="BE342" i="57"/>
  <c r="BD140" i="57"/>
  <c r="DK343" i="57"/>
  <c r="BH143" i="57"/>
  <c r="DM143" i="57"/>
  <c r="DN143" i="57"/>
  <c r="BE140" i="57"/>
  <c r="AF140" i="57"/>
  <c r="BP137" i="57"/>
  <c r="DP137" i="57"/>
  <c r="DD137" i="57"/>
  <c r="U149" i="57"/>
  <c r="BI137" i="57"/>
  <c r="CW137" i="57"/>
  <c r="BC342" i="57"/>
  <c r="BC140" i="57"/>
  <c r="BD137" i="57"/>
  <c r="BE137" i="57"/>
  <c r="CY146" i="57"/>
  <c r="BH140" i="57"/>
  <c r="DM140" i="57"/>
  <c r="DN140" i="57"/>
  <c r="DK140" i="57"/>
  <c r="BE143" i="57"/>
  <c r="S146" i="57"/>
  <c r="BC143" i="57"/>
  <c r="DJ140" i="57"/>
  <c r="CX140" i="57"/>
  <c r="BK140" i="57"/>
  <c r="CY149" i="57"/>
  <c r="DA149" i="57"/>
  <c r="DB149" i="57"/>
  <c r="BB140" i="57"/>
  <c r="T143" i="57"/>
  <c r="V140" i="57"/>
  <c r="W152" i="57"/>
  <c r="DB152" i="57" s="1"/>
  <c r="BP342" i="57"/>
  <c r="DP342" i="57"/>
  <c r="DD342" i="57"/>
  <c r="AR342" i="57"/>
  <c r="CV167" i="57"/>
  <c r="DI167" i="57" s="1"/>
  <c r="BZ167" i="57"/>
  <c r="DJ342" i="57"/>
  <c r="CX342" i="57"/>
  <c r="BK342" i="57"/>
  <c r="AM342" i="57"/>
  <c r="P140" i="57"/>
  <c r="BA140" i="57" s="1"/>
  <c r="BO343" i="57"/>
  <c r="DO343" i="57"/>
  <c r="DC343" i="57"/>
  <c r="BY158" i="57"/>
  <c r="CU158" i="57"/>
  <c r="DH158" i="57" s="1"/>
  <c r="DQ343" i="57"/>
  <c r="DE343" i="57"/>
  <c r="BF342" i="57"/>
  <c r="BG342" i="57"/>
  <c r="BH343" i="57"/>
  <c r="DM343" i="57"/>
  <c r="DN343" i="57"/>
  <c r="AY164" i="57"/>
  <c r="I170" i="57"/>
  <c r="X146" i="57"/>
  <c r="BD343" i="57"/>
  <c r="BL342" i="57"/>
  <c r="DL342" i="57"/>
  <c r="CZ342" i="57"/>
  <c r="AN342" i="57"/>
  <c r="BM342" i="57"/>
  <c r="AO342" i="57"/>
  <c r="CV348" i="57"/>
  <c r="DI348" i="57" s="1"/>
  <c r="BZ348" i="57"/>
  <c r="Z143" i="57"/>
  <c r="CU348" i="57"/>
  <c r="DH348" i="57" s="1"/>
  <c r="BY348" i="57"/>
  <c r="U152" i="57"/>
  <c r="AX173" i="57"/>
  <c r="F179" i="57"/>
  <c r="BD342" i="57"/>
  <c r="T146" i="57"/>
  <c r="BE146" i="57" s="1"/>
  <c r="BZ158" i="57"/>
  <c r="CV158" i="57"/>
  <c r="DI158" i="57" s="1"/>
  <c r="BA342" i="57"/>
  <c r="BB342" i="57"/>
  <c r="O149" i="57"/>
  <c r="O152" i="57" s="1"/>
  <c r="AF143" i="57"/>
  <c r="N146" i="57"/>
  <c r="N149" i="57" s="1"/>
  <c r="Q143" i="57"/>
  <c r="AB143" i="57"/>
  <c r="P143" i="57"/>
  <c r="AZ143" i="57" s="1"/>
  <c r="BN346" i="57"/>
  <c r="DB346" i="57"/>
  <c r="AD158" i="57"/>
  <c r="BC343" i="57"/>
  <c r="S149" i="57"/>
  <c r="CU167" i="57"/>
  <c r="DH167" i="57" s="1"/>
  <c r="BY167" i="57"/>
  <c r="R149" i="57"/>
  <c r="CY345" i="57"/>
  <c r="K155" i="57"/>
  <c r="Y140" i="57"/>
  <c r="BJ140" i="57" s="1"/>
  <c r="AA152" i="57"/>
  <c r="CV351" i="57"/>
  <c r="DI351" i="57" s="1"/>
  <c r="BZ351" i="57"/>
  <c r="M152" i="57"/>
  <c r="M155" i="57" s="1"/>
  <c r="W155" i="57"/>
  <c r="DA155" i="57" s="1"/>
  <c r="DA345" i="57"/>
  <c r="CU351" i="57"/>
  <c r="DH351" i="57" s="1"/>
  <c r="BY351" i="57"/>
  <c r="V143" i="57"/>
  <c r="AY173" i="57"/>
  <c r="I179" i="57"/>
  <c r="BQ342" i="57"/>
  <c r="DQ342" i="57"/>
  <c r="DE342" i="57"/>
  <c r="AS342" i="57"/>
  <c r="AG146" i="57"/>
  <c r="L140" i="57"/>
  <c r="L143" i="57" s="1"/>
  <c r="AX164" i="57"/>
  <c r="F170" i="57"/>
  <c r="AE146" i="57"/>
  <c r="AC161" i="57"/>
  <c r="P98" i="44"/>
  <c r="P101" i="44" s="1"/>
  <c r="P131" i="44"/>
  <c r="P167" i="44"/>
  <c r="P222" i="44"/>
  <c r="P223" i="44" s="1"/>
  <c r="P165" i="44"/>
  <c r="P92" i="44"/>
  <c r="AD18" i="86"/>
  <c r="R86" i="98"/>
  <c r="AE16" i="86"/>
  <c r="DJ143" i="57" l="1"/>
  <c r="CX143" i="57"/>
  <c r="BK143" i="57"/>
  <c r="DD140" i="57"/>
  <c r="BP140" i="57"/>
  <c r="DP140" i="57"/>
  <c r="DL143" i="57"/>
  <c r="BL143" i="57"/>
  <c r="CZ143" i="57"/>
  <c r="BM143" i="57"/>
  <c r="BP143" i="57"/>
  <c r="DP143" i="57"/>
  <c r="DD143" i="57"/>
  <c r="BD146" i="57"/>
  <c r="X149" i="57"/>
  <c r="BH146" i="57"/>
  <c r="DM146" i="57"/>
  <c r="DN146" i="57"/>
  <c r="AD161" i="57"/>
  <c r="BN158" i="57"/>
  <c r="DB158" i="57"/>
  <c r="Q146" i="57"/>
  <c r="BB143" i="57"/>
  <c r="R152" i="57"/>
  <c r="W158" i="57"/>
  <c r="U155" i="57"/>
  <c r="DA346" i="57"/>
  <c r="DA152" i="57"/>
  <c r="BC146" i="57"/>
  <c r="BQ140" i="57"/>
  <c r="DB155" i="57"/>
  <c r="BN155" i="57"/>
  <c r="BF143" i="57"/>
  <c r="BG143" i="57"/>
  <c r="AA155" i="57"/>
  <c r="CY152" i="57"/>
  <c r="BF140" i="57"/>
  <c r="BG140" i="57"/>
  <c r="DQ143" i="57"/>
  <c r="DE143" i="57"/>
  <c r="BQ143" i="57"/>
  <c r="AC164" i="57"/>
  <c r="BO146" i="57"/>
  <c r="DO146" i="57"/>
  <c r="DC146" i="57"/>
  <c r="DQ146" i="57"/>
  <c r="DE146" i="57"/>
  <c r="AL342" i="57"/>
  <c r="CW140" i="57"/>
  <c r="BI140" i="57"/>
  <c r="BC149" i="57"/>
  <c r="BE343" i="57"/>
  <c r="BD143" i="57"/>
  <c r="DK146" i="57"/>
  <c r="Y143" i="57"/>
  <c r="BN349" i="57"/>
  <c r="DA348" i="57"/>
  <c r="BH345" i="57"/>
  <c r="AJ345" i="57"/>
  <c r="DM345" i="57"/>
  <c r="DN345" i="57"/>
  <c r="DK345" i="57"/>
  <c r="CU164" i="57"/>
  <c r="DH164" i="57" s="1"/>
  <c r="BY164" i="57"/>
  <c r="BZ173" i="57"/>
  <c r="CV173" i="57"/>
  <c r="DI173" i="57" s="1"/>
  <c r="BI343" i="57"/>
  <c r="CW343" i="57"/>
  <c r="L146" i="57"/>
  <c r="BC345" i="57"/>
  <c r="AZ343" i="57"/>
  <c r="AX179" i="57"/>
  <c r="F185" i="57"/>
  <c r="AX355" i="57"/>
  <c r="DJ343" i="57"/>
  <c r="BJ343" i="57"/>
  <c r="CX343" i="57"/>
  <c r="BK343" i="57"/>
  <c r="AY170" i="57"/>
  <c r="I176" i="57"/>
  <c r="AY352" i="57"/>
  <c r="AE149" i="57"/>
  <c r="BF343" i="57"/>
  <c r="BG343" i="57"/>
  <c r="CU173" i="57"/>
  <c r="DH173" i="57" s="1"/>
  <c r="BY173" i="57"/>
  <c r="CV164" i="57"/>
  <c r="DI164" i="57" s="1"/>
  <c r="BZ164" i="57"/>
  <c r="AG149" i="57"/>
  <c r="Z146" i="57"/>
  <c r="CY346" i="57"/>
  <c r="AA158" i="57"/>
  <c r="CW342" i="57"/>
  <c r="BI342" i="57"/>
  <c r="AK342" i="57"/>
  <c r="Y146" i="57"/>
  <c r="BN348" i="57"/>
  <c r="DB348" i="57"/>
  <c r="AP348" i="57"/>
  <c r="AD164" i="57"/>
  <c r="BL343" i="57"/>
  <c r="DL343" i="57"/>
  <c r="CZ343" i="57"/>
  <c r="BM343" i="57"/>
  <c r="S152" i="57"/>
  <c r="M158" i="57"/>
  <c r="M161" i="57" s="1"/>
  <c r="X152" i="57"/>
  <c r="DK152" i="57" s="1"/>
  <c r="W161" i="57"/>
  <c r="DA161" i="57" s="1"/>
  <c r="R155" i="57"/>
  <c r="BA143" i="57"/>
  <c r="BA343" i="57"/>
  <c r="Q149" i="57"/>
  <c r="BB149" i="57" s="1"/>
  <c r="BB343" i="57"/>
  <c r="BP343" i="57"/>
  <c r="DP343" i="57"/>
  <c r="DD343" i="57"/>
  <c r="AB146" i="57"/>
  <c r="T149" i="57"/>
  <c r="BE149" i="57" s="1"/>
  <c r="BQ343" i="57"/>
  <c r="AZ140" i="57"/>
  <c r="AZ342" i="57"/>
  <c r="P146" i="57"/>
  <c r="AZ146" i="57" s="1"/>
  <c r="AF146" i="57"/>
  <c r="BQ146" i="57" s="1"/>
  <c r="AY179" i="57"/>
  <c r="I185" i="57"/>
  <c r="AY355" i="57"/>
  <c r="N152" i="57"/>
  <c r="N155" i="57" s="1"/>
  <c r="V146" i="57"/>
  <c r="AC167" i="57"/>
  <c r="AX170" i="57"/>
  <c r="F176" i="57"/>
  <c r="AX352" i="57"/>
  <c r="K158" i="57"/>
  <c r="O155" i="57"/>
  <c r="O158" i="57" s="1"/>
  <c r="U158" i="57"/>
  <c r="BJ342" i="57"/>
  <c r="P172" i="44"/>
  <c r="Q169" i="44" s="1"/>
  <c r="P103" i="44"/>
  <c r="P107" i="44" s="1"/>
  <c r="AE18" i="86"/>
  <c r="S86" i="98"/>
  <c r="AF16" i="86"/>
  <c r="AA161" i="57" l="1"/>
  <c r="CY158" i="57"/>
  <c r="W164" i="57"/>
  <c r="CW146" i="57"/>
  <c r="BI146" i="57"/>
  <c r="U161" i="57"/>
  <c r="BH149" i="57"/>
  <c r="DN149" i="57"/>
  <c r="DM149" i="57"/>
  <c r="DK149" i="57"/>
  <c r="V149" i="57"/>
  <c r="BF146" i="57"/>
  <c r="BG146" i="57"/>
  <c r="BI143" i="57"/>
  <c r="CW143" i="57"/>
  <c r="CX146" i="57"/>
  <c r="DJ146" i="57"/>
  <c r="BJ146" i="57"/>
  <c r="BK146" i="57"/>
  <c r="BA149" i="57"/>
  <c r="BC152" i="57"/>
  <c r="BN164" i="57"/>
  <c r="DB164" i="57"/>
  <c r="CY155" i="57"/>
  <c r="DB161" i="57"/>
  <c r="BN161" i="57"/>
  <c r="X155" i="57"/>
  <c r="BH152" i="57"/>
  <c r="DM152" i="57"/>
  <c r="DN152" i="57"/>
  <c r="DE149" i="57"/>
  <c r="DQ149" i="57"/>
  <c r="T152" i="57"/>
  <c r="BD149" i="57"/>
  <c r="DA158" i="57"/>
  <c r="BA146" i="57"/>
  <c r="BB146" i="57"/>
  <c r="BL146" i="57"/>
  <c r="DL146" i="57"/>
  <c r="CZ146" i="57"/>
  <c r="BM146" i="57"/>
  <c r="BP146" i="57"/>
  <c r="DP146" i="57"/>
  <c r="DD146" i="57"/>
  <c r="R158" i="57"/>
  <c r="AE152" i="57"/>
  <c r="DC149" i="57"/>
  <c r="BO149" i="57"/>
  <c r="DO149" i="57"/>
  <c r="BJ143" i="57"/>
  <c r="DK346" i="57"/>
  <c r="BF345" i="57"/>
  <c r="BG345" i="57"/>
  <c r="BZ352" i="57"/>
  <c r="CV352" i="57"/>
  <c r="DI352" i="57" s="1"/>
  <c r="CU170" i="57"/>
  <c r="DH170" i="57" s="1"/>
  <c r="BY170" i="57"/>
  <c r="CV355" i="57"/>
  <c r="DI355" i="57" s="1"/>
  <c r="BZ355" i="57"/>
  <c r="BD345" i="57"/>
  <c r="T155" i="57"/>
  <c r="BE345" i="57"/>
  <c r="AY176" i="57"/>
  <c r="AY354" i="57"/>
  <c r="I182" i="57"/>
  <c r="CY349" i="57"/>
  <c r="BC346" i="57"/>
  <c r="S155" i="57"/>
  <c r="AY185" i="57"/>
  <c r="AY357" i="57"/>
  <c r="I191" i="57"/>
  <c r="BZ170" i="57"/>
  <c r="CV170" i="57"/>
  <c r="DI170" i="57" s="1"/>
  <c r="BY355" i="57"/>
  <c r="CU355" i="57"/>
  <c r="DH355" i="57" s="1"/>
  <c r="L149" i="57"/>
  <c r="L152" i="57" s="1"/>
  <c r="AX185" i="57"/>
  <c r="AX357" i="57"/>
  <c r="F191" i="57"/>
  <c r="Y149" i="57"/>
  <c r="U164" i="57"/>
  <c r="W167" i="57"/>
  <c r="DA167" i="57" s="1"/>
  <c r="BY179" i="57"/>
  <c r="CU179" i="57"/>
  <c r="DH179" i="57" s="1"/>
  <c r="AD167" i="57"/>
  <c r="N158" i="57"/>
  <c r="O161" i="57"/>
  <c r="O164" i="57" s="1"/>
  <c r="R161" i="57"/>
  <c r="AB149" i="57"/>
  <c r="DQ345" i="57"/>
  <c r="DE345" i="57"/>
  <c r="P149" i="57"/>
  <c r="AZ149" i="57" s="1"/>
  <c r="AC170" i="57"/>
  <c r="DB349" i="57"/>
  <c r="AX176" i="57"/>
  <c r="AX354" i="57"/>
  <c r="F182" i="57"/>
  <c r="BO346" i="57"/>
  <c r="DO346" i="57"/>
  <c r="DC346" i="57"/>
  <c r="BD346" i="57"/>
  <c r="BZ179" i="57"/>
  <c r="CV179" i="57"/>
  <c r="DI179" i="57" s="1"/>
  <c r="BE346" i="57"/>
  <c r="DA349" i="57"/>
  <c r="AF149" i="57"/>
  <c r="BQ149" i="57" s="1"/>
  <c r="BB345" i="57"/>
  <c r="BH346" i="57"/>
  <c r="X158" i="57"/>
  <c r="DK158" i="57" s="1"/>
  <c r="DM346" i="57"/>
  <c r="DN346" i="57"/>
  <c r="Z149" i="57"/>
  <c r="CU352" i="57"/>
  <c r="DH352" i="57" s="1"/>
  <c r="BY352" i="57"/>
  <c r="V152" i="57"/>
  <c r="K161" i="57"/>
  <c r="M164" i="57"/>
  <c r="M167" i="57" s="1"/>
  <c r="CY348" i="57"/>
  <c r="AA164" i="57"/>
  <c r="AG152" i="57"/>
  <c r="BO345" i="57"/>
  <c r="DO345" i="57"/>
  <c r="DC345" i="57"/>
  <c r="AQ345" i="57"/>
  <c r="AE155" i="57"/>
  <c r="Q152" i="57"/>
  <c r="BB152" i="57" s="1"/>
  <c r="P174" i="44"/>
  <c r="P129" i="44" s="1"/>
  <c r="P133" i="44" s="1"/>
  <c r="P105" i="44"/>
  <c r="AF18" i="86"/>
  <c r="T86" i="98"/>
  <c r="AG16" i="86"/>
  <c r="AD170" i="57" l="1"/>
  <c r="DB167" i="57"/>
  <c r="BN167" i="57"/>
  <c r="BH155" i="57"/>
  <c r="DM155" i="57"/>
  <c r="DN155" i="57"/>
  <c r="BE155" i="57"/>
  <c r="DC152" i="57"/>
  <c r="BO152" i="57"/>
  <c r="DO152" i="57"/>
  <c r="DK155" i="57"/>
  <c r="R164" i="57"/>
  <c r="W170" i="57"/>
  <c r="DL149" i="57"/>
  <c r="CZ149" i="57"/>
  <c r="BL149" i="57"/>
  <c r="BM149" i="57"/>
  <c r="BC155" i="57"/>
  <c r="BD155" i="57"/>
  <c r="BD152" i="57"/>
  <c r="BE152" i="57"/>
  <c r="DA164" i="57"/>
  <c r="AS345" i="57"/>
  <c r="BP149" i="57"/>
  <c r="DP149" i="57"/>
  <c r="DD149" i="57"/>
  <c r="AA167" i="57"/>
  <c r="CY164" i="57"/>
  <c r="AE158" i="57"/>
  <c r="BO155" i="57"/>
  <c r="DO155" i="57"/>
  <c r="DC155" i="57"/>
  <c r="BF152" i="57"/>
  <c r="BG152" i="57"/>
  <c r="AC173" i="57"/>
  <c r="DA170" i="57"/>
  <c r="Y152" i="57"/>
  <c r="BI149" i="57"/>
  <c r="CW149" i="57"/>
  <c r="Z152" i="57"/>
  <c r="DJ149" i="57"/>
  <c r="BJ149" i="57"/>
  <c r="CX149" i="57"/>
  <c r="BK149" i="57"/>
  <c r="DQ152" i="57"/>
  <c r="DE152" i="57"/>
  <c r="BH158" i="57"/>
  <c r="DM158" i="57"/>
  <c r="DN158" i="57"/>
  <c r="BF149" i="57"/>
  <c r="BG149" i="57"/>
  <c r="CY161" i="57"/>
  <c r="DA351" i="57"/>
  <c r="T158" i="57"/>
  <c r="BQ345" i="57"/>
  <c r="CY351" i="57"/>
  <c r="CW346" i="57"/>
  <c r="BI346" i="57"/>
  <c r="BZ185" i="57"/>
  <c r="CV185" i="57"/>
  <c r="DI185" i="57" s="1"/>
  <c r="BB346" i="57"/>
  <c r="DQ346" i="57"/>
  <c r="DE346" i="57"/>
  <c r="BF346" i="57"/>
  <c r="BG346" i="57"/>
  <c r="AZ345" i="57"/>
  <c r="BL345" i="57"/>
  <c r="DL345" i="57"/>
  <c r="CZ345" i="57"/>
  <c r="AN345" i="57"/>
  <c r="AO345" i="57"/>
  <c r="BM345" i="57"/>
  <c r="BH348" i="57"/>
  <c r="AJ348" i="57"/>
  <c r="DM348" i="57"/>
  <c r="DN348" i="57"/>
  <c r="DJ346" i="57"/>
  <c r="BJ346" i="57"/>
  <c r="CX346" i="57"/>
  <c r="BK346" i="57"/>
  <c r="BN352" i="57"/>
  <c r="DB352" i="57"/>
  <c r="BO348" i="57"/>
  <c r="DO348" i="57"/>
  <c r="DC348" i="57"/>
  <c r="AQ348" i="57"/>
  <c r="U167" i="57"/>
  <c r="CW345" i="57"/>
  <c r="BI345" i="57"/>
  <c r="AK345" i="57"/>
  <c r="Y155" i="57"/>
  <c r="Q155" i="57"/>
  <c r="CV176" i="57"/>
  <c r="DI176" i="57" s="1"/>
  <c r="BZ176" i="57"/>
  <c r="AA170" i="57"/>
  <c r="DJ345" i="57"/>
  <c r="BJ345" i="57"/>
  <c r="CX345" i="57"/>
  <c r="AL345" i="57"/>
  <c r="Z155" i="57"/>
  <c r="BK345" i="57"/>
  <c r="AM345" i="57"/>
  <c r="K164" i="57"/>
  <c r="AF152" i="57"/>
  <c r="BY354" i="57"/>
  <c r="CU354" i="57"/>
  <c r="DH354" i="57" s="1"/>
  <c r="P152" i="57"/>
  <c r="AZ152" i="57" s="1"/>
  <c r="N164" i="57"/>
  <c r="AX191" i="57"/>
  <c r="F197" i="57"/>
  <c r="BA345" i="57"/>
  <c r="AB152" i="57"/>
  <c r="DK348" i="57"/>
  <c r="CU176" i="57"/>
  <c r="DH176" i="57" s="1"/>
  <c r="BY176" i="57"/>
  <c r="O167" i="57"/>
  <c r="BN351" i="57"/>
  <c r="DB351" i="57"/>
  <c r="AP351" i="57"/>
  <c r="AD173" i="57"/>
  <c r="W173" i="57"/>
  <c r="BY357" i="57"/>
  <c r="CU357" i="57"/>
  <c r="DH357" i="57" s="1"/>
  <c r="AY191" i="57"/>
  <c r="I197" i="57"/>
  <c r="AY182" i="57"/>
  <c r="I188" i="57"/>
  <c r="T161" i="57"/>
  <c r="BE161" i="57" s="1"/>
  <c r="M170" i="57"/>
  <c r="M173" i="57" s="1"/>
  <c r="DA352" i="57"/>
  <c r="AC176" i="57"/>
  <c r="L155" i="57"/>
  <c r="L158" i="57" s="1"/>
  <c r="R167" i="57"/>
  <c r="AE161" i="57"/>
  <c r="AX182" i="57"/>
  <c r="F188" i="57"/>
  <c r="AG155" i="57"/>
  <c r="BP345" i="57"/>
  <c r="DP345" i="57"/>
  <c r="DD345" i="57"/>
  <c r="AR345" i="57"/>
  <c r="CU185" i="57"/>
  <c r="DH185" i="57" s="1"/>
  <c r="BY185" i="57"/>
  <c r="CV357" i="57"/>
  <c r="DI357" i="57" s="1"/>
  <c r="BZ357" i="57"/>
  <c r="S158" i="57"/>
  <c r="BZ354" i="57"/>
  <c r="CV354" i="57"/>
  <c r="DI354" i="57" s="1"/>
  <c r="V155" i="57"/>
  <c r="X161" i="57"/>
  <c r="DK161" i="57" s="1"/>
  <c r="N161" i="57"/>
  <c r="P211" i="44"/>
  <c r="P215" i="44" s="1"/>
  <c r="P220" i="44" s="1"/>
  <c r="P225" i="44" s="1"/>
  <c r="P109" i="44"/>
  <c r="P248" i="44" s="1"/>
  <c r="AG18" i="86"/>
  <c r="BD348" i="57" l="1"/>
  <c r="BC158" i="57"/>
  <c r="Y158" i="57"/>
  <c r="BI155" i="57"/>
  <c r="CW155" i="57"/>
  <c r="CY167" i="57"/>
  <c r="BP152" i="57"/>
  <c r="DP152" i="57"/>
  <c r="DD152" i="57"/>
  <c r="BO158" i="57"/>
  <c r="DO158" i="57"/>
  <c r="DC158" i="57"/>
  <c r="BA152" i="57"/>
  <c r="DJ152" i="57"/>
  <c r="BJ152" i="57"/>
  <c r="CX152" i="57"/>
  <c r="BK152" i="57"/>
  <c r="AG158" i="57"/>
  <c r="DQ155" i="57"/>
  <c r="DE155" i="57"/>
  <c r="AA173" i="57"/>
  <c r="CY170" i="57"/>
  <c r="BB155" i="57"/>
  <c r="AE164" i="57"/>
  <c r="DO161" i="57"/>
  <c r="DC161" i="57"/>
  <c r="BO161" i="57"/>
  <c r="AB155" i="57"/>
  <c r="CZ152" i="57"/>
  <c r="BL152" i="57"/>
  <c r="DL152" i="57"/>
  <c r="BM152" i="57"/>
  <c r="V158" i="57"/>
  <c r="BF155" i="57"/>
  <c r="BG155" i="57"/>
  <c r="T164" i="57"/>
  <c r="DA173" i="57"/>
  <c r="BN170" i="57"/>
  <c r="DB170" i="57"/>
  <c r="X164" i="57"/>
  <c r="BH161" i="57"/>
  <c r="DM161" i="57"/>
  <c r="DN161" i="57"/>
  <c r="AD176" i="57"/>
  <c r="BN173" i="57"/>
  <c r="DB173" i="57"/>
  <c r="BJ155" i="57"/>
  <c r="DJ155" i="57"/>
  <c r="CX155" i="57"/>
  <c r="BK155" i="57"/>
  <c r="BE348" i="57"/>
  <c r="BD158" i="57"/>
  <c r="BE158" i="57"/>
  <c r="BQ152" i="57"/>
  <c r="CW152" i="57"/>
  <c r="BI152" i="57"/>
  <c r="BF348" i="57"/>
  <c r="BG348" i="57"/>
  <c r="DQ348" i="57"/>
  <c r="DE348" i="57"/>
  <c r="AZ346" i="57"/>
  <c r="CW348" i="57"/>
  <c r="BI348" i="57"/>
  <c r="AK348" i="57"/>
  <c r="BN354" i="57"/>
  <c r="AP354" i="57"/>
  <c r="BC348" i="57"/>
  <c r="BO349" i="57"/>
  <c r="DO349" i="57"/>
  <c r="DC349" i="57"/>
  <c r="AE167" i="57"/>
  <c r="S161" i="57"/>
  <c r="BD161" i="57" s="1"/>
  <c r="Z158" i="57"/>
  <c r="AG161" i="57"/>
  <c r="M176" i="57"/>
  <c r="AY188" i="57"/>
  <c r="I194" i="57"/>
  <c r="AY358" i="57"/>
  <c r="BL346" i="57"/>
  <c r="CZ346" i="57"/>
  <c r="DL346" i="57"/>
  <c r="AB158" i="57"/>
  <c r="BM346" i="57"/>
  <c r="BP346" i="57"/>
  <c r="DP346" i="57"/>
  <c r="DD346" i="57"/>
  <c r="Y161" i="57"/>
  <c r="BQ346" i="57"/>
  <c r="R170" i="57"/>
  <c r="K170" i="57"/>
  <c r="BD349" i="57"/>
  <c r="T167" i="57"/>
  <c r="BE349" i="57"/>
  <c r="BZ182" i="57"/>
  <c r="CV182" i="57"/>
  <c r="DI182" i="57" s="1"/>
  <c r="V161" i="57"/>
  <c r="CU182" i="57"/>
  <c r="DH182" i="57" s="1"/>
  <c r="BY182" i="57"/>
  <c r="L161" i="57"/>
  <c r="L164" i="57" s="1"/>
  <c r="AY197" i="57"/>
  <c r="I203" i="57"/>
  <c r="AY361" i="57"/>
  <c r="AD179" i="57"/>
  <c r="O170" i="57"/>
  <c r="O173" i="57" s="1"/>
  <c r="AX197" i="57"/>
  <c r="F203" i="57"/>
  <c r="AX361" i="57"/>
  <c r="Q158" i="57"/>
  <c r="AC179" i="57"/>
  <c r="W176" i="57"/>
  <c r="DA176" i="57" s="1"/>
  <c r="N167" i="57"/>
  <c r="BH349" i="57"/>
  <c r="X167" i="57"/>
  <c r="DK167" i="57" s="1"/>
  <c r="DN349" i="57"/>
  <c r="DM349" i="57"/>
  <c r="DK349" i="57"/>
  <c r="AX188" i="57"/>
  <c r="F194" i="57"/>
  <c r="AX358" i="57"/>
  <c r="AF155" i="57"/>
  <c r="CV191" i="57"/>
  <c r="DI191" i="57" s="1"/>
  <c r="BZ191" i="57"/>
  <c r="BY191" i="57"/>
  <c r="CU191" i="57"/>
  <c r="DH191" i="57" s="1"/>
  <c r="CY352" i="57"/>
  <c r="AA176" i="57"/>
  <c r="U170" i="57"/>
  <c r="P155" i="57"/>
  <c r="AZ155" i="57" s="1"/>
  <c r="K167" i="57"/>
  <c r="BA346" i="57"/>
  <c r="P111" i="44"/>
  <c r="P258" i="44"/>
  <c r="P141" i="44"/>
  <c r="P143" i="44" s="1"/>
  <c r="P156" i="44" s="1"/>
  <c r="P157" i="44" s="1"/>
  <c r="Q155" i="44" s="1"/>
  <c r="Q187" i="44" s="1"/>
  <c r="Q251" i="44" s="1"/>
  <c r="P226" i="44"/>
  <c r="M55" i="108" s="1"/>
  <c r="P229" i="44"/>
  <c r="P234" i="44" s="1"/>
  <c r="P257" i="44"/>
  <c r="P247" i="44"/>
  <c r="C95" i="98"/>
  <c r="AE170" i="57" l="1"/>
  <c r="BO167" i="57"/>
  <c r="DO167" i="57"/>
  <c r="DC167" i="57"/>
  <c r="BH164" i="57"/>
  <c r="DM164" i="57"/>
  <c r="DN164" i="57"/>
  <c r="DK164" i="57"/>
  <c r="AF158" i="57"/>
  <c r="BP155" i="57"/>
  <c r="DP155" i="57"/>
  <c r="DD155" i="57"/>
  <c r="BI161" i="57"/>
  <c r="CW161" i="57"/>
  <c r="BL158" i="57"/>
  <c r="DL158" i="57"/>
  <c r="CZ158" i="57"/>
  <c r="BM158" i="57"/>
  <c r="DB176" i="57"/>
  <c r="BN176" i="57"/>
  <c r="BO164" i="57"/>
  <c r="DO164" i="57"/>
  <c r="DC164" i="57"/>
  <c r="BH167" i="57"/>
  <c r="DM167" i="57"/>
  <c r="DN167" i="57"/>
  <c r="CY176" i="57"/>
  <c r="DB354" i="57"/>
  <c r="BF161" i="57"/>
  <c r="BG161" i="57"/>
  <c r="AG164" i="57"/>
  <c r="DQ161" i="57"/>
  <c r="DE161" i="57"/>
  <c r="BE167" i="57"/>
  <c r="BE164" i="57"/>
  <c r="BF158" i="57"/>
  <c r="BG158" i="57"/>
  <c r="BQ155" i="57"/>
  <c r="BI158" i="57"/>
  <c r="CW158" i="57"/>
  <c r="R173" i="57"/>
  <c r="DJ158" i="57"/>
  <c r="BJ158" i="57"/>
  <c r="CX158" i="57"/>
  <c r="BK158" i="57"/>
  <c r="DL155" i="57"/>
  <c r="CZ155" i="57"/>
  <c r="BL155" i="57"/>
  <c r="BM155" i="57"/>
  <c r="BA155" i="57"/>
  <c r="BB158" i="57"/>
  <c r="BC161" i="57"/>
  <c r="DB179" i="57"/>
  <c r="BN179" i="57"/>
  <c r="CY173" i="57"/>
  <c r="BQ158" i="57"/>
  <c r="DQ158" i="57"/>
  <c r="DE158" i="57"/>
  <c r="BP348" i="57"/>
  <c r="DP348" i="57"/>
  <c r="DD348" i="57"/>
  <c r="AR348" i="57"/>
  <c r="BQ348" i="57"/>
  <c r="AS348" i="57"/>
  <c r="BF349" i="57"/>
  <c r="BG349" i="57"/>
  <c r="BI349" i="57"/>
  <c r="CW349" i="57"/>
  <c r="M179" i="57"/>
  <c r="M182" i="57" s="1"/>
  <c r="BB348" i="57"/>
  <c r="BL348" i="57"/>
  <c r="CZ348" i="57"/>
  <c r="DL348" i="57"/>
  <c r="AN348" i="57"/>
  <c r="BM348" i="57"/>
  <c r="AO348" i="57"/>
  <c r="BJ348" i="57"/>
  <c r="DJ348" i="57"/>
  <c r="CX348" i="57"/>
  <c r="AL348" i="57"/>
  <c r="BK348" i="57"/>
  <c r="AM348" i="57"/>
  <c r="BO352" i="57"/>
  <c r="DC352" i="57"/>
  <c r="W179" i="57"/>
  <c r="DA179" i="57" s="1"/>
  <c r="BC349" i="57"/>
  <c r="S164" i="57"/>
  <c r="DQ349" i="57"/>
  <c r="DE349" i="57"/>
  <c r="AG167" i="57"/>
  <c r="AF161" i="57"/>
  <c r="BH351" i="57"/>
  <c r="AJ351" i="57"/>
  <c r="DM351" i="57"/>
  <c r="DK351" i="57"/>
  <c r="DN351" i="57"/>
  <c r="CU361" i="57"/>
  <c r="DH361" i="57" s="1"/>
  <c r="BY361" i="57"/>
  <c r="BN355" i="57"/>
  <c r="R176" i="57"/>
  <c r="Z161" i="57"/>
  <c r="U173" i="57"/>
  <c r="V164" i="57"/>
  <c r="BZ188" i="57"/>
  <c r="CV188" i="57"/>
  <c r="DI188" i="57" s="1"/>
  <c r="CU358" i="57"/>
  <c r="DH358" i="57" s="1"/>
  <c r="BY358" i="57"/>
  <c r="AX203" i="57"/>
  <c r="AX363" i="57"/>
  <c r="F209" i="57"/>
  <c r="CV361" i="57"/>
  <c r="DI361" i="57" s="1"/>
  <c r="BZ361" i="57"/>
  <c r="AC182" i="57"/>
  <c r="Q161" i="57"/>
  <c r="BE351" i="57"/>
  <c r="L167" i="57"/>
  <c r="CY354" i="57"/>
  <c r="AX194" i="57"/>
  <c r="AX360" i="57"/>
  <c r="F200" i="57"/>
  <c r="CU197" i="57"/>
  <c r="DH197" i="57" s="1"/>
  <c r="BY197" i="57"/>
  <c r="AY203" i="57"/>
  <c r="AY363" i="57"/>
  <c r="I209" i="57"/>
  <c r="BZ358" i="57"/>
  <c r="CV358" i="57"/>
  <c r="DI358" i="57" s="1"/>
  <c r="BO351" i="57"/>
  <c r="DC351" i="57"/>
  <c r="DO351" i="57"/>
  <c r="AQ351" i="57"/>
  <c r="AE173" i="57"/>
  <c r="AD182" i="57"/>
  <c r="Y164" i="57"/>
  <c r="K173" i="57"/>
  <c r="BY188" i="57"/>
  <c r="CU188" i="57"/>
  <c r="DH188" i="57" s="1"/>
  <c r="N170" i="57"/>
  <c r="N173" i="57" s="1"/>
  <c r="O176" i="57"/>
  <c r="BZ197" i="57"/>
  <c r="CV197" i="57"/>
  <c r="DI197" i="57" s="1"/>
  <c r="AY194" i="57"/>
  <c r="AY360" i="57"/>
  <c r="I200" i="57"/>
  <c r="DA354" i="57"/>
  <c r="P158" i="57"/>
  <c r="AZ158" i="57" s="1"/>
  <c r="X170" i="57"/>
  <c r="T170" i="57"/>
  <c r="AA179" i="57"/>
  <c r="AB161" i="57"/>
  <c r="P263" i="44"/>
  <c r="C99" i="98" s="1"/>
  <c r="P253" i="44"/>
  <c r="P254" i="44" s="1"/>
  <c r="M60" i="108" s="1"/>
  <c r="P235" i="44"/>
  <c r="P160" i="44"/>
  <c r="P161" i="44" s="1"/>
  <c r="Q159" i="44" s="1"/>
  <c r="Q192" i="44" s="1"/>
  <c r="Q189" i="44"/>
  <c r="Q232" i="44"/>
  <c r="Q241" i="44"/>
  <c r="M56" i="108" l="1"/>
  <c r="AA182" i="57"/>
  <c r="CY179" i="57"/>
  <c r="Y167" i="57"/>
  <c r="CW164" i="57"/>
  <c r="BI164" i="57"/>
  <c r="BF164" i="57"/>
  <c r="BG164" i="57"/>
  <c r="DQ164" i="57"/>
  <c r="DE164" i="57"/>
  <c r="BN182" i="57"/>
  <c r="BA158" i="57"/>
  <c r="BP158" i="57"/>
  <c r="DP158" i="57"/>
  <c r="DD158" i="57"/>
  <c r="Z164" i="57"/>
  <c r="CX161" i="57"/>
  <c r="BJ161" i="57"/>
  <c r="DJ161" i="57"/>
  <c r="BK161" i="57"/>
  <c r="BC164" i="57"/>
  <c r="BD164" i="57"/>
  <c r="DO352" i="57"/>
  <c r="BH170" i="57"/>
  <c r="DM170" i="57"/>
  <c r="DN170" i="57"/>
  <c r="DK170" i="57"/>
  <c r="BE170" i="57"/>
  <c r="AE176" i="57"/>
  <c r="BO173" i="57"/>
  <c r="DC173" i="57"/>
  <c r="Q164" i="57"/>
  <c r="BB161" i="57"/>
  <c r="DP161" i="57"/>
  <c r="DD161" i="57"/>
  <c r="BP161" i="57"/>
  <c r="DA355" i="57"/>
  <c r="DE167" i="57"/>
  <c r="DQ167" i="57"/>
  <c r="AB164" i="57"/>
  <c r="DL161" i="57"/>
  <c r="CZ161" i="57"/>
  <c r="BL161" i="57"/>
  <c r="BM161" i="57"/>
  <c r="BQ161" i="57"/>
  <c r="BO170" i="57"/>
  <c r="DO170" i="57"/>
  <c r="DC170" i="57"/>
  <c r="AC185" i="57"/>
  <c r="CU360" i="57"/>
  <c r="DH360" i="57" s="1"/>
  <c r="BY360" i="57"/>
  <c r="AY209" i="57"/>
  <c r="I215" i="57"/>
  <c r="BY194" i="57"/>
  <c r="CU194" i="57"/>
  <c r="DH194" i="57" s="1"/>
  <c r="AZ348" i="57"/>
  <c r="DQ351" i="57"/>
  <c r="DE351" i="57"/>
  <c r="CW351" i="57"/>
  <c r="BI351" i="57"/>
  <c r="AK351" i="57"/>
  <c r="S167" i="57"/>
  <c r="BA348" i="57"/>
  <c r="BP349" i="57"/>
  <c r="DP349" i="57"/>
  <c r="DD349" i="57"/>
  <c r="BZ203" i="57"/>
  <c r="CV203" i="57"/>
  <c r="DI203" i="57" s="1"/>
  <c r="AY200" i="57"/>
  <c r="I206" i="57"/>
  <c r="AF164" i="57"/>
  <c r="BL349" i="57"/>
  <c r="DL349" i="57"/>
  <c r="CZ349" i="57"/>
  <c r="AB167" i="57"/>
  <c r="BM349" i="57"/>
  <c r="AD185" i="57"/>
  <c r="BQ349" i="57"/>
  <c r="W182" i="57"/>
  <c r="DA182" i="57" s="1"/>
  <c r="V167" i="57"/>
  <c r="AG170" i="57"/>
  <c r="BH352" i="57"/>
  <c r="DM352" i="57"/>
  <c r="DN352" i="57"/>
  <c r="DK352" i="57"/>
  <c r="BO354" i="57"/>
  <c r="DC354" i="57"/>
  <c r="AQ354" i="57"/>
  <c r="AE179" i="57"/>
  <c r="AC188" i="57"/>
  <c r="CV360" i="57"/>
  <c r="DI360" i="57" s="1"/>
  <c r="BZ360" i="57"/>
  <c r="CY355" i="57"/>
  <c r="AA185" i="57"/>
  <c r="CV194" i="57"/>
  <c r="DI194" i="57" s="1"/>
  <c r="BZ194" i="57"/>
  <c r="AX209" i="57"/>
  <c r="F215" i="57"/>
  <c r="U179" i="57"/>
  <c r="DB355" i="57"/>
  <c r="K176" i="57"/>
  <c r="U176" i="57"/>
  <c r="O179" i="57"/>
  <c r="CU203" i="57"/>
  <c r="DH203" i="57" s="1"/>
  <c r="BY203" i="57"/>
  <c r="BZ363" i="57"/>
  <c r="CV363" i="57"/>
  <c r="DI363" i="57" s="1"/>
  <c r="Q167" i="57"/>
  <c r="BB167" i="57" s="1"/>
  <c r="BB349" i="57"/>
  <c r="N176" i="57"/>
  <c r="N179" i="57" s="1"/>
  <c r="Y170" i="57"/>
  <c r="AX200" i="57"/>
  <c r="F206" i="57"/>
  <c r="CU363" i="57"/>
  <c r="DH363" i="57" s="1"/>
  <c r="BY363" i="57"/>
  <c r="DJ349" i="57"/>
  <c r="BJ349" i="57"/>
  <c r="CX349" i="57"/>
  <c r="Z167" i="57"/>
  <c r="BK349" i="57"/>
  <c r="X173" i="57"/>
  <c r="DO173" i="57" s="1"/>
  <c r="P161" i="57"/>
  <c r="AZ161" i="57" s="1"/>
  <c r="R179" i="57"/>
  <c r="M185" i="57"/>
  <c r="M188" i="57" s="1"/>
  <c r="T173" i="57"/>
  <c r="BE352" i="57"/>
  <c r="L170" i="57"/>
  <c r="L173" i="57" s="1"/>
  <c r="P264" i="44"/>
  <c r="M61" i="108" s="1"/>
  <c r="Q240" i="44"/>
  <c r="Q249" i="44"/>
  <c r="Q195" i="44"/>
  <c r="Q167" i="44" s="1"/>
  <c r="Q230" i="44"/>
  <c r="Q130" i="44"/>
  <c r="Q88" i="44"/>
  <c r="Q212" i="44"/>
  <c r="BN185" i="57" l="1"/>
  <c r="S170" i="57"/>
  <c r="BC167" i="57"/>
  <c r="BD167" i="57"/>
  <c r="BL164" i="57"/>
  <c r="DL164" i="57"/>
  <c r="CZ164" i="57"/>
  <c r="BM164" i="57"/>
  <c r="BB164" i="57"/>
  <c r="BJ164" i="57"/>
  <c r="DJ164" i="57"/>
  <c r="CX164" i="57"/>
  <c r="BK164" i="57"/>
  <c r="BQ164" i="57"/>
  <c r="BO179" i="57"/>
  <c r="DC179" i="57"/>
  <c r="AB170" i="57"/>
  <c r="BL167" i="57"/>
  <c r="DL167" i="57"/>
  <c r="CZ167" i="57"/>
  <c r="BM167" i="57"/>
  <c r="Z170" i="57"/>
  <c r="BJ167" i="57"/>
  <c r="CX167" i="57"/>
  <c r="DJ167" i="57"/>
  <c r="BK167" i="57"/>
  <c r="DQ170" i="57"/>
  <c r="DE170" i="57"/>
  <c r="DB182" i="57"/>
  <c r="R182" i="57"/>
  <c r="V170" i="57"/>
  <c r="BF167" i="57"/>
  <c r="BG167" i="57"/>
  <c r="Y173" i="57"/>
  <c r="BI170" i="57"/>
  <c r="CW170" i="57"/>
  <c r="AC191" i="57"/>
  <c r="CY182" i="57"/>
  <c r="BH173" i="57"/>
  <c r="DM173" i="57"/>
  <c r="DN173" i="57"/>
  <c r="DK173" i="57"/>
  <c r="BP164" i="57"/>
  <c r="DP164" i="57"/>
  <c r="DD164" i="57"/>
  <c r="DA185" i="57"/>
  <c r="CW167" i="57"/>
  <c r="BI167" i="57"/>
  <c r="BE176" i="57"/>
  <c r="CY185" i="57"/>
  <c r="BA161" i="57"/>
  <c r="BO176" i="57"/>
  <c r="DC176" i="57"/>
  <c r="BE173" i="57"/>
  <c r="BC352" i="57"/>
  <c r="BD352" i="57"/>
  <c r="BL352" i="57"/>
  <c r="DL352" i="57"/>
  <c r="CZ352" i="57"/>
  <c r="BM352" i="57"/>
  <c r="BJ352" i="57"/>
  <c r="DJ352" i="57"/>
  <c r="CX352" i="57"/>
  <c r="BK352" i="57"/>
  <c r="AF167" i="57"/>
  <c r="BY200" i="57"/>
  <c r="CU200" i="57"/>
  <c r="DH200" i="57" s="1"/>
  <c r="T176" i="57"/>
  <c r="DQ352" i="57"/>
  <c r="DE352" i="57"/>
  <c r="BN357" i="57"/>
  <c r="AP357" i="57"/>
  <c r="BF351" i="57"/>
  <c r="V173" i="57"/>
  <c r="BG351" i="57"/>
  <c r="AY206" i="57"/>
  <c r="I212" i="57"/>
  <c r="AY364" i="57"/>
  <c r="AA188" i="57"/>
  <c r="AG173" i="57"/>
  <c r="AX206" i="57"/>
  <c r="F212" i="57"/>
  <c r="AX364" i="57"/>
  <c r="N182" i="57"/>
  <c r="AX215" i="57"/>
  <c r="F221" i="57"/>
  <c r="AX367" i="57"/>
  <c r="BO355" i="57"/>
  <c r="DC355" i="57"/>
  <c r="BZ200" i="57"/>
  <c r="CV200" i="57"/>
  <c r="DI200" i="57" s="1"/>
  <c r="AD188" i="57"/>
  <c r="U182" i="57"/>
  <c r="AC194" i="57"/>
  <c r="BL351" i="57"/>
  <c r="DL351" i="57"/>
  <c r="CZ351" i="57"/>
  <c r="AN351" i="57"/>
  <c r="AB173" i="57"/>
  <c r="BM351" i="57"/>
  <c r="AO351" i="57"/>
  <c r="K179" i="57"/>
  <c r="AE182" i="57"/>
  <c r="BC351" i="57"/>
  <c r="S173" i="57"/>
  <c r="BD351" i="57"/>
  <c r="L176" i="57"/>
  <c r="BF352" i="57"/>
  <c r="BG352" i="57"/>
  <c r="DJ351" i="57"/>
  <c r="BJ351" i="57"/>
  <c r="CX351" i="57"/>
  <c r="AL351" i="57"/>
  <c r="Z173" i="57"/>
  <c r="AM351" i="57"/>
  <c r="BK351" i="57"/>
  <c r="M191" i="57"/>
  <c r="R185" i="57"/>
  <c r="AZ349" i="57"/>
  <c r="BB351" i="57"/>
  <c r="BA349" i="57"/>
  <c r="W185" i="57"/>
  <c r="O182" i="57"/>
  <c r="AY215" i="57"/>
  <c r="I221" i="57"/>
  <c r="AY367" i="57"/>
  <c r="Q170" i="57"/>
  <c r="AF170" i="57"/>
  <c r="CU209" i="57"/>
  <c r="DH209" i="57" s="1"/>
  <c r="BY209" i="57"/>
  <c r="CW352" i="57"/>
  <c r="BI352" i="57"/>
  <c r="Y176" i="57"/>
  <c r="X176" i="57"/>
  <c r="DO176" i="57" s="1"/>
  <c r="P164" i="57"/>
  <c r="P167" i="57" s="1"/>
  <c r="AZ167" i="57" s="1"/>
  <c r="BZ209" i="57"/>
  <c r="CV209" i="57"/>
  <c r="DI209" i="57" s="1"/>
  <c r="Q222" i="44"/>
  <c r="Q131" i="44"/>
  <c r="Q98" i="44"/>
  <c r="Q101" i="44" s="1"/>
  <c r="Q213" i="44"/>
  <c r="Q165" i="44"/>
  <c r="Q172" i="44" s="1"/>
  <c r="Q174" i="44" s="1"/>
  <c r="Q92" i="44"/>
  <c r="BQ352" i="57" l="1"/>
  <c r="BP170" i="57"/>
  <c r="DP170" i="57"/>
  <c r="DD170" i="57"/>
  <c r="R188" i="57"/>
  <c r="CZ173" i="57"/>
  <c r="BL173" i="57"/>
  <c r="DL173" i="57"/>
  <c r="BM173" i="57"/>
  <c r="BC170" i="57"/>
  <c r="BD170" i="57"/>
  <c r="Q173" i="57"/>
  <c r="BB170" i="57"/>
  <c r="DP167" i="57"/>
  <c r="DD167" i="57"/>
  <c r="BP167" i="57"/>
  <c r="BQ167" i="57"/>
  <c r="CW173" i="57"/>
  <c r="BI173" i="57"/>
  <c r="BF170" i="57"/>
  <c r="BG170" i="57"/>
  <c r="BO182" i="57"/>
  <c r="DC182" i="57"/>
  <c r="BQ170" i="57"/>
  <c r="X179" i="57"/>
  <c r="BH176" i="57"/>
  <c r="DM176" i="57"/>
  <c r="DN176" i="57"/>
  <c r="DK176" i="57"/>
  <c r="BC173" i="57"/>
  <c r="DQ173" i="57"/>
  <c r="DE173" i="57"/>
  <c r="V176" i="57"/>
  <c r="BF173" i="57"/>
  <c r="BG173" i="57"/>
  <c r="DJ170" i="57"/>
  <c r="BJ170" i="57"/>
  <c r="CX170" i="57"/>
  <c r="BK170" i="57"/>
  <c r="BD173" i="57"/>
  <c r="CW176" i="57"/>
  <c r="BI176" i="57"/>
  <c r="DJ173" i="57"/>
  <c r="CX173" i="57"/>
  <c r="BJ173" i="57"/>
  <c r="BK173" i="57"/>
  <c r="DL170" i="57"/>
  <c r="CZ170" i="57"/>
  <c r="BL170" i="57"/>
  <c r="BM170" i="57"/>
  <c r="DB357" i="57"/>
  <c r="BA167" i="57"/>
  <c r="U185" i="57"/>
  <c r="BA164" i="57"/>
  <c r="DB185" i="57"/>
  <c r="AD191" i="57"/>
  <c r="BN188" i="57"/>
  <c r="BZ367" i="57"/>
  <c r="CV367" i="57"/>
  <c r="DI367" i="57" s="1"/>
  <c r="CU364" i="57"/>
  <c r="DH364" i="57" s="1"/>
  <c r="BY364" i="57"/>
  <c r="AX212" i="57"/>
  <c r="AX366" i="57"/>
  <c r="F218" i="57"/>
  <c r="CW354" i="57"/>
  <c r="BI354" i="57"/>
  <c r="AK354" i="57"/>
  <c r="CV215" i="57"/>
  <c r="DI215" i="57" s="1"/>
  <c r="BZ215" i="57"/>
  <c r="R191" i="57"/>
  <c r="BF354" i="57"/>
  <c r="BG354" i="57"/>
  <c r="BY206" i="57"/>
  <c r="CU206" i="57"/>
  <c r="DH206" i="57" s="1"/>
  <c r="BN358" i="57"/>
  <c r="AD194" i="57"/>
  <c r="AY221" i="57"/>
  <c r="AY369" i="57"/>
  <c r="I227" i="57"/>
  <c r="BH355" i="57"/>
  <c r="DN355" i="57"/>
  <c r="DM355" i="57"/>
  <c r="DK355" i="57"/>
  <c r="BY367" i="57"/>
  <c r="CU367" i="57"/>
  <c r="DH367" i="57" s="1"/>
  <c r="Y179" i="57"/>
  <c r="DA357" i="57"/>
  <c r="AX221" i="57"/>
  <c r="AX369" i="57"/>
  <c r="F227" i="57"/>
  <c r="V179" i="57"/>
  <c r="AA191" i="57"/>
  <c r="AZ351" i="57"/>
  <c r="AZ164" i="57"/>
  <c r="P170" i="57"/>
  <c r="K182" i="57"/>
  <c r="K185" i="57" s="1"/>
  <c r="W188" i="57"/>
  <c r="CY188" i="57" s="1"/>
  <c r="BY215" i="57"/>
  <c r="CU215" i="57"/>
  <c r="DH215" i="57" s="1"/>
  <c r="BZ364" i="57"/>
  <c r="CV364" i="57"/>
  <c r="DI364" i="57" s="1"/>
  <c r="BP351" i="57"/>
  <c r="DP351" i="57"/>
  <c r="DD351" i="57"/>
  <c r="AR351" i="57"/>
  <c r="AF173" i="57"/>
  <c r="BQ351" i="57"/>
  <c r="AS351" i="57"/>
  <c r="AB176" i="57"/>
  <c r="S176" i="57"/>
  <c r="BP352" i="57"/>
  <c r="DP352" i="57"/>
  <c r="DD352" i="57"/>
  <c r="BA351" i="57"/>
  <c r="U188" i="57"/>
  <c r="O185" i="57"/>
  <c r="AY212" i="57"/>
  <c r="AY366" i="57"/>
  <c r="I218" i="57"/>
  <c r="CY357" i="57"/>
  <c r="L179" i="57"/>
  <c r="L182" i="57" s="1"/>
  <c r="BH354" i="57"/>
  <c r="AJ354" i="57"/>
  <c r="X182" i="57"/>
  <c r="DN354" i="57"/>
  <c r="DM354" i="57"/>
  <c r="DK354" i="57"/>
  <c r="DO354" i="57"/>
  <c r="BA352" i="57"/>
  <c r="Q176" i="57"/>
  <c r="BB352" i="57"/>
  <c r="BE354" i="57"/>
  <c r="AE185" i="57"/>
  <c r="CV206" i="57"/>
  <c r="DI206" i="57" s="1"/>
  <c r="BZ206" i="57"/>
  <c r="T179" i="57"/>
  <c r="AG176" i="57"/>
  <c r="N185" i="57"/>
  <c r="N188" i="57" s="1"/>
  <c r="Z176" i="57"/>
  <c r="AC197" i="57"/>
  <c r="M194" i="57"/>
  <c r="Q221" i="44"/>
  <c r="Q223" i="44" s="1"/>
  <c r="Q103" i="44"/>
  <c r="Q105" i="44" s="1"/>
  <c r="Q211" i="44"/>
  <c r="Q129" i="44"/>
  <c r="Q133" i="44" s="1"/>
  <c r="BF176" i="57" l="1"/>
  <c r="BG176" i="57"/>
  <c r="AE188" i="57"/>
  <c r="DC185" i="57"/>
  <c r="BO185" i="57"/>
  <c r="DP173" i="57"/>
  <c r="DD173" i="57"/>
  <c r="BP173" i="57"/>
  <c r="P173" i="57"/>
  <c r="AZ170" i="57"/>
  <c r="DB188" i="57"/>
  <c r="DO355" i="57"/>
  <c r="BH179" i="57"/>
  <c r="DN179" i="57"/>
  <c r="DM179" i="57"/>
  <c r="DK179" i="57"/>
  <c r="DO179" i="57"/>
  <c r="BH182" i="57"/>
  <c r="DM182" i="57"/>
  <c r="DN182" i="57"/>
  <c r="DK182" i="57"/>
  <c r="CY358" i="57"/>
  <c r="DA188" i="57"/>
  <c r="CW179" i="57"/>
  <c r="BI179" i="57"/>
  <c r="R194" i="57"/>
  <c r="BN191" i="57"/>
  <c r="BQ173" i="57"/>
  <c r="AG179" i="57"/>
  <c r="DQ176" i="57"/>
  <c r="DE176" i="57"/>
  <c r="BB176" i="57"/>
  <c r="BD354" i="57"/>
  <c r="BC176" i="57"/>
  <c r="BF179" i="57"/>
  <c r="BG179" i="57"/>
  <c r="BN194" i="57"/>
  <c r="BD176" i="57"/>
  <c r="BA170" i="57"/>
  <c r="DJ176" i="57"/>
  <c r="BJ176" i="57"/>
  <c r="CX176" i="57"/>
  <c r="BK176" i="57"/>
  <c r="T182" i="57"/>
  <c r="BE179" i="57"/>
  <c r="AB179" i="57"/>
  <c r="BL176" i="57"/>
  <c r="DL176" i="57"/>
  <c r="CZ176" i="57"/>
  <c r="BM176" i="57"/>
  <c r="DO182" i="57"/>
  <c r="BA173" i="57"/>
  <c r="BB173" i="57"/>
  <c r="DB358" i="57"/>
  <c r="W191" i="57"/>
  <c r="AF176" i="57"/>
  <c r="BO358" i="57"/>
  <c r="DC358" i="57"/>
  <c r="DQ355" i="57"/>
  <c r="DE355" i="57"/>
  <c r="BP354" i="57"/>
  <c r="DP354" i="57"/>
  <c r="DD354" i="57"/>
  <c r="CU369" i="57"/>
  <c r="DH369" i="57" s="1"/>
  <c r="BY369" i="57"/>
  <c r="AY227" i="57"/>
  <c r="I233" i="57"/>
  <c r="BN360" i="57"/>
  <c r="AP360" i="57"/>
  <c r="R197" i="57"/>
  <c r="BF355" i="57"/>
  <c r="BG355" i="57"/>
  <c r="CU221" i="57"/>
  <c r="DH221" i="57" s="1"/>
  <c r="BY221" i="57"/>
  <c r="BZ369" i="57"/>
  <c r="CV369" i="57"/>
  <c r="DI369" i="57" s="1"/>
  <c r="BL355" i="57"/>
  <c r="DL355" i="57"/>
  <c r="CZ355" i="57"/>
  <c r="BM355" i="57"/>
  <c r="AX218" i="57"/>
  <c r="F224" i="57"/>
  <c r="BB354" i="57"/>
  <c r="Q179" i="57"/>
  <c r="CV221" i="57"/>
  <c r="DI221" i="57" s="1"/>
  <c r="BZ221" i="57"/>
  <c r="BY366" i="57"/>
  <c r="CU366" i="57"/>
  <c r="DH366" i="57" s="1"/>
  <c r="AA194" i="57"/>
  <c r="BY212" i="57"/>
  <c r="CU212" i="57"/>
  <c r="DH212" i="57" s="1"/>
  <c r="AX227" i="57"/>
  <c r="F233" i="57"/>
  <c r="DJ354" i="57"/>
  <c r="BJ354" i="57"/>
  <c r="CX354" i="57"/>
  <c r="AL354" i="57"/>
  <c r="BK354" i="57"/>
  <c r="AM354" i="57"/>
  <c r="AC200" i="57"/>
  <c r="O188" i="57"/>
  <c r="M197" i="57"/>
  <c r="M200" i="57" s="1"/>
  <c r="T185" i="57"/>
  <c r="BE185" i="57" s="1"/>
  <c r="BE355" i="57"/>
  <c r="BZ212" i="57"/>
  <c r="CV212" i="57"/>
  <c r="DI212" i="57" s="1"/>
  <c r="L185" i="57"/>
  <c r="BO357" i="57"/>
  <c r="DC357" i="57"/>
  <c r="AQ357" i="57"/>
  <c r="AE191" i="57"/>
  <c r="N191" i="57"/>
  <c r="AY218" i="57"/>
  <c r="I224" i="57"/>
  <c r="BC354" i="57"/>
  <c r="W194" i="57"/>
  <c r="DB194" i="57" s="1"/>
  <c r="DA358" i="57"/>
  <c r="AZ352" i="57"/>
  <c r="P176" i="57"/>
  <c r="AZ176" i="57" s="1"/>
  <c r="CW355" i="57"/>
  <c r="BI355" i="57"/>
  <c r="U191" i="57"/>
  <c r="Y182" i="57"/>
  <c r="Z179" i="57"/>
  <c r="BQ354" i="57"/>
  <c r="DQ354" i="57"/>
  <c r="DE354" i="57"/>
  <c r="AS354" i="57"/>
  <c r="AG182" i="57"/>
  <c r="CV366" i="57"/>
  <c r="DI366" i="57" s="1"/>
  <c r="BZ366" i="57"/>
  <c r="BL354" i="57"/>
  <c r="CZ354" i="57"/>
  <c r="DL354" i="57"/>
  <c r="AN354" i="57"/>
  <c r="AB182" i="57"/>
  <c r="AO354" i="57"/>
  <c r="BM354" i="57"/>
  <c r="K188" i="57"/>
  <c r="X185" i="57"/>
  <c r="DO185" i="57" s="1"/>
  <c r="V182" i="57"/>
  <c r="S179" i="57"/>
  <c r="AD197" i="57"/>
  <c r="Q215" i="44"/>
  <c r="Q247" i="44" s="1"/>
  <c r="Q107" i="44"/>
  <c r="Q109" i="44" s="1"/>
  <c r="Q258" i="44" s="1"/>
  <c r="R169" i="44"/>
  <c r="AR354" i="57" l="1"/>
  <c r="BP176" i="57"/>
  <c r="DP176" i="57"/>
  <c r="DD176" i="57"/>
  <c r="BO191" i="57"/>
  <c r="DC191" i="57"/>
  <c r="CZ179" i="57"/>
  <c r="BL179" i="57"/>
  <c r="DL179" i="57"/>
  <c r="BM179" i="57"/>
  <c r="BD179" i="57"/>
  <c r="BA176" i="57"/>
  <c r="W197" i="57"/>
  <c r="DA194" i="57"/>
  <c r="DA191" i="57"/>
  <c r="BE182" i="57"/>
  <c r="U194" i="57"/>
  <c r="CY194" i="57"/>
  <c r="BN197" i="57"/>
  <c r="BO188" i="57"/>
  <c r="DC188" i="57"/>
  <c r="AC203" i="57"/>
  <c r="BI182" i="57"/>
  <c r="CW182" i="57"/>
  <c r="AG185" i="57"/>
  <c r="DQ182" i="57"/>
  <c r="DE182" i="57"/>
  <c r="AB185" i="57"/>
  <c r="DL182" i="57"/>
  <c r="CZ182" i="57"/>
  <c r="BL182" i="57"/>
  <c r="BM182" i="57"/>
  <c r="BB179" i="57"/>
  <c r="CY191" i="57"/>
  <c r="BQ176" i="57"/>
  <c r="DB191" i="57"/>
  <c r="Z182" i="57"/>
  <c r="BJ179" i="57"/>
  <c r="CX179" i="57"/>
  <c r="DJ179" i="57"/>
  <c r="BK179" i="57"/>
  <c r="BD355" i="57"/>
  <c r="BC179" i="57"/>
  <c r="BF182" i="57"/>
  <c r="BG182" i="57"/>
  <c r="BH185" i="57"/>
  <c r="DK185" i="57"/>
  <c r="DN185" i="57"/>
  <c r="DM185" i="57"/>
  <c r="R200" i="57"/>
  <c r="DE179" i="57"/>
  <c r="DQ179" i="57"/>
  <c r="AZ173" i="57"/>
  <c r="S182" i="57"/>
  <c r="BD182" i="57" s="1"/>
  <c r="Y185" i="57"/>
  <c r="AF179" i="57"/>
  <c r="BL357" i="57"/>
  <c r="DL357" i="57"/>
  <c r="CZ357" i="57"/>
  <c r="AN357" i="57"/>
  <c r="BM357" i="57"/>
  <c r="AO357" i="57"/>
  <c r="DA361" i="57"/>
  <c r="DQ357" i="57"/>
  <c r="DE357" i="57"/>
  <c r="BH357" i="57"/>
  <c r="AJ357" i="57"/>
  <c r="DM357" i="57"/>
  <c r="DK357" i="57"/>
  <c r="DN357" i="57"/>
  <c r="BI357" i="57"/>
  <c r="CY360" i="57"/>
  <c r="AA197" i="57"/>
  <c r="V185" i="57"/>
  <c r="DB360" i="57"/>
  <c r="BB355" i="57"/>
  <c r="AE194" i="57"/>
  <c r="AY233" i="57"/>
  <c r="I239" i="57"/>
  <c r="AY373" i="57"/>
  <c r="X188" i="57"/>
  <c r="BN361" i="57"/>
  <c r="DB361" i="57"/>
  <c r="DJ355" i="57"/>
  <c r="BJ355" i="57"/>
  <c r="CX355" i="57"/>
  <c r="Z185" i="57"/>
  <c r="BK355" i="57"/>
  <c r="AZ354" i="57"/>
  <c r="DO357" i="57"/>
  <c r="P179" i="57"/>
  <c r="AZ179" i="57" s="1"/>
  <c r="BE357" i="57"/>
  <c r="K191" i="57"/>
  <c r="K194" i="57" s="1"/>
  <c r="Q182" i="57"/>
  <c r="R203" i="57"/>
  <c r="CV227" i="57"/>
  <c r="DI227" i="57" s="1"/>
  <c r="BZ227" i="57"/>
  <c r="AY224" i="57"/>
  <c r="I230" i="57"/>
  <c r="AY370" i="57"/>
  <c r="AC206" i="57"/>
  <c r="AX233" i="57"/>
  <c r="F239" i="57"/>
  <c r="AX373" i="57"/>
  <c r="BA354" i="57"/>
  <c r="O191" i="57"/>
  <c r="O194" i="57" s="1"/>
  <c r="BC355" i="57"/>
  <c r="S185" i="57"/>
  <c r="Y188" i="57"/>
  <c r="CV218" i="57"/>
  <c r="DI218" i="57" s="1"/>
  <c r="BZ218" i="57"/>
  <c r="BY227" i="57"/>
  <c r="CU227" i="57"/>
  <c r="DH227" i="57" s="1"/>
  <c r="BP355" i="57"/>
  <c r="DP355" i="57"/>
  <c r="AX224" i="57"/>
  <c r="F230" i="57"/>
  <c r="AX370" i="57"/>
  <c r="AD200" i="57"/>
  <c r="L188" i="57"/>
  <c r="W200" i="57"/>
  <c r="DA360" i="57"/>
  <c r="AB188" i="57"/>
  <c r="AG188" i="57"/>
  <c r="U197" i="57"/>
  <c r="M203" i="57"/>
  <c r="M206" i="57" s="1"/>
  <c r="N194" i="57"/>
  <c r="N197" i="57" s="1"/>
  <c r="BY218" i="57"/>
  <c r="CU218" i="57"/>
  <c r="DH218" i="57" s="1"/>
  <c r="T188" i="57"/>
  <c r="Q141" i="44"/>
  <c r="Q143" i="44" s="1"/>
  <c r="Q156" i="44" s="1"/>
  <c r="Q157" i="44" s="1"/>
  <c r="Q257" i="44"/>
  <c r="Q263" i="44" s="1"/>
  <c r="Q229" i="44"/>
  <c r="Q234" i="44" s="1"/>
  <c r="Q220" i="44"/>
  <c r="Q225" i="44" s="1"/>
  <c r="Q111" i="44"/>
  <c r="Q248" i="44"/>
  <c r="CZ185" i="57" l="1"/>
  <c r="BL185" i="57"/>
  <c r="DL185" i="57"/>
  <c r="BM185" i="57"/>
  <c r="CW188" i="57"/>
  <c r="BI188" i="57"/>
  <c r="AE197" i="57"/>
  <c r="BO194" i="57"/>
  <c r="DC194" i="57"/>
  <c r="BJ182" i="57"/>
  <c r="DJ182" i="57"/>
  <c r="CX182" i="57"/>
  <c r="BK182" i="57"/>
  <c r="DA197" i="57"/>
  <c r="V188" i="57"/>
  <c r="BF185" i="57"/>
  <c r="BG185" i="57"/>
  <c r="DD355" i="57"/>
  <c r="BP179" i="57"/>
  <c r="DP179" i="57"/>
  <c r="DD179" i="57"/>
  <c r="DB197" i="57"/>
  <c r="BC185" i="57"/>
  <c r="R206" i="57"/>
  <c r="AK357" i="57"/>
  <c r="CW185" i="57"/>
  <c r="BI185" i="57"/>
  <c r="AD203" i="57"/>
  <c r="DB200" i="57"/>
  <c r="BN200" i="57"/>
  <c r="AC209" i="57"/>
  <c r="Q185" i="57"/>
  <c r="BB182" i="57"/>
  <c r="X191" i="57"/>
  <c r="BH188" i="57"/>
  <c r="DM188" i="57"/>
  <c r="DK188" i="57"/>
  <c r="DN188" i="57"/>
  <c r="CY197" i="57"/>
  <c r="BQ179" i="57"/>
  <c r="DQ185" i="57"/>
  <c r="DE185" i="57"/>
  <c r="BL188" i="57"/>
  <c r="DL188" i="57"/>
  <c r="CZ188" i="57"/>
  <c r="BM188" i="57"/>
  <c r="Z188" i="57"/>
  <c r="DJ185" i="57"/>
  <c r="BJ185" i="57"/>
  <c r="CX185" i="57"/>
  <c r="BK185" i="57"/>
  <c r="BE188" i="57"/>
  <c r="DQ188" i="57"/>
  <c r="DE188" i="57"/>
  <c r="BC182" i="57"/>
  <c r="BA179" i="57"/>
  <c r="DA200" i="57"/>
  <c r="DO188" i="57"/>
  <c r="BD185" i="57"/>
  <c r="AF182" i="57"/>
  <c r="AF185" i="57"/>
  <c r="BQ185" i="57" s="1"/>
  <c r="CW357" i="57"/>
  <c r="BQ355" i="57"/>
  <c r="Y191" i="57"/>
  <c r="BN363" i="57"/>
  <c r="AP363" i="57"/>
  <c r="AZ355" i="57"/>
  <c r="BO361" i="57"/>
  <c r="DC361" i="57"/>
  <c r="BL358" i="57"/>
  <c r="DL358" i="57"/>
  <c r="CZ358" i="57"/>
  <c r="BM358" i="57"/>
  <c r="BZ373" i="57"/>
  <c r="CV373" i="57"/>
  <c r="DI373" i="57" s="1"/>
  <c r="BC357" i="57"/>
  <c r="BF358" i="57"/>
  <c r="BG358" i="57"/>
  <c r="P182" i="57"/>
  <c r="BA182" i="57" s="1"/>
  <c r="AY239" i="57"/>
  <c r="AY375" i="57"/>
  <c r="I245" i="57"/>
  <c r="BF357" i="57"/>
  <c r="V191" i="57"/>
  <c r="BG357" i="57"/>
  <c r="O197" i="57"/>
  <c r="CV233" i="57"/>
  <c r="DI233" i="57" s="1"/>
  <c r="BZ233" i="57"/>
  <c r="BO360" i="57"/>
  <c r="DC360" i="57"/>
  <c r="AQ360" i="57"/>
  <c r="AE200" i="57"/>
  <c r="AB191" i="57"/>
  <c r="BH358" i="57"/>
  <c r="X194" i="57"/>
  <c r="DM358" i="57"/>
  <c r="DK358" i="57"/>
  <c r="DN358" i="57"/>
  <c r="DO358" i="57"/>
  <c r="BE358" i="57"/>
  <c r="BY370" i="57"/>
  <c r="CU370" i="57"/>
  <c r="DH370" i="57" s="1"/>
  <c r="R209" i="57"/>
  <c r="BY233" i="57"/>
  <c r="CU233" i="57"/>
  <c r="DH233" i="57" s="1"/>
  <c r="AD206" i="57"/>
  <c r="AX230" i="57"/>
  <c r="AX372" i="57"/>
  <c r="F236" i="57"/>
  <c r="AC212" i="57"/>
  <c r="BB357" i="57"/>
  <c r="BJ358" i="57"/>
  <c r="DJ358" i="57"/>
  <c r="CX358" i="57"/>
  <c r="BK358" i="57"/>
  <c r="CY361" i="57"/>
  <c r="W203" i="57"/>
  <c r="DA203" i="57" s="1"/>
  <c r="M209" i="57"/>
  <c r="DQ358" i="57"/>
  <c r="DE358" i="57"/>
  <c r="CU224" i="57"/>
  <c r="DH224" i="57" s="1"/>
  <c r="BY224" i="57"/>
  <c r="CW358" i="57"/>
  <c r="BI358" i="57"/>
  <c r="Y194" i="57"/>
  <c r="BY373" i="57"/>
  <c r="CU373" i="57"/>
  <c r="DH373" i="57" s="1"/>
  <c r="CV370" i="57"/>
  <c r="DI370" i="57" s="1"/>
  <c r="BZ370" i="57"/>
  <c r="Q188" i="57"/>
  <c r="T191" i="57"/>
  <c r="U200" i="57"/>
  <c r="BA355" i="57"/>
  <c r="AG191" i="57"/>
  <c r="BZ224" i="57"/>
  <c r="CV224" i="57"/>
  <c r="DI224" i="57" s="1"/>
  <c r="S188" i="57"/>
  <c r="BD188" i="57" s="1"/>
  <c r="N200" i="57"/>
  <c r="N203" i="57" s="1"/>
  <c r="L191" i="57"/>
  <c r="L194" i="57" s="1"/>
  <c r="AX239" i="57"/>
  <c r="AX375" i="57"/>
  <c r="F245" i="57"/>
  <c r="AY230" i="57"/>
  <c r="AY372" i="57"/>
  <c r="I236" i="57"/>
  <c r="K197" i="57"/>
  <c r="K200" i="57" s="1"/>
  <c r="BD357" i="57"/>
  <c r="BJ357" i="57"/>
  <c r="DJ357" i="57"/>
  <c r="CX357" i="57"/>
  <c r="AL357" i="57"/>
  <c r="Z191" i="57"/>
  <c r="AM357" i="57"/>
  <c r="BK357" i="57"/>
  <c r="AA200" i="57"/>
  <c r="AS357" i="57"/>
  <c r="D95" i="98"/>
  <c r="Q226" i="44"/>
  <c r="N55" i="108" s="1"/>
  <c r="Q253" i="44"/>
  <c r="Q254" i="44" s="1"/>
  <c r="N60" i="108" s="1"/>
  <c r="Q235" i="44"/>
  <c r="Q160" i="44"/>
  <c r="Q161" i="44" s="1"/>
  <c r="D99" i="98"/>
  <c r="Q264" i="44"/>
  <c r="N61" i="108" s="1"/>
  <c r="N56" i="108" l="1"/>
  <c r="CX191" i="57"/>
  <c r="BJ191" i="57"/>
  <c r="DJ191" i="57"/>
  <c r="BK191" i="57"/>
  <c r="X197" i="57"/>
  <c r="BH194" i="57"/>
  <c r="DM194" i="57"/>
  <c r="DN194" i="57"/>
  <c r="DK194" i="57"/>
  <c r="CW191" i="57"/>
  <c r="BI191" i="57"/>
  <c r="DP182" i="57"/>
  <c r="DD182" i="57"/>
  <c r="BP182" i="57"/>
  <c r="BQ182" i="57"/>
  <c r="BN203" i="57"/>
  <c r="DB203" i="57"/>
  <c r="BF188" i="57"/>
  <c r="BG188" i="57"/>
  <c r="DO194" i="57"/>
  <c r="DQ191" i="57"/>
  <c r="DE191" i="57"/>
  <c r="CZ191" i="57"/>
  <c r="BL191" i="57"/>
  <c r="DL191" i="57"/>
  <c r="BM191" i="57"/>
  <c r="BJ188" i="57"/>
  <c r="CX188" i="57"/>
  <c r="DJ188" i="57"/>
  <c r="BK188" i="57"/>
  <c r="BB185" i="57"/>
  <c r="BO197" i="57"/>
  <c r="DO197" i="57"/>
  <c r="DC197" i="57"/>
  <c r="AZ182" i="57"/>
  <c r="CY200" i="57"/>
  <c r="U203" i="57"/>
  <c r="AD209" i="57"/>
  <c r="BN206" i="57"/>
  <c r="AE203" i="57"/>
  <c r="DC200" i="57"/>
  <c r="BO200" i="57"/>
  <c r="BQ357" i="57"/>
  <c r="DD185" i="57"/>
  <c r="BP185" i="57"/>
  <c r="DP185" i="57"/>
  <c r="BD191" i="57"/>
  <c r="BE191" i="57"/>
  <c r="BI194" i="57"/>
  <c r="CW194" i="57"/>
  <c r="AC215" i="57"/>
  <c r="BF191" i="57"/>
  <c r="BG191" i="57"/>
  <c r="BD358" i="57"/>
  <c r="BC188" i="57"/>
  <c r="BB188" i="57"/>
  <c r="R212" i="57"/>
  <c r="BH191" i="57"/>
  <c r="DM191" i="57"/>
  <c r="DK191" i="57"/>
  <c r="DN191" i="57"/>
  <c r="DO191" i="57"/>
  <c r="AR357" i="57"/>
  <c r="DD357" i="57"/>
  <c r="BP357" i="57"/>
  <c r="AF188" i="57"/>
  <c r="T194" i="57"/>
  <c r="V194" i="57"/>
  <c r="DP357" i="57"/>
  <c r="BO363" i="57"/>
  <c r="DC363" i="57"/>
  <c r="AQ363" i="57"/>
  <c r="BF360" i="57"/>
  <c r="BZ372" i="57"/>
  <c r="CV372" i="57"/>
  <c r="DI372" i="57" s="1"/>
  <c r="BZ239" i="57"/>
  <c r="CV239" i="57"/>
  <c r="DI239" i="57" s="1"/>
  <c r="AY236" i="57"/>
  <c r="I242" i="57"/>
  <c r="BB358" i="57"/>
  <c r="R215" i="57"/>
  <c r="BH360" i="57"/>
  <c r="AJ360" i="57"/>
  <c r="X200" i="57"/>
  <c r="DM360" i="57"/>
  <c r="DN360" i="57"/>
  <c r="DK360" i="57"/>
  <c r="AX245" i="57"/>
  <c r="F251" i="57"/>
  <c r="Q191" i="57"/>
  <c r="AX236" i="57"/>
  <c r="F242" i="57"/>
  <c r="BE360" i="57"/>
  <c r="S191" i="57"/>
  <c r="BH361" i="57"/>
  <c r="DM361" i="57"/>
  <c r="DN361" i="57"/>
  <c r="BY375" i="57"/>
  <c r="CU375" i="57"/>
  <c r="DH375" i="57" s="1"/>
  <c r="DA363" i="57"/>
  <c r="CU372" i="57"/>
  <c r="DH372" i="57" s="1"/>
  <c r="BY372" i="57"/>
  <c r="AE206" i="57"/>
  <c r="CV230" i="57"/>
  <c r="DI230" i="57" s="1"/>
  <c r="BZ230" i="57"/>
  <c r="CU230" i="57"/>
  <c r="DH230" i="57" s="1"/>
  <c r="BY230" i="57"/>
  <c r="DO361" i="57"/>
  <c r="DB363" i="57"/>
  <c r="BC358" i="57"/>
  <c r="CW360" i="57"/>
  <c r="BI360" i="57"/>
  <c r="AK360" i="57"/>
  <c r="BZ375" i="57"/>
  <c r="CV375" i="57"/>
  <c r="DI375" i="57" s="1"/>
  <c r="L197" i="57"/>
  <c r="U206" i="57"/>
  <c r="AG194" i="57"/>
  <c r="Z194" i="57"/>
  <c r="BN364" i="57"/>
  <c r="AD212" i="57"/>
  <c r="BP358" i="57"/>
  <c r="DP358" i="57"/>
  <c r="DD358" i="57"/>
  <c r="AB194" i="57"/>
  <c r="M212" i="57"/>
  <c r="CU239" i="57"/>
  <c r="DH239" i="57" s="1"/>
  <c r="BY239" i="57"/>
  <c r="K203" i="57"/>
  <c r="K206" i="57" s="1"/>
  <c r="N206" i="57"/>
  <c r="N209" i="57" s="1"/>
  <c r="T197" i="57"/>
  <c r="AA203" i="57"/>
  <c r="AC218" i="57"/>
  <c r="DO360" i="57"/>
  <c r="Y197" i="57"/>
  <c r="AY245" i="57"/>
  <c r="I251" i="57"/>
  <c r="W206" i="57"/>
  <c r="P185" i="57"/>
  <c r="O200" i="57"/>
  <c r="O203" i="57" s="1"/>
  <c r="R155" i="44"/>
  <c r="BQ358" i="57" l="1"/>
  <c r="BP188" i="57"/>
  <c r="DP188" i="57"/>
  <c r="DD188" i="57"/>
  <c r="BQ188" i="57"/>
  <c r="BO203" i="57"/>
  <c r="DC203" i="57"/>
  <c r="BH200" i="57"/>
  <c r="DM200" i="57"/>
  <c r="DN200" i="57"/>
  <c r="P188" i="57"/>
  <c r="AZ185" i="57"/>
  <c r="BB191" i="57"/>
  <c r="BF194" i="57"/>
  <c r="BG194" i="57"/>
  <c r="BE194" i="57"/>
  <c r="AC221" i="57"/>
  <c r="DB364" i="57"/>
  <c r="DA206" i="57"/>
  <c r="R218" i="57"/>
  <c r="DB206" i="57"/>
  <c r="DK200" i="57"/>
  <c r="AA206" i="57"/>
  <c r="CY203" i="57"/>
  <c r="CW197" i="57"/>
  <c r="BI197" i="57"/>
  <c r="DJ194" i="57"/>
  <c r="BJ194" i="57"/>
  <c r="CX194" i="57"/>
  <c r="BK194" i="57"/>
  <c r="BN212" i="57"/>
  <c r="AB197" i="57"/>
  <c r="CZ194" i="57"/>
  <c r="BL194" i="57"/>
  <c r="DL194" i="57"/>
  <c r="BM194" i="57"/>
  <c r="AG197" i="57"/>
  <c r="DQ194" i="57"/>
  <c r="DE194" i="57"/>
  <c r="BC191" i="57"/>
  <c r="BO206" i="57"/>
  <c r="DC206" i="57"/>
  <c r="T200" i="57"/>
  <c r="BE197" i="57"/>
  <c r="U209" i="57"/>
  <c r="DO200" i="57"/>
  <c r="BN209" i="57"/>
  <c r="DB209" i="57"/>
  <c r="BA185" i="57"/>
  <c r="DK361" i="57"/>
  <c r="BH197" i="57"/>
  <c r="DM197" i="57"/>
  <c r="DN197" i="57"/>
  <c r="DK197" i="57"/>
  <c r="V197" i="57"/>
  <c r="AF191" i="57"/>
  <c r="S194" i="57"/>
  <c r="W209" i="57"/>
  <c r="BG360" i="57"/>
  <c r="X203" i="57"/>
  <c r="BL361" i="57"/>
  <c r="DL361" i="57"/>
  <c r="CZ361" i="57"/>
  <c r="BM361" i="57"/>
  <c r="AZ358" i="57"/>
  <c r="BA358" i="57"/>
  <c r="CW361" i="57"/>
  <c r="BI361" i="57"/>
  <c r="BN366" i="57"/>
  <c r="AP366" i="57"/>
  <c r="BF361" i="57"/>
  <c r="BG361" i="57"/>
  <c r="DQ361" i="57"/>
  <c r="DE361" i="57"/>
  <c r="S197" i="57"/>
  <c r="BD197" i="57" s="1"/>
  <c r="AY242" i="57"/>
  <c r="I248" i="57"/>
  <c r="AY376" i="57"/>
  <c r="CY363" i="57"/>
  <c r="AA209" i="57"/>
  <c r="AX242" i="57"/>
  <c r="F248" i="57"/>
  <c r="AX376" i="57"/>
  <c r="BZ236" i="57"/>
  <c r="CV236" i="57"/>
  <c r="DI236" i="57" s="1"/>
  <c r="CY364" i="57"/>
  <c r="AA212" i="57"/>
  <c r="BL360" i="57"/>
  <c r="DL360" i="57"/>
  <c r="CZ360" i="57"/>
  <c r="AN360" i="57"/>
  <c r="AB200" i="57"/>
  <c r="AO360" i="57"/>
  <c r="BM360" i="57"/>
  <c r="BY236" i="57"/>
  <c r="CU236" i="57"/>
  <c r="DH236" i="57" s="1"/>
  <c r="CU245" i="57"/>
  <c r="DH245" i="57" s="1"/>
  <c r="BY245" i="57"/>
  <c r="U212" i="57"/>
  <c r="R221" i="57"/>
  <c r="AC224" i="57"/>
  <c r="DJ360" i="57"/>
  <c r="BJ360" i="57"/>
  <c r="CX360" i="57"/>
  <c r="AL360" i="57"/>
  <c r="AM360" i="57"/>
  <c r="BK360" i="57"/>
  <c r="O206" i="57"/>
  <c r="O209" i="57" s="1"/>
  <c r="W212" i="57"/>
  <c r="DB212" i="57" s="1"/>
  <c r="DA364" i="57"/>
  <c r="DQ360" i="57"/>
  <c r="DE360" i="57"/>
  <c r="AG200" i="57"/>
  <c r="BO364" i="57"/>
  <c r="DC364" i="57"/>
  <c r="M215" i="57"/>
  <c r="L200" i="57"/>
  <c r="V200" i="57"/>
  <c r="AE209" i="57"/>
  <c r="CV245" i="57"/>
  <c r="DI245" i="57" s="1"/>
  <c r="BZ245" i="57"/>
  <c r="T203" i="57"/>
  <c r="BE361" i="57"/>
  <c r="Y200" i="57"/>
  <c r="N212" i="57"/>
  <c r="N215" i="57" s="1"/>
  <c r="AZ357" i="57"/>
  <c r="P191" i="57"/>
  <c r="AZ191" i="57" s="1"/>
  <c r="BA357" i="57"/>
  <c r="K209" i="57"/>
  <c r="K212" i="57" s="1"/>
  <c r="AY251" i="57"/>
  <c r="I257" i="57"/>
  <c r="AY379" i="57"/>
  <c r="BH363" i="57"/>
  <c r="DN363" i="57"/>
  <c r="AX251" i="57"/>
  <c r="F257" i="57"/>
  <c r="AX379" i="57"/>
  <c r="X206" i="57"/>
  <c r="Q194" i="57"/>
  <c r="Z197" i="57"/>
  <c r="AD215" i="57"/>
  <c r="R187" i="44"/>
  <c r="R159" i="44"/>
  <c r="BB194" i="57" l="1"/>
  <c r="AZ188" i="57"/>
  <c r="BA188" i="57"/>
  <c r="DO363" i="57"/>
  <c r="BH203" i="57"/>
  <c r="DM203" i="57"/>
  <c r="DN203" i="57"/>
  <c r="BE200" i="57"/>
  <c r="DQ197" i="57"/>
  <c r="DE197" i="57"/>
  <c r="BL197" i="57"/>
  <c r="DL197" i="57"/>
  <c r="CZ197" i="57"/>
  <c r="BM197" i="57"/>
  <c r="R224" i="57"/>
  <c r="DQ200" i="57"/>
  <c r="DE200" i="57"/>
  <c r="CY212" i="57"/>
  <c r="CY209" i="57"/>
  <c r="BD360" i="57"/>
  <c r="BC194" i="57"/>
  <c r="AE212" i="57"/>
  <c r="BO209" i="57"/>
  <c r="DC209" i="57"/>
  <c r="BI200" i="57"/>
  <c r="CW200" i="57"/>
  <c r="BF200" i="57"/>
  <c r="BG200" i="57"/>
  <c r="S200" i="57"/>
  <c r="BC197" i="57"/>
  <c r="DD191" i="57"/>
  <c r="BP191" i="57"/>
  <c r="DP191" i="57"/>
  <c r="BQ191" i="57"/>
  <c r="DK203" i="57"/>
  <c r="BD194" i="57"/>
  <c r="DO203" i="57"/>
  <c r="DK364" i="57"/>
  <c r="BH206" i="57"/>
  <c r="DM206" i="57"/>
  <c r="DN206" i="57"/>
  <c r="BN215" i="57"/>
  <c r="DA212" i="57"/>
  <c r="BL200" i="57"/>
  <c r="DL200" i="57"/>
  <c r="CZ200" i="57"/>
  <c r="BM200" i="57"/>
  <c r="BF197" i="57"/>
  <c r="BG197" i="57"/>
  <c r="DO206" i="57"/>
  <c r="BA191" i="57"/>
  <c r="CX197" i="57"/>
  <c r="DJ197" i="57"/>
  <c r="BJ197" i="57"/>
  <c r="BK197" i="57"/>
  <c r="DA209" i="57"/>
  <c r="BE203" i="57"/>
  <c r="CY206" i="57"/>
  <c r="DK206" i="57"/>
  <c r="DK363" i="57"/>
  <c r="DM363" i="57"/>
  <c r="BC360" i="57"/>
  <c r="AJ363" i="57"/>
  <c r="AF194" i="57"/>
  <c r="BD361" i="57"/>
  <c r="DJ361" i="57"/>
  <c r="BJ361" i="57"/>
  <c r="CX361" i="57"/>
  <c r="BK361" i="57"/>
  <c r="AX257" i="57"/>
  <c r="AX381" i="57"/>
  <c r="F263" i="57"/>
  <c r="BE363" i="57"/>
  <c r="DA366" i="57"/>
  <c r="BY376" i="57"/>
  <c r="CU376" i="57"/>
  <c r="DH376" i="57" s="1"/>
  <c r="BC361" i="57"/>
  <c r="S203" i="57"/>
  <c r="DB366" i="57"/>
  <c r="N218" i="57"/>
  <c r="N221" i="57" s="1"/>
  <c r="Z200" i="57"/>
  <c r="AX248" i="57"/>
  <c r="AX378" i="57"/>
  <c r="F254" i="57"/>
  <c r="BZ376" i="57"/>
  <c r="CV376" i="57"/>
  <c r="DI376" i="57" s="1"/>
  <c r="BN367" i="57"/>
  <c r="BZ379" i="57"/>
  <c r="CV379" i="57"/>
  <c r="DI379" i="57" s="1"/>
  <c r="O212" i="57"/>
  <c r="BY242" i="57"/>
  <c r="CU242" i="57"/>
  <c r="DH242" i="57" s="1"/>
  <c r="AY248" i="57"/>
  <c r="AY378" i="57"/>
  <c r="I254" i="57"/>
  <c r="AG203" i="57"/>
  <c r="V203" i="57"/>
  <c r="M218" i="57"/>
  <c r="AC227" i="57"/>
  <c r="BY379" i="57"/>
  <c r="CU379" i="57"/>
  <c r="DH379" i="57" s="1"/>
  <c r="AY257" i="57"/>
  <c r="AY381" i="57"/>
  <c r="I263" i="57"/>
  <c r="R227" i="57"/>
  <c r="T206" i="57"/>
  <c r="CV242" i="57"/>
  <c r="DI242" i="57" s="1"/>
  <c r="BZ242" i="57"/>
  <c r="BB360" i="57"/>
  <c r="BO366" i="57"/>
  <c r="DC366" i="57"/>
  <c r="AQ366" i="57"/>
  <c r="U215" i="57"/>
  <c r="AA215" i="57"/>
  <c r="Y203" i="57"/>
  <c r="P194" i="57"/>
  <c r="AZ194" i="57" s="1"/>
  <c r="K215" i="57"/>
  <c r="CY366" i="57"/>
  <c r="AD218" i="57"/>
  <c r="AB203" i="57"/>
  <c r="BY251" i="57"/>
  <c r="CU251" i="57"/>
  <c r="DH251" i="57" s="1"/>
  <c r="CV251" i="57"/>
  <c r="DI251" i="57" s="1"/>
  <c r="BZ251" i="57"/>
  <c r="BH364" i="57"/>
  <c r="DM364" i="57"/>
  <c r="DN364" i="57"/>
  <c r="X209" i="57"/>
  <c r="DO209" i="57" s="1"/>
  <c r="AE215" i="57"/>
  <c r="DO364" i="57"/>
  <c r="Q197" i="57"/>
  <c r="L203" i="57"/>
  <c r="L206" i="57" s="1"/>
  <c r="W215" i="57"/>
  <c r="DB215" i="57" s="1"/>
  <c r="R189" i="44"/>
  <c r="R251" i="44"/>
  <c r="R192" i="44"/>
  <c r="R232" i="44"/>
  <c r="R241" i="44"/>
  <c r="AE218" i="57" l="1"/>
  <c r="BO215" i="57"/>
  <c r="DC215" i="57"/>
  <c r="DK209" i="57"/>
  <c r="BF203" i="57"/>
  <c r="BG203" i="57"/>
  <c r="BD363" i="57"/>
  <c r="BC203" i="57"/>
  <c r="DP194" i="57"/>
  <c r="DD194" i="57"/>
  <c r="BP194" i="57"/>
  <c r="BQ194" i="57"/>
  <c r="BC200" i="57"/>
  <c r="AA218" i="57"/>
  <c r="CY215" i="57"/>
  <c r="T209" i="57"/>
  <c r="BE206" i="57"/>
  <c r="Z203" i="57"/>
  <c r="DJ200" i="57"/>
  <c r="CX200" i="57"/>
  <c r="BJ200" i="57"/>
  <c r="BK200" i="57"/>
  <c r="BD203" i="57"/>
  <c r="BH209" i="57"/>
  <c r="DM209" i="57"/>
  <c r="DN209" i="57"/>
  <c r="DQ203" i="57"/>
  <c r="DE203" i="57"/>
  <c r="BO212" i="57"/>
  <c r="DO212" i="57"/>
  <c r="DC212" i="57"/>
  <c r="BD200" i="57"/>
  <c r="BL203" i="57"/>
  <c r="DL203" i="57"/>
  <c r="CZ203" i="57"/>
  <c r="BM203" i="57"/>
  <c r="Q200" i="57"/>
  <c r="BB197" i="57"/>
  <c r="BA194" i="57"/>
  <c r="U218" i="57"/>
  <c r="BN218" i="57"/>
  <c r="DA215" i="57"/>
  <c r="Y206" i="57"/>
  <c r="CW203" i="57"/>
  <c r="BI203" i="57"/>
  <c r="AC230" i="57"/>
  <c r="AF197" i="57"/>
  <c r="BP360" i="57"/>
  <c r="AS360" i="57"/>
  <c r="DP360" i="57"/>
  <c r="AR360" i="57"/>
  <c r="AF200" i="57"/>
  <c r="DD360" i="57"/>
  <c r="BQ360" i="57"/>
  <c r="X212" i="57"/>
  <c r="S206" i="57"/>
  <c r="DJ363" i="57"/>
  <c r="BJ363" i="57"/>
  <c r="CX363" i="57"/>
  <c r="AL363" i="57"/>
  <c r="AM363" i="57"/>
  <c r="BK363" i="57"/>
  <c r="CW364" i="57"/>
  <c r="BI364" i="57"/>
  <c r="AZ360" i="57"/>
  <c r="BA360" i="57"/>
  <c r="AY263" i="57"/>
  <c r="I269" i="57"/>
  <c r="BF363" i="57"/>
  <c r="BG363" i="57"/>
  <c r="P197" i="57"/>
  <c r="BL363" i="57"/>
  <c r="DL363" i="57"/>
  <c r="CZ363" i="57"/>
  <c r="AN363" i="57"/>
  <c r="AO363" i="57"/>
  <c r="BM363" i="57"/>
  <c r="DA367" i="57"/>
  <c r="BH366" i="57"/>
  <c r="AJ366" i="57"/>
  <c r="DM366" i="57"/>
  <c r="DN366" i="57"/>
  <c r="BI363" i="57"/>
  <c r="CW363" i="57"/>
  <c r="AK363" i="57"/>
  <c r="Y209" i="57"/>
  <c r="CV381" i="57"/>
  <c r="DI381" i="57" s="1"/>
  <c r="BZ381" i="57"/>
  <c r="DQ363" i="57"/>
  <c r="DE363" i="57"/>
  <c r="W218" i="57"/>
  <c r="CV257" i="57"/>
  <c r="DI257" i="57" s="1"/>
  <c r="BZ257" i="57"/>
  <c r="AY254" i="57"/>
  <c r="I260" i="57"/>
  <c r="V206" i="57"/>
  <c r="AB206" i="57"/>
  <c r="CV378" i="57"/>
  <c r="DI378" i="57" s="1"/>
  <c r="BZ378" i="57"/>
  <c r="K218" i="57"/>
  <c r="K221" i="57" s="1"/>
  <c r="AX254" i="57"/>
  <c r="F260" i="57"/>
  <c r="BC363" i="57"/>
  <c r="S209" i="57"/>
  <c r="AX263" i="57"/>
  <c r="F269" i="57"/>
  <c r="Z206" i="57"/>
  <c r="BO367" i="57"/>
  <c r="DC367" i="57"/>
  <c r="AE221" i="57"/>
  <c r="DO366" i="57"/>
  <c r="BD364" i="57"/>
  <c r="T212" i="57"/>
  <c r="BE364" i="57"/>
  <c r="CV248" i="57"/>
  <c r="DI248" i="57" s="1"/>
  <c r="BZ248" i="57"/>
  <c r="AD221" i="57"/>
  <c r="BY378" i="57"/>
  <c r="CU378" i="57"/>
  <c r="DH378" i="57" s="1"/>
  <c r="AG206" i="57"/>
  <c r="CU381" i="57"/>
  <c r="DH381" i="57" s="1"/>
  <c r="BY381" i="57"/>
  <c r="L209" i="57"/>
  <c r="L212" i="57" s="1"/>
  <c r="X215" i="57"/>
  <c r="DO215" i="57" s="1"/>
  <c r="DK366" i="57"/>
  <c r="AC233" i="57"/>
  <c r="DB367" i="57"/>
  <c r="CU248" i="57"/>
  <c r="DH248" i="57" s="1"/>
  <c r="BY248" i="57"/>
  <c r="M221" i="57"/>
  <c r="CU257" i="57"/>
  <c r="DH257" i="57" s="1"/>
  <c r="BY257" i="57"/>
  <c r="U221" i="57"/>
  <c r="BC364" i="57"/>
  <c r="Q203" i="57"/>
  <c r="BB361" i="57"/>
  <c r="CY367" i="57"/>
  <c r="AA221" i="57"/>
  <c r="R230" i="57"/>
  <c r="N224" i="57"/>
  <c r="O215" i="57"/>
  <c r="R195" i="44"/>
  <c r="R249" i="44"/>
  <c r="R88" i="44"/>
  <c r="R130" i="44"/>
  <c r="R212" i="44"/>
  <c r="R230" i="44"/>
  <c r="R240" i="44"/>
  <c r="DJ206" i="57" l="1"/>
  <c r="BJ206" i="57"/>
  <c r="CX206" i="57"/>
  <c r="BK206" i="57"/>
  <c r="P200" i="57"/>
  <c r="AZ200" i="57" s="1"/>
  <c r="AZ197" i="57"/>
  <c r="W221" i="57"/>
  <c r="DA218" i="57"/>
  <c r="BP200" i="57"/>
  <c r="DP200" i="57"/>
  <c r="DD200" i="57"/>
  <c r="BQ200" i="57"/>
  <c r="BA197" i="57"/>
  <c r="T215" i="57"/>
  <c r="BE212" i="57"/>
  <c r="AB209" i="57"/>
  <c r="CZ206" i="57"/>
  <c r="BL206" i="57"/>
  <c r="DL206" i="57"/>
  <c r="BM206" i="57"/>
  <c r="BA200" i="57"/>
  <c r="BB200" i="57"/>
  <c r="DK215" i="57"/>
  <c r="AG209" i="57"/>
  <c r="DQ206" i="57"/>
  <c r="DE206" i="57"/>
  <c r="AA224" i="57"/>
  <c r="CY221" i="57"/>
  <c r="BC209" i="57"/>
  <c r="BF206" i="57"/>
  <c r="BG206" i="57"/>
  <c r="BC206" i="57"/>
  <c r="BI206" i="57"/>
  <c r="CW206" i="57"/>
  <c r="CX203" i="57"/>
  <c r="DJ203" i="57"/>
  <c r="BJ203" i="57"/>
  <c r="BK203" i="57"/>
  <c r="BB203" i="57"/>
  <c r="DK367" i="57"/>
  <c r="BH215" i="57"/>
  <c r="DM215" i="57"/>
  <c r="DN215" i="57"/>
  <c r="U224" i="57"/>
  <c r="DB221" i="57"/>
  <c r="BN221" i="57"/>
  <c r="BO221" i="57"/>
  <c r="DC221" i="57"/>
  <c r="BH212" i="57"/>
  <c r="DM212" i="57"/>
  <c r="DN212" i="57"/>
  <c r="DK212" i="57"/>
  <c r="DB218" i="57"/>
  <c r="BD206" i="57"/>
  <c r="CY218" i="57"/>
  <c r="BO218" i="57"/>
  <c r="DC218" i="57"/>
  <c r="AC236" i="57"/>
  <c r="CW209" i="57"/>
  <c r="BI209" i="57"/>
  <c r="DD197" i="57"/>
  <c r="BP197" i="57"/>
  <c r="DP197" i="57"/>
  <c r="BQ197" i="57"/>
  <c r="BD209" i="57"/>
  <c r="BE209" i="57"/>
  <c r="DD361" i="57"/>
  <c r="BQ361" i="57"/>
  <c r="BP361" i="57"/>
  <c r="DP361" i="57"/>
  <c r="AF203" i="57"/>
  <c r="BA361" i="57"/>
  <c r="BE367" i="57"/>
  <c r="DA369" i="57"/>
  <c r="BB363" i="57"/>
  <c r="BN369" i="57"/>
  <c r="DB369" i="57"/>
  <c r="AP369" i="57"/>
  <c r="BF364" i="57"/>
  <c r="BG364" i="57"/>
  <c r="BO369" i="57"/>
  <c r="DC369" i="57"/>
  <c r="AQ369" i="57"/>
  <c r="BH367" i="57"/>
  <c r="DM367" i="57"/>
  <c r="DN367" i="57"/>
  <c r="O218" i="57"/>
  <c r="O221" i="57" s="1"/>
  <c r="DO367" i="57"/>
  <c r="AX260" i="57"/>
  <c r="F266" i="57"/>
  <c r="AX382" i="57"/>
  <c r="AY260" i="57"/>
  <c r="I266" i="57"/>
  <c r="AY382" i="57"/>
  <c r="V209" i="57"/>
  <c r="L215" i="57"/>
  <c r="L218" i="57" s="1"/>
  <c r="DJ364" i="57"/>
  <c r="BJ364" i="57"/>
  <c r="CX364" i="57"/>
  <c r="BK364" i="57"/>
  <c r="CU254" i="57"/>
  <c r="DH254" i="57" s="1"/>
  <c r="BY254" i="57"/>
  <c r="CV254" i="57"/>
  <c r="DI254" i="57" s="1"/>
  <c r="BZ254" i="57"/>
  <c r="W224" i="57"/>
  <c r="AE224" i="57"/>
  <c r="CY369" i="57"/>
  <c r="AA227" i="57"/>
  <c r="S212" i="57"/>
  <c r="AC239" i="57"/>
  <c r="T218" i="57"/>
  <c r="BE218" i="57" s="1"/>
  <c r="BE366" i="57"/>
  <c r="M224" i="57"/>
  <c r="K224" i="57"/>
  <c r="X218" i="57"/>
  <c r="DO218" i="57" s="1"/>
  <c r="AY269" i="57"/>
  <c r="I275" i="57"/>
  <c r="AY385" i="57"/>
  <c r="AX269" i="57"/>
  <c r="F275" i="57"/>
  <c r="AX385" i="57"/>
  <c r="Q206" i="57"/>
  <c r="BZ263" i="57"/>
  <c r="CV263" i="57"/>
  <c r="DI263" i="57" s="1"/>
  <c r="Y212" i="57"/>
  <c r="Z209" i="57"/>
  <c r="DQ364" i="57"/>
  <c r="DE364" i="57"/>
  <c r="AG212" i="57"/>
  <c r="R233" i="57"/>
  <c r="BY263" i="57"/>
  <c r="CU263" i="57"/>
  <c r="DH263" i="57" s="1"/>
  <c r="AD224" i="57"/>
  <c r="U227" i="57"/>
  <c r="BL364" i="57"/>
  <c r="CZ364" i="57"/>
  <c r="DL364" i="57"/>
  <c r="AB212" i="57"/>
  <c r="BM364" i="57"/>
  <c r="AZ361" i="57"/>
  <c r="P203" i="57"/>
  <c r="N227" i="57"/>
  <c r="R222" i="44"/>
  <c r="R213" i="44"/>
  <c r="R167" i="44"/>
  <c r="R131" i="44"/>
  <c r="R98" i="44"/>
  <c r="R101" i="44" s="1"/>
  <c r="R165" i="44"/>
  <c r="R92" i="44"/>
  <c r="DK218" i="57" l="1"/>
  <c r="V212" i="57"/>
  <c r="BF209" i="57"/>
  <c r="BG209" i="57"/>
  <c r="AE227" i="57"/>
  <c r="BO224" i="57"/>
  <c r="DC224" i="57"/>
  <c r="BL209" i="57"/>
  <c r="DL209" i="57"/>
  <c r="CZ209" i="57"/>
  <c r="BM209" i="57"/>
  <c r="P206" i="57"/>
  <c r="AZ206" i="57" s="1"/>
  <c r="AZ203" i="57"/>
  <c r="AG215" i="57"/>
  <c r="DQ212" i="57"/>
  <c r="DE212" i="57"/>
  <c r="BC212" i="57"/>
  <c r="BP203" i="57"/>
  <c r="DP203" i="57"/>
  <c r="DD203" i="57"/>
  <c r="BQ203" i="57"/>
  <c r="DQ209" i="57"/>
  <c r="DE209" i="57"/>
  <c r="BD212" i="57"/>
  <c r="DA221" i="57"/>
  <c r="DL212" i="57"/>
  <c r="CZ212" i="57"/>
  <c r="BL212" i="57"/>
  <c r="BM212" i="57"/>
  <c r="X221" i="57"/>
  <c r="BH218" i="57"/>
  <c r="DM218" i="57"/>
  <c r="DN218" i="57"/>
  <c r="BD215" i="57"/>
  <c r="BE215" i="57"/>
  <c r="U230" i="57"/>
  <c r="Z212" i="57"/>
  <c r="BJ209" i="57"/>
  <c r="DJ209" i="57"/>
  <c r="CX209" i="57"/>
  <c r="BK209" i="57"/>
  <c r="CY370" i="57"/>
  <c r="DA224" i="57"/>
  <c r="BA203" i="57"/>
  <c r="CY224" i="57"/>
  <c r="BA206" i="57"/>
  <c r="BB206" i="57"/>
  <c r="AD227" i="57"/>
  <c r="BN224" i="57"/>
  <c r="DB224" i="57"/>
  <c r="Y215" i="57"/>
  <c r="BI212" i="57"/>
  <c r="CW212" i="57"/>
  <c r="DP363" i="57"/>
  <c r="AF206" i="57"/>
  <c r="BP363" i="57"/>
  <c r="DD363" i="57"/>
  <c r="AR363" i="57"/>
  <c r="BQ363" i="57"/>
  <c r="AS363" i="57"/>
  <c r="BH369" i="57"/>
  <c r="AJ369" i="57"/>
  <c r="DM369" i="57"/>
  <c r="DO369" i="57"/>
  <c r="DK369" i="57"/>
  <c r="DN369" i="57"/>
  <c r="BJ366" i="57"/>
  <c r="DJ366" i="57"/>
  <c r="CX366" i="57"/>
  <c r="AL366" i="57"/>
  <c r="BK366" i="57"/>
  <c r="AM366" i="57"/>
  <c r="DQ367" i="57"/>
  <c r="DE367" i="57"/>
  <c r="BF366" i="57"/>
  <c r="BG366" i="57"/>
  <c r="AZ364" i="57"/>
  <c r="BC366" i="57"/>
  <c r="CW366" i="57"/>
  <c r="BI366" i="57"/>
  <c r="AK366" i="57"/>
  <c r="Y218" i="57"/>
  <c r="CU385" i="57"/>
  <c r="DH385" i="57" s="1"/>
  <c r="BY385" i="57"/>
  <c r="BD366" i="57"/>
  <c r="BZ260" i="57"/>
  <c r="CV260" i="57"/>
  <c r="DI260" i="57" s="1"/>
  <c r="AY266" i="57"/>
  <c r="AY384" i="57"/>
  <c r="I272" i="57"/>
  <c r="BL366" i="57"/>
  <c r="DL366" i="57"/>
  <c r="CZ366" i="57"/>
  <c r="AN366" i="57"/>
  <c r="AO366" i="57"/>
  <c r="BM366" i="57"/>
  <c r="AX275" i="57"/>
  <c r="AX387" i="57"/>
  <c r="F281" i="57"/>
  <c r="DA370" i="57"/>
  <c r="CU382" i="57"/>
  <c r="DH382" i="57" s="1"/>
  <c r="BY382" i="57"/>
  <c r="CU269" i="57"/>
  <c r="DH269" i="57" s="1"/>
  <c r="BY269" i="57"/>
  <c r="S215" i="57"/>
  <c r="AX266" i="57"/>
  <c r="AX384" i="57"/>
  <c r="F272" i="57"/>
  <c r="K227" i="57"/>
  <c r="DQ366" i="57"/>
  <c r="DE366" i="57"/>
  <c r="AG218" i="57"/>
  <c r="BA364" i="57"/>
  <c r="BB364" i="57"/>
  <c r="BZ385" i="57"/>
  <c r="CV385" i="57"/>
  <c r="DI385" i="57" s="1"/>
  <c r="BO370" i="57"/>
  <c r="DC370" i="57"/>
  <c r="AE230" i="57"/>
  <c r="BY260" i="57"/>
  <c r="CU260" i="57"/>
  <c r="DH260" i="57" s="1"/>
  <c r="Z215" i="57"/>
  <c r="AZ363" i="57"/>
  <c r="P209" i="57"/>
  <c r="U233" i="57"/>
  <c r="AY275" i="57"/>
  <c r="AY387" i="57"/>
  <c r="I281" i="57"/>
  <c r="R236" i="57"/>
  <c r="T221" i="57"/>
  <c r="BI367" i="57"/>
  <c r="CW367" i="57"/>
  <c r="Y221" i="57"/>
  <c r="CV269" i="57"/>
  <c r="DI269" i="57" s="1"/>
  <c r="BZ269" i="57"/>
  <c r="L221" i="57"/>
  <c r="L224" i="57" s="1"/>
  <c r="AB215" i="57"/>
  <c r="Q209" i="57"/>
  <c r="W227" i="57"/>
  <c r="CY227" i="57" s="1"/>
  <c r="X224" i="57"/>
  <c r="DN224" i="57" s="1"/>
  <c r="BN370" i="57"/>
  <c r="DB370" i="57"/>
  <c r="AD230" i="57"/>
  <c r="M227" i="57"/>
  <c r="M230" i="57" s="1"/>
  <c r="V215" i="57"/>
  <c r="CV382" i="57"/>
  <c r="DI382" i="57" s="1"/>
  <c r="BZ382" i="57"/>
  <c r="O224" i="57"/>
  <c r="O227" i="57" s="1"/>
  <c r="N230" i="57"/>
  <c r="BA363" i="57"/>
  <c r="AA230" i="57"/>
  <c r="AC242" i="57"/>
  <c r="R221" i="44"/>
  <c r="R223" i="44" s="1"/>
  <c r="R172" i="44"/>
  <c r="R103" i="44"/>
  <c r="BO230" i="57" l="1"/>
  <c r="AG221" i="57"/>
  <c r="DQ218" i="57"/>
  <c r="DE218" i="57"/>
  <c r="BN227" i="57"/>
  <c r="DB227" i="57"/>
  <c r="CX212" i="57"/>
  <c r="DJ212" i="57"/>
  <c r="BJ212" i="57"/>
  <c r="BK212" i="57"/>
  <c r="DD206" i="57"/>
  <c r="BP206" i="57"/>
  <c r="DP206" i="57"/>
  <c r="BQ206" i="57"/>
  <c r="CW215" i="57"/>
  <c r="BI215" i="57"/>
  <c r="DE215" i="57"/>
  <c r="DQ215" i="57"/>
  <c r="DO224" i="57"/>
  <c r="CW221" i="57"/>
  <c r="BI221" i="57"/>
  <c r="BO227" i="57"/>
  <c r="DO227" i="57"/>
  <c r="DC227" i="57"/>
  <c r="BA209" i="57"/>
  <c r="BB209" i="57"/>
  <c r="BF215" i="57"/>
  <c r="BG215" i="57"/>
  <c r="AB218" i="57"/>
  <c r="BL215" i="57"/>
  <c r="DL215" i="57"/>
  <c r="CZ215" i="57"/>
  <c r="BM215" i="57"/>
  <c r="T224" i="57"/>
  <c r="BE221" i="57"/>
  <c r="DJ215" i="57"/>
  <c r="BJ215" i="57"/>
  <c r="CX215" i="57"/>
  <c r="BK215" i="57"/>
  <c r="BF212" i="57"/>
  <c r="BG212" i="57"/>
  <c r="R239" i="57"/>
  <c r="DA227" i="57"/>
  <c r="P212" i="57"/>
  <c r="AZ209" i="57"/>
  <c r="X227" i="57"/>
  <c r="DN227" i="57" s="1"/>
  <c r="BH224" i="57"/>
  <c r="DM224" i="57"/>
  <c r="AC245" i="57"/>
  <c r="AD233" i="57"/>
  <c r="BN230" i="57"/>
  <c r="BC215" i="57"/>
  <c r="BI218" i="57"/>
  <c r="CW218" i="57"/>
  <c r="DK224" i="57"/>
  <c r="BH221" i="57"/>
  <c r="DM221" i="57"/>
  <c r="DO221" i="57"/>
  <c r="DK221" i="57"/>
  <c r="DN221" i="57"/>
  <c r="AF209" i="57"/>
  <c r="BQ364" i="57"/>
  <c r="DP364" i="57"/>
  <c r="BP364" i="57"/>
  <c r="DD364" i="57"/>
  <c r="AF212" i="57"/>
  <c r="BN373" i="57"/>
  <c r="BE370" i="57"/>
  <c r="DQ369" i="57"/>
  <c r="DE369" i="57"/>
  <c r="BY266" i="57"/>
  <c r="CU266" i="57"/>
  <c r="DH266" i="57" s="1"/>
  <c r="DN370" i="57"/>
  <c r="CW369" i="57"/>
  <c r="BI369" i="57"/>
  <c r="AK369" i="57"/>
  <c r="CV275" i="57"/>
  <c r="DI275" i="57" s="1"/>
  <c r="BZ275" i="57"/>
  <c r="BJ367" i="57"/>
  <c r="DJ367" i="57"/>
  <c r="CX367" i="57"/>
  <c r="BK367" i="57"/>
  <c r="BC367" i="57"/>
  <c r="BD367" i="57"/>
  <c r="W230" i="57"/>
  <c r="CY230" i="57" s="1"/>
  <c r="AX281" i="57"/>
  <c r="F287" i="57"/>
  <c r="CV387" i="57"/>
  <c r="DI387" i="57" s="1"/>
  <c r="BZ387" i="57"/>
  <c r="O230" i="57"/>
  <c r="O233" i="57" s="1"/>
  <c r="BY387" i="57"/>
  <c r="CU387" i="57"/>
  <c r="DH387" i="57" s="1"/>
  <c r="AY272" i="57"/>
  <c r="I278" i="57"/>
  <c r="S218" i="57"/>
  <c r="AG224" i="57"/>
  <c r="BF367" i="57"/>
  <c r="BG367" i="57"/>
  <c r="BL367" i="57"/>
  <c r="CZ367" i="57"/>
  <c r="DL367" i="57"/>
  <c r="AB221" i="57"/>
  <c r="BM367" i="57"/>
  <c r="BY275" i="57"/>
  <c r="CU275" i="57"/>
  <c r="DH275" i="57" s="1"/>
  <c r="BZ384" i="57"/>
  <c r="CV384" i="57"/>
  <c r="DI384" i="57" s="1"/>
  <c r="Y224" i="57"/>
  <c r="Z218" i="57"/>
  <c r="M233" i="57"/>
  <c r="L227" i="57"/>
  <c r="L230" i="57" s="1"/>
  <c r="T227" i="57"/>
  <c r="BE369" i="57"/>
  <c r="CV266" i="57"/>
  <c r="DI266" i="57" s="1"/>
  <c r="BZ266" i="57"/>
  <c r="BO372" i="57"/>
  <c r="AQ372" i="57"/>
  <c r="AZ212" i="57"/>
  <c r="AZ366" i="57"/>
  <c r="P215" i="57"/>
  <c r="AX272" i="57"/>
  <c r="F278" i="57"/>
  <c r="U236" i="57"/>
  <c r="V218" i="57"/>
  <c r="AE233" i="57"/>
  <c r="BH370" i="57"/>
  <c r="X230" i="57"/>
  <c r="DM370" i="57"/>
  <c r="DK370" i="57"/>
  <c r="R242" i="57"/>
  <c r="Q212" i="57"/>
  <c r="AC248" i="57"/>
  <c r="BN372" i="57"/>
  <c r="DN372" i="57"/>
  <c r="AP372" i="57"/>
  <c r="AD236" i="57"/>
  <c r="AY281" i="57"/>
  <c r="I287" i="57"/>
  <c r="DO370" i="57"/>
  <c r="CU384" i="57"/>
  <c r="DH384" i="57" s="1"/>
  <c r="BY384" i="57"/>
  <c r="AA233" i="57"/>
  <c r="K230" i="57"/>
  <c r="K233" i="57" s="1"/>
  <c r="N233" i="57"/>
  <c r="R174" i="44"/>
  <c r="R211" i="44" s="1"/>
  <c r="S169" i="44"/>
  <c r="R107" i="44"/>
  <c r="R105" i="44"/>
  <c r="BE227" i="57" l="1"/>
  <c r="BI224" i="57"/>
  <c r="CW224" i="57"/>
  <c r="AB224" i="57"/>
  <c r="BL221" i="57"/>
  <c r="DL221" i="57"/>
  <c r="CZ221" i="57"/>
  <c r="BM221" i="57"/>
  <c r="AG227" i="57"/>
  <c r="DQ224" i="57"/>
  <c r="DE224" i="57"/>
  <c r="BN233" i="57"/>
  <c r="S221" i="57"/>
  <c r="BC218" i="57"/>
  <c r="BD218" i="57"/>
  <c r="BE224" i="57"/>
  <c r="DQ221" i="57"/>
  <c r="DE221" i="57"/>
  <c r="DJ218" i="57"/>
  <c r="BJ218" i="57"/>
  <c r="CX218" i="57"/>
  <c r="BK218" i="57"/>
  <c r="BP209" i="57"/>
  <c r="DP209" i="57"/>
  <c r="DD209" i="57"/>
  <c r="BQ209" i="57"/>
  <c r="BL218" i="57"/>
  <c r="DL218" i="57"/>
  <c r="CZ218" i="57"/>
  <c r="BM218" i="57"/>
  <c r="X233" i="57"/>
  <c r="DN233" i="57" s="1"/>
  <c r="BH230" i="57"/>
  <c r="DM230" i="57"/>
  <c r="CY372" i="57"/>
  <c r="DA230" i="57"/>
  <c r="BP212" i="57"/>
  <c r="DP212" i="57"/>
  <c r="DD212" i="57"/>
  <c r="BQ212" i="57"/>
  <c r="DB230" i="57"/>
  <c r="BH227" i="57"/>
  <c r="DM227" i="57"/>
  <c r="DK227" i="57"/>
  <c r="DK230" i="57"/>
  <c r="BO233" i="57"/>
  <c r="P218" i="57"/>
  <c r="AZ218" i="57" s="1"/>
  <c r="AZ215" i="57"/>
  <c r="DN230" i="57"/>
  <c r="DC230" i="57"/>
  <c r="AD239" i="57"/>
  <c r="BN236" i="57"/>
  <c r="AA236" i="57"/>
  <c r="DK233" i="57"/>
  <c r="Q215" i="57"/>
  <c r="BB215" i="57" s="1"/>
  <c r="BA212" i="57"/>
  <c r="BB212" i="57"/>
  <c r="BF218" i="57"/>
  <c r="BG218" i="57"/>
  <c r="DO230" i="57"/>
  <c r="AF215" i="57"/>
  <c r="AS366" i="57"/>
  <c r="BP366" i="57"/>
  <c r="AF218" i="57"/>
  <c r="DP366" i="57"/>
  <c r="DD366" i="57"/>
  <c r="AR366" i="57"/>
  <c r="BQ366" i="57"/>
  <c r="DB372" i="57"/>
  <c r="DC372" i="57"/>
  <c r="DO372" i="57"/>
  <c r="BN375" i="57"/>
  <c r="AP375" i="57"/>
  <c r="BA215" i="57"/>
  <c r="BA367" i="57"/>
  <c r="BB367" i="57"/>
  <c r="DM373" i="57"/>
  <c r="DN373" i="57"/>
  <c r="CW370" i="57"/>
  <c r="BI370" i="57"/>
  <c r="BC369" i="57"/>
  <c r="BL370" i="57"/>
  <c r="CZ370" i="57"/>
  <c r="DL370" i="57"/>
  <c r="BM370" i="57"/>
  <c r="AX287" i="57"/>
  <c r="F293" i="57"/>
  <c r="AX391" i="57"/>
  <c r="T230" i="57"/>
  <c r="CV272" i="57"/>
  <c r="DI272" i="57" s="1"/>
  <c r="BZ272" i="57"/>
  <c r="L233" i="57"/>
  <c r="BY281" i="57"/>
  <c r="CU281" i="57"/>
  <c r="DH281" i="57" s="1"/>
  <c r="V221" i="57"/>
  <c r="BZ281" i="57"/>
  <c r="CV281" i="57"/>
  <c r="DI281" i="57" s="1"/>
  <c r="BH372" i="57"/>
  <c r="AJ372" i="57"/>
  <c r="X236" i="57"/>
  <c r="DM372" i="57"/>
  <c r="AX278" i="57"/>
  <c r="F284" i="57"/>
  <c r="AX388" i="57"/>
  <c r="DA372" i="57"/>
  <c r="W233" i="57"/>
  <c r="DB233" i="57" s="1"/>
  <c r="BL369" i="57"/>
  <c r="DL369" i="57"/>
  <c r="CZ369" i="57"/>
  <c r="AN369" i="57"/>
  <c r="AB227" i="57"/>
  <c r="BM369" i="57"/>
  <c r="AO369" i="57"/>
  <c r="U239" i="57"/>
  <c r="DQ370" i="57"/>
  <c r="DE370" i="57"/>
  <c r="AG230" i="57"/>
  <c r="Y227" i="57"/>
  <c r="DK373" i="57"/>
  <c r="AA239" i="57"/>
  <c r="AD242" i="57"/>
  <c r="BA366" i="57"/>
  <c r="Q218" i="57"/>
  <c r="BB366" i="57"/>
  <c r="BO373" i="57"/>
  <c r="DO373" i="57"/>
  <c r="AE236" i="57"/>
  <c r="S224" i="57"/>
  <c r="O236" i="57"/>
  <c r="O239" i="57" s="1"/>
  <c r="Z221" i="57"/>
  <c r="N236" i="57"/>
  <c r="N239" i="57" s="1"/>
  <c r="AC251" i="57"/>
  <c r="AY287" i="57"/>
  <c r="I293" i="57"/>
  <c r="AY391" i="57"/>
  <c r="K236" i="57"/>
  <c r="CU272" i="57"/>
  <c r="DH272" i="57" s="1"/>
  <c r="BY272" i="57"/>
  <c r="DK372" i="57"/>
  <c r="AZ367" i="57"/>
  <c r="P221" i="57"/>
  <c r="AZ221" i="57" s="1"/>
  <c r="R245" i="57"/>
  <c r="AY278" i="57"/>
  <c r="I284" i="57"/>
  <c r="AY388" i="57"/>
  <c r="M236" i="57"/>
  <c r="R215" i="44"/>
  <c r="R229" i="44" s="1"/>
  <c r="R234" i="44" s="1"/>
  <c r="R235" i="44" s="1"/>
  <c r="O56" i="108" s="1"/>
  <c r="R109" i="44"/>
  <c r="R129" i="44"/>
  <c r="R133" i="44" s="1"/>
  <c r="AD245" i="57" l="1"/>
  <c r="BN242" i="57"/>
  <c r="BL224" i="57"/>
  <c r="DL224" i="57"/>
  <c r="CZ224" i="57"/>
  <c r="BM224" i="57"/>
  <c r="AA242" i="57"/>
  <c r="DK239" i="57"/>
  <c r="V224" i="57"/>
  <c r="BF221" i="57"/>
  <c r="BG221" i="57"/>
  <c r="DD218" i="57"/>
  <c r="BP218" i="57"/>
  <c r="DP218" i="57"/>
  <c r="BQ218" i="57"/>
  <c r="BD369" i="57"/>
  <c r="BC221" i="57"/>
  <c r="BD221" i="57"/>
  <c r="X239" i="57"/>
  <c r="DM236" i="57"/>
  <c r="DN236" i="57"/>
  <c r="BH233" i="57"/>
  <c r="DM233" i="57"/>
  <c r="CY373" i="57"/>
  <c r="DA233" i="57"/>
  <c r="CY233" i="57"/>
  <c r="BJ221" i="57"/>
  <c r="DJ221" i="57"/>
  <c r="CX221" i="57"/>
  <c r="BK221" i="57"/>
  <c r="BA218" i="57"/>
  <c r="BB218" i="57"/>
  <c r="BP215" i="57"/>
  <c r="DP215" i="57"/>
  <c r="DD215" i="57"/>
  <c r="BQ215" i="57"/>
  <c r="BN239" i="57"/>
  <c r="DC233" i="57"/>
  <c r="Y230" i="57"/>
  <c r="CW227" i="57"/>
  <c r="BI227" i="57"/>
  <c r="DK236" i="57"/>
  <c r="DO233" i="57"/>
  <c r="AC254" i="57"/>
  <c r="BC224" i="57"/>
  <c r="DE230" i="57"/>
  <c r="DQ230" i="57"/>
  <c r="BL227" i="57"/>
  <c r="DL227" i="57"/>
  <c r="CZ227" i="57"/>
  <c r="BM227" i="57"/>
  <c r="BO236" i="57"/>
  <c r="DO236" i="57"/>
  <c r="T233" i="57"/>
  <c r="BE230" i="57"/>
  <c r="BD224" i="57"/>
  <c r="DQ227" i="57"/>
  <c r="DE227" i="57"/>
  <c r="DP367" i="57"/>
  <c r="DD367" i="57"/>
  <c r="BQ367" i="57"/>
  <c r="BP367" i="57"/>
  <c r="AF221" i="57"/>
  <c r="W236" i="57"/>
  <c r="CY236" i="57" s="1"/>
  <c r="DC373" i="57"/>
  <c r="DM375" i="57"/>
  <c r="DN375" i="57"/>
  <c r="BE373" i="57"/>
  <c r="CW372" i="57"/>
  <c r="BI372" i="57"/>
  <c r="AK372" i="57"/>
  <c r="BC370" i="57"/>
  <c r="BD370" i="57"/>
  <c r="CV391" i="57"/>
  <c r="DI391" i="57" s="1"/>
  <c r="BZ391" i="57"/>
  <c r="BZ278" i="57"/>
  <c r="CV278" i="57"/>
  <c r="DI278" i="57" s="1"/>
  <c r="AY293" i="57"/>
  <c r="AY393" i="57"/>
  <c r="I299" i="57"/>
  <c r="BF370" i="57"/>
  <c r="BG370" i="57"/>
  <c r="DA373" i="57"/>
  <c r="DB373" i="57"/>
  <c r="CU278" i="57"/>
  <c r="DH278" i="57" s="1"/>
  <c r="BY278" i="57"/>
  <c r="L236" i="57"/>
  <c r="L239" i="57" s="1"/>
  <c r="U242" i="57"/>
  <c r="CV287" i="57"/>
  <c r="DI287" i="57" s="1"/>
  <c r="BZ287" i="57"/>
  <c r="AE239" i="57"/>
  <c r="DQ372" i="57"/>
  <c r="DE372" i="57"/>
  <c r="AG233" i="57"/>
  <c r="CV388" i="57"/>
  <c r="DI388" i="57" s="1"/>
  <c r="BZ388" i="57"/>
  <c r="CU388" i="57"/>
  <c r="DH388" i="57" s="1"/>
  <c r="BY388" i="57"/>
  <c r="AX284" i="57"/>
  <c r="AX390" i="57"/>
  <c r="F290" i="57"/>
  <c r="CU287" i="57"/>
  <c r="DH287" i="57" s="1"/>
  <c r="BY287" i="57"/>
  <c r="AC257" i="57"/>
  <c r="BF369" i="57"/>
  <c r="V227" i="57"/>
  <c r="BG369" i="57"/>
  <c r="S227" i="57"/>
  <c r="BH373" i="57"/>
  <c r="DK375" i="57"/>
  <c r="AA245" i="57"/>
  <c r="AX293" i="57"/>
  <c r="AX393" i="57"/>
  <c r="F299" i="57"/>
  <c r="AY284" i="57"/>
  <c r="AY390" i="57"/>
  <c r="I290" i="57"/>
  <c r="AZ369" i="57"/>
  <c r="N242" i="57"/>
  <c r="R248" i="57"/>
  <c r="X242" i="57"/>
  <c r="O242" i="57"/>
  <c r="Y233" i="57"/>
  <c r="K239" i="57"/>
  <c r="K242" i="57" s="1"/>
  <c r="DJ369" i="57"/>
  <c r="BJ369" i="57"/>
  <c r="CX369" i="57"/>
  <c r="AL369" i="57"/>
  <c r="BK369" i="57"/>
  <c r="AM369" i="57"/>
  <c r="BN376" i="57"/>
  <c r="AD248" i="57"/>
  <c r="T236" i="57"/>
  <c r="BE372" i="57"/>
  <c r="AB230" i="57"/>
  <c r="M239" i="57"/>
  <c r="Q221" i="57"/>
  <c r="Z224" i="57"/>
  <c r="BY391" i="57"/>
  <c r="CU391" i="57"/>
  <c r="DH391" i="57" s="1"/>
  <c r="P224" i="57"/>
  <c r="R257" i="44"/>
  <c r="R247" i="44"/>
  <c r="R220" i="44"/>
  <c r="R225" i="44" s="1"/>
  <c r="R258" i="44"/>
  <c r="R248" i="44"/>
  <c r="R111" i="44"/>
  <c r="R141" i="44"/>
  <c r="R143" i="44" s="1"/>
  <c r="R156" i="44" s="1"/>
  <c r="BI230" i="57" l="1"/>
  <c r="CW230" i="57"/>
  <c r="BN248" i="57"/>
  <c r="AG236" i="57"/>
  <c r="DQ233" i="57"/>
  <c r="DE233" i="57"/>
  <c r="Q224" i="57"/>
  <c r="BA221" i="57"/>
  <c r="BB221" i="57"/>
  <c r="W239" i="57"/>
  <c r="DA236" i="57"/>
  <c r="DB236" i="57"/>
  <c r="BE233" i="57"/>
  <c r="Z227" i="57"/>
  <c r="CX224" i="57"/>
  <c r="BJ224" i="57"/>
  <c r="DJ224" i="57"/>
  <c r="BK224" i="57"/>
  <c r="AB233" i="57"/>
  <c r="BL230" i="57"/>
  <c r="DL230" i="57"/>
  <c r="CZ230" i="57"/>
  <c r="BM230" i="57"/>
  <c r="X245" i="57"/>
  <c r="DM242" i="57"/>
  <c r="R251" i="57"/>
  <c r="BF227" i="57"/>
  <c r="BG227" i="57"/>
  <c r="BH236" i="57"/>
  <c r="DN242" i="57"/>
  <c r="BO239" i="57"/>
  <c r="DO239" i="57"/>
  <c r="BP221" i="57"/>
  <c r="DP221" i="57"/>
  <c r="DD221" i="57"/>
  <c r="BQ221" i="57"/>
  <c r="BH239" i="57"/>
  <c r="DM239" i="57"/>
  <c r="DK242" i="57"/>
  <c r="P227" i="57"/>
  <c r="AZ227" i="57" s="1"/>
  <c r="AZ224" i="57"/>
  <c r="BF224" i="57"/>
  <c r="BG224" i="57"/>
  <c r="Y236" i="57"/>
  <c r="CW233" i="57"/>
  <c r="BI233" i="57"/>
  <c r="DC236" i="57"/>
  <c r="DN239" i="57"/>
  <c r="BN245" i="57"/>
  <c r="T239" i="57"/>
  <c r="BE236" i="57"/>
  <c r="S230" i="57"/>
  <c r="BC227" i="57"/>
  <c r="BD227" i="57"/>
  <c r="DN376" i="57"/>
  <c r="BQ369" i="57"/>
  <c r="AR369" i="57"/>
  <c r="BP369" i="57"/>
  <c r="DP369" i="57"/>
  <c r="AF224" i="57"/>
  <c r="AS369" i="57"/>
  <c r="DD369" i="57"/>
  <c r="BH375" i="57"/>
  <c r="CY375" i="57"/>
  <c r="W242" i="57"/>
  <c r="DK376" i="57"/>
  <c r="BA370" i="57"/>
  <c r="BB370" i="57"/>
  <c r="BE375" i="57"/>
  <c r="BC372" i="57"/>
  <c r="BD372" i="57"/>
  <c r="CV390" i="57"/>
  <c r="DI390" i="57" s="1"/>
  <c r="BZ390" i="57"/>
  <c r="CV284" i="57"/>
  <c r="DI284" i="57" s="1"/>
  <c r="BZ284" i="57"/>
  <c r="AJ375" i="57"/>
  <c r="BL373" i="57"/>
  <c r="CZ373" i="57"/>
  <c r="DL373" i="57"/>
  <c r="BM373" i="57"/>
  <c r="AX299" i="57"/>
  <c r="F305" i="57"/>
  <c r="BN378" i="57"/>
  <c r="AP378" i="57"/>
  <c r="DJ370" i="57"/>
  <c r="BJ370" i="57"/>
  <c r="CX370" i="57"/>
  <c r="Z230" i="57"/>
  <c r="BK370" i="57"/>
  <c r="R254" i="57"/>
  <c r="CU393" i="57"/>
  <c r="DH393" i="57" s="1"/>
  <c r="BY393" i="57"/>
  <c r="L242" i="57"/>
  <c r="BY293" i="57"/>
  <c r="CU293" i="57"/>
  <c r="DH293" i="57" s="1"/>
  <c r="S233" i="57"/>
  <c r="AX290" i="57"/>
  <c r="F296" i="57"/>
  <c r="V230" i="57"/>
  <c r="O245" i="57"/>
  <c r="O248" i="57" s="1"/>
  <c r="BI373" i="57"/>
  <c r="CW373" i="57"/>
  <c r="Y239" i="57"/>
  <c r="T242" i="57"/>
  <c r="CU390" i="57"/>
  <c r="DH390" i="57" s="1"/>
  <c r="BY390" i="57"/>
  <c r="W245" i="57"/>
  <c r="DB245" i="57" s="1"/>
  <c r="DA375" i="57"/>
  <c r="DB375" i="57"/>
  <c r="U245" i="57"/>
  <c r="N245" i="57"/>
  <c r="AZ370" i="57"/>
  <c r="P230" i="57"/>
  <c r="K245" i="57"/>
  <c r="CU284" i="57"/>
  <c r="DH284" i="57" s="1"/>
  <c r="BY284" i="57"/>
  <c r="M242" i="57"/>
  <c r="BO375" i="57"/>
  <c r="DO375" i="57"/>
  <c r="DC375" i="57"/>
  <c r="AQ375" i="57"/>
  <c r="AY299" i="57"/>
  <c r="I305" i="57"/>
  <c r="AA248" i="57"/>
  <c r="AD251" i="57"/>
  <c r="Z233" i="57"/>
  <c r="BZ293" i="57"/>
  <c r="CV293" i="57"/>
  <c r="DI293" i="57" s="1"/>
  <c r="BA369" i="57"/>
  <c r="Q227" i="57"/>
  <c r="BB369" i="57"/>
  <c r="BL372" i="57"/>
  <c r="CZ372" i="57"/>
  <c r="DL372" i="57"/>
  <c r="AN372" i="57"/>
  <c r="AB236" i="57"/>
  <c r="BM372" i="57"/>
  <c r="AO372" i="57"/>
  <c r="BH376" i="57"/>
  <c r="X248" i="57"/>
  <c r="DN248" i="57" s="1"/>
  <c r="DM376" i="57"/>
  <c r="AY290" i="57"/>
  <c r="I296" i="57"/>
  <c r="DQ373" i="57"/>
  <c r="DE373" i="57"/>
  <c r="AG239" i="57"/>
  <c r="BZ393" i="57"/>
  <c r="CV393" i="57"/>
  <c r="DI393" i="57" s="1"/>
  <c r="AE242" i="57"/>
  <c r="CY376" i="57"/>
  <c r="AC260" i="57"/>
  <c r="R226" i="44"/>
  <c r="O55" i="108" s="1"/>
  <c r="R253" i="44"/>
  <c r="R254" i="44" s="1"/>
  <c r="O60" i="108" s="1"/>
  <c r="R263" i="44"/>
  <c r="R264" i="44" s="1"/>
  <c r="O61" i="108" s="1"/>
  <c r="E95" i="98"/>
  <c r="R157" i="44"/>
  <c r="S155" i="44" s="1"/>
  <c r="S187" i="44" s="1"/>
  <c r="R160" i="44"/>
  <c r="R161" i="44" s="1"/>
  <c r="S159" i="44" s="1"/>
  <c r="CZ236" i="57" l="1"/>
  <c r="BL236" i="57"/>
  <c r="DL236" i="57"/>
  <c r="BM236" i="57"/>
  <c r="T245" i="57"/>
  <c r="DP224" i="57"/>
  <c r="DD224" i="57"/>
  <c r="BP224" i="57"/>
  <c r="BQ224" i="57"/>
  <c r="BI236" i="57"/>
  <c r="CW236" i="57"/>
  <c r="BH245" i="57"/>
  <c r="DM245" i="57"/>
  <c r="DA245" i="57"/>
  <c r="S236" i="57"/>
  <c r="BC233" i="57"/>
  <c r="BL233" i="57"/>
  <c r="DL233" i="57"/>
  <c r="CZ233" i="57"/>
  <c r="BM233" i="57"/>
  <c r="Y242" i="57"/>
  <c r="BI239" i="57"/>
  <c r="CW239" i="57"/>
  <c r="BE239" i="57"/>
  <c r="DJ227" i="57"/>
  <c r="BJ227" i="57"/>
  <c r="CX227" i="57"/>
  <c r="BK227" i="57"/>
  <c r="BJ233" i="57"/>
  <c r="DJ233" i="57"/>
  <c r="CX233" i="57"/>
  <c r="BK233" i="57"/>
  <c r="P233" i="57"/>
  <c r="AZ233" i="57" s="1"/>
  <c r="AZ230" i="57"/>
  <c r="DJ230" i="57"/>
  <c r="CX230" i="57"/>
  <c r="BJ230" i="57"/>
  <c r="BK230" i="57"/>
  <c r="DB376" i="57"/>
  <c r="DA242" i="57"/>
  <c r="DB242" i="57"/>
  <c r="DA239" i="57"/>
  <c r="DB239" i="57"/>
  <c r="CY239" i="57"/>
  <c r="DQ236" i="57"/>
  <c r="DE236" i="57"/>
  <c r="CY245" i="57"/>
  <c r="BD233" i="57"/>
  <c r="AE245" i="57"/>
  <c r="BO242" i="57"/>
  <c r="DO242" i="57"/>
  <c r="DC242" i="57"/>
  <c r="X251" i="57"/>
  <c r="DM248" i="57"/>
  <c r="AG242" i="57"/>
  <c r="DQ239" i="57"/>
  <c r="DE239" i="57"/>
  <c r="AD254" i="57"/>
  <c r="BN251" i="57"/>
  <c r="BE242" i="57"/>
  <c r="CY242" i="57"/>
  <c r="DK245" i="57"/>
  <c r="BA227" i="57"/>
  <c r="BB227" i="57"/>
  <c r="DK248" i="57"/>
  <c r="BE245" i="57"/>
  <c r="DN245" i="57"/>
  <c r="DC239" i="57"/>
  <c r="BA224" i="57"/>
  <c r="BB224" i="57"/>
  <c r="BF230" i="57"/>
  <c r="BG230" i="57"/>
  <c r="R257" i="57"/>
  <c r="BC230" i="57"/>
  <c r="BD230" i="57"/>
  <c r="BH242" i="57"/>
  <c r="DP370" i="57"/>
  <c r="BQ370" i="57"/>
  <c r="BP370" i="57"/>
  <c r="DD370" i="57"/>
  <c r="AF227" i="57"/>
  <c r="DA376" i="57"/>
  <c r="W248" i="57"/>
  <c r="CY248" i="57" s="1"/>
  <c r="BE376" i="57"/>
  <c r="AZ373" i="57"/>
  <c r="DM379" i="57"/>
  <c r="DJ373" i="57"/>
  <c r="BJ373" i="57"/>
  <c r="CX373" i="57"/>
  <c r="BK373" i="57"/>
  <c r="CW375" i="57"/>
  <c r="BI375" i="57"/>
  <c r="AK375" i="57"/>
  <c r="Y245" i="57"/>
  <c r="N248" i="57"/>
  <c r="N251" i="57" s="1"/>
  <c r="DA378" i="57"/>
  <c r="CU290" i="57"/>
  <c r="DH290" i="57" s="1"/>
  <c r="BY290" i="57"/>
  <c r="AC263" i="57"/>
  <c r="DN378" i="57"/>
  <c r="U248" i="57"/>
  <c r="BN379" i="57"/>
  <c r="DN379" i="57"/>
  <c r="AD257" i="57"/>
  <c r="DB378" i="57"/>
  <c r="AB239" i="57"/>
  <c r="DK378" i="57"/>
  <c r="CY378" i="57"/>
  <c r="AA251" i="57"/>
  <c r="O251" i="57"/>
  <c r="O254" i="57" s="1"/>
  <c r="L245" i="57"/>
  <c r="DQ375" i="57"/>
  <c r="DE375" i="57"/>
  <c r="AG245" i="57"/>
  <c r="AY305" i="57"/>
  <c r="I311" i="57"/>
  <c r="AY397" i="57"/>
  <c r="R260" i="57"/>
  <c r="K248" i="57"/>
  <c r="BO376" i="57"/>
  <c r="DO376" i="57"/>
  <c r="DC376" i="57"/>
  <c r="AE248" i="57"/>
  <c r="AY296" i="57"/>
  <c r="I302" i="57"/>
  <c r="AY394" i="57"/>
  <c r="CV299" i="57"/>
  <c r="DI299" i="57" s="1"/>
  <c r="BZ299" i="57"/>
  <c r="M245" i="57"/>
  <c r="W251" i="57"/>
  <c r="DB251" i="57" s="1"/>
  <c r="BF372" i="57"/>
  <c r="BG372" i="57"/>
  <c r="BC373" i="57"/>
  <c r="S239" i="57"/>
  <c r="BD373" i="57"/>
  <c r="AX305" i="57"/>
  <c r="F311" i="57"/>
  <c r="AX397" i="57"/>
  <c r="V233" i="57"/>
  <c r="Q230" i="57"/>
  <c r="CW376" i="57"/>
  <c r="BI376" i="57"/>
  <c r="DQ376" i="57"/>
  <c r="DE376" i="57"/>
  <c r="AG248" i="57"/>
  <c r="BH378" i="57"/>
  <c r="AJ378" i="57"/>
  <c r="X254" i="57"/>
  <c r="DM378" i="57"/>
  <c r="BZ290" i="57"/>
  <c r="CV290" i="57"/>
  <c r="DI290" i="57" s="1"/>
  <c r="AZ372" i="57"/>
  <c r="P236" i="57"/>
  <c r="P239" i="57" s="1"/>
  <c r="AZ239" i="57" s="1"/>
  <c r="T248" i="57"/>
  <c r="AX296" i="57"/>
  <c r="F302" i="57"/>
  <c r="AX394" i="57"/>
  <c r="BJ372" i="57"/>
  <c r="DJ372" i="57"/>
  <c r="CX372" i="57"/>
  <c r="AL372" i="57"/>
  <c r="Z236" i="57"/>
  <c r="AM372" i="57"/>
  <c r="BK372" i="57"/>
  <c r="CU299" i="57"/>
  <c r="DH299" i="57" s="1"/>
  <c r="BY299" i="57"/>
  <c r="E99" i="98"/>
  <c r="S189" i="44"/>
  <c r="S251" i="44"/>
  <c r="S192" i="44"/>
  <c r="S241" i="44"/>
  <c r="S232" i="44"/>
  <c r="AB242" i="57" l="1"/>
  <c r="DL239" i="57"/>
  <c r="CZ239" i="57"/>
  <c r="BL239" i="57"/>
  <c r="BM239" i="57"/>
  <c r="U251" i="57"/>
  <c r="BE248" i="57"/>
  <c r="BH248" i="57"/>
  <c r="BO245" i="57"/>
  <c r="DO245" i="57"/>
  <c r="DC245" i="57"/>
  <c r="DM254" i="57"/>
  <c r="BP227" i="57"/>
  <c r="DP227" i="57"/>
  <c r="DD227" i="57"/>
  <c r="BQ227" i="57"/>
  <c r="BH251" i="57"/>
  <c r="DM251" i="57"/>
  <c r="AC266" i="57"/>
  <c r="DK251" i="57"/>
  <c r="CY251" i="57"/>
  <c r="DQ245" i="57"/>
  <c r="DE245" i="57"/>
  <c r="BN257" i="57"/>
  <c r="DQ242" i="57"/>
  <c r="DE242" i="57"/>
  <c r="DQ248" i="57"/>
  <c r="DE248" i="57"/>
  <c r="BC239" i="57"/>
  <c r="AE251" i="57"/>
  <c r="BO248" i="57"/>
  <c r="DO248" i="57"/>
  <c r="DC248" i="57"/>
  <c r="DA248" i="57"/>
  <c r="DB248" i="57"/>
  <c r="DN251" i="57"/>
  <c r="Q233" i="57"/>
  <c r="BA230" i="57"/>
  <c r="BB230" i="57"/>
  <c r="BI245" i="57"/>
  <c r="CW245" i="57"/>
  <c r="CW242" i="57"/>
  <c r="BI242" i="57"/>
  <c r="BC236" i="57"/>
  <c r="BD236" i="57"/>
  <c r="DJ236" i="57"/>
  <c r="BJ236" i="57"/>
  <c r="CX236" i="57"/>
  <c r="BK236" i="57"/>
  <c r="T251" i="57"/>
  <c r="DB379" i="57"/>
  <c r="DA251" i="57"/>
  <c r="DN254" i="57"/>
  <c r="BN254" i="57"/>
  <c r="V236" i="57"/>
  <c r="BF233" i="57"/>
  <c r="BG233" i="57"/>
  <c r="BD239" i="57"/>
  <c r="AF233" i="57"/>
  <c r="AF230" i="57"/>
  <c r="AZ375" i="57"/>
  <c r="BA373" i="57"/>
  <c r="BB373" i="57"/>
  <c r="DQ378" i="57"/>
  <c r="DE378" i="57"/>
  <c r="AY311" i="57"/>
  <c r="AY399" i="57"/>
  <c r="I317" i="57"/>
  <c r="BL375" i="57"/>
  <c r="DL375" i="57"/>
  <c r="CZ375" i="57"/>
  <c r="AN375" i="57"/>
  <c r="AB245" i="57"/>
  <c r="BM375" i="57"/>
  <c r="AO375" i="57"/>
  <c r="X257" i="57"/>
  <c r="DN257" i="57" s="1"/>
  <c r="BO378" i="57"/>
  <c r="DO378" i="57"/>
  <c r="DC378" i="57"/>
  <c r="AQ378" i="57"/>
  <c r="AE254" i="57"/>
  <c r="BL376" i="57"/>
  <c r="DL376" i="57"/>
  <c r="CZ376" i="57"/>
  <c r="BM376" i="57"/>
  <c r="CV305" i="57"/>
  <c r="DI305" i="57" s="1"/>
  <c r="BZ305" i="57"/>
  <c r="BE379" i="57"/>
  <c r="BH379" i="57"/>
  <c r="BY296" i="57"/>
  <c r="CU296" i="57"/>
  <c r="DH296" i="57" s="1"/>
  <c r="BA372" i="57"/>
  <c r="Q236" i="57"/>
  <c r="BB372" i="57"/>
  <c r="BF373" i="57"/>
  <c r="V239" i="57"/>
  <c r="BG373" i="57"/>
  <c r="BC375" i="57"/>
  <c r="BD375" i="57"/>
  <c r="BE378" i="57"/>
  <c r="U254" i="57"/>
  <c r="CU397" i="57"/>
  <c r="DH397" i="57" s="1"/>
  <c r="BY397" i="57"/>
  <c r="CV394" i="57"/>
  <c r="DI394" i="57" s="1"/>
  <c r="BZ394" i="57"/>
  <c r="AG251" i="57"/>
  <c r="O257" i="57"/>
  <c r="BN381" i="57"/>
  <c r="AP381" i="57"/>
  <c r="W254" i="57"/>
  <c r="BO379" i="57"/>
  <c r="DO379" i="57"/>
  <c r="DC379" i="57"/>
  <c r="AE257" i="57"/>
  <c r="T254" i="57"/>
  <c r="AY302" i="57"/>
  <c r="AY396" i="57"/>
  <c r="I308" i="57"/>
  <c r="DK379" i="57"/>
  <c r="CY379" i="57"/>
  <c r="L248" i="57"/>
  <c r="BZ397" i="57"/>
  <c r="CV397" i="57"/>
  <c r="DI397" i="57" s="1"/>
  <c r="AX311" i="57"/>
  <c r="AX399" i="57"/>
  <c r="F317" i="57"/>
  <c r="CU305" i="57"/>
  <c r="DH305" i="57" s="1"/>
  <c r="BY305" i="57"/>
  <c r="CV296" i="57"/>
  <c r="DI296" i="57" s="1"/>
  <c r="BZ296" i="57"/>
  <c r="K251" i="57"/>
  <c r="K254" i="57" s="1"/>
  <c r="AC269" i="57"/>
  <c r="N254" i="57"/>
  <c r="N257" i="57" s="1"/>
  <c r="Z239" i="57"/>
  <c r="S242" i="57"/>
  <c r="R263" i="57"/>
  <c r="CU394" i="57"/>
  <c r="DH394" i="57" s="1"/>
  <c r="BY394" i="57"/>
  <c r="AX302" i="57"/>
  <c r="AX396" i="57"/>
  <c r="F308" i="57"/>
  <c r="AZ236" i="57"/>
  <c r="P242" i="57"/>
  <c r="Y248" i="57"/>
  <c r="DA379" i="57"/>
  <c r="M248" i="57"/>
  <c r="M251" i="57" s="1"/>
  <c r="AA254" i="57"/>
  <c r="AD260" i="57"/>
  <c r="S195" i="44"/>
  <c r="S249" i="44"/>
  <c r="S240" i="44"/>
  <c r="S230" i="44"/>
  <c r="S130" i="44"/>
  <c r="S212" i="44"/>
  <c r="S88" i="44"/>
  <c r="AA257" i="57" l="1"/>
  <c r="CY254" i="57"/>
  <c r="DK254" i="57"/>
  <c r="BP233" i="57"/>
  <c r="DP233" i="57"/>
  <c r="DD233" i="57"/>
  <c r="BQ233" i="57"/>
  <c r="BO257" i="57"/>
  <c r="DO257" i="57"/>
  <c r="BF236" i="57"/>
  <c r="BG236" i="57"/>
  <c r="DO254" i="57"/>
  <c r="DC254" i="57"/>
  <c r="BO254" i="57"/>
  <c r="V242" i="57"/>
  <c r="BF239" i="57"/>
  <c r="BG239" i="57"/>
  <c r="BL245" i="57"/>
  <c r="DL245" i="57"/>
  <c r="CZ245" i="57"/>
  <c r="BM245" i="57"/>
  <c r="Y251" i="57"/>
  <c r="BI248" i="57"/>
  <c r="CW248" i="57"/>
  <c r="AG254" i="57"/>
  <c r="DQ251" i="57"/>
  <c r="DE251" i="57"/>
  <c r="Q239" i="57"/>
  <c r="BB239" i="57" s="1"/>
  <c r="BA236" i="57"/>
  <c r="BB236" i="57"/>
  <c r="P245" i="57"/>
  <c r="AZ245" i="57" s="1"/>
  <c r="AZ242" i="57"/>
  <c r="R266" i="57"/>
  <c r="DA254" i="57"/>
  <c r="BP230" i="57"/>
  <c r="DP230" i="57"/>
  <c r="DD230" i="57"/>
  <c r="BQ230" i="57"/>
  <c r="BA233" i="57"/>
  <c r="BB233" i="57"/>
  <c r="U257" i="57"/>
  <c r="BE254" i="57"/>
  <c r="S245" i="57"/>
  <c r="BC242" i="57"/>
  <c r="BD242" i="57"/>
  <c r="BO251" i="57"/>
  <c r="DO251" i="57"/>
  <c r="DC251" i="57"/>
  <c r="BH254" i="57"/>
  <c r="BE251" i="57"/>
  <c r="BN260" i="57"/>
  <c r="DN260" i="57"/>
  <c r="Z242" i="57"/>
  <c r="DJ239" i="57"/>
  <c r="BJ239" i="57"/>
  <c r="CX239" i="57"/>
  <c r="BK239" i="57"/>
  <c r="DN381" i="57"/>
  <c r="DM257" i="57"/>
  <c r="DB254" i="57"/>
  <c r="BL242" i="57"/>
  <c r="DL242" i="57"/>
  <c r="CZ242" i="57"/>
  <c r="BM242" i="57"/>
  <c r="BP373" i="57"/>
  <c r="BQ373" i="57"/>
  <c r="DD373" i="57"/>
  <c r="DP373" i="57"/>
  <c r="AF239" i="57"/>
  <c r="AS372" i="57"/>
  <c r="DP372" i="57"/>
  <c r="DD372" i="57"/>
  <c r="AR372" i="57"/>
  <c r="AF236" i="57"/>
  <c r="BQ372" i="57"/>
  <c r="BP372" i="57"/>
  <c r="X260" i="57"/>
  <c r="BJ376" i="57"/>
  <c r="DJ376" i="57"/>
  <c r="CX376" i="57"/>
  <c r="BK376" i="57"/>
  <c r="CW379" i="57"/>
  <c r="BI379" i="57"/>
  <c r="BZ396" i="57"/>
  <c r="CV396" i="57"/>
  <c r="DI396" i="57" s="1"/>
  <c r="BA239" i="57"/>
  <c r="BA375" i="57"/>
  <c r="BB375" i="57"/>
  <c r="BN382" i="57"/>
  <c r="AX317" i="57"/>
  <c r="F323" i="57"/>
  <c r="CV302" i="57"/>
  <c r="DI302" i="57" s="1"/>
  <c r="BZ302" i="57"/>
  <c r="BZ399" i="57"/>
  <c r="CV399" i="57"/>
  <c r="DI399" i="57" s="1"/>
  <c r="AE260" i="57"/>
  <c r="BY399" i="57"/>
  <c r="CU399" i="57"/>
  <c r="DH399" i="57" s="1"/>
  <c r="BF375" i="57"/>
  <c r="V245" i="57"/>
  <c r="BG375" i="57"/>
  <c r="CV311" i="57"/>
  <c r="DI311" i="57" s="1"/>
  <c r="BZ311" i="57"/>
  <c r="DQ379" i="57"/>
  <c r="DE379" i="57"/>
  <c r="AG257" i="57"/>
  <c r="AA260" i="57"/>
  <c r="M254" i="57"/>
  <c r="R269" i="57"/>
  <c r="CU311" i="57"/>
  <c r="DH311" i="57" s="1"/>
  <c r="BY311" i="57"/>
  <c r="AB248" i="57"/>
  <c r="BO381" i="57"/>
  <c r="DO381" i="57"/>
  <c r="AQ381" i="57"/>
  <c r="AE263" i="57"/>
  <c r="Q242" i="57"/>
  <c r="U263" i="57"/>
  <c r="AY317" i="57"/>
  <c r="I323" i="57"/>
  <c r="AX308" i="57"/>
  <c r="F314" i="57"/>
  <c r="DM381" i="57"/>
  <c r="CW378" i="57"/>
  <c r="BI378" i="57"/>
  <c r="AK378" i="57"/>
  <c r="Y254" i="57"/>
  <c r="K257" i="57"/>
  <c r="K260" i="57" s="1"/>
  <c r="BY396" i="57"/>
  <c r="CU396" i="57"/>
  <c r="DH396" i="57" s="1"/>
  <c r="N260" i="57"/>
  <c r="L254" i="57"/>
  <c r="AD263" i="57"/>
  <c r="AC272" i="57"/>
  <c r="U260" i="57"/>
  <c r="T257" i="57"/>
  <c r="M257" i="57"/>
  <c r="DK381" i="57"/>
  <c r="AA263" i="57"/>
  <c r="BF376" i="57"/>
  <c r="V248" i="57"/>
  <c r="BG376" i="57"/>
  <c r="AZ376" i="57"/>
  <c r="P248" i="57"/>
  <c r="AZ248" i="57" s="1"/>
  <c r="BC376" i="57"/>
  <c r="S248" i="57"/>
  <c r="BD376" i="57"/>
  <c r="DJ375" i="57"/>
  <c r="BJ375" i="57"/>
  <c r="CX375" i="57"/>
  <c r="AL375" i="57"/>
  <c r="Z245" i="57"/>
  <c r="AM375" i="57"/>
  <c r="BK375" i="57"/>
  <c r="W257" i="57"/>
  <c r="DC257" i="57" s="1"/>
  <c r="BY302" i="57"/>
  <c r="CU302" i="57"/>
  <c r="DH302" i="57" s="1"/>
  <c r="DM382" i="57"/>
  <c r="AY308" i="57"/>
  <c r="I314" i="57"/>
  <c r="L251" i="57"/>
  <c r="O260" i="57"/>
  <c r="S222" i="44"/>
  <c r="S92" i="44"/>
  <c r="S165" i="44"/>
  <c r="S131" i="44"/>
  <c r="S98" i="44"/>
  <c r="S101" i="44" s="1"/>
  <c r="S213" i="44"/>
  <c r="S167" i="44"/>
  <c r="AG260" i="57" l="1"/>
  <c r="DQ257" i="57"/>
  <c r="DE257" i="57"/>
  <c r="CW254" i="57"/>
  <c r="BI254" i="57"/>
  <c r="BP239" i="57"/>
  <c r="DP239" i="57"/>
  <c r="DD239" i="57"/>
  <c r="BQ239" i="57"/>
  <c r="BN263" i="57"/>
  <c r="BO263" i="57"/>
  <c r="R272" i="57"/>
  <c r="BC245" i="57"/>
  <c r="BD245" i="57"/>
  <c r="BE257" i="57"/>
  <c r="BP236" i="57"/>
  <c r="DP236" i="57"/>
  <c r="DD236" i="57"/>
  <c r="BQ236" i="57"/>
  <c r="BH257" i="57"/>
  <c r="BF242" i="57"/>
  <c r="BG242" i="57"/>
  <c r="DJ245" i="57"/>
  <c r="BJ245" i="57"/>
  <c r="CX245" i="57"/>
  <c r="BK245" i="57"/>
  <c r="BC248" i="57"/>
  <c r="BD248" i="57"/>
  <c r="BF248" i="57"/>
  <c r="BG248" i="57"/>
  <c r="BI251" i="57"/>
  <c r="CW251" i="57"/>
  <c r="BA242" i="57"/>
  <c r="BB242" i="57"/>
  <c r="BJ242" i="57"/>
  <c r="DJ242" i="57"/>
  <c r="CX242" i="57"/>
  <c r="BK242" i="57"/>
  <c r="DK257" i="57"/>
  <c r="CY257" i="57"/>
  <c r="DC381" i="57"/>
  <c r="DA257" i="57"/>
  <c r="DB257" i="57"/>
  <c r="DK263" i="57"/>
  <c r="AB251" i="57"/>
  <c r="DL248" i="57"/>
  <c r="CZ248" i="57"/>
  <c r="BL248" i="57"/>
  <c r="BM248" i="57"/>
  <c r="DK260" i="57"/>
  <c r="BF245" i="57"/>
  <c r="BG245" i="57"/>
  <c r="DO260" i="57"/>
  <c r="BO260" i="57"/>
  <c r="DN382" i="57"/>
  <c r="DM260" i="57"/>
  <c r="DQ254" i="57"/>
  <c r="DE254" i="57"/>
  <c r="X263" i="57"/>
  <c r="DO263" i="57" s="1"/>
  <c r="AF242" i="57"/>
  <c r="BP375" i="57"/>
  <c r="BQ375" i="57"/>
  <c r="DP375" i="57"/>
  <c r="AS375" i="57"/>
  <c r="DD375" i="57"/>
  <c r="AR375" i="57"/>
  <c r="DQ382" i="57"/>
  <c r="BL379" i="57"/>
  <c r="DL379" i="57"/>
  <c r="CZ379" i="57"/>
  <c r="BM379" i="57"/>
  <c r="CU308" i="57"/>
  <c r="DH308" i="57" s="1"/>
  <c r="BY308" i="57"/>
  <c r="CV308" i="57"/>
  <c r="DI308" i="57" s="1"/>
  <c r="BZ308" i="57"/>
  <c r="BC378" i="57"/>
  <c r="BD378" i="57"/>
  <c r="BF378" i="57"/>
  <c r="BG378" i="57"/>
  <c r="BH381" i="57"/>
  <c r="AY323" i="57"/>
  <c r="I329" i="57"/>
  <c r="AY403" i="57"/>
  <c r="BA376" i="57"/>
  <c r="BB376" i="57"/>
  <c r="M260" i="57"/>
  <c r="M263" i="57" s="1"/>
  <c r="CU317" i="57"/>
  <c r="DH317" i="57" s="1"/>
  <c r="BY317" i="57"/>
  <c r="BZ317" i="57"/>
  <c r="CV317" i="57"/>
  <c r="DI317" i="57" s="1"/>
  <c r="V251" i="57"/>
  <c r="BO382" i="57"/>
  <c r="DO382" i="57"/>
  <c r="AE266" i="57"/>
  <c r="AD266" i="57"/>
  <c r="Z248" i="57"/>
  <c r="R275" i="57"/>
  <c r="AZ378" i="57"/>
  <c r="P254" i="57"/>
  <c r="AZ254" i="57" s="1"/>
  <c r="AC275" i="57"/>
  <c r="W260" i="57"/>
  <c r="DM384" i="57"/>
  <c r="Y257" i="57"/>
  <c r="AY314" i="57"/>
  <c r="I320" i="57"/>
  <c r="AY400" i="57"/>
  <c r="DA381" i="57"/>
  <c r="DB381" i="57"/>
  <c r="AJ381" i="57"/>
  <c r="P251" i="57"/>
  <c r="AZ251" i="57" s="1"/>
  <c r="CY381" i="57"/>
  <c r="T260" i="57"/>
  <c r="BE381" i="57"/>
  <c r="DK382" i="57"/>
  <c r="AA266" i="57"/>
  <c r="BL378" i="57"/>
  <c r="CZ378" i="57"/>
  <c r="DL378" i="57"/>
  <c r="AN378" i="57"/>
  <c r="AB254" i="57"/>
  <c r="BM378" i="57"/>
  <c r="AO378" i="57"/>
  <c r="DQ381" i="57"/>
  <c r="DE381" i="57"/>
  <c r="AG263" i="57"/>
  <c r="L257" i="57"/>
  <c r="L260" i="57" s="1"/>
  <c r="U266" i="57"/>
  <c r="K263" i="57"/>
  <c r="K266" i="57" s="1"/>
  <c r="X269" i="57"/>
  <c r="AX314" i="57"/>
  <c r="F320" i="57"/>
  <c r="AX400" i="57"/>
  <c r="O263" i="57"/>
  <c r="O266" i="57" s="1"/>
  <c r="AX323" i="57"/>
  <c r="F329" i="57"/>
  <c r="AX403" i="57"/>
  <c r="Q245" i="57"/>
  <c r="N263" i="57"/>
  <c r="N266" i="57" s="1"/>
  <c r="S251" i="57"/>
  <c r="S221" i="44"/>
  <c r="S223" i="44" s="1"/>
  <c r="S172" i="44"/>
  <c r="S103" i="44"/>
  <c r="S107" i="44" s="1"/>
  <c r="AA269" i="57" l="1"/>
  <c r="DE382" i="57"/>
  <c r="DA260" i="57"/>
  <c r="DB260" i="57"/>
  <c r="BO266" i="57"/>
  <c r="BF251" i="57"/>
  <c r="BG251" i="57"/>
  <c r="AC278" i="57"/>
  <c r="BH260" i="57"/>
  <c r="DQ260" i="57"/>
  <c r="DE260" i="57"/>
  <c r="Q248" i="57"/>
  <c r="BA245" i="57"/>
  <c r="BB245" i="57"/>
  <c r="T263" i="57"/>
  <c r="CY260" i="57"/>
  <c r="R278" i="57"/>
  <c r="X272" i="57"/>
  <c r="DM269" i="57"/>
  <c r="BI257" i="57"/>
  <c r="CW257" i="57"/>
  <c r="Z251" i="57"/>
  <c r="BJ248" i="57"/>
  <c r="DJ248" i="57"/>
  <c r="CX248" i="57"/>
  <c r="BK248" i="57"/>
  <c r="AF245" i="57"/>
  <c r="BP242" i="57"/>
  <c r="DP242" i="57"/>
  <c r="DD242" i="57"/>
  <c r="BQ242" i="57"/>
  <c r="BE260" i="57"/>
  <c r="BL254" i="57"/>
  <c r="DL254" i="57"/>
  <c r="CZ254" i="57"/>
  <c r="BM254" i="57"/>
  <c r="AG266" i="57"/>
  <c r="DQ263" i="57"/>
  <c r="BN266" i="57"/>
  <c r="X266" i="57"/>
  <c r="DM263" i="57"/>
  <c r="BL251" i="57"/>
  <c r="DL251" i="57"/>
  <c r="CZ251" i="57"/>
  <c r="BM251" i="57"/>
  <c r="DN263" i="57"/>
  <c r="U269" i="57"/>
  <c r="S254" i="57"/>
  <c r="BC251" i="57"/>
  <c r="BD251" i="57"/>
  <c r="DC260" i="57"/>
  <c r="BQ376" i="57"/>
  <c r="BP376" i="57"/>
  <c r="DP376" i="57"/>
  <c r="DD376" i="57"/>
  <c r="AF248" i="57"/>
  <c r="W263" i="57"/>
  <c r="DC382" i="57"/>
  <c r="CY382" i="57"/>
  <c r="BE382" i="57"/>
  <c r="BA378" i="57"/>
  <c r="BB378" i="57"/>
  <c r="DQ384" i="57"/>
  <c r="DK385" i="57"/>
  <c r="AX320" i="57"/>
  <c r="AX402" i="57"/>
  <c r="F326" i="57"/>
  <c r="CV314" i="57"/>
  <c r="DI314" i="57" s="1"/>
  <c r="BZ314" i="57"/>
  <c r="BO384" i="57"/>
  <c r="DO384" i="57"/>
  <c r="AQ384" i="57"/>
  <c r="CU314" i="57"/>
  <c r="DH314" i="57" s="1"/>
  <c r="BY314" i="57"/>
  <c r="U272" i="57"/>
  <c r="DJ379" i="57"/>
  <c r="BJ379" i="57"/>
  <c r="CX379" i="57"/>
  <c r="BK379" i="57"/>
  <c r="BI381" i="57"/>
  <c r="CW381" i="57"/>
  <c r="AK381" i="57"/>
  <c r="BF379" i="57"/>
  <c r="BG379" i="57"/>
  <c r="Y260" i="57"/>
  <c r="AX329" i="57"/>
  <c r="AX405" i="57"/>
  <c r="F335" i="57"/>
  <c r="BZ403" i="57"/>
  <c r="CV403" i="57"/>
  <c r="DI403" i="57" s="1"/>
  <c r="Q251" i="57"/>
  <c r="BY323" i="57"/>
  <c r="CU323" i="57"/>
  <c r="DH323" i="57" s="1"/>
  <c r="L263" i="57"/>
  <c r="AZ379" i="57"/>
  <c r="P257" i="57"/>
  <c r="R281" i="57"/>
  <c r="AY329" i="57"/>
  <c r="AY405" i="57"/>
  <c r="I335" i="57"/>
  <c r="N269" i="57"/>
  <c r="DK384" i="57"/>
  <c r="AA272" i="57"/>
  <c r="CV323" i="57"/>
  <c r="DI323" i="57" s="1"/>
  <c r="BZ323" i="57"/>
  <c r="V254" i="57"/>
  <c r="CU400" i="57"/>
  <c r="DH400" i="57" s="1"/>
  <c r="BY400" i="57"/>
  <c r="CU403" i="57"/>
  <c r="DH403" i="57" s="1"/>
  <c r="BY403" i="57"/>
  <c r="O269" i="57"/>
  <c r="X275" i="57"/>
  <c r="DM275" i="57" s="1"/>
  <c r="DM385" i="57"/>
  <c r="AG269" i="57"/>
  <c r="DJ378" i="57"/>
  <c r="BJ378" i="57"/>
  <c r="CX378" i="57"/>
  <c r="AL378" i="57"/>
  <c r="Z254" i="57"/>
  <c r="AM378" i="57"/>
  <c r="BK378" i="57"/>
  <c r="M266" i="57"/>
  <c r="M269" i="57" s="1"/>
  <c r="AY320" i="57"/>
  <c r="AY402" i="57"/>
  <c r="I326" i="57"/>
  <c r="AC281" i="57"/>
  <c r="BC379" i="57"/>
  <c r="S257" i="57"/>
  <c r="BD379" i="57"/>
  <c r="K269" i="57"/>
  <c r="T266" i="57"/>
  <c r="BZ400" i="57"/>
  <c r="CV400" i="57"/>
  <c r="DI400" i="57" s="1"/>
  <c r="DA382" i="57"/>
  <c r="BH382" i="57"/>
  <c r="DB382" i="57"/>
  <c r="BN384" i="57"/>
  <c r="DN384" i="57"/>
  <c r="AP384" i="57"/>
  <c r="AE269" i="57"/>
  <c r="AD269" i="57"/>
  <c r="AB257" i="57"/>
  <c r="S105" i="44"/>
  <c r="S174" i="44"/>
  <c r="T169" i="44"/>
  <c r="AE272" i="57" l="1"/>
  <c r="BO269" i="57"/>
  <c r="DO269" i="57"/>
  <c r="DA263" i="57"/>
  <c r="DB263" i="57"/>
  <c r="CY263" i="57"/>
  <c r="DC263" i="57"/>
  <c r="BE266" i="57"/>
  <c r="DM266" i="57"/>
  <c r="DE263" i="57"/>
  <c r="DO266" i="57"/>
  <c r="DD248" i="57"/>
  <c r="BP248" i="57"/>
  <c r="DP248" i="57"/>
  <c r="BQ248" i="57"/>
  <c r="BC254" i="57"/>
  <c r="BD254" i="57"/>
  <c r="X278" i="57"/>
  <c r="DM272" i="57"/>
  <c r="BA251" i="57"/>
  <c r="BB251" i="57"/>
  <c r="DQ266" i="57"/>
  <c r="BE263" i="57"/>
  <c r="AC284" i="57"/>
  <c r="DN266" i="57"/>
  <c r="DK266" i="57"/>
  <c r="CX254" i="57"/>
  <c r="DJ254" i="57"/>
  <c r="BJ254" i="57"/>
  <c r="BK254" i="57"/>
  <c r="AB260" i="57"/>
  <c r="BL257" i="57"/>
  <c r="DL257" i="57"/>
  <c r="CZ257" i="57"/>
  <c r="BM257" i="57"/>
  <c r="BP245" i="57"/>
  <c r="DP245" i="57"/>
  <c r="DD245" i="57"/>
  <c r="BQ245" i="57"/>
  <c r="BA248" i="57"/>
  <c r="BB248" i="57"/>
  <c r="DK269" i="57"/>
  <c r="R284" i="57"/>
  <c r="P260" i="57"/>
  <c r="AZ257" i="57"/>
  <c r="BE384" i="57"/>
  <c r="AA275" i="57"/>
  <c r="DK272" i="57"/>
  <c r="AD272" i="57"/>
  <c r="BN269" i="57"/>
  <c r="DN269" i="57"/>
  <c r="BC257" i="57"/>
  <c r="BD257" i="57"/>
  <c r="AG272" i="57"/>
  <c r="DQ269" i="57"/>
  <c r="V257" i="57"/>
  <c r="BF254" i="57"/>
  <c r="BG254" i="57"/>
  <c r="CW260" i="57"/>
  <c r="BI260" i="57"/>
  <c r="BH263" i="57"/>
  <c r="DJ251" i="57"/>
  <c r="BJ251" i="57"/>
  <c r="CX251" i="57"/>
  <c r="BK251" i="57"/>
  <c r="W266" i="57"/>
  <c r="BH266" i="57" s="1"/>
  <c r="AF251" i="57"/>
  <c r="DD378" i="57"/>
  <c r="AR378" i="57"/>
  <c r="BQ378" i="57"/>
  <c r="AS378" i="57"/>
  <c r="BP378" i="57"/>
  <c r="DP378" i="57"/>
  <c r="DM387" i="57"/>
  <c r="BF381" i="57"/>
  <c r="BG381" i="57"/>
  <c r="AZ260" i="57"/>
  <c r="AZ382" i="57"/>
  <c r="DM388" i="57"/>
  <c r="DK387" i="57"/>
  <c r="BC381" i="57"/>
  <c r="BD381" i="57"/>
  <c r="AY326" i="57"/>
  <c r="I332" i="57"/>
  <c r="CU402" i="57"/>
  <c r="DH402" i="57" s="1"/>
  <c r="BY402" i="57"/>
  <c r="T269" i="57"/>
  <c r="BL382" i="57"/>
  <c r="CZ382" i="57"/>
  <c r="DL382" i="57"/>
  <c r="BM382" i="57"/>
  <c r="CV402" i="57"/>
  <c r="DI402" i="57" s="1"/>
  <c r="BZ402" i="57"/>
  <c r="AX335" i="57"/>
  <c r="F341" i="57"/>
  <c r="BY320" i="57"/>
  <c r="CU320" i="57"/>
  <c r="DH320" i="57" s="1"/>
  <c r="O272" i="57"/>
  <c r="DB384" i="57"/>
  <c r="BZ320" i="57"/>
  <c r="CV320" i="57"/>
  <c r="DI320" i="57" s="1"/>
  <c r="DQ385" i="57"/>
  <c r="AG275" i="57"/>
  <c r="W269" i="57"/>
  <c r="DB269" i="57" s="1"/>
  <c r="AY335" i="57"/>
  <c r="I341" i="57"/>
  <c r="CU405" i="57"/>
  <c r="DH405" i="57" s="1"/>
  <c r="BY405" i="57"/>
  <c r="DC384" i="57"/>
  <c r="AC287" i="57"/>
  <c r="BZ405" i="57"/>
  <c r="CV405" i="57"/>
  <c r="DI405" i="57" s="1"/>
  <c r="BY329" i="57"/>
  <c r="CU329" i="57"/>
  <c r="DH329" i="57" s="1"/>
  <c r="DA384" i="57"/>
  <c r="BH384" i="57"/>
  <c r="AJ384" i="57"/>
  <c r="M272" i="57"/>
  <c r="M275" i="57" s="1"/>
  <c r="V260" i="57"/>
  <c r="AA278" i="57"/>
  <c r="CV329" i="57"/>
  <c r="DI329" i="57" s="1"/>
  <c r="BZ329" i="57"/>
  <c r="CW382" i="57"/>
  <c r="BI382" i="57"/>
  <c r="U275" i="57"/>
  <c r="AX326" i="57"/>
  <c r="F332" i="57"/>
  <c r="BN385" i="57"/>
  <c r="DN385" i="57"/>
  <c r="AD275" i="57"/>
  <c r="X281" i="57"/>
  <c r="DM281" i="57" s="1"/>
  <c r="R287" i="57"/>
  <c r="Z257" i="57"/>
  <c r="L266" i="57"/>
  <c r="L269" i="57" s="1"/>
  <c r="AZ381" i="57"/>
  <c r="P263" i="57"/>
  <c r="BL381" i="57"/>
  <c r="CZ381" i="57"/>
  <c r="DL381" i="57"/>
  <c r="AN381" i="57"/>
  <c r="AB263" i="57"/>
  <c r="BM381" i="57"/>
  <c r="AO381" i="57"/>
  <c r="BO385" i="57"/>
  <c r="DO385" i="57"/>
  <c r="AE275" i="57"/>
  <c r="CY384" i="57"/>
  <c r="BA379" i="57"/>
  <c r="BB379" i="57"/>
  <c r="Y263" i="57"/>
  <c r="K272" i="57"/>
  <c r="K275" i="57" s="1"/>
  <c r="Q254" i="57"/>
  <c r="N272" i="57"/>
  <c r="N275" i="57" s="1"/>
  <c r="S260" i="57"/>
  <c r="S211" i="44"/>
  <c r="S129" i="44"/>
  <c r="S133" i="44" s="1"/>
  <c r="S109" i="44"/>
  <c r="BC260" i="57" l="1"/>
  <c r="BD260" i="57"/>
  <c r="BF260" i="57"/>
  <c r="BG260" i="57"/>
  <c r="DB385" i="57"/>
  <c r="DA269" i="57"/>
  <c r="BH269" i="57"/>
  <c r="T272" i="57"/>
  <c r="DE269" i="57"/>
  <c r="BL260" i="57"/>
  <c r="DL260" i="57"/>
  <c r="CZ260" i="57"/>
  <c r="BM260" i="57"/>
  <c r="DK278" i="57"/>
  <c r="AG278" i="57"/>
  <c r="DQ275" i="57"/>
  <c r="DK275" i="57"/>
  <c r="DC269" i="57"/>
  <c r="AF254" i="57"/>
  <c r="DD251" i="57"/>
  <c r="BP251" i="57"/>
  <c r="DP251" i="57"/>
  <c r="BQ251" i="57"/>
  <c r="DQ272" i="57"/>
  <c r="DE272" i="57"/>
  <c r="BN272" i="57"/>
  <c r="DN272" i="57"/>
  <c r="X284" i="57"/>
  <c r="CY269" i="57"/>
  <c r="BE269" i="57"/>
  <c r="BL263" i="57"/>
  <c r="DL263" i="57"/>
  <c r="CZ263" i="57"/>
  <c r="BM263" i="57"/>
  <c r="AE278" i="57"/>
  <c r="DO275" i="57"/>
  <c r="BO275" i="57"/>
  <c r="R290" i="57"/>
  <c r="Y266" i="57"/>
  <c r="CW263" i="57"/>
  <c r="BI263" i="57"/>
  <c r="BO272" i="57"/>
  <c r="DO272" i="57"/>
  <c r="Z260" i="57"/>
  <c r="DJ257" i="57"/>
  <c r="BJ257" i="57"/>
  <c r="CX257" i="57"/>
  <c r="BK257" i="57"/>
  <c r="Q257" i="57"/>
  <c r="BA254" i="57"/>
  <c r="BB254" i="57"/>
  <c r="P266" i="57"/>
  <c r="AZ266" i="57" s="1"/>
  <c r="AZ263" i="57"/>
  <c r="AD278" i="57"/>
  <c r="BN275" i="57"/>
  <c r="DN275" i="57"/>
  <c r="DE384" i="57"/>
  <c r="DA266" i="57"/>
  <c r="DC266" i="57"/>
  <c r="DB266" i="57"/>
  <c r="CY266" i="57"/>
  <c r="BF257" i="57"/>
  <c r="BG257" i="57"/>
  <c r="DE266" i="57"/>
  <c r="DM278" i="57"/>
  <c r="AF257" i="57"/>
  <c r="AF260" i="57"/>
  <c r="BQ379" i="57"/>
  <c r="DD379" i="57"/>
  <c r="BP379" i="57"/>
  <c r="DP379" i="57"/>
  <c r="W272" i="57"/>
  <c r="DB272" i="57" s="1"/>
  <c r="DC385" i="57"/>
  <c r="AZ384" i="57"/>
  <c r="BN388" i="57"/>
  <c r="DN388" i="57"/>
  <c r="DQ388" i="57"/>
  <c r="DM390" i="57"/>
  <c r="BO388" i="57"/>
  <c r="DO388" i="57"/>
  <c r="DJ382" i="57"/>
  <c r="BJ382" i="57"/>
  <c r="CX382" i="57"/>
  <c r="BK382" i="57"/>
  <c r="CW384" i="57"/>
  <c r="BI384" i="57"/>
  <c r="AK384" i="57"/>
  <c r="DA385" i="57"/>
  <c r="BH385" i="57"/>
  <c r="CY385" i="57"/>
  <c r="BA381" i="57"/>
  <c r="BB381" i="57"/>
  <c r="CU335" i="57"/>
  <c r="DH335" i="57" s="1"/>
  <c r="BY335" i="57"/>
  <c r="L272" i="57"/>
  <c r="BC382" i="57"/>
  <c r="BD382" i="57"/>
  <c r="BJ381" i="57"/>
  <c r="DJ381" i="57"/>
  <c r="CX381" i="57"/>
  <c r="AL381" i="57"/>
  <c r="Z263" i="57"/>
  <c r="AM381" i="57"/>
  <c r="BK381" i="57"/>
  <c r="O275" i="57"/>
  <c r="O278" i="57" s="1"/>
  <c r="N278" i="57"/>
  <c r="N281" i="57" s="1"/>
  <c r="BN387" i="57"/>
  <c r="DN387" i="57"/>
  <c r="AP387" i="57"/>
  <c r="AD281" i="57"/>
  <c r="BF382" i="57"/>
  <c r="BG382" i="57"/>
  <c r="DQ387" i="57"/>
  <c r="AG281" i="57"/>
  <c r="T275" i="57"/>
  <c r="BE385" i="57"/>
  <c r="S263" i="57"/>
  <c r="AC290" i="57"/>
  <c r="BZ335" i="57"/>
  <c r="CV335" i="57"/>
  <c r="DI335" i="57" s="1"/>
  <c r="DK388" i="57"/>
  <c r="M278" i="57"/>
  <c r="M281" i="57" s="1"/>
  <c r="DE385" i="57"/>
  <c r="AA281" i="57"/>
  <c r="AY332" i="57"/>
  <c r="I338" i="57"/>
  <c r="AY406" i="57"/>
  <c r="CU326" i="57"/>
  <c r="DH326" i="57" s="1"/>
  <c r="BY326" i="57"/>
  <c r="K278" i="57"/>
  <c r="K281" i="57" s="1"/>
  <c r="BO387" i="57"/>
  <c r="DO387" i="57"/>
  <c r="AQ387" i="57"/>
  <c r="AE281" i="57"/>
  <c r="R293" i="57"/>
  <c r="Y269" i="57"/>
  <c r="BZ326" i="57"/>
  <c r="CV326" i="57"/>
  <c r="DI326" i="57" s="1"/>
  <c r="V263" i="57"/>
  <c r="Q260" i="57"/>
  <c r="P269" i="57"/>
  <c r="AZ269" i="57" s="1"/>
  <c r="X287" i="57"/>
  <c r="DM287" i="57" s="1"/>
  <c r="AX332" i="57"/>
  <c r="F338" i="57"/>
  <c r="AX406" i="57"/>
  <c r="U278" i="57"/>
  <c r="AY341" i="57"/>
  <c r="I347" i="57"/>
  <c r="AY409" i="57"/>
  <c r="AX341" i="57"/>
  <c r="F347" i="57"/>
  <c r="AX409" i="57"/>
  <c r="AB266" i="57"/>
  <c r="S215" i="44"/>
  <c r="S247" i="44" s="1"/>
  <c r="S111" i="44"/>
  <c r="S248" i="44"/>
  <c r="S141" i="44"/>
  <c r="S143" i="44" s="1"/>
  <c r="S258" i="44"/>
  <c r="BF263" i="57" l="1"/>
  <c r="BG263" i="57"/>
  <c r="Y272" i="57"/>
  <c r="BI269" i="57"/>
  <c r="CW269" i="57"/>
  <c r="AG284" i="57"/>
  <c r="DQ281" i="57"/>
  <c r="Z266" i="57"/>
  <c r="DJ263" i="57"/>
  <c r="BJ263" i="57"/>
  <c r="CX263" i="57"/>
  <c r="BK263" i="57"/>
  <c r="BA257" i="57"/>
  <c r="BB257" i="57"/>
  <c r="DK281" i="57"/>
  <c r="BC263" i="57"/>
  <c r="BD263" i="57"/>
  <c r="DJ260" i="57"/>
  <c r="BJ260" i="57"/>
  <c r="CX260" i="57"/>
  <c r="BK260" i="57"/>
  <c r="CW266" i="57"/>
  <c r="BI266" i="57"/>
  <c r="BP254" i="57"/>
  <c r="DP254" i="57"/>
  <c r="DD254" i="57"/>
  <c r="BQ254" i="57"/>
  <c r="DQ278" i="57"/>
  <c r="BE272" i="57"/>
  <c r="X290" i="57"/>
  <c r="BP257" i="57"/>
  <c r="DP257" i="57"/>
  <c r="DD257" i="57"/>
  <c r="BQ257" i="57"/>
  <c r="DA272" i="57"/>
  <c r="BH272" i="57"/>
  <c r="CY272" i="57"/>
  <c r="DP260" i="57"/>
  <c r="DD260" i="57"/>
  <c r="BP260" i="57"/>
  <c r="BQ260" i="57"/>
  <c r="BN278" i="57"/>
  <c r="DN278" i="57"/>
  <c r="BO278" i="57"/>
  <c r="DO278" i="57"/>
  <c r="DM284" i="57"/>
  <c r="AE284" i="57"/>
  <c r="BO281" i="57"/>
  <c r="DO281" i="57"/>
  <c r="AB269" i="57"/>
  <c r="BL266" i="57"/>
  <c r="DL266" i="57"/>
  <c r="CZ266" i="57"/>
  <c r="BM266" i="57"/>
  <c r="BA260" i="57"/>
  <c r="BB260" i="57"/>
  <c r="T278" i="57"/>
  <c r="BN281" i="57"/>
  <c r="DN281" i="57"/>
  <c r="DB281" i="57"/>
  <c r="BE275" i="57"/>
  <c r="DC272" i="57"/>
  <c r="BP382" i="57"/>
  <c r="DP382" i="57"/>
  <c r="DD382" i="57"/>
  <c r="BQ382" i="57"/>
  <c r="W275" i="57"/>
  <c r="BP381" i="57"/>
  <c r="DP381" i="57"/>
  <c r="DD381" i="57"/>
  <c r="AR381" i="57"/>
  <c r="AS381" i="57"/>
  <c r="BQ381" i="57"/>
  <c r="AF263" i="57"/>
  <c r="BJ384" i="57"/>
  <c r="DJ384" i="57"/>
  <c r="CX384" i="57"/>
  <c r="AL384" i="57"/>
  <c r="AM384" i="57"/>
  <c r="BK384" i="57"/>
  <c r="DQ390" i="57"/>
  <c r="DO390" i="57"/>
  <c r="AY338" i="57"/>
  <c r="AY408" i="57"/>
  <c r="I344" i="57"/>
  <c r="BH388" i="57"/>
  <c r="BL384" i="57"/>
  <c r="DL384" i="57"/>
  <c r="CZ384" i="57"/>
  <c r="AN384" i="57"/>
  <c r="AB272" i="57"/>
  <c r="AO384" i="57"/>
  <c r="BM384" i="57"/>
  <c r="BE388" i="57"/>
  <c r="CV332" i="57"/>
  <c r="DI332" i="57" s="1"/>
  <c r="BZ332" i="57"/>
  <c r="O281" i="57"/>
  <c r="O284" i="57" s="1"/>
  <c r="AZ385" i="57"/>
  <c r="BL385" i="57"/>
  <c r="DL385" i="57"/>
  <c r="CZ385" i="57"/>
  <c r="BM385" i="57"/>
  <c r="CU409" i="57"/>
  <c r="DH409" i="57" s="1"/>
  <c r="BY409" i="57"/>
  <c r="AD284" i="57"/>
  <c r="CU406" i="57"/>
  <c r="DH406" i="57" s="1"/>
  <c r="BY406" i="57"/>
  <c r="AX347" i="57"/>
  <c r="AX411" i="57"/>
  <c r="F353" i="57"/>
  <c r="AX338" i="57"/>
  <c r="AX408" i="57"/>
  <c r="F344" i="57"/>
  <c r="BA382" i="57"/>
  <c r="BB382" i="57"/>
  <c r="T281" i="57"/>
  <c r="W281" i="57"/>
  <c r="CY281" i="57" s="1"/>
  <c r="DA387" i="57"/>
  <c r="CY387" i="57"/>
  <c r="AJ387" i="57"/>
  <c r="BY341" i="57"/>
  <c r="CU341" i="57"/>
  <c r="DH341" i="57" s="1"/>
  <c r="CU332" i="57"/>
  <c r="DH332" i="57" s="1"/>
  <c r="BY332" i="57"/>
  <c r="K284" i="57"/>
  <c r="M284" i="57"/>
  <c r="DB387" i="57"/>
  <c r="Q263" i="57"/>
  <c r="U281" i="57"/>
  <c r="Z269" i="57"/>
  <c r="BE387" i="57"/>
  <c r="BZ409" i="57"/>
  <c r="CV409" i="57"/>
  <c r="DI409" i="57" s="1"/>
  <c r="AY347" i="57"/>
  <c r="AY411" i="57"/>
  <c r="I353" i="57"/>
  <c r="BI385" i="57"/>
  <c r="CW385" i="57"/>
  <c r="Y275" i="57"/>
  <c r="AA284" i="57"/>
  <c r="AG287" i="57"/>
  <c r="S266" i="57"/>
  <c r="AC293" i="57"/>
  <c r="L275" i="57"/>
  <c r="DE388" i="57"/>
  <c r="P272" i="57"/>
  <c r="AZ272" i="57" s="1"/>
  <c r="BZ341" i="57"/>
  <c r="CV341" i="57"/>
  <c r="DI341" i="57" s="1"/>
  <c r="X293" i="57"/>
  <c r="AE287" i="57"/>
  <c r="CV406" i="57"/>
  <c r="DI406" i="57" s="1"/>
  <c r="BZ406" i="57"/>
  <c r="CY388" i="57"/>
  <c r="V266" i="57"/>
  <c r="N284" i="57"/>
  <c r="N287" i="57" s="1"/>
  <c r="DM391" i="57"/>
  <c r="R296" i="57"/>
  <c r="DC388" i="57"/>
  <c r="S253" i="44"/>
  <c r="S254" i="44" s="1"/>
  <c r="P60" i="108" s="1"/>
  <c r="S257" i="44"/>
  <c r="S263" i="44" s="1"/>
  <c r="S264" i="44" s="1"/>
  <c r="S229" i="44"/>
  <c r="S234" i="44" s="1"/>
  <c r="S235" i="44" s="1"/>
  <c r="S220" i="44"/>
  <c r="S225" i="44" s="1"/>
  <c r="S156" i="44"/>
  <c r="S157" i="44" s="1"/>
  <c r="T155" i="44" s="1"/>
  <c r="P56" i="108" l="1"/>
  <c r="CZ272" i="57"/>
  <c r="BL272" i="57"/>
  <c r="DL272" i="57"/>
  <c r="BM272" i="57"/>
  <c r="DC281" i="57"/>
  <c r="DQ284" i="57"/>
  <c r="BO390" i="57"/>
  <c r="DN284" i="57"/>
  <c r="BN284" i="57"/>
  <c r="BP263" i="57"/>
  <c r="DP263" i="57"/>
  <c r="DD263" i="57"/>
  <c r="BQ263" i="57"/>
  <c r="Z272" i="57"/>
  <c r="BJ269" i="57"/>
  <c r="DJ269" i="57"/>
  <c r="CX269" i="57"/>
  <c r="BK269" i="57"/>
  <c r="DM290" i="57"/>
  <c r="S269" i="57"/>
  <c r="BC266" i="57"/>
  <c r="BD266" i="57"/>
  <c r="BA263" i="57"/>
  <c r="BB263" i="57"/>
  <c r="W278" i="57"/>
  <c r="DA275" i="57"/>
  <c r="BH275" i="57"/>
  <c r="CY275" i="57"/>
  <c r="DC275" i="57"/>
  <c r="DB275" i="57"/>
  <c r="DE275" i="57"/>
  <c r="BE278" i="57"/>
  <c r="BO284" i="57"/>
  <c r="DO284" i="57"/>
  <c r="DM293" i="57"/>
  <c r="AE290" i="57"/>
  <c r="DO287" i="57"/>
  <c r="BL269" i="57"/>
  <c r="DL269" i="57"/>
  <c r="CZ269" i="57"/>
  <c r="BM269" i="57"/>
  <c r="DA281" i="57"/>
  <c r="BH281" i="57"/>
  <c r="BJ266" i="57"/>
  <c r="CX266" i="57"/>
  <c r="DJ266" i="57"/>
  <c r="BK266" i="57"/>
  <c r="DE281" i="57"/>
  <c r="BI275" i="57"/>
  <c r="CW275" i="57"/>
  <c r="AG290" i="57"/>
  <c r="DQ287" i="57"/>
  <c r="BI272" i="57"/>
  <c r="CW272" i="57"/>
  <c r="R299" i="57"/>
  <c r="U284" i="57"/>
  <c r="BE281" i="57"/>
  <c r="V269" i="57"/>
  <c r="BF266" i="57"/>
  <c r="BG266" i="57"/>
  <c r="DK284" i="57"/>
  <c r="CY284" i="57"/>
  <c r="DA388" i="57"/>
  <c r="AF266" i="57"/>
  <c r="AF269" i="57"/>
  <c r="DC387" i="57"/>
  <c r="BH387" i="57"/>
  <c r="DE387" i="57"/>
  <c r="BC385" i="57"/>
  <c r="BD385" i="57"/>
  <c r="CW387" i="57"/>
  <c r="BI387" i="57"/>
  <c r="AK387" i="57"/>
  <c r="AX353" i="57"/>
  <c r="F359" i="57"/>
  <c r="BF385" i="57"/>
  <c r="BG385" i="57"/>
  <c r="BY411" i="57"/>
  <c r="CU411" i="57"/>
  <c r="DH411" i="57" s="1"/>
  <c r="O287" i="57"/>
  <c r="AQ390" i="57"/>
  <c r="R302" i="57"/>
  <c r="DJ385" i="57"/>
  <c r="BJ385" i="57"/>
  <c r="CX385" i="57"/>
  <c r="Z275" i="57"/>
  <c r="BK385" i="57"/>
  <c r="CU347" i="57"/>
  <c r="DH347" i="57" s="1"/>
  <c r="BY347" i="57"/>
  <c r="AB275" i="57"/>
  <c r="W284" i="57"/>
  <c r="DC284" i="57" s="1"/>
  <c r="AY353" i="57"/>
  <c r="I359" i="57"/>
  <c r="Q266" i="57"/>
  <c r="Y278" i="57"/>
  <c r="N290" i="57"/>
  <c r="DQ391" i="57"/>
  <c r="AG293" i="57"/>
  <c r="CV411" i="57"/>
  <c r="DI411" i="57" s="1"/>
  <c r="BZ411" i="57"/>
  <c r="AD287" i="57"/>
  <c r="AY344" i="57"/>
  <c r="I350" i="57"/>
  <c r="BC384" i="57"/>
  <c r="S272" i="57"/>
  <c r="BD384" i="57"/>
  <c r="U287" i="57"/>
  <c r="BF384" i="57"/>
  <c r="V272" i="57"/>
  <c r="BG384" i="57"/>
  <c r="DO391" i="57"/>
  <c r="AE293" i="57"/>
  <c r="DK390" i="57"/>
  <c r="CV347" i="57"/>
  <c r="DI347" i="57" s="1"/>
  <c r="BZ347" i="57"/>
  <c r="T284" i="57"/>
  <c r="AX344" i="57"/>
  <c r="F350" i="57"/>
  <c r="L278" i="57"/>
  <c r="L281" i="57" s="1"/>
  <c r="BZ408" i="57"/>
  <c r="CV408" i="57"/>
  <c r="DI408" i="57" s="1"/>
  <c r="K287" i="57"/>
  <c r="CU338" i="57"/>
  <c r="DH338" i="57" s="1"/>
  <c r="BY338" i="57"/>
  <c r="DM393" i="57"/>
  <c r="AC296" i="57"/>
  <c r="CU408" i="57"/>
  <c r="DH408" i="57" s="1"/>
  <c r="BY408" i="57"/>
  <c r="BN390" i="57"/>
  <c r="DN390" i="57"/>
  <c r="AP390" i="57"/>
  <c r="P275" i="57"/>
  <c r="AZ275" i="57" s="1"/>
  <c r="AA287" i="57"/>
  <c r="BZ338" i="57"/>
  <c r="CV338" i="57"/>
  <c r="DI338" i="57" s="1"/>
  <c r="M287" i="57"/>
  <c r="M290" i="57" s="1"/>
  <c r="X296" i="57"/>
  <c r="S226" i="44"/>
  <c r="P55" i="108" s="1"/>
  <c r="F95" i="98"/>
  <c r="F99" i="98"/>
  <c r="P61" i="108"/>
  <c r="T187" i="44"/>
  <c r="S160" i="44"/>
  <c r="S161" i="44" s="1"/>
  <c r="T159" i="44" s="1"/>
  <c r="BE390" i="57" l="1"/>
  <c r="Q269" i="57"/>
  <c r="BA266" i="57"/>
  <c r="BB266" i="57"/>
  <c r="DO290" i="57"/>
  <c r="DB284" i="57"/>
  <c r="R305" i="57"/>
  <c r="DB388" i="57"/>
  <c r="DA278" i="57"/>
  <c r="CY278" i="57"/>
  <c r="BH278" i="57"/>
  <c r="DC278" i="57"/>
  <c r="DB278" i="57"/>
  <c r="DE278" i="57"/>
  <c r="BC272" i="57"/>
  <c r="BD272" i="57"/>
  <c r="BP266" i="57"/>
  <c r="DP266" i="57"/>
  <c r="DD266" i="57"/>
  <c r="BQ266" i="57"/>
  <c r="BF269" i="57"/>
  <c r="BG269" i="57"/>
  <c r="BE284" i="57"/>
  <c r="BJ272" i="57"/>
  <c r="DJ272" i="57"/>
  <c r="CX272" i="57"/>
  <c r="BK272" i="57"/>
  <c r="AC299" i="57"/>
  <c r="DM296" i="57"/>
  <c r="DO293" i="57"/>
  <c r="AG296" i="57"/>
  <c r="DQ293" i="57"/>
  <c r="BF272" i="57"/>
  <c r="BG272" i="57"/>
  <c r="W287" i="57"/>
  <c r="DA284" i="57"/>
  <c r="BH284" i="57"/>
  <c r="DJ275" i="57"/>
  <c r="BJ275" i="57"/>
  <c r="CX275" i="57"/>
  <c r="BK275" i="57"/>
  <c r="BC269" i="57"/>
  <c r="BD269" i="57"/>
  <c r="DE284" i="57"/>
  <c r="U290" i="57"/>
  <c r="BO391" i="57"/>
  <c r="BN287" i="57"/>
  <c r="DN287" i="57"/>
  <c r="DB287" i="57"/>
  <c r="BP269" i="57"/>
  <c r="DP269" i="57"/>
  <c r="DD269" i="57"/>
  <c r="BQ269" i="57"/>
  <c r="BO287" i="57"/>
  <c r="DK287" i="57"/>
  <c r="CY287" i="57"/>
  <c r="Y281" i="57"/>
  <c r="CW278" i="57"/>
  <c r="BI278" i="57"/>
  <c r="AB278" i="57"/>
  <c r="BL275" i="57"/>
  <c r="DL275" i="57"/>
  <c r="CZ275" i="57"/>
  <c r="BM275" i="57"/>
  <c r="DQ290" i="57"/>
  <c r="DB390" i="57"/>
  <c r="AF272" i="57"/>
  <c r="BP385" i="57"/>
  <c r="DP385" i="57"/>
  <c r="DD385" i="57"/>
  <c r="AF275" i="57"/>
  <c r="BQ385" i="57"/>
  <c r="CY390" i="57"/>
  <c r="DP384" i="57"/>
  <c r="DD384" i="57"/>
  <c r="AR384" i="57"/>
  <c r="BQ384" i="57"/>
  <c r="AS384" i="57"/>
  <c r="BP384" i="57"/>
  <c r="AD290" i="57"/>
  <c r="DC391" i="57"/>
  <c r="DQ394" i="57"/>
  <c r="CU344" i="57"/>
  <c r="DH344" i="57" s="1"/>
  <c r="BY344" i="57"/>
  <c r="CV353" i="57"/>
  <c r="DI353" i="57" s="1"/>
  <c r="BZ353" i="57"/>
  <c r="W290" i="57"/>
  <c r="DE290" i="57" s="1"/>
  <c r="DA390" i="57"/>
  <c r="BH390" i="57"/>
  <c r="AJ390" i="57"/>
  <c r="DC390" i="57"/>
  <c r="DE390" i="57"/>
  <c r="DJ387" i="57"/>
  <c r="BJ387" i="57"/>
  <c r="CX387" i="57"/>
  <c r="AL387" i="57"/>
  <c r="AM387" i="57"/>
  <c r="BK387" i="57"/>
  <c r="V275" i="57"/>
  <c r="AX350" i="57"/>
  <c r="F356" i="57"/>
  <c r="AX412" i="57"/>
  <c r="Z278" i="57"/>
  <c r="BL388" i="57"/>
  <c r="DL388" i="57"/>
  <c r="CZ388" i="57"/>
  <c r="BM388" i="57"/>
  <c r="AZ387" i="57"/>
  <c r="DM394" i="57"/>
  <c r="AC302" i="57"/>
  <c r="M293" i="57"/>
  <c r="M296" i="57" s="1"/>
  <c r="U293" i="57"/>
  <c r="AY350" i="57"/>
  <c r="I356" i="57"/>
  <c r="AY412" i="57"/>
  <c r="P278" i="57"/>
  <c r="AZ278" i="57" s="1"/>
  <c r="BL387" i="57"/>
  <c r="DL387" i="57"/>
  <c r="CZ387" i="57"/>
  <c r="AN387" i="57"/>
  <c r="AB281" i="57"/>
  <c r="AO387" i="57"/>
  <c r="BM387" i="57"/>
  <c r="BZ344" i="57"/>
  <c r="CV344" i="57"/>
  <c r="DI344" i="57" s="1"/>
  <c r="DA391" i="57"/>
  <c r="BH391" i="57"/>
  <c r="X299" i="57"/>
  <c r="T287" i="57"/>
  <c r="BA385" i="57"/>
  <c r="BB385" i="57"/>
  <c r="CW388" i="57"/>
  <c r="BI388" i="57"/>
  <c r="Y284" i="57"/>
  <c r="R308" i="57"/>
  <c r="K290" i="57"/>
  <c r="DK391" i="57"/>
  <c r="CY391" i="57"/>
  <c r="AY359" i="57"/>
  <c r="I365" i="57"/>
  <c r="AY415" i="57"/>
  <c r="CU353" i="57"/>
  <c r="DH353" i="57" s="1"/>
  <c r="BY353" i="57"/>
  <c r="DO393" i="57"/>
  <c r="BN391" i="57"/>
  <c r="DN391" i="57"/>
  <c r="DB391" i="57"/>
  <c r="AD293" i="57"/>
  <c r="BO293" i="57" s="1"/>
  <c r="N293" i="57"/>
  <c r="DQ393" i="57"/>
  <c r="AG299" i="57"/>
  <c r="L284" i="57"/>
  <c r="AA290" i="57"/>
  <c r="BA384" i="57"/>
  <c r="Q272" i="57"/>
  <c r="BB384" i="57"/>
  <c r="O290" i="57"/>
  <c r="O293" i="57" s="1"/>
  <c r="AX359" i="57"/>
  <c r="F365" i="57"/>
  <c r="AX415" i="57"/>
  <c r="S275" i="57"/>
  <c r="AE296" i="57"/>
  <c r="T189" i="44"/>
  <c r="T251" i="44"/>
  <c r="T192" i="44"/>
  <c r="T232" i="44"/>
  <c r="T241" i="44"/>
  <c r="V278" i="57" l="1"/>
  <c r="BF275" i="57"/>
  <c r="BG275" i="57"/>
  <c r="BN290" i="57"/>
  <c r="DN290" i="57"/>
  <c r="DB290" i="57"/>
  <c r="BP272" i="57"/>
  <c r="DP272" i="57"/>
  <c r="DD272" i="57"/>
  <c r="BQ272" i="57"/>
  <c r="DQ296" i="57"/>
  <c r="BO290" i="57"/>
  <c r="DE391" i="57"/>
  <c r="DA287" i="57"/>
  <c r="BH287" i="57"/>
  <c r="DC287" i="57"/>
  <c r="DE287" i="57"/>
  <c r="DC290" i="57"/>
  <c r="CW284" i="57"/>
  <c r="BI284" i="57"/>
  <c r="DJ278" i="57"/>
  <c r="BJ278" i="57"/>
  <c r="CX278" i="57"/>
  <c r="BK278" i="57"/>
  <c r="BP275" i="57"/>
  <c r="DP275" i="57"/>
  <c r="DD275" i="57"/>
  <c r="BQ275" i="57"/>
  <c r="BI281" i="57"/>
  <c r="CW281" i="57"/>
  <c r="BE287" i="57"/>
  <c r="S278" i="57"/>
  <c r="BC275" i="57"/>
  <c r="BD275" i="57"/>
  <c r="W293" i="57"/>
  <c r="DA290" i="57"/>
  <c r="BH290" i="57"/>
  <c r="DM299" i="57"/>
  <c r="AA293" i="57"/>
  <c r="CY290" i="57"/>
  <c r="DK290" i="57"/>
  <c r="BA272" i="57"/>
  <c r="BB272" i="57"/>
  <c r="DL278" i="57"/>
  <c r="CZ278" i="57"/>
  <c r="BL278" i="57"/>
  <c r="BM278" i="57"/>
  <c r="BA269" i="57"/>
  <c r="BB269" i="57"/>
  <c r="DQ299" i="57"/>
  <c r="DO296" i="57"/>
  <c r="BO393" i="57"/>
  <c r="BN293" i="57"/>
  <c r="DN293" i="57"/>
  <c r="DB293" i="57"/>
  <c r="BL281" i="57"/>
  <c r="DL281" i="57"/>
  <c r="CZ281" i="57"/>
  <c r="BM281" i="57"/>
  <c r="AC305" i="57"/>
  <c r="AS387" i="57"/>
  <c r="BQ387" i="57"/>
  <c r="BP387" i="57"/>
  <c r="DP387" i="57"/>
  <c r="DD387" i="57"/>
  <c r="AR387" i="57"/>
  <c r="AF278" i="57"/>
  <c r="DE393" i="57"/>
  <c r="DC393" i="57"/>
  <c r="DK393" i="57"/>
  <c r="CY393" i="57"/>
  <c r="BC387" i="57"/>
  <c r="S281" i="57"/>
  <c r="BD387" i="57"/>
  <c r="BI390" i="57"/>
  <c r="CW390" i="57"/>
  <c r="AK390" i="57"/>
  <c r="BE391" i="57"/>
  <c r="DJ388" i="57"/>
  <c r="BJ388" i="57"/>
  <c r="CX388" i="57"/>
  <c r="BK388" i="57"/>
  <c r="BF387" i="57"/>
  <c r="V281" i="57"/>
  <c r="BG387" i="57"/>
  <c r="CU350" i="57"/>
  <c r="DH350" i="57" s="1"/>
  <c r="BY350" i="57"/>
  <c r="AA296" i="57"/>
  <c r="BN393" i="57"/>
  <c r="DN393" i="57"/>
  <c r="DB393" i="57"/>
  <c r="AP393" i="57"/>
  <c r="AZ388" i="57"/>
  <c r="P281" i="57"/>
  <c r="W296" i="57"/>
  <c r="BC388" i="57"/>
  <c r="BD388" i="57"/>
  <c r="BF388" i="57"/>
  <c r="BG388" i="57"/>
  <c r="N296" i="57"/>
  <c r="CV412" i="57"/>
  <c r="DI412" i="57" s="1"/>
  <c r="BZ412" i="57"/>
  <c r="AD296" i="57"/>
  <c r="AY356" i="57"/>
  <c r="AY414" i="57"/>
  <c r="I362" i="57"/>
  <c r="T290" i="57"/>
  <c r="M299" i="57"/>
  <c r="M302" i="57" s="1"/>
  <c r="X302" i="57"/>
  <c r="U296" i="57"/>
  <c r="DO394" i="57"/>
  <c r="DC394" i="57"/>
  <c r="BY415" i="57"/>
  <c r="CU415" i="57"/>
  <c r="DH415" i="57" s="1"/>
  <c r="AE299" i="57"/>
  <c r="CV415" i="57"/>
  <c r="DI415" i="57" s="1"/>
  <c r="BZ415" i="57"/>
  <c r="L287" i="57"/>
  <c r="CV350" i="57"/>
  <c r="DI350" i="57" s="1"/>
  <c r="BZ350" i="57"/>
  <c r="Y287" i="57"/>
  <c r="AX365" i="57"/>
  <c r="AX417" i="57"/>
  <c r="F371" i="57"/>
  <c r="AQ393" i="57"/>
  <c r="AY365" i="57"/>
  <c r="AY417" i="57"/>
  <c r="I371" i="57"/>
  <c r="Q275" i="57"/>
  <c r="K293" i="57"/>
  <c r="AC308" i="57"/>
  <c r="BY412" i="57"/>
  <c r="CU412" i="57"/>
  <c r="DH412" i="57" s="1"/>
  <c r="Z281" i="57"/>
  <c r="AG302" i="57"/>
  <c r="R311" i="57"/>
  <c r="BH393" i="57"/>
  <c r="DA393" i="57"/>
  <c r="AJ393" i="57"/>
  <c r="CU359" i="57"/>
  <c r="DH359" i="57" s="1"/>
  <c r="BY359" i="57"/>
  <c r="O296" i="57"/>
  <c r="CV359" i="57"/>
  <c r="DI359" i="57" s="1"/>
  <c r="BZ359" i="57"/>
  <c r="AB284" i="57"/>
  <c r="AX356" i="57"/>
  <c r="AX414" i="57"/>
  <c r="F362" i="57"/>
  <c r="T195" i="44"/>
  <c r="T249" i="44"/>
  <c r="T88" i="44"/>
  <c r="T130" i="44"/>
  <c r="T212" i="44"/>
  <c r="T240" i="44"/>
  <c r="T230" i="44"/>
  <c r="BN296" i="57" l="1"/>
  <c r="DN296" i="57"/>
  <c r="DB296" i="57"/>
  <c r="W299" i="57"/>
  <c r="DA296" i="57"/>
  <c r="BH296" i="57"/>
  <c r="BC281" i="57"/>
  <c r="BD281" i="57"/>
  <c r="DC296" i="57"/>
  <c r="P284" i="57"/>
  <c r="AZ281" i="57"/>
  <c r="BF281" i="57"/>
  <c r="BG281" i="57"/>
  <c r="DK293" i="57"/>
  <c r="CY293" i="57"/>
  <c r="X305" i="57"/>
  <c r="DM302" i="57"/>
  <c r="BO296" i="57"/>
  <c r="DQ302" i="57"/>
  <c r="AA299" i="57"/>
  <c r="CY296" i="57"/>
  <c r="DK296" i="57"/>
  <c r="BC278" i="57"/>
  <c r="BD278" i="57"/>
  <c r="DM305" i="57"/>
  <c r="Z284" i="57"/>
  <c r="BJ281" i="57"/>
  <c r="DJ281" i="57"/>
  <c r="CX281" i="57"/>
  <c r="BK281" i="57"/>
  <c r="AC311" i="57"/>
  <c r="R314" i="57"/>
  <c r="BE290" i="57"/>
  <c r="DA293" i="57"/>
  <c r="BH293" i="57"/>
  <c r="DE293" i="57"/>
  <c r="DC293" i="57"/>
  <c r="U299" i="57"/>
  <c r="AE302" i="57"/>
  <c r="DC299" i="57"/>
  <c r="DO299" i="57"/>
  <c r="AB287" i="57"/>
  <c r="BL284" i="57"/>
  <c r="DL284" i="57"/>
  <c r="CZ284" i="57"/>
  <c r="BM284" i="57"/>
  <c r="Q278" i="57"/>
  <c r="BA275" i="57"/>
  <c r="BB275" i="57"/>
  <c r="Y290" i="57"/>
  <c r="BI287" i="57"/>
  <c r="CW287" i="57"/>
  <c r="BP278" i="57"/>
  <c r="DP278" i="57"/>
  <c r="DD278" i="57"/>
  <c r="BQ278" i="57"/>
  <c r="DE296" i="57"/>
  <c r="BF278" i="57"/>
  <c r="BG278" i="57"/>
  <c r="BQ388" i="57"/>
  <c r="BP388" i="57"/>
  <c r="DP388" i="57"/>
  <c r="DD388" i="57"/>
  <c r="AF281" i="57"/>
  <c r="DM396" i="57"/>
  <c r="BL391" i="57"/>
  <c r="DL391" i="57"/>
  <c r="CZ391" i="57"/>
  <c r="BM391" i="57"/>
  <c r="DJ390" i="57"/>
  <c r="BJ390" i="57"/>
  <c r="CX390" i="57"/>
  <c r="AL390" i="57"/>
  <c r="AM390" i="57"/>
  <c r="BK390" i="57"/>
  <c r="BA388" i="57"/>
  <c r="BB388" i="57"/>
  <c r="DO396" i="57"/>
  <c r="AY362" i="57"/>
  <c r="I368" i="57"/>
  <c r="M305" i="57"/>
  <c r="BA387" i="57"/>
  <c r="Q281" i="57"/>
  <c r="BB387" i="57"/>
  <c r="AX371" i="57"/>
  <c r="F377" i="57"/>
  <c r="K296" i="57"/>
  <c r="K299" i="57" s="1"/>
  <c r="CV414" i="57"/>
  <c r="DI414" i="57" s="1"/>
  <c r="BZ414" i="57"/>
  <c r="BL390" i="57"/>
  <c r="DL390" i="57"/>
  <c r="CZ390" i="57"/>
  <c r="AN390" i="57"/>
  <c r="AB290" i="57"/>
  <c r="BM390" i="57"/>
  <c r="AO390" i="57"/>
  <c r="BZ365" i="57"/>
  <c r="CV365" i="57"/>
  <c r="DI365" i="57" s="1"/>
  <c r="AX362" i="57"/>
  <c r="F368" i="57"/>
  <c r="AC314" i="57"/>
  <c r="CU417" i="57"/>
  <c r="DH417" i="57" s="1"/>
  <c r="BY417" i="57"/>
  <c r="CV356" i="57"/>
  <c r="DI356" i="57" s="1"/>
  <c r="BZ356" i="57"/>
  <c r="S284" i="57"/>
  <c r="DK394" i="57"/>
  <c r="CY394" i="57"/>
  <c r="AA302" i="57"/>
  <c r="BN394" i="57"/>
  <c r="DB394" i="57"/>
  <c r="DN394" i="57"/>
  <c r="V284" i="57"/>
  <c r="T293" i="57"/>
  <c r="CU414" i="57"/>
  <c r="DH414" i="57" s="1"/>
  <c r="BY414" i="57"/>
  <c r="BY356" i="57"/>
  <c r="CU356" i="57"/>
  <c r="DH356" i="57" s="1"/>
  <c r="R317" i="57"/>
  <c r="AY371" i="57"/>
  <c r="I377" i="57"/>
  <c r="CW391" i="57"/>
  <c r="BI391" i="57"/>
  <c r="Y293" i="57"/>
  <c r="AE305" i="57"/>
  <c r="U302" i="57"/>
  <c r="N299" i="57"/>
  <c r="W302" i="57"/>
  <c r="DE302" i="57" s="1"/>
  <c r="DE394" i="57"/>
  <c r="BH394" i="57"/>
  <c r="DA394" i="57"/>
  <c r="AD299" i="57"/>
  <c r="BO299" i="57" s="1"/>
  <c r="Z287" i="57"/>
  <c r="AZ284" i="57"/>
  <c r="AZ390" i="57"/>
  <c r="Y296" i="57"/>
  <c r="CU365" i="57"/>
  <c r="DH365" i="57" s="1"/>
  <c r="BY365" i="57"/>
  <c r="BO394" i="57"/>
  <c r="DQ396" i="57"/>
  <c r="BZ417" i="57"/>
  <c r="CV417" i="57"/>
  <c r="DI417" i="57" s="1"/>
  <c r="X308" i="57"/>
  <c r="DM308" i="57" s="1"/>
  <c r="L290" i="57"/>
  <c r="P287" i="57"/>
  <c r="AG305" i="57"/>
  <c r="O299" i="57"/>
  <c r="O302" i="57" s="1"/>
  <c r="T222" i="44"/>
  <c r="T98" i="44"/>
  <c r="T101" i="44" s="1"/>
  <c r="T131" i="44"/>
  <c r="T167" i="44"/>
  <c r="T213" i="44"/>
  <c r="T165" i="44"/>
  <c r="T92" i="44"/>
  <c r="P290" i="57" l="1"/>
  <c r="AZ290" i="57" s="1"/>
  <c r="AZ287" i="57"/>
  <c r="U305" i="57"/>
  <c r="T296" i="57"/>
  <c r="BE293" i="57"/>
  <c r="AC317" i="57"/>
  <c r="DA299" i="57"/>
  <c r="DE299" i="57"/>
  <c r="BH299" i="57"/>
  <c r="CW290" i="57"/>
  <c r="BI290" i="57"/>
  <c r="BA281" i="57"/>
  <c r="BB281" i="57"/>
  <c r="DK299" i="57"/>
  <c r="CY299" i="57"/>
  <c r="DO305" i="57"/>
  <c r="S287" i="57"/>
  <c r="BC284" i="57"/>
  <c r="BD284" i="57"/>
  <c r="R320" i="57"/>
  <c r="BA278" i="57"/>
  <c r="BB278" i="57"/>
  <c r="DO302" i="57"/>
  <c r="DC302" i="57"/>
  <c r="DJ284" i="57"/>
  <c r="BJ284" i="57"/>
  <c r="CX284" i="57"/>
  <c r="BK284" i="57"/>
  <c r="BH302" i="57"/>
  <c r="CW296" i="57"/>
  <c r="BI296" i="57"/>
  <c r="CW293" i="57"/>
  <c r="BI293" i="57"/>
  <c r="DL287" i="57"/>
  <c r="CZ287" i="57"/>
  <c r="BL287" i="57"/>
  <c r="BM287" i="57"/>
  <c r="DM397" i="57"/>
  <c r="V287" i="57"/>
  <c r="BF284" i="57"/>
  <c r="BG284" i="57"/>
  <c r="AG308" i="57"/>
  <c r="DQ305" i="57"/>
  <c r="DC396" i="57"/>
  <c r="DA302" i="57"/>
  <c r="AB293" i="57"/>
  <c r="BL290" i="57"/>
  <c r="DL290" i="57"/>
  <c r="CZ290" i="57"/>
  <c r="BM290" i="57"/>
  <c r="BP281" i="57"/>
  <c r="DP281" i="57"/>
  <c r="DD281" i="57"/>
  <c r="BQ281" i="57"/>
  <c r="BN299" i="57"/>
  <c r="DN299" i="57"/>
  <c r="DB299" i="57"/>
  <c r="DJ287" i="57"/>
  <c r="BJ287" i="57"/>
  <c r="CX287" i="57"/>
  <c r="BK287" i="57"/>
  <c r="AA305" i="57"/>
  <c r="DK302" i="57"/>
  <c r="CY302" i="57"/>
  <c r="AF284" i="57"/>
  <c r="AD302" i="57"/>
  <c r="BE394" i="57"/>
  <c r="DK397" i="57"/>
  <c r="BL393" i="57"/>
  <c r="DL393" i="57"/>
  <c r="CZ393" i="57"/>
  <c r="AN393" i="57"/>
  <c r="AO393" i="57"/>
  <c r="BM393" i="57"/>
  <c r="BN396" i="57"/>
  <c r="DN396" i="57"/>
  <c r="DB396" i="57"/>
  <c r="DJ391" i="57"/>
  <c r="BJ391" i="57"/>
  <c r="CX391" i="57"/>
  <c r="BK391" i="57"/>
  <c r="DA396" i="57"/>
  <c r="AY377" i="57"/>
  <c r="I383" i="57"/>
  <c r="AY421" i="57"/>
  <c r="BO396" i="57"/>
  <c r="AY368" i="57"/>
  <c r="I374" i="57"/>
  <c r="AY418" i="57"/>
  <c r="L293" i="57"/>
  <c r="BZ371" i="57"/>
  <c r="CV371" i="57"/>
  <c r="DI371" i="57" s="1"/>
  <c r="DE396" i="57"/>
  <c r="AD305" i="57"/>
  <c r="BO305" i="57" s="1"/>
  <c r="R323" i="57"/>
  <c r="N302" i="57"/>
  <c r="W305" i="57"/>
  <c r="DE305" i="57" s="1"/>
  <c r="AB296" i="57"/>
  <c r="K302" i="57"/>
  <c r="K305" i="57" s="1"/>
  <c r="BZ362" i="57"/>
  <c r="CV362" i="57"/>
  <c r="DI362" i="57" s="1"/>
  <c r="AC320" i="57"/>
  <c r="AJ396" i="57"/>
  <c r="DO397" i="57"/>
  <c r="X311" i="57"/>
  <c r="DM311" i="57" s="1"/>
  <c r="BC391" i="57"/>
  <c r="BD391" i="57"/>
  <c r="AX377" i="57"/>
  <c r="F383" i="57"/>
  <c r="AX421" i="57"/>
  <c r="Q284" i="57"/>
  <c r="O305" i="57"/>
  <c r="O308" i="57" s="1"/>
  <c r="BH396" i="57"/>
  <c r="T299" i="57"/>
  <c r="BE393" i="57"/>
  <c r="AX368" i="57"/>
  <c r="F374" i="57"/>
  <c r="AX418" i="57"/>
  <c r="CU371" i="57"/>
  <c r="DH371" i="57" s="1"/>
  <c r="BY371" i="57"/>
  <c r="AE308" i="57"/>
  <c r="Z290" i="57"/>
  <c r="M308" i="57"/>
  <c r="M311" i="57" s="1"/>
  <c r="BF391" i="57"/>
  <c r="BG391" i="57"/>
  <c r="AZ391" i="57"/>
  <c r="P293" i="57"/>
  <c r="DQ397" i="57"/>
  <c r="AG311" i="57"/>
  <c r="CW394" i="57"/>
  <c r="BI394" i="57"/>
  <c r="U308" i="57"/>
  <c r="CW393" i="57"/>
  <c r="BI393" i="57"/>
  <c r="AK393" i="57"/>
  <c r="Y299" i="57"/>
  <c r="BF390" i="57"/>
  <c r="V290" i="57"/>
  <c r="BG390" i="57"/>
  <c r="DK396" i="57"/>
  <c r="CY396" i="57"/>
  <c r="AA308" i="57"/>
  <c r="BC390" i="57"/>
  <c r="S290" i="57"/>
  <c r="BD390" i="57"/>
  <c r="CU362" i="57"/>
  <c r="DH362" i="57" s="1"/>
  <c r="BY362" i="57"/>
  <c r="AQ396" i="57"/>
  <c r="T221" i="44"/>
  <c r="T223" i="44" s="1"/>
  <c r="T172" i="44"/>
  <c r="T174" i="44" s="1"/>
  <c r="T103" i="44"/>
  <c r="T107" i="44" s="1"/>
  <c r="AC323" i="57" l="1"/>
  <c r="AP396" i="57"/>
  <c r="BN302" i="57"/>
  <c r="DN302" i="57"/>
  <c r="DB302" i="57"/>
  <c r="BH305" i="57"/>
  <c r="DD284" i="57"/>
  <c r="BP284" i="57"/>
  <c r="DP284" i="57"/>
  <c r="BQ284" i="57"/>
  <c r="DK305" i="57"/>
  <c r="CY305" i="57"/>
  <c r="BL293" i="57"/>
  <c r="DL293" i="57"/>
  <c r="CZ293" i="57"/>
  <c r="BM293" i="57"/>
  <c r="AA311" i="57"/>
  <c r="DK308" i="57"/>
  <c r="BL296" i="57"/>
  <c r="DL296" i="57"/>
  <c r="CZ296" i="57"/>
  <c r="BM296" i="57"/>
  <c r="DQ311" i="57"/>
  <c r="T302" i="57"/>
  <c r="DE397" i="57"/>
  <c r="DA305" i="57"/>
  <c r="BC287" i="57"/>
  <c r="BD287" i="57"/>
  <c r="Z293" i="57"/>
  <c r="CX290" i="57"/>
  <c r="BJ290" i="57"/>
  <c r="DJ290" i="57"/>
  <c r="BK290" i="57"/>
  <c r="P296" i="57"/>
  <c r="AZ296" i="57" s="1"/>
  <c r="AZ293" i="57"/>
  <c r="AE311" i="57"/>
  <c r="BO308" i="57"/>
  <c r="DO308" i="57"/>
  <c r="AD308" i="57"/>
  <c r="BN305" i="57"/>
  <c r="DN305" i="57"/>
  <c r="DB305" i="57"/>
  <c r="DQ308" i="57"/>
  <c r="BF287" i="57"/>
  <c r="BG287" i="57"/>
  <c r="X314" i="57"/>
  <c r="R326" i="57"/>
  <c r="BO302" i="57"/>
  <c r="BE296" i="57"/>
  <c r="U311" i="57"/>
  <c r="BA284" i="57"/>
  <c r="BB284" i="57"/>
  <c r="BI299" i="57"/>
  <c r="CW299" i="57"/>
  <c r="BC290" i="57"/>
  <c r="BD290" i="57"/>
  <c r="BF290" i="57"/>
  <c r="BG290" i="57"/>
  <c r="BE299" i="57"/>
  <c r="DC305" i="57"/>
  <c r="AF287" i="57"/>
  <c r="BP390" i="57"/>
  <c r="BQ390" i="57"/>
  <c r="AR390" i="57"/>
  <c r="AS390" i="57"/>
  <c r="DP390" i="57"/>
  <c r="DD390" i="57"/>
  <c r="DK399" i="57"/>
  <c r="DJ393" i="57"/>
  <c r="BJ393" i="57"/>
  <c r="CX393" i="57"/>
  <c r="AL393" i="57"/>
  <c r="BK393" i="57"/>
  <c r="AM393" i="57"/>
  <c r="BE396" i="57"/>
  <c r="DQ399" i="57"/>
  <c r="AX383" i="57"/>
  <c r="AX423" i="57"/>
  <c r="F389" i="57"/>
  <c r="X317" i="57"/>
  <c r="DM317" i="57" s="1"/>
  <c r="DM399" i="57"/>
  <c r="BL394" i="57"/>
  <c r="CZ394" i="57"/>
  <c r="DL394" i="57"/>
  <c r="BM394" i="57"/>
  <c r="CV421" i="57"/>
  <c r="DI421" i="57" s="1"/>
  <c r="BZ421" i="57"/>
  <c r="CU377" i="57"/>
  <c r="DH377" i="57" s="1"/>
  <c r="BY377" i="57"/>
  <c r="K308" i="57"/>
  <c r="K311" i="57" s="1"/>
  <c r="DA397" i="57"/>
  <c r="BH397" i="57"/>
  <c r="AY383" i="57"/>
  <c r="AY423" i="57"/>
  <c r="I389" i="57"/>
  <c r="V293" i="57"/>
  <c r="DO399" i="57"/>
  <c r="BZ418" i="57"/>
  <c r="CV418" i="57"/>
  <c r="DI418" i="57" s="1"/>
  <c r="CV377" i="57"/>
  <c r="DI377" i="57" s="1"/>
  <c r="BZ377" i="57"/>
  <c r="AG314" i="57"/>
  <c r="AX374" i="57"/>
  <c r="AX420" i="57"/>
  <c r="F380" i="57"/>
  <c r="BY368" i="57"/>
  <c r="CU368" i="57"/>
  <c r="DH368" i="57" s="1"/>
  <c r="DC397" i="57"/>
  <c r="AC326" i="57"/>
  <c r="AY374" i="57"/>
  <c r="AY420" i="57"/>
  <c r="I380" i="57"/>
  <c r="CU421" i="57"/>
  <c r="DH421" i="57" s="1"/>
  <c r="BY421" i="57"/>
  <c r="U314" i="57"/>
  <c r="AZ393" i="57"/>
  <c r="P299" i="57"/>
  <c r="O311" i="57"/>
  <c r="O314" i="57" s="1"/>
  <c r="R329" i="57"/>
  <c r="BN397" i="57"/>
  <c r="DN397" i="57"/>
  <c r="DB397" i="57"/>
  <c r="AD311" i="57"/>
  <c r="CV368" i="57"/>
  <c r="DI368" i="57" s="1"/>
  <c r="BZ368" i="57"/>
  <c r="AA314" i="57"/>
  <c r="AZ394" i="57"/>
  <c r="BY418" i="57"/>
  <c r="CU418" i="57"/>
  <c r="DH418" i="57" s="1"/>
  <c r="Y302" i="57"/>
  <c r="Z296" i="57"/>
  <c r="BA390" i="57"/>
  <c r="BB390" i="57"/>
  <c r="BO397" i="57"/>
  <c r="DM400" i="57"/>
  <c r="L296" i="57"/>
  <c r="L299" i="57" s="1"/>
  <c r="W308" i="57"/>
  <c r="Q287" i="57"/>
  <c r="AB299" i="57"/>
  <c r="CY397" i="57"/>
  <c r="T305" i="57"/>
  <c r="M314" i="57"/>
  <c r="M317" i="57" s="1"/>
  <c r="AE314" i="57"/>
  <c r="S293" i="57"/>
  <c r="N305" i="57"/>
  <c r="N308" i="57" s="1"/>
  <c r="U169" i="44"/>
  <c r="T105" i="44"/>
  <c r="T129" i="44"/>
  <c r="T133" i="44" s="1"/>
  <c r="T211" i="44"/>
  <c r="T109" i="44"/>
  <c r="T248" i="44" s="1"/>
  <c r="BE302" i="57" l="1"/>
  <c r="P302" i="57"/>
  <c r="AZ302" i="57" s="1"/>
  <c r="AZ299" i="57"/>
  <c r="DM314" i="57"/>
  <c r="CY311" i="57"/>
  <c r="DK311" i="57"/>
  <c r="BJ296" i="57"/>
  <c r="DJ296" i="57"/>
  <c r="CX296" i="57"/>
  <c r="BK296" i="57"/>
  <c r="BN311" i="57"/>
  <c r="DN311" i="57"/>
  <c r="DB311" i="57"/>
  <c r="BF293" i="57"/>
  <c r="BG293" i="57"/>
  <c r="BO311" i="57"/>
  <c r="DO311" i="57"/>
  <c r="BA287" i="57"/>
  <c r="BB287" i="57"/>
  <c r="U317" i="57"/>
  <c r="DB308" i="57"/>
  <c r="DN308" i="57"/>
  <c r="BN308" i="57"/>
  <c r="BL299" i="57"/>
  <c r="DL299" i="57"/>
  <c r="CZ299" i="57"/>
  <c r="BM299" i="57"/>
  <c r="Y305" i="57"/>
  <c r="CW302" i="57"/>
  <c r="BI302" i="57"/>
  <c r="W311" i="57"/>
  <c r="DA308" i="57"/>
  <c r="BH308" i="57"/>
  <c r="AG317" i="57"/>
  <c r="DQ314" i="57"/>
  <c r="BE305" i="57"/>
  <c r="DE308" i="57"/>
  <c r="DJ293" i="57"/>
  <c r="BJ293" i="57"/>
  <c r="CX293" i="57"/>
  <c r="BK293" i="57"/>
  <c r="CY308" i="57"/>
  <c r="AC329" i="57"/>
  <c r="AE317" i="57"/>
  <c r="DO314" i="57"/>
  <c r="DK314" i="57"/>
  <c r="S296" i="57"/>
  <c r="BC293" i="57"/>
  <c r="BD293" i="57"/>
  <c r="BP287" i="57"/>
  <c r="DP287" i="57"/>
  <c r="DD287" i="57"/>
  <c r="BQ287" i="57"/>
  <c r="DC308" i="57"/>
  <c r="BP391" i="57"/>
  <c r="DP391" i="57"/>
  <c r="DD391" i="57"/>
  <c r="BQ391" i="57"/>
  <c r="AF290" i="57"/>
  <c r="BC394" i="57"/>
  <c r="BD394" i="57"/>
  <c r="AZ396" i="57"/>
  <c r="DA399" i="57"/>
  <c r="CY399" i="57"/>
  <c r="DC399" i="57"/>
  <c r="BH399" i="57"/>
  <c r="DE399" i="57"/>
  <c r="AJ399" i="57"/>
  <c r="BJ394" i="57"/>
  <c r="DJ394" i="57"/>
  <c r="CX394" i="57"/>
  <c r="BK394" i="57"/>
  <c r="AX380" i="57"/>
  <c r="F386" i="57"/>
  <c r="BF393" i="57"/>
  <c r="BG393" i="57"/>
  <c r="BO399" i="57"/>
  <c r="CW396" i="57"/>
  <c r="BI396" i="57"/>
  <c r="AK396" i="57"/>
  <c r="Y308" i="57"/>
  <c r="AY380" i="57"/>
  <c r="I386" i="57"/>
  <c r="CU420" i="57"/>
  <c r="DH420" i="57" s="1"/>
  <c r="BY420" i="57"/>
  <c r="CU383" i="57"/>
  <c r="DH383" i="57" s="1"/>
  <c r="BY383" i="57"/>
  <c r="DK400" i="57"/>
  <c r="CV420" i="57"/>
  <c r="DI420" i="57" s="1"/>
  <c r="BZ420" i="57"/>
  <c r="BY374" i="57"/>
  <c r="CU374" i="57"/>
  <c r="DH374" i="57" s="1"/>
  <c r="AY389" i="57"/>
  <c r="I395" i="57"/>
  <c r="N311" i="57"/>
  <c r="BN399" i="57"/>
  <c r="DN399" i="57"/>
  <c r="DB399" i="57"/>
  <c r="AP399" i="57"/>
  <c r="CW397" i="57"/>
  <c r="BI397" i="57"/>
  <c r="Y311" i="57"/>
  <c r="W314" i="57"/>
  <c r="BH314" i="57" s="1"/>
  <c r="CV374" i="57"/>
  <c r="DI374" i="57" s="1"/>
  <c r="BZ374" i="57"/>
  <c r="CV423" i="57"/>
  <c r="DI423" i="57" s="1"/>
  <c r="BZ423" i="57"/>
  <c r="V296" i="57"/>
  <c r="AA317" i="57"/>
  <c r="BC393" i="57"/>
  <c r="S299" i="57"/>
  <c r="BD393" i="57"/>
  <c r="U320" i="57"/>
  <c r="AC332" i="57"/>
  <c r="DQ400" i="57"/>
  <c r="AG320" i="57"/>
  <c r="AQ399" i="57"/>
  <c r="BZ383" i="57"/>
  <c r="CV383" i="57"/>
  <c r="DI383" i="57" s="1"/>
  <c r="K314" i="57"/>
  <c r="K317" i="57" s="1"/>
  <c r="AB302" i="57"/>
  <c r="P305" i="57"/>
  <c r="AZ305" i="57" s="1"/>
  <c r="BA391" i="57"/>
  <c r="BB391" i="57"/>
  <c r="DO400" i="57"/>
  <c r="AE320" i="57"/>
  <c r="BE397" i="57"/>
  <c r="O317" i="57"/>
  <c r="AX389" i="57"/>
  <c r="F395" i="57"/>
  <c r="Z299" i="57"/>
  <c r="L302" i="57"/>
  <c r="L305" i="57" s="1"/>
  <c r="M320" i="57"/>
  <c r="M323" i="57" s="1"/>
  <c r="Q290" i="57"/>
  <c r="R332" i="57"/>
  <c r="X320" i="57"/>
  <c r="CU423" i="57"/>
  <c r="DH423" i="57" s="1"/>
  <c r="BY423" i="57"/>
  <c r="T308" i="57"/>
  <c r="AD314" i="57"/>
  <c r="T215" i="44"/>
  <c r="T247" i="44" s="1"/>
  <c r="T258" i="44"/>
  <c r="T141" i="44"/>
  <c r="T143" i="44" s="1"/>
  <c r="T111" i="44"/>
  <c r="X323" i="57" l="1"/>
  <c r="DM320" i="57"/>
  <c r="V299" i="57"/>
  <c r="BF296" i="57"/>
  <c r="BG296" i="57"/>
  <c r="BC296" i="57"/>
  <c r="BD296" i="57"/>
  <c r="R335" i="57"/>
  <c r="DE400" i="57"/>
  <c r="DA314" i="57"/>
  <c r="DP290" i="57"/>
  <c r="DD290" i="57"/>
  <c r="BP290" i="57"/>
  <c r="BQ290" i="57"/>
  <c r="DC314" i="57"/>
  <c r="AD317" i="57"/>
  <c r="BN314" i="57"/>
  <c r="DN314" i="57"/>
  <c r="DB314" i="57"/>
  <c r="BO314" i="57"/>
  <c r="BI305" i="57"/>
  <c r="CW305" i="57"/>
  <c r="CZ302" i="57"/>
  <c r="BL302" i="57"/>
  <c r="DL302" i="57"/>
  <c r="BM302" i="57"/>
  <c r="DO320" i="57"/>
  <c r="BE308" i="57"/>
  <c r="CY314" i="57"/>
  <c r="DO317" i="57"/>
  <c r="BO317" i="57"/>
  <c r="DE314" i="57"/>
  <c r="BA290" i="57"/>
  <c r="BB290" i="57"/>
  <c r="BI311" i="57"/>
  <c r="CW311" i="57"/>
  <c r="Z302" i="57"/>
  <c r="BJ299" i="57"/>
  <c r="DJ299" i="57"/>
  <c r="CX299" i="57"/>
  <c r="BK299" i="57"/>
  <c r="DQ320" i="57"/>
  <c r="CW308" i="57"/>
  <c r="BI308" i="57"/>
  <c r="DQ317" i="57"/>
  <c r="DA311" i="57"/>
  <c r="DE311" i="57"/>
  <c r="BH311" i="57"/>
  <c r="S302" i="57"/>
  <c r="BC299" i="57"/>
  <c r="BD299" i="57"/>
  <c r="AA320" i="57"/>
  <c r="DK317" i="57"/>
  <c r="DC311" i="57"/>
  <c r="AF293" i="57"/>
  <c r="AF296" i="57"/>
  <c r="DC400" i="57"/>
  <c r="DK402" i="57"/>
  <c r="DJ396" i="57"/>
  <c r="BJ396" i="57"/>
  <c r="CX396" i="57"/>
  <c r="AL396" i="57"/>
  <c r="BK396" i="57"/>
  <c r="AM396" i="57"/>
  <c r="DM403" i="57"/>
  <c r="AZ397" i="57"/>
  <c r="S305" i="57"/>
  <c r="P308" i="57"/>
  <c r="P311" i="57" s="1"/>
  <c r="AZ311" i="57" s="1"/>
  <c r="DQ402" i="57"/>
  <c r="L308" i="57"/>
  <c r="BL396" i="57"/>
  <c r="DL396" i="57"/>
  <c r="CZ396" i="57"/>
  <c r="AN396" i="57"/>
  <c r="AO396" i="57"/>
  <c r="BM396" i="57"/>
  <c r="AB305" i="57"/>
  <c r="AY386" i="57"/>
  <c r="I392" i="57"/>
  <c r="AY424" i="57"/>
  <c r="K320" i="57"/>
  <c r="K323" i="57" s="1"/>
  <c r="DA400" i="57"/>
  <c r="BH400" i="57"/>
  <c r="CV380" i="57"/>
  <c r="DI380" i="57" s="1"/>
  <c r="BZ380" i="57"/>
  <c r="BN400" i="57"/>
  <c r="DN400" i="57"/>
  <c r="DB400" i="57"/>
  <c r="AD320" i="57"/>
  <c r="Z305" i="57"/>
  <c r="AX395" i="57"/>
  <c r="F401" i="57"/>
  <c r="AX427" i="57"/>
  <c r="BO400" i="57"/>
  <c r="AA323" i="57"/>
  <c r="AY395" i="57"/>
  <c r="I401" i="57"/>
  <c r="AY427" i="57"/>
  <c r="CY400" i="57"/>
  <c r="U323" i="57"/>
  <c r="AX386" i="57"/>
  <c r="F392" i="57"/>
  <c r="AX424" i="57"/>
  <c r="AC335" i="57"/>
  <c r="DO402" i="57"/>
  <c r="CU389" i="57"/>
  <c r="DH389" i="57" s="1"/>
  <c r="BY389" i="57"/>
  <c r="BF394" i="57"/>
  <c r="V302" i="57"/>
  <c r="BG394" i="57"/>
  <c r="BI399" i="57"/>
  <c r="CW399" i="57"/>
  <c r="AK399" i="57"/>
  <c r="CV389" i="57"/>
  <c r="DI389" i="57" s="1"/>
  <c r="BZ389" i="57"/>
  <c r="Y314" i="57"/>
  <c r="CU380" i="57"/>
  <c r="DH380" i="57" s="1"/>
  <c r="BY380" i="57"/>
  <c r="BC396" i="57"/>
  <c r="S308" i="57"/>
  <c r="BD396" i="57"/>
  <c r="T311" i="57"/>
  <c r="Q293" i="57"/>
  <c r="N314" i="57"/>
  <c r="N317" i="57" s="1"/>
  <c r="AE323" i="57"/>
  <c r="M326" i="57"/>
  <c r="M329" i="57" s="1"/>
  <c r="X326" i="57"/>
  <c r="DM402" i="57"/>
  <c r="R338" i="57"/>
  <c r="AG323" i="57"/>
  <c r="W317" i="57"/>
  <c r="DC317" i="57" s="1"/>
  <c r="O320" i="57"/>
  <c r="O323" i="57" s="1"/>
  <c r="T253" i="44"/>
  <c r="T254" i="44" s="1"/>
  <c r="Q60" i="108" s="1"/>
  <c r="T220" i="44"/>
  <c r="T225" i="44" s="1"/>
  <c r="T229" i="44"/>
  <c r="T234" i="44" s="1"/>
  <c r="T257" i="44"/>
  <c r="T263" i="44" s="1"/>
  <c r="T264" i="44" s="1"/>
  <c r="T156" i="44"/>
  <c r="T157" i="44" s="1"/>
  <c r="U155" i="44" s="1"/>
  <c r="BA293" i="57" l="1"/>
  <c r="BB293" i="57"/>
  <c r="AB308" i="57"/>
  <c r="BL305" i="57"/>
  <c r="DL305" i="57"/>
  <c r="CZ305" i="57"/>
  <c r="BM305" i="57"/>
  <c r="BC305" i="57"/>
  <c r="BD305" i="57"/>
  <c r="BN317" i="57"/>
  <c r="DN317" i="57"/>
  <c r="DB317" i="57"/>
  <c r="DE317" i="57"/>
  <c r="BF302" i="57"/>
  <c r="BG302" i="57"/>
  <c r="CY317" i="57"/>
  <c r="BF299" i="57"/>
  <c r="BG299" i="57"/>
  <c r="U326" i="57"/>
  <c r="BP296" i="57"/>
  <c r="DP296" i="57"/>
  <c r="DD296" i="57"/>
  <c r="BQ296" i="57"/>
  <c r="BP293" i="57"/>
  <c r="DP293" i="57"/>
  <c r="DD293" i="57"/>
  <c r="BQ293" i="57"/>
  <c r="BC308" i="57"/>
  <c r="CW314" i="57"/>
  <c r="BI314" i="57"/>
  <c r="AD323" i="57"/>
  <c r="BN320" i="57"/>
  <c r="DN320" i="57"/>
  <c r="DK320" i="57"/>
  <c r="R341" i="57"/>
  <c r="DA317" i="57"/>
  <c r="BH317" i="57"/>
  <c r="BJ305" i="57"/>
  <c r="DJ305" i="57"/>
  <c r="CX305" i="57"/>
  <c r="BK305" i="57"/>
  <c r="BJ302" i="57"/>
  <c r="DJ302" i="57"/>
  <c r="CX302" i="57"/>
  <c r="BK302" i="57"/>
  <c r="BO320" i="57"/>
  <c r="BE311" i="57"/>
  <c r="AA326" i="57"/>
  <c r="DK323" i="57"/>
  <c r="X329" i="57"/>
  <c r="DM326" i="57"/>
  <c r="AE326" i="57"/>
  <c r="DO323" i="57"/>
  <c r="BO323" i="57"/>
  <c r="DQ323" i="57"/>
  <c r="BC302" i="57"/>
  <c r="BD302" i="57"/>
  <c r="BD308" i="57"/>
  <c r="DM323" i="57"/>
  <c r="BO402" i="57"/>
  <c r="AQ402" i="57"/>
  <c r="BP394" i="57"/>
  <c r="DP394" i="57"/>
  <c r="DD394" i="57"/>
  <c r="BQ394" i="57"/>
  <c r="DD393" i="57"/>
  <c r="AR393" i="57"/>
  <c r="BQ393" i="57"/>
  <c r="AS393" i="57"/>
  <c r="BP393" i="57"/>
  <c r="DP393" i="57"/>
  <c r="AF299" i="57"/>
  <c r="DM405" i="57"/>
  <c r="AZ399" i="57"/>
  <c r="BA393" i="57"/>
  <c r="BB393" i="57"/>
  <c r="BI400" i="57"/>
  <c r="CW400" i="57"/>
  <c r="Q296" i="57"/>
  <c r="CV427" i="57"/>
  <c r="DI427" i="57" s="1"/>
  <c r="BZ427" i="57"/>
  <c r="BE399" i="57"/>
  <c r="AY401" i="57"/>
  <c r="AY429" i="57"/>
  <c r="I407" i="57"/>
  <c r="CU427" i="57"/>
  <c r="DH427" i="57" s="1"/>
  <c r="BY427" i="57"/>
  <c r="AZ308" i="57"/>
  <c r="P314" i="57"/>
  <c r="AZ314" i="57" s="1"/>
  <c r="BC397" i="57"/>
  <c r="S311" i="57"/>
  <c r="BD397" i="57"/>
  <c r="CV395" i="57"/>
  <c r="DI395" i="57" s="1"/>
  <c r="BZ395" i="57"/>
  <c r="AX401" i="57"/>
  <c r="AX429" i="57"/>
  <c r="F407" i="57"/>
  <c r="K326" i="57"/>
  <c r="K329" i="57" s="1"/>
  <c r="BN403" i="57"/>
  <c r="DN403" i="57"/>
  <c r="DQ403" i="57"/>
  <c r="M332" i="57"/>
  <c r="BY424" i="57"/>
  <c r="CU424" i="57"/>
  <c r="DH424" i="57" s="1"/>
  <c r="BY395" i="57"/>
  <c r="CU395" i="57"/>
  <c r="DH395" i="57" s="1"/>
  <c r="DJ397" i="57"/>
  <c r="BJ397" i="57"/>
  <c r="CX397" i="57"/>
  <c r="BK397" i="57"/>
  <c r="AC338" i="57"/>
  <c r="CV424" i="57"/>
  <c r="DI424" i="57" s="1"/>
  <c r="BZ424" i="57"/>
  <c r="R344" i="57"/>
  <c r="Y317" i="57"/>
  <c r="BF396" i="57"/>
  <c r="BG396" i="57"/>
  <c r="AX392" i="57"/>
  <c r="AX426" i="57"/>
  <c r="F398" i="57"/>
  <c r="T314" i="57"/>
  <c r="AY392" i="57"/>
  <c r="AY426" i="57"/>
  <c r="I398" i="57"/>
  <c r="AG326" i="57"/>
  <c r="Z308" i="57"/>
  <c r="X332" i="57"/>
  <c r="BO403" i="57"/>
  <c r="DO403" i="57"/>
  <c r="AE329" i="57"/>
  <c r="CU386" i="57"/>
  <c r="DH386" i="57" s="1"/>
  <c r="BY386" i="57"/>
  <c r="W320" i="57"/>
  <c r="DB320" i="57" s="1"/>
  <c r="CV386" i="57"/>
  <c r="DI386" i="57" s="1"/>
  <c r="BZ386" i="57"/>
  <c r="DK403" i="57"/>
  <c r="AA329" i="57"/>
  <c r="N320" i="57"/>
  <c r="O326" i="57"/>
  <c r="O329" i="57" s="1"/>
  <c r="U329" i="57"/>
  <c r="BN402" i="57"/>
  <c r="DN402" i="57"/>
  <c r="AP402" i="57"/>
  <c r="AD326" i="57"/>
  <c r="BL397" i="57"/>
  <c r="DL397" i="57"/>
  <c r="CZ397" i="57"/>
  <c r="AB311" i="57"/>
  <c r="BM397" i="57"/>
  <c r="L311" i="57"/>
  <c r="V305" i="57"/>
  <c r="G95" i="98"/>
  <c r="T226" i="44"/>
  <c r="Q55" i="108" s="1"/>
  <c r="T235" i="44"/>
  <c r="G99" i="98"/>
  <c r="Q61" i="108"/>
  <c r="U187" i="44"/>
  <c r="T160" i="44"/>
  <c r="T161" i="44" s="1"/>
  <c r="U159" i="44" s="1"/>
  <c r="Q56" i="108" l="1"/>
  <c r="U332" i="57"/>
  <c r="AG329" i="57"/>
  <c r="DQ326" i="57"/>
  <c r="DO329" i="57"/>
  <c r="AC341" i="57"/>
  <c r="V308" i="57"/>
  <c r="BF305" i="57"/>
  <c r="BG305" i="57"/>
  <c r="Q299" i="57"/>
  <c r="BA296" i="57"/>
  <c r="BB296" i="57"/>
  <c r="DK326" i="57"/>
  <c r="AA332" i="57"/>
  <c r="DK329" i="57"/>
  <c r="BC311" i="57"/>
  <c r="DM329" i="57"/>
  <c r="BN326" i="57"/>
  <c r="DN326" i="57"/>
  <c r="BE314" i="57"/>
  <c r="BD311" i="57"/>
  <c r="W323" i="57"/>
  <c r="DA320" i="57"/>
  <c r="BH320" i="57"/>
  <c r="DE320" i="57"/>
  <c r="DC320" i="57"/>
  <c r="DM332" i="57"/>
  <c r="Y320" i="57"/>
  <c r="CW317" i="57"/>
  <c r="BI317" i="57"/>
  <c r="BP299" i="57"/>
  <c r="DP299" i="57"/>
  <c r="DD299" i="57"/>
  <c r="BQ299" i="57"/>
  <c r="BO326" i="57"/>
  <c r="DO326" i="57"/>
  <c r="BL308" i="57"/>
  <c r="DL308" i="57"/>
  <c r="CZ308" i="57"/>
  <c r="BM308" i="57"/>
  <c r="Z311" i="57"/>
  <c r="DJ308" i="57"/>
  <c r="BJ308" i="57"/>
  <c r="CX308" i="57"/>
  <c r="BK308" i="57"/>
  <c r="R347" i="57"/>
  <c r="CY320" i="57"/>
  <c r="BL311" i="57"/>
  <c r="DL311" i="57"/>
  <c r="CZ311" i="57"/>
  <c r="BM311" i="57"/>
  <c r="BN323" i="57"/>
  <c r="DN323" i="57"/>
  <c r="AF302" i="57"/>
  <c r="AF305" i="57"/>
  <c r="DB402" i="57"/>
  <c r="DK406" i="57"/>
  <c r="DA403" i="57"/>
  <c r="BH403" i="57"/>
  <c r="DE403" i="57"/>
  <c r="DC403" i="57"/>
  <c r="CY403" i="57"/>
  <c r="DB403" i="57"/>
  <c r="DJ399" i="57"/>
  <c r="BJ399" i="57"/>
  <c r="CX399" i="57"/>
  <c r="AL399" i="57"/>
  <c r="AM399" i="57"/>
  <c r="BK399" i="57"/>
  <c r="BL399" i="57"/>
  <c r="CZ399" i="57"/>
  <c r="DL399" i="57"/>
  <c r="AN399" i="57"/>
  <c r="BM399" i="57"/>
  <c r="AO399" i="57"/>
  <c r="BZ392" i="57"/>
  <c r="CV392" i="57"/>
  <c r="DI392" i="57" s="1"/>
  <c r="AD329" i="57"/>
  <c r="BZ429" i="57"/>
  <c r="CV429" i="57"/>
  <c r="DI429" i="57" s="1"/>
  <c r="S314" i="57"/>
  <c r="AY407" i="57"/>
  <c r="I413" i="57"/>
  <c r="BD400" i="57"/>
  <c r="BE400" i="57"/>
  <c r="AX407" i="57"/>
  <c r="F413" i="57"/>
  <c r="BZ401" i="57"/>
  <c r="CV401" i="57"/>
  <c r="DI401" i="57" s="1"/>
  <c r="DM406" i="57"/>
  <c r="BY429" i="57"/>
  <c r="CU429" i="57"/>
  <c r="DH429" i="57" s="1"/>
  <c r="AZ400" i="57"/>
  <c r="AB314" i="57"/>
  <c r="DO405" i="57"/>
  <c r="Z314" i="57"/>
  <c r="AX398" i="57"/>
  <c r="F404" i="57"/>
  <c r="AC344" i="57"/>
  <c r="DQ405" i="57"/>
  <c r="CU401" i="57"/>
  <c r="DH401" i="57" s="1"/>
  <c r="BY401" i="57"/>
  <c r="BC399" i="57"/>
  <c r="S317" i="57"/>
  <c r="CU426" i="57"/>
  <c r="DH426" i="57" s="1"/>
  <c r="BY426" i="57"/>
  <c r="Y323" i="57"/>
  <c r="T317" i="57"/>
  <c r="X335" i="57"/>
  <c r="CW402" i="57"/>
  <c r="BI402" i="57"/>
  <c r="AK402" i="57"/>
  <c r="U335" i="57"/>
  <c r="AG332" i="57"/>
  <c r="CU392" i="57"/>
  <c r="DH392" i="57" s="1"/>
  <c r="BY392" i="57"/>
  <c r="R350" i="57"/>
  <c r="L314" i="57"/>
  <c r="L317" i="57" s="1"/>
  <c r="BD399" i="57"/>
  <c r="BA394" i="57"/>
  <c r="Q302" i="57"/>
  <c r="BB394" i="57"/>
  <c r="M335" i="57"/>
  <c r="BZ426" i="57"/>
  <c r="CV426" i="57"/>
  <c r="DI426" i="57" s="1"/>
  <c r="DK405" i="57"/>
  <c r="AA335" i="57"/>
  <c r="BF397" i="57"/>
  <c r="V311" i="57"/>
  <c r="BG397" i="57"/>
  <c r="O332" i="57"/>
  <c r="W326" i="57"/>
  <c r="DC326" i="57" s="1"/>
  <c r="DA402" i="57"/>
  <c r="DE402" i="57"/>
  <c r="BH402" i="57"/>
  <c r="CY402" i="57"/>
  <c r="DC402" i="57"/>
  <c r="AJ402" i="57"/>
  <c r="AY398" i="57"/>
  <c r="I404" i="57"/>
  <c r="K332" i="57"/>
  <c r="K335" i="57" s="1"/>
  <c r="AE332" i="57"/>
  <c r="N323" i="57"/>
  <c r="P317" i="57"/>
  <c r="AZ317" i="57" s="1"/>
  <c r="U189" i="44"/>
  <c r="U251" i="44"/>
  <c r="U192" i="44"/>
  <c r="U241" i="44"/>
  <c r="U232" i="44"/>
  <c r="T320" i="57" l="1"/>
  <c r="BD317" i="57"/>
  <c r="BE317" i="57"/>
  <c r="BC317" i="57"/>
  <c r="BJ311" i="57"/>
  <c r="DJ311" i="57"/>
  <c r="CX311" i="57"/>
  <c r="BK311" i="57"/>
  <c r="BA299" i="57"/>
  <c r="BB299" i="57"/>
  <c r="BF308" i="57"/>
  <c r="BG308" i="57"/>
  <c r="Z317" i="57"/>
  <c r="DJ314" i="57"/>
  <c r="BJ314" i="57"/>
  <c r="CX314" i="57"/>
  <c r="BK314" i="57"/>
  <c r="BC314" i="57"/>
  <c r="AB317" i="57"/>
  <c r="BL314" i="57"/>
  <c r="DL314" i="57"/>
  <c r="CZ314" i="57"/>
  <c r="BM314" i="57"/>
  <c r="DA323" i="57"/>
  <c r="DE323" i="57"/>
  <c r="DC323" i="57"/>
  <c r="CY323" i="57"/>
  <c r="BH323" i="57"/>
  <c r="DB326" i="57"/>
  <c r="CY326" i="57"/>
  <c r="DE326" i="57"/>
  <c r="DO332" i="57"/>
  <c r="V314" i="57"/>
  <c r="BF311" i="57"/>
  <c r="BG311" i="57"/>
  <c r="BA302" i="57"/>
  <c r="BB302" i="57"/>
  <c r="Y326" i="57"/>
  <c r="CW323" i="57"/>
  <c r="BI323" i="57"/>
  <c r="BN329" i="57"/>
  <c r="DN329" i="57"/>
  <c r="BP302" i="57"/>
  <c r="DP302" i="57"/>
  <c r="DD302" i="57"/>
  <c r="BQ302" i="57"/>
  <c r="CW320" i="57"/>
  <c r="BI320" i="57"/>
  <c r="R353" i="57"/>
  <c r="U338" i="57"/>
  <c r="AG335" i="57"/>
  <c r="DQ332" i="57"/>
  <c r="DB323" i="57"/>
  <c r="W329" i="57"/>
  <c r="DA326" i="57"/>
  <c r="BH326" i="57"/>
  <c r="DK335" i="57"/>
  <c r="BD314" i="57"/>
  <c r="BO329" i="57"/>
  <c r="DQ329" i="57"/>
  <c r="DE329" i="57"/>
  <c r="X338" i="57"/>
  <c r="DM335" i="57"/>
  <c r="BP305" i="57"/>
  <c r="DP305" i="57"/>
  <c r="DD305" i="57"/>
  <c r="BQ305" i="57"/>
  <c r="DK332" i="57"/>
  <c r="BP397" i="57"/>
  <c r="DP397" i="57"/>
  <c r="DD397" i="57"/>
  <c r="BQ397" i="57"/>
  <c r="BP396" i="57"/>
  <c r="DP396" i="57"/>
  <c r="DD396" i="57"/>
  <c r="AR396" i="57"/>
  <c r="BQ396" i="57"/>
  <c r="AS396" i="57"/>
  <c r="AF308" i="57"/>
  <c r="BE402" i="57"/>
  <c r="BF400" i="57"/>
  <c r="BG400" i="57"/>
  <c r="DA405" i="57"/>
  <c r="BH405" i="57"/>
  <c r="AJ405" i="57"/>
  <c r="CY405" i="57"/>
  <c r="DE405" i="57"/>
  <c r="DC405" i="57"/>
  <c r="AX413" i="57"/>
  <c r="F419" i="57"/>
  <c r="AX433" i="57"/>
  <c r="T323" i="57"/>
  <c r="BN405" i="57"/>
  <c r="DN405" i="57"/>
  <c r="DB405" i="57"/>
  <c r="AP405" i="57"/>
  <c r="BA396" i="57"/>
  <c r="BB396" i="57"/>
  <c r="BO405" i="57"/>
  <c r="BY407" i="57"/>
  <c r="CU407" i="57"/>
  <c r="DH407" i="57" s="1"/>
  <c r="AD332" i="57"/>
  <c r="AX404" i="57"/>
  <c r="F410" i="57"/>
  <c r="AX430" i="57"/>
  <c r="BL400" i="57"/>
  <c r="CZ400" i="57"/>
  <c r="DL400" i="57"/>
  <c r="AB320" i="57"/>
  <c r="BM400" i="57"/>
  <c r="M338" i="57"/>
  <c r="M341" i="57" s="1"/>
  <c r="AY413" i="57"/>
  <c r="I419" i="57"/>
  <c r="AY433" i="57"/>
  <c r="CW403" i="57"/>
  <c r="BI403" i="57"/>
  <c r="Y329" i="57"/>
  <c r="Q305" i="57"/>
  <c r="CU398" i="57"/>
  <c r="DH398" i="57" s="1"/>
  <c r="BY398" i="57"/>
  <c r="DJ400" i="57"/>
  <c r="BJ400" i="57"/>
  <c r="CX400" i="57"/>
  <c r="Z320" i="57"/>
  <c r="BK400" i="57"/>
  <c r="N326" i="57"/>
  <c r="N329" i="57" s="1"/>
  <c r="BZ407" i="57"/>
  <c r="CV407" i="57"/>
  <c r="DI407" i="57" s="1"/>
  <c r="AA338" i="57"/>
  <c r="K338" i="57"/>
  <c r="K341" i="57" s="1"/>
  <c r="BC400" i="57"/>
  <c r="S320" i="57"/>
  <c r="DO406" i="57"/>
  <c r="AY404" i="57"/>
  <c r="I410" i="57"/>
  <c r="AY430" i="57"/>
  <c r="L320" i="57"/>
  <c r="L323" i="57" s="1"/>
  <c r="CV398" i="57"/>
  <c r="DI398" i="57" s="1"/>
  <c r="BZ398" i="57"/>
  <c r="BF399" i="57"/>
  <c r="V317" i="57"/>
  <c r="BG399" i="57"/>
  <c r="DQ406" i="57"/>
  <c r="AG338" i="57"/>
  <c r="U341" i="57"/>
  <c r="O335" i="57"/>
  <c r="O338" i="57" s="1"/>
  <c r="AE335" i="57"/>
  <c r="AC347" i="57"/>
  <c r="W332" i="57"/>
  <c r="CY332" i="57" s="1"/>
  <c r="R356" i="57"/>
  <c r="X341" i="57"/>
  <c r="AQ405" i="57"/>
  <c r="P320" i="57"/>
  <c r="U249" i="44"/>
  <c r="U88" i="44"/>
  <c r="U212" i="44"/>
  <c r="U130" i="44"/>
  <c r="U240" i="44"/>
  <c r="U195" i="44"/>
  <c r="U230" i="44"/>
  <c r="DM408" i="57" l="1"/>
  <c r="DM338" i="57"/>
  <c r="BF314" i="57"/>
  <c r="BG314" i="57"/>
  <c r="T326" i="57"/>
  <c r="BE323" i="57"/>
  <c r="DQ335" i="57"/>
  <c r="X344" i="57"/>
  <c r="DK338" i="57"/>
  <c r="CX320" i="57"/>
  <c r="DJ320" i="57"/>
  <c r="BJ320" i="57"/>
  <c r="BK320" i="57"/>
  <c r="BI329" i="57"/>
  <c r="CW329" i="57"/>
  <c r="DA329" i="57"/>
  <c r="BH329" i="57"/>
  <c r="DC329" i="57"/>
  <c r="CY329" i="57"/>
  <c r="DM341" i="57"/>
  <c r="DJ317" i="57"/>
  <c r="BJ317" i="57"/>
  <c r="CX317" i="57"/>
  <c r="BK317" i="57"/>
  <c r="BA305" i="57"/>
  <c r="BB305" i="57"/>
  <c r="AE338" i="57"/>
  <c r="DO335" i="57"/>
  <c r="DB329" i="57"/>
  <c r="BL317" i="57"/>
  <c r="DL317" i="57"/>
  <c r="CZ317" i="57"/>
  <c r="BM317" i="57"/>
  <c r="BO406" i="57"/>
  <c r="BN332" i="57"/>
  <c r="DN332" i="57"/>
  <c r="DB332" i="57"/>
  <c r="BO332" i="57"/>
  <c r="W335" i="57"/>
  <c r="DA332" i="57"/>
  <c r="BH332" i="57"/>
  <c r="BF317" i="57"/>
  <c r="BG317" i="57"/>
  <c r="U344" i="57"/>
  <c r="BD402" i="57"/>
  <c r="BC320" i="57"/>
  <c r="BL320" i="57"/>
  <c r="DL320" i="57"/>
  <c r="CZ320" i="57"/>
  <c r="BM320" i="57"/>
  <c r="BP308" i="57"/>
  <c r="DP308" i="57"/>
  <c r="DD308" i="57"/>
  <c r="BQ308" i="57"/>
  <c r="DE332" i="57"/>
  <c r="DC332" i="57"/>
  <c r="BD320" i="57"/>
  <c r="BE320" i="57"/>
  <c r="P323" i="57"/>
  <c r="AZ323" i="57" s="1"/>
  <c r="AZ320" i="57"/>
  <c r="DQ338" i="57"/>
  <c r="CW326" i="57"/>
  <c r="BI326" i="57"/>
  <c r="AF314" i="57"/>
  <c r="AF311" i="57"/>
  <c r="S323" i="57"/>
  <c r="BD323" i="57" s="1"/>
  <c r="AD335" i="57"/>
  <c r="BO335" i="57" s="1"/>
  <c r="DO408" i="57"/>
  <c r="AZ402" i="57"/>
  <c r="P326" i="57"/>
  <c r="AC350" i="57"/>
  <c r="DE406" i="57"/>
  <c r="BA397" i="57"/>
  <c r="BB397" i="57"/>
  <c r="BN406" i="57"/>
  <c r="DB406" i="57"/>
  <c r="DN406" i="57"/>
  <c r="CU413" i="57"/>
  <c r="DH413" i="57" s="1"/>
  <c r="BY413" i="57"/>
  <c r="DQ408" i="57"/>
  <c r="AG344" i="57"/>
  <c r="BY404" i="57"/>
  <c r="CU404" i="57"/>
  <c r="DH404" i="57" s="1"/>
  <c r="O341" i="57"/>
  <c r="O344" i="57" s="1"/>
  <c r="DC406" i="57"/>
  <c r="BC403" i="57"/>
  <c r="AG341" i="57"/>
  <c r="BL402" i="57"/>
  <c r="CZ402" i="57"/>
  <c r="DL402" i="57"/>
  <c r="AN402" i="57"/>
  <c r="AO402" i="57"/>
  <c r="BM402" i="57"/>
  <c r="DK408" i="57"/>
  <c r="DJ402" i="57"/>
  <c r="BJ402" i="57"/>
  <c r="CX402" i="57"/>
  <c r="AL402" i="57"/>
  <c r="BK402" i="57"/>
  <c r="AM402" i="57"/>
  <c r="CW405" i="57"/>
  <c r="BI405" i="57"/>
  <c r="AK405" i="57"/>
  <c r="BZ433" i="57"/>
  <c r="CV433" i="57"/>
  <c r="DI433" i="57" s="1"/>
  <c r="Y332" i="57"/>
  <c r="V320" i="57"/>
  <c r="AE341" i="57"/>
  <c r="L326" i="57"/>
  <c r="AY419" i="57"/>
  <c r="AY435" i="57"/>
  <c r="I425" i="57"/>
  <c r="AZ403" i="57"/>
  <c r="BZ413" i="57"/>
  <c r="CV413" i="57"/>
  <c r="DI413" i="57" s="1"/>
  <c r="BD403" i="57"/>
  <c r="T329" i="57"/>
  <c r="BE403" i="57"/>
  <c r="W338" i="57"/>
  <c r="DA406" i="57"/>
  <c r="BH406" i="57"/>
  <c r="CY406" i="57"/>
  <c r="X347" i="57"/>
  <c r="DM409" i="57"/>
  <c r="U347" i="57"/>
  <c r="AY410" i="57"/>
  <c r="AY432" i="57"/>
  <c r="I416" i="57"/>
  <c r="BC402" i="57"/>
  <c r="S326" i="57"/>
  <c r="M344" i="57"/>
  <c r="CU430" i="57"/>
  <c r="DH430" i="57" s="1"/>
  <c r="BY430" i="57"/>
  <c r="Q308" i="57"/>
  <c r="AB323" i="57"/>
  <c r="AA341" i="57"/>
  <c r="AX419" i="57"/>
  <c r="AX435" i="57"/>
  <c r="F425" i="57"/>
  <c r="CV430" i="57"/>
  <c r="DI430" i="57" s="1"/>
  <c r="BZ430" i="57"/>
  <c r="BZ404" i="57"/>
  <c r="CV404" i="57"/>
  <c r="DI404" i="57" s="1"/>
  <c r="K344" i="57"/>
  <c r="Z323" i="57"/>
  <c r="N332" i="57"/>
  <c r="N335" i="57" s="1"/>
  <c r="AX410" i="57"/>
  <c r="AX432" i="57"/>
  <c r="F416" i="57"/>
  <c r="CU433" i="57"/>
  <c r="DH433" i="57" s="1"/>
  <c r="BY433" i="57"/>
  <c r="R359" i="57"/>
  <c r="U222" i="44"/>
  <c r="U131" i="44"/>
  <c r="U167" i="44"/>
  <c r="U98" i="44"/>
  <c r="U101" i="44" s="1"/>
  <c r="U213" i="44"/>
  <c r="U165" i="44"/>
  <c r="U92" i="44"/>
  <c r="R362" i="57" l="1"/>
  <c r="DM411" i="57"/>
  <c r="DQ341" i="57"/>
  <c r="DM347" i="57"/>
  <c r="BC326" i="57"/>
  <c r="BN335" i="57"/>
  <c r="DN335" i="57"/>
  <c r="DB335" i="57"/>
  <c r="BD326" i="57"/>
  <c r="BE326" i="57"/>
  <c r="BC323" i="57"/>
  <c r="DE338" i="57"/>
  <c r="BA308" i="57"/>
  <c r="BB308" i="57"/>
  <c r="P329" i="57"/>
  <c r="AZ329" i="57" s="1"/>
  <c r="AZ326" i="57"/>
  <c r="BP311" i="57"/>
  <c r="DP311" i="57"/>
  <c r="DD311" i="57"/>
  <c r="BQ311" i="57"/>
  <c r="DA335" i="57"/>
  <c r="BH335" i="57"/>
  <c r="CY335" i="57"/>
  <c r="BO338" i="57"/>
  <c r="DO338" i="57"/>
  <c r="DC338" i="57"/>
  <c r="DM344" i="57"/>
  <c r="BE329" i="57"/>
  <c r="DO341" i="57"/>
  <c r="DE335" i="57"/>
  <c r="AB326" i="57"/>
  <c r="CZ323" i="57"/>
  <c r="BL323" i="57"/>
  <c r="DL323" i="57"/>
  <c r="BM323" i="57"/>
  <c r="DC408" i="57"/>
  <c r="DA338" i="57"/>
  <c r="V323" i="57"/>
  <c r="BF320" i="57"/>
  <c r="BG320" i="57"/>
  <c r="DC335" i="57"/>
  <c r="BH338" i="57"/>
  <c r="Y335" i="57"/>
  <c r="BI332" i="57"/>
  <c r="CW332" i="57"/>
  <c r="CY338" i="57"/>
  <c r="AA344" i="57"/>
  <c r="DK341" i="57"/>
  <c r="BJ323" i="57"/>
  <c r="CX323" i="57"/>
  <c r="DJ323" i="57"/>
  <c r="BK323" i="57"/>
  <c r="DQ344" i="57"/>
  <c r="DD314" i="57"/>
  <c r="BP314" i="57"/>
  <c r="DP314" i="57"/>
  <c r="BQ314" i="57"/>
  <c r="AF317" i="57"/>
  <c r="DD400" i="57"/>
  <c r="AF320" i="57"/>
  <c r="BQ400" i="57"/>
  <c r="BP400" i="57"/>
  <c r="DP400" i="57"/>
  <c r="AD338" i="57"/>
  <c r="AR399" i="57"/>
  <c r="BQ399" i="57"/>
  <c r="AS399" i="57"/>
  <c r="BP399" i="57"/>
  <c r="DP399" i="57"/>
  <c r="DD399" i="57"/>
  <c r="CY408" i="57"/>
  <c r="S329" i="57"/>
  <c r="W341" i="57"/>
  <c r="DC341" i="57" s="1"/>
  <c r="AZ405" i="57"/>
  <c r="DJ403" i="57"/>
  <c r="BJ403" i="57"/>
  <c r="CX403" i="57"/>
  <c r="BK403" i="57"/>
  <c r="AX425" i="57"/>
  <c r="F431" i="57"/>
  <c r="BF403" i="57"/>
  <c r="BG403" i="57"/>
  <c r="BN409" i="57"/>
  <c r="DN409" i="57"/>
  <c r="BN408" i="57"/>
  <c r="DN408" i="57"/>
  <c r="DB408" i="57"/>
  <c r="AP408" i="57"/>
  <c r="AD344" i="57"/>
  <c r="AY425" i="57"/>
  <c r="I431" i="57"/>
  <c r="BO409" i="57"/>
  <c r="DO409" i="57"/>
  <c r="Z326" i="57"/>
  <c r="CV435" i="57"/>
  <c r="DI435" i="57" s="1"/>
  <c r="BZ435" i="57"/>
  <c r="BF402" i="57"/>
  <c r="V326" i="57"/>
  <c r="BG402" i="57"/>
  <c r="DE408" i="57"/>
  <c r="AC353" i="57"/>
  <c r="AE344" i="57"/>
  <c r="AX416" i="57"/>
  <c r="F422" i="57"/>
  <c r="DK409" i="57"/>
  <c r="CY409" i="57"/>
  <c r="AA347" i="57"/>
  <c r="S332" i="57"/>
  <c r="CV419" i="57"/>
  <c r="DI419" i="57" s="1"/>
  <c r="BZ419" i="57"/>
  <c r="X350" i="57"/>
  <c r="DM350" i="57" s="1"/>
  <c r="AQ408" i="57"/>
  <c r="U350" i="57"/>
  <c r="CV410" i="57"/>
  <c r="DI410" i="57" s="1"/>
  <c r="BZ410" i="57"/>
  <c r="BD405" i="57"/>
  <c r="BE405" i="57"/>
  <c r="CW406" i="57"/>
  <c r="BI406" i="57"/>
  <c r="Y338" i="57"/>
  <c r="T332" i="57"/>
  <c r="P332" i="57"/>
  <c r="CU419" i="57"/>
  <c r="DH419" i="57" s="1"/>
  <c r="BY419" i="57"/>
  <c r="BY432" i="57"/>
  <c r="CU432" i="57"/>
  <c r="DH432" i="57" s="1"/>
  <c r="BL403" i="57"/>
  <c r="DL403" i="57"/>
  <c r="CZ403" i="57"/>
  <c r="AB329" i="57"/>
  <c r="BM403" i="57"/>
  <c r="BY410" i="57"/>
  <c r="CU410" i="57"/>
  <c r="DH410" i="57" s="1"/>
  <c r="AY416" i="57"/>
  <c r="I422" i="57"/>
  <c r="W344" i="57"/>
  <c r="DE344" i="57" s="1"/>
  <c r="DA408" i="57"/>
  <c r="BH408" i="57"/>
  <c r="AJ408" i="57"/>
  <c r="M347" i="57"/>
  <c r="M350" i="57" s="1"/>
  <c r="DQ409" i="57"/>
  <c r="DE409" i="57"/>
  <c r="AG347" i="57"/>
  <c r="O347" i="57"/>
  <c r="O350" i="57" s="1"/>
  <c r="Q311" i="57"/>
  <c r="L329" i="57"/>
  <c r="L332" i="57" s="1"/>
  <c r="R365" i="57"/>
  <c r="CU435" i="57"/>
  <c r="DH435" i="57" s="1"/>
  <c r="BY435" i="57"/>
  <c r="N338" i="57"/>
  <c r="N341" i="57" s="1"/>
  <c r="BZ432" i="57"/>
  <c r="CV432" i="57"/>
  <c r="DI432" i="57" s="1"/>
  <c r="BO408" i="57"/>
  <c r="K347" i="57"/>
  <c r="K350" i="57" s="1"/>
  <c r="U221" i="44"/>
  <c r="U223" i="44" s="1"/>
  <c r="U103" i="44"/>
  <c r="U172" i="44"/>
  <c r="U174" i="44" s="1"/>
  <c r="BF326" i="57" l="1"/>
  <c r="BG326" i="57"/>
  <c r="CY341" i="57"/>
  <c r="BH344" i="57"/>
  <c r="S335" i="57"/>
  <c r="BC332" i="57"/>
  <c r="CY344" i="57"/>
  <c r="DK344" i="57"/>
  <c r="CW335" i="57"/>
  <c r="BI335" i="57"/>
  <c r="CZ326" i="57"/>
  <c r="BL326" i="57"/>
  <c r="DL326" i="57"/>
  <c r="BM326" i="57"/>
  <c r="BI338" i="57"/>
  <c r="CW338" i="57"/>
  <c r="Q314" i="57"/>
  <c r="BA311" i="57"/>
  <c r="BB311" i="57"/>
  <c r="BH409" i="57"/>
  <c r="DA341" i="57"/>
  <c r="BH341" i="57"/>
  <c r="BF323" i="57"/>
  <c r="BG323" i="57"/>
  <c r="DO344" i="57"/>
  <c r="BO344" i="57"/>
  <c r="DC344" i="57"/>
  <c r="AG350" i="57"/>
  <c r="DQ347" i="57"/>
  <c r="BC405" i="57"/>
  <c r="BC329" i="57"/>
  <c r="DE341" i="57"/>
  <c r="DA344" i="57"/>
  <c r="AA350" i="57"/>
  <c r="DK347" i="57"/>
  <c r="BL329" i="57"/>
  <c r="DL329" i="57"/>
  <c r="CZ329" i="57"/>
  <c r="BM329" i="57"/>
  <c r="BJ326" i="57"/>
  <c r="CX326" i="57"/>
  <c r="DJ326" i="57"/>
  <c r="BK326" i="57"/>
  <c r="BP320" i="57"/>
  <c r="DP320" i="57"/>
  <c r="DD320" i="57"/>
  <c r="BQ320" i="57"/>
  <c r="BN344" i="57"/>
  <c r="DB344" i="57"/>
  <c r="DN344" i="57"/>
  <c r="BD329" i="57"/>
  <c r="U353" i="57"/>
  <c r="X353" i="57"/>
  <c r="DM353" i="57" s="1"/>
  <c r="T335" i="57"/>
  <c r="BD332" i="57"/>
  <c r="BE332" i="57"/>
  <c r="AD341" i="57"/>
  <c r="BN338" i="57"/>
  <c r="DB338" i="57"/>
  <c r="DN338" i="57"/>
  <c r="BP317" i="57"/>
  <c r="DP317" i="57"/>
  <c r="DD317" i="57"/>
  <c r="BQ317" i="57"/>
  <c r="DB409" i="57"/>
  <c r="DC409" i="57"/>
  <c r="BP402" i="57"/>
  <c r="DP402" i="57"/>
  <c r="DD402" i="57"/>
  <c r="AR402" i="57"/>
  <c r="AS402" i="57"/>
  <c r="BQ402" i="57"/>
  <c r="AF323" i="57"/>
  <c r="DA409" i="57"/>
  <c r="DQ412" i="57"/>
  <c r="CW408" i="57"/>
  <c r="BI408" i="57"/>
  <c r="AK408" i="57"/>
  <c r="DK411" i="57"/>
  <c r="AA353" i="57"/>
  <c r="BZ425" i="57"/>
  <c r="CV425" i="57"/>
  <c r="DI425" i="57" s="1"/>
  <c r="AZ332" i="57"/>
  <c r="AZ406" i="57"/>
  <c r="AY431" i="57"/>
  <c r="I437" i="57"/>
  <c r="AY439" i="57"/>
  <c r="Y341" i="57"/>
  <c r="AX431" i="57"/>
  <c r="F437" i="57"/>
  <c r="AX439" i="57"/>
  <c r="BL405" i="57"/>
  <c r="DL405" i="57"/>
  <c r="CZ405" i="57"/>
  <c r="AN405" i="57"/>
  <c r="AO405" i="57"/>
  <c r="BM405" i="57"/>
  <c r="DM412" i="57"/>
  <c r="BY425" i="57"/>
  <c r="CU425" i="57"/>
  <c r="DH425" i="57" s="1"/>
  <c r="AB332" i="57"/>
  <c r="L335" i="57"/>
  <c r="M353" i="57"/>
  <c r="AE347" i="57"/>
  <c r="W347" i="57"/>
  <c r="DE347" i="57" s="1"/>
  <c r="X356" i="57"/>
  <c r="R371" i="57"/>
  <c r="AX422" i="57"/>
  <c r="F428" i="57"/>
  <c r="AX436" i="57"/>
  <c r="R368" i="57"/>
  <c r="DQ411" i="57"/>
  <c r="AG353" i="57"/>
  <c r="BA399" i="57"/>
  <c r="Q317" i="57"/>
  <c r="BB399" i="57"/>
  <c r="DK412" i="57"/>
  <c r="O353" i="57"/>
  <c r="O356" i="57" s="1"/>
  <c r="AY422" i="57"/>
  <c r="I428" i="57"/>
  <c r="AY436" i="57"/>
  <c r="BD406" i="57"/>
  <c r="T338" i="57"/>
  <c r="BE406" i="57"/>
  <c r="U356" i="57"/>
  <c r="CU416" i="57"/>
  <c r="DH416" i="57" s="1"/>
  <c r="BY416" i="57"/>
  <c r="P335" i="57"/>
  <c r="AZ335" i="57" s="1"/>
  <c r="BA400" i="57"/>
  <c r="BB400" i="57"/>
  <c r="K353" i="57"/>
  <c r="N344" i="57"/>
  <c r="BZ416" i="57"/>
  <c r="CV416" i="57"/>
  <c r="DI416" i="57" s="1"/>
  <c r="BC406" i="57"/>
  <c r="S338" i="57"/>
  <c r="AC356" i="57"/>
  <c r="AD347" i="57"/>
  <c r="V329" i="57"/>
  <c r="Z329" i="57"/>
  <c r="U105" i="44"/>
  <c r="U107" i="44"/>
  <c r="U109" i="44" s="1"/>
  <c r="U248" i="44" s="1"/>
  <c r="V169" i="44"/>
  <c r="U211" i="44"/>
  <c r="U129" i="44"/>
  <c r="U133" i="44" s="1"/>
  <c r="U359" i="57" l="1"/>
  <c r="AA356" i="57"/>
  <c r="DK353" i="57"/>
  <c r="CY347" i="57"/>
  <c r="BD335" i="57"/>
  <c r="BE335" i="57"/>
  <c r="DK350" i="57"/>
  <c r="BC338" i="57"/>
  <c r="X359" i="57"/>
  <c r="BC335" i="57"/>
  <c r="V332" i="57"/>
  <c r="BF329" i="57"/>
  <c r="BG329" i="57"/>
  <c r="DL332" i="57"/>
  <c r="CZ332" i="57"/>
  <c r="BL332" i="57"/>
  <c r="BM332" i="57"/>
  <c r="DQ353" i="57"/>
  <c r="AD350" i="57"/>
  <c r="BN347" i="57"/>
  <c r="DB347" i="57"/>
  <c r="DN347" i="57"/>
  <c r="DQ350" i="57"/>
  <c r="BA314" i="57"/>
  <c r="BB314" i="57"/>
  <c r="AC359" i="57"/>
  <c r="DM356" i="57"/>
  <c r="BD338" i="57"/>
  <c r="BE338" i="57"/>
  <c r="DE411" i="57"/>
  <c r="DA347" i="57"/>
  <c r="BH347" i="57"/>
  <c r="BN341" i="57"/>
  <c r="DB341" i="57"/>
  <c r="DN341" i="57"/>
  <c r="BO341" i="57"/>
  <c r="DJ329" i="57"/>
  <c r="BJ329" i="57"/>
  <c r="CX329" i="57"/>
  <c r="BK329" i="57"/>
  <c r="Q320" i="57"/>
  <c r="BA317" i="57"/>
  <c r="BB317" i="57"/>
  <c r="AE350" i="57"/>
  <c r="DC347" i="57"/>
  <c r="DO347" i="57"/>
  <c r="BO347" i="57"/>
  <c r="Y344" i="57"/>
  <c r="CW341" i="57"/>
  <c r="BI341" i="57"/>
  <c r="DD323" i="57"/>
  <c r="BP323" i="57"/>
  <c r="DP323" i="57"/>
  <c r="BQ323" i="57"/>
  <c r="AF326" i="57"/>
  <c r="AF329" i="57"/>
  <c r="BQ403" i="57"/>
  <c r="BP403" i="57"/>
  <c r="DP403" i="57"/>
  <c r="DD403" i="57"/>
  <c r="W350" i="57"/>
  <c r="CY350" i="57" s="1"/>
  <c r="BN412" i="57"/>
  <c r="DN412" i="57"/>
  <c r="DB412" i="57"/>
  <c r="DM415" i="57"/>
  <c r="BF406" i="57"/>
  <c r="BG406" i="57"/>
  <c r="BD408" i="57"/>
  <c r="BE408" i="57"/>
  <c r="CU422" i="57"/>
  <c r="DH422" i="57" s="1"/>
  <c r="BY422" i="57"/>
  <c r="CU439" i="57"/>
  <c r="DH439" i="57" s="1"/>
  <c r="BY439" i="57"/>
  <c r="BO412" i="57"/>
  <c r="DO412" i="57"/>
  <c r="DC412" i="57"/>
  <c r="DJ405" i="57"/>
  <c r="BJ405" i="57"/>
  <c r="CX405" i="57"/>
  <c r="AL405" i="57"/>
  <c r="AM405" i="57"/>
  <c r="BK405" i="57"/>
  <c r="CV436" i="57"/>
  <c r="DI436" i="57" s="1"/>
  <c r="BZ436" i="57"/>
  <c r="BL406" i="57"/>
  <c r="DL406" i="57"/>
  <c r="CZ406" i="57"/>
  <c r="BM406" i="57"/>
  <c r="AX437" i="57"/>
  <c r="AX441" i="57"/>
  <c r="F443" i="57"/>
  <c r="CV439" i="57"/>
  <c r="DI439" i="57" s="1"/>
  <c r="BZ439" i="57"/>
  <c r="DA412" i="57"/>
  <c r="AY428" i="57"/>
  <c r="AY438" i="57"/>
  <c r="I434" i="57"/>
  <c r="AB335" i="57"/>
  <c r="CU431" i="57"/>
  <c r="DH431" i="57" s="1"/>
  <c r="BY431" i="57"/>
  <c r="AY437" i="57"/>
  <c r="AY441" i="57"/>
  <c r="I443" i="57"/>
  <c r="AA359" i="57"/>
  <c r="DK414" i="57"/>
  <c r="Z332" i="57"/>
  <c r="CV422" i="57"/>
  <c r="DI422" i="57" s="1"/>
  <c r="BZ422" i="57"/>
  <c r="W353" i="57"/>
  <c r="DE353" i="57" s="1"/>
  <c r="DA411" i="57"/>
  <c r="AJ411" i="57"/>
  <c r="BH411" i="57"/>
  <c r="CV431" i="57"/>
  <c r="DI431" i="57" s="1"/>
  <c r="BZ431" i="57"/>
  <c r="AG356" i="57"/>
  <c r="M356" i="57"/>
  <c r="M359" i="57" s="1"/>
  <c r="AX428" i="57"/>
  <c r="AX438" i="57"/>
  <c r="F434" i="57"/>
  <c r="U362" i="57"/>
  <c r="BA402" i="57"/>
  <c r="Q326" i="57"/>
  <c r="BB402" i="57"/>
  <c r="O359" i="57"/>
  <c r="O362" i="57" s="1"/>
  <c r="Q323" i="57"/>
  <c r="R374" i="57"/>
  <c r="X362" i="57"/>
  <c r="BO411" i="57"/>
  <c r="DC411" i="57"/>
  <c r="DO411" i="57"/>
  <c r="AQ411" i="57"/>
  <c r="AE353" i="57"/>
  <c r="BI409" i="57"/>
  <c r="CW409" i="57"/>
  <c r="Y347" i="57"/>
  <c r="P338" i="57"/>
  <c r="AZ338" i="57" s="1"/>
  <c r="CY411" i="57"/>
  <c r="DE412" i="57"/>
  <c r="L338" i="57"/>
  <c r="BF405" i="57"/>
  <c r="V335" i="57"/>
  <c r="BG405" i="57"/>
  <c r="BN411" i="57"/>
  <c r="DN411" i="57"/>
  <c r="DB411" i="57"/>
  <c r="AP411" i="57"/>
  <c r="AD353" i="57"/>
  <c r="DM414" i="57"/>
  <c r="AC362" i="57"/>
  <c r="BC408" i="57"/>
  <c r="BY436" i="57"/>
  <c r="CU436" i="57"/>
  <c r="DH436" i="57" s="1"/>
  <c r="BH412" i="57"/>
  <c r="S341" i="57"/>
  <c r="K356" i="57"/>
  <c r="K359" i="57" s="1"/>
  <c r="T341" i="57"/>
  <c r="N347" i="57"/>
  <c r="U215" i="44"/>
  <c r="U247" i="44" s="1"/>
  <c r="U258" i="44"/>
  <c r="U141" i="44"/>
  <c r="U143" i="44" s="1"/>
  <c r="U111" i="44"/>
  <c r="DC353" i="57" l="1"/>
  <c r="BO353" i="57"/>
  <c r="DO353" i="57"/>
  <c r="BL335" i="57"/>
  <c r="DL335" i="57"/>
  <c r="CZ335" i="57"/>
  <c r="BM335" i="57"/>
  <c r="DO350" i="57"/>
  <c r="DC350" i="57"/>
  <c r="BO350" i="57"/>
  <c r="BF332" i="57"/>
  <c r="BG332" i="57"/>
  <c r="BI344" i="57"/>
  <c r="CW344" i="57"/>
  <c r="DA353" i="57"/>
  <c r="AA362" i="57"/>
  <c r="DK359" i="57"/>
  <c r="DP329" i="57"/>
  <c r="BP329" i="57"/>
  <c r="DD329" i="57"/>
  <c r="BQ329" i="57"/>
  <c r="BA323" i="57"/>
  <c r="BB323" i="57"/>
  <c r="AG359" i="57"/>
  <c r="DQ356" i="57"/>
  <c r="AY443" i="57"/>
  <c r="CY412" i="57"/>
  <c r="DA350" i="57"/>
  <c r="BH350" i="57"/>
  <c r="BP326" i="57"/>
  <c r="DP326" i="57"/>
  <c r="DD326" i="57"/>
  <c r="BQ326" i="57"/>
  <c r="BA320" i="57"/>
  <c r="BB320" i="57"/>
  <c r="CY353" i="57"/>
  <c r="BJ332" i="57"/>
  <c r="DJ332" i="57"/>
  <c r="CX332" i="57"/>
  <c r="BK332" i="57"/>
  <c r="DE350" i="57"/>
  <c r="DB350" i="57"/>
  <c r="BN350" i="57"/>
  <c r="DN350" i="57"/>
  <c r="DK356" i="57"/>
  <c r="AC365" i="57"/>
  <c r="DM362" i="57"/>
  <c r="BA326" i="57"/>
  <c r="BB326" i="57"/>
  <c r="S344" i="57"/>
  <c r="BC341" i="57"/>
  <c r="BI347" i="57"/>
  <c r="CW347" i="57"/>
  <c r="X365" i="57"/>
  <c r="T344" i="57"/>
  <c r="BD341" i="57"/>
  <c r="BE341" i="57"/>
  <c r="V338" i="57"/>
  <c r="BF335" i="57"/>
  <c r="BG335" i="57"/>
  <c r="U365" i="57"/>
  <c r="BH353" i="57"/>
  <c r="BN353" i="57"/>
  <c r="DB353" i="57"/>
  <c r="DN353" i="57"/>
  <c r="AX443" i="57"/>
  <c r="V477" i="57"/>
  <c r="V476" i="57"/>
  <c r="W501" i="57"/>
  <c r="AA486" i="57"/>
  <c r="AB504" i="57"/>
  <c r="AC480" i="57"/>
  <c r="U495" i="57"/>
  <c r="Z474" i="57"/>
  <c r="AC488" i="57"/>
  <c r="DM359" i="57"/>
  <c r="AF332" i="57"/>
  <c r="BP405" i="57"/>
  <c r="DP405" i="57"/>
  <c r="DD405" i="57"/>
  <c r="BQ405" i="57"/>
  <c r="AR405" i="57"/>
  <c r="AS405" i="57"/>
  <c r="AF335" i="57"/>
  <c r="BF408" i="57"/>
  <c r="BG408" i="57"/>
  <c r="DM417" i="57"/>
  <c r="DQ415" i="57"/>
  <c r="AX434" i="57"/>
  <c r="F440" i="57"/>
  <c r="U500" i="57" s="1"/>
  <c r="DK415" i="57"/>
  <c r="AA365" i="57"/>
  <c r="CV438" i="57"/>
  <c r="DI438" i="57" s="1"/>
  <c r="BZ438" i="57"/>
  <c r="CU443" i="57"/>
  <c r="DH443" i="57" s="1"/>
  <c r="BY443" i="57"/>
  <c r="AE356" i="57"/>
  <c r="AY434" i="57"/>
  <c r="I440" i="57"/>
  <c r="AB40" i="57" s="1"/>
  <c r="CU438" i="57"/>
  <c r="DH438" i="57" s="1"/>
  <c r="BY438" i="57"/>
  <c r="DJ406" i="57"/>
  <c r="BJ406" i="57"/>
  <c r="CX406" i="57"/>
  <c r="BK406" i="57"/>
  <c r="CV443" i="57"/>
  <c r="DI443" i="57" s="1"/>
  <c r="BZ443" i="57"/>
  <c r="CV428" i="57"/>
  <c r="DI428" i="57" s="1"/>
  <c r="BZ428" i="57"/>
  <c r="CU441" i="57"/>
  <c r="DH441" i="57" s="1"/>
  <c r="BY441" i="57"/>
  <c r="AZ408" i="57"/>
  <c r="BY428" i="57"/>
  <c r="CU428" i="57"/>
  <c r="DH428" i="57" s="1"/>
  <c r="BZ441" i="57"/>
  <c r="CV441" i="57"/>
  <c r="DI441" i="57" s="1"/>
  <c r="BY437" i="57"/>
  <c r="CU437" i="57"/>
  <c r="DH437" i="57" s="1"/>
  <c r="Z335" i="57"/>
  <c r="K362" i="57"/>
  <c r="N350" i="57"/>
  <c r="N353" i="57" s="1"/>
  <c r="P341" i="57"/>
  <c r="AZ341" i="57" s="1"/>
  <c r="M362" i="57"/>
  <c r="BZ437" i="57"/>
  <c r="CV437" i="57"/>
  <c r="DI437" i="57" s="1"/>
  <c r="R377" i="57"/>
  <c r="AD356" i="57"/>
  <c r="BC409" i="57"/>
  <c r="S347" i="57"/>
  <c r="CW411" i="57"/>
  <c r="BI411" i="57"/>
  <c r="AK411" i="57"/>
  <c r="DQ414" i="57"/>
  <c r="AG362" i="57"/>
  <c r="W356" i="57"/>
  <c r="AA368" i="57"/>
  <c r="AC368" i="57"/>
  <c r="BA403" i="57"/>
  <c r="Q329" i="57"/>
  <c r="BB403" i="57"/>
  <c r="Y350" i="57"/>
  <c r="BD409" i="57"/>
  <c r="T347" i="57"/>
  <c r="BE409" i="57"/>
  <c r="V341" i="57"/>
  <c r="X368" i="57"/>
  <c r="O365" i="57"/>
  <c r="U368" i="57"/>
  <c r="AB338" i="57"/>
  <c r="L341" i="57"/>
  <c r="U253" i="44"/>
  <c r="U254" i="44" s="1"/>
  <c r="R60" i="108" s="1"/>
  <c r="U229" i="44"/>
  <c r="U234" i="44" s="1"/>
  <c r="U220" i="44"/>
  <c r="U225" i="44" s="1"/>
  <c r="U257" i="44"/>
  <c r="U263" i="44" s="1"/>
  <c r="U264" i="44" s="1"/>
  <c r="U156" i="44"/>
  <c r="U157" i="44" s="1"/>
  <c r="V155" i="44" s="1"/>
  <c r="Y353" i="57" l="1"/>
  <c r="CW350" i="57"/>
  <c r="BI350" i="57"/>
  <c r="BF341" i="57"/>
  <c r="BG341" i="57"/>
  <c r="AD359" i="57"/>
  <c r="BN356" i="57"/>
  <c r="DB356" i="57"/>
  <c r="DN356" i="57"/>
  <c r="S476" i="57"/>
  <c r="AF475" i="57"/>
  <c r="AC493" i="57"/>
  <c r="AC498" i="57"/>
  <c r="Y476" i="57"/>
  <c r="W475" i="57"/>
  <c r="AC481" i="57"/>
  <c r="R493" i="57"/>
  <c r="V453" i="57"/>
  <c r="L448" i="57"/>
  <c r="X475" i="57"/>
  <c r="AA483" i="57"/>
  <c r="S449" i="57"/>
  <c r="T451" i="57"/>
  <c r="T448" i="57"/>
  <c r="W483" i="57"/>
  <c r="AG494" i="57"/>
  <c r="AC492" i="57"/>
  <c r="AF448" i="57"/>
  <c r="AG449" i="57"/>
  <c r="AE492" i="57"/>
  <c r="Q453" i="57"/>
  <c r="Y486" i="57"/>
  <c r="AG481" i="57"/>
  <c r="P452" i="57"/>
  <c r="AF482" i="57"/>
  <c r="AE475" i="57"/>
  <c r="AE505" i="57"/>
  <c r="U487" i="57"/>
  <c r="AC506" i="57"/>
  <c r="Y499" i="57"/>
  <c r="T483" i="57"/>
  <c r="AA494" i="57"/>
  <c r="AD476" i="57"/>
  <c r="AB507" i="57"/>
  <c r="Z505" i="57"/>
  <c r="AC505" i="57"/>
  <c r="R495" i="57"/>
  <c r="Y500" i="57"/>
  <c r="V452" i="57"/>
  <c r="T476" i="57"/>
  <c r="U505" i="57"/>
  <c r="AA501" i="57"/>
  <c r="AA475" i="57"/>
  <c r="Y482" i="57"/>
  <c r="AE489" i="57"/>
  <c r="T500" i="57"/>
  <c r="Z480" i="57"/>
  <c r="T507" i="57"/>
  <c r="Z482" i="57"/>
  <c r="AD451" i="57"/>
  <c r="AC499" i="57"/>
  <c r="AG451" i="57"/>
  <c r="R453" i="57"/>
  <c r="Z504" i="57"/>
  <c r="AG477" i="57"/>
  <c r="AE450" i="57"/>
  <c r="AF453" i="57"/>
  <c r="AB482" i="57"/>
  <c r="T477" i="57"/>
  <c r="R499" i="57"/>
  <c r="V474" i="57"/>
  <c r="AF494" i="57"/>
  <c r="Z494" i="57"/>
  <c r="BC344" i="57"/>
  <c r="AA461" i="57"/>
  <c r="N557" i="57"/>
  <c r="AD464" i="57"/>
  <c r="Q512" i="57"/>
  <c r="R462" i="57"/>
  <c r="Z462" i="57"/>
  <c r="AB464" i="57"/>
  <c r="AE463" i="57"/>
  <c r="K463" i="57"/>
  <c r="N512" i="57"/>
  <c r="K462" i="57"/>
  <c r="U461" i="57"/>
  <c r="AG39" i="57"/>
  <c r="O521" i="57"/>
  <c r="P512" i="57"/>
  <c r="T462" i="57"/>
  <c r="S461" i="57"/>
  <c r="AC464" i="57"/>
  <c r="AB462" i="57"/>
  <c r="N461" i="57"/>
  <c r="O485" i="57"/>
  <c r="DK362" i="57"/>
  <c r="DK368" i="57"/>
  <c r="T487" i="57"/>
  <c r="U498" i="57"/>
  <c r="AG452" i="57"/>
  <c r="X504" i="57"/>
  <c r="U451" i="57"/>
  <c r="N451" i="57"/>
  <c r="AG453" i="57"/>
  <c r="T504" i="57"/>
  <c r="AB486" i="57"/>
  <c r="AG504" i="57"/>
  <c r="AG475" i="57"/>
  <c r="W504" i="57"/>
  <c r="W493" i="57"/>
  <c r="AG488" i="57"/>
  <c r="W487" i="57"/>
  <c r="AC504" i="57"/>
  <c r="Y483" i="57"/>
  <c r="W480" i="57"/>
  <c r="U486" i="57"/>
  <c r="U475" i="57"/>
  <c r="T501" i="57"/>
  <c r="AF477" i="57"/>
  <c r="AE474" i="57"/>
  <c r="AD493" i="57"/>
  <c r="X498" i="57"/>
  <c r="S500" i="57"/>
  <c r="R474" i="57"/>
  <c r="AE507" i="57"/>
  <c r="V448" i="57"/>
  <c r="P448" i="57"/>
  <c r="AG486" i="57"/>
  <c r="U506" i="57"/>
  <c r="Y453" i="57"/>
  <c r="X482" i="57"/>
  <c r="U477" i="57"/>
  <c r="R448" i="57"/>
  <c r="W499" i="57"/>
  <c r="AD477" i="57"/>
  <c r="AA448" i="57"/>
  <c r="Z492" i="57"/>
  <c r="Y448" i="57"/>
  <c r="X480" i="57"/>
  <c r="Z506" i="57"/>
  <c r="V507" i="57"/>
  <c r="AB493" i="57"/>
  <c r="X499" i="57"/>
  <c r="Z450" i="57"/>
  <c r="W448" i="57"/>
  <c r="AC451" i="57"/>
  <c r="R507" i="57"/>
  <c r="O449" i="57"/>
  <c r="T453" i="57"/>
  <c r="AA507" i="57"/>
  <c r="AD448" i="57"/>
  <c r="AE448" i="57"/>
  <c r="AD475" i="57"/>
  <c r="AC450" i="57"/>
  <c r="T452" i="57"/>
  <c r="AA500" i="57"/>
  <c r="S505" i="57"/>
  <c r="AC501" i="57"/>
  <c r="AG499" i="57"/>
  <c r="T449" i="57"/>
  <c r="W476" i="57"/>
  <c r="DM365" i="57"/>
  <c r="Q462" i="57"/>
  <c r="AF464" i="57"/>
  <c r="V461" i="57"/>
  <c r="L473" i="57"/>
  <c r="V463" i="57"/>
  <c r="AD40" i="57"/>
  <c r="M463" i="57"/>
  <c r="P530" i="57"/>
  <c r="M461" i="57"/>
  <c r="AC462" i="57"/>
  <c r="Q521" i="57"/>
  <c r="AG40" i="57"/>
  <c r="K521" i="57"/>
  <c r="N473" i="57"/>
  <c r="AF40" i="57"/>
  <c r="M473" i="57"/>
  <c r="M503" i="57"/>
  <c r="AE39" i="57"/>
  <c r="Q503" i="57"/>
  <c r="AD461" i="57"/>
  <c r="K503" i="57"/>
  <c r="AB448" i="57"/>
  <c r="AF493" i="57"/>
  <c r="W505" i="57"/>
  <c r="AG493" i="57"/>
  <c r="T505" i="57"/>
  <c r="Y474" i="57"/>
  <c r="R506" i="57"/>
  <c r="V483" i="57"/>
  <c r="AB498" i="57"/>
  <c r="V486" i="57"/>
  <c r="AD501" i="57"/>
  <c r="R494" i="57"/>
  <c r="Z448" i="57"/>
  <c r="R501" i="57"/>
  <c r="AG448" i="57"/>
  <c r="U488" i="57"/>
  <c r="S481" i="57"/>
  <c r="AA474" i="57"/>
  <c r="AC474" i="57"/>
  <c r="AF480" i="57"/>
  <c r="AG500" i="57"/>
  <c r="AD486" i="57"/>
  <c r="T506" i="57"/>
  <c r="AD494" i="57"/>
  <c r="AE501" i="57"/>
  <c r="AD492" i="57"/>
  <c r="O453" i="57"/>
  <c r="AF450" i="57"/>
  <c r="V495" i="57"/>
  <c r="AD480" i="57"/>
  <c r="V489" i="57"/>
  <c r="AC453" i="57"/>
  <c r="W495" i="57"/>
  <c r="Q451" i="57"/>
  <c r="Z493" i="57"/>
  <c r="X495" i="57"/>
  <c r="V506" i="57"/>
  <c r="M448" i="57"/>
  <c r="AD506" i="57"/>
  <c r="Z488" i="57"/>
  <c r="U483" i="57"/>
  <c r="AC489" i="57"/>
  <c r="Z507" i="57"/>
  <c r="T475" i="57"/>
  <c r="Z477" i="57"/>
  <c r="AD507" i="57"/>
  <c r="X501" i="57"/>
  <c r="R477" i="57"/>
  <c r="R500" i="57"/>
  <c r="U504" i="57"/>
  <c r="V481" i="57"/>
  <c r="AC476" i="57"/>
  <c r="T482" i="57"/>
  <c r="S452" i="57"/>
  <c r="AD489" i="57"/>
  <c r="AD452" i="57"/>
  <c r="AA498" i="57"/>
  <c r="U452" i="57"/>
  <c r="S477" i="57"/>
  <c r="R486" i="57"/>
  <c r="AB500" i="57"/>
  <c r="W494" i="57"/>
  <c r="N450" i="57"/>
  <c r="Z500" i="57"/>
  <c r="P479" i="57"/>
  <c r="T461" i="57"/>
  <c r="Q485" i="57"/>
  <c r="Q473" i="57"/>
  <c r="Q509" i="57" s="1"/>
  <c r="Q479" i="57"/>
  <c r="L463" i="57"/>
  <c r="AF39" i="57"/>
  <c r="AF41" i="57" s="1"/>
  <c r="N503" i="57"/>
  <c r="AF463" i="57"/>
  <c r="K461" i="57"/>
  <c r="Y40" i="57"/>
  <c r="P461" i="57"/>
  <c r="AA464" i="57"/>
  <c r="AG464" i="57"/>
  <c r="S462" i="57"/>
  <c r="Y462" i="57"/>
  <c r="X461" i="57"/>
  <c r="W463" i="57"/>
  <c r="Z463" i="57"/>
  <c r="W464" i="57"/>
  <c r="AE462" i="57"/>
  <c r="W359" i="57"/>
  <c r="DA356" i="57"/>
  <c r="BH356" i="57"/>
  <c r="Y495" i="57"/>
  <c r="X487" i="57"/>
  <c r="X489" i="57"/>
  <c r="AD449" i="57"/>
  <c r="AB477" i="57"/>
  <c r="Y452" i="57"/>
  <c r="AE480" i="57"/>
  <c r="AG487" i="57"/>
  <c r="AE500" i="57"/>
  <c r="AG507" i="57"/>
  <c r="AB487" i="57"/>
  <c r="Y505" i="57"/>
  <c r="AD504" i="57"/>
  <c r="Y487" i="57"/>
  <c r="AA499" i="57"/>
  <c r="AF505" i="57"/>
  <c r="S495" i="57"/>
  <c r="AC482" i="57"/>
  <c r="L451" i="57"/>
  <c r="Y494" i="57"/>
  <c r="AD499" i="57"/>
  <c r="S507" i="57"/>
  <c r="Y498" i="57"/>
  <c r="S501" i="57"/>
  <c r="M450" i="57"/>
  <c r="AE477" i="57"/>
  <c r="T498" i="57"/>
  <c r="R449" i="57"/>
  <c r="AB492" i="57"/>
  <c r="U474" i="57"/>
  <c r="AE498" i="57"/>
  <c r="Z453" i="57"/>
  <c r="R480" i="57"/>
  <c r="R481" i="57"/>
  <c r="W452" i="57"/>
  <c r="S499" i="57"/>
  <c r="V493" i="57"/>
  <c r="X493" i="57"/>
  <c r="X481" i="57"/>
  <c r="U494" i="57"/>
  <c r="AF487" i="57"/>
  <c r="AE495" i="57"/>
  <c r="AE453" i="57"/>
  <c r="U492" i="57"/>
  <c r="U493" i="57"/>
  <c r="AA495" i="57"/>
  <c r="X506" i="57"/>
  <c r="X476" i="57"/>
  <c r="AG489" i="57"/>
  <c r="W481" i="57"/>
  <c r="W474" i="57"/>
  <c r="N449" i="57"/>
  <c r="AG476" i="57"/>
  <c r="O450" i="57"/>
  <c r="AA450" i="57"/>
  <c r="X474" i="57"/>
  <c r="P449" i="57"/>
  <c r="K450" i="57"/>
  <c r="Z487" i="57"/>
  <c r="Y488" i="57"/>
  <c r="L450" i="57"/>
  <c r="AF499" i="57"/>
  <c r="Q450" i="57"/>
  <c r="N448" i="57"/>
  <c r="BF338" i="57"/>
  <c r="BG338" i="57"/>
  <c r="Q464" i="57"/>
  <c r="AB461" i="57"/>
  <c r="AA462" i="57"/>
  <c r="P503" i="57"/>
  <c r="M512" i="57"/>
  <c r="M485" i="57"/>
  <c r="Z39" i="57"/>
  <c r="M479" i="57"/>
  <c r="R464" i="57"/>
  <c r="O464" i="57"/>
  <c r="O512" i="57"/>
  <c r="K512" i="57"/>
  <c r="L512" i="57"/>
  <c r="O479" i="57"/>
  <c r="U462" i="57"/>
  <c r="P464" i="57"/>
  <c r="O462" i="57"/>
  <c r="Y463" i="57"/>
  <c r="AD39" i="57"/>
  <c r="AD41" i="57" s="1"/>
  <c r="M462" i="57"/>
  <c r="N485" i="57"/>
  <c r="BA329" i="57"/>
  <c r="BB329" i="57"/>
  <c r="DP332" i="57"/>
  <c r="DD332" i="57"/>
  <c r="BP332" i="57"/>
  <c r="BQ332" i="57"/>
  <c r="R492" i="57"/>
  <c r="S448" i="57"/>
  <c r="AF507" i="57"/>
  <c r="AC486" i="57"/>
  <c r="AG492" i="57"/>
  <c r="AG491" i="57" s="1"/>
  <c r="N452" i="57"/>
  <c r="Z451" i="57"/>
  <c r="V450" i="57"/>
  <c r="AG495" i="57"/>
  <c r="X477" i="57"/>
  <c r="AC448" i="57"/>
  <c r="X492" i="57"/>
  <c r="R489" i="57"/>
  <c r="AB495" i="57"/>
  <c r="W450" i="57"/>
  <c r="W488" i="57"/>
  <c r="X494" i="57"/>
  <c r="AA453" i="57"/>
  <c r="R450" i="57"/>
  <c r="AC452" i="57"/>
  <c r="AC494" i="57"/>
  <c r="U450" i="57"/>
  <c r="AD474" i="57"/>
  <c r="AC507" i="57"/>
  <c r="O451" i="57"/>
  <c r="X448" i="57"/>
  <c r="Q448" i="57"/>
  <c r="W451" i="57"/>
  <c r="P451" i="57"/>
  <c r="AF483" i="57"/>
  <c r="AF500" i="57"/>
  <c r="AB475" i="57"/>
  <c r="Z449" i="57"/>
  <c r="M449" i="57"/>
  <c r="AB480" i="57"/>
  <c r="AB499" i="57"/>
  <c r="S451" i="57"/>
  <c r="T495" i="57"/>
  <c r="W489" i="57"/>
  <c r="Z495" i="57"/>
  <c r="Y506" i="57"/>
  <c r="AE506" i="57"/>
  <c r="AB476" i="57"/>
  <c r="AA493" i="57"/>
  <c r="S498" i="57"/>
  <c r="AB506" i="57"/>
  <c r="AC475" i="57"/>
  <c r="O452" i="57"/>
  <c r="U449" i="57"/>
  <c r="AB501" i="57"/>
  <c r="AF451" i="57"/>
  <c r="AE449" i="57"/>
  <c r="Q449" i="57"/>
  <c r="T499" i="57"/>
  <c r="AA480" i="57"/>
  <c r="AF506" i="57"/>
  <c r="AF486" i="57"/>
  <c r="Z501" i="57"/>
  <c r="P450" i="57"/>
  <c r="O448" i="57"/>
  <c r="O454" i="57" s="1"/>
  <c r="AG474" i="57"/>
  <c r="Y451" i="57"/>
  <c r="AF449" i="57"/>
  <c r="AC477" i="57"/>
  <c r="R451" i="57"/>
  <c r="O473" i="57"/>
  <c r="P462" i="57"/>
  <c r="O463" i="57"/>
  <c r="AC40" i="57"/>
  <c r="AG461" i="57"/>
  <c r="O530" i="57"/>
  <c r="X463" i="57"/>
  <c r="L461" i="57"/>
  <c r="T463" i="57"/>
  <c r="X462" i="57"/>
  <c r="W461" i="57"/>
  <c r="Q461" i="57"/>
  <c r="AA40" i="57"/>
  <c r="U464" i="57"/>
  <c r="K485" i="57"/>
  <c r="AA39" i="57"/>
  <c r="AA41" i="57" s="1"/>
  <c r="L464" i="57"/>
  <c r="AG463" i="57"/>
  <c r="Q463" i="57"/>
  <c r="M530" i="57"/>
  <c r="AC39" i="57"/>
  <c r="AC41" i="57" s="1"/>
  <c r="DK365" i="57"/>
  <c r="DJ335" i="57"/>
  <c r="CX335" i="57"/>
  <c r="BJ335" i="57"/>
  <c r="BK335" i="57"/>
  <c r="AE359" i="57"/>
  <c r="DC356" i="57"/>
  <c r="BO356" i="57"/>
  <c r="DO356" i="57"/>
  <c r="DD335" i="57"/>
  <c r="BP335" i="57"/>
  <c r="DP335" i="57"/>
  <c r="BQ335" i="57"/>
  <c r="AD481" i="57"/>
  <c r="AA504" i="57"/>
  <c r="AA476" i="57"/>
  <c r="AG505" i="57"/>
  <c r="X449" i="57"/>
  <c r="AF488" i="57"/>
  <c r="AE487" i="57"/>
  <c r="R488" i="57"/>
  <c r="AD488" i="57"/>
  <c r="AC495" i="57"/>
  <c r="R483" i="57"/>
  <c r="S480" i="57"/>
  <c r="W482" i="57"/>
  <c r="M452" i="57"/>
  <c r="AG506" i="57"/>
  <c r="S494" i="57"/>
  <c r="S488" i="57"/>
  <c r="S489" i="57"/>
  <c r="V482" i="57"/>
  <c r="T481" i="57"/>
  <c r="AA489" i="57"/>
  <c r="R452" i="57"/>
  <c r="Z476" i="57"/>
  <c r="R504" i="57"/>
  <c r="AD498" i="57"/>
  <c r="X488" i="57"/>
  <c r="Y475" i="57"/>
  <c r="AD482" i="57"/>
  <c r="Z499" i="57"/>
  <c r="AF495" i="57"/>
  <c r="U453" i="57"/>
  <c r="S493" i="57"/>
  <c r="S475" i="57"/>
  <c r="S483" i="57"/>
  <c r="R476" i="57"/>
  <c r="U489" i="57"/>
  <c r="Y489" i="57"/>
  <c r="T492" i="57"/>
  <c r="S492" i="57"/>
  <c r="AD500" i="57"/>
  <c r="Y493" i="57"/>
  <c r="AG483" i="57"/>
  <c r="V504" i="57"/>
  <c r="U448" i="57"/>
  <c r="U454" i="57" s="1"/>
  <c r="AA506" i="57"/>
  <c r="AB474" i="57"/>
  <c r="V494" i="57"/>
  <c r="AF474" i="57"/>
  <c r="U507" i="57"/>
  <c r="V498" i="57"/>
  <c r="AE476" i="57"/>
  <c r="X500" i="57"/>
  <c r="R505" i="57"/>
  <c r="Y501" i="57"/>
  <c r="S504" i="57"/>
  <c r="Y450" i="57"/>
  <c r="V492" i="57"/>
  <c r="AD505" i="57"/>
  <c r="AG498" i="57"/>
  <c r="AA492" i="57"/>
  <c r="AF476" i="57"/>
  <c r="X450" i="57"/>
  <c r="P453" i="57"/>
  <c r="M453" i="57"/>
  <c r="P557" i="57"/>
  <c r="S464" i="57"/>
  <c r="V462" i="57"/>
  <c r="L503" i="57"/>
  <c r="L485" i="57"/>
  <c r="L557" i="57"/>
  <c r="Y39" i="57"/>
  <c r="Y41" i="57" s="1"/>
  <c r="Z464" i="57"/>
  <c r="T464" i="57"/>
  <c r="Q530" i="57"/>
  <c r="P485" i="57"/>
  <c r="Q557" i="57"/>
  <c r="N479" i="57"/>
  <c r="X40" i="57"/>
  <c r="L462" i="57"/>
  <c r="AB39" i="57"/>
  <c r="AB41" i="57" s="1"/>
  <c r="P473" i="57"/>
  <c r="N462" i="57"/>
  <c r="AC461" i="57"/>
  <c r="AC463" i="57"/>
  <c r="AF462" i="57"/>
  <c r="DE356" i="57"/>
  <c r="X371" i="57"/>
  <c r="BC347" i="57"/>
  <c r="Y507" i="57"/>
  <c r="S506" i="57"/>
  <c r="V501" i="57"/>
  <c r="X486" i="57"/>
  <c r="M451" i="57"/>
  <c r="Y481" i="57"/>
  <c r="R498" i="57"/>
  <c r="W506" i="57"/>
  <c r="R482" i="57"/>
  <c r="U482" i="57"/>
  <c r="T488" i="57"/>
  <c r="W486" i="57"/>
  <c r="W485" i="57" s="1"/>
  <c r="Y480" i="57"/>
  <c r="X507" i="57"/>
  <c r="AB451" i="57"/>
  <c r="T486" i="57"/>
  <c r="AB489" i="57"/>
  <c r="V475" i="57"/>
  <c r="AB488" i="57"/>
  <c r="Z489" i="57"/>
  <c r="AB449" i="57"/>
  <c r="Q452" i="57"/>
  <c r="K453" i="57"/>
  <c r="U476" i="57"/>
  <c r="AE493" i="57"/>
  <c r="AA451" i="57"/>
  <c r="K452" i="57"/>
  <c r="V480" i="57"/>
  <c r="W453" i="57"/>
  <c r="AA482" i="57"/>
  <c r="R487" i="57"/>
  <c r="X483" i="57"/>
  <c r="AE481" i="57"/>
  <c r="X505" i="57"/>
  <c r="W507" i="57"/>
  <c r="L453" i="57"/>
  <c r="AF489" i="57"/>
  <c r="AE486" i="57"/>
  <c r="W498" i="57"/>
  <c r="S453" i="57"/>
  <c r="Y504" i="57"/>
  <c r="Y503" i="57" s="1"/>
  <c r="S487" i="57"/>
  <c r="AC483" i="57"/>
  <c r="AC479" i="57" s="1"/>
  <c r="X452" i="57"/>
  <c r="V451" i="57"/>
  <c r="AD495" i="57"/>
  <c r="X451" i="57"/>
  <c r="W449" i="57"/>
  <c r="Z486" i="57"/>
  <c r="AC449" i="57"/>
  <c r="AG480" i="57"/>
  <c r="V500" i="57"/>
  <c r="L449" i="57"/>
  <c r="U501" i="57"/>
  <c r="V449" i="57"/>
  <c r="X453" i="57"/>
  <c r="AA481" i="57"/>
  <c r="U480" i="57"/>
  <c r="Z452" i="57"/>
  <c r="S450" i="57"/>
  <c r="AF492" i="57"/>
  <c r="AB481" i="57"/>
  <c r="T494" i="57"/>
  <c r="AC500" i="57"/>
  <c r="BD344" i="57"/>
  <c r="BE344" i="57"/>
  <c r="K464" i="57"/>
  <c r="K473" i="57"/>
  <c r="AD462" i="57"/>
  <c r="O503" i="57"/>
  <c r="P463" i="57"/>
  <c r="Y464" i="57"/>
  <c r="O557" i="57"/>
  <c r="AD463" i="57"/>
  <c r="K557" i="57"/>
  <c r="AE461" i="57"/>
  <c r="M464" i="57"/>
  <c r="M557" i="57"/>
  <c r="AE40" i="57"/>
  <c r="X464" i="57"/>
  <c r="S463" i="57"/>
  <c r="L479" i="57"/>
  <c r="V464" i="57"/>
  <c r="X39" i="57"/>
  <c r="X41" i="57" s="1"/>
  <c r="N521" i="57"/>
  <c r="P521" i="57"/>
  <c r="K530" i="57"/>
  <c r="BD347" i="57"/>
  <c r="BE347" i="57"/>
  <c r="BL338" i="57"/>
  <c r="DL338" i="57"/>
  <c r="CZ338" i="57"/>
  <c r="BM338" i="57"/>
  <c r="DM368" i="57"/>
  <c r="AG365" i="57"/>
  <c r="DQ362" i="57"/>
  <c r="Z483" i="57"/>
  <c r="AA505" i="57"/>
  <c r="V488" i="57"/>
  <c r="Z498" i="57"/>
  <c r="T493" i="57"/>
  <c r="Y449" i="57"/>
  <c r="AG501" i="57"/>
  <c r="AC487" i="57"/>
  <c r="AD453" i="57"/>
  <c r="AG450" i="57"/>
  <c r="AE499" i="57"/>
  <c r="AE452" i="57"/>
  <c r="Z481" i="57"/>
  <c r="AF501" i="57"/>
  <c r="Y492" i="57"/>
  <c r="K449" i="57"/>
  <c r="W492" i="57"/>
  <c r="W491" i="57" s="1"/>
  <c r="V487" i="57"/>
  <c r="AE483" i="57"/>
  <c r="AB505" i="57"/>
  <c r="AB452" i="57"/>
  <c r="AA449" i="57"/>
  <c r="T450" i="57"/>
  <c r="AF452" i="57"/>
  <c r="K448" i="57"/>
  <c r="Z475" i="57"/>
  <c r="AD450" i="57"/>
  <c r="T480" i="57"/>
  <c r="AE451" i="57"/>
  <c r="W477" i="57"/>
  <c r="R475" i="57"/>
  <c r="AA477" i="57"/>
  <c r="S486" i="57"/>
  <c r="S485" i="57" s="1"/>
  <c r="U481" i="57"/>
  <c r="V499" i="57"/>
  <c r="AA488" i="57"/>
  <c r="V505" i="57"/>
  <c r="AA487" i="57"/>
  <c r="AA485" i="57" s="1"/>
  <c r="T474" i="57"/>
  <c r="AE488" i="57"/>
  <c r="S482" i="57"/>
  <c r="Y477" i="57"/>
  <c r="AB483" i="57"/>
  <c r="U499" i="57"/>
  <c r="AA452" i="57"/>
  <c r="AB450" i="57"/>
  <c r="AB453" i="57"/>
  <c r="AE504" i="57"/>
  <c r="AF504" i="57"/>
  <c r="AF503" i="57" s="1"/>
  <c r="AF498" i="57"/>
  <c r="T489" i="57"/>
  <c r="W500" i="57"/>
  <c r="K451" i="57"/>
  <c r="AB494" i="57"/>
  <c r="N453" i="57"/>
  <c r="S474" i="57"/>
  <c r="AG482" i="57"/>
  <c r="AF481" i="57"/>
  <c r="AD483" i="57"/>
  <c r="AE494" i="57"/>
  <c r="AE482" i="57"/>
  <c r="L452" i="57"/>
  <c r="AD487" i="57"/>
  <c r="CY356" i="57"/>
  <c r="R463" i="57"/>
  <c r="M521" i="57"/>
  <c r="L521" i="57"/>
  <c r="Z461" i="57"/>
  <c r="Z465" i="57" s="1"/>
  <c r="Z466" i="57" s="1"/>
  <c r="N463" i="57"/>
  <c r="R461" i="57"/>
  <c r="R465" i="57" s="1"/>
  <c r="R466" i="57" s="1"/>
  <c r="AG462" i="57"/>
  <c r="Y461" i="57"/>
  <c r="Y465" i="57" s="1"/>
  <c r="Y466" i="57" s="1"/>
  <c r="AE464" i="57"/>
  <c r="AF461" i="57"/>
  <c r="AF465" i="57" s="1"/>
  <c r="AF466" i="57" s="1"/>
  <c r="K479" i="57"/>
  <c r="N530" i="57"/>
  <c r="N464" i="57"/>
  <c r="AB463" i="57"/>
  <c r="Z40" i="57"/>
  <c r="O461" i="57"/>
  <c r="O465" i="57" s="1"/>
  <c r="O466" i="57" s="1"/>
  <c r="L530" i="57"/>
  <c r="U463" i="57"/>
  <c r="AA463" i="57"/>
  <c r="W462" i="57"/>
  <c r="DQ359" i="57"/>
  <c r="DE359" i="57"/>
  <c r="DD406" i="57"/>
  <c r="BQ406" i="57"/>
  <c r="BP406" i="57"/>
  <c r="DP406" i="57"/>
  <c r="AF338" i="57"/>
  <c r="Z338" i="57"/>
  <c r="DQ417" i="57"/>
  <c r="BA405" i="57"/>
  <c r="BB405" i="57"/>
  <c r="DJ408" i="57"/>
  <c r="BD411" i="57"/>
  <c r="BE411" i="57"/>
  <c r="W362" i="57"/>
  <c r="AJ414" i="57"/>
  <c r="CY414" i="57"/>
  <c r="DA414" i="57"/>
  <c r="BH414" i="57"/>
  <c r="AG368" i="57"/>
  <c r="AY440" i="57"/>
  <c r="AY442" i="57"/>
  <c r="DE415" i="57"/>
  <c r="BN415" i="57"/>
  <c r="DN415" i="57"/>
  <c r="DB415" i="57"/>
  <c r="BZ434" i="57"/>
  <c r="CV434" i="57"/>
  <c r="DI434" i="57" s="1"/>
  <c r="DK417" i="57"/>
  <c r="AA371" i="57"/>
  <c r="Q332" i="57"/>
  <c r="DK418" i="57"/>
  <c r="AA374" i="57"/>
  <c r="BL408" i="57"/>
  <c r="DL408" i="57"/>
  <c r="CZ408" i="57"/>
  <c r="AN408" i="57"/>
  <c r="AO408" i="57"/>
  <c r="BM408" i="57"/>
  <c r="AB341" i="57"/>
  <c r="BF409" i="57"/>
  <c r="BG409" i="57"/>
  <c r="DE414" i="57"/>
  <c r="N356" i="57"/>
  <c r="T350" i="57"/>
  <c r="DA415" i="57"/>
  <c r="BH415" i="57"/>
  <c r="BO415" i="57"/>
  <c r="DC415" i="57"/>
  <c r="DO415" i="57"/>
  <c r="X374" i="57"/>
  <c r="BC411" i="57"/>
  <c r="BO414" i="57"/>
  <c r="DO414" i="57"/>
  <c r="DC414" i="57"/>
  <c r="AQ414" i="57"/>
  <c r="AE362" i="57"/>
  <c r="K365" i="57"/>
  <c r="K368" i="57" s="1"/>
  <c r="V344" i="57"/>
  <c r="L344" i="57"/>
  <c r="S350" i="57"/>
  <c r="AZ409" i="57"/>
  <c r="O368" i="57"/>
  <c r="O371" i="57" s="1"/>
  <c r="P344" i="57"/>
  <c r="CU434" i="57"/>
  <c r="DH434" i="57" s="1"/>
  <c r="BY434" i="57"/>
  <c r="CW412" i="57"/>
  <c r="BI412" i="57"/>
  <c r="Y356" i="57"/>
  <c r="DM418" i="57"/>
  <c r="BN414" i="57"/>
  <c r="DN414" i="57"/>
  <c r="DB414" i="57"/>
  <c r="AP414" i="57"/>
  <c r="AD362" i="57"/>
  <c r="Z341" i="57"/>
  <c r="R380" i="57"/>
  <c r="AX440" i="57"/>
  <c r="AX442" i="57"/>
  <c r="AC371" i="57"/>
  <c r="U371" i="57"/>
  <c r="M365" i="57"/>
  <c r="M368" i="57" s="1"/>
  <c r="U226" i="44"/>
  <c r="R55" i="108" s="1"/>
  <c r="U235" i="44"/>
  <c r="H95" i="98"/>
  <c r="H99" i="98"/>
  <c r="R61" i="108"/>
  <c r="V187" i="44"/>
  <c r="U160" i="44"/>
  <c r="U161" i="44" s="1"/>
  <c r="V159" i="44" s="1"/>
  <c r="R56" i="108" l="1"/>
  <c r="AA532" i="57"/>
  <c r="AA490" i="57"/>
  <c r="AA531" i="57"/>
  <c r="AA536" i="57" s="1"/>
  <c r="AC522" i="57"/>
  <c r="AC484" i="57"/>
  <c r="AE542" i="57"/>
  <c r="AA533" i="57"/>
  <c r="T479" i="57"/>
  <c r="T522" i="57" s="1"/>
  <c r="T527" i="57" s="1"/>
  <c r="Z497" i="57"/>
  <c r="Z549" i="57"/>
  <c r="Z485" i="57"/>
  <c r="Z531" i="57"/>
  <c r="Y558" i="57"/>
  <c r="Y508" i="57"/>
  <c r="Y561" i="57"/>
  <c r="AC465" i="57"/>
  <c r="AC467" i="57" s="1"/>
  <c r="AC466" i="57"/>
  <c r="AG497" i="57"/>
  <c r="AG549" i="57"/>
  <c r="AE515" i="57"/>
  <c r="V503" i="57"/>
  <c r="V558" i="57" s="1"/>
  <c r="AA479" i="57"/>
  <c r="AA522" i="57"/>
  <c r="AC514" i="57"/>
  <c r="W534" i="57"/>
  <c r="AD473" i="57"/>
  <c r="AD509" i="57"/>
  <c r="AD513" i="57"/>
  <c r="O467" i="57"/>
  <c r="N454" i="57"/>
  <c r="X473" i="57"/>
  <c r="X509" i="57"/>
  <c r="X513" i="57"/>
  <c r="AF559" i="57"/>
  <c r="T524" i="57"/>
  <c r="AG551" i="57"/>
  <c r="Z454" i="57"/>
  <c r="Z458" i="57" s="1"/>
  <c r="T46" i="108" s="1"/>
  <c r="AD465" i="57"/>
  <c r="AD466" i="57" s="1"/>
  <c r="L509" i="57"/>
  <c r="X479" i="57"/>
  <c r="X524" i="57"/>
  <c r="W479" i="57"/>
  <c r="AG503" i="57"/>
  <c r="U497" i="57"/>
  <c r="T561" i="57"/>
  <c r="AG542" i="57"/>
  <c r="Z344" i="57"/>
  <c r="CX341" i="57"/>
  <c r="DJ341" i="57"/>
  <c r="BJ341" i="57"/>
  <c r="BK341" i="57"/>
  <c r="AF341" i="57"/>
  <c r="DD338" i="57"/>
  <c r="BP338" i="57"/>
  <c r="DP338" i="57"/>
  <c r="BQ338" i="57"/>
  <c r="S353" i="57"/>
  <c r="BC350" i="57"/>
  <c r="DK374" i="57"/>
  <c r="AD365" i="57"/>
  <c r="DB362" i="57"/>
  <c r="BN362" i="57"/>
  <c r="DN362" i="57"/>
  <c r="BD350" i="57"/>
  <c r="BE350" i="57"/>
  <c r="T534" i="57"/>
  <c r="AE550" i="57"/>
  <c r="DQ365" i="57"/>
  <c r="X525" i="57"/>
  <c r="T485" i="57"/>
  <c r="V497" i="57"/>
  <c r="V549" i="57"/>
  <c r="S534" i="57"/>
  <c r="AA503" i="57"/>
  <c r="O509" i="57"/>
  <c r="AB543" i="57"/>
  <c r="X523" i="57"/>
  <c r="AE497" i="57"/>
  <c r="AE549" i="57" s="1"/>
  <c r="AE554" i="57" s="1"/>
  <c r="Y497" i="57"/>
  <c r="Y549" i="57" s="1"/>
  <c r="AE479" i="57"/>
  <c r="P465" i="57"/>
  <c r="P467" i="57" s="1"/>
  <c r="R485" i="57"/>
  <c r="R531" i="57" s="1"/>
  <c r="AF479" i="57"/>
  <c r="AF525" i="57" s="1"/>
  <c r="AG541" i="57"/>
  <c r="V465" i="57"/>
  <c r="V466" i="57" s="1"/>
  <c r="Y454" i="57"/>
  <c r="Y458" i="57" s="1"/>
  <c r="S46" i="108" s="1"/>
  <c r="X497" i="57"/>
  <c r="X549" i="57" s="1"/>
  <c r="AB485" i="57"/>
  <c r="T532" i="57"/>
  <c r="T537" i="57" s="1"/>
  <c r="Z542" i="57"/>
  <c r="Z479" i="57"/>
  <c r="Z522" i="57"/>
  <c r="W525" i="57"/>
  <c r="BN359" i="57"/>
  <c r="DB359" i="57"/>
  <c r="DN359" i="57"/>
  <c r="BF344" i="57"/>
  <c r="BG344" i="57"/>
  <c r="BA332" i="57"/>
  <c r="BB332" i="57"/>
  <c r="AF523" i="57"/>
  <c r="AF497" i="57"/>
  <c r="AF549" i="57"/>
  <c r="AA559" i="57"/>
  <c r="W497" i="57"/>
  <c r="R532" i="57"/>
  <c r="R497" i="57"/>
  <c r="R549" i="57"/>
  <c r="P509" i="57"/>
  <c r="V540" i="57"/>
  <c r="V491" i="57"/>
  <c r="V496" i="57" s="1"/>
  <c r="AD497" i="57"/>
  <c r="AD549" i="57"/>
  <c r="S533" i="57"/>
  <c r="BO359" i="57"/>
  <c r="DC359" i="57"/>
  <c r="DO359" i="57"/>
  <c r="L465" i="57"/>
  <c r="L467" i="57" s="1"/>
  <c r="AG509" i="57"/>
  <c r="AG473" i="57"/>
  <c r="S497" i="57"/>
  <c r="S549" i="57"/>
  <c r="R534" i="57"/>
  <c r="AG540" i="57"/>
  <c r="AG496" i="57"/>
  <c r="AG539" i="57"/>
  <c r="Z509" i="57"/>
  <c r="Z41" i="57"/>
  <c r="AF550" i="57"/>
  <c r="AF555" i="57" s="1"/>
  <c r="X541" i="57"/>
  <c r="U473" i="57"/>
  <c r="U509" i="57"/>
  <c r="U513" i="57"/>
  <c r="S516" i="57"/>
  <c r="Z561" i="57"/>
  <c r="AC509" i="57"/>
  <c r="AC521" i="57" s="1"/>
  <c r="AC473" i="57"/>
  <c r="AC513" i="57"/>
  <c r="AD552" i="57"/>
  <c r="W559" i="57"/>
  <c r="W564" i="57" s="1"/>
  <c r="AE41" i="57"/>
  <c r="AD514" i="57"/>
  <c r="W454" i="57"/>
  <c r="Z491" i="57"/>
  <c r="AD541" i="57"/>
  <c r="AC503" i="57"/>
  <c r="T503" i="57"/>
  <c r="T559" i="57" s="1"/>
  <c r="T564" i="57" s="1"/>
  <c r="S465" i="57"/>
  <c r="S466" i="57" s="1"/>
  <c r="AA465" i="57"/>
  <c r="AA466" i="57" s="1"/>
  <c r="Z503" i="57"/>
  <c r="Y550" i="57"/>
  <c r="Y485" i="57"/>
  <c r="Y532" i="57" s="1"/>
  <c r="T454" i="57"/>
  <c r="AC523" i="57"/>
  <c r="DQ368" i="57"/>
  <c r="Y359" i="57"/>
  <c r="BI356" i="57"/>
  <c r="CW356" i="57"/>
  <c r="DL341" i="57"/>
  <c r="CZ341" i="57"/>
  <c r="BL341" i="57"/>
  <c r="BM341" i="57"/>
  <c r="X377" i="57"/>
  <c r="DK371" i="57"/>
  <c r="AF558" i="57"/>
  <c r="AF508" i="57"/>
  <c r="S531" i="57"/>
  <c r="S490" i="57"/>
  <c r="S530" i="57"/>
  <c r="K454" i="57"/>
  <c r="W540" i="57"/>
  <c r="W496" i="57"/>
  <c r="Z525" i="57"/>
  <c r="U552" i="57"/>
  <c r="AE485" i="57"/>
  <c r="AE531" i="57" s="1"/>
  <c r="AA524" i="57"/>
  <c r="AA527" i="57" s="1"/>
  <c r="AF473" i="57"/>
  <c r="AF516" i="57" s="1"/>
  <c r="AF509" i="57"/>
  <c r="AF557" i="57" s="1"/>
  <c r="R503" i="57"/>
  <c r="R558" i="57"/>
  <c r="O458" i="57"/>
  <c r="X491" i="57"/>
  <c r="X540" i="57"/>
  <c r="AC485" i="57"/>
  <c r="AC531" i="57" s="1"/>
  <c r="Z473" i="57"/>
  <c r="AG515" i="57"/>
  <c r="U541" i="57"/>
  <c r="V541" i="57"/>
  <c r="AB491" i="57"/>
  <c r="AB540" i="57"/>
  <c r="AD503" i="57"/>
  <c r="AD558" i="57"/>
  <c r="K465" i="57"/>
  <c r="K466" i="57" s="1"/>
  <c r="T465" i="57"/>
  <c r="T467" i="57" s="1"/>
  <c r="U503" i="57"/>
  <c r="U561" i="57" s="1"/>
  <c r="AC534" i="57"/>
  <c r="AD491" i="57"/>
  <c r="AD540" i="57"/>
  <c r="AA473" i="57"/>
  <c r="AA509" i="57"/>
  <c r="AA513" i="57"/>
  <c r="V485" i="57"/>
  <c r="V533" i="57" s="1"/>
  <c r="V531" i="57"/>
  <c r="M465" i="57"/>
  <c r="M467" i="57" s="1"/>
  <c r="M466" i="57"/>
  <c r="AE454" i="57"/>
  <c r="AA454" i="57"/>
  <c r="AA458" i="57" s="1"/>
  <c r="U46" i="108" s="1"/>
  <c r="AG485" i="57"/>
  <c r="AG532" i="57" s="1"/>
  <c r="AG531" i="57"/>
  <c r="AE473" i="57"/>
  <c r="AE509" i="57"/>
  <c r="W532" i="57"/>
  <c r="W537" i="57" s="1"/>
  <c r="V509" i="57"/>
  <c r="V473" i="57"/>
  <c r="V513" i="57"/>
  <c r="AE534" i="57"/>
  <c r="P347" i="57"/>
  <c r="AZ347" i="57" s="1"/>
  <c r="AZ344" i="57"/>
  <c r="S473" i="57"/>
  <c r="S514" i="57" s="1"/>
  <c r="S519" i="57" s="1"/>
  <c r="S509" i="57"/>
  <c r="AE503" i="57"/>
  <c r="AE558" i="57"/>
  <c r="AA516" i="57"/>
  <c r="AC532" i="57"/>
  <c r="AC537" i="57" s="1"/>
  <c r="AB503" i="57"/>
  <c r="AB560" i="57" s="1"/>
  <c r="AD467" i="57"/>
  <c r="AF491" i="57"/>
  <c r="AF540" i="57" s="1"/>
  <c r="Y479" i="57"/>
  <c r="Y523" i="57" s="1"/>
  <c r="S503" i="57"/>
  <c r="V542" i="57"/>
  <c r="S491" i="57"/>
  <c r="S541" i="57" s="1"/>
  <c r="S540" i="57"/>
  <c r="Z515" i="57"/>
  <c r="AG560" i="57"/>
  <c r="AE532" i="57"/>
  <c r="AE537" i="57" s="1"/>
  <c r="AB479" i="57"/>
  <c r="AB522" i="57"/>
  <c r="Q454" i="57"/>
  <c r="AC454" i="57"/>
  <c r="AC458" i="57" s="1"/>
  <c r="W46" i="108" s="1"/>
  <c r="AF561" i="57"/>
  <c r="U491" i="57"/>
  <c r="U540" i="57"/>
  <c r="Y542" i="57"/>
  <c r="Y559" i="57"/>
  <c r="Y564" i="57" s="1"/>
  <c r="X465" i="57"/>
  <c r="X466" i="57" s="1"/>
  <c r="AA497" i="57"/>
  <c r="AA549" i="57" s="1"/>
  <c r="AA554" i="57" s="1"/>
  <c r="W543" i="57"/>
  <c r="AE552" i="57"/>
  <c r="AB497" i="57"/>
  <c r="AB551" i="57" s="1"/>
  <c r="AB454" i="57"/>
  <c r="M509" i="57"/>
  <c r="AD454" i="57"/>
  <c r="AD458" i="57" s="1"/>
  <c r="X46" i="108" s="1"/>
  <c r="X550" i="57"/>
  <c r="AD516" i="57"/>
  <c r="P454" i="57"/>
  <c r="P458" i="57" s="1"/>
  <c r="AG533" i="57"/>
  <c r="R550" i="57"/>
  <c r="AE491" i="57"/>
  <c r="AE540" i="57" s="1"/>
  <c r="AE545" i="57" s="1"/>
  <c r="W467" i="57"/>
  <c r="AC374" i="57"/>
  <c r="DM371" i="57"/>
  <c r="DC362" i="57"/>
  <c r="BO362" i="57"/>
  <c r="DO362" i="57"/>
  <c r="DA362" i="57"/>
  <c r="BH362" i="57"/>
  <c r="AL408" i="57"/>
  <c r="DJ338" i="57"/>
  <c r="CX338" i="57"/>
  <c r="BJ338" i="57"/>
  <c r="BK338" i="57"/>
  <c r="T473" i="57"/>
  <c r="T509" i="57"/>
  <c r="Y491" i="57"/>
  <c r="Y540" i="57" s="1"/>
  <c r="Y545" i="57" s="1"/>
  <c r="AG552" i="57"/>
  <c r="AE465" i="57"/>
  <c r="AE466" i="57" s="1"/>
  <c r="K509" i="57"/>
  <c r="V551" i="57"/>
  <c r="V479" i="57"/>
  <c r="V522" i="57" s="1"/>
  <c r="W531" i="57"/>
  <c r="W490" i="57"/>
  <c r="X485" i="57"/>
  <c r="X531" i="57"/>
  <c r="Y552" i="57"/>
  <c r="AB509" i="57"/>
  <c r="AB473" i="57"/>
  <c r="AB516" i="57" s="1"/>
  <c r="AB513" i="57"/>
  <c r="T491" i="57"/>
  <c r="T540" i="57"/>
  <c r="AF533" i="57"/>
  <c r="AG465" i="57"/>
  <c r="AG466" i="57" s="1"/>
  <c r="Z552" i="57"/>
  <c r="X454" i="57"/>
  <c r="X458" i="57" s="1"/>
  <c r="R46" i="108" s="1"/>
  <c r="X516" i="57"/>
  <c r="S454" i="57"/>
  <c r="S458" i="57" s="1"/>
  <c r="M46" i="108" s="1"/>
  <c r="Z532" i="57"/>
  <c r="W473" i="57"/>
  <c r="W516" i="57" s="1"/>
  <c r="W509" i="57"/>
  <c r="W539" i="57" s="1"/>
  <c r="T497" i="57"/>
  <c r="T549" i="57"/>
  <c r="AB532" i="57"/>
  <c r="X534" i="57"/>
  <c r="Y467" i="57"/>
  <c r="Z533" i="57"/>
  <c r="AD542" i="57"/>
  <c r="AA561" i="57"/>
  <c r="AB541" i="57"/>
  <c r="AB546" i="57" s="1"/>
  <c r="W550" i="57"/>
  <c r="V454" i="57"/>
  <c r="V458" i="57" s="1"/>
  <c r="P46" i="108" s="1"/>
  <c r="T552" i="57"/>
  <c r="W541" i="57"/>
  <c r="CY362" i="57"/>
  <c r="Z467" i="57"/>
  <c r="AA514" i="57"/>
  <c r="AA519" i="57" s="1"/>
  <c r="Z559" i="57"/>
  <c r="Z564" i="57" s="1"/>
  <c r="AC497" i="57"/>
  <c r="AC552" i="57" s="1"/>
  <c r="AC549" i="57"/>
  <c r="AF552" i="57"/>
  <c r="AG479" i="57"/>
  <c r="AG522" i="57"/>
  <c r="AC525" i="57"/>
  <c r="W561" i="57"/>
  <c r="AB533" i="57"/>
  <c r="T533" i="57"/>
  <c r="V552" i="57"/>
  <c r="AF467" i="57"/>
  <c r="R559" i="57"/>
  <c r="AA560" i="57"/>
  <c r="Y534" i="57"/>
  <c r="Z550" i="57"/>
  <c r="Z555" i="57" s="1"/>
  <c r="AA534" i="57"/>
  <c r="AA537" i="57" s="1"/>
  <c r="W524" i="57"/>
  <c r="Q465" i="57"/>
  <c r="Q466" i="57" s="1"/>
  <c r="AF485" i="57"/>
  <c r="AF531" i="57" s="1"/>
  <c r="AF536" i="57" s="1"/>
  <c r="Y560" i="57"/>
  <c r="Y563" i="57" s="1"/>
  <c r="X542" i="57"/>
  <c r="AG543" i="57"/>
  <c r="R491" i="57"/>
  <c r="R540" i="57" s="1"/>
  <c r="AA467" i="57"/>
  <c r="W523" i="57"/>
  <c r="AE543" i="57"/>
  <c r="R523" i="57"/>
  <c r="AE516" i="57"/>
  <c r="AC524" i="57"/>
  <c r="AC527" i="57" s="1"/>
  <c r="AG561" i="57"/>
  <c r="S467" i="57"/>
  <c r="X552" i="57"/>
  <c r="AD560" i="57"/>
  <c r="V534" i="57"/>
  <c r="T560" i="57"/>
  <c r="AG454" i="57"/>
  <c r="R560" i="57"/>
  <c r="N509" i="57"/>
  <c r="S559" i="57"/>
  <c r="V561" i="57"/>
  <c r="R454" i="57"/>
  <c r="R458" i="57" s="1"/>
  <c r="L46" i="108" s="1"/>
  <c r="AE561" i="57"/>
  <c r="U514" i="57"/>
  <c r="W503" i="57"/>
  <c r="X503" i="57"/>
  <c r="X558" i="57" s="1"/>
  <c r="AG41" i="57"/>
  <c r="R467" i="57"/>
  <c r="AB561" i="57"/>
  <c r="AE514" i="57"/>
  <c r="AE519" i="57" s="1"/>
  <c r="AF454" i="57"/>
  <c r="AF458" i="57" s="1"/>
  <c r="Z46" i="108" s="1"/>
  <c r="X514" i="57"/>
  <c r="CW353" i="57"/>
  <c r="BI353" i="57"/>
  <c r="AE524" i="57"/>
  <c r="V559" i="57"/>
  <c r="DE362" i="57"/>
  <c r="U479" i="57"/>
  <c r="U522" i="57" s="1"/>
  <c r="S532" i="57"/>
  <c r="S537" i="57" s="1"/>
  <c r="X559" i="57"/>
  <c r="V514" i="57"/>
  <c r="S560" i="57"/>
  <c r="AA491" i="57"/>
  <c r="AA540" i="57"/>
  <c r="AD524" i="57"/>
  <c r="T523" i="57"/>
  <c r="S479" i="57"/>
  <c r="S525" i="57" s="1"/>
  <c r="AG559" i="57"/>
  <c r="AG564" i="57" s="1"/>
  <c r="W465" i="57"/>
  <c r="W466" i="57" s="1"/>
  <c r="AC516" i="57"/>
  <c r="AF560" i="57"/>
  <c r="AF563" i="57" s="1"/>
  <c r="Z543" i="57"/>
  <c r="AC561" i="57"/>
  <c r="W533" i="57"/>
  <c r="W536" i="57" s="1"/>
  <c r="AB465" i="57"/>
  <c r="AB467" i="57" s="1"/>
  <c r="AB466" i="57"/>
  <c r="R479" i="57"/>
  <c r="R522" i="57"/>
  <c r="AE551" i="57"/>
  <c r="Y543" i="57"/>
  <c r="CY415" i="57"/>
  <c r="CY359" i="57"/>
  <c r="DA359" i="57"/>
  <c r="BH359" i="57"/>
  <c r="W542" i="57"/>
  <c r="W545" i="57" s="1"/>
  <c r="AD561" i="57"/>
  <c r="M454" i="57"/>
  <c r="M458" i="57" s="1"/>
  <c r="AD479" i="57"/>
  <c r="AD525" i="57" s="1"/>
  <c r="AD485" i="57"/>
  <c r="AD531" i="57" s="1"/>
  <c r="R552" i="57"/>
  <c r="Y473" i="57"/>
  <c r="Y515" i="57" s="1"/>
  <c r="Y509" i="57"/>
  <c r="Y557" i="57" s="1"/>
  <c r="AA551" i="57"/>
  <c r="Z560" i="57"/>
  <c r="R473" i="57"/>
  <c r="R509" i="57"/>
  <c r="R513" i="57"/>
  <c r="U485" i="57"/>
  <c r="U532" i="57" s="1"/>
  <c r="AG514" i="57"/>
  <c r="N465" i="57"/>
  <c r="N467" i="57" s="1"/>
  <c r="U465" i="57"/>
  <c r="U467" i="57" s="1"/>
  <c r="Z524" i="57"/>
  <c r="Z527" i="57" s="1"/>
  <c r="U559" i="57"/>
  <c r="AF524" i="57"/>
  <c r="AC491" i="57"/>
  <c r="AC540" i="57"/>
  <c r="L454" i="57"/>
  <c r="L458" i="57" s="1"/>
  <c r="CX408" i="57"/>
  <c r="BJ408" i="57"/>
  <c r="BP409" i="57"/>
  <c r="DP409" i="57"/>
  <c r="DD409" i="57"/>
  <c r="BQ409" i="57"/>
  <c r="DP408" i="57"/>
  <c r="DD408" i="57"/>
  <c r="AR408" i="57"/>
  <c r="BQ408" i="57"/>
  <c r="AS408" i="57"/>
  <c r="BP408" i="57"/>
  <c r="AF344" i="57"/>
  <c r="AM408" i="57"/>
  <c r="BK408" i="57"/>
  <c r="V347" i="57"/>
  <c r="DM420" i="57"/>
  <c r="BN417" i="57"/>
  <c r="DN417" i="57"/>
  <c r="AP417" i="57"/>
  <c r="BI414" i="57"/>
  <c r="CW414" i="57"/>
  <c r="AK414" i="57"/>
  <c r="Y362" i="57"/>
  <c r="BA406" i="57"/>
  <c r="BB406" i="57"/>
  <c r="BC412" i="57"/>
  <c r="S356" i="57"/>
  <c r="BL409" i="57"/>
  <c r="CZ409" i="57"/>
  <c r="DL409" i="57"/>
  <c r="BM409" i="57"/>
  <c r="BZ442" i="57"/>
  <c r="CV442" i="57"/>
  <c r="DI442" i="57" s="1"/>
  <c r="DQ418" i="57"/>
  <c r="AG371" i="57"/>
  <c r="X380" i="57"/>
  <c r="AA377" i="57"/>
  <c r="CV440" i="57"/>
  <c r="DI440" i="57" s="1"/>
  <c r="BZ440" i="57"/>
  <c r="Q335" i="57"/>
  <c r="CU442" i="57"/>
  <c r="DH442" i="57" s="1"/>
  <c r="BY442" i="57"/>
  <c r="BJ409" i="57"/>
  <c r="DJ409" i="57"/>
  <c r="CX409" i="57"/>
  <c r="Z347" i="57"/>
  <c r="BK409" i="57"/>
  <c r="R383" i="57"/>
  <c r="U374" i="57"/>
  <c r="BF411" i="57"/>
  <c r="AC377" i="57"/>
  <c r="V350" i="57"/>
  <c r="AD368" i="57"/>
  <c r="P350" i="57"/>
  <c r="K371" i="57"/>
  <c r="K374" i="57" s="1"/>
  <c r="AE365" i="57"/>
  <c r="W365" i="57"/>
  <c r="AZ411" i="57"/>
  <c r="BD412" i="57"/>
  <c r="BE412" i="57"/>
  <c r="T353" i="57"/>
  <c r="CW415" i="57"/>
  <c r="BI415" i="57"/>
  <c r="Y365" i="57"/>
  <c r="BY440" i="57"/>
  <c r="CU440" i="57"/>
  <c r="DH440" i="57" s="1"/>
  <c r="DK420" i="57"/>
  <c r="M371" i="57"/>
  <c r="M374" i="57" s="1"/>
  <c r="O374" i="57"/>
  <c r="O377" i="57" s="1"/>
  <c r="AB344" i="57"/>
  <c r="L347" i="57"/>
  <c r="L350" i="57" s="1"/>
  <c r="N359" i="57"/>
  <c r="N362" i="57" s="1"/>
  <c r="V189" i="44"/>
  <c r="V251" i="44"/>
  <c r="V192" i="44"/>
  <c r="V232" i="44"/>
  <c r="V241" i="44"/>
  <c r="U537" i="57" l="1"/>
  <c r="Y537" i="57"/>
  <c r="R554" i="57"/>
  <c r="AE522" i="57"/>
  <c r="AE484" i="57"/>
  <c r="AE521" i="57"/>
  <c r="AE525" i="57"/>
  <c r="AC519" i="57"/>
  <c r="AE523" i="57"/>
  <c r="AE528" i="57" s="1"/>
  <c r="DA365" i="57"/>
  <c r="BH365" i="57"/>
  <c r="CY365" i="57"/>
  <c r="U534" i="57"/>
  <c r="AD534" i="57"/>
  <c r="T545" i="57"/>
  <c r="X533" i="57"/>
  <c r="X530" i="57"/>
  <c r="X490" i="57"/>
  <c r="T516" i="57"/>
  <c r="T512" i="57"/>
  <c r="T478" i="57"/>
  <c r="S523" i="57"/>
  <c r="S528" i="57" s="1"/>
  <c r="AB524" i="57"/>
  <c r="AB527" i="57" s="1"/>
  <c r="AB484" i="57"/>
  <c r="AB521" i="57"/>
  <c r="S558" i="57"/>
  <c r="S508" i="57"/>
  <c r="S557" i="57"/>
  <c r="AF534" i="57"/>
  <c r="AE559" i="57"/>
  <c r="AE508" i="57"/>
  <c r="AE557" i="57"/>
  <c r="V516" i="57"/>
  <c r="V478" i="57"/>
  <c r="V512" i="57"/>
  <c r="V515" i="57"/>
  <c r="AE458" i="57"/>
  <c r="Y46" i="108" s="1"/>
  <c r="S524" i="57"/>
  <c r="Y555" i="57"/>
  <c r="S551" i="57"/>
  <c r="S554" i="57" s="1"/>
  <c r="S548" i="57"/>
  <c r="S502" i="57"/>
  <c r="AD551" i="57"/>
  <c r="AD554" i="57" s="1"/>
  <c r="AD502" i="57"/>
  <c r="AD548" i="57"/>
  <c r="R551" i="57"/>
  <c r="R502" i="57"/>
  <c r="R548" i="57"/>
  <c r="AF551" i="57"/>
  <c r="AF554" i="57" s="1"/>
  <c r="AF548" i="57"/>
  <c r="AF502" i="57"/>
  <c r="R542" i="57"/>
  <c r="R545" i="57" s="1"/>
  <c r="AA550" i="57"/>
  <c r="AC551" i="57"/>
  <c r="AC554" i="57" s="1"/>
  <c r="AB525" i="57"/>
  <c r="BC353" i="57"/>
  <c r="K467" i="57"/>
  <c r="AE467" i="57"/>
  <c r="X478" i="57"/>
  <c r="X512" i="57"/>
  <c r="AG554" i="57"/>
  <c r="Z551" i="57"/>
  <c r="Z554" i="57" s="1"/>
  <c r="Z502" i="57"/>
  <c r="Z548" i="57"/>
  <c r="AF515" i="57"/>
  <c r="AF512" i="57"/>
  <c r="AF478" i="57"/>
  <c r="T356" i="57"/>
  <c r="BD353" i="57"/>
  <c r="BE353" i="57"/>
  <c r="BN368" i="57"/>
  <c r="DN368" i="57"/>
  <c r="AC380" i="57"/>
  <c r="DM377" i="57"/>
  <c r="AA380" i="57"/>
  <c r="DK377" i="57"/>
  <c r="U466" i="57"/>
  <c r="U458" i="57"/>
  <c r="O46" i="108" s="1"/>
  <c r="AG523" i="57"/>
  <c r="AG484" i="57"/>
  <c r="AG521" i="57"/>
  <c r="T541" i="57"/>
  <c r="T539" i="57"/>
  <c r="T496" i="57"/>
  <c r="W530" i="57"/>
  <c r="AG467" i="57"/>
  <c r="S550" i="57"/>
  <c r="AB515" i="57"/>
  <c r="AB518" i="57" s="1"/>
  <c r="V539" i="57"/>
  <c r="Q467" i="57"/>
  <c r="AA515" i="57"/>
  <c r="AA518" i="57" s="1"/>
  <c r="AA478" i="57"/>
  <c r="AA512" i="57"/>
  <c r="AG518" i="57"/>
  <c r="S542" i="57"/>
  <c r="Z558" i="57"/>
  <c r="Z508" i="57"/>
  <c r="Z557" i="57"/>
  <c r="U560" i="57"/>
  <c r="S561" i="57"/>
  <c r="S564" i="57" s="1"/>
  <c r="AG513" i="57"/>
  <c r="AG478" i="57"/>
  <c r="AG512" i="57"/>
  <c r="R537" i="57"/>
  <c r="AF528" i="57"/>
  <c r="AF522" i="57"/>
  <c r="AF521" i="57"/>
  <c r="AF484" i="57"/>
  <c r="T543" i="57"/>
  <c r="AG525" i="57"/>
  <c r="AG528" i="57" s="1"/>
  <c r="DP341" i="57"/>
  <c r="DD341" i="57"/>
  <c r="BP341" i="57"/>
  <c r="BQ341" i="57"/>
  <c r="U549" i="57"/>
  <c r="U502" i="57"/>
  <c r="U548" i="57"/>
  <c r="U551" i="57"/>
  <c r="N458" i="57"/>
  <c r="AA525" i="57"/>
  <c r="AA484" i="57"/>
  <c r="AA521" i="57"/>
  <c r="AG550" i="57"/>
  <c r="AG548" i="57"/>
  <c r="AG502" i="57"/>
  <c r="AB559" i="57"/>
  <c r="AB564" i="57" s="1"/>
  <c r="U564" i="57"/>
  <c r="Y516" i="57"/>
  <c r="Y478" i="57"/>
  <c r="Y512" i="57"/>
  <c r="X536" i="57"/>
  <c r="AB549" i="57"/>
  <c r="AB554" i="57" s="1"/>
  <c r="AB548" i="57"/>
  <c r="AB502" i="57"/>
  <c r="Y525" i="57"/>
  <c r="Y528" i="57" s="1"/>
  <c r="Y521" i="57"/>
  <c r="Y484" i="57"/>
  <c r="V518" i="57"/>
  <c r="AB550" i="57"/>
  <c r="AB555" i="57" s="1"/>
  <c r="Y533" i="57"/>
  <c r="Y490" i="57"/>
  <c r="Y530" i="57"/>
  <c r="X383" i="57"/>
  <c r="AF514" i="57"/>
  <c r="AF519" i="57" s="1"/>
  <c r="V525" i="57"/>
  <c r="AE560" i="57"/>
  <c r="AE563" i="57" s="1"/>
  <c r="AG555" i="57"/>
  <c r="AE541" i="57"/>
  <c r="AE546" i="57" s="1"/>
  <c r="AE496" i="57"/>
  <c r="AE539" i="57"/>
  <c r="AF543" i="57"/>
  <c r="AF496" i="57"/>
  <c r="AF539" i="57"/>
  <c r="S513" i="57"/>
  <c r="S512" i="57"/>
  <c r="S478" i="57"/>
  <c r="AD545" i="57"/>
  <c r="AD563" i="57"/>
  <c r="Z478" i="57"/>
  <c r="Z512" i="57"/>
  <c r="Z513" i="57"/>
  <c r="Z518" i="57" s="1"/>
  <c r="R563" i="57"/>
  <c r="AF542" i="57"/>
  <c r="AF545" i="57" s="1"/>
  <c r="Z540" i="57"/>
  <c r="Z545" i="57" s="1"/>
  <c r="Z496" i="57"/>
  <c r="Z539" i="57"/>
  <c r="AC515" i="57"/>
  <c r="AC518" i="57" s="1"/>
  <c r="AC512" i="57"/>
  <c r="AC478" i="57"/>
  <c r="W549" i="57"/>
  <c r="W548" i="57"/>
  <c r="W502" i="57"/>
  <c r="W552" i="57"/>
  <c r="R541" i="57"/>
  <c r="AB531" i="57"/>
  <c r="AB490" i="57"/>
  <c r="AB530" i="57"/>
  <c r="T514" i="57"/>
  <c r="T519" i="57" s="1"/>
  <c r="Y551" i="57"/>
  <c r="Y554" i="57" s="1"/>
  <c r="Y548" i="57"/>
  <c r="Y502" i="57"/>
  <c r="V554" i="57"/>
  <c r="CX344" i="57"/>
  <c r="DJ344" i="57"/>
  <c r="BJ344" i="57"/>
  <c r="BK344" i="57"/>
  <c r="AG558" i="57"/>
  <c r="AG508" i="57"/>
  <c r="AG557" i="57"/>
  <c r="AF564" i="57"/>
  <c r="X467" i="57"/>
  <c r="V467" i="57"/>
  <c r="AC560" i="57"/>
  <c r="AC508" i="57"/>
  <c r="AC557" i="57"/>
  <c r="BO365" i="57"/>
  <c r="DC365" i="57"/>
  <c r="DO365" i="57"/>
  <c r="R515" i="57"/>
  <c r="R518" i="57" s="1"/>
  <c r="R478" i="57"/>
  <c r="R512" i="57"/>
  <c r="AD532" i="57"/>
  <c r="AD490" i="57"/>
  <c r="AD530" i="57"/>
  <c r="U524" i="57"/>
  <c r="U527" i="57" s="1"/>
  <c r="U484" i="57"/>
  <c r="U521" i="57"/>
  <c r="X561" i="57"/>
  <c r="X557" i="57"/>
  <c r="X508" i="57"/>
  <c r="AF532" i="57"/>
  <c r="AF490" i="57"/>
  <c r="AF530" i="57"/>
  <c r="P353" i="57"/>
  <c r="AZ353" i="57" s="1"/>
  <c r="AZ350" i="57"/>
  <c r="DQ371" i="57"/>
  <c r="DP344" i="57"/>
  <c r="DD344" i="57"/>
  <c r="BP344" i="57"/>
  <c r="BQ344" i="57"/>
  <c r="N466" i="57"/>
  <c r="Z563" i="57"/>
  <c r="AD522" i="57"/>
  <c r="AD527" i="57" s="1"/>
  <c r="AD484" i="57"/>
  <c r="AD521" i="57"/>
  <c r="R524" i="57"/>
  <c r="R527" i="57" s="1"/>
  <c r="R484" i="57"/>
  <c r="R521" i="57"/>
  <c r="AA541" i="57"/>
  <c r="AA496" i="57"/>
  <c r="AA539" i="57"/>
  <c r="X519" i="57"/>
  <c r="W558" i="57"/>
  <c r="W508" i="57"/>
  <c r="W557" i="57"/>
  <c r="AG458" i="57"/>
  <c r="AA46" i="108" s="1"/>
  <c r="X532" i="57"/>
  <c r="X537" i="57" s="1"/>
  <c r="W546" i="57"/>
  <c r="U533" i="57"/>
  <c r="T551" i="57"/>
  <c r="T554" i="57" s="1"/>
  <c r="T548" i="57"/>
  <c r="T502" i="57"/>
  <c r="AB552" i="57"/>
  <c r="AB514" i="57"/>
  <c r="AB519" i="57" s="1"/>
  <c r="AB478" i="57"/>
  <c r="AB512" i="57"/>
  <c r="X555" i="57"/>
  <c r="U525" i="57"/>
  <c r="U539" i="57"/>
  <c r="U496" i="57"/>
  <c r="U543" i="57"/>
  <c r="U546" i="57" s="1"/>
  <c r="AG563" i="57"/>
  <c r="AD543" i="57"/>
  <c r="AD546" i="57" s="1"/>
  <c r="AD496" i="57"/>
  <c r="AD539" i="57"/>
  <c r="AD559" i="57"/>
  <c r="AD557" i="57"/>
  <c r="AD508" i="57"/>
  <c r="R557" i="57"/>
  <c r="R508" i="57"/>
  <c r="W458" i="57"/>
  <c r="Q46" i="108" s="1"/>
  <c r="L466" i="57"/>
  <c r="T542" i="57"/>
  <c r="W528" i="57"/>
  <c r="T550" i="57"/>
  <c r="T555" i="57" s="1"/>
  <c r="V550" i="57"/>
  <c r="V555" i="57" s="1"/>
  <c r="V548" i="57"/>
  <c r="V502" i="57"/>
  <c r="DE365" i="57"/>
  <c r="BN365" i="57"/>
  <c r="DB365" i="57"/>
  <c r="DN365" i="57"/>
  <c r="S515" i="57"/>
  <c r="S518" i="57" s="1"/>
  <c r="W522" i="57"/>
  <c r="W527" i="57" s="1"/>
  <c r="W484" i="57"/>
  <c r="W521" i="57"/>
  <c r="S552" i="57"/>
  <c r="R525" i="57"/>
  <c r="R528" i="57" s="1"/>
  <c r="Z536" i="57"/>
  <c r="T525" i="57"/>
  <c r="T484" i="57"/>
  <c r="T521" i="57"/>
  <c r="V353" i="57"/>
  <c r="BF350" i="57"/>
  <c r="BG350" i="57"/>
  <c r="V564" i="57"/>
  <c r="Y541" i="57"/>
  <c r="Y546" i="57" s="1"/>
  <c r="Y496" i="57"/>
  <c r="Y539" i="57"/>
  <c r="AC559" i="57"/>
  <c r="AC564" i="57" s="1"/>
  <c r="AB558" i="57"/>
  <c r="AB563" i="57" s="1"/>
  <c r="AB557" i="57"/>
  <c r="AB508" i="57"/>
  <c r="AE513" i="57"/>
  <c r="AE518" i="57" s="1"/>
  <c r="AE512" i="57"/>
  <c r="AE478" i="57"/>
  <c r="AF541" i="57"/>
  <c r="AF546" i="57" s="1"/>
  <c r="AD550" i="57"/>
  <c r="AD555" i="57" s="1"/>
  <c r="AC490" i="57"/>
  <c r="AC530" i="57"/>
  <c r="AC533" i="57"/>
  <c r="AC536" i="57" s="1"/>
  <c r="AE533" i="57"/>
  <c r="AE536" i="57" s="1"/>
  <c r="AE530" i="57"/>
  <c r="AE490" i="57"/>
  <c r="K458" i="57"/>
  <c r="AG524" i="57"/>
  <c r="AG527" i="57" s="1"/>
  <c r="CW359" i="57"/>
  <c r="BI359" i="57"/>
  <c r="AC528" i="57"/>
  <c r="AD519" i="57"/>
  <c r="Z541" i="57"/>
  <c r="Z546" i="57" s="1"/>
  <c r="U516" i="57"/>
  <c r="U519" i="57" s="1"/>
  <c r="U478" i="57"/>
  <c r="U512" i="57"/>
  <c r="AD523" i="57"/>
  <c r="AD528" i="57" s="1"/>
  <c r="V545" i="57"/>
  <c r="AA564" i="57"/>
  <c r="X551" i="57"/>
  <c r="X554" i="57" s="1"/>
  <c r="X548" i="57"/>
  <c r="X502" i="57"/>
  <c r="R533" i="57"/>
  <c r="R536" i="57" s="1"/>
  <c r="R490" i="57"/>
  <c r="R530" i="57"/>
  <c r="AE502" i="57"/>
  <c r="AE548" i="57"/>
  <c r="W560" i="57"/>
  <c r="AG545" i="57"/>
  <c r="V543" i="57"/>
  <c r="V546" i="57" s="1"/>
  <c r="U542" i="57"/>
  <c r="U545" i="57" s="1"/>
  <c r="Y514" i="57"/>
  <c r="Y519" i="57" s="1"/>
  <c r="Z534" i="57"/>
  <c r="Z537" i="57" s="1"/>
  <c r="Z490" i="57"/>
  <c r="Z530" i="57"/>
  <c r="AA530" i="57"/>
  <c r="DL344" i="57"/>
  <c r="CZ344" i="57"/>
  <c r="BL344" i="57"/>
  <c r="BM344" i="57"/>
  <c r="CW365" i="57"/>
  <c r="BI365" i="57"/>
  <c r="BJ347" i="57"/>
  <c r="DJ347" i="57"/>
  <c r="CX347" i="57"/>
  <c r="BK347" i="57"/>
  <c r="Q338" i="57"/>
  <c r="BB335" i="57"/>
  <c r="BC356" i="57"/>
  <c r="AC541" i="57"/>
  <c r="AC539" i="57"/>
  <c r="AC496" i="57"/>
  <c r="Y513" i="57"/>
  <c r="Y518" i="57" s="1"/>
  <c r="AD564" i="57"/>
  <c r="S522" i="57"/>
  <c r="S521" i="57"/>
  <c r="S484" i="57"/>
  <c r="S563" i="57"/>
  <c r="AE527" i="57"/>
  <c r="AE564" i="57"/>
  <c r="R543" i="57"/>
  <c r="R496" i="57"/>
  <c r="R539" i="57"/>
  <c r="AB536" i="57"/>
  <c r="W513" i="57"/>
  <c r="W478" i="57"/>
  <c r="W512" i="57"/>
  <c r="V524" i="57"/>
  <c r="V527" i="57" s="1"/>
  <c r="V484" i="57"/>
  <c r="V521" i="57"/>
  <c r="R514" i="57"/>
  <c r="Y524" i="57"/>
  <c r="AA552" i="57"/>
  <c r="AA548" i="57"/>
  <c r="AA502" i="57"/>
  <c r="S545" i="57"/>
  <c r="W514" i="57"/>
  <c r="W519" i="57" s="1"/>
  <c r="AG536" i="57"/>
  <c r="V536" i="57"/>
  <c r="U558" i="57"/>
  <c r="U557" i="57"/>
  <c r="U508" i="57"/>
  <c r="AB545" i="57"/>
  <c r="X545" i="57"/>
  <c r="AF513" i="57"/>
  <c r="AF518" i="57" s="1"/>
  <c r="T458" i="57"/>
  <c r="N46" i="108" s="1"/>
  <c r="T558" i="57"/>
  <c r="T563" i="57" s="1"/>
  <c r="T557" i="57"/>
  <c r="T508" i="57"/>
  <c r="W515" i="57"/>
  <c r="X546" i="57"/>
  <c r="AD533" i="57"/>
  <c r="AD536" i="57" s="1"/>
  <c r="Z514" i="57"/>
  <c r="Z523" i="57"/>
  <c r="Z528" i="57" s="1"/>
  <c r="Z484" i="57"/>
  <c r="Z521" i="57"/>
  <c r="P466" i="57"/>
  <c r="X528" i="57"/>
  <c r="AA558" i="57"/>
  <c r="AA563" i="57" s="1"/>
  <c r="AA508" i="57"/>
  <c r="AA557" i="57"/>
  <c r="T531" i="57"/>
  <c r="T536" i="57" s="1"/>
  <c r="T530" i="57"/>
  <c r="T490" i="57"/>
  <c r="AA542" i="57"/>
  <c r="AA545" i="57" s="1"/>
  <c r="X522" i="57"/>
  <c r="X527" i="57" s="1"/>
  <c r="X521" i="57"/>
  <c r="X484" i="57"/>
  <c r="Z516" i="57"/>
  <c r="X515" i="57"/>
  <c r="X518" i="57" s="1"/>
  <c r="AD515" i="57"/>
  <c r="AD518" i="57" s="1"/>
  <c r="AD512" i="57"/>
  <c r="AD478" i="57"/>
  <c r="AA523" i="57"/>
  <c r="AA528" i="57" s="1"/>
  <c r="U550" i="57"/>
  <c r="U555" i="57" s="1"/>
  <c r="U490" i="57"/>
  <c r="U530" i="57"/>
  <c r="X564" i="57"/>
  <c r="AC545" i="57"/>
  <c r="CW362" i="57"/>
  <c r="BI362" i="57"/>
  <c r="BF347" i="57"/>
  <c r="BG347" i="57"/>
  <c r="AF527" i="57"/>
  <c r="U531" i="57"/>
  <c r="U536" i="57" s="1"/>
  <c r="T528" i="57"/>
  <c r="V519" i="57"/>
  <c r="AG546" i="57"/>
  <c r="AC550" i="57"/>
  <c r="AC555" i="57" s="1"/>
  <c r="AC502" i="57"/>
  <c r="AC548" i="57"/>
  <c r="W555" i="57"/>
  <c r="R516" i="57"/>
  <c r="T513" i="57"/>
  <c r="T518" i="57" s="1"/>
  <c r="DM374" i="57"/>
  <c r="R555" i="57"/>
  <c r="AB458" i="57"/>
  <c r="V46" i="108" s="1"/>
  <c r="Q458" i="57"/>
  <c r="S543" i="57"/>
  <c r="S546" i="57" s="1"/>
  <c r="S539" i="57"/>
  <c r="S496" i="57"/>
  <c r="Y522" i="57"/>
  <c r="Y527" i="57" s="1"/>
  <c r="AG534" i="57"/>
  <c r="AG537" i="57" s="1"/>
  <c r="AG530" i="57"/>
  <c r="AG490" i="57"/>
  <c r="V532" i="57"/>
  <c r="V537" i="57" s="1"/>
  <c r="V490" i="57"/>
  <c r="V530" i="57"/>
  <c r="T466" i="57"/>
  <c r="AB542" i="57"/>
  <c r="AB496" i="57"/>
  <c r="AB539" i="57"/>
  <c r="X543" i="57"/>
  <c r="X539" i="57"/>
  <c r="X496" i="57"/>
  <c r="AB523" i="57"/>
  <c r="AB528" i="57" s="1"/>
  <c r="Y531" i="57"/>
  <c r="Y536" i="57" s="1"/>
  <c r="AC558" i="57"/>
  <c r="AC563" i="57" s="1"/>
  <c r="V523" i="57"/>
  <c r="V528" i="57" s="1"/>
  <c r="AA543" i="57"/>
  <c r="AC542" i="57"/>
  <c r="S536" i="57"/>
  <c r="U523" i="57"/>
  <c r="U528" i="57" s="1"/>
  <c r="AG516" i="57"/>
  <c r="AG519" i="57" s="1"/>
  <c r="X560" i="57"/>
  <c r="X563" i="57" s="1"/>
  <c r="AC543" i="57"/>
  <c r="AC546" i="57" s="1"/>
  <c r="U515" i="57"/>
  <c r="U518" i="57" s="1"/>
  <c r="AE555" i="57"/>
  <c r="T515" i="57"/>
  <c r="R561" i="57"/>
  <c r="R564" i="57" s="1"/>
  <c r="V560" i="57"/>
  <c r="V563" i="57" s="1"/>
  <c r="V557" i="57"/>
  <c r="V508" i="57"/>
  <c r="AB534" i="57"/>
  <c r="AB537" i="57" s="1"/>
  <c r="W551" i="57"/>
  <c r="W554" i="57" s="1"/>
  <c r="BG411" i="57"/>
  <c r="AF347" i="57"/>
  <c r="BH417" i="57"/>
  <c r="AJ417" i="57"/>
  <c r="DA417" i="57"/>
  <c r="CY417" i="57"/>
  <c r="DE417" i="57"/>
  <c r="CW417" i="57"/>
  <c r="BI417" i="57"/>
  <c r="AK417" i="57"/>
  <c r="BO417" i="57"/>
  <c r="DO417" i="57"/>
  <c r="DC417" i="57"/>
  <c r="AQ417" i="57"/>
  <c r="BN418" i="57"/>
  <c r="DN418" i="57"/>
  <c r="AE368" i="57"/>
  <c r="DJ411" i="57"/>
  <c r="BJ411" i="57"/>
  <c r="CX411" i="57"/>
  <c r="AL411" i="57"/>
  <c r="BK411" i="57"/>
  <c r="AM411" i="57"/>
  <c r="AD371" i="57"/>
  <c r="BC414" i="57"/>
  <c r="S359" i="57"/>
  <c r="DK421" i="57"/>
  <c r="AA383" i="57"/>
  <c r="AG374" i="57"/>
  <c r="DB417" i="57"/>
  <c r="K377" i="57"/>
  <c r="T359" i="57"/>
  <c r="AZ412" i="57"/>
  <c r="P356" i="57"/>
  <c r="P359" i="57" s="1"/>
  <c r="AZ359" i="57" s="1"/>
  <c r="BA335" i="57"/>
  <c r="Q341" i="57"/>
  <c r="AB347" i="57"/>
  <c r="Y368" i="57"/>
  <c r="BF412" i="57"/>
  <c r="V356" i="57"/>
  <c r="BG412" i="57"/>
  <c r="BD414" i="57"/>
  <c r="BE414" i="57"/>
  <c r="X386" i="57"/>
  <c r="Z350" i="57"/>
  <c r="BA408" i="57"/>
  <c r="Q344" i="57"/>
  <c r="BB408" i="57"/>
  <c r="O380" i="57"/>
  <c r="DM421" i="57"/>
  <c r="AC383" i="57"/>
  <c r="R386" i="57"/>
  <c r="W368" i="57"/>
  <c r="L353" i="57"/>
  <c r="N365" i="57"/>
  <c r="N368" i="57" s="1"/>
  <c r="M377" i="57"/>
  <c r="U377" i="57"/>
  <c r="V249" i="44"/>
  <c r="V130" i="44"/>
  <c r="V88" i="44"/>
  <c r="V212" i="44"/>
  <c r="V195" i="44"/>
  <c r="V230" i="44"/>
  <c r="V240" i="44"/>
  <c r="W518" i="57" l="1"/>
  <c r="S555" i="57"/>
  <c r="Z353" i="57"/>
  <c r="DJ350" i="57"/>
  <c r="BJ350" i="57"/>
  <c r="CX350" i="57"/>
  <c r="BK350" i="57"/>
  <c r="U554" i="57"/>
  <c r="AF537" i="57"/>
  <c r="M380" i="57"/>
  <c r="BI368" i="57"/>
  <c r="CW368" i="57"/>
  <c r="BD359" i="57"/>
  <c r="BE359" i="57"/>
  <c r="BN371" i="57"/>
  <c r="DN371" i="57"/>
  <c r="BA338" i="57"/>
  <c r="BB338" i="57"/>
  <c r="U563" i="57"/>
  <c r="S362" i="57"/>
  <c r="BC359" i="57"/>
  <c r="U380" i="57"/>
  <c r="BA344" i="57"/>
  <c r="BB344" i="57"/>
  <c r="CZ347" i="57"/>
  <c r="BL347" i="57"/>
  <c r="DL347" i="57"/>
  <c r="BM347" i="57"/>
  <c r="AE371" i="57"/>
  <c r="BO368" i="57"/>
  <c r="DC368" i="57"/>
  <c r="DO368" i="57"/>
  <c r="R519" i="57"/>
  <c r="DM380" i="57"/>
  <c r="AA555" i="57"/>
  <c r="AD537" i="57"/>
  <c r="BF356" i="57"/>
  <c r="BG356" i="57"/>
  <c r="DB418" i="57"/>
  <c r="DA368" i="57"/>
  <c r="CY368" i="57"/>
  <c r="BH368" i="57"/>
  <c r="DE368" i="57"/>
  <c r="AG377" i="57"/>
  <c r="DQ374" i="57"/>
  <c r="Z519" i="57"/>
  <c r="W563" i="57"/>
  <c r="AA546" i="57"/>
  <c r="R546" i="57"/>
  <c r="DK380" i="57"/>
  <c r="BD356" i="57"/>
  <c r="BE356" i="57"/>
  <c r="DB368" i="57"/>
  <c r="S527" i="57"/>
  <c r="BA341" i="57"/>
  <c r="BB341" i="57"/>
  <c r="AA386" i="57"/>
  <c r="DK383" i="57"/>
  <c r="DM383" i="57"/>
  <c r="DP347" i="57"/>
  <c r="DD347" i="57"/>
  <c r="BP347" i="57"/>
  <c r="BQ347" i="57"/>
  <c r="BF353" i="57"/>
  <c r="BG353" i="57"/>
  <c r="T546" i="57"/>
  <c r="DD411" i="57"/>
  <c r="AR411" i="57"/>
  <c r="BQ411" i="57"/>
  <c r="AS411" i="57"/>
  <c r="BP411" i="57"/>
  <c r="DP411" i="57"/>
  <c r="AF350" i="57"/>
  <c r="CW418" i="57"/>
  <c r="BI418" i="57"/>
  <c r="CY418" i="57"/>
  <c r="DA418" i="57"/>
  <c r="BH418" i="57"/>
  <c r="DE418" i="57"/>
  <c r="BL411" i="57"/>
  <c r="DL411" i="57"/>
  <c r="CZ411" i="57"/>
  <c r="AN411" i="57"/>
  <c r="BM411" i="57"/>
  <c r="AO411" i="57"/>
  <c r="BD415" i="57"/>
  <c r="BE415" i="57"/>
  <c r="AB350" i="57"/>
  <c r="Y371" i="57"/>
  <c r="DK424" i="57"/>
  <c r="AZ415" i="57"/>
  <c r="BC415" i="57"/>
  <c r="S365" i="57"/>
  <c r="DQ421" i="57"/>
  <c r="BA409" i="57"/>
  <c r="Q347" i="57"/>
  <c r="BB409" i="57"/>
  <c r="R389" i="57"/>
  <c r="X389" i="57"/>
  <c r="BF414" i="57"/>
  <c r="BG414" i="57"/>
  <c r="U383" i="57"/>
  <c r="DM423" i="57"/>
  <c r="DJ412" i="57"/>
  <c r="BJ412" i="57"/>
  <c r="CX412" i="57"/>
  <c r="Z356" i="57"/>
  <c r="BK412" i="57"/>
  <c r="DQ420" i="57"/>
  <c r="AG380" i="57"/>
  <c r="BO418" i="57"/>
  <c r="DO418" i="57"/>
  <c r="DC418" i="57"/>
  <c r="AE374" i="57"/>
  <c r="V359" i="57"/>
  <c r="M383" i="57"/>
  <c r="M386" i="57" s="1"/>
  <c r="T362" i="57"/>
  <c r="AZ356" i="57"/>
  <c r="AZ414" i="57"/>
  <c r="P362" i="57"/>
  <c r="AZ362" i="57" s="1"/>
  <c r="AC386" i="57"/>
  <c r="O383" i="57"/>
  <c r="N371" i="57"/>
  <c r="DK423" i="57"/>
  <c r="AA389" i="57"/>
  <c r="AD374" i="57"/>
  <c r="L356" i="57"/>
  <c r="W371" i="57"/>
  <c r="K380" i="57"/>
  <c r="K383" i="57" s="1"/>
  <c r="V222" i="44"/>
  <c r="V167" i="44"/>
  <c r="V98" i="44"/>
  <c r="V101" i="44" s="1"/>
  <c r="V213" i="44"/>
  <c r="V131" i="44"/>
  <c r="V92" i="44"/>
  <c r="V165" i="44"/>
  <c r="CX356" i="57" l="1"/>
  <c r="BJ356" i="57"/>
  <c r="DJ356" i="57"/>
  <c r="BK356" i="57"/>
  <c r="Y374" i="57"/>
  <c r="CW371" i="57"/>
  <c r="BI371" i="57"/>
  <c r="DJ353" i="57"/>
  <c r="BJ353" i="57"/>
  <c r="CX353" i="57"/>
  <c r="BK353" i="57"/>
  <c r="T365" i="57"/>
  <c r="BD362" i="57"/>
  <c r="BE362" i="57"/>
  <c r="Q350" i="57"/>
  <c r="BA347" i="57"/>
  <c r="BB347" i="57"/>
  <c r="AB353" i="57"/>
  <c r="BL350" i="57"/>
  <c r="DL350" i="57"/>
  <c r="CZ350" i="57"/>
  <c r="BM350" i="57"/>
  <c r="DM386" i="57"/>
  <c r="DQ380" i="57"/>
  <c r="X392" i="57"/>
  <c r="R392" i="57"/>
  <c r="DK386" i="57"/>
  <c r="BH371" i="57"/>
  <c r="CY371" i="57"/>
  <c r="DA371" i="57"/>
  <c r="DE371" i="57"/>
  <c r="L359" i="57"/>
  <c r="BF359" i="57"/>
  <c r="BG359" i="57"/>
  <c r="AD377" i="57"/>
  <c r="BN374" i="57"/>
  <c r="DN374" i="57"/>
  <c r="DQ377" i="57"/>
  <c r="DB371" i="57"/>
  <c r="AA392" i="57"/>
  <c r="DK389" i="57"/>
  <c r="BO374" i="57"/>
  <c r="DO374" i="57"/>
  <c r="S368" i="57"/>
  <c r="BC365" i="57"/>
  <c r="BP350" i="57"/>
  <c r="DP350" i="57"/>
  <c r="DD350" i="57"/>
  <c r="BQ350" i="57"/>
  <c r="BO371" i="57"/>
  <c r="DO371" i="57"/>
  <c r="DC371" i="57"/>
  <c r="BC362" i="57"/>
  <c r="DP412" i="57"/>
  <c r="DD412" i="57"/>
  <c r="BQ412" i="57"/>
  <c r="BP412" i="57"/>
  <c r="AF353" i="57"/>
  <c r="DK426" i="57"/>
  <c r="BI420" i="57"/>
  <c r="AK420" i="57"/>
  <c r="BN421" i="57"/>
  <c r="DN421" i="57"/>
  <c r="BD417" i="57"/>
  <c r="BE417" i="57"/>
  <c r="BA412" i="57"/>
  <c r="BB412" i="57"/>
  <c r="BC417" i="57"/>
  <c r="S371" i="57"/>
  <c r="L362" i="57"/>
  <c r="BF415" i="57"/>
  <c r="BG415" i="57"/>
  <c r="DJ414" i="57"/>
  <c r="BJ414" i="57"/>
  <c r="CX414" i="57"/>
  <c r="AL414" i="57"/>
  <c r="BK414" i="57"/>
  <c r="AM414" i="57"/>
  <c r="N374" i="57"/>
  <c r="BN420" i="57"/>
  <c r="DN420" i="57"/>
  <c r="AP420" i="57"/>
  <c r="AD380" i="57"/>
  <c r="BO420" i="57"/>
  <c r="DO420" i="57"/>
  <c r="AQ420" i="57"/>
  <c r="V362" i="57"/>
  <c r="AE377" i="57"/>
  <c r="AG383" i="57"/>
  <c r="K386" i="57"/>
  <c r="AA395" i="57"/>
  <c r="DM424" i="57"/>
  <c r="BA411" i="57"/>
  <c r="Q353" i="57"/>
  <c r="BB411" i="57"/>
  <c r="P365" i="57"/>
  <c r="W374" i="57"/>
  <c r="T368" i="57"/>
  <c r="O386" i="57"/>
  <c r="O389" i="57" s="1"/>
  <c r="R395" i="57"/>
  <c r="Y377" i="57"/>
  <c r="BC418" i="57"/>
  <c r="U386" i="57"/>
  <c r="M389" i="57"/>
  <c r="AC389" i="57"/>
  <c r="X395" i="57"/>
  <c r="Z359" i="57"/>
  <c r="BL412" i="57"/>
  <c r="CZ412" i="57"/>
  <c r="DL412" i="57"/>
  <c r="AB356" i="57"/>
  <c r="BM412" i="57"/>
  <c r="V221" i="44"/>
  <c r="V223" i="44" s="1"/>
  <c r="V103" i="44"/>
  <c r="V107" i="44" s="1"/>
  <c r="V172" i="44"/>
  <c r="V174" i="44" s="1"/>
  <c r="M392" i="57" l="1"/>
  <c r="BI377" i="57"/>
  <c r="BC371" i="57"/>
  <c r="CZ353" i="57"/>
  <c r="BL353" i="57"/>
  <c r="DL353" i="57"/>
  <c r="BM353" i="57"/>
  <c r="U389" i="57"/>
  <c r="BC368" i="57"/>
  <c r="BN377" i="57"/>
  <c r="DN377" i="57"/>
  <c r="BL356" i="57"/>
  <c r="DL356" i="57"/>
  <c r="CZ356" i="57"/>
  <c r="BM356" i="57"/>
  <c r="T371" i="57"/>
  <c r="BD368" i="57"/>
  <c r="BE368" i="57"/>
  <c r="BN380" i="57"/>
  <c r="DN380" i="57"/>
  <c r="DB420" i="57"/>
  <c r="BH374" i="57"/>
  <c r="CY374" i="57"/>
  <c r="DA374" i="57"/>
  <c r="DE374" i="57"/>
  <c r="BA350" i="57"/>
  <c r="BB350" i="57"/>
  <c r="P368" i="57"/>
  <c r="AZ368" i="57" s="1"/>
  <c r="AZ365" i="57"/>
  <c r="AG386" i="57"/>
  <c r="DQ383" i="57"/>
  <c r="BP353" i="57"/>
  <c r="DP353" i="57"/>
  <c r="DD353" i="57"/>
  <c r="BQ353" i="57"/>
  <c r="DC374" i="57"/>
  <c r="DB374" i="57"/>
  <c r="R398" i="57"/>
  <c r="DK395" i="57"/>
  <c r="CW374" i="57"/>
  <c r="BI374" i="57"/>
  <c r="Z362" i="57"/>
  <c r="DJ359" i="57"/>
  <c r="CX359" i="57"/>
  <c r="BJ359" i="57"/>
  <c r="BK359" i="57"/>
  <c r="AE380" i="57"/>
  <c r="BO377" i="57"/>
  <c r="DO377" i="57"/>
  <c r="DM389" i="57"/>
  <c r="BA353" i="57"/>
  <c r="BB353" i="57"/>
  <c r="V365" i="57"/>
  <c r="BF362" i="57"/>
  <c r="BG362" i="57"/>
  <c r="N377" i="57"/>
  <c r="DK392" i="57"/>
  <c r="BD365" i="57"/>
  <c r="BE365" i="57"/>
  <c r="AF356" i="57"/>
  <c r="AF359" i="57"/>
  <c r="DC420" i="57"/>
  <c r="W377" i="57"/>
  <c r="BF417" i="57"/>
  <c r="BG417" i="57"/>
  <c r="DQ424" i="57"/>
  <c r="M395" i="57"/>
  <c r="AC392" i="57"/>
  <c r="DK427" i="57"/>
  <c r="X398" i="57"/>
  <c r="AA398" i="57"/>
  <c r="BI421" i="57"/>
  <c r="BD418" i="57"/>
  <c r="T374" i="57"/>
  <c r="BE418" i="57"/>
  <c r="Q356" i="57"/>
  <c r="Y380" i="57"/>
  <c r="AZ418" i="57"/>
  <c r="U392" i="57"/>
  <c r="BH420" i="57"/>
  <c r="AJ420" i="57"/>
  <c r="DA420" i="57"/>
  <c r="CY420" i="57"/>
  <c r="DE420" i="57"/>
  <c r="DQ423" i="57"/>
  <c r="AG389" i="57"/>
  <c r="K389" i="57"/>
  <c r="K392" i="57" s="1"/>
  <c r="BL414" i="57"/>
  <c r="DL414" i="57"/>
  <c r="CZ414" i="57"/>
  <c r="AN414" i="57"/>
  <c r="AO414" i="57"/>
  <c r="BM414" i="57"/>
  <c r="R401" i="57"/>
  <c r="AZ417" i="57"/>
  <c r="P371" i="57"/>
  <c r="BO421" i="57"/>
  <c r="DO421" i="57"/>
  <c r="AE383" i="57"/>
  <c r="AB359" i="57"/>
  <c r="L365" i="57"/>
  <c r="M398" i="57"/>
  <c r="DJ415" i="57"/>
  <c r="BJ415" i="57"/>
  <c r="CX415" i="57"/>
  <c r="Z365" i="57"/>
  <c r="BK415" i="57"/>
  <c r="S374" i="57"/>
  <c r="O392" i="57"/>
  <c r="O395" i="57" s="1"/>
  <c r="V368" i="57"/>
  <c r="N380" i="57"/>
  <c r="N383" i="57" s="1"/>
  <c r="AD383" i="57"/>
  <c r="CW420" i="57"/>
  <c r="V105" i="44"/>
  <c r="W169" i="44"/>
  <c r="V109" i="44"/>
  <c r="V248" i="44" s="1"/>
  <c r="V211" i="44"/>
  <c r="V129" i="44"/>
  <c r="V133" i="44" s="1"/>
  <c r="P374" i="57" l="1"/>
  <c r="AZ374" i="57" s="1"/>
  <c r="AZ371" i="57"/>
  <c r="S377" i="57"/>
  <c r="BC374" i="57"/>
  <c r="DP356" i="57"/>
  <c r="BP356" i="57"/>
  <c r="DD356" i="57"/>
  <c r="BQ356" i="57"/>
  <c r="Y383" i="57"/>
  <c r="BI380" i="57"/>
  <c r="AA401" i="57"/>
  <c r="DK398" i="57"/>
  <c r="BF365" i="57"/>
  <c r="BG365" i="57"/>
  <c r="T377" i="57"/>
  <c r="BD374" i="57"/>
  <c r="BE374" i="57"/>
  <c r="DL359" i="57"/>
  <c r="CZ359" i="57"/>
  <c r="BL359" i="57"/>
  <c r="BM359" i="57"/>
  <c r="AG392" i="57"/>
  <c r="DQ389" i="57"/>
  <c r="BJ365" i="57"/>
  <c r="DJ365" i="57"/>
  <c r="CX365" i="57"/>
  <c r="BK365" i="57"/>
  <c r="BO383" i="57"/>
  <c r="DO383" i="57"/>
  <c r="DB421" i="57"/>
  <c r="DA377" i="57"/>
  <c r="BH377" i="57"/>
  <c r="CY377" i="57"/>
  <c r="DE377" i="57"/>
  <c r="BO380" i="57"/>
  <c r="DO380" i="57"/>
  <c r="DC380" i="57"/>
  <c r="CW377" i="57"/>
  <c r="CX362" i="57"/>
  <c r="DJ362" i="57"/>
  <c r="BJ362" i="57"/>
  <c r="BK362" i="57"/>
  <c r="DQ386" i="57"/>
  <c r="DE386" i="57"/>
  <c r="BN383" i="57"/>
  <c r="DN383" i="57"/>
  <c r="DB383" i="57"/>
  <c r="V371" i="57"/>
  <c r="BF368" i="57"/>
  <c r="BG368" i="57"/>
  <c r="AC395" i="57"/>
  <c r="DM392" i="57"/>
  <c r="DP359" i="57"/>
  <c r="DD359" i="57"/>
  <c r="BP359" i="57"/>
  <c r="BQ359" i="57"/>
  <c r="BD371" i="57"/>
  <c r="BE371" i="57"/>
  <c r="U395" i="57"/>
  <c r="Q359" i="57"/>
  <c r="BB359" i="57" s="1"/>
  <c r="BA356" i="57"/>
  <c r="BB356" i="57"/>
  <c r="DC377" i="57"/>
  <c r="DB377" i="57"/>
  <c r="W380" i="57"/>
  <c r="DE421" i="57"/>
  <c r="CW421" i="57"/>
  <c r="CY421" i="57"/>
  <c r="DC421" i="57"/>
  <c r="BH421" i="57"/>
  <c r="DP415" i="57"/>
  <c r="DD415" i="57"/>
  <c r="BP415" i="57"/>
  <c r="BQ415" i="57"/>
  <c r="BP414" i="57"/>
  <c r="DP414" i="57"/>
  <c r="DD414" i="57"/>
  <c r="AR414" i="57"/>
  <c r="BQ414" i="57"/>
  <c r="AS414" i="57"/>
  <c r="AF362" i="57"/>
  <c r="DA421" i="57"/>
  <c r="DQ426" i="57"/>
  <c r="BA359" i="57"/>
  <c r="BA415" i="57"/>
  <c r="BB415" i="57"/>
  <c r="BL415" i="57"/>
  <c r="DL415" i="57"/>
  <c r="CZ415" i="57"/>
  <c r="BM415" i="57"/>
  <c r="BD421" i="57"/>
  <c r="BE421" i="57"/>
  <c r="R404" i="57"/>
  <c r="DM427" i="57"/>
  <c r="DJ417" i="57"/>
  <c r="BJ417" i="57"/>
  <c r="CX417" i="57"/>
  <c r="AL417" i="57"/>
  <c r="BK417" i="57"/>
  <c r="AM417" i="57"/>
  <c r="BO423" i="57"/>
  <c r="DO423" i="57"/>
  <c r="AQ423" i="57"/>
  <c r="BC421" i="57"/>
  <c r="K395" i="57"/>
  <c r="K398" i="57" s="1"/>
  <c r="AZ420" i="57"/>
  <c r="DM426" i="57"/>
  <c r="AC398" i="57"/>
  <c r="W383" i="57"/>
  <c r="AA404" i="57"/>
  <c r="M401" i="57"/>
  <c r="M404" i="57" s="1"/>
  <c r="AE386" i="57"/>
  <c r="L368" i="57"/>
  <c r="N386" i="57"/>
  <c r="O398" i="57"/>
  <c r="O401" i="57" s="1"/>
  <c r="AG395" i="57"/>
  <c r="U398" i="57"/>
  <c r="Y386" i="57"/>
  <c r="W386" i="57"/>
  <c r="BI423" i="57"/>
  <c r="AK423" i="57"/>
  <c r="BN423" i="57"/>
  <c r="DN423" i="57"/>
  <c r="AP423" i="57"/>
  <c r="BF418" i="57"/>
  <c r="V374" i="57"/>
  <c r="BG418" i="57"/>
  <c r="BC420" i="57"/>
  <c r="S380" i="57"/>
  <c r="P377" i="57"/>
  <c r="AB362" i="57"/>
  <c r="AD386" i="57"/>
  <c r="BA414" i="57"/>
  <c r="Q362" i="57"/>
  <c r="BB414" i="57"/>
  <c r="BD420" i="57"/>
  <c r="T380" i="57"/>
  <c r="BE420" i="57"/>
  <c r="X401" i="57"/>
  <c r="Z368" i="57"/>
  <c r="V215" i="44"/>
  <c r="V247" i="44" s="1"/>
  <c r="V258" i="44"/>
  <c r="V141" i="44"/>
  <c r="V143" i="44" s="1"/>
  <c r="V156" i="44" s="1"/>
  <c r="V157" i="44" s="1"/>
  <c r="W155" i="44" s="1"/>
  <c r="V111" i="44"/>
  <c r="Y389" i="57" l="1"/>
  <c r="CW386" i="57"/>
  <c r="BI386" i="57"/>
  <c r="Q365" i="57"/>
  <c r="BA362" i="57"/>
  <c r="BB362" i="57"/>
  <c r="Z371" i="57"/>
  <c r="BJ368" i="57"/>
  <c r="DJ368" i="57"/>
  <c r="CX368" i="57"/>
  <c r="BK368" i="57"/>
  <c r="AG398" i="57"/>
  <c r="DQ395" i="57"/>
  <c r="BP362" i="57"/>
  <c r="DP362" i="57"/>
  <c r="DD362" i="57"/>
  <c r="BQ362" i="57"/>
  <c r="X404" i="57"/>
  <c r="DK404" i="57" s="1"/>
  <c r="BH386" i="57"/>
  <c r="DA386" i="57"/>
  <c r="CY386" i="57"/>
  <c r="DC423" i="57"/>
  <c r="CY383" i="57"/>
  <c r="DA383" i="57"/>
  <c r="BH383" i="57"/>
  <c r="DE383" i="57"/>
  <c r="DM398" i="57"/>
  <c r="BG380" i="57"/>
  <c r="BH380" i="57"/>
  <c r="DA380" i="57"/>
  <c r="CY380" i="57"/>
  <c r="DE380" i="57"/>
  <c r="DB380" i="57"/>
  <c r="DC383" i="57"/>
  <c r="DQ392" i="57"/>
  <c r="CW380" i="57"/>
  <c r="BD380" i="57"/>
  <c r="BE380" i="57"/>
  <c r="P380" i="57"/>
  <c r="AZ380" i="57" s="1"/>
  <c r="AZ377" i="57"/>
  <c r="V377" i="57"/>
  <c r="BF374" i="57"/>
  <c r="BG374" i="57"/>
  <c r="BI383" i="57"/>
  <c r="CW383" i="57"/>
  <c r="BC377" i="57"/>
  <c r="AE389" i="57"/>
  <c r="BO386" i="57"/>
  <c r="DO386" i="57"/>
  <c r="DC386" i="57"/>
  <c r="DM395" i="57"/>
  <c r="BF371" i="57"/>
  <c r="BG371" i="57"/>
  <c r="DK401" i="57"/>
  <c r="BD377" i="57"/>
  <c r="BE377" i="57"/>
  <c r="BC380" i="57"/>
  <c r="AD389" i="57"/>
  <c r="BN386" i="57"/>
  <c r="DN386" i="57"/>
  <c r="DB386" i="57"/>
  <c r="DL362" i="57"/>
  <c r="CZ362" i="57"/>
  <c r="BL362" i="57"/>
  <c r="BM362" i="57"/>
  <c r="AF365" i="57"/>
  <c r="AF368" i="57"/>
  <c r="CW423" i="57"/>
  <c r="DK429" i="57"/>
  <c r="DB423" i="57"/>
  <c r="AB365" i="57"/>
  <c r="BF421" i="57"/>
  <c r="BG421" i="57"/>
  <c r="BA417" i="57"/>
  <c r="BB417" i="57"/>
  <c r="CY424" i="57"/>
  <c r="BH424" i="57"/>
  <c r="DA424" i="57"/>
  <c r="DE424" i="57"/>
  <c r="BN424" i="57"/>
  <c r="DN424" i="57"/>
  <c r="DB424" i="57"/>
  <c r="AD392" i="57"/>
  <c r="O404" i="57"/>
  <c r="O407" i="57" s="1"/>
  <c r="T383" i="57"/>
  <c r="BO424" i="57"/>
  <c r="DO424" i="57"/>
  <c r="DC424" i="57"/>
  <c r="AE392" i="57"/>
  <c r="W389" i="57"/>
  <c r="BH423" i="57"/>
  <c r="AJ423" i="57"/>
  <c r="CY423" i="57"/>
  <c r="DA423" i="57"/>
  <c r="DE423" i="57"/>
  <c r="AD395" i="57"/>
  <c r="DK430" i="57"/>
  <c r="M407" i="57"/>
  <c r="M410" i="57" s="1"/>
  <c r="L371" i="57"/>
  <c r="R407" i="57"/>
  <c r="K401" i="57"/>
  <c r="K404" i="57" s="1"/>
  <c r="U401" i="57"/>
  <c r="N389" i="57"/>
  <c r="N392" i="57" s="1"/>
  <c r="DQ427" i="57"/>
  <c r="AG401" i="57"/>
  <c r="BL417" i="57"/>
  <c r="AN417" i="57"/>
  <c r="BM417" i="57"/>
  <c r="AA407" i="57"/>
  <c r="Q368" i="57"/>
  <c r="BI424" i="57"/>
  <c r="CW424" i="57"/>
  <c r="Y392" i="57"/>
  <c r="AB368" i="57"/>
  <c r="T386" i="57"/>
  <c r="AZ421" i="57"/>
  <c r="P383" i="57"/>
  <c r="BF420" i="57"/>
  <c r="V380" i="57"/>
  <c r="BG420" i="57"/>
  <c r="BJ418" i="57"/>
  <c r="DJ418" i="57"/>
  <c r="CX418" i="57"/>
  <c r="Z374" i="57"/>
  <c r="BK418" i="57"/>
  <c r="X407" i="57"/>
  <c r="S383" i="57"/>
  <c r="AC401" i="57"/>
  <c r="V220" i="44"/>
  <c r="V225" i="44" s="1"/>
  <c r="V226" i="44" s="1"/>
  <c r="S55" i="108" s="1"/>
  <c r="V257" i="44"/>
  <c r="V263" i="44" s="1"/>
  <c r="V264" i="44" s="1"/>
  <c r="S61" i="108" s="1"/>
  <c r="V229" i="44"/>
  <c r="V234" i="44" s="1"/>
  <c r="V253" i="44"/>
  <c r="V254" i="44" s="1"/>
  <c r="S60" i="108" s="1"/>
  <c r="W187" i="44"/>
  <c r="V160" i="44"/>
  <c r="V161" i="44" s="1"/>
  <c r="W159" i="44" s="1"/>
  <c r="R410" i="57" l="1"/>
  <c r="CY389" i="57"/>
  <c r="BH389" i="57"/>
  <c r="DA389" i="57"/>
  <c r="DE389" i="57"/>
  <c r="DJ374" i="57"/>
  <c r="CX374" i="57"/>
  <c r="BJ374" i="57"/>
  <c r="BK374" i="57"/>
  <c r="AA410" i="57"/>
  <c r="DK407" i="57"/>
  <c r="BN395" i="57"/>
  <c r="DN395" i="57"/>
  <c r="DP365" i="57"/>
  <c r="DD365" i="57"/>
  <c r="BP365" i="57"/>
  <c r="BQ365" i="57"/>
  <c r="BF380" i="57"/>
  <c r="BA368" i="57"/>
  <c r="BB368" i="57"/>
  <c r="AC404" i="57"/>
  <c r="DM401" i="57"/>
  <c r="BE386" i="57"/>
  <c r="BL368" i="57"/>
  <c r="DL368" i="57"/>
  <c r="CZ368" i="57"/>
  <c r="BM368" i="57"/>
  <c r="DN392" i="57"/>
  <c r="DB392" i="57"/>
  <c r="BN392" i="57"/>
  <c r="S386" i="57"/>
  <c r="BC383" i="57"/>
  <c r="CW392" i="57"/>
  <c r="BI392" i="57"/>
  <c r="DQ398" i="57"/>
  <c r="AG404" i="57"/>
  <c r="DQ401" i="57"/>
  <c r="X410" i="57"/>
  <c r="BN389" i="57"/>
  <c r="DN389" i="57"/>
  <c r="DB389" i="57"/>
  <c r="BO389" i="57"/>
  <c r="DO389" i="57"/>
  <c r="DC389" i="57"/>
  <c r="BJ371" i="57"/>
  <c r="CX371" i="57"/>
  <c r="DJ371" i="57"/>
  <c r="BK371" i="57"/>
  <c r="AO417" i="57"/>
  <c r="BL365" i="57"/>
  <c r="DL365" i="57"/>
  <c r="CZ365" i="57"/>
  <c r="BM365" i="57"/>
  <c r="BI389" i="57"/>
  <c r="CW389" i="57"/>
  <c r="BF377" i="57"/>
  <c r="BG377" i="57"/>
  <c r="BA365" i="57"/>
  <c r="BB365" i="57"/>
  <c r="BD383" i="57"/>
  <c r="BE383" i="57"/>
  <c r="AE395" i="57"/>
  <c r="DO392" i="57"/>
  <c r="BO392" i="57"/>
  <c r="DC392" i="57"/>
  <c r="DD368" i="57"/>
  <c r="DP368" i="57"/>
  <c r="BP368" i="57"/>
  <c r="BQ368" i="57"/>
  <c r="CZ417" i="57"/>
  <c r="DL417" i="57"/>
  <c r="AF371" i="57"/>
  <c r="BQ418" i="57"/>
  <c r="DP418" i="57"/>
  <c r="BP418" i="57"/>
  <c r="DD418" i="57"/>
  <c r="BP417" i="57"/>
  <c r="BQ417" i="57"/>
  <c r="AS417" i="57"/>
  <c r="DD417" i="57"/>
  <c r="DP417" i="57"/>
  <c r="AR417" i="57"/>
  <c r="W392" i="57"/>
  <c r="DM430" i="57"/>
  <c r="BC424" i="57"/>
  <c r="S392" i="57"/>
  <c r="DK432" i="57"/>
  <c r="DQ430" i="57"/>
  <c r="O410" i="57"/>
  <c r="O413" i="57" s="1"/>
  <c r="V383" i="57"/>
  <c r="AZ383" i="57"/>
  <c r="AZ423" i="57"/>
  <c r="N395" i="57"/>
  <c r="BD423" i="57"/>
  <c r="T389" i="57"/>
  <c r="BE423" i="57"/>
  <c r="R413" i="57"/>
  <c r="W395" i="57"/>
  <c r="BD424" i="57"/>
  <c r="T392" i="57"/>
  <c r="BE424" i="57"/>
  <c r="BO427" i="57"/>
  <c r="DO427" i="57"/>
  <c r="BN426" i="57"/>
  <c r="DB426" i="57"/>
  <c r="DN426" i="57"/>
  <c r="AP426" i="57"/>
  <c r="AD398" i="57"/>
  <c r="BA418" i="57"/>
  <c r="BB418" i="57"/>
  <c r="AA413" i="57"/>
  <c r="DQ429" i="57"/>
  <c r="AG407" i="57"/>
  <c r="K407" i="57"/>
  <c r="K410" i="57" s="1"/>
  <c r="M413" i="57"/>
  <c r="P386" i="57"/>
  <c r="AZ386" i="57" s="1"/>
  <c r="CW426" i="57"/>
  <c r="BI426" i="57"/>
  <c r="AK426" i="57"/>
  <c r="DM429" i="57"/>
  <c r="AC407" i="57"/>
  <c r="BC423" i="57"/>
  <c r="S389" i="57"/>
  <c r="L374" i="57"/>
  <c r="BO426" i="57"/>
  <c r="DO426" i="57"/>
  <c r="DC426" i="57"/>
  <c r="AQ426" i="57"/>
  <c r="AE398" i="57"/>
  <c r="U404" i="57"/>
  <c r="Q371" i="57"/>
  <c r="X413" i="57"/>
  <c r="CY426" i="57"/>
  <c r="BH426" i="57"/>
  <c r="AJ426" i="57"/>
  <c r="DE426" i="57"/>
  <c r="BL418" i="57"/>
  <c r="DL418" i="57"/>
  <c r="CZ418" i="57"/>
  <c r="BM418" i="57"/>
  <c r="BN427" i="57"/>
  <c r="DN427" i="57"/>
  <c r="DJ420" i="57"/>
  <c r="BJ420" i="57"/>
  <c r="CX420" i="57"/>
  <c r="AL420" i="57"/>
  <c r="BK420" i="57"/>
  <c r="AM420" i="57"/>
  <c r="V386" i="57"/>
  <c r="AB371" i="57"/>
  <c r="Z377" i="57"/>
  <c r="Y395" i="57"/>
  <c r="I95" i="98"/>
  <c r="I99" i="98"/>
  <c r="V235" i="44"/>
  <c r="W189" i="44"/>
  <c r="W251" i="44"/>
  <c r="W192" i="44"/>
  <c r="W241" i="44"/>
  <c r="W232" i="44"/>
  <c r="S56" i="108" l="1"/>
  <c r="BA371" i="57"/>
  <c r="BB371" i="57"/>
  <c r="DA426" i="57"/>
  <c r="CY392" i="57"/>
  <c r="BH392" i="57"/>
  <c r="DA392" i="57"/>
  <c r="DE392" i="57"/>
  <c r="DO395" i="57"/>
  <c r="DC395" i="57"/>
  <c r="BO395" i="57"/>
  <c r="DK410" i="57"/>
  <c r="AA416" i="57"/>
  <c r="DK413" i="57"/>
  <c r="BD389" i="57"/>
  <c r="BE389" i="57"/>
  <c r="Y398" i="57"/>
  <c r="CW395" i="57"/>
  <c r="BI395" i="57"/>
  <c r="U407" i="57"/>
  <c r="BC389" i="57"/>
  <c r="BJ377" i="57"/>
  <c r="DJ377" i="57"/>
  <c r="CX377" i="57"/>
  <c r="BK377" i="57"/>
  <c r="BF386" i="57"/>
  <c r="BG386" i="57"/>
  <c r="AE401" i="57"/>
  <c r="DO398" i="57"/>
  <c r="BO398" i="57"/>
  <c r="BC386" i="57"/>
  <c r="DM404" i="57"/>
  <c r="DM407" i="57"/>
  <c r="BC392" i="57"/>
  <c r="DQ404" i="57"/>
  <c r="BL371" i="57"/>
  <c r="CZ371" i="57"/>
  <c r="DL371" i="57"/>
  <c r="BM371" i="57"/>
  <c r="BN398" i="57"/>
  <c r="DN398" i="57"/>
  <c r="DB398" i="57"/>
  <c r="DB427" i="57"/>
  <c r="BH395" i="57"/>
  <c r="CY395" i="57"/>
  <c r="DE395" i="57"/>
  <c r="DA395" i="57"/>
  <c r="DB395" i="57"/>
  <c r="AG410" i="57"/>
  <c r="DQ407" i="57"/>
  <c r="BD392" i="57"/>
  <c r="BE392" i="57"/>
  <c r="R416" i="57"/>
  <c r="BF383" i="57"/>
  <c r="BG383" i="57"/>
  <c r="BD386" i="57"/>
  <c r="AF374" i="57"/>
  <c r="DP371" i="57"/>
  <c r="DD371" i="57"/>
  <c r="BP371" i="57"/>
  <c r="BQ371" i="57"/>
  <c r="W398" i="57"/>
  <c r="AF377" i="57"/>
  <c r="AS420" i="57"/>
  <c r="BP420" i="57"/>
  <c r="DP420" i="57"/>
  <c r="DD420" i="57"/>
  <c r="AF380" i="57"/>
  <c r="AR420" i="57"/>
  <c r="BQ420" i="57"/>
  <c r="AD401" i="57"/>
  <c r="DQ432" i="57"/>
  <c r="BD426" i="57"/>
  <c r="BE426" i="57"/>
  <c r="AB374" i="57"/>
  <c r="Q374" i="57"/>
  <c r="W401" i="57"/>
  <c r="BH427" i="57"/>
  <c r="CY427" i="57"/>
  <c r="DA427" i="57"/>
  <c r="DE427" i="57"/>
  <c r="BF423" i="57"/>
  <c r="V389" i="57"/>
  <c r="BG423" i="57"/>
  <c r="DJ421" i="57"/>
  <c r="BJ421" i="57"/>
  <c r="CX421" i="57"/>
  <c r="BK421" i="57"/>
  <c r="AZ424" i="57"/>
  <c r="DO429" i="57"/>
  <c r="AQ429" i="57"/>
  <c r="T395" i="57"/>
  <c r="O416" i="57"/>
  <c r="AC410" i="57"/>
  <c r="U410" i="57"/>
  <c r="S395" i="57"/>
  <c r="DC427" i="57"/>
  <c r="R419" i="57"/>
  <c r="X416" i="57"/>
  <c r="BC426" i="57"/>
  <c r="Z380" i="57"/>
  <c r="K413" i="57"/>
  <c r="K416" i="57" s="1"/>
  <c r="AD404" i="57"/>
  <c r="M416" i="57"/>
  <c r="BN429" i="57"/>
  <c r="DN429" i="57"/>
  <c r="AP429" i="57"/>
  <c r="AE404" i="57"/>
  <c r="L377" i="57"/>
  <c r="L380" i="57" s="1"/>
  <c r="P389" i="57"/>
  <c r="BF424" i="57"/>
  <c r="BG424" i="57"/>
  <c r="DK433" i="57"/>
  <c r="AA419" i="57"/>
  <c r="CW427" i="57"/>
  <c r="BI427" i="57"/>
  <c r="Y401" i="57"/>
  <c r="AG413" i="57"/>
  <c r="N398" i="57"/>
  <c r="N401" i="57" s="1"/>
  <c r="W249" i="44"/>
  <c r="W88" i="44"/>
  <c r="W212" i="44"/>
  <c r="W130" i="44"/>
  <c r="W240" i="44"/>
  <c r="W195" i="44"/>
  <c r="W230" i="44"/>
  <c r="AA422" i="57" l="1"/>
  <c r="DJ380" i="57"/>
  <c r="BJ380" i="57"/>
  <c r="CX380" i="57"/>
  <c r="BK380" i="57"/>
  <c r="AD407" i="57"/>
  <c r="BN404" i="57"/>
  <c r="DN404" i="57"/>
  <c r="S398" i="57"/>
  <c r="BC395" i="57"/>
  <c r="DO401" i="57"/>
  <c r="BO401" i="57"/>
  <c r="DC401" i="57"/>
  <c r="P392" i="57"/>
  <c r="AZ392" i="57" s="1"/>
  <c r="AZ389" i="57"/>
  <c r="BL374" i="57"/>
  <c r="DL374" i="57"/>
  <c r="CZ374" i="57"/>
  <c r="BM374" i="57"/>
  <c r="BP377" i="57"/>
  <c r="DP377" i="57"/>
  <c r="DD377" i="57"/>
  <c r="BQ377" i="57"/>
  <c r="DQ410" i="57"/>
  <c r="AC413" i="57"/>
  <c r="DM410" i="57"/>
  <c r="BD395" i="57"/>
  <c r="BE395" i="57"/>
  <c r="BO429" i="57"/>
  <c r="DN401" i="57"/>
  <c r="BN401" i="57"/>
  <c r="DB401" i="57"/>
  <c r="BF389" i="57"/>
  <c r="BG389" i="57"/>
  <c r="U413" i="57"/>
  <c r="BH398" i="57"/>
  <c r="CY398" i="57"/>
  <c r="DA398" i="57"/>
  <c r="DE398" i="57"/>
  <c r="AG416" i="57"/>
  <c r="DQ413" i="57"/>
  <c r="BP380" i="57"/>
  <c r="DP380" i="57"/>
  <c r="DD380" i="57"/>
  <c r="BQ380" i="57"/>
  <c r="BP374" i="57"/>
  <c r="DP374" i="57"/>
  <c r="DD374" i="57"/>
  <c r="BQ374" i="57"/>
  <c r="DC398" i="57"/>
  <c r="BI398" i="57"/>
  <c r="CW398" i="57"/>
  <c r="BA374" i="57"/>
  <c r="BB374" i="57"/>
  <c r="CW401" i="57"/>
  <c r="BI401" i="57"/>
  <c r="AE407" i="57"/>
  <c r="DO404" i="57"/>
  <c r="BO404" i="57"/>
  <c r="DC429" i="57"/>
  <c r="CY401" i="57"/>
  <c r="BH401" i="57"/>
  <c r="DE401" i="57"/>
  <c r="DA401" i="57"/>
  <c r="DK416" i="57"/>
  <c r="V392" i="57"/>
  <c r="AF383" i="57"/>
  <c r="AF386" i="57"/>
  <c r="DD421" i="57"/>
  <c r="BQ421" i="57"/>
  <c r="BP421" i="57"/>
  <c r="DP421" i="57"/>
  <c r="DB429" i="57"/>
  <c r="W404" i="57"/>
  <c r="BD427" i="57"/>
  <c r="BE427" i="57"/>
  <c r="O419" i="57"/>
  <c r="BA420" i="57"/>
  <c r="BB420" i="57"/>
  <c r="BC427" i="57"/>
  <c r="S401" i="57"/>
  <c r="Q377" i="57"/>
  <c r="T398" i="57"/>
  <c r="BF426" i="57"/>
  <c r="BG426" i="57"/>
  <c r="BL420" i="57"/>
  <c r="CZ420" i="57"/>
  <c r="DL420" i="57"/>
  <c r="AN420" i="57"/>
  <c r="BM420" i="57"/>
  <c r="AO420" i="57"/>
  <c r="AB377" i="57"/>
  <c r="DM433" i="57"/>
  <c r="S404" i="57"/>
  <c r="AA425" i="57"/>
  <c r="DQ433" i="57"/>
  <c r="AG419" i="57"/>
  <c r="R422" i="57"/>
  <c r="AZ426" i="57"/>
  <c r="P395" i="57"/>
  <c r="AZ395" i="57" s="1"/>
  <c r="K419" i="57"/>
  <c r="W410" i="57"/>
  <c r="DE410" i="57" s="1"/>
  <c r="CY430" i="57"/>
  <c r="BH430" i="57"/>
  <c r="DE430" i="57"/>
  <c r="DA430" i="57"/>
  <c r="U416" i="57"/>
  <c r="X419" i="57"/>
  <c r="BO430" i="57"/>
  <c r="DO430" i="57"/>
  <c r="DC430" i="57"/>
  <c r="AE410" i="57"/>
  <c r="Z383" i="57"/>
  <c r="V395" i="57"/>
  <c r="W407" i="57"/>
  <c r="CY429" i="57"/>
  <c r="BH429" i="57"/>
  <c r="AJ429" i="57"/>
  <c r="DA429" i="57"/>
  <c r="DE429" i="57"/>
  <c r="BN430" i="57"/>
  <c r="DB430" i="57"/>
  <c r="DN430" i="57"/>
  <c r="AD410" i="57"/>
  <c r="N404" i="57"/>
  <c r="CW429" i="57"/>
  <c r="BI429" i="57"/>
  <c r="AK429" i="57"/>
  <c r="L383" i="57"/>
  <c r="L386" i="57" s="1"/>
  <c r="M419" i="57"/>
  <c r="M422" i="57" s="1"/>
  <c r="DM432" i="57"/>
  <c r="AC416" i="57"/>
  <c r="Y404" i="57"/>
  <c r="W222" i="44"/>
  <c r="W213" i="44"/>
  <c r="W131" i="44"/>
  <c r="W98" i="44"/>
  <c r="W101" i="44" s="1"/>
  <c r="W167" i="44"/>
  <c r="W165" i="44"/>
  <c r="W92" i="44"/>
  <c r="CX383" i="57" l="1"/>
  <c r="DJ383" i="57"/>
  <c r="BJ383" i="57"/>
  <c r="BK383" i="57"/>
  <c r="R425" i="57"/>
  <c r="BC401" i="57"/>
  <c r="DN407" i="57"/>
  <c r="DB407" i="57"/>
  <c r="BN407" i="57"/>
  <c r="AB380" i="57"/>
  <c r="CZ377" i="57"/>
  <c r="BL377" i="57"/>
  <c r="DL377" i="57"/>
  <c r="BM377" i="57"/>
  <c r="CY404" i="57"/>
  <c r="BH404" i="57"/>
  <c r="DA404" i="57"/>
  <c r="DE404" i="57"/>
  <c r="BP383" i="57"/>
  <c r="DP383" i="57"/>
  <c r="DD383" i="57"/>
  <c r="BQ383" i="57"/>
  <c r="DO407" i="57"/>
  <c r="DC407" i="57"/>
  <c r="BO407" i="57"/>
  <c r="BC398" i="57"/>
  <c r="BF392" i="57"/>
  <c r="BG392" i="57"/>
  <c r="DM413" i="57"/>
  <c r="DB404" i="57"/>
  <c r="CY407" i="57"/>
  <c r="BH407" i="57"/>
  <c r="DA407" i="57"/>
  <c r="DE407" i="57"/>
  <c r="DA432" i="57"/>
  <c r="CY410" i="57"/>
  <c r="BH410" i="57"/>
  <c r="DQ416" i="57"/>
  <c r="DQ419" i="57"/>
  <c r="CW404" i="57"/>
  <c r="BI404" i="57"/>
  <c r="AC419" i="57"/>
  <c r="DM416" i="57"/>
  <c r="X422" i="57"/>
  <c r="DK422" i="57" s="1"/>
  <c r="T401" i="57"/>
  <c r="BD398" i="57"/>
  <c r="BE398" i="57"/>
  <c r="DC404" i="57"/>
  <c r="BA377" i="57"/>
  <c r="BB377" i="57"/>
  <c r="BP386" i="57"/>
  <c r="DP386" i="57"/>
  <c r="DD386" i="57"/>
  <c r="BQ386" i="57"/>
  <c r="DA410" i="57"/>
  <c r="AE413" i="57"/>
  <c r="DO410" i="57"/>
  <c r="DC410" i="57"/>
  <c r="BO410" i="57"/>
  <c r="BN410" i="57"/>
  <c r="DB410" i="57"/>
  <c r="DN410" i="57"/>
  <c r="BF395" i="57"/>
  <c r="BG395" i="57"/>
  <c r="BC404" i="57"/>
  <c r="DK419" i="57"/>
  <c r="BQ424" i="57"/>
  <c r="BP424" i="57"/>
  <c r="DP424" i="57"/>
  <c r="DD424" i="57"/>
  <c r="BQ423" i="57"/>
  <c r="BP423" i="57"/>
  <c r="DP423" i="57"/>
  <c r="DD423" i="57"/>
  <c r="AR423" i="57"/>
  <c r="AS423" i="57"/>
  <c r="AF389" i="57"/>
  <c r="DK435" i="57"/>
  <c r="BD429" i="57"/>
  <c r="BE429" i="57"/>
  <c r="DO433" i="57"/>
  <c r="BC430" i="57"/>
  <c r="BH432" i="57"/>
  <c r="AJ432" i="57"/>
  <c r="CY432" i="57"/>
  <c r="DE432" i="57"/>
  <c r="R428" i="57"/>
  <c r="BA421" i="57"/>
  <c r="BB421" i="57"/>
  <c r="BO432" i="57"/>
  <c r="DC432" i="57"/>
  <c r="DO432" i="57"/>
  <c r="AQ432" i="57"/>
  <c r="AE416" i="57"/>
  <c r="DM435" i="57"/>
  <c r="Q380" i="57"/>
  <c r="CW430" i="57"/>
  <c r="BI430" i="57"/>
  <c r="DQ435" i="57"/>
  <c r="BC429" i="57"/>
  <c r="S407" i="57"/>
  <c r="AG422" i="57"/>
  <c r="U419" i="57"/>
  <c r="M425" i="57"/>
  <c r="M428" i="57" s="1"/>
  <c r="BN432" i="57"/>
  <c r="DB432" i="57"/>
  <c r="DN432" i="57"/>
  <c r="AP432" i="57"/>
  <c r="AZ427" i="57"/>
  <c r="O422" i="57"/>
  <c r="T404" i="57"/>
  <c r="L389" i="57"/>
  <c r="L392" i="57" s="1"/>
  <c r="AC422" i="57"/>
  <c r="Y407" i="57"/>
  <c r="BF427" i="57"/>
  <c r="BG427" i="57"/>
  <c r="X425" i="57"/>
  <c r="P398" i="57"/>
  <c r="BL421" i="57"/>
  <c r="DL421" i="57"/>
  <c r="CZ421" i="57"/>
  <c r="AB383" i="57"/>
  <c r="BM421" i="57"/>
  <c r="V398" i="57"/>
  <c r="K422" i="57"/>
  <c r="K425" i="57" s="1"/>
  <c r="W413" i="57"/>
  <c r="DJ423" i="57"/>
  <c r="BJ423" i="57"/>
  <c r="CX423" i="57"/>
  <c r="AL423" i="57"/>
  <c r="AM423" i="57"/>
  <c r="BK423" i="57"/>
  <c r="Z386" i="57"/>
  <c r="AA428" i="57"/>
  <c r="AD413" i="57"/>
  <c r="N407" i="57"/>
  <c r="W221" i="44"/>
  <c r="W223" i="44" s="1"/>
  <c r="W172" i="44"/>
  <c r="W103" i="44"/>
  <c r="Z389" i="57" l="1"/>
  <c r="BJ386" i="57"/>
  <c r="DJ386" i="57"/>
  <c r="CX386" i="57"/>
  <c r="BK386" i="57"/>
  <c r="DD389" i="57"/>
  <c r="BP389" i="57"/>
  <c r="DP389" i="57"/>
  <c r="BQ389" i="57"/>
  <c r="DM419" i="57"/>
  <c r="DK436" i="57"/>
  <c r="DQ422" i="57"/>
  <c r="Q383" i="57"/>
  <c r="BA380" i="57"/>
  <c r="BB380" i="57"/>
  <c r="BD401" i="57"/>
  <c r="BE401" i="57"/>
  <c r="DN413" i="57"/>
  <c r="DB413" i="57"/>
  <c r="BN413" i="57"/>
  <c r="DC433" i="57"/>
  <c r="CY413" i="57"/>
  <c r="BH413" i="57"/>
  <c r="DE413" i="57"/>
  <c r="BI407" i="57"/>
  <c r="CW407" i="57"/>
  <c r="DO416" i="57"/>
  <c r="DO413" i="57"/>
  <c r="BO413" i="57"/>
  <c r="DC413" i="57"/>
  <c r="DA413" i="57"/>
  <c r="BD404" i="57"/>
  <c r="BE404" i="57"/>
  <c r="BL383" i="57"/>
  <c r="DL383" i="57"/>
  <c r="CZ383" i="57"/>
  <c r="BM383" i="57"/>
  <c r="DK428" i="57"/>
  <c r="BC407" i="57"/>
  <c r="DL380" i="57"/>
  <c r="CZ380" i="57"/>
  <c r="BL380" i="57"/>
  <c r="BM380" i="57"/>
  <c r="BF398" i="57"/>
  <c r="BG398" i="57"/>
  <c r="P401" i="57"/>
  <c r="AZ401" i="57" s="1"/>
  <c r="AZ398" i="57"/>
  <c r="AC425" i="57"/>
  <c r="DM422" i="57"/>
  <c r="DK425" i="57"/>
  <c r="AF392" i="57"/>
  <c r="V401" i="57"/>
  <c r="BA423" i="57"/>
  <c r="BB423" i="57"/>
  <c r="BD430" i="57"/>
  <c r="BE430" i="57"/>
  <c r="Q386" i="57"/>
  <c r="BB386" i="57" s="1"/>
  <c r="S410" i="57"/>
  <c r="AA431" i="57"/>
  <c r="W416" i="57"/>
  <c r="BL423" i="57"/>
  <c r="DL423" i="57"/>
  <c r="CZ423" i="57"/>
  <c r="AN423" i="57"/>
  <c r="AO423" i="57"/>
  <c r="BM423" i="57"/>
  <c r="DJ424" i="57"/>
  <c r="BJ424" i="57"/>
  <c r="CX424" i="57"/>
  <c r="Z392" i="57"/>
  <c r="BK424" i="57"/>
  <c r="AZ429" i="57"/>
  <c r="M431" i="57"/>
  <c r="M434" i="57" s="1"/>
  <c r="X428" i="57"/>
  <c r="AE419" i="57"/>
  <c r="BF429" i="57"/>
  <c r="BG429" i="57"/>
  <c r="R431" i="57"/>
  <c r="DQ436" i="57"/>
  <c r="AB386" i="57"/>
  <c r="K428" i="57"/>
  <c r="Y410" i="57"/>
  <c r="N410" i="57"/>
  <c r="T407" i="57"/>
  <c r="L395" i="57"/>
  <c r="L398" i="57" s="1"/>
  <c r="BH433" i="57"/>
  <c r="CY433" i="57"/>
  <c r="DE433" i="57"/>
  <c r="DA433" i="57"/>
  <c r="BN433" i="57"/>
  <c r="DN433" i="57"/>
  <c r="DB433" i="57"/>
  <c r="V404" i="57"/>
  <c r="P404" i="57"/>
  <c r="P407" i="57" s="1"/>
  <c r="DM436" i="57"/>
  <c r="AC428" i="57"/>
  <c r="AD416" i="57"/>
  <c r="O425" i="57"/>
  <c r="O428" i="57" s="1"/>
  <c r="AG425" i="57"/>
  <c r="U422" i="57"/>
  <c r="BO433" i="57"/>
  <c r="W105" i="44"/>
  <c r="W107" i="44"/>
  <c r="W174" i="44"/>
  <c r="W129" i="44" s="1"/>
  <c r="W133" i="44" s="1"/>
  <c r="BC410" i="57" l="1"/>
  <c r="BA383" i="57"/>
  <c r="BB383" i="57"/>
  <c r="BN416" i="57"/>
  <c r="DN416" i="57"/>
  <c r="DB416" i="57"/>
  <c r="Z395" i="57"/>
  <c r="CX392" i="57"/>
  <c r="BJ392" i="57"/>
  <c r="DJ392" i="57"/>
  <c r="BK392" i="57"/>
  <c r="DD392" i="57"/>
  <c r="BP392" i="57"/>
  <c r="DP392" i="57"/>
  <c r="BQ392" i="57"/>
  <c r="R434" i="57"/>
  <c r="V407" i="57"/>
  <c r="BF404" i="57"/>
  <c r="BG404" i="57"/>
  <c r="DK438" i="57"/>
  <c r="DO419" i="57"/>
  <c r="Y413" i="57"/>
  <c r="CW410" i="57"/>
  <c r="BI410" i="57"/>
  <c r="W419" i="57"/>
  <c r="CY416" i="57"/>
  <c r="BH416" i="57"/>
  <c r="DE416" i="57"/>
  <c r="DA416" i="57"/>
  <c r="BF401" i="57"/>
  <c r="BG401" i="57"/>
  <c r="DC416" i="57"/>
  <c r="AB389" i="57"/>
  <c r="CZ386" i="57"/>
  <c r="BL386" i="57"/>
  <c r="DL386" i="57"/>
  <c r="BM386" i="57"/>
  <c r="DM428" i="57"/>
  <c r="BD407" i="57"/>
  <c r="BE407" i="57"/>
  <c r="AG428" i="57"/>
  <c r="DQ425" i="57"/>
  <c r="DM425" i="57"/>
  <c r="BO416" i="57"/>
  <c r="BJ389" i="57"/>
  <c r="DJ389" i="57"/>
  <c r="CX389" i="57"/>
  <c r="BK389" i="57"/>
  <c r="BQ426" i="57"/>
  <c r="AF395" i="57"/>
  <c r="AS426" i="57"/>
  <c r="DP426" i="57"/>
  <c r="DD426" i="57"/>
  <c r="BP426" i="57"/>
  <c r="AR426" i="57"/>
  <c r="DQ438" i="57"/>
  <c r="BI433" i="57"/>
  <c r="CW433" i="57"/>
  <c r="DM438" i="57"/>
  <c r="W422" i="57"/>
  <c r="BL424" i="57"/>
  <c r="DL424" i="57"/>
  <c r="CZ424" i="57"/>
  <c r="AB392" i="57"/>
  <c r="BM424" i="57"/>
  <c r="AZ407" i="57"/>
  <c r="BC432" i="57"/>
  <c r="BA386" i="57"/>
  <c r="BA424" i="57"/>
  <c r="BB424" i="57"/>
  <c r="M437" i="57"/>
  <c r="DO435" i="57"/>
  <c r="DC435" i="57"/>
  <c r="T410" i="57"/>
  <c r="W425" i="57"/>
  <c r="DA425" i="57" s="1"/>
  <c r="CY435" i="57"/>
  <c r="DA435" i="57"/>
  <c r="BH435" i="57"/>
  <c r="AJ435" i="57"/>
  <c r="DE435" i="57"/>
  <c r="CW432" i="57"/>
  <c r="BI432" i="57"/>
  <c r="AK432" i="57"/>
  <c r="Y416" i="57"/>
  <c r="DJ427" i="57"/>
  <c r="BJ427" i="57"/>
  <c r="CX427" i="57"/>
  <c r="BK427" i="57"/>
  <c r="O431" i="57"/>
  <c r="AA434" i="57"/>
  <c r="S413" i="57"/>
  <c r="Q389" i="57"/>
  <c r="AG431" i="57"/>
  <c r="BF430" i="57"/>
  <c r="V410" i="57"/>
  <c r="BG430" i="57"/>
  <c r="AZ404" i="57"/>
  <c r="AZ430" i="57"/>
  <c r="P410" i="57"/>
  <c r="AZ410" i="57" s="1"/>
  <c r="AD422" i="57"/>
  <c r="AD419" i="57"/>
  <c r="BO419" i="57" s="1"/>
  <c r="AC431" i="57"/>
  <c r="L401" i="57"/>
  <c r="L404" i="57" s="1"/>
  <c r="N413" i="57"/>
  <c r="R437" i="57"/>
  <c r="U425" i="57"/>
  <c r="DJ426" i="57"/>
  <c r="BJ426" i="57"/>
  <c r="CX426" i="57"/>
  <c r="AL426" i="57"/>
  <c r="Z398" i="57"/>
  <c r="BK426" i="57"/>
  <c r="AM426" i="57"/>
  <c r="X431" i="57"/>
  <c r="AE422" i="57"/>
  <c r="K431" i="57"/>
  <c r="K434" i="57" s="1"/>
  <c r="W109" i="44"/>
  <c r="W248" i="44" s="1"/>
  <c r="W211" i="44"/>
  <c r="DM431" i="57" l="1"/>
  <c r="AA437" i="57"/>
  <c r="DL389" i="57"/>
  <c r="CZ389" i="57"/>
  <c r="BL389" i="57"/>
  <c r="BM389" i="57"/>
  <c r="CW413" i="57"/>
  <c r="BI413" i="57"/>
  <c r="CY422" i="57"/>
  <c r="DE422" i="57"/>
  <c r="DA422" i="57"/>
  <c r="BH422" i="57"/>
  <c r="DQ428" i="57"/>
  <c r="CY425" i="57"/>
  <c r="BH425" i="57"/>
  <c r="CY419" i="57"/>
  <c r="BH419" i="57"/>
  <c r="DE419" i="57"/>
  <c r="DA419" i="57"/>
  <c r="DC419" i="57"/>
  <c r="BF407" i="57"/>
  <c r="BG407" i="57"/>
  <c r="Z401" i="57"/>
  <c r="DJ398" i="57"/>
  <c r="BJ398" i="57"/>
  <c r="CX398" i="57"/>
  <c r="BK398" i="57"/>
  <c r="V413" i="57"/>
  <c r="BF410" i="57"/>
  <c r="BG410" i="57"/>
  <c r="T413" i="57"/>
  <c r="BD410" i="57"/>
  <c r="BE410" i="57"/>
  <c r="DD395" i="57"/>
  <c r="DP395" i="57"/>
  <c r="BP395" i="57"/>
  <c r="BQ395" i="57"/>
  <c r="BN422" i="57"/>
  <c r="DN422" i="57"/>
  <c r="DB422" i="57"/>
  <c r="AG434" i="57"/>
  <c r="DQ431" i="57"/>
  <c r="AE425" i="57"/>
  <c r="DO422" i="57"/>
  <c r="BO422" i="57"/>
  <c r="DC422" i="57"/>
  <c r="X434" i="57"/>
  <c r="Q392" i="57"/>
  <c r="BA389" i="57"/>
  <c r="BB389" i="57"/>
  <c r="DK431" i="57"/>
  <c r="BN419" i="57"/>
  <c r="DN419" i="57"/>
  <c r="DB419" i="57"/>
  <c r="U428" i="57"/>
  <c r="BC413" i="57"/>
  <c r="BI416" i="57"/>
  <c r="CW416" i="57"/>
  <c r="AB395" i="57"/>
  <c r="CZ392" i="57"/>
  <c r="BL392" i="57"/>
  <c r="DL392" i="57"/>
  <c r="BM392" i="57"/>
  <c r="DE425" i="57"/>
  <c r="CX395" i="57"/>
  <c r="DJ395" i="57"/>
  <c r="BJ395" i="57"/>
  <c r="BK395" i="57"/>
  <c r="BQ427" i="57"/>
  <c r="AF398" i="57"/>
  <c r="BP427" i="57"/>
  <c r="DP427" i="57"/>
  <c r="DD427" i="57"/>
  <c r="BF433" i="57"/>
  <c r="BG433" i="57"/>
  <c r="DJ429" i="57"/>
  <c r="BJ429" i="57"/>
  <c r="CX429" i="57"/>
  <c r="AL429" i="57"/>
  <c r="AM429" i="57"/>
  <c r="BK429" i="57"/>
  <c r="BA426" i="57"/>
  <c r="BB426" i="57"/>
  <c r="AZ432" i="57"/>
  <c r="P413" i="57"/>
  <c r="X437" i="57"/>
  <c r="DK441" i="57" s="1"/>
  <c r="BN435" i="57"/>
  <c r="DN435" i="57"/>
  <c r="DB435" i="57"/>
  <c r="AP435" i="57"/>
  <c r="AD425" i="57"/>
  <c r="BD432" i="57"/>
  <c r="T416" i="57"/>
  <c r="BE432" i="57"/>
  <c r="AQ435" i="57"/>
  <c r="U431" i="57"/>
  <c r="Q395" i="57"/>
  <c r="R440" i="57"/>
  <c r="M440" i="57"/>
  <c r="M443" i="57" s="1"/>
  <c r="M13" i="57" s="1"/>
  <c r="BF432" i="57"/>
  <c r="V416" i="57"/>
  <c r="BG432" i="57"/>
  <c r="DM439" i="57"/>
  <c r="W428" i="57"/>
  <c r="DE428" i="57" s="1"/>
  <c r="CY436" i="57"/>
  <c r="BH436" i="57"/>
  <c r="DA436" i="57"/>
  <c r="DE436" i="57"/>
  <c r="Z404" i="57"/>
  <c r="L407" i="57"/>
  <c r="L410" i="57" s="1"/>
  <c r="DQ439" i="57"/>
  <c r="AG437" i="57"/>
  <c r="DQ437" i="57" s="1"/>
  <c r="BC433" i="57"/>
  <c r="BO435" i="57"/>
  <c r="BL426" i="57"/>
  <c r="DL426" i="57"/>
  <c r="CZ426" i="57"/>
  <c r="AN426" i="57"/>
  <c r="AB398" i="57"/>
  <c r="AO426" i="57"/>
  <c r="BM426" i="57"/>
  <c r="Y419" i="57"/>
  <c r="BN436" i="57"/>
  <c r="DN436" i="57"/>
  <c r="DB436" i="57"/>
  <c r="BD433" i="57"/>
  <c r="BE433" i="57"/>
  <c r="K437" i="57"/>
  <c r="BO436" i="57"/>
  <c r="DO436" i="57"/>
  <c r="DC436" i="57"/>
  <c r="AE428" i="57"/>
  <c r="AA440" i="57"/>
  <c r="AA443" i="57" s="1"/>
  <c r="AA13" i="57" s="1"/>
  <c r="CM426" i="57" s="1"/>
  <c r="BL427" i="57"/>
  <c r="DL427" i="57"/>
  <c r="CZ427" i="57"/>
  <c r="BM427" i="57"/>
  <c r="DK439" i="57"/>
  <c r="N416" i="57"/>
  <c r="S416" i="57"/>
  <c r="AC434" i="57"/>
  <c r="O434" i="57"/>
  <c r="W215" i="44"/>
  <c r="W247" i="44" s="1"/>
  <c r="W141" i="44"/>
  <c r="W143" i="44" s="1"/>
  <c r="W156" i="44" s="1"/>
  <c r="W157" i="44" s="1"/>
  <c r="X155" i="44" s="1"/>
  <c r="W111" i="44"/>
  <c r="W258" i="44"/>
  <c r="CM427" i="57" l="1"/>
  <c r="DO425" i="57"/>
  <c r="BO425" i="57"/>
  <c r="DC425" i="57"/>
  <c r="Q398" i="57"/>
  <c r="BA395" i="57"/>
  <c r="BB395" i="57"/>
  <c r="DK434" i="57"/>
  <c r="Y422" i="57"/>
  <c r="CW419" i="57"/>
  <c r="BI419" i="57"/>
  <c r="BN425" i="57"/>
  <c r="DN425" i="57"/>
  <c r="DB425" i="57"/>
  <c r="DP398" i="57"/>
  <c r="BP398" i="57"/>
  <c r="DD398" i="57"/>
  <c r="BQ398" i="57"/>
  <c r="CM392" i="57"/>
  <c r="DQ434" i="57"/>
  <c r="DK437" i="57"/>
  <c r="AC437" i="57"/>
  <c r="DM434" i="57"/>
  <c r="BC416" i="57"/>
  <c r="CY428" i="57"/>
  <c r="DA428" i="57"/>
  <c r="BH428" i="57"/>
  <c r="V419" i="57"/>
  <c r="BF416" i="57"/>
  <c r="BG416" i="57"/>
  <c r="BA392" i="57"/>
  <c r="BB392" i="57"/>
  <c r="BD413" i="57"/>
  <c r="BE413" i="57"/>
  <c r="BF413" i="57"/>
  <c r="BG413" i="57"/>
  <c r="CM106" i="57"/>
  <c r="CM100" i="57"/>
  <c r="CM69" i="57"/>
  <c r="CM98" i="57"/>
  <c r="CM73" i="57"/>
  <c r="CM86" i="57"/>
  <c r="CM102" i="57"/>
  <c r="CM94" i="57"/>
  <c r="CM77" i="57"/>
  <c r="CM85" i="57"/>
  <c r="CM105" i="57"/>
  <c r="CM76" i="57"/>
  <c r="CM83" i="57"/>
  <c r="CM90" i="57"/>
  <c r="CM96" i="57"/>
  <c r="CM84" i="57"/>
  <c r="CM81" i="57"/>
  <c r="CM82" i="57"/>
  <c r="CM78" i="57"/>
  <c r="CM74" i="57"/>
  <c r="CM71" i="57"/>
  <c r="CM99" i="57"/>
  <c r="CM108" i="57"/>
  <c r="CM95" i="57"/>
  <c r="CM75" i="57"/>
  <c r="CM91" i="57"/>
  <c r="CM80" i="57"/>
  <c r="CM88" i="57"/>
  <c r="CM89" i="57"/>
  <c r="CM79" i="57"/>
  <c r="CM97" i="57"/>
  <c r="CM101" i="57"/>
  <c r="CM72" i="57"/>
  <c r="CM70" i="57"/>
  <c r="CM109" i="57"/>
  <c r="CM92" i="57"/>
  <c r="CM87" i="57"/>
  <c r="CM103" i="57"/>
  <c r="CM93" i="57"/>
  <c r="AA455" i="57"/>
  <c r="AA14" i="57"/>
  <c r="AA17" i="57" s="1"/>
  <c r="AA22" i="57" s="1"/>
  <c r="CM114" i="57"/>
  <c r="CM112" i="57"/>
  <c r="CM117" i="57"/>
  <c r="CM111" i="57"/>
  <c r="CM118" i="57"/>
  <c r="CM104" i="57"/>
  <c r="CM115" i="57"/>
  <c r="CM110" i="57"/>
  <c r="CM107" i="57"/>
  <c r="CM120" i="57"/>
  <c r="CM121" i="57"/>
  <c r="CM124" i="57"/>
  <c r="CM116" i="57"/>
  <c r="CM123" i="57"/>
  <c r="CM113" i="57"/>
  <c r="CM119" i="57"/>
  <c r="CM127" i="57"/>
  <c r="CM126" i="57"/>
  <c r="CM130" i="57"/>
  <c r="CM122" i="57"/>
  <c r="CM129" i="57"/>
  <c r="CM132" i="57"/>
  <c r="CM133" i="57"/>
  <c r="CM125" i="57"/>
  <c r="CM135" i="57"/>
  <c r="CM128" i="57"/>
  <c r="CM138" i="57"/>
  <c r="CM136" i="57"/>
  <c r="CM139" i="57"/>
  <c r="CM134" i="57"/>
  <c r="CM142" i="57"/>
  <c r="CM141" i="57"/>
  <c r="CM131" i="57"/>
  <c r="CM137" i="57"/>
  <c r="CM144" i="57"/>
  <c r="CM145" i="57"/>
  <c r="CM148" i="57"/>
  <c r="CM147" i="57"/>
  <c r="CM140" i="57"/>
  <c r="CM143" i="57"/>
  <c r="CM150" i="57"/>
  <c r="CM151" i="57"/>
  <c r="CM157" i="57"/>
  <c r="CM146" i="57"/>
  <c r="CM156" i="57"/>
  <c r="CM153" i="57"/>
  <c r="CM154" i="57"/>
  <c r="CM163" i="57"/>
  <c r="CM160" i="57"/>
  <c r="CM162" i="57"/>
  <c r="CM159" i="57"/>
  <c r="CM149" i="57"/>
  <c r="CM166" i="57"/>
  <c r="CM168" i="57"/>
  <c r="CM169" i="57"/>
  <c r="CM152" i="57"/>
  <c r="CM165" i="57"/>
  <c r="CM175" i="57"/>
  <c r="CM155" i="57"/>
  <c r="CM174" i="57"/>
  <c r="CM171" i="57"/>
  <c r="CM172" i="57"/>
  <c r="CM158" i="57"/>
  <c r="CM161" i="57"/>
  <c r="CM178" i="57"/>
  <c r="CM177" i="57"/>
  <c r="CM183" i="57"/>
  <c r="CM180" i="57"/>
  <c r="CM184" i="57"/>
  <c r="CM181" i="57"/>
  <c r="CM164" i="57"/>
  <c r="CM167" i="57"/>
  <c r="CM173" i="57"/>
  <c r="CM186" i="57"/>
  <c r="CM187" i="57"/>
  <c r="CM170" i="57"/>
  <c r="CM176" i="57"/>
  <c r="CM189" i="57"/>
  <c r="CM190" i="57"/>
  <c r="CM192" i="57"/>
  <c r="CM179" i="57"/>
  <c r="CM182" i="57"/>
  <c r="CM193" i="57"/>
  <c r="CM188" i="57"/>
  <c r="CM185" i="57"/>
  <c r="CM196" i="57"/>
  <c r="CM195" i="57"/>
  <c r="CM191" i="57"/>
  <c r="CM198" i="57"/>
  <c r="CM199" i="57"/>
  <c r="CM194" i="57"/>
  <c r="CM201" i="57"/>
  <c r="CM202" i="57"/>
  <c r="CM207" i="57"/>
  <c r="CM208" i="57"/>
  <c r="CM200" i="57"/>
  <c r="CM211" i="57"/>
  <c r="CM205" i="57"/>
  <c r="CM210" i="57"/>
  <c r="CM204" i="57"/>
  <c r="CM197" i="57"/>
  <c r="CM214" i="57"/>
  <c r="CM213" i="57"/>
  <c r="CM203" i="57"/>
  <c r="CM206" i="57"/>
  <c r="CM217" i="57"/>
  <c r="CM216" i="57"/>
  <c r="CM219" i="57"/>
  <c r="CM220" i="57"/>
  <c r="CM225" i="57"/>
  <c r="CM226" i="57"/>
  <c r="CM223" i="57"/>
  <c r="CM212" i="57"/>
  <c r="CM222" i="57"/>
  <c r="CM209" i="57"/>
  <c r="CM215" i="57"/>
  <c r="CM229" i="57"/>
  <c r="CM228" i="57"/>
  <c r="CM218" i="57"/>
  <c r="CM221" i="57"/>
  <c r="CM232" i="57"/>
  <c r="CM231" i="57"/>
  <c r="CM237" i="57"/>
  <c r="CM235" i="57"/>
  <c r="CM234" i="57"/>
  <c r="CM227" i="57"/>
  <c r="CM224" i="57"/>
  <c r="CM238" i="57"/>
  <c r="CM230" i="57"/>
  <c r="CM243" i="57"/>
  <c r="CM244" i="57"/>
  <c r="CM241" i="57"/>
  <c r="CM240" i="57"/>
  <c r="CM236" i="57"/>
  <c r="CM233" i="57"/>
  <c r="CM247" i="57"/>
  <c r="CM246" i="57"/>
  <c r="CM239" i="57"/>
  <c r="CM250" i="57"/>
  <c r="CM249" i="57"/>
  <c r="CM242" i="57"/>
  <c r="CM253" i="57"/>
  <c r="CM252" i="57"/>
  <c r="CM245" i="57"/>
  <c r="CM262" i="57"/>
  <c r="CM256" i="57"/>
  <c r="CM255" i="57"/>
  <c r="CM248" i="57"/>
  <c r="CM258" i="57"/>
  <c r="CM259" i="57"/>
  <c r="CM261" i="57"/>
  <c r="CM251" i="57"/>
  <c r="CM264" i="57"/>
  <c r="CM265" i="57"/>
  <c r="CM254" i="57"/>
  <c r="CM271" i="57"/>
  <c r="CM257" i="57"/>
  <c r="CM270" i="57"/>
  <c r="CM268" i="57"/>
  <c r="CM267" i="57"/>
  <c r="CM260" i="57"/>
  <c r="CM277" i="57"/>
  <c r="CM276" i="57"/>
  <c r="CM274" i="57"/>
  <c r="CM263" i="57"/>
  <c r="CM273" i="57"/>
  <c r="CM279" i="57"/>
  <c r="CM280" i="57"/>
  <c r="CM266" i="57"/>
  <c r="CM282" i="57"/>
  <c r="CM283" i="57"/>
  <c r="CM272" i="57"/>
  <c r="CM269" i="57"/>
  <c r="CM285" i="57"/>
  <c r="CM286" i="57"/>
  <c r="CM275" i="57"/>
  <c r="CM289" i="57"/>
  <c r="CM278" i="57"/>
  <c r="CM288" i="57"/>
  <c r="CM281" i="57"/>
  <c r="CM291" i="57"/>
  <c r="CM294" i="57"/>
  <c r="CM295" i="57"/>
  <c r="CM284" i="57"/>
  <c r="CM292" i="57"/>
  <c r="CM287" i="57"/>
  <c r="CM290" i="57"/>
  <c r="CM301" i="57"/>
  <c r="CM298" i="57"/>
  <c r="CM300" i="57"/>
  <c r="CM297" i="57"/>
  <c r="CM293" i="57"/>
  <c r="CM296" i="57"/>
  <c r="CM304" i="57"/>
  <c r="CM306" i="57"/>
  <c r="CM303" i="57"/>
  <c r="CM307" i="57"/>
  <c r="CM313" i="57"/>
  <c r="CM312" i="57"/>
  <c r="CM310" i="57"/>
  <c r="CM299" i="57"/>
  <c r="CM309" i="57"/>
  <c r="CM302" i="57"/>
  <c r="CM315" i="57"/>
  <c r="CM316" i="57"/>
  <c r="CM322" i="57"/>
  <c r="CM319" i="57"/>
  <c r="CM321" i="57"/>
  <c r="CM318" i="57"/>
  <c r="CM305" i="57"/>
  <c r="CM311" i="57"/>
  <c r="CM308" i="57"/>
  <c r="CM327" i="57"/>
  <c r="CM328" i="57"/>
  <c r="CM324" i="57"/>
  <c r="CM325" i="57"/>
  <c r="CM330" i="57"/>
  <c r="CM333" i="57"/>
  <c r="CM334" i="57"/>
  <c r="CM331" i="57"/>
  <c r="CM314" i="57"/>
  <c r="CM336" i="57"/>
  <c r="CM320" i="57"/>
  <c r="CM337" i="57"/>
  <c r="CM317" i="57"/>
  <c r="CM323" i="57"/>
  <c r="CM340" i="57"/>
  <c r="CM339" i="57"/>
  <c r="CM326" i="57"/>
  <c r="CM345" i="57"/>
  <c r="CM342" i="57"/>
  <c r="CM346" i="57"/>
  <c r="CM343" i="57"/>
  <c r="CM329" i="57"/>
  <c r="CM332" i="57"/>
  <c r="CM349" i="57"/>
  <c r="CM351" i="57"/>
  <c r="CM352" i="57"/>
  <c r="CM348" i="57"/>
  <c r="CM335" i="57"/>
  <c r="CM357" i="57"/>
  <c r="CM354" i="57"/>
  <c r="CM358" i="57"/>
  <c r="CM355" i="57"/>
  <c r="CM366" i="57"/>
  <c r="CM338" i="57"/>
  <c r="CM364" i="57"/>
  <c r="CM367" i="57"/>
  <c r="CM360" i="57"/>
  <c r="CM361" i="57"/>
  <c r="CM363" i="57"/>
  <c r="CM373" i="57"/>
  <c r="AA42" i="57"/>
  <c r="CM341" i="57"/>
  <c r="CM370" i="57"/>
  <c r="CM372" i="57"/>
  <c r="CM369" i="57"/>
  <c r="CM344" i="57"/>
  <c r="CM376" i="57"/>
  <c r="CM375" i="57"/>
  <c r="CM379" i="57"/>
  <c r="CM347" i="57"/>
  <c r="CM381" i="57"/>
  <c r="CM378" i="57"/>
  <c r="CM382" i="57"/>
  <c r="CM387" i="57"/>
  <c r="CM385" i="57"/>
  <c r="CM350" i="57"/>
  <c r="CM388" i="57"/>
  <c r="CM384" i="57"/>
  <c r="CM394" i="57"/>
  <c r="CM390" i="57"/>
  <c r="CM356" i="57"/>
  <c r="CM393" i="57"/>
  <c r="CM391" i="57"/>
  <c r="CM353" i="57"/>
  <c r="CM359" i="57"/>
  <c r="CM396" i="57"/>
  <c r="CM397" i="57"/>
  <c r="CM403" i="57"/>
  <c r="CM399" i="57"/>
  <c r="CM400" i="57"/>
  <c r="CM362" i="57"/>
  <c r="CM402" i="57"/>
  <c r="CM368" i="57"/>
  <c r="CM405" i="57"/>
  <c r="CM406" i="57"/>
  <c r="CM365" i="57"/>
  <c r="CM371" i="57"/>
  <c r="CM408" i="57"/>
  <c r="CM411" i="57"/>
  <c r="CM409" i="57"/>
  <c r="CM412" i="57"/>
  <c r="CM374" i="57"/>
  <c r="CM414" i="57"/>
  <c r="CM417" i="57"/>
  <c r="CM420" i="57"/>
  <c r="CM415" i="57"/>
  <c r="CM418" i="57"/>
  <c r="CM421" i="57"/>
  <c r="CM377" i="57"/>
  <c r="CM423" i="57"/>
  <c r="CM383" i="57"/>
  <c r="CM380" i="57"/>
  <c r="CM424" i="57"/>
  <c r="CM386" i="57"/>
  <c r="CM398" i="57"/>
  <c r="BL398" i="57"/>
  <c r="DL398" i="57"/>
  <c r="CZ398" i="57"/>
  <c r="BM398" i="57"/>
  <c r="CM389" i="57"/>
  <c r="M455" i="57"/>
  <c r="M456" i="57" s="1"/>
  <c r="M14" i="57"/>
  <c r="M17" i="57" s="1"/>
  <c r="M22" i="57" s="1"/>
  <c r="BD416" i="57"/>
  <c r="BE416" i="57"/>
  <c r="DJ401" i="57"/>
  <c r="CX401" i="57"/>
  <c r="BJ401" i="57"/>
  <c r="BK401" i="57"/>
  <c r="AE431" i="57"/>
  <c r="DC428" i="57"/>
  <c r="DO428" i="57"/>
  <c r="Z407" i="57"/>
  <c r="DJ404" i="57"/>
  <c r="CX404" i="57"/>
  <c r="BJ404" i="57"/>
  <c r="BK404" i="57"/>
  <c r="P416" i="57"/>
  <c r="AZ416" i="57" s="1"/>
  <c r="AZ413" i="57"/>
  <c r="DL395" i="57"/>
  <c r="BL395" i="57"/>
  <c r="CZ395" i="57"/>
  <c r="CM395" i="57"/>
  <c r="BM395" i="57"/>
  <c r="AF401" i="57"/>
  <c r="AF404" i="57"/>
  <c r="AD428" i="57"/>
  <c r="S419" i="57"/>
  <c r="T419" i="57"/>
  <c r="DO439" i="57"/>
  <c r="DM441" i="57"/>
  <c r="CY438" i="57"/>
  <c r="DE438" i="57"/>
  <c r="BH438" i="57"/>
  <c r="AJ438" i="57"/>
  <c r="DA438" i="57"/>
  <c r="DJ430" i="57"/>
  <c r="BJ430" i="57"/>
  <c r="CX430" i="57"/>
  <c r="Z410" i="57"/>
  <c r="BK430" i="57"/>
  <c r="N419" i="57"/>
  <c r="BF435" i="57"/>
  <c r="BG435" i="57"/>
  <c r="L413" i="57"/>
  <c r="L416" i="57" s="1"/>
  <c r="R443" i="57"/>
  <c r="R13" i="57" s="1"/>
  <c r="CA416" i="57" s="1"/>
  <c r="CW436" i="57"/>
  <c r="BI436" i="57"/>
  <c r="K440" i="57"/>
  <c r="K443" i="57" s="1"/>
  <c r="K13" i="57" s="1"/>
  <c r="BA427" i="57"/>
  <c r="Q401" i="57"/>
  <c r="BB427" i="57"/>
  <c r="O437" i="57"/>
  <c r="U434" i="57"/>
  <c r="AB401" i="57"/>
  <c r="AC440" i="57"/>
  <c r="DM440" i="57" s="1"/>
  <c r="DO438" i="57"/>
  <c r="DC438" i="57"/>
  <c r="AE434" i="57"/>
  <c r="DQ441" i="57"/>
  <c r="V422" i="57"/>
  <c r="CW435" i="57"/>
  <c r="BI435" i="57"/>
  <c r="AK435" i="57"/>
  <c r="Y425" i="57"/>
  <c r="AZ433" i="57"/>
  <c r="P419" i="57"/>
  <c r="W431" i="57"/>
  <c r="X440" i="57"/>
  <c r="AG440" i="57"/>
  <c r="DQ440" i="57" s="1"/>
  <c r="W220" i="44"/>
  <c r="W225" i="44" s="1"/>
  <c r="W226" i="44" s="1"/>
  <c r="T55" i="108" s="1"/>
  <c r="W257" i="44"/>
  <c r="W263" i="44" s="1"/>
  <c r="W264" i="44" s="1"/>
  <c r="W229" i="44"/>
  <c r="W234" i="44" s="1"/>
  <c r="W235" i="44" s="1"/>
  <c r="W253" i="44"/>
  <c r="W254" i="44" s="1"/>
  <c r="T60" i="108" s="1"/>
  <c r="X187" i="44"/>
  <c r="X251" i="44" s="1"/>
  <c r="W160" i="44"/>
  <c r="W161" i="44" s="1"/>
  <c r="X159" i="44" s="1"/>
  <c r="T56" i="108" l="1"/>
  <c r="BI425" i="57"/>
  <c r="CW425" i="57"/>
  <c r="DO434" i="57"/>
  <c r="CY431" i="57"/>
  <c r="BH431" i="57"/>
  <c r="DA431" i="57"/>
  <c r="DE431" i="57"/>
  <c r="BN438" i="57"/>
  <c r="DB428" i="57"/>
  <c r="BN428" i="57"/>
  <c r="DN428" i="57"/>
  <c r="DJ407" i="57"/>
  <c r="CX407" i="57"/>
  <c r="BJ407" i="57"/>
  <c r="BK407" i="57"/>
  <c r="P422" i="57"/>
  <c r="AZ422" i="57" s="1"/>
  <c r="AZ419" i="57"/>
  <c r="AA456" i="57"/>
  <c r="AA510" i="57"/>
  <c r="CA89" i="57"/>
  <c r="CA85" i="57"/>
  <c r="R455" i="57"/>
  <c r="CA86" i="57"/>
  <c r="CA78" i="57"/>
  <c r="CA88" i="57"/>
  <c r="CA87" i="57"/>
  <c r="CA82" i="57"/>
  <c r="CA79" i="57"/>
  <c r="CA105" i="57"/>
  <c r="CA106" i="57"/>
  <c r="CA102" i="57"/>
  <c r="CA83" i="57"/>
  <c r="CA84" i="57"/>
  <c r="CA81" i="57"/>
  <c r="CA103" i="57"/>
  <c r="CA101" i="57"/>
  <c r="CA80" i="57"/>
  <c r="CA91" i="57"/>
  <c r="CA96" i="57"/>
  <c r="CA76" i="57"/>
  <c r="CA97" i="57"/>
  <c r="CA92" i="57"/>
  <c r="CA69" i="57"/>
  <c r="CA90" i="57"/>
  <c r="CA71" i="57"/>
  <c r="CA94" i="57"/>
  <c r="CA99" i="57"/>
  <c r="CA77" i="57"/>
  <c r="CA100" i="57"/>
  <c r="CA93" i="57"/>
  <c r="CA74" i="57"/>
  <c r="CA73" i="57"/>
  <c r="CA72" i="57"/>
  <c r="CA70" i="57"/>
  <c r="CA75" i="57"/>
  <c r="CA98" i="57"/>
  <c r="CA95" i="57"/>
  <c r="CA108" i="57"/>
  <c r="CA109" i="57"/>
  <c r="R14" i="57"/>
  <c r="R17" i="57" s="1"/>
  <c r="R22" i="57" s="1"/>
  <c r="CA104" i="57"/>
  <c r="CA107" i="57"/>
  <c r="CA112" i="57"/>
  <c r="CA111" i="57"/>
  <c r="CA110" i="57"/>
  <c r="CA117" i="57"/>
  <c r="CA113" i="57"/>
  <c r="CA118" i="57"/>
  <c r="CA116" i="57"/>
  <c r="CA121" i="57"/>
  <c r="CA120" i="57"/>
  <c r="CA114" i="57"/>
  <c r="CA115" i="57"/>
  <c r="CA123" i="57"/>
  <c r="CA119" i="57"/>
  <c r="CA124" i="57"/>
  <c r="CA130" i="57"/>
  <c r="CA122" i="57"/>
  <c r="CA127" i="57"/>
  <c r="CA126" i="57"/>
  <c r="CA129" i="57"/>
  <c r="CA133" i="57"/>
  <c r="CA128" i="57"/>
  <c r="CA132" i="57"/>
  <c r="CA125" i="57"/>
  <c r="CA131" i="57"/>
  <c r="CA135" i="57"/>
  <c r="CA136" i="57"/>
  <c r="CA137" i="57"/>
  <c r="CA138" i="57"/>
  <c r="CA134" i="57"/>
  <c r="CA139" i="57"/>
  <c r="CA141" i="57"/>
  <c r="CA142" i="57"/>
  <c r="CA143" i="57"/>
  <c r="CA144" i="57"/>
  <c r="CA140" i="57"/>
  <c r="CA145" i="57"/>
  <c r="CA149" i="57"/>
  <c r="CA146" i="57"/>
  <c r="CA147" i="57"/>
  <c r="CA148" i="57"/>
  <c r="CA150" i="57"/>
  <c r="CA153" i="57"/>
  <c r="CA154" i="57"/>
  <c r="CA152" i="57"/>
  <c r="CA151" i="57"/>
  <c r="CA155" i="57"/>
  <c r="CA156" i="57"/>
  <c r="CA159" i="57"/>
  <c r="CA157" i="57"/>
  <c r="CA160" i="57"/>
  <c r="CA163" i="57"/>
  <c r="CA162" i="57"/>
  <c r="CA165" i="57"/>
  <c r="CA158" i="57"/>
  <c r="CA166" i="57"/>
  <c r="CA161" i="57"/>
  <c r="CA168" i="57"/>
  <c r="CA169" i="57"/>
  <c r="CA175" i="57"/>
  <c r="CA174" i="57"/>
  <c r="CA172" i="57"/>
  <c r="CA164" i="57"/>
  <c r="CA171" i="57"/>
  <c r="CA178" i="57"/>
  <c r="CA167" i="57"/>
  <c r="CA177" i="57"/>
  <c r="CA173" i="57"/>
  <c r="CA181" i="57"/>
  <c r="CA183" i="57"/>
  <c r="CA180" i="57"/>
  <c r="CA184" i="57"/>
  <c r="CA170" i="57"/>
  <c r="CA189" i="57"/>
  <c r="CA186" i="57"/>
  <c r="CA187" i="57"/>
  <c r="CA176" i="57"/>
  <c r="CA190" i="57"/>
  <c r="CA193" i="57"/>
  <c r="CA192" i="57"/>
  <c r="CA179" i="57"/>
  <c r="CA196" i="57"/>
  <c r="CA195" i="57"/>
  <c r="CA198" i="57"/>
  <c r="CA199" i="57"/>
  <c r="CA202" i="57"/>
  <c r="CA201" i="57"/>
  <c r="CA185" i="57"/>
  <c r="CA182" i="57"/>
  <c r="CA205" i="57"/>
  <c r="CA204" i="57"/>
  <c r="CA207" i="57"/>
  <c r="CA208" i="57"/>
  <c r="CA188" i="57"/>
  <c r="CA191" i="57"/>
  <c r="CA214" i="57"/>
  <c r="CA213" i="57"/>
  <c r="CA210" i="57"/>
  <c r="CA211" i="57"/>
  <c r="CA216" i="57"/>
  <c r="CA220" i="57"/>
  <c r="CA194" i="57"/>
  <c r="CA217" i="57"/>
  <c r="CA219" i="57"/>
  <c r="CA197" i="57"/>
  <c r="CA203" i="57"/>
  <c r="CA223" i="57"/>
  <c r="CA226" i="57"/>
  <c r="CA222" i="57"/>
  <c r="CA225" i="57"/>
  <c r="CA200" i="57"/>
  <c r="CA228" i="57"/>
  <c r="CA229" i="57"/>
  <c r="CA206" i="57"/>
  <c r="CA209" i="57"/>
  <c r="CA212" i="57"/>
  <c r="CA232" i="57"/>
  <c r="CA231" i="57"/>
  <c r="CA234" i="57"/>
  <c r="CA235" i="57"/>
  <c r="CA215" i="57"/>
  <c r="CA240" i="57"/>
  <c r="CA237" i="57"/>
  <c r="CA218" i="57"/>
  <c r="CA241" i="57"/>
  <c r="CA238" i="57"/>
  <c r="CA221" i="57"/>
  <c r="CA224" i="57"/>
  <c r="CA244" i="57"/>
  <c r="CA243" i="57"/>
  <c r="CA246" i="57"/>
  <c r="CA227" i="57"/>
  <c r="CA247" i="57"/>
  <c r="CA233" i="57"/>
  <c r="CA230" i="57"/>
  <c r="CA250" i="57"/>
  <c r="CA249" i="57"/>
  <c r="CA253" i="57"/>
  <c r="CA252" i="57"/>
  <c r="CA239" i="57"/>
  <c r="CA255" i="57"/>
  <c r="CA258" i="57"/>
  <c r="CA236" i="57"/>
  <c r="CA256" i="57"/>
  <c r="CA259" i="57"/>
  <c r="CA262" i="57"/>
  <c r="CA242" i="57"/>
  <c r="CA261" i="57"/>
  <c r="CA264" i="57"/>
  <c r="CA245" i="57"/>
  <c r="CA265" i="57"/>
  <c r="CA268" i="57"/>
  <c r="CA248" i="57"/>
  <c r="CA267" i="57"/>
  <c r="CA273" i="57"/>
  <c r="CA270" i="57"/>
  <c r="CA251" i="57"/>
  <c r="CA271" i="57"/>
  <c r="CA274" i="57"/>
  <c r="CA279" i="57"/>
  <c r="CA280" i="57"/>
  <c r="CA277" i="57"/>
  <c r="CA276" i="57"/>
  <c r="CA254" i="57"/>
  <c r="CA257" i="57"/>
  <c r="CA260" i="57"/>
  <c r="CA282" i="57"/>
  <c r="CA285" i="57"/>
  <c r="CA283" i="57"/>
  <c r="CA286" i="57"/>
  <c r="CA263" i="57"/>
  <c r="CA291" i="57"/>
  <c r="CA292" i="57"/>
  <c r="CA288" i="57"/>
  <c r="CA289" i="57"/>
  <c r="CA266" i="57"/>
  <c r="CA295" i="57"/>
  <c r="CA294" i="57"/>
  <c r="CA272" i="57"/>
  <c r="CA269" i="57"/>
  <c r="CA297" i="57"/>
  <c r="CA298" i="57"/>
  <c r="CA300" i="57"/>
  <c r="CA301" i="57"/>
  <c r="CA307" i="57"/>
  <c r="CA304" i="57"/>
  <c r="CA275" i="57"/>
  <c r="CA303" i="57"/>
  <c r="CA306" i="57"/>
  <c r="CA278" i="57"/>
  <c r="CA309" i="57"/>
  <c r="CA281" i="57"/>
  <c r="CA310" i="57"/>
  <c r="CA284" i="57"/>
  <c r="CA312" i="57"/>
  <c r="CA316" i="57"/>
  <c r="CA313" i="57"/>
  <c r="CA315" i="57"/>
  <c r="CA318" i="57"/>
  <c r="CA290" i="57"/>
  <c r="CA321" i="57"/>
  <c r="CA287" i="57"/>
  <c r="CA322" i="57"/>
  <c r="CA319" i="57"/>
  <c r="CA324" i="57"/>
  <c r="CA325" i="57"/>
  <c r="CA293" i="57"/>
  <c r="CA328" i="57"/>
  <c r="CA327" i="57"/>
  <c r="CA296" i="57"/>
  <c r="CA331" i="57"/>
  <c r="CA330" i="57"/>
  <c r="CA299" i="57"/>
  <c r="CA337" i="57"/>
  <c r="CA334" i="57"/>
  <c r="CA308" i="57"/>
  <c r="CA302" i="57"/>
  <c r="CA333" i="57"/>
  <c r="CA305" i="57"/>
  <c r="CA336" i="57"/>
  <c r="CA343" i="57"/>
  <c r="CA342" i="57"/>
  <c r="CA339" i="57"/>
  <c r="CA311" i="57"/>
  <c r="CA340" i="57"/>
  <c r="CA317" i="57"/>
  <c r="CA314" i="57"/>
  <c r="CA348" i="57"/>
  <c r="CA349" i="57"/>
  <c r="CA346" i="57"/>
  <c r="CA345" i="57"/>
  <c r="CA320" i="57"/>
  <c r="CA354" i="57"/>
  <c r="CA355" i="57"/>
  <c r="CA352" i="57"/>
  <c r="CA351" i="57"/>
  <c r="CA323" i="57"/>
  <c r="CA357" i="57"/>
  <c r="CA358" i="57"/>
  <c r="CA326" i="57"/>
  <c r="CA361" i="57"/>
  <c r="CA364" i="57"/>
  <c r="CA332" i="57"/>
  <c r="CA363" i="57"/>
  <c r="CA329" i="57"/>
  <c r="CA360" i="57"/>
  <c r="CA369" i="57"/>
  <c r="CA370" i="57"/>
  <c r="CA366" i="57"/>
  <c r="CA338" i="57"/>
  <c r="CA367" i="57"/>
  <c r="CA335" i="57"/>
  <c r="CA372" i="57"/>
  <c r="CA341" i="57"/>
  <c r="CA373" i="57"/>
  <c r="CA344" i="57"/>
  <c r="CA375" i="57"/>
  <c r="CA376" i="57"/>
  <c r="CA347" i="57"/>
  <c r="CA350" i="57"/>
  <c r="CA378" i="57"/>
  <c r="CA379" i="57"/>
  <c r="CA353" i="57"/>
  <c r="CA381" i="57"/>
  <c r="CA356" i="57"/>
  <c r="CA382" i="57"/>
  <c r="CA359" i="57"/>
  <c r="CA385" i="57"/>
  <c r="CA384" i="57"/>
  <c r="CA387" i="57"/>
  <c r="CA388" i="57"/>
  <c r="CA362" i="57"/>
  <c r="CA365" i="57"/>
  <c r="CA390" i="57"/>
  <c r="CA368" i="57"/>
  <c r="CA391" i="57"/>
  <c r="CA371" i="57"/>
  <c r="CA394" i="57"/>
  <c r="CA393" i="57"/>
  <c r="CA397" i="57"/>
  <c r="CA399" i="57"/>
  <c r="CA396" i="57"/>
  <c r="CA400" i="57"/>
  <c r="CA374" i="57"/>
  <c r="CA377" i="57"/>
  <c r="CA403" i="57"/>
  <c r="CA380" i="57"/>
  <c r="CA402" i="57"/>
  <c r="CA405" i="57"/>
  <c r="CA383" i="57"/>
  <c r="CA406" i="57"/>
  <c r="CA389" i="57"/>
  <c r="CA386" i="57"/>
  <c r="CA409" i="57"/>
  <c r="CA392" i="57"/>
  <c r="CA408" i="57"/>
  <c r="CA411" i="57"/>
  <c r="CA412" i="57"/>
  <c r="CA417" i="57"/>
  <c r="CA418" i="57"/>
  <c r="CA414" i="57"/>
  <c r="CA415" i="57"/>
  <c r="CA395" i="57"/>
  <c r="CA420" i="57"/>
  <c r="CA421" i="57"/>
  <c r="CA404" i="57"/>
  <c r="CA401" i="57"/>
  <c r="CA398" i="57"/>
  <c r="CA426" i="57"/>
  <c r="CA427" i="57"/>
  <c r="CA407" i="57"/>
  <c r="CA424" i="57"/>
  <c r="CA423" i="57"/>
  <c r="CA429" i="57"/>
  <c r="CA430" i="57"/>
  <c r="CA410" i="57"/>
  <c r="CA432" i="57"/>
  <c r="CA433" i="57"/>
  <c r="CA413" i="57"/>
  <c r="BD419" i="57"/>
  <c r="BE419" i="57"/>
  <c r="BP401" i="57"/>
  <c r="DP401" i="57"/>
  <c r="DD401" i="57"/>
  <c r="BQ401" i="57"/>
  <c r="BA398" i="57"/>
  <c r="BB398" i="57"/>
  <c r="BF422" i="57"/>
  <c r="BG422" i="57"/>
  <c r="AB404" i="57"/>
  <c r="BL401" i="57"/>
  <c r="DL401" i="57"/>
  <c r="CZ401" i="57"/>
  <c r="CM401" i="57"/>
  <c r="BM401" i="57"/>
  <c r="BF419" i="57"/>
  <c r="BG419" i="57"/>
  <c r="U437" i="57"/>
  <c r="CA435" i="57"/>
  <c r="CA419" i="57"/>
  <c r="BC419" i="57"/>
  <c r="BO428" i="57"/>
  <c r="K455" i="57"/>
  <c r="K456" i="57" s="1"/>
  <c r="K14" i="57"/>
  <c r="K17" i="57" s="1"/>
  <c r="K22" i="57" s="1"/>
  <c r="DO431" i="57"/>
  <c r="BO431" i="57"/>
  <c r="DC431" i="57"/>
  <c r="Q404" i="57"/>
  <c r="BA401" i="57"/>
  <c r="BB401" i="57"/>
  <c r="X443" i="57"/>
  <c r="DK440" i="57"/>
  <c r="Z413" i="57"/>
  <c r="BJ410" i="57"/>
  <c r="DJ410" i="57"/>
  <c r="CX410" i="57"/>
  <c r="BK410" i="57"/>
  <c r="DP404" i="57"/>
  <c r="BP404" i="57"/>
  <c r="DD404" i="57"/>
  <c r="BQ404" i="57"/>
  <c r="DM437" i="57"/>
  <c r="CW422" i="57"/>
  <c r="BI422" i="57"/>
  <c r="AQ438" i="57"/>
  <c r="AP438" i="57"/>
  <c r="BO438" i="57"/>
  <c r="DB438" i="57"/>
  <c r="AF407" i="57"/>
  <c r="DD430" i="57"/>
  <c r="BP430" i="57"/>
  <c r="BQ430" i="57"/>
  <c r="DP430" i="57"/>
  <c r="BC435" i="57"/>
  <c r="BD435" i="57"/>
  <c r="AS429" i="57"/>
  <c r="BQ429" i="57"/>
  <c r="BP429" i="57"/>
  <c r="DP429" i="57"/>
  <c r="DD429" i="57"/>
  <c r="AR429" i="57"/>
  <c r="S422" i="57"/>
  <c r="DN438" i="57"/>
  <c r="AD431" i="57"/>
  <c r="T422" i="57"/>
  <c r="BE435" i="57"/>
  <c r="BA430" i="57"/>
  <c r="BB430" i="57"/>
  <c r="BF436" i="57"/>
  <c r="BG436" i="57"/>
  <c r="DQ442" i="57"/>
  <c r="AG443" i="57"/>
  <c r="AG13" i="57" s="1"/>
  <c r="DM442" i="57"/>
  <c r="DJ433" i="57"/>
  <c r="BJ433" i="57"/>
  <c r="CX433" i="57"/>
  <c r="BK433" i="57"/>
  <c r="O440" i="57"/>
  <c r="O443" i="57" s="1"/>
  <c r="O13" i="57" s="1"/>
  <c r="AC443" i="57"/>
  <c r="AC13" i="57" s="1"/>
  <c r="CO428" i="57" s="1"/>
  <c r="BL429" i="57"/>
  <c r="CZ429" i="57"/>
  <c r="DL429" i="57"/>
  <c r="AN429" i="57"/>
  <c r="AB407" i="57"/>
  <c r="CM429" i="57"/>
  <c r="BM429" i="57"/>
  <c r="AO429" i="57"/>
  <c r="U440" i="57"/>
  <c r="U443" i="57" s="1"/>
  <c r="U13" i="57" s="1"/>
  <c r="CG422" i="57" s="1"/>
  <c r="BJ432" i="57"/>
  <c r="DJ432" i="57"/>
  <c r="CX432" i="57"/>
  <c r="AL432" i="57"/>
  <c r="Z416" i="57"/>
  <c r="BK432" i="57"/>
  <c r="AM432" i="57"/>
  <c r="DB439" i="57"/>
  <c r="BC436" i="57"/>
  <c r="AE437" i="57"/>
  <c r="BA429" i="57"/>
  <c r="Q407" i="57"/>
  <c r="BB407" i="57" s="1"/>
  <c r="BB429" i="57"/>
  <c r="CY439" i="57"/>
  <c r="DE439" i="57"/>
  <c r="BH439" i="57"/>
  <c r="DA439" i="57"/>
  <c r="BL430" i="57"/>
  <c r="DL430" i="57"/>
  <c r="CZ430" i="57"/>
  <c r="CM430" i="57"/>
  <c r="BM430" i="57"/>
  <c r="DC439" i="57"/>
  <c r="AZ435" i="57"/>
  <c r="P425" i="57"/>
  <c r="AZ425" i="57" s="1"/>
  <c r="Y428" i="57"/>
  <c r="W434" i="57"/>
  <c r="L419" i="57"/>
  <c r="L422" i="57" s="1"/>
  <c r="AZ436" i="57"/>
  <c r="DK442" i="57"/>
  <c r="AD434" i="57"/>
  <c r="V425" i="57"/>
  <c r="N422" i="57"/>
  <c r="N425" i="57" s="1"/>
  <c r="J95" i="98"/>
  <c r="J99" i="98"/>
  <c r="T61" i="108"/>
  <c r="X192" i="44"/>
  <c r="X232" i="44"/>
  <c r="X241" i="44"/>
  <c r="O455" i="57" l="1"/>
  <c r="O456" i="57" s="1"/>
  <c r="O14" i="57"/>
  <c r="O17" i="57" s="1"/>
  <c r="O22" i="57" s="1"/>
  <c r="CD433" i="57"/>
  <c r="CD77" i="57"/>
  <c r="CD80" i="57"/>
  <c r="CD97" i="57"/>
  <c r="CD71" i="57"/>
  <c r="CD95" i="57"/>
  <c r="CD96" i="57"/>
  <c r="CD88" i="57"/>
  <c r="CD81" i="57"/>
  <c r="CD70" i="57"/>
  <c r="CD93" i="57"/>
  <c r="CD82" i="57"/>
  <c r="CD75" i="57"/>
  <c r="CD100" i="57"/>
  <c r="CD99" i="57"/>
  <c r="CD85" i="57"/>
  <c r="CD72" i="57"/>
  <c r="CD69" i="57"/>
  <c r="CD84" i="57"/>
  <c r="CD83" i="57"/>
  <c r="CD76" i="57"/>
  <c r="CD91" i="57"/>
  <c r="CD92" i="57"/>
  <c r="CD78" i="57"/>
  <c r="CD102" i="57"/>
  <c r="CD74" i="57"/>
  <c r="CD89" i="57"/>
  <c r="CD103" i="57"/>
  <c r="CD94" i="57"/>
  <c r="CD87" i="57"/>
  <c r="CD86" i="57"/>
  <c r="CD79" i="57"/>
  <c r="CD98" i="57"/>
  <c r="CD73" i="57"/>
  <c r="CD90" i="57"/>
  <c r="U455" i="57"/>
  <c r="CG73" i="57"/>
  <c r="CG72" i="57"/>
  <c r="CG90" i="57"/>
  <c r="CG95" i="57"/>
  <c r="CG69" i="57"/>
  <c r="CG70" i="57"/>
  <c r="CG81" i="57"/>
  <c r="CG89" i="57"/>
  <c r="CG77" i="57"/>
  <c r="CG98" i="57"/>
  <c r="CG92" i="57"/>
  <c r="CG74" i="57"/>
  <c r="CG94" i="57"/>
  <c r="CG93" i="57"/>
  <c r="CG91" i="57"/>
  <c r="CG85" i="57"/>
  <c r="CG76" i="57"/>
  <c r="CG97" i="57"/>
  <c r="CG102" i="57"/>
  <c r="CG79" i="57"/>
  <c r="CG80" i="57"/>
  <c r="CG71" i="57"/>
  <c r="CG75" i="57"/>
  <c r="CG99" i="57"/>
  <c r="CG88" i="57"/>
  <c r="CG84" i="57"/>
  <c r="CG87" i="57"/>
  <c r="CG78" i="57"/>
  <c r="CG86" i="57"/>
  <c r="CG83" i="57"/>
  <c r="CG96" i="57"/>
  <c r="CG82" i="57"/>
  <c r="CG103" i="57"/>
  <c r="CG100" i="57"/>
  <c r="U14" i="57"/>
  <c r="CD106" i="57"/>
  <c r="CD101" i="57"/>
  <c r="CD105" i="57"/>
  <c r="CD104" i="57"/>
  <c r="CG104" i="57"/>
  <c r="CG106" i="57"/>
  <c r="CG101" i="57"/>
  <c r="CG105" i="57"/>
  <c r="CD109" i="57"/>
  <c r="CD107" i="57"/>
  <c r="CG108" i="57"/>
  <c r="CG109" i="57"/>
  <c r="CG107" i="57"/>
  <c r="CD108" i="57"/>
  <c r="CD111" i="57"/>
  <c r="CD112" i="57"/>
  <c r="CD113" i="57"/>
  <c r="CG112" i="57"/>
  <c r="CD110" i="57"/>
  <c r="CG111" i="57"/>
  <c r="CG113" i="57"/>
  <c r="CG110" i="57"/>
  <c r="CD116" i="57"/>
  <c r="CG116" i="57"/>
  <c r="CD115" i="57"/>
  <c r="CD114" i="57"/>
  <c r="CD118" i="57"/>
  <c r="CD117" i="57"/>
  <c r="CG115" i="57"/>
  <c r="CG118" i="57"/>
  <c r="CG114" i="57"/>
  <c r="CG117" i="57"/>
  <c r="CD124" i="57"/>
  <c r="CD120" i="57"/>
  <c r="CG122" i="57"/>
  <c r="CG123" i="57"/>
  <c r="CG120" i="57"/>
  <c r="CG124" i="57"/>
  <c r="CG121" i="57"/>
  <c r="CD119" i="57"/>
  <c r="CD122" i="57"/>
  <c r="CG119" i="57"/>
  <c r="CD123" i="57"/>
  <c r="CD121" i="57"/>
  <c r="CD130" i="57"/>
  <c r="CG126" i="57"/>
  <c r="CD125" i="57"/>
  <c r="CG127" i="57"/>
  <c r="CG125" i="57"/>
  <c r="CG130" i="57"/>
  <c r="CG129" i="57"/>
  <c r="CD126" i="57"/>
  <c r="CD127" i="57"/>
  <c r="CD129" i="57"/>
  <c r="CG132" i="57"/>
  <c r="CG135" i="57"/>
  <c r="CG133" i="57"/>
  <c r="CD135" i="57"/>
  <c r="CD133" i="57"/>
  <c r="CD136" i="57"/>
  <c r="CD132" i="57"/>
  <c r="CD128" i="57"/>
  <c r="CG128" i="57"/>
  <c r="CG136" i="57"/>
  <c r="CG139" i="57"/>
  <c r="CG134" i="57"/>
  <c r="CD131" i="57"/>
  <c r="CD138" i="57"/>
  <c r="CD139" i="57"/>
  <c r="CG131" i="57"/>
  <c r="CG138" i="57"/>
  <c r="CD134" i="57"/>
  <c r="CD144" i="57"/>
  <c r="CG142" i="57"/>
  <c r="CG137" i="57"/>
  <c r="CD145" i="57"/>
  <c r="CG141" i="57"/>
  <c r="CG144" i="57"/>
  <c r="CD141" i="57"/>
  <c r="CG145" i="57"/>
  <c r="CD142" i="57"/>
  <c r="CD137" i="57"/>
  <c r="CG147" i="57"/>
  <c r="CG148" i="57"/>
  <c r="CD151" i="57"/>
  <c r="CD140" i="57"/>
  <c r="CD150" i="57"/>
  <c r="CD147" i="57"/>
  <c r="CD143" i="57"/>
  <c r="CG151" i="57"/>
  <c r="CG140" i="57"/>
  <c r="CD148" i="57"/>
  <c r="CG150" i="57"/>
  <c r="CG143" i="57"/>
  <c r="CD153" i="57"/>
  <c r="CD154" i="57"/>
  <c r="CD157" i="57"/>
  <c r="CD146" i="57"/>
  <c r="CG153" i="57"/>
  <c r="CD156" i="57"/>
  <c r="CG154" i="57"/>
  <c r="CG146" i="57"/>
  <c r="CG157" i="57"/>
  <c r="CG156" i="57"/>
  <c r="CG162" i="57"/>
  <c r="CG149" i="57"/>
  <c r="CG160" i="57"/>
  <c r="CG163" i="57"/>
  <c r="CG159" i="57"/>
  <c r="CD152" i="57"/>
  <c r="CD163" i="57"/>
  <c r="CG152" i="57"/>
  <c r="CD149" i="57"/>
  <c r="CD160" i="57"/>
  <c r="CD162" i="57"/>
  <c r="CD159" i="57"/>
  <c r="CG155" i="57"/>
  <c r="CG165" i="57"/>
  <c r="CD166" i="57"/>
  <c r="CD165" i="57"/>
  <c r="CD155" i="57"/>
  <c r="CG166" i="57"/>
  <c r="CD158" i="57"/>
  <c r="CG168" i="57"/>
  <c r="CD161" i="57"/>
  <c r="CG169" i="57"/>
  <c r="CG158" i="57"/>
  <c r="CG161" i="57"/>
  <c r="CD169" i="57"/>
  <c r="CD168" i="57"/>
  <c r="CD164" i="57"/>
  <c r="CD172" i="57"/>
  <c r="CD171" i="57"/>
  <c r="CG164" i="57"/>
  <c r="CG171" i="57"/>
  <c r="CG172" i="57"/>
  <c r="CD175" i="57"/>
  <c r="CD167" i="57"/>
  <c r="CD177" i="57"/>
  <c r="CD174" i="57"/>
  <c r="CG167" i="57"/>
  <c r="CD178" i="57"/>
  <c r="CG174" i="57"/>
  <c r="CG178" i="57"/>
  <c r="CG175" i="57"/>
  <c r="CG177" i="57"/>
  <c r="CG180" i="57"/>
  <c r="CD170" i="57"/>
  <c r="CD173" i="57"/>
  <c r="CG173" i="57"/>
  <c r="CG170" i="57"/>
  <c r="CD180" i="57"/>
  <c r="CD181" i="57"/>
  <c r="CG181" i="57"/>
  <c r="CD179" i="57"/>
  <c r="CD186" i="57"/>
  <c r="CG183" i="57"/>
  <c r="CG179" i="57"/>
  <c r="CG184" i="57"/>
  <c r="CD187" i="57"/>
  <c r="CD176" i="57"/>
  <c r="CG186" i="57"/>
  <c r="CG187" i="57"/>
  <c r="CG176" i="57"/>
  <c r="CD184" i="57"/>
  <c r="CD183" i="57"/>
  <c r="CD189" i="57"/>
  <c r="CD182" i="57"/>
  <c r="CG190" i="57"/>
  <c r="CG189" i="57"/>
  <c r="CG182" i="57"/>
  <c r="CD190" i="57"/>
  <c r="CG193" i="57"/>
  <c r="CD185" i="57"/>
  <c r="CD196" i="57"/>
  <c r="CG195" i="57"/>
  <c r="CG185" i="57"/>
  <c r="CG196" i="57"/>
  <c r="CD192" i="57"/>
  <c r="CD193" i="57"/>
  <c r="CG192" i="57"/>
  <c r="CD195" i="57"/>
  <c r="CG188" i="57"/>
  <c r="CD199" i="57"/>
  <c r="CD191" i="57"/>
  <c r="CD198" i="57"/>
  <c r="CG199" i="57"/>
  <c r="CG191" i="57"/>
  <c r="CD188" i="57"/>
  <c r="CG198" i="57"/>
  <c r="CG194" i="57"/>
  <c r="CG205" i="57"/>
  <c r="CD202" i="57"/>
  <c r="CD201" i="57"/>
  <c r="CD204" i="57"/>
  <c r="CG201" i="57"/>
  <c r="CD205" i="57"/>
  <c r="CG202" i="57"/>
  <c r="CD194" i="57"/>
  <c r="CG204" i="57"/>
  <c r="CD210" i="57"/>
  <c r="CD208" i="57"/>
  <c r="CD211" i="57"/>
  <c r="CD200" i="57"/>
  <c r="CG211" i="57"/>
  <c r="CG197" i="57"/>
  <c r="CG207" i="57"/>
  <c r="CG200" i="57"/>
  <c r="CG210" i="57"/>
  <c r="CG208" i="57"/>
  <c r="CD197" i="57"/>
  <c r="CD207" i="57"/>
  <c r="CG203" i="57"/>
  <c r="CD213" i="57"/>
  <c r="CD214" i="57"/>
  <c r="CD203" i="57"/>
  <c r="CG213" i="57"/>
  <c r="CG214" i="57"/>
  <c r="CD206" i="57"/>
  <c r="CG219" i="57"/>
  <c r="CD217" i="57"/>
  <c r="CG220" i="57"/>
  <c r="CD216" i="57"/>
  <c r="CG206" i="57"/>
  <c r="CG216" i="57"/>
  <c r="CG217" i="57"/>
  <c r="CD219" i="57"/>
  <c r="CD220" i="57"/>
  <c r="CG209" i="57"/>
  <c r="CG222" i="57"/>
  <c r="CG223" i="57"/>
  <c r="CD226" i="57"/>
  <c r="CD225" i="57"/>
  <c r="CD222" i="57"/>
  <c r="CG226" i="57"/>
  <c r="CD209" i="57"/>
  <c r="CD223" i="57"/>
  <c r="CG225" i="57"/>
  <c r="CD228" i="57"/>
  <c r="CG215" i="57"/>
  <c r="CD212" i="57"/>
  <c r="CD229" i="57"/>
  <c r="CD231" i="57"/>
  <c r="CD232" i="57"/>
  <c r="CG212" i="57"/>
  <c r="CG228" i="57"/>
  <c r="CG229" i="57"/>
  <c r="CG232" i="57"/>
  <c r="CD215" i="57"/>
  <c r="CG231" i="57"/>
  <c r="CD235" i="57"/>
  <c r="CD234" i="57"/>
  <c r="CG218" i="57"/>
  <c r="CG235" i="57"/>
  <c r="CG234" i="57"/>
  <c r="CD218" i="57"/>
  <c r="CG237" i="57"/>
  <c r="CG238" i="57"/>
  <c r="CD237" i="57"/>
  <c r="CD221" i="57"/>
  <c r="CG221" i="57"/>
  <c r="CD238" i="57"/>
  <c r="CG241" i="57"/>
  <c r="CD227" i="57"/>
  <c r="CD224" i="57"/>
  <c r="CD240" i="57"/>
  <c r="CG224" i="57"/>
  <c r="CD241" i="57"/>
  <c r="CG227" i="57"/>
  <c r="CG240" i="57"/>
  <c r="CG230" i="57"/>
  <c r="CD244" i="57"/>
  <c r="CD243" i="57"/>
  <c r="CG243" i="57"/>
  <c r="CD230" i="57"/>
  <c r="CG244" i="57"/>
  <c r="CG247" i="57"/>
  <c r="CD233" i="57"/>
  <c r="CG233" i="57"/>
  <c r="CD246" i="57"/>
  <c r="CD247" i="57"/>
  <c r="CG246" i="57"/>
  <c r="CG239" i="57"/>
  <c r="CG249" i="57"/>
  <c r="CG236" i="57"/>
  <c r="CG252" i="57"/>
  <c r="CG250" i="57"/>
  <c r="CG253" i="57"/>
  <c r="CD249" i="57"/>
  <c r="CD239" i="57"/>
  <c r="CD252" i="57"/>
  <c r="CD250" i="57"/>
  <c r="CD236" i="57"/>
  <c r="CD253" i="57"/>
  <c r="CD262" i="57"/>
  <c r="CG259" i="57"/>
  <c r="CD261" i="57"/>
  <c r="CD242" i="57"/>
  <c r="CG261" i="57"/>
  <c r="CD256" i="57"/>
  <c r="CG262" i="57"/>
  <c r="CD255" i="57"/>
  <c r="CD245" i="57"/>
  <c r="CG242" i="57"/>
  <c r="CD248" i="57"/>
  <c r="CD259" i="57"/>
  <c r="CG245" i="57"/>
  <c r="CG255" i="57"/>
  <c r="CG248" i="57"/>
  <c r="CD258" i="57"/>
  <c r="CG256" i="57"/>
  <c r="CG258" i="57"/>
  <c r="CD251" i="57"/>
  <c r="CG251" i="57"/>
  <c r="CD265" i="57"/>
  <c r="CD264" i="57"/>
  <c r="CG264" i="57"/>
  <c r="CG265" i="57"/>
  <c r="CG267" i="57"/>
  <c r="CD271" i="57"/>
  <c r="CD254" i="57"/>
  <c r="CG270" i="57"/>
  <c r="CD268" i="57"/>
  <c r="CG271" i="57"/>
  <c r="CD267" i="57"/>
  <c r="CG254" i="57"/>
  <c r="CG268" i="57"/>
  <c r="CD270" i="57"/>
  <c r="CG260" i="57"/>
  <c r="CD273" i="57"/>
  <c r="CD257" i="57"/>
  <c r="CD274" i="57"/>
  <c r="CG273" i="57"/>
  <c r="CG257" i="57"/>
  <c r="CD260" i="57"/>
  <c r="CG274" i="57"/>
  <c r="CG276" i="57"/>
  <c r="CG277" i="57"/>
  <c r="CD263" i="57"/>
  <c r="CG263" i="57"/>
  <c r="CD277" i="57"/>
  <c r="CD276" i="57"/>
  <c r="CD279" i="57"/>
  <c r="CD280" i="57"/>
  <c r="CG266" i="57"/>
  <c r="CG279" i="57"/>
  <c r="CG280" i="57"/>
  <c r="CD266" i="57"/>
  <c r="CG269" i="57"/>
  <c r="CG285" i="57"/>
  <c r="CG283" i="57"/>
  <c r="CG272" i="57"/>
  <c r="CG286" i="57"/>
  <c r="CD282" i="57"/>
  <c r="CD286" i="57"/>
  <c r="CD269" i="57"/>
  <c r="CD283" i="57"/>
  <c r="CD272" i="57"/>
  <c r="CD285" i="57"/>
  <c r="CG282" i="57"/>
  <c r="CD292" i="57"/>
  <c r="CD289" i="57"/>
  <c r="CD291" i="57"/>
  <c r="CD275" i="57"/>
  <c r="CD288" i="57"/>
  <c r="CG275" i="57"/>
  <c r="CG291" i="57"/>
  <c r="CG289" i="57"/>
  <c r="CG292" i="57"/>
  <c r="CG288" i="57"/>
  <c r="CG281" i="57"/>
  <c r="CG295" i="57"/>
  <c r="CG278" i="57"/>
  <c r="CG294" i="57"/>
  <c r="CD281" i="57"/>
  <c r="CD295" i="57"/>
  <c r="CD278" i="57"/>
  <c r="CD294" i="57"/>
  <c r="CG300" i="57"/>
  <c r="CG284" i="57"/>
  <c r="CG301" i="57"/>
  <c r="CD297" i="57"/>
  <c r="CD298" i="57"/>
  <c r="CD301" i="57"/>
  <c r="CG298" i="57"/>
  <c r="CD284" i="57"/>
  <c r="CD300" i="57"/>
  <c r="CG297" i="57"/>
  <c r="CD287" i="57"/>
  <c r="CG304" i="57"/>
  <c r="CG306" i="57"/>
  <c r="CD290" i="57"/>
  <c r="CG303" i="57"/>
  <c r="CG307" i="57"/>
  <c r="CG290" i="57"/>
  <c r="CG287" i="57"/>
  <c r="CD303" i="57"/>
  <c r="CD306" i="57"/>
  <c r="CD304" i="57"/>
  <c r="CD307" i="57"/>
  <c r="CD312" i="57"/>
  <c r="CD309" i="57"/>
  <c r="CD293" i="57"/>
  <c r="CD313" i="57"/>
  <c r="CD310" i="57"/>
  <c r="CG293" i="57"/>
  <c r="CG313" i="57"/>
  <c r="CG309" i="57"/>
  <c r="CG312" i="57"/>
  <c r="CG310" i="57"/>
  <c r="CD318" i="57"/>
  <c r="CG296" i="57"/>
  <c r="CG315" i="57"/>
  <c r="CG319" i="57"/>
  <c r="CG316" i="57"/>
  <c r="CG318" i="57"/>
  <c r="CD315" i="57"/>
  <c r="CD296" i="57"/>
  <c r="CD319" i="57"/>
  <c r="CD316" i="57"/>
  <c r="CG321" i="57"/>
  <c r="CG322" i="57"/>
  <c r="CD299" i="57"/>
  <c r="CD321" i="57"/>
  <c r="CD302" i="57"/>
  <c r="CD322" i="57"/>
  <c r="CG302" i="57"/>
  <c r="CG299" i="57"/>
  <c r="CD324" i="57"/>
  <c r="CD327" i="57"/>
  <c r="CD305" i="57"/>
  <c r="CD325" i="57"/>
  <c r="CD328" i="57"/>
  <c r="CG305" i="57"/>
  <c r="CG325" i="57"/>
  <c r="CG327" i="57"/>
  <c r="CG324" i="57"/>
  <c r="CG328" i="57"/>
  <c r="CG334" i="57"/>
  <c r="CD331" i="57"/>
  <c r="CG308" i="57"/>
  <c r="CD311" i="57"/>
  <c r="CD333" i="57"/>
  <c r="CG330" i="57"/>
  <c r="CG311" i="57"/>
  <c r="CG331" i="57"/>
  <c r="CG333" i="57"/>
  <c r="CD330" i="57"/>
  <c r="CD334" i="57"/>
  <c r="CD308" i="57"/>
  <c r="CD314" i="57"/>
  <c r="CG340" i="57"/>
  <c r="CG337" i="57"/>
  <c r="CG314" i="57"/>
  <c r="CG339" i="57"/>
  <c r="CD339" i="57"/>
  <c r="CG336" i="57"/>
  <c r="CD317" i="57"/>
  <c r="CD336" i="57"/>
  <c r="CD337" i="57"/>
  <c r="CG317" i="57"/>
  <c r="CD340" i="57"/>
  <c r="CG320" i="57"/>
  <c r="CG343" i="57"/>
  <c r="CD343" i="57"/>
  <c r="CD346" i="57"/>
  <c r="CG346" i="57"/>
  <c r="CD342" i="57"/>
  <c r="CG342" i="57"/>
  <c r="CD345" i="57"/>
  <c r="CD320" i="57"/>
  <c r="CG345" i="57"/>
  <c r="CG326" i="57"/>
  <c r="CG349" i="57"/>
  <c r="CG323" i="57"/>
  <c r="CD348" i="57"/>
  <c r="CD326" i="57"/>
  <c r="CG348" i="57"/>
  <c r="CD323" i="57"/>
  <c r="CD349" i="57"/>
  <c r="CD351" i="57"/>
  <c r="CD354" i="57"/>
  <c r="CD329" i="57"/>
  <c r="CG352" i="57"/>
  <c r="CG354" i="57"/>
  <c r="CG351" i="57"/>
  <c r="CD355" i="57"/>
  <c r="CG329" i="57"/>
  <c r="CG355" i="57"/>
  <c r="CD352" i="57"/>
  <c r="CG332" i="57"/>
  <c r="CG360" i="57"/>
  <c r="CG358" i="57"/>
  <c r="CD360" i="57"/>
  <c r="CD358" i="57"/>
  <c r="CD335" i="57"/>
  <c r="CD361" i="57"/>
  <c r="CG361" i="57"/>
  <c r="CD357" i="57"/>
  <c r="CD332" i="57"/>
  <c r="CG335" i="57"/>
  <c r="CG357" i="57"/>
  <c r="CD363" i="57"/>
  <c r="CG366" i="57"/>
  <c r="CD338" i="57"/>
  <c r="CG363" i="57"/>
  <c r="CG338" i="57"/>
  <c r="CG341" i="57"/>
  <c r="CD366" i="57"/>
  <c r="CD364" i="57"/>
  <c r="CG364" i="57"/>
  <c r="CD367" i="57"/>
  <c r="CG367" i="57"/>
  <c r="CD341" i="57"/>
  <c r="CG370" i="57"/>
  <c r="CD369" i="57"/>
  <c r="CD344" i="57"/>
  <c r="CG369" i="57"/>
  <c r="CG344" i="57"/>
  <c r="CD370" i="57"/>
  <c r="CG373" i="57"/>
  <c r="CD350" i="57"/>
  <c r="CG350" i="57"/>
  <c r="CG347" i="57"/>
  <c r="CG372" i="57"/>
  <c r="CD372" i="57"/>
  <c r="CD373" i="57"/>
  <c r="CD347" i="57"/>
  <c r="CD353" i="57"/>
  <c r="CD375" i="57"/>
  <c r="CD356" i="57"/>
  <c r="CG353" i="57"/>
  <c r="CG375" i="57"/>
  <c r="CD376" i="57"/>
  <c r="CG356" i="57"/>
  <c r="CG376" i="57"/>
  <c r="CD382" i="57"/>
  <c r="CD359" i="57"/>
  <c r="CG382" i="57"/>
  <c r="CD381" i="57"/>
  <c r="CD378" i="57"/>
  <c r="CG378" i="57"/>
  <c r="CD379" i="57"/>
  <c r="CG379" i="57"/>
  <c r="CG359" i="57"/>
  <c r="CG381" i="57"/>
  <c r="CD385" i="57"/>
  <c r="CG384" i="57"/>
  <c r="CG385" i="57"/>
  <c r="CG362" i="57"/>
  <c r="CD384" i="57"/>
  <c r="CD362" i="57"/>
  <c r="CG387" i="57"/>
  <c r="CD388" i="57"/>
  <c r="CG388" i="57"/>
  <c r="CD387" i="57"/>
  <c r="CG365" i="57"/>
  <c r="CD368" i="57"/>
  <c r="CG391" i="57"/>
  <c r="CG368" i="57"/>
  <c r="CD390" i="57"/>
  <c r="CD365" i="57"/>
  <c r="CG390" i="57"/>
  <c r="CD391" i="57"/>
  <c r="CG393" i="57"/>
  <c r="CG394" i="57"/>
  <c r="CD394" i="57"/>
  <c r="CD374" i="57"/>
  <c r="CD396" i="57"/>
  <c r="CG396" i="57"/>
  <c r="CG397" i="57"/>
  <c r="CD393" i="57"/>
  <c r="CG374" i="57"/>
  <c r="CD371" i="57"/>
  <c r="CD397" i="57"/>
  <c r="CG371" i="57"/>
  <c r="CD380" i="57"/>
  <c r="CG399" i="57"/>
  <c r="CD377" i="57"/>
  <c r="CD399" i="57"/>
  <c r="CG377" i="57"/>
  <c r="CG380" i="57"/>
  <c r="CD400" i="57"/>
  <c r="CG400" i="57"/>
  <c r="CD386" i="57"/>
  <c r="CG386" i="57"/>
  <c r="CG383" i="57"/>
  <c r="CD383" i="57"/>
  <c r="CD402" i="57"/>
  <c r="CG402" i="57"/>
  <c r="CD403" i="57"/>
  <c r="CG403" i="57"/>
  <c r="CD389" i="57"/>
  <c r="CG408" i="57"/>
  <c r="CG389" i="57"/>
  <c r="CG405" i="57"/>
  <c r="CD405" i="57"/>
  <c r="CD408" i="57"/>
  <c r="CD406" i="57"/>
  <c r="CG406" i="57"/>
  <c r="CD409" i="57"/>
  <c r="CG409" i="57"/>
  <c r="CD412" i="57"/>
  <c r="CD414" i="57"/>
  <c r="CG412" i="57"/>
  <c r="CD392" i="57"/>
  <c r="CG414" i="57"/>
  <c r="CG392" i="57"/>
  <c r="CD411" i="57"/>
  <c r="CG411" i="57"/>
  <c r="CG415" i="57"/>
  <c r="CD395" i="57"/>
  <c r="CD415" i="57"/>
  <c r="CG395" i="57"/>
  <c r="CD398" i="57"/>
  <c r="CG398" i="57"/>
  <c r="CG417" i="57"/>
  <c r="CD418" i="57"/>
  <c r="CG418" i="57"/>
  <c r="CD417" i="57"/>
  <c r="CD420" i="57"/>
  <c r="CD404" i="57"/>
  <c r="CG401" i="57"/>
  <c r="CG404" i="57"/>
  <c r="CG420" i="57"/>
  <c r="CD401" i="57"/>
  <c r="CG421" i="57"/>
  <c r="CD421" i="57"/>
  <c r="CD424" i="57"/>
  <c r="CG423" i="57"/>
  <c r="CG407" i="57"/>
  <c r="CG424" i="57"/>
  <c r="CD410" i="57"/>
  <c r="CD407" i="57"/>
  <c r="CG410" i="57"/>
  <c r="CD423" i="57"/>
  <c r="CD426" i="57"/>
  <c r="CG416" i="57"/>
  <c r="CG426" i="57"/>
  <c r="CD430" i="57"/>
  <c r="CG430" i="57"/>
  <c r="CD413" i="57"/>
  <c r="CG413" i="57"/>
  <c r="CD427" i="57"/>
  <c r="CD429" i="57"/>
  <c r="CG427" i="57"/>
  <c r="CG429" i="57"/>
  <c r="CD416" i="57"/>
  <c r="CY434" i="57"/>
  <c r="BH434" i="57"/>
  <c r="DA434" i="57"/>
  <c r="DE434" i="57"/>
  <c r="Z419" i="57"/>
  <c r="BJ416" i="57"/>
  <c r="DJ416" i="57"/>
  <c r="CX416" i="57"/>
  <c r="BK416" i="57"/>
  <c r="CG435" i="57"/>
  <c r="CD435" i="57"/>
  <c r="CG419" i="57"/>
  <c r="CO71" i="57"/>
  <c r="CO76" i="57"/>
  <c r="CO70" i="57"/>
  <c r="CO74" i="57"/>
  <c r="CO77" i="57"/>
  <c r="CO79" i="57"/>
  <c r="CO78" i="57"/>
  <c r="CO75" i="57"/>
  <c r="CO80" i="57"/>
  <c r="AC455" i="57"/>
  <c r="CO73" i="57"/>
  <c r="AC14" i="57"/>
  <c r="CO72" i="57"/>
  <c r="CO69" i="57"/>
  <c r="CO84" i="57"/>
  <c r="CO85" i="57"/>
  <c r="CO81" i="57"/>
  <c r="CO83" i="57"/>
  <c r="CO82" i="57"/>
  <c r="CO90" i="57"/>
  <c r="CO92" i="57"/>
  <c r="CO91" i="57"/>
  <c r="CO86" i="57"/>
  <c r="CO88" i="57"/>
  <c r="CO87" i="57"/>
  <c r="CO89" i="57"/>
  <c r="CO95" i="57"/>
  <c r="CO93" i="57"/>
  <c r="CO94" i="57"/>
  <c r="CO99" i="57"/>
  <c r="CO100" i="57"/>
  <c r="CO97" i="57"/>
  <c r="CO96" i="57"/>
  <c r="CO98" i="57"/>
  <c r="CO101" i="57"/>
  <c r="CO106" i="57"/>
  <c r="CO105" i="57"/>
  <c r="CO103" i="57"/>
  <c r="CO104" i="57"/>
  <c r="CO102" i="57"/>
  <c r="CO109" i="57"/>
  <c r="CO108" i="57"/>
  <c r="CO107" i="57"/>
  <c r="CO110" i="57"/>
  <c r="CO113" i="57"/>
  <c r="CO114" i="57"/>
  <c r="CO111" i="57"/>
  <c r="CO112" i="57"/>
  <c r="CO116" i="57"/>
  <c r="CO115" i="57"/>
  <c r="CO121" i="57"/>
  <c r="CO118" i="57"/>
  <c r="CO120" i="57"/>
  <c r="CO119" i="57"/>
  <c r="CO117" i="57"/>
  <c r="CO122" i="57"/>
  <c r="CO127" i="57"/>
  <c r="CO126" i="57"/>
  <c r="CO124" i="57"/>
  <c r="CO125" i="57"/>
  <c r="CO123" i="57"/>
  <c r="CO133" i="57"/>
  <c r="CO132" i="57"/>
  <c r="CO130" i="57"/>
  <c r="CO131" i="57"/>
  <c r="CO129" i="57"/>
  <c r="CO128" i="57"/>
  <c r="CO134" i="57"/>
  <c r="CO138" i="57"/>
  <c r="CO139" i="57"/>
  <c r="CO136" i="57"/>
  <c r="CO135" i="57"/>
  <c r="CO137" i="57"/>
  <c r="CO143" i="57"/>
  <c r="CO140" i="57"/>
  <c r="CO142" i="57"/>
  <c r="CO145" i="57"/>
  <c r="CO141" i="57"/>
  <c r="CO144" i="57"/>
  <c r="CO149" i="57"/>
  <c r="CO147" i="57"/>
  <c r="CO148" i="57"/>
  <c r="CO151" i="57"/>
  <c r="CO150" i="57"/>
  <c r="CO146" i="57"/>
  <c r="CO153" i="57"/>
  <c r="CO152" i="57"/>
  <c r="CO157" i="57"/>
  <c r="CO154" i="57"/>
  <c r="CO156" i="57"/>
  <c r="CO158" i="57"/>
  <c r="CO160" i="57"/>
  <c r="CO159" i="57"/>
  <c r="CO155" i="57"/>
  <c r="CO164" i="57"/>
  <c r="CO162" i="57"/>
  <c r="CO163" i="57"/>
  <c r="CO166" i="57"/>
  <c r="CO161" i="57"/>
  <c r="CO165" i="57"/>
  <c r="CO168" i="57"/>
  <c r="CO167" i="57"/>
  <c r="CO169" i="57"/>
  <c r="CO174" i="57"/>
  <c r="CO175" i="57"/>
  <c r="CO173" i="57"/>
  <c r="CO170" i="57"/>
  <c r="CO171" i="57"/>
  <c r="CO172" i="57"/>
  <c r="CO179" i="57"/>
  <c r="CO176" i="57"/>
  <c r="CO177" i="57"/>
  <c r="CO178" i="57"/>
  <c r="CO181" i="57"/>
  <c r="CO180" i="57"/>
  <c r="CO182" i="57"/>
  <c r="CO187" i="57"/>
  <c r="CO184" i="57"/>
  <c r="CO186" i="57"/>
  <c r="CO185" i="57"/>
  <c r="CO183" i="57"/>
  <c r="CO190" i="57"/>
  <c r="CO192" i="57"/>
  <c r="CO189" i="57"/>
  <c r="CO188" i="57"/>
  <c r="CO193" i="57"/>
  <c r="CO196" i="57"/>
  <c r="CO194" i="57"/>
  <c r="CO191" i="57"/>
  <c r="CO195" i="57"/>
  <c r="CO199" i="57"/>
  <c r="CO198" i="57"/>
  <c r="CO197" i="57"/>
  <c r="CO202" i="57"/>
  <c r="CO204" i="57"/>
  <c r="CO205" i="57"/>
  <c r="CO200" i="57"/>
  <c r="CO201" i="57"/>
  <c r="CO208" i="57"/>
  <c r="CO203" i="57"/>
  <c r="CO207" i="57"/>
  <c r="CO206" i="57"/>
  <c r="CO210" i="57"/>
  <c r="CO211" i="57"/>
  <c r="CO217" i="57"/>
  <c r="CO216" i="57"/>
  <c r="CO212" i="57"/>
  <c r="CO213" i="57"/>
  <c r="CO214" i="57"/>
  <c r="CO209" i="57"/>
  <c r="CO220" i="57"/>
  <c r="CO222" i="57"/>
  <c r="CO219" i="57"/>
  <c r="CO215" i="57"/>
  <c r="CO223" i="57"/>
  <c r="CO218" i="57"/>
  <c r="CO226" i="57"/>
  <c r="CO225" i="57"/>
  <c r="CO229" i="57"/>
  <c r="CO228" i="57"/>
  <c r="CO232" i="57"/>
  <c r="CO221" i="57"/>
  <c r="CO231" i="57"/>
  <c r="CO237" i="57"/>
  <c r="CO238" i="57"/>
  <c r="CO234" i="57"/>
  <c r="CO235" i="57"/>
  <c r="CO224" i="57"/>
  <c r="CO241" i="57"/>
  <c r="CO230" i="57"/>
  <c r="CO240" i="57"/>
  <c r="CO227" i="57"/>
  <c r="CO236" i="57"/>
  <c r="CO243" i="57"/>
  <c r="CO233" i="57"/>
  <c r="CO246" i="57"/>
  <c r="CO247" i="57"/>
  <c r="CO244" i="57"/>
  <c r="CO250" i="57"/>
  <c r="CO249" i="57"/>
  <c r="CO239" i="57"/>
  <c r="CO242" i="57"/>
  <c r="CO248" i="57"/>
  <c r="CO245" i="57"/>
  <c r="CO252" i="57"/>
  <c r="CO253" i="57"/>
  <c r="CO255" i="57"/>
  <c r="CO256" i="57"/>
  <c r="CO251" i="57"/>
  <c r="CO258" i="57"/>
  <c r="CO259" i="57"/>
  <c r="CO261" i="57"/>
  <c r="CO257" i="57"/>
  <c r="CO262" i="57"/>
  <c r="CO254" i="57"/>
  <c r="CO264" i="57"/>
  <c r="CO268" i="57"/>
  <c r="CO267" i="57"/>
  <c r="CO265" i="57"/>
  <c r="CO260" i="57"/>
  <c r="CO270" i="57"/>
  <c r="CO271" i="57"/>
  <c r="CO263" i="57"/>
  <c r="CO274" i="57"/>
  <c r="CO273" i="57"/>
  <c r="CO266" i="57"/>
  <c r="CO279" i="57"/>
  <c r="CO269" i="57"/>
  <c r="CO276" i="57"/>
  <c r="CO280" i="57"/>
  <c r="CO277" i="57"/>
  <c r="CO286" i="57"/>
  <c r="CO282" i="57"/>
  <c r="CO285" i="57"/>
  <c r="CO283" i="57"/>
  <c r="CO272" i="57"/>
  <c r="CO275" i="57"/>
  <c r="CO288" i="57"/>
  <c r="CO281" i="57"/>
  <c r="CO278" i="57"/>
  <c r="CO289" i="57"/>
  <c r="CO284" i="57"/>
  <c r="CO292" i="57"/>
  <c r="CO291" i="57"/>
  <c r="CO287" i="57"/>
  <c r="CO294" i="57"/>
  <c r="CO295" i="57"/>
  <c r="CO300" i="57"/>
  <c r="CO293" i="57"/>
  <c r="CO298" i="57"/>
  <c r="CO290" i="57"/>
  <c r="CO297" i="57"/>
  <c r="CO301" i="57"/>
  <c r="CO304" i="57"/>
  <c r="CO306" i="57"/>
  <c r="CO303" i="57"/>
  <c r="CO307" i="57"/>
  <c r="CO296" i="57"/>
  <c r="CO312" i="57"/>
  <c r="CO309" i="57"/>
  <c r="CO313" i="57"/>
  <c r="CO310" i="57"/>
  <c r="CO299" i="57"/>
  <c r="CO316" i="57"/>
  <c r="CO305" i="57"/>
  <c r="CO315" i="57"/>
  <c r="CO318" i="57"/>
  <c r="CO302" i="57"/>
  <c r="CO319" i="57"/>
  <c r="CO308" i="57"/>
  <c r="CO311" i="57"/>
  <c r="CO321" i="57"/>
  <c r="CO325" i="57"/>
  <c r="CO322" i="57"/>
  <c r="CO324" i="57"/>
  <c r="CO330" i="57"/>
  <c r="CO314" i="57"/>
  <c r="CO327" i="57"/>
  <c r="CO331" i="57"/>
  <c r="CO328" i="57"/>
  <c r="CO317" i="57"/>
  <c r="CO334" i="57"/>
  <c r="CO320" i="57"/>
  <c r="CO333" i="57"/>
  <c r="CO336" i="57"/>
  <c r="CO337" i="57"/>
  <c r="CO323" i="57"/>
  <c r="CO326" i="57"/>
  <c r="CO339" i="57"/>
  <c r="CO340" i="57"/>
  <c r="CO343" i="57"/>
  <c r="CO342" i="57"/>
  <c r="CO329" i="57"/>
  <c r="CO332" i="57"/>
  <c r="CO345" i="57"/>
  <c r="CO346" i="57"/>
  <c r="CO349" i="57"/>
  <c r="CO335" i="57"/>
  <c r="CO348" i="57"/>
  <c r="CO344" i="57"/>
  <c r="CO338" i="57"/>
  <c r="CO351" i="57"/>
  <c r="CO352" i="57"/>
  <c r="CO355" i="57"/>
  <c r="CO341" i="57"/>
  <c r="CO354" i="57"/>
  <c r="CO347" i="57"/>
  <c r="CO360" i="57"/>
  <c r="CO350" i="57"/>
  <c r="CO357" i="57"/>
  <c r="CO361" i="57"/>
  <c r="CO353" i="57"/>
  <c r="CO358" i="57"/>
  <c r="CO366" i="57"/>
  <c r="CO367" i="57"/>
  <c r="CO363" i="57"/>
  <c r="CO356" i="57"/>
  <c r="CO364" i="57"/>
  <c r="CO362" i="57"/>
  <c r="AC42" i="57"/>
  <c r="CO369" i="57"/>
  <c r="CO370" i="57"/>
  <c r="CO359" i="57"/>
  <c r="CO368" i="57"/>
  <c r="CO365" i="57"/>
  <c r="CO372" i="57"/>
  <c r="CO375" i="57"/>
  <c r="CO373" i="57"/>
  <c r="CO376" i="57"/>
  <c r="CO371" i="57"/>
  <c r="CO378" i="57"/>
  <c r="CO379" i="57"/>
  <c r="CO381" i="57"/>
  <c r="CO382" i="57"/>
  <c r="CO385" i="57"/>
  <c r="CO374" i="57"/>
  <c r="CO384" i="57"/>
  <c r="CO380" i="57"/>
  <c r="CO377" i="57"/>
  <c r="CO387" i="57"/>
  <c r="CO388" i="57"/>
  <c r="CO383" i="57"/>
  <c r="CO390" i="57"/>
  <c r="CO391" i="57"/>
  <c r="CO396" i="57"/>
  <c r="CO393" i="57"/>
  <c r="CO386" i="57"/>
  <c r="CO397" i="57"/>
  <c r="CO394" i="57"/>
  <c r="CO395" i="57"/>
  <c r="CO389" i="57"/>
  <c r="CO399" i="57"/>
  <c r="CO392" i="57"/>
  <c r="CO400" i="57"/>
  <c r="CO405" i="57"/>
  <c r="CO403" i="57"/>
  <c r="CO406" i="57"/>
  <c r="CO402" i="57"/>
  <c r="CO398" i="57"/>
  <c r="CO404" i="57"/>
  <c r="CO409" i="57"/>
  <c r="CO401" i="57"/>
  <c r="CO408" i="57"/>
  <c r="CO412" i="57"/>
  <c r="CO411" i="57"/>
  <c r="CO414" i="57"/>
  <c r="CO415" i="57"/>
  <c r="CO407" i="57"/>
  <c r="CO410" i="57"/>
  <c r="CO418" i="57"/>
  <c r="CO421" i="57"/>
  <c r="CO420" i="57"/>
  <c r="CO413" i="57"/>
  <c r="CO417" i="57"/>
  <c r="CO426" i="57"/>
  <c r="CO427" i="57"/>
  <c r="CO416" i="57"/>
  <c r="CO423" i="57"/>
  <c r="CO424" i="57"/>
  <c r="CO429" i="57"/>
  <c r="CO430" i="57"/>
  <c r="CO419" i="57"/>
  <c r="CO422" i="57"/>
  <c r="CO432" i="57"/>
  <c r="CO433" i="57"/>
  <c r="CO425" i="57"/>
  <c r="Y431" i="57"/>
  <c r="CW428" i="57"/>
  <c r="BI428" i="57"/>
  <c r="DO437" i="57"/>
  <c r="BL407" i="57"/>
  <c r="DL407" i="57"/>
  <c r="CZ407" i="57"/>
  <c r="CM407" i="57"/>
  <c r="BM407" i="57"/>
  <c r="CG436" i="57"/>
  <c r="CO438" i="57"/>
  <c r="DL404" i="57"/>
  <c r="CZ404" i="57"/>
  <c r="CM404" i="57"/>
  <c r="BL404" i="57"/>
  <c r="BM404" i="57"/>
  <c r="CO435" i="57"/>
  <c r="DK443" i="57"/>
  <c r="X13" i="57"/>
  <c r="CD425" i="57"/>
  <c r="BF425" i="57"/>
  <c r="CG425" i="57"/>
  <c r="BG425" i="57"/>
  <c r="CO439" i="57"/>
  <c r="CD436" i="57"/>
  <c r="T425" i="57"/>
  <c r="BD422" i="57"/>
  <c r="BE422" i="57"/>
  <c r="CO436" i="57"/>
  <c r="DB434" i="57"/>
  <c r="BN434" i="57"/>
  <c r="CO434" i="57"/>
  <c r="DN434" i="57"/>
  <c r="BN439" i="57"/>
  <c r="BN431" i="57"/>
  <c r="DN431" i="57"/>
  <c r="CO431" i="57"/>
  <c r="DB431" i="57"/>
  <c r="BA404" i="57"/>
  <c r="BB404" i="57"/>
  <c r="CG432" i="57"/>
  <c r="R456" i="57"/>
  <c r="R510" i="57"/>
  <c r="CG433" i="57"/>
  <c r="CD422" i="57"/>
  <c r="BO434" i="57"/>
  <c r="AG455" i="57"/>
  <c r="AG14" i="57"/>
  <c r="AG17" i="57" s="1"/>
  <c r="AG22" i="57" s="1"/>
  <c r="AG42" i="57"/>
  <c r="S425" i="57"/>
  <c r="CA422" i="57"/>
  <c r="BC422" i="57"/>
  <c r="AF410" i="57"/>
  <c r="DD407" i="57"/>
  <c r="BP407" i="57"/>
  <c r="DP407" i="57"/>
  <c r="BQ407" i="57"/>
  <c r="BJ413" i="57"/>
  <c r="DJ413" i="57"/>
  <c r="CX413" i="57"/>
  <c r="BK413" i="57"/>
  <c r="CD432" i="57"/>
  <c r="CD419" i="57"/>
  <c r="DC434" i="57"/>
  <c r="CA436" i="57"/>
  <c r="S428" i="57"/>
  <c r="BE436" i="57"/>
  <c r="DD432" i="57"/>
  <c r="BP432" i="57"/>
  <c r="AR432" i="57"/>
  <c r="BQ432" i="57"/>
  <c r="AS432" i="57"/>
  <c r="DP432" i="57"/>
  <c r="BD436" i="57"/>
  <c r="BO439" i="57"/>
  <c r="DN439" i="57"/>
  <c r="AF413" i="57"/>
  <c r="T428" i="57"/>
  <c r="W437" i="57"/>
  <c r="DC437" i="57" s="1"/>
  <c r="CW439" i="57"/>
  <c r="BI439" i="57"/>
  <c r="CJ439" i="57"/>
  <c r="DJ435" i="57"/>
  <c r="BJ435" i="57"/>
  <c r="CX435" i="57"/>
  <c r="AL435" i="57"/>
  <c r="BK435" i="57"/>
  <c r="AM435" i="57"/>
  <c r="CA438" i="57"/>
  <c r="DM443" i="57"/>
  <c r="V428" i="57"/>
  <c r="P428" i="57"/>
  <c r="BA407" i="57"/>
  <c r="Q413" i="57"/>
  <c r="L425" i="57"/>
  <c r="DO441" i="57"/>
  <c r="DQ443" i="57"/>
  <c r="AE440" i="57"/>
  <c r="AD437" i="57"/>
  <c r="N428" i="57"/>
  <c r="AB410" i="57"/>
  <c r="S431" i="57"/>
  <c r="CW438" i="57"/>
  <c r="BI438" i="57"/>
  <c r="AK438" i="57"/>
  <c r="Y434" i="57"/>
  <c r="CJ438" i="57"/>
  <c r="Z422" i="57"/>
  <c r="Q410" i="57"/>
  <c r="X249" i="44"/>
  <c r="X240" i="44"/>
  <c r="X230" i="44"/>
  <c r="DL410" i="57" l="1"/>
  <c r="CM410" i="57"/>
  <c r="CZ410" i="57"/>
  <c r="BL410" i="57"/>
  <c r="BM410" i="57"/>
  <c r="AD440" i="57"/>
  <c r="BN437" i="57"/>
  <c r="DN437" i="57"/>
  <c r="CO437" i="57"/>
  <c r="DB437" i="57"/>
  <c r="DD410" i="57"/>
  <c r="DP410" i="57"/>
  <c r="BP410" i="57"/>
  <c r="BQ410" i="57"/>
  <c r="CJ96" i="57"/>
  <c r="CJ86" i="57"/>
  <c r="CJ74" i="57"/>
  <c r="CJ85" i="57"/>
  <c r="CJ98" i="57"/>
  <c r="CJ80" i="57"/>
  <c r="CJ102" i="57"/>
  <c r="CJ79" i="57"/>
  <c r="CJ77" i="57"/>
  <c r="CJ69" i="57"/>
  <c r="CJ90" i="57"/>
  <c r="CJ92" i="57"/>
  <c r="CJ78" i="57"/>
  <c r="CJ83" i="57"/>
  <c r="CJ97" i="57"/>
  <c r="CJ93" i="57"/>
  <c r="CJ72" i="57"/>
  <c r="CJ84" i="57"/>
  <c r="CJ103" i="57"/>
  <c r="CJ76" i="57"/>
  <c r="CJ70" i="57"/>
  <c r="CJ82" i="57"/>
  <c r="CJ87" i="57"/>
  <c r="CJ99" i="57"/>
  <c r="CJ94" i="57"/>
  <c r="CJ71" i="57"/>
  <c r="CJ88" i="57"/>
  <c r="X455" i="57"/>
  <c r="CJ75" i="57"/>
  <c r="CJ95" i="57"/>
  <c r="CJ91" i="57"/>
  <c r="CJ100" i="57"/>
  <c r="CJ73" i="57"/>
  <c r="CJ101" i="57"/>
  <c r="CJ81" i="57"/>
  <c r="CJ89" i="57"/>
  <c r="X14" i="57"/>
  <c r="X17" i="57" s="1"/>
  <c r="X22" i="57" s="1"/>
  <c r="CJ105" i="57"/>
  <c r="CJ106" i="57"/>
  <c r="CJ107" i="57"/>
  <c r="CJ104" i="57"/>
  <c r="CJ108" i="57"/>
  <c r="CJ110" i="57"/>
  <c r="CJ112" i="57"/>
  <c r="CJ109" i="57"/>
  <c r="CJ111" i="57"/>
  <c r="CJ117" i="57"/>
  <c r="CJ113" i="57"/>
  <c r="CJ118" i="57"/>
  <c r="CJ115" i="57"/>
  <c r="CJ114" i="57"/>
  <c r="CJ120" i="57"/>
  <c r="CJ121" i="57"/>
  <c r="CJ116" i="57"/>
  <c r="CJ122" i="57"/>
  <c r="CJ124" i="57"/>
  <c r="CJ123" i="57"/>
  <c r="CJ119" i="57"/>
  <c r="CJ125" i="57"/>
  <c r="CJ126" i="57"/>
  <c r="CJ127" i="57"/>
  <c r="CJ128" i="57"/>
  <c r="CJ130" i="57"/>
  <c r="CJ129" i="57"/>
  <c r="CJ131" i="57"/>
  <c r="CJ133" i="57"/>
  <c r="CJ136" i="57"/>
  <c r="CJ135" i="57"/>
  <c r="CJ132" i="57"/>
  <c r="CJ134" i="57"/>
  <c r="CJ142" i="57"/>
  <c r="CJ141" i="57"/>
  <c r="CJ137" i="57"/>
  <c r="CJ138" i="57"/>
  <c r="CJ139" i="57"/>
  <c r="CJ144" i="57"/>
  <c r="CJ140" i="57"/>
  <c r="CJ145" i="57"/>
  <c r="CJ146" i="57"/>
  <c r="CJ151" i="57"/>
  <c r="CJ147" i="57"/>
  <c r="CJ150" i="57"/>
  <c r="CJ148" i="57"/>
  <c r="CJ143" i="57"/>
  <c r="CJ154" i="57"/>
  <c r="CJ149" i="57"/>
  <c r="CJ153" i="57"/>
  <c r="CJ157" i="57"/>
  <c r="CJ156" i="57"/>
  <c r="CJ155" i="57"/>
  <c r="CJ160" i="57"/>
  <c r="CJ159" i="57"/>
  <c r="CJ152" i="57"/>
  <c r="CJ163" i="57"/>
  <c r="CJ161" i="57"/>
  <c r="CJ166" i="57"/>
  <c r="CJ165" i="57"/>
  <c r="CJ162" i="57"/>
  <c r="CJ158" i="57"/>
  <c r="CJ169" i="57"/>
  <c r="CJ168" i="57"/>
  <c r="CJ164" i="57"/>
  <c r="CJ171" i="57"/>
  <c r="CJ170" i="57"/>
  <c r="CJ172" i="57"/>
  <c r="CJ167" i="57"/>
  <c r="CJ174" i="57"/>
  <c r="CJ176" i="57"/>
  <c r="CJ175" i="57"/>
  <c r="CJ173" i="57"/>
  <c r="CJ179" i="57"/>
  <c r="CJ178" i="57"/>
  <c r="CJ181" i="57"/>
  <c r="CJ180" i="57"/>
  <c r="CJ177" i="57"/>
  <c r="CJ183" i="57"/>
  <c r="CJ182" i="57"/>
  <c r="CJ184" i="57"/>
  <c r="CJ185" i="57"/>
  <c r="CJ186" i="57"/>
  <c r="CJ187" i="57"/>
  <c r="CJ188" i="57"/>
  <c r="CJ189" i="57"/>
  <c r="CJ192" i="57"/>
  <c r="CJ190" i="57"/>
  <c r="CJ193" i="57"/>
  <c r="CJ194" i="57"/>
  <c r="CJ191" i="57"/>
  <c r="CJ196" i="57"/>
  <c r="CJ198" i="57"/>
  <c r="CJ197" i="57"/>
  <c r="CJ195" i="57"/>
  <c r="CJ199" i="57"/>
  <c r="CJ204" i="57"/>
  <c r="CJ205" i="57"/>
  <c r="CJ201" i="57"/>
  <c r="CJ202" i="57"/>
  <c r="CJ200" i="57"/>
  <c r="CJ203" i="57"/>
  <c r="CJ207" i="57"/>
  <c r="CJ208" i="57"/>
  <c r="CJ206" i="57"/>
  <c r="CJ211" i="57"/>
  <c r="CJ210" i="57"/>
  <c r="CJ213" i="57"/>
  <c r="CJ209" i="57"/>
  <c r="CJ214" i="57"/>
  <c r="CJ216" i="57"/>
  <c r="CJ217" i="57"/>
  <c r="CJ212" i="57"/>
  <c r="CJ218" i="57"/>
  <c r="CJ215" i="57"/>
  <c r="CJ221" i="57"/>
  <c r="CJ222" i="57"/>
  <c r="CJ223" i="57"/>
  <c r="CJ219" i="57"/>
  <c r="CJ220" i="57"/>
  <c r="CJ228" i="57"/>
  <c r="CJ224" i="57"/>
  <c r="CJ225" i="57"/>
  <c r="CJ229" i="57"/>
  <c r="CJ226" i="57"/>
  <c r="CJ231" i="57"/>
  <c r="CJ232" i="57"/>
  <c r="CJ227" i="57"/>
  <c r="CJ234" i="57"/>
  <c r="CJ235" i="57"/>
  <c r="CJ237" i="57"/>
  <c r="CJ241" i="57"/>
  <c r="CJ240" i="57"/>
  <c r="CJ230" i="57"/>
  <c r="CJ233" i="57"/>
  <c r="CJ238" i="57"/>
  <c r="CJ244" i="57"/>
  <c r="CJ247" i="57"/>
  <c r="CJ243" i="57"/>
  <c r="CJ246" i="57"/>
  <c r="CJ236" i="57"/>
  <c r="CJ239" i="57"/>
  <c r="CJ249" i="57"/>
  <c r="CJ242" i="57"/>
  <c r="CJ245" i="57"/>
  <c r="CJ253" i="57"/>
  <c r="CJ250" i="57"/>
  <c r="CJ252" i="57"/>
  <c r="CJ255" i="57"/>
  <c r="CJ256" i="57"/>
  <c r="CJ248" i="57"/>
  <c r="CJ259" i="57"/>
  <c r="CJ258" i="57"/>
  <c r="CJ251" i="57"/>
  <c r="CJ254" i="57"/>
  <c r="CJ267" i="57"/>
  <c r="CJ261" i="57"/>
  <c r="CJ262" i="57"/>
  <c r="CJ268" i="57"/>
  <c r="CJ257" i="57"/>
  <c r="CJ271" i="57"/>
  <c r="CJ265" i="57"/>
  <c r="CJ264" i="57"/>
  <c r="CJ274" i="57"/>
  <c r="CJ260" i="57"/>
  <c r="CJ273" i="57"/>
  <c r="CJ270" i="57"/>
  <c r="CJ263" i="57"/>
  <c r="CJ280" i="57"/>
  <c r="CJ276" i="57"/>
  <c r="CJ279" i="57"/>
  <c r="CJ277" i="57"/>
  <c r="CJ286" i="57"/>
  <c r="CJ282" i="57"/>
  <c r="CJ285" i="57"/>
  <c r="CJ266" i="57"/>
  <c r="CJ283" i="57"/>
  <c r="CJ269" i="57"/>
  <c r="CJ291" i="57"/>
  <c r="CJ272" i="57"/>
  <c r="CJ288" i="57"/>
  <c r="CJ289" i="57"/>
  <c r="CJ292" i="57"/>
  <c r="CJ275" i="57"/>
  <c r="CJ294" i="57"/>
  <c r="CJ278" i="57"/>
  <c r="CJ295" i="57"/>
  <c r="CJ297" i="57"/>
  <c r="CJ298" i="57"/>
  <c r="CJ284" i="57"/>
  <c r="CJ281" i="57"/>
  <c r="CJ287" i="57"/>
  <c r="CJ300" i="57"/>
  <c r="CJ301" i="57"/>
  <c r="CJ296" i="57"/>
  <c r="CJ304" i="57"/>
  <c r="CJ290" i="57"/>
  <c r="CJ306" i="57"/>
  <c r="CJ307" i="57"/>
  <c r="CJ303" i="57"/>
  <c r="CJ293" i="57"/>
  <c r="CJ309" i="57"/>
  <c r="CJ310" i="57"/>
  <c r="CJ299" i="57"/>
  <c r="CJ313" i="57"/>
  <c r="CJ302" i="57"/>
  <c r="CJ315" i="57"/>
  <c r="CJ312" i="57"/>
  <c r="CJ316" i="57"/>
  <c r="CJ305" i="57"/>
  <c r="CJ311" i="57"/>
  <c r="CJ319" i="57"/>
  <c r="CJ308" i="57"/>
  <c r="CJ318" i="57"/>
  <c r="CJ322" i="57"/>
  <c r="CJ321" i="57"/>
  <c r="CJ325" i="57"/>
  <c r="CJ314" i="57"/>
  <c r="CJ324" i="57"/>
  <c r="CJ317" i="57"/>
  <c r="CJ327" i="57"/>
  <c r="CJ331" i="57"/>
  <c r="CJ328" i="57"/>
  <c r="CJ330" i="57"/>
  <c r="CJ320" i="57"/>
  <c r="CJ333" i="57"/>
  <c r="CJ334" i="57"/>
  <c r="CJ323" i="57"/>
  <c r="CJ340" i="57"/>
  <c r="CJ326" i="57"/>
  <c r="CJ336" i="57"/>
  <c r="CJ329" i="57"/>
  <c r="CJ337" i="57"/>
  <c r="CJ339" i="57"/>
  <c r="CJ346" i="57"/>
  <c r="CJ342" i="57"/>
  <c r="CJ345" i="57"/>
  <c r="CJ332" i="57"/>
  <c r="CJ343" i="57"/>
  <c r="CJ338" i="57"/>
  <c r="CJ335" i="57"/>
  <c r="CJ348" i="57"/>
  <c r="CJ349" i="57"/>
  <c r="CJ355" i="57"/>
  <c r="CJ341" i="57"/>
  <c r="CJ354" i="57"/>
  <c r="CJ352" i="57"/>
  <c r="CJ351" i="57"/>
  <c r="CJ347" i="57"/>
  <c r="CJ357" i="57"/>
  <c r="CJ358" i="57"/>
  <c r="CJ361" i="57"/>
  <c r="CJ344" i="57"/>
  <c r="CJ360" i="57"/>
  <c r="CJ364" i="57"/>
  <c r="CJ363" i="57"/>
  <c r="CJ366" i="57"/>
  <c r="CJ350" i="57"/>
  <c r="CJ367" i="57"/>
  <c r="CJ372" i="57"/>
  <c r="CJ353" i="57"/>
  <c r="CJ369" i="57"/>
  <c r="CJ356" i="57"/>
  <c r="CJ373" i="57"/>
  <c r="CJ370" i="57"/>
  <c r="X42" i="57"/>
  <c r="CJ359" i="57"/>
  <c r="CJ375" i="57"/>
  <c r="CJ362" i="57"/>
  <c r="CJ376" i="57"/>
  <c r="CJ365" i="57"/>
  <c r="CJ379" i="57"/>
  <c r="CJ378" i="57"/>
  <c r="CJ368" i="57"/>
  <c r="CJ384" i="57"/>
  <c r="CJ385" i="57"/>
  <c r="CJ382" i="57"/>
  <c r="CJ381" i="57"/>
  <c r="CJ387" i="57"/>
  <c r="CJ371" i="57"/>
  <c r="CJ388" i="57"/>
  <c r="CJ393" i="57"/>
  <c r="CJ374" i="57"/>
  <c r="CJ390" i="57"/>
  <c r="CJ391" i="57"/>
  <c r="CJ377" i="57"/>
  <c r="CJ394" i="57"/>
  <c r="CJ380" i="57"/>
  <c r="CJ396" i="57"/>
  <c r="CJ397" i="57"/>
  <c r="CJ399" i="57"/>
  <c r="CJ383" i="57"/>
  <c r="CJ400" i="57"/>
  <c r="CJ386" i="57"/>
  <c r="CJ402" i="57"/>
  <c r="CJ405" i="57"/>
  <c r="CJ392" i="57"/>
  <c r="CJ406" i="57"/>
  <c r="CJ403" i="57"/>
  <c r="CJ389" i="57"/>
  <c r="CJ409" i="57"/>
  <c r="CJ411" i="57"/>
  <c r="CJ412" i="57"/>
  <c r="CJ395" i="57"/>
  <c r="CJ408" i="57"/>
  <c r="CJ415" i="57"/>
  <c r="CJ398" i="57"/>
  <c r="CJ414" i="57"/>
  <c r="CJ401" i="57"/>
  <c r="CJ418" i="57"/>
  <c r="CJ404" i="57"/>
  <c r="CJ417" i="57"/>
  <c r="CJ423" i="57"/>
  <c r="CJ424" i="57"/>
  <c r="CJ407" i="57"/>
  <c r="CJ420" i="57"/>
  <c r="CJ421" i="57"/>
  <c r="CJ427" i="57"/>
  <c r="CJ410" i="57"/>
  <c r="CJ426" i="57"/>
  <c r="CJ413" i="57"/>
  <c r="CJ430" i="57"/>
  <c r="CJ416" i="57"/>
  <c r="CJ429" i="57"/>
  <c r="CJ436" i="57"/>
  <c r="CJ435" i="57"/>
  <c r="CJ432" i="57"/>
  <c r="CJ419" i="57"/>
  <c r="CJ433" i="57"/>
  <c r="CJ422" i="57"/>
  <c r="CJ425" i="57"/>
  <c r="DJ419" i="57"/>
  <c r="BJ419" i="57"/>
  <c r="CX419" i="57"/>
  <c r="BK419" i="57"/>
  <c r="BF428" i="57"/>
  <c r="CG428" i="57"/>
  <c r="CD428" i="57"/>
  <c r="BG428" i="57"/>
  <c r="DJ422" i="57"/>
  <c r="BJ422" i="57"/>
  <c r="CX422" i="57"/>
  <c r="BK422" i="57"/>
  <c r="P431" i="57"/>
  <c r="AZ431" i="57" s="1"/>
  <c r="AZ428" i="57"/>
  <c r="BA410" i="57"/>
  <c r="BB410" i="57"/>
  <c r="AC17" i="57"/>
  <c r="AC22" i="57" s="1"/>
  <c r="BA413" i="57"/>
  <c r="BB413" i="57"/>
  <c r="CW434" i="57"/>
  <c r="BI434" i="57"/>
  <c r="CJ434" i="57"/>
  <c r="AJ441" i="57"/>
  <c r="CY437" i="57"/>
  <c r="BH437" i="57"/>
  <c r="DE437" i="57"/>
  <c r="DA437" i="57"/>
  <c r="BP413" i="57"/>
  <c r="DP413" i="57"/>
  <c r="DD413" i="57"/>
  <c r="BQ413" i="57"/>
  <c r="CO58" i="57"/>
  <c r="AC456" i="57"/>
  <c r="AC510" i="57"/>
  <c r="U17" i="57"/>
  <c r="U22" i="57" s="1"/>
  <c r="AE443" i="57"/>
  <c r="AE13" i="57" s="1"/>
  <c r="CQ413" i="57" s="1"/>
  <c r="DO440" i="57"/>
  <c r="AG456" i="57"/>
  <c r="AG510" i="57"/>
  <c r="S434" i="57"/>
  <c r="BC431" i="57"/>
  <c r="CA431" i="57"/>
  <c r="T431" i="57"/>
  <c r="BD428" i="57"/>
  <c r="BE428" i="57"/>
  <c r="BO440" i="57"/>
  <c r="BC438" i="57"/>
  <c r="BC428" i="57"/>
  <c r="CA428" i="57"/>
  <c r="BD425" i="57"/>
  <c r="BE425" i="57"/>
  <c r="CJ428" i="57"/>
  <c r="CA425" i="57"/>
  <c r="BC425" i="57"/>
  <c r="BO437" i="57"/>
  <c r="BI431" i="57"/>
  <c r="CW431" i="57"/>
  <c r="CJ431" i="57"/>
  <c r="U456" i="57"/>
  <c r="U510" i="57"/>
  <c r="DD433" i="57"/>
  <c r="BQ433" i="57"/>
  <c r="AF416" i="57"/>
  <c r="BP433" i="57"/>
  <c r="DP433" i="57"/>
  <c r="BD438" i="57"/>
  <c r="DA441" i="57"/>
  <c r="BH441" i="57"/>
  <c r="CY441" i="57"/>
  <c r="BE439" i="57"/>
  <c r="BD439" i="57"/>
  <c r="BE438" i="57"/>
  <c r="T434" i="57"/>
  <c r="DC441" i="57"/>
  <c r="DE441" i="57"/>
  <c r="W440" i="57"/>
  <c r="BN442" i="57"/>
  <c r="DB442" i="57"/>
  <c r="DN442" i="57"/>
  <c r="CO442" i="57"/>
  <c r="BL432" i="57"/>
  <c r="DL432" i="57"/>
  <c r="CZ432" i="57"/>
  <c r="AN432" i="57"/>
  <c r="CM432" i="57"/>
  <c r="AO432" i="57"/>
  <c r="BM432" i="57"/>
  <c r="AB413" i="57"/>
  <c r="BF438" i="57"/>
  <c r="CD438" i="57"/>
  <c r="CG438" i="57"/>
  <c r="BG438" i="57"/>
  <c r="DE442" i="57"/>
  <c r="DA442" i="57"/>
  <c r="BH442" i="57"/>
  <c r="V431" i="57"/>
  <c r="DJ436" i="57"/>
  <c r="BJ436" i="57"/>
  <c r="CX436" i="57"/>
  <c r="BK436" i="57"/>
  <c r="AZ439" i="57"/>
  <c r="BA433" i="57"/>
  <c r="BB433" i="57"/>
  <c r="BN441" i="57"/>
  <c r="DB441" i="57"/>
  <c r="DN441" i="57"/>
  <c r="AP441" i="57"/>
  <c r="AD443" i="57"/>
  <c r="AD13" i="57" s="1"/>
  <c r="CO441" i="57"/>
  <c r="CO57" i="57" s="1"/>
  <c r="L428" i="57"/>
  <c r="L431" i="57" s="1"/>
  <c r="AZ438" i="57"/>
  <c r="P434" i="57"/>
  <c r="Y437" i="57"/>
  <c r="BO442" i="57"/>
  <c r="DO442" i="57"/>
  <c r="DC442" i="57"/>
  <c r="AQ441" i="57"/>
  <c r="BA432" i="57"/>
  <c r="Q416" i="57"/>
  <c r="BB432" i="57"/>
  <c r="N431" i="57"/>
  <c r="N434" i="57" s="1"/>
  <c r="BC439" i="57"/>
  <c r="S437" i="57"/>
  <c r="CA439" i="57"/>
  <c r="BO441" i="57"/>
  <c r="W443" i="57"/>
  <c r="Z425" i="57"/>
  <c r="AO14" i="40"/>
  <c r="AG84" i="41" s="1"/>
  <c r="AM14" i="40"/>
  <c r="AE84" i="41" s="1"/>
  <c r="AN14" i="40"/>
  <c r="AF84" i="41" s="1"/>
  <c r="AK14" i="40"/>
  <c r="AC84" i="41" s="1"/>
  <c r="AG14" i="40"/>
  <c r="Y84" i="41" s="1"/>
  <c r="AH14" i="40"/>
  <c r="Z84" i="41" s="1"/>
  <c r="AJ14" i="40"/>
  <c r="AB84" i="41" s="1"/>
  <c r="AG44" i="40"/>
  <c r="AH44" i="40" s="1"/>
  <c r="AI44" i="40" s="1"/>
  <c r="AJ44" i="40" s="1"/>
  <c r="AK44" i="40" s="1"/>
  <c r="AL44" i="40" s="1"/>
  <c r="AM44" i="40" s="1"/>
  <c r="AN44" i="40" s="1"/>
  <c r="AO44" i="40" s="1"/>
  <c r="AI14" i="40"/>
  <c r="AA84" i="41" s="1"/>
  <c r="AL14" i="40"/>
  <c r="AD84" i="41" s="1"/>
  <c r="AF14" i="40"/>
  <c r="Q419" i="57" l="1"/>
  <c r="BA416" i="57"/>
  <c r="BB416" i="57"/>
  <c r="CP161" i="57"/>
  <c r="CP71" i="57"/>
  <c r="AD14" i="57"/>
  <c r="AD17" i="57" s="1"/>
  <c r="AD22" i="57" s="1"/>
  <c r="CP72" i="57"/>
  <c r="CP76" i="57"/>
  <c r="CP80" i="57"/>
  <c r="CP70" i="57"/>
  <c r="CP69" i="57"/>
  <c r="AD455" i="57"/>
  <c r="CP77" i="57"/>
  <c r="CP74" i="57"/>
  <c r="CP75" i="57"/>
  <c r="CP78" i="57"/>
  <c r="CP73" i="57"/>
  <c r="CP79" i="57"/>
  <c r="CP83" i="57"/>
  <c r="CP81" i="57"/>
  <c r="CP82" i="57"/>
  <c r="CP86" i="57"/>
  <c r="CP90" i="57"/>
  <c r="CP85" i="57"/>
  <c r="CP91" i="57"/>
  <c r="CP84" i="57"/>
  <c r="CP89" i="57"/>
  <c r="CP97" i="57"/>
  <c r="CP88" i="57"/>
  <c r="CP92" i="57"/>
  <c r="CP93" i="57"/>
  <c r="CP87" i="57"/>
  <c r="CP94" i="57"/>
  <c r="CP96" i="57"/>
  <c r="CP100" i="57"/>
  <c r="CP99" i="57"/>
  <c r="CP95" i="57"/>
  <c r="CP98" i="57"/>
  <c r="CP101" i="57"/>
  <c r="CP104" i="57"/>
  <c r="CP103" i="57"/>
  <c r="CP102" i="57"/>
  <c r="CP108" i="57"/>
  <c r="CP105" i="57"/>
  <c r="CP109" i="57"/>
  <c r="CP106" i="57"/>
  <c r="CP107" i="57"/>
  <c r="CP114" i="57"/>
  <c r="CP115" i="57"/>
  <c r="CP110" i="57"/>
  <c r="CP112" i="57"/>
  <c r="CP111" i="57"/>
  <c r="CP118" i="57"/>
  <c r="CP117" i="57"/>
  <c r="CP113" i="57"/>
  <c r="CP116" i="57"/>
  <c r="CP123" i="57"/>
  <c r="CP124" i="57"/>
  <c r="CP119" i="57"/>
  <c r="CP120" i="57"/>
  <c r="CP122" i="57"/>
  <c r="CP121" i="57"/>
  <c r="CP127" i="57"/>
  <c r="CP125" i="57"/>
  <c r="CP126" i="57"/>
  <c r="CP129" i="57"/>
  <c r="CP130" i="57"/>
  <c r="CP133" i="57"/>
  <c r="CP132" i="57"/>
  <c r="CP135" i="57"/>
  <c r="CP131" i="57"/>
  <c r="CP128" i="57"/>
  <c r="CP136" i="57"/>
  <c r="CP134" i="57"/>
  <c r="CP139" i="57"/>
  <c r="CP138" i="57"/>
  <c r="CP137" i="57"/>
  <c r="CP142" i="57"/>
  <c r="CP141" i="57"/>
  <c r="CP147" i="57"/>
  <c r="CP140" i="57"/>
  <c r="CP148" i="57"/>
  <c r="CP145" i="57"/>
  <c r="CP144" i="57"/>
  <c r="CP151" i="57"/>
  <c r="CP143" i="57"/>
  <c r="CP150" i="57"/>
  <c r="CP154" i="57"/>
  <c r="CP153" i="57"/>
  <c r="CP156" i="57"/>
  <c r="CP157" i="57"/>
  <c r="CP146" i="57"/>
  <c r="CP149" i="57"/>
  <c r="CP162" i="57"/>
  <c r="CP163" i="57"/>
  <c r="CP159" i="57"/>
  <c r="CP160" i="57"/>
  <c r="CP155" i="57"/>
  <c r="CP166" i="57"/>
  <c r="CP152" i="57"/>
  <c r="CP165" i="57"/>
  <c r="CP171" i="57"/>
  <c r="CP172" i="57"/>
  <c r="CP168" i="57"/>
  <c r="CP169" i="57"/>
  <c r="CP158" i="57"/>
  <c r="CP178" i="57"/>
  <c r="CP177" i="57"/>
  <c r="CP175" i="57"/>
  <c r="CP164" i="57"/>
  <c r="CP167" i="57"/>
  <c r="CP174" i="57"/>
  <c r="CP180" i="57"/>
  <c r="CP173" i="57"/>
  <c r="CP181" i="57"/>
  <c r="CP170" i="57"/>
  <c r="CP179" i="57"/>
  <c r="CP176" i="57"/>
  <c r="CP183" i="57"/>
  <c r="CP184" i="57"/>
  <c r="CP187" i="57"/>
  <c r="CP182" i="57"/>
  <c r="CP186" i="57"/>
  <c r="CP193" i="57"/>
  <c r="CP192" i="57"/>
  <c r="CP189" i="57"/>
  <c r="CP190" i="57"/>
  <c r="CP185" i="57"/>
  <c r="CP188" i="57"/>
  <c r="CP191" i="57"/>
  <c r="CP195" i="57"/>
  <c r="CP196" i="57"/>
  <c r="CP194" i="57"/>
  <c r="CP199" i="57"/>
  <c r="CP198" i="57"/>
  <c r="CP201" i="57"/>
  <c r="CP202" i="57"/>
  <c r="CP200" i="57"/>
  <c r="CP204" i="57"/>
  <c r="CP205" i="57"/>
  <c r="CP197" i="57"/>
  <c r="CP210" i="57"/>
  <c r="CP211" i="57"/>
  <c r="CP206" i="57"/>
  <c r="CP207" i="57"/>
  <c r="CP203" i="57"/>
  <c r="CP208" i="57"/>
  <c r="CP209" i="57"/>
  <c r="CP213" i="57"/>
  <c r="CP214" i="57"/>
  <c r="CP216" i="57"/>
  <c r="CP217" i="57"/>
  <c r="CP212" i="57"/>
  <c r="CP215" i="57"/>
  <c r="CP219" i="57"/>
  <c r="CP218" i="57"/>
  <c r="CP221" i="57"/>
  <c r="CP220" i="57"/>
  <c r="CP224" i="57"/>
  <c r="CP222" i="57"/>
  <c r="CP223" i="57"/>
  <c r="CP227" i="57"/>
  <c r="CP230" i="57"/>
  <c r="CP228" i="57"/>
  <c r="CP226" i="57"/>
  <c r="CP229" i="57"/>
  <c r="CP225" i="57"/>
  <c r="CP232" i="57"/>
  <c r="CP234" i="57"/>
  <c r="CP231" i="57"/>
  <c r="CP233" i="57"/>
  <c r="CP235" i="57"/>
  <c r="CP238" i="57"/>
  <c r="CP236" i="57"/>
  <c r="CP237" i="57"/>
  <c r="CP240" i="57"/>
  <c r="CP241" i="57"/>
  <c r="CP247" i="57"/>
  <c r="CP246" i="57"/>
  <c r="CP239" i="57"/>
  <c r="CP243" i="57"/>
  <c r="CP244" i="57"/>
  <c r="CP242" i="57"/>
  <c r="CP250" i="57"/>
  <c r="CP249" i="57"/>
  <c r="CP256" i="57"/>
  <c r="CP255" i="57"/>
  <c r="CP253" i="57"/>
  <c r="CP252" i="57"/>
  <c r="CP245" i="57"/>
  <c r="CP248" i="57"/>
  <c r="CP251" i="57"/>
  <c r="CP258" i="57"/>
  <c r="CP254" i="57"/>
  <c r="CP257" i="57"/>
  <c r="CP259" i="57"/>
  <c r="CP263" i="57"/>
  <c r="CP262" i="57"/>
  <c r="CP260" i="57"/>
  <c r="CP261" i="57"/>
  <c r="CP266" i="57"/>
  <c r="CP264" i="57"/>
  <c r="CP265" i="57"/>
  <c r="CP268" i="57"/>
  <c r="CP269" i="57"/>
  <c r="CP267" i="57"/>
  <c r="CP272" i="57"/>
  <c r="CP271" i="57"/>
  <c r="CP274" i="57"/>
  <c r="CP270" i="57"/>
  <c r="CP275" i="57"/>
  <c r="CP273" i="57"/>
  <c r="CP276" i="57"/>
  <c r="CP280" i="57"/>
  <c r="CP279" i="57"/>
  <c r="CP281" i="57"/>
  <c r="CP278" i="57"/>
  <c r="CP277" i="57"/>
  <c r="CP283" i="57"/>
  <c r="CP282" i="57"/>
  <c r="CP284" i="57"/>
  <c r="CP287" i="57"/>
  <c r="CP286" i="57"/>
  <c r="CP285" i="57"/>
  <c r="CP292" i="57"/>
  <c r="CP289" i="57"/>
  <c r="CP290" i="57"/>
  <c r="CP288" i="57"/>
  <c r="CP293" i="57"/>
  <c r="CP291" i="57"/>
  <c r="CP296" i="57"/>
  <c r="CP294" i="57"/>
  <c r="CP295" i="57"/>
  <c r="CP297" i="57"/>
  <c r="CP298" i="57"/>
  <c r="CP299" i="57"/>
  <c r="CP305" i="57"/>
  <c r="CP304" i="57"/>
  <c r="CP303" i="57"/>
  <c r="CP300" i="57"/>
  <c r="CP301" i="57"/>
  <c r="CP302" i="57"/>
  <c r="CP311" i="57"/>
  <c r="CP307" i="57"/>
  <c r="CP308" i="57"/>
  <c r="CP306" i="57"/>
  <c r="CP309" i="57"/>
  <c r="CP310" i="57"/>
  <c r="CP314" i="57"/>
  <c r="CP312" i="57"/>
  <c r="CP313" i="57"/>
  <c r="CP317" i="57"/>
  <c r="CP320" i="57"/>
  <c r="CP316" i="57"/>
  <c r="CP318" i="57"/>
  <c r="CP319" i="57"/>
  <c r="CP323" i="57"/>
  <c r="CP315" i="57"/>
  <c r="CP324" i="57"/>
  <c r="CP322" i="57"/>
  <c r="CP326" i="57"/>
  <c r="CP325" i="57"/>
  <c r="CP321" i="57"/>
  <c r="CP329" i="57"/>
  <c r="CP328" i="57"/>
  <c r="CP327" i="57"/>
  <c r="CP332" i="57"/>
  <c r="CP331" i="57"/>
  <c r="CP330" i="57"/>
  <c r="CP333" i="57"/>
  <c r="CP334" i="57"/>
  <c r="CP335" i="57"/>
  <c r="CP338" i="57"/>
  <c r="CP344" i="57"/>
  <c r="CP342" i="57"/>
  <c r="CP343" i="57"/>
  <c r="CP336" i="57"/>
  <c r="CP337" i="57"/>
  <c r="CP346" i="57"/>
  <c r="CP341" i="57"/>
  <c r="CP339" i="57"/>
  <c r="CP347" i="57"/>
  <c r="CP340" i="57"/>
  <c r="CP345" i="57"/>
  <c r="CP352" i="57"/>
  <c r="CP353" i="57"/>
  <c r="CP350" i="57"/>
  <c r="CP351" i="57"/>
  <c r="CP348" i="57"/>
  <c r="CP349" i="57"/>
  <c r="CP354" i="57"/>
  <c r="CP356" i="57"/>
  <c r="CP355" i="57"/>
  <c r="CP358" i="57"/>
  <c r="CP362" i="57"/>
  <c r="CP359" i="57"/>
  <c r="AD42" i="57"/>
  <c r="CP360" i="57"/>
  <c r="CP361" i="57"/>
  <c r="CP357" i="57"/>
  <c r="CP366" i="57"/>
  <c r="CP363" i="57"/>
  <c r="CP364" i="57"/>
  <c r="CP367" i="57"/>
  <c r="CP365" i="57"/>
  <c r="CP368" i="57"/>
  <c r="CP370" i="57"/>
  <c r="CP369" i="57"/>
  <c r="CP373" i="57"/>
  <c r="CP372" i="57"/>
  <c r="CP374" i="57"/>
  <c r="CP371" i="57"/>
  <c r="CP377" i="57"/>
  <c r="CP376" i="57"/>
  <c r="CP378" i="57"/>
  <c r="CP379" i="57"/>
  <c r="CP375" i="57"/>
  <c r="CP381" i="57"/>
  <c r="CP380" i="57"/>
  <c r="CP383" i="57"/>
  <c r="CP382" i="57"/>
  <c r="CP384" i="57"/>
  <c r="CP385" i="57"/>
  <c r="CP386" i="57"/>
  <c r="CP391" i="57"/>
  <c r="CP387" i="57"/>
  <c r="CP392" i="57"/>
  <c r="CP390" i="57"/>
  <c r="CP389" i="57"/>
  <c r="CP388" i="57"/>
  <c r="CP393" i="57"/>
  <c r="CP394" i="57"/>
  <c r="CP398" i="57"/>
  <c r="CP397" i="57"/>
  <c r="CP396" i="57"/>
  <c r="CP395" i="57"/>
  <c r="CP399" i="57"/>
  <c r="CP402" i="57"/>
  <c r="CP404" i="57"/>
  <c r="CP403" i="57"/>
  <c r="CP401" i="57"/>
  <c r="CP400" i="57"/>
  <c r="CP409" i="57"/>
  <c r="CP405" i="57"/>
  <c r="CP410" i="57"/>
  <c r="CP408" i="57"/>
  <c r="CP406" i="57"/>
  <c r="CP407" i="57"/>
  <c r="CP413" i="57"/>
  <c r="CP411" i="57"/>
  <c r="CP412" i="57"/>
  <c r="CP416" i="57"/>
  <c r="CP414" i="57"/>
  <c r="CP415" i="57"/>
  <c r="CP420" i="57"/>
  <c r="CP422" i="57"/>
  <c r="CP419" i="57"/>
  <c r="CP421" i="57"/>
  <c r="CP417" i="57"/>
  <c r="CP418" i="57"/>
  <c r="CP423" i="57"/>
  <c r="CP424" i="57"/>
  <c r="CP425" i="57"/>
  <c r="CP427" i="57"/>
  <c r="CP428" i="57"/>
  <c r="CP426" i="57"/>
  <c r="CP434" i="57"/>
  <c r="CP429" i="57"/>
  <c r="CP431" i="57"/>
  <c r="CP430" i="57"/>
  <c r="CP433" i="57"/>
  <c r="CP432" i="57"/>
  <c r="BC437" i="57"/>
  <c r="DP416" i="57"/>
  <c r="BP416" i="57"/>
  <c r="CQ416" i="57"/>
  <c r="DD416" i="57"/>
  <c r="BQ416" i="57"/>
  <c r="Y440" i="57"/>
  <c r="BI437" i="57"/>
  <c r="CW437" i="57"/>
  <c r="CJ437" i="57"/>
  <c r="CQ433" i="57"/>
  <c r="CP435" i="57"/>
  <c r="T437" i="57"/>
  <c r="BD434" i="57"/>
  <c r="BE434" i="57"/>
  <c r="CP437" i="57"/>
  <c r="CQ133" i="57"/>
  <c r="CQ76" i="57"/>
  <c r="CQ72" i="57"/>
  <c r="CQ75" i="57"/>
  <c r="CQ79" i="57"/>
  <c r="CQ77" i="57"/>
  <c r="CQ81" i="57"/>
  <c r="CQ71" i="57"/>
  <c r="AE14" i="57"/>
  <c r="AE17" i="57" s="1"/>
  <c r="AE22" i="57" s="1"/>
  <c r="CQ82" i="57"/>
  <c r="CQ73" i="57"/>
  <c r="CQ80" i="57"/>
  <c r="CQ78" i="57"/>
  <c r="CQ70" i="57"/>
  <c r="CQ74" i="57"/>
  <c r="AE455" i="57"/>
  <c r="CQ69" i="57"/>
  <c r="CQ85" i="57"/>
  <c r="CQ84" i="57"/>
  <c r="CQ83" i="57"/>
  <c r="CQ86" i="57"/>
  <c r="CQ89" i="57"/>
  <c r="CQ87" i="57"/>
  <c r="CQ88" i="57"/>
  <c r="CQ91" i="57"/>
  <c r="CQ92" i="57"/>
  <c r="CQ90" i="57"/>
  <c r="CQ96" i="57"/>
  <c r="CQ98" i="57"/>
  <c r="CQ94" i="57"/>
  <c r="CQ95" i="57"/>
  <c r="CQ97" i="57"/>
  <c r="CQ101" i="57"/>
  <c r="CQ93" i="57"/>
  <c r="CQ99" i="57"/>
  <c r="CQ100" i="57"/>
  <c r="CQ104" i="57"/>
  <c r="CQ103" i="57"/>
  <c r="CQ102" i="57"/>
  <c r="CQ107" i="57"/>
  <c r="CQ105" i="57"/>
  <c r="CQ106" i="57"/>
  <c r="CQ110" i="57"/>
  <c r="CQ109" i="57"/>
  <c r="CQ108" i="57"/>
  <c r="CQ111" i="57"/>
  <c r="CQ113" i="57"/>
  <c r="CQ112" i="57"/>
  <c r="CQ116" i="57"/>
  <c r="CQ114" i="57"/>
  <c r="CQ119" i="57"/>
  <c r="CQ115" i="57"/>
  <c r="CQ118" i="57"/>
  <c r="CQ120" i="57"/>
  <c r="CQ121" i="57"/>
  <c r="CQ117" i="57"/>
  <c r="CQ124" i="57"/>
  <c r="CQ122" i="57"/>
  <c r="CQ123" i="57"/>
  <c r="CQ128" i="57"/>
  <c r="CQ130" i="57"/>
  <c r="CQ129" i="57"/>
  <c r="CQ127" i="57"/>
  <c r="CQ126" i="57"/>
  <c r="CQ125" i="57"/>
  <c r="CQ132" i="57"/>
  <c r="CQ131" i="57"/>
  <c r="CQ135" i="57"/>
  <c r="CQ136" i="57"/>
  <c r="CQ134" i="57"/>
  <c r="CQ138" i="57"/>
  <c r="CQ139" i="57"/>
  <c r="CQ141" i="57"/>
  <c r="CQ137" i="57"/>
  <c r="CQ142" i="57"/>
  <c r="CQ145" i="57"/>
  <c r="CQ144" i="57"/>
  <c r="CQ143" i="57"/>
  <c r="CQ140" i="57"/>
  <c r="CQ147" i="57"/>
  <c r="CQ148" i="57"/>
  <c r="CQ146" i="57"/>
  <c r="CQ151" i="57"/>
  <c r="CQ154" i="57"/>
  <c r="CQ149" i="57"/>
  <c r="CQ150" i="57"/>
  <c r="CQ153" i="57"/>
  <c r="CQ159" i="57"/>
  <c r="CQ160" i="57"/>
  <c r="CQ156" i="57"/>
  <c r="CQ157" i="57"/>
  <c r="CQ152" i="57"/>
  <c r="CQ155" i="57"/>
  <c r="CQ162" i="57"/>
  <c r="CQ166" i="57"/>
  <c r="CQ163" i="57"/>
  <c r="CQ165" i="57"/>
  <c r="CQ161" i="57"/>
  <c r="CQ172" i="57"/>
  <c r="CQ169" i="57"/>
  <c r="CQ158" i="57"/>
  <c r="CQ171" i="57"/>
  <c r="CQ168" i="57"/>
  <c r="CQ177" i="57"/>
  <c r="CQ175" i="57"/>
  <c r="CQ174" i="57"/>
  <c r="CQ164" i="57"/>
  <c r="CQ178" i="57"/>
  <c r="CQ180" i="57"/>
  <c r="CQ181" i="57"/>
  <c r="CQ167" i="57"/>
  <c r="CQ170" i="57"/>
  <c r="CQ183" i="57"/>
  <c r="CQ173" i="57"/>
  <c r="CQ184" i="57"/>
  <c r="CQ186" i="57"/>
  <c r="CQ190" i="57"/>
  <c r="CQ189" i="57"/>
  <c r="CQ187" i="57"/>
  <c r="CQ176" i="57"/>
  <c r="CQ192" i="57"/>
  <c r="CQ193" i="57"/>
  <c r="CQ179" i="57"/>
  <c r="CQ182" i="57"/>
  <c r="CQ199" i="57"/>
  <c r="CQ185" i="57"/>
  <c r="CQ195" i="57"/>
  <c r="CQ198" i="57"/>
  <c r="CQ196" i="57"/>
  <c r="CQ205" i="57"/>
  <c r="CQ202" i="57"/>
  <c r="CQ204" i="57"/>
  <c r="CQ188" i="57"/>
  <c r="CQ201" i="57"/>
  <c r="CQ208" i="57"/>
  <c r="CQ207" i="57"/>
  <c r="CQ191" i="57"/>
  <c r="CQ214" i="57"/>
  <c r="CQ210" i="57"/>
  <c r="CQ213" i="57"/>
  <c r="CQ194" i="57"/>
  <c r="CQ211" i="57"/>
  <c r="CQ217" i="57"/>
  <c r="CQ200" i="57"/>
  <c r="CQ220" i="57"/>
  <c r="CQ197" i="57"/>
  <c r="CQ219" i="57"/>
  <c r="CQ216" i="57"/>
  <c r="CQ223" i="57"/>
  <c r="CQ222" i="57"/>
  <c r="CQ203" i="57"/>
  <c r="CQ226" i="57"/>
  <c r="CQ206" i="57"/>
  <c r="CQ225" i="57"/>
  <c r="CQ228" i="57"/>
  <c r="CQ229" i="57"/>
  <c r="CQ212" i="57"/>
  <c r="CQ209" i="57"/>
  <c r="CQ231" i="57"/>
  <c r="CQ232" i="57"/>
  <c r="CQ234" i="57"/>
  <c r="CQ235" i="57"/>
  <c r="CQ215" i="57"/>
  <c r="CQ218" i="57"/>
  <c r="CQ221" i="57"/>
  <c r="CQ237" i="57"/>
  <c r="CQ238" i="57"/>
  <c r="CQ240" i="57"/>
  <c r="CQ241" i="57"/>
  <c r="CQ224" i="57"/>
  <c r="CQ227" i="57"/>
  <c r="CQ243" i="57"/>
  <c r="CQ246" i="57"/>
  <c r="CQ244" i="57"/>
  <c r="CQ247" i="57"/>
  <c r="CQ252" i="57"/>
  <c r="CQ253" i="57"/>
  <c r="CQ249" i="57"/>
  <c r="CQ250" i="57"/>
  <c r="CQ255" i="57"/>
  <c r="CQ233" i="57"/>
  <c r="CQ256" i="57"/>
  <c r="CQ230" i="57"/>
  <c r="CQ261" i="57"/>
  <c r="CQ262" i="57"/>
  <c r="CQ258" i="57"/>
  <c r="CQ236" i="57"/>
  <c r="CQ259" i="57"/>
  <c r="CQ239" i="57"/>
  <c r="CQ265" i="57"/>
  <c r="CQ264" i="57"/>
  <c r="CQ242" i="57"/>
  <c r="CQ245" i="57"/>
  <c r="CQ248" i="57"/>
  <c r="CQ268" i="57"/>
  <c r="CQ267" i="57"/>
  <c r="CQ251" i="57"/>
  <c r="CQ270" i="57"/>
  <c r="CQ271" i="57"/>
  <c r="CQ273" i="57"/>
  <c r="CQ274" i="57"/>
  <c r="CQ254" i="57"/>
  <c r="CQ280" i="57"/>
  <c r="CQ279" i="57"/>
  <c r="CQ257" i="57"/>
  <c r="CQ277" i="57"/>
  <c r="CQ260" i="57"/>
  <c r="CQ276" i="57"/>
  <c r="CQ263" i="57"/>
  <c r="CQ282" i="57"/>
  <c r="CQ286" i="57"/>
  <c r="CQ285" i="57"/>
  <c r="CQ283" i="57"/>
  <c r="CQ288" i="57"/>
  <c r="CQ266" i="57"/>
  <c r="CQ289" i="57"/>
  <c r="CQ291" i="57"/>
  <c r="CQ292" i="57"/>
  <c r="CQ269" i="57"/>
  <c r="CQ275" i="57"/>
  <c r="CQ294" i="57"/>
  <c r="CQ295" i="57"/>
  <c r="CQ272" i="57"/>
  <c r="CQ297" i="57"/>
  <c r="CQ278" i="57"/>
  <c r="CQ298" i="57"/>
  <c r="CQ304" i="57"/>
  <c r="CQ303" i="57"/>
  <c r="CQ281" i="57"/>
  <c r="CQ301" i="57"/>
  <c r="CQ300" i="57"/>
  <c r="CQ306" i="57"/>
  <c r="CQ307" i="57"/>
  <c r="CQ284" i="57"/>
  <c r="CQ309" i="57"/>
  <c r="CQ310" i="57"/>
  <c r="CQ312" i="57"/>
  <c r="CQ287" i="57"/>
  <c r="CQ313" i="57"/>
  <c r="CQ316" i="57"/>
  <c r="CQ290" i="57"/>
  <c r="CQ319" i="57"/>
  <c r="CQ318" i="57"/>
  <c r="CQ315" i="57"/>
  <c r="CQ322" i="57"/>
  <c r="CQ321" i="57"/>
  <c r="CQ293" i="57"/>
  <c r="CQ296" i="57"/>
  <c r="CQ328" i="57"/>
  <c r="CQ325" i="57"/>
  <c r="CQ324" i="57"/>
  <c r="CQ299" i="57"/>
  <c r="CQ327" i="57"/>
  <c r="CQ302" i="57"/>
  <c r="CQ305" i="57"/>
  <c r="CQ330" i="57"/>
  <c r="CQ331" i="57"/>
  <c r="CQ334" i="57"/>
  <c r="CQ333" i="57"/>
  <c r="CQ308" i="57"/>
  <c r="CQ339" i="57"/>
  <c r="CQ337" i="57"/>
  <c r="CQ340" i="57"/>
  <c r="CQ336" i="57"/>
  <c r="CQ314" i="57"/>
  <c r="CQ311" i="57"/>
  <c r="CQ320" i="57"/>
  <c r="CQ343" i="57"/>
  <c r="CQ317" i="57"/>
  <c r="CQ342" i="57"/>
  <c r="CQ345" i="57"/>
  <c r="CQ346" i="57"/>
  <c r="CQ323" i="57"/>
  <c r="CQ329" i="57"/>
  <c r="CQ348" i="57"/>
  <c r="CQ326" i="57"/>
  <c r="CQ352" i="57"/>
  <c r="CQ349" i="57"/>
  <c r="CQ351" i="57"/>
  <c r="CQ354" i="57"/>
  <c r="CQ332" i="57"/>
  <c r="CQ355" i="57"/>
  <c r="CQ335" i="57"/>
  <c r="CQ358" i="57"/>
  <c r="CQ360" i="57"/>
  <c r="CQ361" i="57"/>
  <c r="CQ338" i="57"/>
  <c r="CQ357" i="57"/>
  <c r="CQ363" i="57"/>
  <c r="CQ364" i="57"/>
  <c r="CQ341" i="57"/>
  <c r="AE42" i="57"/>
  <c r="CQ344" i="57"/>
  <c r="CQ347" i="57"/>
  <c r="CQ366" i="57"/>
  <c r="CQ367" i="57"/>
  <c r="CQ369" i="57"/>
  <c r="CQ372" i="57"/>
  <c r="CQ370" i="57"/>
  <c r="CQ373" i="57"/>
  <c r="CQ350" i="57"/>
  <c r="CQ375" i="57"/>
  <c r="CQ376" i="57"/>
  <c r="CQ353" i="57"/>
  <c r="CQ382" i="57"/>
  <c r="CQ378" i="57"/>
  <c r="CQ379" i="57"/>
  <c r="CQ359" i="57"/>
  <c r="CQ356" i="57"/>
  <c r="CQ381" i="57"/>
  <c r="CQ385" i="57"/>
  <c r="CQ384" i="57"/>
  <c r="CQ362" i="57"/>
  <c r="CQ388" i="57"/>
  <c r="CQ368" i="57"/>
  <c r="CQ390" i="57"/>
  <c r="CQ365" i="57"/>
  <c r="CQ391" i="57"/>
  <c r="CQ387" i="57"/>
  <c r="CQ394" i="57"/>
  <c r="CQ393" i="57"/>
  <c r="CQ397" i="57"/>
  <c r="CQ396" i="57"/>
  <c r="CQ371" i="57"/>
  <c r="CQ399" i="57"/>
  <c r="CQ400" i="57"/>
  <c r="CQ377" i="57"/>
  <c r="CQ402" i="57"/>
  <c r="CQ403" i="57"/>
  <c r="CQ380" i="57"/>
  <c r="CQ374" i="57"/>
  <c r="CQ406" i="57"/>
  <c r="CQ409" i="57"/>
  <c r="CQ386" i="57"/>
  <c r="CQ383" i="57"/>
  <c r="CQ405" i="57"/>
  <c r="CQ408" i="57"/>
  <c r="CQ411" i="57"/>
  <c r="CQ412" i="57"/>
  <c r="CQ415" i="57"/>
  <c r="CQ414" i="57"/>
  <c r="CQ389" i="57"/>
  <c r="CQ392" i="57"/>
  <c r="CQ418" i="57"/>
  <c r="CQ417" i="57"/>
  <c r="CQ395" i="57"/>
  <c r="CQ420" i="57"/>
  <c r="CQ421" i="57"/>
  <c r="CQ427" i="57"/>
  <c r="CQ398" i="57"/>
  <c r="CQ423" i="57"/>
  <c r="CQ426" i="57"/>
  <c r="CQ424" i="57"/>
  <c r="CQ401" i="57"/>
  <c r="CQ429" i="57"/>
  <c r="CQ430" i="57"/>
  <c r="CQ404" i="57"/>
  <c r="CQ432" i="57"/>
  <c r="CQ407" i="57"/>
  <c r="P437" i="57"/>
  <c r="AZ437" i="57" s="1"/>
  <c r="AZ434" i="57"/>
  <c r="CY442" i="57"/>
  <c r="CY440" i="57"/>
  <c r="BH440" i="57"/>
  <c r="DA440" i="57"/>
  <c r="DE440" i="57"/>
  <c r="CA437" i="57"/>
  <c r="BD431" i="57"/>
  <c r="BE431" i="57"/>
  <c r="BC434" i="57"/>
  <c r="CA434" i="57"/>
  <c r="CP436" i="57"/>
  <c r="CP440" i="57"/>
  <c r="W13" i="57"/>
  <c r="CI439" i="57" s="1"/>
  <c r="X456" i="57"/>
  <c r="X510" i="57"/>
  <c r="BJ425" i="57"/>
  <c r="BK425" i="57"/>
  <c r="DJ425" i="57"/>
  <c r="CX425" i="57"/>
  <c r="CQ410" i="57"/>
  <c r="BN440" i="57"/>
  <c r="DN440" i="57"/>
  <c r="DB440" i="57"/>
  <c r="CP439" i="57"/>
  <c r="CO440" i="57"/>
  <c r="CP438" i="57"/>
  <c r="DO443" i="57"/>
  <c r="V434" i="57"/>
  <c r="BF431" i="57"/>
  <c r="CD431" i="57"/>
  <c r="CG431" i="57"/>
  <c r="BG431" i="57"/>
  <c r="AB416" i="57"/>
  <c r="DL413" i="57"/>
  <c r="CZ413" i="57"/>
  <c r="CM413" i="57"/>
  <c r="BL413" i="57"/>
  <c r="BM413" i="57"/>
  <c r="DC440" i="57"/>
  <c r="AF419" i="57"/>
  <c r="AF422" i="57"/>
  <c r="T440" i="57"/>
  <c r="BE442" i="57" s="1"/>
  <c r="BD441" i="57"/>
  <c r="Z428" i="57"/>
  <c r="BE440" i="57"/>
  <c r="CY443" i="57"/>
  <c r="CI443" i="57"/>
  <c r="BH443" i="57"/>
  <c r="DE443" i="57"/>
  <c r="DA443" i="57"/>
  <c r="BL433" i="57"/>
  <c r="DL433" i="57"/>
  <c r="CZ433" i="57"/>
  <c r="AB419" i="57"/>
  <c r="CM433" i="57"/>
  <c r="BM433" i="57"/>
  <c r="CW442" i="57"/>
  <c r="BI442" i="57"/>
  <c r="CJ442" i="57"/>
  <c r="CJ58" i="57" s="1"/>
  <c r="BA435" i="57"/>
  <c r="BB435" i="57"/>
  <c r="BF439" i="57"/>
  <c r="V437" i="57"/>
  <c r="CD439" i="57"/>
  <c r="CG439" i="57"/>
  <c r="BG439" i="57"/>
  <c r="BN443" i="57"/>
  <c r="DN443" i="57"/>
  <c r="DB443" i="57"/>
  <c r="CO443" i="57"/>
  <c r="CP441" i="57"/>
  <c r="AZ441" i="57"/>
  <c r="CW441" i="57"/>
  <c r="BI441" i="57"/>
  <c r="AK441" i="57"/>
  <c r="Y443" i="57"/>
  <c r="Y13" i="57" s="1"/>
  <c r="CK435" i="57" s="1"/>
  <c r="CJ441" i="57"/>
  <c r="CJ57" i="57" s="1"/>
  <c r="BO443" i="57"/>
  <c r="BC441" i="57"/>
  <c r="CA441" i="57"/>
  <c r="CA57" i="57" s="1"/>
  <c r="P440" i="57"/>
  <c r="AZ442" i="57" s="1"/>
  <c r="AZ440" i="57"/>
  <c r="CP443" i="57"/>
  <c r="CP442" i="57"/>
  <c r="N437" i="57"/>
  <c r="Q422" i="57"/>
  <c r="L434" i="57"/>
  <c r="L437" i="57" s="1"/>
  <c r="DC443" i="57"/>
  <c r="S440" i="57"/>
  <c r="K83" i="102"/>
  <c r="X84" i="41"/>
  <c r="X46" i="62"/>
  <c r="X66" i="62"/>
  <c r="X56" i="62"/>
  <c r="AG42" i="40"/>
  <c r="AM42" i="40"/>
  <c r="AL42" i="40"/>
  <c r="AI42" i="40"/>
  <c r="AH42" i="40"/>
  <c r="AN42" i="40"/>
  <c r="AO42" i="40"/>
  <c r="AK42" i="40"/>
  <c r="AJ42" i="40"/>
  <c r="AF15" i="40"/>
  <c r="BD442" i="57" l="1"/>
  <c r="CA440" i="57"/>
  <c r="BC440" i="57"/>
  <c r="BD440" i="57"/>
  <c r="CO59" i="57"/>
  <c r="CO63" i="57" s="1"/>
  <c r="DJ438" i="57"/>
  <c r="CX428" i="57"/>
  <c r="BJ428" i="57"/>
  <c r="DJ428" i="57"/>
  <c r="BK428" i="57"/>
  <c r="CK428" i="57"/>
  <c r="CI441" i="57"/>
  <c r="BP419" i="57"/>
  <c r="CQ419" i="57"/>
  <c r="DP419" i="57"/>
  <c r="DD419" i="57"/>
  <c r="BQ419" i="57"/>
  <c r="DD422" i="57"/>
  <c r="BP422" i="57"/>
  <c r="DP422" i="57"/>
  <c r="CQ422" i="57"/>
  <c r="BQ422" i="57"/>
  <c r="AE456" i="57"/>
  <c r="AE510" i="57"/>
  <c r="CP59" i="57"/>
  <c r="CP63" i="57" s="1"/>
  <c r="BO59" i="57"/>
  <c r="BO57" i="57"/>
  <c r="BO58" i="57"/>
  <c r="BA422" i="57"/>
  <c r="BB422" i="57"/>
  <c r="CG437" i="57"/>
  <c r="BG437" i="57"/>
  <c r="CD437" i="57"/>
  <c r="BF437" i="57"/>
  <c r="CM416" i="57"/>
  <c r="BL416" i="57"/>
  <c r="CZ416" i="57"/>
  <c r="DL416" i="57"/>
  <c r="BM416" i="57"/>
  <c r="BF434" i="57"/>
  <c r="CD434" i="57"/>
  <c r="CG434" i="57"/>
  <c r="BG434" i="57"/>
  <c r="CI69" i="57"/>
  <c r="CI94" i="57"/>
  <c r="CI93" i="57"/>
  <c r="CI98" i="57"/>
  <c r="CI81" i="57"/>
  <c r="CI86" i="57"/>
  <c r="CI100" i="57"/>
  <c r="CI90" i="57"/>
  <c r="CI87" i="57"/>
  <c r="CI84" i="57"/>
  <c r="CI75" i="57"/>
  <c r="CI76" i="57"/>
  <c r="CI74" i="57"/>
  <c r="CI70" i="57"/>
  <c r="CI89" i="57"/>
  <c r="CI73" i="57"/>
  <c r="CI85" i="57"/>
  <c r="CI101" i="57"/>
  <c r="CI77" i="57"/>
  <c r="CI96" i="57"/>
  <c r="CI91" i="57"/>
  <c r="CI82" i="57"/>
  <c r="CI83" i="57"/>
  <c r="CI97" i="57"/>
  <c r="CI72" i="57"/>
  <c r="W455" i="57"/>
  <c r="CI99" i="57"/>
  <c r="CI79" i="57"/>
  <c r="CI71" i="57"/>
  <c r="CI95" i="57"/>
  <c r="CI80" i="57"/>
  <c r="CI78" i="57"/>
  <c r="CI92" i="57"/>
  <c r="CI88" i="57"/>
  <c r="W14" i="57"/>
  <c r="W17" i="57" s="1"/>
  <c r="W22" i="57" s="1"/>
  <c r="CI106" i="57"/>
  <c r="CI103" i="57"/>
  <c r="CI105" i="57"/>
  <c r="CI104" i="57"/>
  <c r="CI107" i="57"/>
  <c r="CI102" i="57"/>
  <c r="CI110" i="57"/>
  <c r="CI109" i="57"/>
  <c r="CI108" i="57"/>
  <c r="CI115" i="57"/>
  <c r="CI112" i="57"/>
  <c r="CI113" i="57"/>
  <c r="CI116" i="57"/>
  <c r="CI114" i="57"/>
  <c r="CI111" i="57"/>
  <c r="CI119" i="57"/>
  <c r="CI118" i="57"/>
  <c r="CI117" i="57"/>
  <c r="CI120" i="57"/>
  <c r="CI122" i="57"/>
  <c r="CI121" i="57"/>
  <c r="CI123" i="57"/>
  <c r="CI124" i="57"/>
  <c r="CI125" i="57"/>
  <c r="CI128" i="57"/>
  <c r="CI136" i="57"/>
  <c r="CI129" i="57"/>
  <c r="CI135" i="57"/>
  <c r="CI130" i="57"/>
  <c r="CI126" i="57"/>
  <c r="CI127" i="57"/>
  <c r="CI132" i="57"/>
  <c r="CI131" i="57"/>
  <c r="CI133" i="57"/>
  <c r="CI142" i="57"/>
  <c r="CI134" i="57"/>
  <c r="CI141" i="57"/>
  <c r="CI137" i="57"/>
  <c r="CI139" i="57"/>
  <c r="CI138" i="57"/>
  <c r="CI147" i="57"/>
  <c r="CI145" i="57"/>
  <c r="CI144" i="57"/>
  <c r="CI143" i="57"/>
  <c r="CI140" i="57"/>
  <c r="CI148" i="57"/>
  <c r="CI151" i="57"/>
  <c r="CI150" i="57"/>
  <c r="CI153" i="57"/>
  <c r="CI154" i="57"/>
  <c r="CI146" i="57"/>
  <c r="CI160" i="57"/>
  <c r="CI149" i="57"/>
  <c r="CI152" i="57"/>
  <c r="CI159" i="57"/>
  <c r="CI157" i="57"/>
  <c r="CI156" i="57"/>
  <c r="CI163" i="57"/>
  <c r="CI158" i="57"/>
  <c r="CI162" i="57"/>
  <c r="CI165" i="57"/>
  <c r="CI155" i="57"/>
  <c r="CI166" i="57"/>
  <c r="CI161" i="57"/>
  <c r="CI169" i="57"/>
  <c r="CI168" i="57"/>
  <c r="CI171" i="57"/>
  <c r="CI172" i="57"/>
  <c r="CI164" i="57"/>
  <c r="CI167" i="57"/>
  <c r="CI174" i="57"/>
  <c r="CI175" i="57"/>
  <c r="CI170" i="57"/>
  <c r="CI177" i="57"/>
  <c r="CI178" i="57"/>
  <c r="CI173" i="57"/>
  <c r="CI181" i="57"/>
  <c r="CI180" i="57"/>
  <c r="CI184" i="57"/>
  <c r="CI176" i="57"/>
  <c r="CI183" i="57"/>
  <c r="CI182" i="57"/>
  <c r="CI186" i="57"/>
  <c r="CI179" i="57"/>
  <c r="CI187" i="57"/>
  <c r="CI193" i="57"/>
  <c r="CI192" i="57"/>
  <c r="CI189" i="57"/>
  <c r="CI185" i="57"/>
  <c r="CI190" i="57"/>
  <c r="CI196" i="57"/>
  <c r="CI188" i="57"/>
  <c r="CI195" i="57"/>
  <c r="CI198" i="57"/>
  <c r="CI199" i="57"/>
  <c r="CI201" i="57"/>
  <c r="CI191" i="57"/>
  <c r="CI194" i="57"/>
  <c r="CI202" i="57"/>
  <c r="CI205" i="57"/>
  <c r="CI200" i="57"/>
  <c r="CI197" i="57"/>
  <c r="CI204" i="57"/>
  <c r="CI206" i="57"/>
  <c r="CI210" i="57"/>
  <c r="CI207" i="57"/>
  <c r="CI211" i="57"/>
  <c r="CI208" i="57"/>
  <c r="CI203" i="57"/>
  <c r="CI213" i="57"/>
  <c r="CI214" i="57"/>
  <c r="CI209" i="57"/>
  <c r="CI212" i="57"/>
  <c r="CI215" i="57"/>
  <c r="CI216" i="57"/>
  <c r="CI217" i="57"/>
  <c r="CI222" i="57"/>
  <c r="CI218" i="57"/>
  <c r="CI223" i="57"/>
  <c r="CI219" i="57"/>
  <c r="CI220" i="57"/>
  <c r="CI226" i="57"/>
  <c r="CI225" i="57"/>
  <c r="CI224" i="57"/>
  <c r="CI221" i="57"/>
  <c r="CI230" i="57"/>
  <c r="CI228" i="57"/>
  <c r="CI229" i="57"/>
  <c r="CI227" i="57"/>
  <c r="CI231" i="57"/>
  <c r="CI232" i="57"/>
  <c r="CI233" i="57"/>
  <c r="CI235" i="57"/>
  <c r="CI236" i="57"/>
  <c r="CI239" i="57"/>
  <c r="CI234" i="57"/>
  <c r="CI244" i="57"/>
  <c r="CI245" i="57"/>
  <c r="CI238" i="57"/>
  <c r="CI240" i="57"/>
  <c r="CI237" i="57"/>
  <c r="CI241" i="57"/>
  <c r="CI242" i="57"/>
  <c r="CI243" i="57"/>
  <c r="CI251" i="57"/>
  <c r="CI246" i="57"/>
  <c r="CI248" i="57"/>
  <c r="CI247" i="57"/>
  <c r="CI250" i="57"/>
  <c r="CI249" i="57"/>
  <c r="CI254" i="57"/>
  <c r="CI252" i="57"/>
  <c r="CI253" i="57"/>
  <c r="CI257" i="57"/>
  <c r="CI255" i="57"/>
  <c r="CI256" i="57"/>
  <c r="CI258" i="57"/>
  <c r="CI259" i="57"/>
  <c r="CI260" i="57"/>
  <c r="CI261" i="57"/>
  <c r="CI262" i="57"/>
  <c r="CI263" i="57"/>
  <c r="CI267" i="57"/>
  <c r="CI269" i="57"/>
  <c r="CI264" i="57"/>
  <c r="CI265" i="57"/>
  <c r="CI266" i="57"/>
  <c r="CI268" i="57"/>
  <c r="CI272" i="57"/>
  <c r="CI270" i="57"/>
  <c r="CI271" i="57"/>
  <c r="CI274" i="57"/>
  <c r="CI281" i="57"/>
  <c r="CI273" i="57"/>
  <c r="CI275" i="57"/>
  <c r="CI279" i="57"/>
  <c r="CI280" i="57"/>
  <c r="CI283" i="57"/>
  <c r="CI276" i="57"/>
  <c r="CI284" i="57"/>
  <c r="CI277" i="57"/>
  <c r="CI278" i="57"/>
  <c r="CI282" i="57"/>
  <c r="CI286" i="57"/>
  <c r="CI285" i="57"/>
  <c r="CI287" i="57"/>
  <c r="CI288" i="57"/>
  <c r="CI289" i="57"/>
  <c r="CI290" i="57"/>
  <c r="CI294" i="57"/>
  <c r="CI295" i="57"/>
  <c r="CI292" i="57"/>
  <c r="CI291" i="57"/>
  <c r="CI296" i="57"/>
  <c r="CI293" i="57"/>
  <c r="CI297" i="57"/>
  <c r="CI299" i="57"/>
  <c r="CI302" i="57"/>
  <c r="CI300" i="57"/>
  <c r="CI301" i="57"/>
  <c r="CI298" i="57"/>
  <c r="CI303" i="57"/>
  <c r="CI304" i="57"/>
  <c r="CI305" i="57"/>
  <c r="CI308" i="57"/>
  <c r="CI306" i="57"/>
  <c r="CI307" i="57"/>
  <c r="CI309" i="57"/>
  <c r="CI312" i="57"/>
  <c r="CI310" i="57"/>
  <c r="CI313" i="57"/>
  <c r="CI311" i="57"/>
  <c r="CI314" i="57"/>
  <c r="CI317" i="57"/>
  <c r="CI315" i="57"/>
  <c r="CI316" i="57"/>
  <c r="CI319" i="57"/>
  <c r="CI320" i="57"/>
  <c r="CI318" i="57"/>
  <c r="CI325" i="57"/>
  <c r="CI323" i="57"/>
  <c r="CI326" i="57"/>
  <c r="CI321" i="57"/>
  <c r="CI322" i="57"/>
  <c r="CI324" i="57"/>
  <c r="CI327" i="57"/>
  <c r="CI331" i="57"/>
  <c r="CI332" i="57"/>
  <c r="CI329" i="57"/>
  <c r="CI330" i="57"/>
  <c r="CI328" i="57"/>
  <c r="CI338" i="57"/>
  <c r="CI334" i="57"/>
  <c r="CI336" i="57"/>
  <c r="CI333" i="57"/>
  <c r="CI335" i="57"/>
  <c r="CI337" i="57"/>
  <c r="CI342" i="57"/>
  <c r="CI343" i="57"/>
  <c r="CI341" i="57"/>
  <c r="CI340" i="57"/>
  <c r="CI344" i="57"/>
  <c r="CI339" i="57"/>
  <c r="CI345" i="57"/>
  <c r="CI346" i="57"/>
  <c r="CI347" i="57"/>
  <c r="CI349" i="57"/>
  <c r="CI353" i="57"/>
  <c r="CI351" i="57"/>
  <c r="CI352" i="57"/>
  <c r="CI350" i="57"/>
  <c r="CI348" i="57"/>
  <c r="CI354" i="57"/>
  <c r="CI355" i="57"/>
  <c r="CI356" i="57"/>
  <c r="CI357" i="57"/>
  <c r="CI359" i="57"/>
  <c r="CI358" i="57"/>
  <c r="CI362" i="57"/>
  <c r="CI361" i="57"/>
  <c r="CI360" i="57"/>
  <c r="CI365" i="57"/>
  <c r="CI364" i="57"/>
  <c r="CI363" i="57"/>
  <c r="CI366" i="57"/>
  <c r="CI367" i="57"/>
  <c r="CI368" i="57"/>
  <c r="CI369" i="57"/>
  <c r="CI370" i="57"/>
  <c r="CI371" i="57"/>
  <c r="CI374" i="57"/>
  <c r="CI372" i="57"/>
  <c r="CI373" i="57"/>
  <c r="CI377" i="57"/>
  <c r="CI376" i="57"/>
  <c r="CI375" i="57"/>
  <c r="CI384" i="57"/>
  <c r="CI381" i="57"/>
  <c r="CI378" i="57"/>
  <c r="CI386" i="57"/>
  <c r="CI380" i="57"/>
  <c r="CI385" i="57"/>
  <c r="CI382" i="57"/>
  <c r="CI383" i="57"/>
  <c r="CI379" i="57"/>
  <c r="CI389" i="57"/>
  <c r="CI388" i="57"/>
  <c r="CI387" i="57"/>
  <c r="CI392" i="57"/>
  <c r="CI393" i="57"/>
  <c r="CI394" i="57"/>
  <c r="CI391" i="57"/>
  <c r="CI390" i="57"/>
  <c r="CI395" i="57"/>
  <c r="CI401" i="57"/>
  <c r="CI397" i="57"/>
  <c r="CI396" i="57"/>
  <c r="CI399" i="57"/>
  <c r="CI398" i="57"/>
  <c r="CI400" i="57"/>
  <c r="CI405" i="57"/>
  <c r="CI408" i="57"/>
  <c r="CI402" i="57"/>
  <c r="CI409" i="57"/>
  <c r="CI403" i="57"/>
  <c r="CI407" i="57"/>
  <c r="CI404" i="57"/>
  <c r="CI406" i="57"/>
  <c r="CI410" i="57"/>
  <c r="CI412" i="57"/>
  <c r="CI411" i="57"/>
  <c r="CI413" i="57"/>
  <c r="CI416" i="57"/>
  <c r="CI414" i="57"/>
  <c r="CI415" i="57"/>
  <c r="CI423" i="57"/>
  <c r="CI418" i="57"/>
  <c r="CI422" i="57"/>
  <c r="CI424" i="57"/>
  <c r="CI420" i="57"/>
  <c r="CI419" i="57"/>
  <c r="CI421" i="57"/>
  <c r="CI425" i="57"/>
  <c r="CI417" i="57"/>
  <c r="CI428" i="57"/>
  <c r="CI427" i="57"/>
  <c r="CI426" i="57"/>
  <c r="CI429" i="57"/>
  <c r="CI430" i="57"/>
  <c r="CI431" i="57"/>
  <c r="CI434" i="57"/>
  <c r="CI432" i="57"/>
  <c r="CI433" i="57"/>
  <c r="CI436" i="57"/>
  <c r="CI435" i="57"/>
  <c r="CI437" i="57"/>
  <c r="CI438" i="57"/>
  <c r="AD456" i="57"/>
  <c r="AD510" i="57"/>
  <c r="CK100" i="57"/>
  <c r="CK99" i="57"/>
  <c r="CK92" i="57"/>
  <c r="CK80" i="57"/>
  <c r="CK85" i="57"/>
  <c r="CK95" i="57"/>
  <c r="CK101" i="57"/>
  <c r="CK81" i="57"/>
  <c r="CK83" i="57"/>
  <c r="CK69" i="57"/>
  <c r="CK87" i="57"/>
  <c r="CK86" i="57"/>
  <c r="CK70" i="57"/>
  <c r="CK76" i="57"/>
  <c r="CK89" i="57"/>
  <c r="CK74" i="57"/>
  <c r="CK77" i="57"/>
  <c r="CK93" i="57"/>
  <c r="CK84" i="57"/>
  <c r="CK90" i="57"/>
  <c r="CK78" i="57"/>
  <c r="CK97" i="57"/>
  <c r="CK96" i="57"/>
  <c r="CK94" i="57"/>
  <c r="CK98" i="57"/>
  <c r="CK71" i="57"/>
  <c r="CK82" i="57"/>
  <c r="CK79" i="57"/>
  <c r="CK75" i="57"/>
  <c r="CK72" i="57"/>
  <c r="CK73" i="57"/>
  <c r="CK91" i="57"/>
  <c r="CK88" i="57"/>
  <c r="Y455" i="57"/>
  <c r="Y14" i="57"/>
  <c r="Y17" i="57" s="1"/>
  <c r="Y22" i="57" s="1"/>
  <c r="CK105" i="57"/>
  <c r="CK104" i="57"/>
  <c r="CK106" i="57"/>
  <c r="CK103" i="57"/>
  <c r="CK107" i="57"/>
  <c r="CK102" i="57"/>
  <c r="CK108" i="57"/>
  <c r="CK109" i="57"/>
  <c r="CK110" i="57"/>
  <c r="CK111" i="57"/>
  <c r="CK112" i="57"/>
  <c r="CK113" i="57"/>
  <c r="CK115" i="57"/>
  <c r="CK114" i="57"/>
  <c r="CK116" i="57"/>
  <c r="CK121" i="57"/>
  <c r="CK117" i="57"/>
  <c r="CK118" i="57"/>
  <c r="CK119" i="57"/>
  <c r="CK120" i="57"/>
  <c r="CK125" i="57"/>
  <c r="CK122" i="57"/>
  <c r="CK127" i="57"/>
  <c r="CK126" i="57"/>
  <c r="CK123" i="57"/>
  <c r="CK124" i="57"/>
  <c r="CK128" i="57"/>
  <c r="CK131" i="57"/>
  <c r="CK129" i="57"/>
  <c r="CK130" i="57"/>
  <c r="CK132" i="57"/>
  <c r="CK133" i="57"/>
  <c r="CK134" i="57"/>
  <c r="CK135" i="57"/>
  <c r="CK136" i="57"/>
  <c r="CK137" i="57"/>
  <c r="CK140" i="57"/>
  <c r="CK138" i="57"/>
  <c r="CK139" i="57"/>
  <c r="CK146" i="57"/>
  <c r="CK141" i="57"/>
  <c r="CK142" i="57"/>
  <c r="CK143" i="57"/>
  <c r="CK144" i="57"/>
  <c r="CK145" i="57"/>
  <c r="CK148" i="57"/>
  <c r="CK149" i="57"/>
  <c r="CK147" i="57"/>
  <c r="CK155" i="57"/>
  <c r="CK152" i="57"/>
  <c r="CK150" i="57"/>
  <c r="CK151" i="57"/>
  <c r="CK153" i="57"/>
  <c r="CK154" i="57"/>
  <c r="CK158" i="57"/>
  <c r="CK156" i="57"/>
  <c r="CK157" i="57"/>
  <c r="CK159" i="57"/>
  <c r="CK160" i="57"/>
  <c r="CK161" i="57"/>
  <c r="CK162" i="57"/>
  <c r="CK163" i="57"/>
  <c r="CK169" i="57"/>
  <c r="CK168" i="57"/>
  <c r="CK166" i="57"/>
  <c r="CK164" i="57"/>
  <c r="CK165" i="57"/>
  <c r="CK167" i="57"/>
  <c r="CK170" i="57"/>
  <c r="CK174" i="57"/>
  <c r="CK175" i="57"/>
  <c r="CK171" i="57"/>
  <c r="CK172" i="57"/>
  <c r="CK173" i="57"/>
  <c r="CK177" i="57"/>
  <c r="CK178" i="57"/>
  <c r="CK176" i="57"/>
  <c r="CK181" i="57"/>
  <c r="CK179" i="57"/>
  <c r="CK180" i="57"/>
  <c r="CK184" i="57"/>
  <c r="CK185" i="57"/>
  <c r="CK187" i="57"/>
  <c r="CK186" i="57"/>
  <c r="CK182" i="57"/>
  <c r="CK183" i="57"/>
  <c r="CK193" i="57"/>
  <c r="CK191" i="57"/>
  <c r="CK189" i="57"/>
  <c r="CK188" i="57"/>
  <c r="CK192" i="57"/>
  <c r="CK190" i="57"/>
  <c r="CK195" i="57"/>
  <c r="CK196" i="57"/>
  <c r="CK194" i="57"/>
  <c r="CK197" i="57"/>
  <c r="CK199" i="57"/>
  <c r="CK198" i="57"/>
  <c r="CK201" i="57"/>
  <c r="CK200" i="57"/>
  <c r="CK202" i="57"/>
  <c r="CK206" i="57"/>
  <c r="CK203" i="57"/>
  <c r="CK208" i="57"/>
  <c r="CK207" i="57"/>
  <c r="CK204" i="57"/>
  <c r="CK205" i="57"/>
  <c r="CK211" i="57"/>
  <c r="CK210" i="57"/>
  <c r="CK209" i="57"/>
  <c r="CK216" i="57"/>
  <c r="CK214" i="57"/>
  <c r="CK213" i="57"/>
  <c r="CK220" i="57"/>
  <c r="CK212" i="57"/>
  <c r="CK219" i="57"/>
  <c r="CK215" i="57"/>
  <c r="CK217" i="57"/>
  <c r="CK218" i="57"/>
  <c r="CK222" i="57"/>
  <c r="CK223" i="57"/>
  <c r="CK221" i="57"/>
  <c r="CK226" i="57"/>
  <c r="CK225" i="57"/>
  <c r="CK224" i="57"/>
  <c r="CK228" i="57"/>
  <c r="CK232" i="57"/>
  <c r="CK229" i="57"/>
  <c r="CK231" i="57"/>
  <c r="CK227" i="57"/>
  <c r="CK233" i="57"/>
  <c r="CK234" i="57"/>
  <c r="CK230" i="57"/>
  <c r="CK235" i="57"/>
  <c r="CK238" i="57"/>
  <c r="CK237" i="57"/>
  <c r="CK244" i="57"/>
  <c r="CK236" i="57"/>
  <c r="CK241" i="57"/>
  <c r="CK243" i="57"/>
  <c r="CK240" i="57"/>
  <c r="CK246" i="57"/>
  <c r="CK239" i="57"/>
  <c r="CK247" i="57"/>
  <c r="CK250" i="57"/>
  <c r="CK242" i="57"/>
  <c r="CK245" i="57"/>
  <c r="CK249" i="57"/>
  <c r="CK253" i="57"/>
  <c r="CK252" i="57"/>
  <c r="CK248" i="57"/>
  <c r="CK255" i="57"/>
  <c r="CK256" i="57"/>
  <c r="CK254" i="57"/>
  <c r="CK258" i="57"/>
  <c r="CK251" i="57"/>
  <c r="CK259" i="57"/>
  <c r="CK261" i="57"/>
  <c r="CK257" i="57"/>
  <c r="CK262" i="57"/>
  <c r="CK264" i="57"/>
  <c r="CK260" i="57"/>
  <c r="CK265" i="57"/>
  <c r="CK268" i="57"/>
  <c r="CK267" i="57"/>
  <c r="CK263" i="57"/>
  <c r="CK269" i="57"/>
  <c r="CK266" i="57"/>
  <c r="CK273" i="57"/>
  <c r="CK274" i="57"/>
  <c r="CK271" i="57"/>
  <c r="CK270" i="57"/>
  <c r="CK272" i="57"/>
  <c r="CK277" i="57"/>
  <c r="CK275" i="57"/>
  <c r="CK276" i="57"/>
  <c r="CK283" i="57"/>
  <c r="CK282" i="57"/>
  <c r="CK279" i="57"/>
  <c r="CK278" i="57"/>
  <c r="CK280" i="57"/>
  <c r="CK286" i="57"/>
  <c r="CK285" i="57"/>
  <c r="CK281" i="57"/>
  <c r="CK289" i="57"/>
  <c r="CK287" i="57"/>
  <c r="CK284" i="57"/>
  <c r="CK291" i="57"/>
  <c r="CK292" i="57"/>
  <c r="CK294" i="57"/>
  <c r="CK288" i="57"/>
  <c r="CK295" i="57"/>
  <c r="CK298" i="57"/>
  <c r="CK297" i="57"/>
  <c r="CK290" i="57"/>
  <c r="CK293" i="57"/>
  <c r="CK296" i="57"/>
  <c r="CK300" i="57"/>
  <c r="CK301" i="57"/>
  <c r="CK306" i="57"/>
  <c r="CK307" i="57"/>
  <c r="CK299" i="57"/>
  <c r="CK304" i="57"/>
  <c r="CK309" i="57"/>
  <c r="CK303" i="57"/>
  <c r="CK310" i="57"/>
  <c r="CK313" i="57"/>
  <c r="CK305" i="57"/>
  <c r="CK302" i="57"/>
  <c r="CK312" i="57"/>
  <c r="CK308" i="57"/>
  <c r="CK316" i="57"/>
  <c r="CK315" i="57"/>
  <c r="CK314" i="57"/>
  <c r="CK322" i="57"/>
  <c r="CK321" i="57"/>
  <c r="CK311" i="57"/>
  <c r="CK318" i="57"/>
  <c r="CK319" i="57"/>
  <c r="CK324" i="57"/>
  <c r="CK327" i="57"/>
  <c r="CK325" i="57"/>
  <c r="CK328" i="57"/>
  <c r="CK320" i="57"/>
  <c r="CK317" i="57"/>
  <c r="CK330" i="57"/>
  <c r="CK331" i="57"/>
  <c r="CK323" i="57"/>
  <c r="CK336" i="57"/>
  <c r="CK326" i="57"/>
  <c r="CK333" i="57"/>
  <c r="CK334" i="57"/>
  <c r="CK337" i="57"/>
  <c r="CK340" i="57"/>
  <c r="CK339" i="57"/>
  <c r="CK329" i="57"/>
  <c r="CK343" i="57"/>
  <c r="CK342" i="57"/>
  <c r="CK332" i="57"/>
  <c r="CK345" i="57"/>
  <c r="CK346" i="57"/>
  <c r="CK348" i="57"/>
  <c r="CK335" i="57"/>
  <c r="CK349" i="57"/>
  <c r="CK341" i="57"/>
  <c r="CK338" i="57"/>
  <c r="CK352" i="57"/>
  <c r="CK355" i="57"/>
  <c r="Y42" i="57"/>
  <c r="CK354" i="57"/>
  <c r="CK351" i="57"/>
  <c r="CK363" i="57"/>
  <c r="CK344" i="57"/>
  <c r="CK364" i="57"/>
  <c r="CK347" i="57"/>
  <c r="CK357" i="57"/>
  <c r="CK360" i="57"/>
  <c r="CK358" i="57"/>
  <c r="CK361" i="57"/>
  <c r="CK366" i="57"/>
  <c r="CK367" i="57"/>
  <c r="CK350" i="57"/>
  <c r="CK356" i="57"/>
  <c r="CK369" i="57"/>
  <c r="CK353" i="57"/>
  <c r="CK370" i="57"/>
  <c r="CK376" i="57"/>
  <c r="CK375" i="57"/>
  <c r="CK373" i="57"/>
  <c r="CK359" i="57"/>
  <c r="CK372" i="57"/>
  <c r="CK365" i="57"/>
  <c r="CK362" i="57"/>
  <c r="CK379" i="57"/>
  <c r="CK378" i="57"/>
  <c r="CK384" i="57"/>
  <c r="CK382" i="57"/>
  <c r="CK381" i="57"/>
  <c r="CK368" i="57"/>
  <c r="CK385" i="57"/>
  <c r="CK371" i="57"/>
  <c r="CK390" i="57"/>
  <c r="CK387" i="57"/>
  <c r="CK374" i="57"/>
  <c r="CK391" i="57"/>
  <c r="CK388" i="57"/>
  <c r="CK377" i="57"/>
  <c r="CK393" i="57"/>
  <c r="CK394" i="57"/>
  <c r="CK399" i="57"/>
  <c r="CK396" i="57"/>
  <c r="CK400" i="57"/>
  <c r="CK397" i="57"/>
  <c r="CK380" i="57"/>
  <c r="CK383" i="57"/>
  <c r="CK402" i="57"/>
  <c r="CK403" i="57"/>
  <c r="CK386" i="57"/>
  <c r="CK405" i="57"/>
  <c r="CK406" i="57"/>
  <c r="CK392" i="57"/>
  <c r="CK409" i="57"/>
  <c r="CK408" i="57"/>
  <c r="CK389" i="57"/>
  <c r="CK411" i="57"/>
  <c r="CK412" i="57"/>
  <c r="CK395" i="57"/>
  <c r="CK398" i="57"/>
  <c r="CK414" i="57"/>
  <c r="CK415" i="57"/>
  <c r="CK401" i="57"/>
  <c r="CK404" i="57"/>
  <c r="CK417" i="57"/>
  <c r="CK418" i="57"/>
  <c r="CK407" i="57"/>
  <c r="CK421" i="57"/>
  <c r="CK423" i="57"/>
  <c r="CK424" i="57"/>
  <c r="CK410" i="57"/>
  <c r="CK420" i="57"/>
  <c r="CK413" i="57"/>
  <c r="CK416" i="57"/>
  <c r="CK427" i="57"/>
  <c r="CK426" i="57"/>
  <c r="CK422" i="57"/>
  <c r="CK433" i="57"/>
  <c r="CK432" i="57"/>
  <c r="CK436" i="57"/>
  <c r="CK430" i="57"/>
  <c r="CK419" i="57"/>
  <c r="CK429" i="57"/>
  <c r="BH57" i="57"/>
  <c r="BH58" i="57"/>
  <c r="BH59" i="57"/>
  <c r="CI442" i="57"/>
  <c r="CP57" i="57"/>
  <c r="BN59" i="57"/>
  <c r="BN57" i="57"/>
  <c r="BN58" i="57"/>
  <c r="CM419" i="57"/>
  <c r="CZ419" i="57"/>
  <c r="BL419" i="57"/>
  <c r="DL419" i="57"/>
  <c r="BM419" i="57"/>
  <c r="CI440" i="57"/>
  <c r="BE441" i="57"/>
  <c r="BE437" i="57"/>
  <c r="BD437" i="57"/>
  <c r="CJ440" i="57"/>
  <c r="CW440" i="57"/>
  <c r="BI440" i="57"/>
  <c r="CP58" i="57"/>
  <c r="BA419" i="57"/>
  <c r="BB419" i="57"/>
  <c r="CK425" i="57"/>
  <c r="T443" i="57"/>
  <c r="BP436" i="57"/>
  <c r="DP436" i="57"/>
  <c r="BQ436" i="57"/>
  <c r="DD436" i="57"/>
  <c r="CQ436" i="57"/>
  <c r="AR435" i="57"/>
  <c r="CQ435" i="57"/>
  <c r="BQ435" i="57"/>
  <c r="DP435" i="57"/>
  <c r="AS435" i="57"/>
  <c r="BP435" i="57"/>
  <c r="DD435" i="57"/>
  <c r="AF425" i="57"/>
  <c r="BK438" i="57"/>
  <c r="AM438" i="57"/>
  <c r="Z431" i="57"/>
  <c r="CK438" i="57"/>
  <c r="AL438" i="57"/>
  <c r="CX438" i="57"/>
  <c r="BJ438" i="57"/>
  <c r="BC442" i="57"/>
  <c r="CA442" i="57"/>
  <c r="CA58" i="57" s="1"/>
  <c r="BI443" i="57"/>
  <c r="CW443" i="57"/>
  <c r="CJ443" i="57"/>
  <c r="L440" i="57"/>
  <c r="L443" i="57" s="1"/>
  <c r="L13" i="57" s="1"/>
  <c r="BA436" i="57"/>
  <c r="BB436" i="57"/>
  <c r="Q425" i="57"/>
  <c r="BL435" i="57"/>
  <c r="CZ435" i="57"/>
  <c r="DL435" i="57"/>
  <c r="AN435" i="57"/>
  <c r="CM435" i="57"/>
  <c r="BM435" i="57"/>
  <c r="AO435" i="57"/>
  <c r="BF441" i="57"/>
  <c r="CD441" i="57"/>
  <c r="CD57" i="57" s="1"/>
  <c r="CG441" i="57"/>
  <c r="CG57" i="57" s="1"/>
  <c r="BG441" i="57"/>
  <c r="BE443" i="57"/>
  <c r="S443" i="57"/>
  <c r="P443" i="57"/>
  <c r="V440" i="57"/>
  <c r="DJ439" i="57"/>
  <c r="Z437" i="57"/>
  <c r="CK439" i="57"/>
  <c r="BK439" i="57"/>
  <c r="N440" i="57"/>
  <c r="N443" i="57" s="1"/>
  <c r="N13" i="57" s="1"/>
  <c r="AB422" i="57"/>
  <c r="X85" i="41"/>
  <c r="X39" i="93"/>
  <c r="X41" i="93" s="1"/>
  <c r="CC43" i="90"/>
  <c r="X36" i="12"/>
  <c r="X48" i="62"/>
  <c r="X58" i="62"/>
  <c r="X38" i="62"/>
  <c r="CC91" i="90"/>
  <c r="CN91" i="90" s="1"/>
  <c r="X94" i="56" s="1"/>
  <c r="CC101" i="90"/>
  <c r="CN101" i="90" s="1"/>
  <c r="X104" i="56" s="1"/>
  <c r="CC123" i="90"/>
  <c r="CN123" i="90" s="1"/>
  <c r="X126" i="56" s="1"/>
  <c r="CC143" i="90"/>
  <c r="CN143" i="90" s="1"/>
  <c r="X146" i="56" s="1"/>
  <c r="CC68" i="90"/>
  <c r="CN68" i="90" s="1"/>
  <c r="X71" i="56" s="1"/>
  <c r="CC121" i="90"/>
  <c r="CN121" i="90" s="1"/>
  <c r="X124" i="56" s="1"/>
  <c r="CC66" i="90"/>
  <c r="CN66" i="90" s="1"/>
  <c r="X69" i="56" s="1"/>
  <c r="CC62" i="90"/>
  <c r="CN62" i="90" s="1"/>
  <c r="X65" i="56" s="1"/>
  <c r="CC82" i="90"/>
  <c r="CN82" i="90" s="1"/>
  <c r="X85" i="56" s="1"/>
  <c r="CC85" i="90"/>
  <c r="CN85" i="90" s="1"/>
  <c r="X88" i="56" s="1"/>
  <c r="CC127" i="90"/>
  <c r="CN127" i="90" s="1"/>
  <c r="X130" i="56" s="1"/>
  <c r="CC88" i="90"/>
  <c r="CN88" i="90" s="1"/>
  <c r="X91" i="56" s="1"/>
  <c r="CC70" i="90"/>
  <c r="CN70" i="90" s="1"/>
  <c r="X73" i="56" s="1"/>
  <c r="CC75" i="90"/>
  <c r="CN75" i="90" s="1"/>
  <c r="X78" i="56" s="1"/>
  <c r="CC100" i="90"/>
  <c r="CN100" i="90" s="1"/>
  <c r="X103" i="56" s="1"/>
  <c r="CC50" i="90"/>
  <c r="CN50" i="90" s="1"/>
  <c r="X53" i="56" s="1"/>
  <c r="CC94" i="90"/>
  <c r="CN94" i="90" s="1"/>
  <c r="X97" i="56" s="1"/>
  <c r="CC67" i="90"/>
  <c r="CN67" i="90" s="1"/>
  <c r="X70" i="56" s="1"/>
  <c r="CC141" i="90"/>
  <c r="CN141" i="90" s="1"/>
  <c r="X144" i="56" s="1"/>
  <c r="CC125" i="90"/>
  <c r="CN125" i="90" s="1"/>
  <c r="X128" i="56" s="1"/>
  <c r="CC109" i="90"/>
  <c r="CN109" i="90" s="1"/>
  <c r="X112" i="56" s="1"/>
  <c r="CC87" i="90"/>
  <c r="CN87" i="90" s="1"/>
  <c r="X90" i="56" s="1"/>
  <c r="CC47" i="90"/>
  <c r="CN47" i="90" s="1"/>
  <c r="X50" i="56" s="1"/>
  <c r="CC59" i="90"/>
  <c r="CN59" i="90" s="1"/>
  <c r="X62" i="56" s="1"/>
  <c r="CC114" i="90"/>
  <c r="CN114" i="90" s="1"/>
  <c r="X117" i="56" s="1"/>
  <c r="CC103" i="90"/>
  <c r="CN103" i="90" s="1"/>
  <c r="X106" i="56" s="1"/>
  <c r="CC115" i="90"/>
  <c r="CN115" i="90" s="1"/>
  <c r="X118" i="56" s="1"/>
  <c r="CC48" i="90"/>
  <c r="CN48" i="90" s="1"/>
  <c r="X51" i="56" s="1"/>
  <c r="CC120" i="90"/>
  <c r="CN120" i="90" s="1"/>
  <c r="X123" i="56" s="1"/>
  <c r="CC89" i="90"/>
  <c r="CN89" i="90" s="1"/>
  <c r="X92" i="56" s="1"/>
  <c r="CC81" i="90"/>
  <c r="CN81" i="90" s="1"/>
  <c r="X84" i="56" s="1"/>
  <c r="CC46" i="90"/>
  <c r="CN46" i="90" s="1"/>
  <c r="X49" i="56" s="1"/>
  <c r="CC108" i="90"/>
  <c r="CN108" i="90" s="1"/>
  <c r="X111" i="56" s="1"/>
  <c r="CC55" i="90"/>
  <c r="CN55" i="90" s="1"/>
  <c r="X58" i="56" s="1"/>
  <c r="CC142" i="90"/>
  <c r="CN142" i="90" s="1"/>
  <c r="X145" i="56" s="1"/>
  <c r="CC136" i="90"/>
  <c r="CN136" i="90" s="1"/>
  <c r="X139" i="56" s="1"/>
  <c r="CC95" i="90"/>
  <c r="CN95" i="90" s="1"/>
  <c r="X98" i="56" s="1"/>
  <c r="CC110" i="90"/>
  <c r="CN110" i="90" s="1"/>
  <c r="X113" i="56" s="1"/>
  <c r="CC145" i="90"/>
  <c r="CC86" i="90"/>
  <c r="CN86" i="90" s="1"/>
  <c r="X89" i="56" s="1"/>
  <c r="CC72" i="90"/>
  <c r="CN72" i="90" s="1"/>
  <c r="X75" i="56" s="1"/>
  <c r="CC92" i="90"/>
  <c r="CN92" i="90" s="1"/>
  <c r="X95" i="56" s="1"/>
  <c r="CC126" i="90"/>
  <c r="CN126" i="90" s="1"/>
  <c r="X129" i="56" s="1"/>
  <c r="CC61" i="90"/>
  <c r="CC146" i="90"/>
  <c r="CC79" i="90"/>
  <c r="CN79" i="90" s="1"/>
  <c r="X82" i="56" s="1"/>
  <c r="CC104" i="90"/>
  <c r="CN104" i="90" s="1"/>
  <c r="X107" i="56" s="1"/>
  <c r="CC57" i="90"/>
  <c r="CN57" i="90" s="1"/>
  <c r="X60" i="56" s="1"/>
  <c r="CC71" i="90"/>
  <c r="CN71" i="90" s="1"/>
  <c r="X74" i="56" s="1"/>
  <c r="CC105" i="90"/>
  <c r="CN105" i="90" s="1"/>
  <c r="X108" i="56" s="1"/>
  <c r="CC76" i="90"/>
  <c r="CN76" i="90" s="1"/>
  <c r="X79" i="56" s="1"/>
  <c r="CC74" i="90"/>
  <c r="CN74" i="90" s="1"/>
  <c r="X77" i="56" s="1"/>
  <c r="CC111" i="90"/>
  <c r="CN111" i="90" s="1"/>
  <c r="X114" i="56" s="1"/>
  <c r="CC131" i="90"/>
  <c r="CN131" i="90" s="1"/>
  <c r="X134" i="56" s="1"/>
  <c r="CC119" i="90"/>
  <c r="CN119" i="90" s="1"/>
  <c r="X122" i="56" s="1"/>
  <c r="CC77" i="90"/>
  <c r="CN77" i="90" s="1"/>
  <c r="X80" i="56" s="1"/>
  <c r="CC98" i="90"/>
  <c r="CN98" i="90" s="1"/>
  <c r="X101" i="56" s="1"/>
  <c r="CC116" i="90"/>
  <c r="CN116" i="90" s="1"/>
  <c r="X119" i="56" s="1"/>
  <c r="CC90" i="90"/>
  <c r="CN90" i="90" s="1"/>
  <c r="X93" i="56" s="1"/>
  <c r="CC117" i="90"/>
  <c r="CN117" i="90" s="1"/>
  <c r="X120" i="56" s="1"/>
  <c r="CC113" i="90"/>
  <c r="CN113" i="90" s="1"/>
  <c r="X116" i="56" s="1"/>
  <c r="CC140" i="90"/>
  <c r="CN140" i="90" s="1"/>
  <c r="X143" i="56" s="1"/>
  <c r="CC44" i="90"/>
  <c r="CN44" i="90" s="1"/>
  <c r="X47" i="56" s="1"/>
  <c r="CC118" i="90"/>
  <c r="CN118" i="90" s="1"/>
  <c r="X121" i="56" s="1"/>
  <c r="CC112" i="90"/>
  <c r="CN112" i="90" s="1"/>
  <c r="X115" i="56" s="1"/>
  <c r="CC51" i="90"/>
  <c r="CN51" i="90" s="1"/>
  <c r="X54" i="56" s="1"/>
  <c r="CC60" i="90"/>
  <c r="CN60" i="90" s="1"/>
  <c r="X63" i="56" s="1"/>
  <c r="CN43" i="90"/>
  <c r="CC133" i="90"/>
  <c r="CN133" i="90" s="1"/>
  <c r="X136" i="56" s="1"/>
  <c r="CC84" i="90"/>
  <c r="CN84" i="90" s="1"/>
  <c r="X87" i="56" s="1"/>
  <c r="CC69" i="90"/>
  <c r="CN69" i="90" s="1"/>
  <c r="X72" i="56" s="1"/>
  <c r="CC83" i="90"/>
  <c r="CN83" i="90" s="1"/>
  <c r="X86" i="56" s="1"/>
  <c r="CC99" i="90"/>
  <c r="CN99" i="90" s="1"/>
  <c r="X102" i="56" s="1"/>
  <c r="CC58" i="90"/>
  <c r="CN58" i="90" s="1"/>
  <c r="X61" i="56" s="1"/>
  <c r="CC106" i="90"/>
  <c r="CN106" i="90" s="1"/>
  <c r="X109" i="56" s="1"/>
  <c r="CC73" i="90"/>
  <c r="CN73" i="90" s="1"/>
  <c r="X76" i="56" s="1"/>
  <c r="CC78" i="90"/>
  <c r="CN78" i="90" s="1"/>
  <c r="X81" i="56" s="1"/>
  <c r="CC139" i="90"/>
  <c r="CN139" i="90" s="1"/>
  <c r="X142" i="56" s="1"/>
  <c r="CC64" i="90"/>
  <c r="CN64" i="90" s="1"/>
  <c r="X67" i="56" s="1"/>
  <c r="CC130" i="90"/>
  <c r="CN130" i="90" s="1"/>
  <c r="X133" i="56" s="1"/>
  <c r="CC122" i="90"/>
  <c r="CN122" i="90" s="1"/>
  <c r="X125" i="56" s="1"/>
  <c r="CC137" i="90"/>
  <c r="CN137" i="90" s="1"/>
  <c r="X140" i="56" s="1"/>
  <c r="CC96" i="90"/>
  <c r="CN96" i="90" s="1"/>
  <c r="X99" i="56" s="1"/>
  <c r="CC134" i="90"/>
  <c r="CN134" i="90" s="1"/>
  <c r="X137" i="56" s="1"/>
  <c r="CC97" i="90"/>
  <c r="CN97" i="90" s="1"/>
  <c r="X100" i="56" s="1"/>
  <c r="CC138" i="90"/>
  <c r="CN138" i="90" s="1"/>
  <c r="X141" i="56" s="1"/>
  <c r="CC49" i="90"/>
  <c r="CN49" i="90" s="1"/>
  <c r="X52" i="56" s="1"/>
  <c r="CC144" i="90"/>
  <c r="CC93" i="90"/>
  <c r="CN93" i="90" s="1"/>
  <c r="X96" i="56" s="1"/>
  <c r="CC63" i="90"/>
  <c r="CN63" i="90" s="1"/>
  <c r="X66" i="56" s="1"/>
  <c r="CC107" i="90"/>
  <c r="CN107" i="90" s="1"/>
  <c r="X110" i="56" s="1"/>
  <c r="CC129" i="90"/>
  <c r="CN129" i="90" s="1"/>
  <c r="X132" i="56" s="1"/>
  <c r="CC65" i="90"/>
  <c r="CN65" i="90" s="1"/>
  <c r="X68" i="56" s="1"/>
  <c r="CC135" i="90"/>
  <c r="CN135" i="90" s="1"/>
  <c r="X138" i="56" s="1"/>
  <c r="CC132" i="90"/>
  <c r="CN132" i="90" s="1"/>
  <c r="X135" i="56" s="1"/>
  <c r="CC102" i="90"/>
  <c r="CN102" i="90" s="1"/>
  <c r="X105" i="56" s="1"/>
  <c r="CC45" i="90"/>
  <c r="CN45" i="90" s="1"/>
  <c r="X48" i="56" s="1"/>
  <c r="CC124" i="90"/>
  <c r="CN124" i="90" s="1"/>
  <c r="X127" i="56" s="1"/>
  <c r="AG15" i="40"/>
  <c r="Y85" i="41" s="1"/>
  <c r="CC80" i="90"/>
  <c r="CN80" i="90" s="1"/>
  <c r="X83" i="56" s="1"/>
  <c r="CC128" i="90"/>
  <c r="CN128" i="90" s="1"/>
  <c r="X131" i="56" s="1"/>
  <c r="Y309" i="44" l="1"/>
  <c r="Y310" i="44"/>
  <c r="Y274" i="44"/>
  <c r="Y311" i="44"/>
  <c r="X309" i="44"/>
  <c r="X310" i="44"/>
  <c r="X274" i="44"/>
  <c r="X311" i="44"/>
  <c r="DD425" i="57"/>
  <c r="CQ425" i="57"/>
  <c r="BQ425" i="57"/>
  <c r="BP425" i="57"/>
  <c r="DP425" i="57"/>
  <c r="Y456" i="57"/>
  <c r="Y510" i="57"/>
  <c r="CK57" i="57"/>
  <c r="CX437" i="57"/>
  <c r="DJ437" i="57"/>
  <c r="BJ437" i="57"/>
  <c r="CK437" i="57"/>
  <c r="BK437" i="57"/>
  <c r="L455" i="57"/>
  <c r="L456" i="57" s="1"/>
  <c r="L14" i="57"/>
  <c r="L17" i="57" s="1"/>
  <c r="L22" i="57" s="1"/>
  <c r="CI58" i="57"/>
  <c r="BF440" i="57"/>
  <c r="CD440" i="57"/>
  <c r="CG440" i="57"/>
  <c r="BG440" i="57"/>
  <c r="CI59" i="57"/>
  <c r="AB425" i="57"/>
  <c r="BL422" i="57"/>
  <c r="DL422" i="57"/>
  <c r="CZ422" i="57"/>
  <c r="BM422" i="57"/>
  <c r="CM422" i="57"/>
  <c r="AZ443" i="57"/>
  <c r="P13" i="57"/>
  <c r="BI59" i="57"/>
  <c r="BI57" i="57"/>
  <c r="BI58" i="57"/>
  <c r="Z434" i="57"/>
  <c r="CX431" i="57"/>
  <c r="BK431" i="57"/>
  <c r="DJ431" i="57"/>
  <c r="BJ431" i="57"/>
  <c r="CK431" i="57"/>
  <c r="CC442" i="57"/>
  <c r="T13" i="57"/>
  <c r="CJ59" i="57"/>
  <c r="CJ63" i="57" s="1"/>
  <c r="BE59" i="57"/>
  <c r="BE57" i="57"/>
  <c r="BE58" i="57"/>
  <c r="N455" i="57"/>
  <c r="N456" i="57" s="1"/>
  <c r="N14" i="57"/>
  <c r="N17" i="57" s="1"/>
  <c r="N22" i="57" s="1"/>
  <c r="W456" i="57"/>
  <c r="W510" i="57"/>
  <c r="CA59" i="57"/>
  <c r="CB443" i="57"/>
  <c r="S13" i="57"/>
  <c r="CE443" i="57" s="1"/>
  <c r="BA425" i="57"/>
  <c r="BB425" i="57"/>
  <c r="CF441" i="57"/>
  <c r="CI57" i="57"/>
  <c r="AF428" i="57"/>
  <c r="AF431" i="57"/>
  <c r="CX439" i="57"/>
  <c r="BJ439" i="57"/>
  <c r="CX440" i="57"/>
  <c r="CB442" i="57"/>
  <c r="CE442" i="57"/>
  <c r="BF442" i="57"/>
  <c r="CD442" i="57"/>
  <c r="CD58" i="57" s="1"/>
  <c r="CG442" i="57"/>
  <c r="CG58" i="57" s="1"/>
  <c r="BG442" i="57"/>
  <c r="V443" i="57"/>
  <c r="V13" i="57" s="1"/>
  <c r="CH439" i="57" s="1"/>
  <c r="BC443" i="57"/>
  <c r="CA443" i="57"/>
  <c r="CB441" i="57"/>
  <c r="BD443" i="57"/>
  <c r="DJ441" i="57"/>
  <c r="BJ441" i="57"/>
  <c r="CX441" i="57"/>
  <c r="AL441" i="57"/>
  <c r="CK441" i="57"/>
  <c r="BK441" i="57"/>
  <c r="AM441" i="57"/>
  <c r="Q428" i="57"/>
  <c r="Z440" i="57"/>
  <c r="DJ440" i="57" s="1"/>
  <c r="BL436" i="57"/>
  <c r="DL436" i="57"/>
  <c r="CZ436" i="57"/>
  <c r="AB428" i="57"/>
  <c r="CM436" i="57"/>
  <c r="BM436" i="57"/>
  <c r="X110" i="41"/>
  <c r="X109" i="41"/>
  <c r="X108" i="41"/>
  <c r="X119" i="86"/>
  <c r="X38" i="12"/>
  <c r="Y36" i="12"/>
  <c r="CN145" i="90"/>
  <c r="X148" i="56" s="1"/>
  <c r="X46" i="56"/>
  <c r="CN61" i="90"/>
  <c r="X64" i="56" s="1"/>
  <c r="X31" i="62"/>
  <c r="Y31" i="62" s="1"/>
  <c r="X71" i="62"/>
  <c r="Y71" i="62" s="1"/>
  <c r="X41" i="62"/>
  <c r="Y41" i="62" s="1"/>
  <c r="X51" i="62"/>
  <c r="Y51" i="62" s="1"/>
  <c r="CC42" i="90"/>
  <c r="CD118" i="90"/>
  <c r="CO118" i="90" s="1"/>
  <c r="Y121" i="56" s="1"/>
  <c r="CD136" i="90"/>
  <c r="CO136" i="90" s="1"/>
  <c r="Y139" i="56" s="1"/>
  <c r="CD126" i="90"/>
  <c r="CO126" i="90" s="1"/>
  <c r="Y129" i="56" s="1"/>
  <c r="CD82" i="90"/>
  <c r="CO82" i="90" s="1"/>
  <c r="Y85" i="56" s="1"/>
  <c r="CD76" i="90"/>
  <c r="CO76" i="90" s="1"/>
  <c r="Y79" i="56" s="1"/>
  <c r="CD138" i="90"/>
  <c r="CO138" i="90" s="1"/>
  <c r="Y141" i="56" s="1"/>
  <c r="CD103" i="90"/>
  <c r="CO103" i="90" s="1"/>
  <c r="Y106" i="56" s="1"/>
  <c r="CD120" i="90"/>
  <c r="CO120" i="90" s="1"/>
  <c r="Y123" i="56" s="1"/>
  <c r="CD100" i="90"/>
  <c r="CO100" i="90" s="1"/>
  <c r="Y103" i="56" s="1"/>
  <c r="CD109" i="90"/>
  <c r="CO109" i="90" s="1"/>
  <c r="Y112" i="56" s="1"/>
  <c r="CD67" i="90"/>
  <c r="CO67" i="90" s="1"/>
  <c r="Y70" i="56" s="1"/>
  <c r="CD45" i="90"/>
  <c r="CO45" i="90" s="1"/>
  <c r="Y48" i="56" s="1"/>
  <c r="CD61" i="90"/>
  <c r="CD50" i="90"/>
  <c r="CO50" i="90" s="1"/>
  <c r="Y53" i="56" s="1"/>
  <c r="CD133" i="90"/>
  <c r="CO133" i="90" s="1"/>
  <c r="Y136" i="56" s="1"/>
  <c r="CD101" i="90"/>
  <c r="CO101" i="90" s="1"/>
  <c r="Y104" i="56" s="1"/>
  <c r="CD87" i="90"/>
  <c r="CO87" i="90" s="1"/>
  <c r="Y90" i="56" s="1"/>
  <c r="CD72" i="90"/>
  <c r="CO72" i="90" s="1"/>
  <c r="Y75" i="56" s="1"/>
  <c r="CD70" i="90"/>
  <c r="CO70" i="90" s="1"/>
  <c r="Y73" i="56" s="1"/>
  <c r="CD114" i="90"/>
  <c r="CO114" i="90" s="1"/>
  <c r="Y117" i="56" s="1"/>
  <c r="CD117" i="90"/>
  <c r="CO117" i="90" s="1"/>
  <c r="Y120" i="56" s="1"/>
  <c r="CD69" i="90"/>
  <c r="CO69" i="90" s="1"/>
  <c r="Y72" i="56" s="1"/>
  <c r="CD97" i="90"/>
  <c r="CO97" i="90" s="1"/>
  <c r="Y100" i="56" s="1"/>
  <c r="CD106" i="90"/>
  <c r="CO106" i="90" s="1"/>
  <c r="Y109" i="56" s="1"/>
  <c r="CD90" i="90"/>
  <c r="CO90" i="90" s="1"/>
  <c r="Y93" i="56" s="1"/>
  <c r="CD57" i="90"/>
  <c r="CO57" i="90" s="1"/>
  <c r="Y60" i="56" s="1"/>
  <c r="CD73" i="90"/>
  <c r="CO73" i="90" s="1"/>
  <c r="Y76" i="56" s="1"/>
  <c r="CD102" i="90"/>
  <c r="CO102" i="90" s="1"/>
  <c r="Y105" i="56" s="1"/>
  <c r="CD134" i="90"/>
  <c r="CO134" i="90" s="1"/>
  <c r="Y137" i="56" s="1"/>
  <c r="CD98" i="90"/>
  <c r="CO98" i="90" s="1"/>
  <c r="Y101" i="56" s="1"/>
  <c r="CD108" i="90"/>
  <c r="CO108" i="90" s="1"/>
  <c r="Y111" i="56" s="1"/>
  <c r="CD68" i="90"/>
  <c r="CO68" i="90" s="1"/>
  <c r="Y71" i="56" s="1"/>
  <c r="CD139" i="90"/>
  <c r="CO139" i="90" s="1"/>
  <c r="Y142" i="56" s="1"/>
  <c r="CD140" i="90"/>
  <c r="CO140" i="90" s="1"/>
  <c r="Y143" i="56" s="1"/>
  <c r="CD137" i="90"/>
  <c r="CO137" i="90" s="1"/>
  <c r="Y140" i="56" s="1"/>
  <c r="CD123" i="90"/>
  <c r="CO123" i="90" s="1"/>
  <c r="Y126" i="56" s="1"/>
  <c r="CD99" i="90"/>
  <c r="CO99" i="90" s="1"/>
  <c r="Y102" i="56" s="1"/>
  <c r="CD93" i="90"/>
  <c r="CO93" i="90" s="1"/>
  <c r="Y96" i="56" s="1"/>
  <c r="CD51" i="90"/>
  <c r="CO51" i="90" s="1"/>
  <c r="Y54" i="56" s="1"/>
  <c r="CD86" i="90"/>
  <c r="CO86" i="90" s="1"/>
  <c r="Y89" i="56" s="1"/>
  <c r="CD94" i="90"/>
  <c r="CO94" i="90" s="1"/>
  <c r="Y97" i="56" s="1"/>
  <c r="CD85" i="90"/>
  <c r="CO85" i="90" s="1"/>
  <c r="Y88" i="56" s="1"/>
  <c r="CD62" i="90"/>
  <c r="CO62" i="90" s="1"/>
  <c r="Y65" i="56" s="1"/>
  <c r="CD91" i="90"/>
  <c r="CO91" i="90" s="1"/>
  <c r="Y94" i="56" s="1"/>
  <c r="CD146" i="90"/>
  <c r="CD44" i="90"/>
  <c r="CO44" i="90" s="1"/>
  <c r="Y47" i="56" s="1"/>
  <c r="CD47" i="90"/>
  <c r="CO47" i="90" s="1"/>
  <c r="Y50" i="56" s="1"/>
  <c r="CD74" i="90"/>
  <c r="CO74" i="90" s="1"/>
  <c r="Y77" i="56" s="1"/>
  <c r="CD113" i="90"/>
  <c r="CO113" i="90" s="1"/>
  <c r="Y116" i="56" s="1"/>
  <c r="CD78" i="90"/>
  <c r="CO78" i="90" s="1"/>
  <c r="Y81" i="56" s="1"/>
  <c r="CD59" i="90"/>
  <c r="CO59" i="90" s="1"/>
  <c r="Y62" i="56" s="1"/>
  <c r="CD111" i="90"/>
  <c r="CO111" i="90" s="1"/>
  <c r="Y114" i="56" s="1"/>
  <c r="CD121" i="90"/>
  <c r="CO121" i="90" s="1"/>
  <c r="Y124" i="56" s="1"/>
  <c r="CD64" i="90"/>
  <c r="CO64" i="90" s="1"/>
  <c r="Y67" i="56" s="1"/>
  <c r="CD127" i="90"/>
  <c r="CO127" i="90" s="1"/>
  <c r="Y130" i="56" s="1"/>
  <c r="CD55" i="90"/>
  <c r="CO55" i="90" s="1"/>
  <c r="Y58" i="56" s="1"/>
  <c r="CD110" i="90"/>
  <c r="CO110" i="90" s="1"/>
  <c r="Y113" i="56" s="1"/>
  <c r="CD60" i="90"/>
  <c r="CO60" i="90" s="1"/>
  <c r="Y63" i="56" s="1"/>
  <c r="CD104" i="90"/>
  <c r="CO104" i="90" s="1"/>
  <c r="Y107" i="56" s="1"/>
  <c r="CD119" i="90"/>
  <c r="CO119" i="90" s="1"/>
  <c r="Y122" i="56" s="1"/>
  <c r="CD105" i="90"/>
  <c r="CO105" i="90" s="1"/>
  <c r="Y108" i="56" s="1"/>
  <c r="CD122" i="90"/>
  <c r="CO122" i="90" s="1"/>
  <c r="Y125" i="56" s="1"/>
  <c r="CD46" i="90"/>
  <c r="CO46" i="90" s="1"/>
  <c r="Y49" i="56" s="1"/>
  <c r="CD48" i="90"/>
  <c r="CO48" i="90" s="1"/>
  <c r="Y51" i="56" s="1"/>
  <c r="CD77" i="90"/>
  <c r="CO77" i="90" s="1"/>
  <c r="Y80" i="56" s="1"/>
  <c r="CD142" i="90"/>
  <c r="CO142" i="90" s="1"/>
  <c r="Y145" i="56" s="1"/>
  <c r="CD66" i="90"/>
  <c r="CO66" i="90" s="1"/>
  <c r="Y69" i="56" s="1"/>
  <c r="CD83" i="90"/>
  <c r="CO83" i="90" s="1"/>
  <c r="Y86" i="56" s="1"/>
  <c r="CD65" i="90"/>
  <c r="CO65" i="90" s="1"/>
  <c r="Y68" i="56" s="1"/>
  <c r="CD89" i="90"/>
  <c r="CO89" i="90" s="1"/>
  <c r="Y92" i="56" s="1"/>
  <c r="CD96" i="90"/>
  <c r="CO96" i="90" s="1"/>
  <c r="Y99" i="56" s="1"/>
  <c r="CD84" i="90"/>
  <c r="CO84" i="90" s="1"/>
  <c r="Y87" i="56" s="1"/>
  <c r="CD79" i="90"/>
  <c r="CO79" i="90" s="1"/>
  <c r="Y82" i="56" s="1"/>
  <c r="CD92" i="90"/>
  <c r="CO92" i="90" s="1"/>
  <c r="Y95" i="56" s="1"/>
  <c r="CD81" i="90"/>
  <c r="CO81" i="90" s="1"/>
  <c r="Y84" i="56" s="1"/>
  <c r="CD141" i="90"/>
  <c r="CO141" i="90" s="1"/>
  <c r="Y144" i="56" s="1"/>
  <c r="CD129" i="90"/>
  <c r="CO129" i="90" s="1"/>
  <c r="Y132" i="56" s="1"/>
  <c r="CD116" i="90"/>
  <c r="CO116" i="90" s="1"/>
  <c r="Y119" i="56" s="1"/>
  <c r="CD107" i="90"/>
  <c r="CO107" i="90" s="1"/>
  <c r="Y110" i="56" s="1"/>
  <c r="CD63" i="90"/>
  <c r="CO63" i="90" s="1"/>
  <c r="Y66" i="56" s="1"/>
  <c r="CD112" i="90"/>
  <c r="CO112" i="90" s="1"/>
  <c r="Y115" i="56" s="1"/>
  <c r="CD125" i="90"/>
  <c r="CO125" i="90" s="1"/>
  <c r="Y128" i="56" s="1"/>
  <c r="CD135" i="90"/>
  <c r="CO135" i="90" s="1"/>
  <c r="Y138" i="56" s="1"/>
  <c r="CD130" i="90"/>
  <c r="CO130" i="90" s="1"/>
  <c r="Y133" i="56" s="1"/>
  <c r="CD71" i="90"/>
  <c r="CO71" i="90" s="1"/>
  <c r="Y74" i="56" s="1"/>
  <c r="CD49" i="90"/>
  <c r="CO49" i="90" s="1"/>
  <c r="Y52" i="56" s="1"/>
  <c r="CD80" i="90"/>
  <c r="CO80" i="90" s="1"/>
  <c r="Y83" i="56" s="1"/>
  <c r="CD115" i="90"/>
  <c r="CO115" i="90" s="1"/>
  <c r="Y118" i="56" s="1"/>
  <c r="CD43" i="90"/>
  <c r="CO43" i="90" s="1"/>
  <c r="CD144" i="90"/>
  <c r="CD124" i="90"/>
  <c r="CO124" i="90" s="1"/>
  <c r="Y127" i="56" s="1"/>
  <c r="CD58" i="90"/>
  <c r="CO58" i="90" s="1"/>
  <c r="Y61" i="56" s="1"/>
  <c r="CD75" i="90"/>
  <c r="CO75" i="90" s="1"/>
  <c r="Y78" i="56" s="1"/>
  <c r="CD132" i="90"/>
  <c r="CO132" i="90" s="1"/>
  <c r="Y135" i="56" s="1"/>
  <c r="AH15" i="40"/>
  <c r="Z85" i="41" s="1"/>
  <c r="CD128" i="90"/>
  <c r="CO128" i="90" s="1"/>
  <c r="Y131" i="56" s="1"/>
  <c r="CD143" i="90"/>
  <c r="CO143" i="90" s="1"/>
  <c r="Y146" i="56" s="1"/>
  <c r="CD145" i="90"/>
  <c r="CO145" i="90" s="1"/>
  <c r="Y148" i="56" s="1"/>
  <c r="CD131" i="90"/>
  <c r="CO131" i="90" s="1"/>
  <c r="Y134" i="56" s="1"/>
  <c r="CD88" i="90"/>
  <c r="CO88" i="90" s="1"/>
  <c r="Y91" i="56" s="1"/>
  <c r="Y39" i="93"/>
  <c r="Y41" i="93" s="1"/>
  <c r="CD95" i="90"/>
  <c r="CO95" i="90" s="1"/>
  <c r="Y98" i="56" s="1"/>
  <c r="X186" i="44"/>
  <c r="X85" i="44"/>
  <c r="X84" i="44"/>
  <c r="X277" i="44" s="1"/>
  <c r="X188" i="44"/>
  <c r="X87" i="44"/>
  <c r="X99" i="44"/>
  <c r="X136" i="44"/>
  <c r="X86" i="44"/>
  <c r="X90" i="44"/>
  <c r="X193" i="44"/>
  <c r="X191" i="44"/>
  <c r="X96" i="44"/>
  <c r="X83" i="44"/>
  <c r="X273" i="44" s="1"/>
  <c r="X89" i="44"/>
  <c r="X137" i="44" s="1"/>
  <c r="X61" i="62"/>
  <c r="Y61" i="62" s="1"/>
  <c r="Z309" i="44" l="1"/>
  <c r="Z310" i="44"/>
  <c r="Z311" i="44"/>
  <c r="Z274" i="44"/>
  <c r="Q431" i="57"/>
  <c r="BA428" i="57"/>
  <c r="BB428" i="57"/>
  <c r="AZ58" i="57"/>
  <c r="AZ59" i="57"/>
  <c r="AZ57" i="57"/>
  <c r="BK440" i="57"/>
  <c r="CC100" i="57"/>
  <c r="CC92" i="57"/>
  <c r="CC101" i="57"/>
  <c r="CC81" i="57"/>
  <c r="CC69" i="57"/>
  <c r="CC73" i="57"/>
  <c r="CC84" i="57"/>
  <c r="CC75" i="57"/>
  <c r="CC71" i="57"/>
  <c r="CC79" i="57"/>
  <c r="CC70" i="57"/>
  <c r="CC96" i="57"/>
  <c r="CC80" i="57"/>
  <c r="CC93" i="57"/>
  <c r="CC89" i="57"/>
  <c r="CC74" i="57"/>
  <c r="CC91" i="57"/>
  <c r="CC90" i="57"/>
  <c r="CC78" i="57"/>
  <c r="CC82" i="57"/>
  <c r="CC83" i="57"/>
  <c r="CC85" i="57"/>
  <c r="CC97" i="57"/>
  <c r="CC88" i="57"/>
  <c r="CC86" i="57"/>
  <c r="CC76" i="57"/>
  <c r="CC98" i="57"/>
  <c r="CC99" i="57"/>
  <c r="CC72" i="57"/>
  <c r="CC94" i="57"/>
  <c r="CC77" i="57"/>
  <c r="CC95" i="57"/>
  <c r="CC87" i="57"/>
  <c r="CF71" i="57"/>
  <c r="CF92" i="57"/>
  <c r="CF95" i="57"/>
  <c r="CF84" i="57"/>
  <c r="CF96" i="57"/>
  <c r="CF90" i="57"/>
  <c r="CF89" i="57"/>
  <c r="CF81" i="57"/>
  <c r="CF82" i="57"/>
  <c r="CF94" i="57"/>
  <c r="CF75" i="57"/>
  <c r="CF76" i="57"/>
  <c r="CF78" i="57"/>
  <c r="CF72" i="57"/>
  <c r="CF88" i="57"/>
  <c r="CF74" i="57"/>
  <c r="CF98" i="57"/>
  <c r="CF86" i="57"/>
  <c r="CF99" i="57"/>
  <c r="CF80" i="57"/>
  <c r="CF87" i="57"/>
  <c r="CF93" i="57"/>
  <c r="CF70" i="57"/>
  <c r="CF73" i="57"/>
  <c r="CF100" i="57"/>
  <c r="CF97" i="57"/>
  <c r="T455" i="57"/>
  <c r="CF69" i="57"/>
  <c r="CF79" i="57"/>
  <c r="CF101" i="57"/>
  <c r="CF91" i="57"/>
  <c r="CF85" i="57"/>
  <c r="CF83" i="57"/>
  <c r="CF77" i="57"/>
  <c r="T14" i="57"/>
  <c r="CF102" i="57"/>
  <c r="CF104" i="57"/>
  <c r="CC103" i="57"/>
  <c r="CC107" i="57"/>
  <c r="CC102" i="57"/>
  <c r="CC104" i="57"/>
  <c r="CF103" i="57"/>
  <c r="CF109" i="57"/>
  <c r="CF106" i="57"/>
  <c r="CF110" i="57"/>
  <c r="CC109" i="57"/>
  <c r="CC108" i="57"/>
  <c r="CC105" i="57"/>
  <c r="CF107" i="57"/>
  <c r="CC106" i="57"/>
  <c r="CC110" i="57"/>
  <c r="CF108" i="57"/>
  <c r="CF105" i="57"/>
  <c r="CC112" i="57"/>
  <c r="CF114" i="57"/>
  <c r="CC113" i="57"/>
  <c r="CF112" i="57"/>
  <c r="CF115" i="57"/>
  <c r="CF111" i="57"/>
  <c r="CF113" i="57"/>
  <c r="CC115" i="57"/>
  <c r="CC111" i="57"/>
  <c r="CC114" i="57"/>
  <c r="CF117" i="57"/>
  <c r="CC116" i="57"/>
  <c r="CC119" i="57"/>
  <c r="CC117" i="57"/>
  <c r="CF116" i="57"/>
  <c r="CC118" i="57"/>
  <c r="CF119" i="57"/>
  <c r="CF118" i="57"/>
  <c r="CF120" i="57"/>
  <c r="CC122" i="57"/>
  <c r="CF122" i="57"/>
  <c r="CC120" i="57"/>
  <c r="CC121" i="57"/>
  <c r="CF121" i="57"/>
  <c r="CF125" i="57"/>
  <c r="CC123" i="57"/>
  <c r="CF123" i="57"/>
  <c r="CF124" i="57"/>
  <c r="CC125" i="57"/>
  <c r="CC124" i="57"/>
  <c r="CC128" i="57"/>
  <c r="CF129" i="57"/>
  <c r="CF130" i="57"/>
  <c r="CC127" i="57"/>
  <c r="CC126" i="57"/>
  <c r="CF128" i="57"/>
  <c r="CC130" i="57"/>
  <c r="CF126" i="57"/>
  <c r="CF131" i="57"/>
  <c r="CF127" i="57"/>
  <c r="CC129" i="57"/>
  <c r="CC131" i="57"/>
  <c r="CF132" i="57"/>
  <c r="CC134" i="57"/>
  <c r="CC133" i="57"/>
  <c r="CF134" i="57"/>
  <c r="CC132" i="57"/>
  <c r="CF133" i="57"/>
  <c r="CC140" i="57"/>
  <c r="CC136" i="57"/>
  <c r="CC139" i="57"/>
  <c r="CF135" i="57"/>
  <c r="CF136" i="57"/>
  <c r="CF140" i="57"/>
  <c r="CC138" i="57"/>
  <c r="CC137" i="57"/>
  <c r="CF138" i="57"/>
  <c r="CF137" i="57"/>
  <c r="CC143" i="57"/>
  <c r="CF139" i="57"/>
  <c r="CC135" i="57"/>
  <c r="CF143" i="57"/>
  <c r="CF141" i="57"/>
  <c r="CF142" i="57"/>
  <c r="CF145" i="57"/>
  <c r="CF144" i="57"/>
  <c r="CC146" i="57"/>
  <c r="CC145" i="57"/>
  <c r="CF146" i="57"/>
  <c r="CC141" i="57"/>
  <c r="CC144" i="57"/>
  <c r="CC142" i="57"/>
  <c r="CF148" i="57"/>
  <c r="CC149" i="57"/>
  <c r="CF147" i="57"/>
  <c r="CC148" i="57"/>
  <c r="CF149" i="57"/>
  <c r="CC147" i="57"/>
  <c r="CF155" i="57"/>
  <c r="CF153" i="57"/>
  <c r="CF151" i="57"/>
  <c r="CF154" i="57"/>
  <c r="CC152" i="57"/>
  <c r="CF150" i="57"/>
  <c r="CF152" i="57"/>
  <c r="CC155" i="57"/>
  <c r="CC150" i="57"/>
  <c r="CC161" i="57"/>
  <c r="CC153" i="57"/>
  <c r="CC154" i="57"/>
  <c r="CC151" i="57"/>
  <c r="CF161" i="57"/>
  <c r="CF160" i="57"/>
  <c r="CF159" i="57"/>
  <c r="CC156" i="57"/>
  <c r="CF156" i="57"/>
  <c r="CF157" i="57"/>
  <c r="CC160" i="57"/>
  <c r="CC158" i="57"/>
  <c r="CC159" i="57"/>
  <c r="CC157" i="57"/>
  <c r="CF158" i="57"/>
  <c r="CC165" i="57"/>
  <c r="CC163" i="57"/>
  <c r="CF166" i="57"/>
  <c r="CF162" i="57"/>
  <c r="CF165" i="57"/>
  <c r="CF163" i="57"/>
  <c r="CF164" i="57"/>
  <c r="CF167" i="57"/>
  <c r="CC162" i="57"/>
  <c r="CC164" i="57"/>
  <c r="CC166" i="57"/>
  <c r="CC167" i="57"/>
  <c r="CF169" i="57"/>
  <c r="CC170" i="57"/>
  <c r="CF170" i="57"/>
  <c r="CF168" i="57"/>
  <c r="CC169" i="57"/>
  <c r="CC168" i="57"/>
  <c r="CF171" i="57"/>
  <c r="CF173" i="57"/>
  <c r="CF172" i="57"/>
  <c r="CC173" i="57"/>
  <c r="CF176" i="57"/>
  <c r="CC172" i="57"/>
  <c r="CC171" i="57"/>
  <c r="CC176" i="57"/>
  <c r="CC174" i="57"/>
  <c r="CC175" i="57"/>
  <c r="CF175" i="57"/>
  <c r="CF174" i="57"/>
  <c r="CC177" i="57"/>
  <c r="CF178" i="57"/>
  <c r="CF177" i="57"/>
  <c r="CC179" i="57"/>
  <c r="CF179" i="57"/>
  <c r="CC178" i="57"/>
  <c r="CC185" i="57"/>
  <c r="CF185" i="57"/>
  <c r="CC182" i="57"/>
  <c r="CC183" i="57"/>
  <c r="CF182" i="57"/>
  <c r="CC180" i="57"/>
  <c r="CC181" i="57"/>
  <c r="CC184" i="57"/>
  <c r="CF183" i="57"/>
  <c r="CF180" i="57"/>
  <c r="CF184" i="57"/>
  <c r="CF181" i="57"/>
  <c r="CC187" i="57"/>
  <c r="CF186" i="57"/>
  <c r="CF187" i="57"/>
  <c r="CC188" i="57"/>
  <c r="CF188" i="57"/>
  <c r="CC186" i="57"/>
  <c r="CC190" i="57"/>
  <c r="CC189" i="57"/>
  <c r="CF190" i="57"/>
  <c r="CF189" i="57"/>
  <c r="CF191" i="57"/>
  <c r="CC191" i="57"/>
  <c r="CF192" i="57"/>
  <c r="CF193" i="57"/>
  <c r="CC195" i="57"/>
  <c r="CF194" i="57"/>
  <c r="CC196" i="57"/>
  <c r="CC192" i="57"/>
  <c r="CC194" i="57"/>
  <c r="CF195" i="57"/>
  <c r="CC193" i="57"/>
  <c r="CF196" i="57"/>
  <c r="CC197" i="57"/>
  <c r="CF197" i="57"/>
  <c r="CF201" i="57"/>
  <c r="CF199" i="57"/>
  <c r="CF203" i="57"/>
  <c r="CF202" i="57"/>
  <c r="CC200" i="57"/>
  <c r="CF200" i="57"/>
  <c r="CC198" i="57"/>
  <c r="CC201" i="57"/>
  <c r="CC203" i="57"/>
  <c r="CC202" i="57"/>
  <c r="CC199" i="57"/>
  <c r="CF198" i="57"/>
  <c r="CC206" i="57"/>
  <c r="CF206" i="57"/>
  <c r="CC204" i="57"/>
  <c r="CC205" i="57"/>
  <c r="CF205" i="57"/>
  <c r="CF204" i="57"/>
  <c r="CF210" i="57"/>
  <c r="CC208" i="57"/>
  <c r="CF211" i="57"/>
  <c r="CF212" i="57"/>
  <c r="CF208" i="57"/>
  <c r="CC210" i="57"/>
  <c r="CC212" i="57"/>
  <c r="CF207" i="57"/>
  <c r="CC211" i="57"/>
  <c r="CC209" i="57"/>
  <c r="CF209" i="57"/>
  <c r="CC207" i="57"/>
  <c r="CF217" i="57"/>
  <c r="CF216" i="57"/>
  <c r="CF214" i="57"/>
  <c r="CF218" i="57"/>
  <c r="CF213" i="57"/>
  <c r="CC218" i="57"/>
  <c r="CC216" i="57"/>
  <c r="CC215" i="57"/>
  <c r="CC213" i="57"/>
  <c r="CF215" i="57"/>
  <c r="CC217" i="57"/>
  <c r="CC214" i="57"/>
  <c r="CC219" i="57"/>
  <c r="CF220" i="57"/>
  <c r="CF219" i="57"/>
  <c r="CF221" i="57"/>
  <c r="CC220" i="57"/>
  <c r="CC221" i="57"/>
  <c r="CC227" i="57"/>
  <c r="CC224" i="57"/>
  <c r="CC225" i="57"/>
  <c r="CF227" i="57"/>
  <c r="CF224" i="57"/>
  <c r="CC226" i="57"/>
  <c r="CC223" i="57"/>
  <c r="CC222" i="57"/>
  <c r="CF226" i="57"/>
  <c r="CF222" i="57"/>
  <c r="CF225" i="57"/>
  <c r="CF223" i="57"/>
  <c r="CC229" i="57"/>
  <c r="CF228" i="57"/>
  <c r="CF229" i="57"/>
  <c r="CC230" i="57"/>
  <c r="CC228" i="57"/>
  <c r="CF230" i="57"/>
  <c r="CF232" i="57"/>
  <c r="CC234" i="57"/>
  <c r="CF231" i="57"/>
  <c r="CC235" i="57"/>
  <c r="CC233" i="57"/>
  <c r="CF235" i="57"/>
  <c r="CC231" i="57"/>
  <c r="CF233" i="57"/>
  <c r="CF234" i="57"/>
  <c r="CF236" i="57"/>
  <c r="CC232" i="57"/>
  <c r="CC236" i="57"/>
  <c r="CF241" i="57"/>
  <c r="CC242" i="57"/>
  <c r="CF240" i="57"/>
  <c r="CF242" i="57"/>
  <c r="CC239" i="57"/>
  <c r="CC245" i="57"/>
  <c r="CC238" i="57"/>
  <c r="CC237" i="57"/>
  <c r="CC241" i="57"/>
  <c r="CF238" i="57"/>
  <c r="CF245" i="57"/>
  <c r="CF237" i="57"/>
  <c r="CC240" i="57"/>
  <c r="CF239" i="57"/>
  <c r="CF244" i="57"/>
  <c r="CF246" i="57"/>
  <c r="CC248" i="57"/>
  <c r="CC247" i="57"/>
  <c r="CC243" i="57"/>
  <c r="CC246" i="57"/>
  <c r="CC244" i="57"/>
  <c r="CF248" i="57"/>
  <c r="CF243" i="57"/>
  <c r="CF247" i="57"/>
  <c r="CC254" i="57"/>
  <c r="CC250" i="57"/>
  <c r="CF251" i="57"/>
  <c r="CF252" i="57"/>
  <c r="CF254" i="57"/>
  <c r="CC249" i="57"/>
  <c r="CF253" i="57"/>
  <c r="CF249" i="57"/>
  <c r="CF250" i="57"/>
  <c r="CC252" i="57"/>
  <c r="CC251" i="57"/>
  <c r="CC253" i="57"/>
  <c r="CC257" i="57"/>
  <c r="CC255" i="57"/>
  <c r="CC256" i="57"/>
  <c r="CF257" i="57"/>
  <c r="CF256" i="57"/>
  <c r="CF255" i="57"/>
  <c r="CF260" i="57"/>
  <c r="CC260" i="57"/>
  <c r="CF259" i="57"/>
  <c r="CF258" i="57"/>
  <c r="CC258" i="57"/>
  <c r="CC259" i="57"/>
  <c r="CF266" i="57"/>
  <c r="CF261" i="57"/>
  <c r="CC265" i="57"/>
  <c r="CF263" i="57"/>
  <c r="CF264" i="57"/>
  <c r="CC263" i="57"/>
  <c r="CF265" i="57"/>
  <c r="CC262" i="57"/>
  <c r="CC261" i="57"/>
  <c r="CC266" i="57"/>
  <c r="CF262" i="57"/>
  <c r="CC264" i="57"/>
  <c r="CF269" i="57"/>
  <c r="CC267" i="57"/>
  <c r="CC269" i="57"/>
  <c r="CF268" i="57"/>
  <c r="CF267" i="57"/>
  <c r="CC268" i="57"/>
  <c r="CC275" i="57"/>
  <c r="CF272" i="57"/>
  <c r="CC273" i="57"/>
  <c r="CC270" i="57"/>
  <c r="CC274" i="57"/>
  <c r="CF273" i="57"/>
  <c r="CC271" i="57"/>
  <c r="CF274" i="57"/>
  <c r="CF275" i="57"/>
  <c r="CF270" i="57"/>
  <c r="CF271" i="57"/>
  <c r="CC272" i="57"/>
  <c r="CC276" i="57"/>
  <c r="CC280" i="57"/>
  <c r="CF277" i="57"/>
  <c r="CF279" i="57"/>
  <c r="CF281" i="57"/>
  <c r="CF276" i="57"/>
  <c r="CF280" i="57"/>
  <c r="CF278" i="57"/>
  <c r="CC278" i="57"/>
  <c r="CC277" i="57"/>
  <c r="CC279" i="57"/>
  <c r="CC281" i="57"/>
  <c r="CF282" i="57"/>
  <c r="CF284" i="57"/>
  <c r="CC282" i="57"/>
  <c r="CC284" i="57"/>
  <c r="CC283" i="57"/>
  <c r="CF283" i="57"/>
  <c r="CF287" i="57"/>
  <c r="CC286" i="57"/>
  <c r="CF285" i="57"/>
  <c r="CF286" i="57"/>
  <c r="CC287" i="57"/>
  <c r="CC285" i="57"/>
  <c r="CF290" i="57"/>
  <c r="CC288" i="57"/>
  <c r="CF288" i="57"/>
  <c r="CF289" i="57"/>
  <c r="CC290" i="57"/>
  <c r="CC289" i="57"/>
  <c r="CF292" i="57"/>
  <c r="CF291" i="57"/>
  <c r="CC293" i="57"/>
  <c r="CC292" i="57"/>
  <c r="CF293" i="57"/>
  <c r="CC291" i="57"/>
  <c r="CF296" i="57"/>
  <c r="CC297" i="57"/>
  <c r="CC294" i="57"/>
  <c r="CC296" i="57"/>
  <c r="CC298" i="57"/>
  <c r="CC295" i="57"/>
  <c r="CF297" i="57"/>
  <c r="CF299" i="57"/>
  <c r="CC299" i="57"/>
  <c r="CF298" i="57"/>
  <c r="CF294" i="57"/>
  <c r="CF295" i="57"/>
  <c r="CC305" i="57"/>
  <c r="CF300" i="57"/>
  <c r="CC303" i="57"/>
  <c r="CF305" i="57"/>
  <c r="CF303" i="57"/>
  <c r="CC302" i="57"/>
  <c r="CF304" i="57"/>
  <c r="CF302" i="57"/>
  <c r="CC300" i="57"/>
  <c r="CC301" i="57"/>
  <c r="CC304" i="57"/>
  <c r="CF301" i="57"/>
  <c r="CC308" i="57"/>
  <c r="CC306" i="57"/>
  <c r="CF308" i="57"/>
  <c r="CC307" i="57"/>
  <c r="CF307" i="57"/>
  <c r="CF306" i="57"/>
  <c r="CF309" i="57"/>
  <c r="CF310" i="57"/>
  <c r="CC311" i="57"/>
  <c r="CF311" i="57"/>
  <c r="CC309" i="57"/>
  <c r="CC310" i="57"/>
  <c r="CC314" i="57"/>
  <c r="CF314" i="57"/>
  <c r="CC312" i="57"/>
  <c r="CC313" i="57"/>
  <c r="CF313" i="57"/>
  <c r="CF312" i="57"/>
  <c r="CF315" i="57"/>
  <c r="CF317" i="57"/>
  <c r="CC317" i="57"/>
  <c r="CC316" i="57"/>
  <c r="CC315" i="57"/>
  <c r="CF316" i="57"/>
  <c r="CC322" i="57"/>
  <c r="CF323" i="57"/>
  <c r="CC320" i="57"/>
  <c r="CC321" i="57"/>
  <c r="CC318" i="57"/>
  <c r="CC319" i="57"/>
  <c r="CF322" i="57"/>
  <c r="CF319" i="57"/>
  <c r="CF321" i="57"/>
  <c r="CF318" i="57"/>
  <c r="CF320" i="57"/>
  <c r="CC323" i="57"/>
  <c r="CF328" i="57"/>
  <c r="CC324" i="57"/>
  <c r="CF324" i="57"/>
  <c r="CF325" i="57"/>
  <c r="CC329" i="57"/>
  <c r="CC326" i="57"/>
  <c r="CC328" i="57"/>
  <c r="CF329" i="57"/>
  <c r="CF326" i="57"/>
  <c r="CC327" i="57"/>
  <c r="CC325" i="57"/>
  <c r="CF327" i="57"/>
  <c r="CC330" i="57"/>
  <c r="CC332" i="57"/>
  <c r="CF330" i="57"/>
  <c r="CC331" i="57"/>
  <c r="CF331" i="57"/>
  <c r="CF332" i="57"/>
  <c r="CC334" i="57"/>
  <c r="CF337" i="57"/>
  <c r="CF336" i="57"/>
  <c r="CF335" i="57"/>
  <c r="CF334" i="57"/>
  <c r="CC335" i="57"/>
  <c r="CC336" i="57"/>
  <c r="CC333" i="57"/>
  <c r="CF333" i="57"/>
  <c r="CC337" i="57"/>
  <c r="CF338" i="57"/>
  <c r="CC338" i="57"/>
  <c r="CF341" i="57"/>
  <c r="CC340" i="57"/>
  <c r="CC341" i="57"/>
  <c r="CF340" i="57"/>
  <c r="CC339" i="57"/>
  <c r="CF339" i="57"/>
  <c r="CC342" i="57"/>
  <c r="CC344" i="57"/>
  <c r="CF343" i="57"/>
  <c r="CF342" i="57"/>
  <c r="CC345" i="57"/>
  <c r="CC343" i="57"/>
  <c r="CF346" i="57"/>
  <c r="CF345" i="57"/>
  <c r="CF347" i="57"/>
  <c r="CC346" i="57"/>
  <c r="CF344" i="57"/>
  <c r="CC347" i="57"/>
  <c r="CF349" i="57"/>
  <c r="CF350" i="57"/>
  <c r="CF348" i="57"/>
  <c r="CC350" i="57"/>
  <c r="CC348" i="57"/>
  <c r="CC349" i="57"/>
  <c r="CC353" i="57"/>
  <c r="CC351" i="57"/>
  <c r="CF351" i="57"/>
  <c r="CF353" i="57"/>
  <c r="CF352" i="57"/>
  <c r="CC352" i="57"/>
  <c r="CC358" i="57"/>
  <c r="CF359" i="57"/>
  <c r="CC354" i="57"/>
  <c r="CC356" i="57"/>
  <c r="CC357" i="57"/>
  <c r="CC359" i="57"/>
  <c r="CF354" i="57"/>
  <c r="CF356" i="57"/>
  <c r="CF357" i="57"/>
  <c r="CF355" i="57"/>
  <c r="CF358" i="57"/>
  <c r="CC355" i="57"/>
  <c r="CF361" i="57"/>
  <c r="CF362" i="57"/>
  <c r="CC361" i="57"/>
  <c r="CC362" i="57"/>
  <c r="CC360" i="57"/>
  <c r="CF360" i="57"/>
  <c r="CF364" i="57"/>
  <c r="CF368" i="57"/>
  <c r="CF366" i="57"/>
  <c r="CC368" i="57"/>
  <c r="CF367" i="57"/>
  <c r="CC365" i="57"/>
  <c r="CC364" i="57"/>
  <c r="CC366" i="57"/>
  <c r="CF363" i="57"/>
  <c r="CF365" i="57"/>
  <c r="CC363" i="57"/>
  <c r="CC367" i="57"/>
  <c r="CF374" i="57"/>
  <c r="CC372" i="57"/>
  <c r="CC374" i="57"/>
  <c r="CC370" i="57"/>
  <c r="CC371" i="57"/>
  <c r="CF372" i="57"/>
  <c r="CF369" i="57"/>
  <c r="CF371" i="57"/>
  <c r="CF373" i="57"/>
  <c r="CC369" i="57"/>
  <c r="CC373" i="57"/>
  <c r="CF370" i="57"/>
  <c r="CF379" i="57"/>
  <c r="CF377" i="57"/>
  <c r="CC379" i="57"/>
  <c r="CC375" i="57"/>
  <c r="CF375" i="57"/>
  <c r="CC380" i="57"/>
  <c r="CF378" i="57"/>
  <c r="CF380" i="57"/>
  <c r="CC376" i="57"/>
  <c r="CC377" i="57"/>
  <c r="CC378" i="57"/>
  <c r="CF376" i="57"/>
  <c r="CC382" i="57"/>
  <c r="CC383" i="57"/>
  <c r="CC381" i="57"/>
  <c r="CF383" i="57"/>
  <c r="CC386" i="57"/>
  <c r="CF381" i="57"/>
  <c r="CF385" i="57"/>
  <c r="CF382" i="57"/>
  <c r="CC385" i="57"/>
  <c r="CF386" i="57"/>
  <c r="CC384" i="57"/>
  <c r="CF384" i="57"/>
  <c r="CC388" i="57"/>
  <c r="CC392" i="57"/>
  <c r="CF388" i="57"/>
  <c r="CF390" i="57"/>
  <c r="CF392" i="57"/>
  <c r="CF387" i="57"/>
  <c r="CF391" i="57"/>
  <c r="CC390" i="57"/>
  <c r="CC391" i="57"/>
  <c r="CF389" i="57"/>
  <c r="CC387" i="57"/>
  <c r="CC389" i="57"/>
  <c r="CF393" i="57"/>
  <c r="CC395" i="57"/>
  <c r="CC394" i="57"/>
  <c r="CF395" i="57"/>
  <c r="CF394" i="57"/>
  <c r="CC393" i="57"/>
  <c r="CF396" i="57"/>
  <c r="CF398" i="57"/>
  <c r="CC397" i="57"/>
  <c r="CC398" i="57"/>
  <c r="CF397" i="57"/>
  <c r="CC396" i="57"/>
  <c r="CC400" i="57"/>
  <c r="CC403" i="57"/>
  <c r="CF401" i="57"/>
  <c r="CC401" i="57"/>
  <c r="CF400" i="57"/>
  <c r="CF399" i="57"/>
  <c r="CC399" i="57"/>
  <c r="CF403" i="57"/>
  <c r="CC404" i="57"/>
  <c r="CC402" i="57"/>
  <c r="CF404" i="57"/>
  <c r="CF402" i="57"/>
  <c r="CC406" i="57"/>
  <c r="CF406" i="57"/>
  <c r="CC405" i="57"/>
  <c r="CF407" i="57"/>
  <c r="CF405" i="57"/>
  <c r="CC407" i="57"/>
  <c r="CF409" i="57"/>
  <c r="CC408" i="57"/>
  <c r="CC410" i="57"/>
  <c r="CF408" i="57"/>
  <c r="CF410" i="57"/>
  <c r="CC409" i="57"/>
  <c r="CC414" i="57"/>
  <c r="CF416" i="57"/>
  <c r="CC411" i="57"/>
  <c r="CF414" i="57"/>
  <c r="CF411" i="57"/>
  <c r="CF412" i="57"/>
  <c r="CC415" i="57"/>
  <c r="CF413" i="57"/>
  <c r="CC412" i="57"/>
  <c r="CC416" i="57"/>
  <c r="CC413" i="57"/>
  <c r="CF415" i="57"/>
  <c r="CF419" i="57"/>
  <c r="CC417" i="57"/>
  <c r="CC419" i="57"/>
  <c r="CF417" i="57"/>
  <c r="CF418" i="57"/>
  <c r="CC418" i="57"/>
  <c r="CC421" i="57"/>
  <c r="CF422" i="57"/>
  <c r="CC422" i="57"/>
  <c r="CF421" i="57"/>
  <c r="CF420" i="57"/>
  <c r="CC420" i="57"/>
  <c r="CC425" i="57"/>
  <c r="CC427" i="57"/>
  <c r="CF423" i="57"/>
  <c r="CF427" i="57"/>
  <c r="CC423" i="57"/>
  <c r="CC424" i="57"/>
  <c r="CC428" i="57"/>
  <c r="CF426" i="57"/>
  <c r="CF428" i="57"/>
  <c r="CF425" i="57"/>
  <c r="CC426" i="57"/>
  <c r="CF424" i="57"/>
  <c r="CF429" i="57"/>
  <c r="CC432" i="57"/>
  <c r="CC429" i="57"/>
  <c r="CC431" i="57"/>
  <c r="CC440" i="57"/>
  <c r="CF432" i="57"/>
  <c r="CF434" i="57"/>
  <c r="CC430" i="57"/>
  <c r="CF433" i="57"/>
  <c r="CC434" i="57"/>
  <c r="CF430" i="57"/>
  <c r="CF438" i="57"/>
  <c r="CF439" i="57"/>
  <c r="CC439" i="57"/>
  <c r="CC438" i="57"/>
  <c r="CC433" i="57"/>
  <c r="CF431" i="57"/>
  <c r="CF440" i="57"/>
  <c r="CC435" i="57"/>
  <c r="CF436" i="57"/>
  <c r="CF435" i="57"/>
  <c r="CF442" i="57"/>
  <c r="CF437" i="57"/>
  <c r="CC436" i="57"/>
  <c r="CC437" i="57"/>
  <c r="CF443" i="57"/>
  <c r="CC443" i="57"/>
  <c r="BL425" i="57"/>
  <c r="CZ425" i="57"/>
  <c r="BM425" i="57"/>
  <c r="DL425" i="57"/>
  <c r="CM425" i="57"/>
  <c r="BQ431" i="57"/>
  <c r="DD431" i="57"/>
  <c r="CQ431" i="57"/>
  <c r="BP431" i="57"/>
  <c r="DP431" i="57"/>
  <c r="CI63" i="57"/>
  <c r="BD59" i="57"/>
  <c r="BD57" i="57"/>
  <c r="BD58" i="57"/>
  <c r="BL428" i="57"/>
  <c r="DL428" i="57"/>
  <c r="CZ428" i="57"/>
  <c r="CM428" i="57"/>
  <c r="BM428" i="57"/>
  <c r="CE441" i="57"/>
  <c r="CC441" i="57"/>
  <c r="BJ440" i="57"/>
  <c r="CX434" i="57"/>
  <c r="CK434" i="57"/>
  <c r="CK59" i="57" s="1"/>
  <c r="BK434" i="57"/>
  <c r="DJ434" i="57"/>
  <c r="BJ434" i="57"/>
  <c r="BQ428" i="57"/>
  <c r="BP428" i="57"/>
  <c r="DP428" i="57"/>
  <c r="DD428" i="57"/>
  <c r="CQ428" i="57"/>
  <c r="CB92" i="57"/>
  <c r="CB76" i="57"/>
  <c r="CB80" i="57"/>
  <c r="CB77" i="57"/>
  <c r="CB83" i="57"/>
  <c r="CB82" i="57"/>
  <c r="CB93" i="57"/>
  <c r="CB71" i="57"/>
  <c r="CB87" i="57"/>
  <c r="CB79" i="57"/>
  <c r="CB100" i="57"/>
  <c r="CB91" i="57"/>
  <c r="CB81" i="57"/>
  <c r="CB101" i="57"/>
  <c r="CB72" i="57"/>
  <c r="CB85" i="57"/>
  <c r="CB95" i="57"/>
  <c r="CE72" i="57"/>
  <c r="CE73" i="57"/>
  <c r="CE97" i="57"/>
  <c r="CB69" i="57"/>
  <c r="CB94" i="57"/>
  <c r="CB73" i="57"/>
  <c r="CB86" i="57"/>
  <c r="CE86" i="57"/>
  <c r="CE89" i="57"/>
  <c r="CB96" i="57"/>
  <c r="CE79" i="57"/>
  <c r="CE76" i="57"/>
  <c r="CE80" i="57"/>
  <c r="CE98" i="57"/>
  <c r="CE99" i="57"/>
  <c r="CE69" i="57"/>
  <c r="CB74" i="57"/>
  <c r="CB78" i="57"/>
  <c r="CE71" i="57"/>
  <c r="CE94" i="57"/>
  <c r="CE101" i="57"/>
  <c r="CE92" i="57"/>
  <c r="CE84" i="57"/>
  <c r="CE100" i="57"/>
  <c r="CB99" i="57"/>
  <c r="CE70" i="57"/>
  <c r="CE74" i="57"/>
  <c r="CE88" i="57"/>
  <c r="CE83" i="57"/>
  <c r="CE95" i="57"/>
  <c r="S455" i="57"/>
  <c r="CB84" i="57"/>
  <c r="CB89" i="57"/>
  <c r="CE87" i="57"/>
  <c r="CE77" i="57"/>
  <c r="CE85" i="57"/>
  <c r="CB70" i="57"/>
  <c r="CB88" i="57"/>
  <c r="CE75" i="57"/>
  <c r="CE78" i="57"/>
  <c r="CE82" i="57"/>
  <c r="CE91" i="57"/>
  <c r="CE81" i="57"/>
  <c r="CB90" i="57"/>
  <c r="CB98" i="57"/>
  <c r="CB97" i="57"/>
  <c r="CB75" i="57"/>
  <c r="CE93" i="57"/>
  <c r="CE90" i="57"/>
  <c r="CE96" i="57"/>
  <c r="S14" i="57"/>
  <c r="CB102" i="57"/>
  <c r="CB103" i="57"/>
  <c r="CB104" i="57"/>
  <c r="CB106" i="57"/>
  <c r="CE103" i="57"/>
  <c r="CE106" i="57"/>
  <c r="CE102" i="57"/>
  <c r="CB105" i="57"/>
  <c r="CE104" i="57"/>
  <c r="CE105" i="57"/>
  <c r="CE107" i="57"/>
  <c r="CB109" i="57"/>
  <c r="CB107" i="57"/>
  <c r="CB108" i="57"/>
  <c r="CE110" i="57"/>
  <c r="CE108" i="57"/>
  <c r="CB110" i="57"/>
  <c r="CE109" i="57"/>
  <c r="CE116" i="57"/>
  <c r="CB114" i="57"/>
  <c r="CE113" i="57"/>
  <c r="CE114" i="57"/>
  <c r="CE115" i="57"/>
  <c r="CB112" i="57"/>
  <c r="CB116" i="57"/>
  <c r="CB111" i="57"/>
  <c r="CB113" i="57"/>
  <c r="CE111" i="57"/>
  <c r="CB115" i="57"/>
  <c r="CE112" i="57"/>
  <c r="CB118" i="57"/>
  <c r="CB117" i="57"/>
  <c r="CE118" i="57"/>
  <c r="CE117" i="57"/>
  <c r="CB119" i="57"/>
  <c r="CE119" i="57"/>
  <c r="CE121" i="57"/>
  <c r="CE120" i="57"/>
  <c r="CB122" i="57"/>
  <c r="CE122" i="57"/>
  <c r="CB120" i="57"/>
  <c r="CB121" i="57"/>
  <c r="CE124" i="57"/>
  <c r="CE125" i="57"/>
  <c r="CB124" i="57"/>
  <c r="CE123" i="57"/>
  <c r="CB127" i="57"/>
  <c r="CE127" i="57"/>
  <c r="CB125" i="57"/>
  <c r="CB126" i="57"/>
  <c r="CB123" i="57"/>
  <c r="CE126" i="57"/>
  <c r="CB130" i="57"/>
  <c r="CB129" i="57"/>
  <c r="CE130" i="57"/>
  <c r="CB128" i="57"/>
  <c r="CB131" i="57"/>
  <c r="CE129" i="57"/>
  <c r="CE128" i="57"/>
  <c r="CE131" i="57"/>
  <c r="CB135" i="57"/>
  <c r="CE132" i="57"/>
  <c r="CE133" i="57"/>
  <c r="CE136" i="57"/>
  <c r="CE135" i="57"/>
  <c r="CB134" i="57"/>
  <c r="CB133" i="57"/>
  <c r="CE134" i="57"/>
  <c r="CB136" i="57"/>
  <c r="CB132" i="57"/>
  <c r="CE138" i="57"/>
  <c r="CE139" i="57"/>
  <c r="CB140" i="57"/>
  <c r="CE140" i="57"/>
  <c r="CB142" i="57"/>
  <c r="CB137" i="57"/>
  <c r="CB141" i="57"/>
  <c r="CB138" i="57"/>
  <c r="CE142" i="57"/>
  <c r="CB139" i="57"/>
  <c r="CE137" i="57"/>
  <c r="CE141" i="57"/>
  <c r="CE146" i="57"/>
  <c r="CE145" i="57"/>
  <c r="CE148" i="57"/>
  <c r="CB146" i="57"/>
  <c r="CE144" i="57"/>
  <c r="CB143" i="57"/>
  <c r="CB147" i="57"/>
  <c r="CE143" i="57"/>
  <c r="CB145" i="57"/>
  <c r="CB148" i="57"/>
  <c r="CB144" i="57"/>
  <c r="CE147" i="57"/>
  <c r="CB151" i="57"/>
  <c r="CE150" i="57"/>
  <c r="CB150" i="57"/>
  <c r="CE151" i="57"/>
  <c r="CB149" i="57"/>
  <c r="CE149" i="57"/>
  <c r="CE154" i="57"/>
  <c r="CE153" i="57"/>
  <c r="CE155" i="57"/>
  <c r="CB152" i="57"/>
  <c r="CB155" i="57"/>
  <c r="CB153" i="57"/>
  <c r="CE152" i="57"/>
  <c r="CB154" i="57"/>
  <c r="CB158" i="57"/>
  <c r="CE158" i="57"/>
  <c r="CB156" i="57"/>
  <c r="CE156" i="57"/>
  <c r="CE157" i="57"/>
  <c r="CB157" i="57"/>
  <c r="CB161" i="57"/>
  <c r="CB160" i="57"/>
  <c r="CE159" i="57"/>
  <c r="CE160" i="57"/>
  <c r="CB159" i="57"/>
  <c r="CE161" i="57"/>
  <c r="CB164" i="57"/>
  <c r="CB162" i="57"/>
  <c r="CB163" i="57"/>
  <c r="CE163" i="57"/>
  <c r="CE162" i="57"/>
  <c r="CE164" i="57"/>
  <c r="CB167" i="57"/>
  <c r="CE166" i="57"/>
  <c r="CB165" i="57"/>
  <c r="CE165" i="57"/>
  <c r="CB166" i="57"/>
  <c r="CE167" i="57"/>
  <c r="CB173" i="57"/>
  <c r="CB169" i="57"/>
  <c r="CE172" i="57"/>
  <c r="CE168" i="57"/>
  <c r="CB168" i="57"/>
  <c r="CE169" i="57"/>
  <c r="CB171" i="57"/>
  <c r="CE173" i="57"/>
  <c r="CB170" i="57"/>
  <c r="CB172" i="57"/>
  <c r="CE170" i="57"/>
  <c r="CE171" i="57"/>
  <c r="CB176" i="57"/>
  <c r="CE176" i="57"/>
  <c r="CE174" i="57"/>
  <c r="CB174" i="57"/>
  <c r="CE175" i="57"/>
  <c r="CB175" i="57"/>
  <c r="CE179" i="57"/>
  <c r="CB178" i="57"/>
  <c r="CE178" i="57"/>
  <c r="CB177" i="57"/>
  <c r="CE177" i="57"/>
  <c r="CE182" i="57"/>
  <c r="CB179" i="57"/>
  <c r="CE181" i="57"/>
  <c r="CE180" i="57"/>
  <c r="CE185" i="57"/>
  <c r="CB184" i="57"/>
  <c r="CB185" i="57"/>
  <c r="CB183" i="57"/>
  <c r="CB182" i="57"/>
  <c r="CB181" i="57"/>
  <c r="CE184" i="57"/>
  <c r="CB180" i="57"/>
  <c r="CE183" i="57"/>
  <c r="CB186" i="57"/>
  <c r="CE186" i="57"/>
  <c r="CB188" i="57"/>
  <c r="CB187" i="57"/>
  <c r="CE187" i="57"/>
  <c r="CE188" i="57"/>
  <c r="CB191" i="57"/>
  <c r="CE191" i="57"/>
  <c r="CE189" i="57"/>
  <c r="CB190" i="57"/>
  <c r="CE190" i="57"/>
  <c r="CB189" i="57"/>
  <c r="CB194" i="57"/>
  <c r="CE194" i="57"/>
  <c r="CB193" i="57"/>
  <c r="CE195" i="57"/>
  <c r="CB195" i="57"/>
  <c r="CE196" i="57"/>
  <c r="CE197" i="57"/>
  <c r="CB192" i="57"/>
  <c r="CE192" i="57"/>
  <c r="CB197" i="57"/>
  <c r="CE193" i="57"/>
  <c r="CB196" i="57"/>
  <c r="CE203" i="57"/>
  <c r="CE202" i="57"/>
  <c r="CE200" i="57"/>
  <c r="CB198" i="57"/>
  <c r="CB199" i="57"/>
  <c r="CB203" i="57"/>
  <c r="CB202" i="57"/>
  <c r="CE199" i="57"/>
  <c r="CB200" i="57"/>
  <c r="CB201" i="57"/>
  <c r="CE198" i="57"/>
  <c r="CE201" i="57"/>
  <c r="CE206" i="57"/>
  <c r="CB204" i="57"/>
  <c r="CE204" i="57"/>
  <c r="CE209" i="57"/>
  <c r="CB208" i="57"/>
  <c r="CE205" i="57"/>
  <c r="CB206" i="57"/>
  <c r="CB209" i="57"/>
  <c r="CB207" i="57"/>
  <c r="CE207" i="57"/>
  <c r="CE208" i="57"/>
  <c r="CB205" i="57"/>
  <c r="CB212" i="57"/>
  <c r="CE212" i="57"/>
  <c r="CB210" i="57"/>
  <c r="CE211" i="57"/>
  <c r="CE210" i="57"/>
  <c r="CB211" i="57"/>
  <c r="CE215" i="57"/>
  <c r="CE214" i="57"/>
  <c r="CB214" i="57"/>
  <c r="CE213" i="57"/>
  <c r="CB215" i="57"/>
  <c r="CB213" i="57"/>
  <c r="CB217" i="57"/>
  <c r="CE217" i="57"/>
  <c r="CE216" i="57"/>
  <c r="CB216" i="57"/>
  <c r="CE218" i="57"/>
  <c r="CB218" i="57"/>
  <c r="CE224" i="57"/>
  <c r="CE221" i="57"/>
  <c r="CB221" i="57"/>
  <c r="CB219" i="57"/>
  <c r="CB223" i="57"/>
  <c r="CB220" i="57"/>
  <c r="CE223" i="57"/>
  <c r="CE219" i="57"/>
  <c r="CB222" i="57"/>
  <c r="CB224" i="57"/>
  <c r="CE220" i="57"/>
  <c r="CE222" i="57"/>
  <c r="CB227" i="57"/>
  <c r="CE227" i="57"/>
  <c r="CB225" i="57"/>
  <c r="CE226" i="57"/>
  <c r="CB226" i="57"/>
  <c r="CE225" i="57"/>
  <c r="CE233" i="57"/>
  <c r="CB229" i="57"/>
  <c r="CE229" i="57"/>
  <c r="CE228" i="57"/>
  <c r="CB231" i="57"/>
  <c r="CB228" i="57"/>
  <c r="CE232" i="57"/>
  <c r="CE230" i="57"/>
  <c r="CB232" i="57"/>
  <c r="CB233" i="57"/>
  <c r="CB230" i="57"/>
  <c r="CE231" i="57"/>
  <c r="CB236" i="57"/>
  <c r="CB235" i="57"/>
  <c r="CE239" i="57"/>
  <c r="CE234" i="57"/>
  <c r="CB238" i="57"/>
  <c r="CB234" i="57"/>
  <c r="CE237" i="57"/>
  <c r="CE235" i="57"/>
  <c r="CB239" i="57"/>
  <c r="CE238" i="57"/>
  <c r="CB237" i="57"/>
  <c r="CE236" i="57"/>
  <c r="CE241" i="57"/>
  <c r="CB241" i="57"/>
  <c r="CB242" i="57"/>
  <c r="CE242" i="57"/>
  <c r="CB240" i="57"/>
  <c r="CE240" i="57"/>
  <c r="CB244" i="57"/>
  <c r="CB248" i="57"/>
  <c r="CB243" i="57"/>
  <c r="CB246" i="57"/>
  <c r="CE243" i="57"/>
  <c r="CE247" i="57"/>
  <c r="CE244" i="57"/>
  <c r="CB247" i="57"/>
  <c r="CE246" i="57"/>
  <c r="CB245" i="57"/>
  <c r="CE245" i="57"/>
  <c r="CE248" i="57"/>
  <c r="CB250" i="57"/>
  <c r="CB249" i="57"/>
  <c r="CE249" i="57"/>
  <c r="CE250" i="57"/>
  <c r="CE251" i="57"/>
  <c r="CB251" i="57"/>
  <c r="CB254" i="57"/>
  <c r="CE254" i="57"/>
  <c r="CB257" i="57"/>
  <c r="CB252" i="57"/>
  <c r="CE257" i="57"/>
  <c r="CB253" i="57"/>
  <c r="CB256" i="57"/>
  <c r="CE252" i="57"/>
  <c r="CB255" i="57"/>
  <c r="CE253" i="57"/>
  <c r="CE255" i="57"/>
  <c r="CE256" i="57"/>
  <c r="CE258" i="57"/>
  <c r="CB260" i="57"/>
  <c r="CE260" i="57"/>
  <c r="CB259" i="57"/>
  <c r="CB258" i="57"/>
  <c r="CE259" i="57"/>
  <c r="CE262" i="57"/>
  <c r="CB263" i="57"/>
  <c r="CE263" i="57"/>
  <c r="CB261" i="57"/>
  <c r="CB262" i="57"/>
  <c r="CE261" i="57"/>
  <c r="CE266" i="57"/>
  <c r="CB266" i="57"/>
  <c r="CB264" i="57"/>
  <c r="CE264" i="57"/>
  <c r="CE265" i="57"/>
  <c r="CB265" i="57"/>
  <c r="CE268" i="57"/>
  <c r="CB272" i="57"/>
  <c r="CE269" i="57"/>
  <c r="CE272" i="57"/>
  <c r="CB270" i="57"/>
  <c r="CB269" i="57"/>
  <c r="CE271" i="57"/>
  <c r="CB268" i="57"/>
  <c r="CB271" i="57"/>
  <c r="CB267" i="57"/>
  <c r="CE270" i="57"/>
  <c r="CE267" i="57"/>
  <c r="CE274" i="57"/>
  <c r="CE273" i="57"/>
  <c r="CE275" i="57"/>
  <c r="CB275" i="57"/>
  <c r="CB274" i="57"/>
  <c r="CB273" i="57"/>
  <c r="CB281" i="57"/>
  <c r="CB280" i="57"/>
  <c r="CE276" i="57"/>
  <c r="CE280" i="57"/>
  <c r="CE278" i="57"/>
  <c r="CB279" i="57"/>
  <c r="CB278" i="57"/>
  <c r="CE279" i="57"/>
  <c r="CB276" i="57"/>
  <c r="CE281" i="57"/>
  <c r="CE277" i="57"/>
  <c r="CB277" i="57"/>
  <c r="CB282" i="57"/>
  <c r="CE283" i="57"/>
  <c r="CB284" i="57"/>
  <c r="CE284" i="57"/>
  <c r="CB283" i="57"/>
  <c r="CE282" i="57"/>
  <c r="CE289" i="57"/>
  <c r="CB287" i="57"/>
  <c r="CB286" i="57"/>
  <c r="CB290" i="57"/>
  <c r="CE286" i="57"/>
  <c r="CE290" i="57"/>
  <c r="CB285" i="57"/>
  <c r="CE285" i="57"/>
  <c r="CB288" i="57"/>
  <c r="CB289" i="57"/>
  <c r="CE287" i="57"/>
  <c r="CE288" i="57"/>
  <c r="CE293" i="57"/>
  <c r="CB291" i="57"/>
  <c r="CE291" i="57"/>
  <c r="CB292" i="57"/>
  <c r="CE292" i="57"/>
  <c r="CB293" i="57"/>
  <c r="CB294" i="57"/>
  <c r="CB299" i="57"/>
  <c r="CE299" i="57"/>
  <c r="CB297" i="57"/>
  <c r="CE296" i="57"/>
  <c r="CB298" i="57"/>
  <c r="CB296" i="57"/>
  <c r="CE297" i="57"/>
  <c r="CB295" i="57"/>
  <c r="CE298" i="57"/>
  <c r="CE294" i="57"/>
  <c r="CE295" i="57"/>
  <c r="CE308" i="57"/>
  <c r="CE304" i="57"/>
  <c r="CE306" i="57"/>
  <c r="CE300" i="57"/>
  <c r="CB307" i="57"/>
  <c r="CE301" i="57"/>
  <c r="CB305" i="57"/>
  <c r="CE305" i="57"/>
  <c r="CB304" i="57"/>
  <c r="CB302" i="57"/>
  <c r="CE303" i="57"/>
  <c r="CB308" i="57"/>
  <c r="CE302" i="57"/>
  <c r="CB306" i="57"/>
  <c r="CB300" i="57"/>
  <c r="CB303" i="57"/>
  <c r="CE307" i="57"/>
  <c r="CB301" i="57"/>
  <c r="CE311" i="57"/>
  <c r="CB309" i="57"/>
  <c r="CB310" i="57"/>
  <c r="CE310" i="57"/>
  <c r="CB311" i="57"/>
  <c r="CE309" i="57"/>
  <c r="CE315" i="57"/>
  <c r="CB312" i="57"/>
  <c r="CE316" i="57"/>
  <c r="CE312" i="57"/>
  <c r="CB317" i="57"/>
  <c r="CB314" i="57"/>
  <c r="CE317" i="57"/>
  <c r="CB316" i="57"/>
  <c r="CB313" i="57"/>
  <c r="CE314" i="57"/>
  <c r="CB315" i="57"/>
  <c r="CE313" i="57"/>
  <c r="CB320" i="57"/>
  <c r="CE320" i="57"/>
  <c r="CB319" i="57"/>
  <c r="CE319" i="57"/>
  <c r="CB318" i="57"/>
  <c r="CE318" i="57"/>
  <c r="CE326" i="57"/>
  <c r="CB324" i="57"/>
  <c r="CE322" i="57"/>
  <c r="CB325" i="57"/>
  <c r="CE321" i="57"/>
  <c r="CE324" i="57"/>
  <c r="CE325" i="57"/>
  <c r="CB323" i="57"/>
  <c r="CE323" i="57"/>
  <c r="CB326" i="57"/>
  <c r="CB322" i="57"/>
  <c r="CB321" i="57"/>
  <c r="CE329" i="57"/>
  <c r="CB328" i="57"/>
  <c r="CB327" i="57"/>
  <c r="CE330" i="57"/>
  <c r="CB332" i="57"/>
  <c r="CB330" i="57"/>
  <c r="CE328" i="57"/>
  <c r="CE332" i="57"/>
  <c r="CE327" i="57"/>
  <c r="CE331" i="57"/>
  <c r="CB329" i="57"/>
  <c r="CB331" i="57"/>
  <c r="CB337" i="57"/>
  <c r="CE333" i="57"/>
  <c r="CB335" i="57"/>
  <c r="CE334" i="57"/>
  <c r="CB334" i="57"/>
  <c r="CE337" i="57"/>
  <c r="CB338" i="57"/>
  <c r="CB336" i="57"/>
  <c r="CE335" i="57"/>
  <c r="CE336" i="57"/>
  <c r="CB333" i="57"/>
  <c r="CE338" i="57"/>
  <c r="CB340" i="57"/>
  <c r="CB341" i="57"/>
  <c r="CE339" i="57"/>
  <c r="CB339" i="57"/>
  <c r="CE340" i="57"/>
  <c r="CE341" i="57"/>
  <c r="CE342" i="57"/>
  <c r="CB345" i="57"/>
  <c r="CB347" i="57"/>
  <c r="CB343" i="57"/>
  <c r="CE346" i="57"/>
  <c r="CE347" i="57"/>
  <c r="CE345" i="57"/>
  <c r="CB346" i="57"/>
  <c r="CB342" i="57"/>
  <c r="CE344" i="57"/>
  <c r="CE343" i="57"/>
  <c r="CB344" i="57"/>
  <c r="CE350" i="57"/>
  <c r="CE349" i="57"/>
  <c r="CB348" i="57"/>
  <c r="CE348" i="57"/>
  <c r="CB349" i="57"/>
  <c r="CB350" i="57"/>
  <c r="CE351" i="57"/>
  <c r="CB355" i="57"/>
  <c r="CE353" i="57"/>
  <c r="CE355" i="57"/>
  <c r="CB351" i="57"/>
  <c r="CB353" i="57"/>
  <c r="CE352" i="57"/>
  <c r="CB354" i="57"/>
  <c r="CB352" i="57"/>
  <c r="CE354" i="57"/>
  <c r="CB356" i="57"/>
  <c r="CB359" i="57"/>
  <c r="CE358" i="57"/>
  <c r="CB358" i="57"/>
  <c r="CB357" i="57"/>
  <c r="CE357" i="57"/>
  <c r="CE359" i="57"/>
  <c r="CE356" i="57"/>
  <c r="CB363" i="57"/>
  <c r="CB361" i="57"/>
  <c r="CE363" i="57"/>
  <c r="CE361" i="57"/>
  <c r="CB364" i="57"/>
  <c r="CB360" i="57"/>
  <c r="CB362" i="57"/>
  <c r="CE362" i="57"/>
  <c r="CE364" i="57"/>
  <c r="CE360" i="57"/>
  <c r="CB367" i="57"/>
  <c r="CE368" i="57"/>
  <c r="CB365" i="57"/>
  <c r="CB366" i="57"/>
  <c r="CB368" i="57"/>
  <c r="CE366" i="57"/>
  <c r="CE365" i="57"/>
  <c r="CB369" i="57"/>
  <c r="CE369" i="57"/>
  <c r="CB370" i="57"/>
  <c r="CE367" i="57"/>
  <c r="CE370" i="57"/>
  <c r="CE372" i="57"/>
  <c r="CE374" i="57"/>
  <c r="CB373" i="57"/>
  <c r="CB371" i="57"/>
  <c r="CB372" i="57"/>
  <c r="CE373" i="57"/>
  <c r="CB374" i="57"/>
  <c r="CE371" i="57"/>
  <c r="CE376" i="57"/>
  <c r="CE378" i="57"/>
  <c r="CB380" i="57"/>
  <c r="CB376" i="57"/>
  <c r="CB378" i="57"/>
  <c r="CE380" i="57"/>
  <c r="CB375" i="57"/>
  <c r="CB377" i="57"/>
  <c r="CE379" i="57"/>
  <c r="CE377" i="57"/>
  <c r="CE375" i="57"/>
  <c r="CB379" i="57"/>
  <c r="CB386" i="57"/>
  <c r="CE381" i="57"/>
  <c r="CB382" i="57"/>
  <c r="CE382" i="57"/>
  <c r="CE383" i="57"/>
  <c r="CB381" i="57"/>
  <c r="CB383" i="57"/>
  <c r="CE390" i="57"/>
  <c r="CE387" i="57"/>
  <c r="CB384" i="57"/>
  <c r="CE391" i="57"/>
  <c r="CB388" i="57"/>
  <c r="CE386" i="57"/>
  <c r="CB392" i="57"/>
  <c r="CE388" i="57"/>
  <c r="CB389" i="57"/>
  <c r="CE384" i="57"/>
  <c r="CE389" i="57"/>
  <c r="CB387" i="57"/>
  <c r="CB385" i="57"/>
  <c r="CB390" i="57"/>
  <c r="CE392" i="57"/>
  <c r="CE385" i="57"/>
  <c r="CB391" i="57"/>
  <c r="CB394" i="57"/>
  <c r="CB395" i="57"/>
  <c r="CE394" i="57"/>
  <c r="CB393" i="57"/>
  <c r="CE395" i="57"/>
  <c r="CE393" i="57"/>
  <c r="CE399" i="57"/>
  <c r="CE402" i="57"/>
  <c r="CB398" i="57"/>
  <c r="CB397" i="57"/>
  <c r="CE398" i="57"/>
  <c r="CB399" i="57"/>
  <c r="CB396" i="57"/>
  <c r="CB400" i="57"/>
  <c r="CE403" i="57"/>
  <c r="CE400" i="57"/>
  <c r="CE397" i="57"/>
  <c r="CB403" i="57"/>
  <c r="CE396" i="57"/>
  <c r="CB402" i="57"/>
  <c r="CB406" i="57"/>
  <c r="CE404" i="57"/>
  <c r="CB405" i="57"/>
  <c r="CB401" i="57"/>
  <c r="CB404" i="57"/>
  <c r="CE406" i="57"/>
  <c r="CE405" i="57"/>
  <c r="CE401" i="57"/>
  <c r="CE409" i="57"/>
  <c r="CB409" i="57"/>
  <c r="CE408" i="57"/>
  <c r="CB408" i="57"/>
  <c r="CB407" i="57"/>
  <c r="CE407" i="57"/>
  <c r="CE410" i="57"/>
  <c r="CB412" i="57"/>
  <c r="CB410" i="57"/>
  <c r="CE412" i="57"/>
  <c r="CB411" i="57"/>
  <c r="CE411" i="57"/>
  <c r="CB415" i="57"/>
  <c r="CB413" i="57"/>
  <c r="CE414" i="57"/>
  <c r="CB414" i="57"/>
  <c r="CE416" i="57"/>
  <c r="CE415" i="57"/>
  <c r="CB416" i="57"/>
  <c r="CE413" i="57"/>
  <c r="CE417" i="57"/>
  <c r="CB419" i="57"/>
  <c r="CE419" i="57"/>
  <c r="CE418" i="57"/>
  <c r="CB417" i="57"/>
  <c r="CB418" i="57"/>
  <c r="CE422" i="57"/>
  <c r="CB421" i="57"/>
  <c r="CE420" i="57"/>
  <c r="CE421" i="57"/>
  <c r="CB422" i="57"/>
  <c r="CB420" i="57"/>
  <c r="CB429" i="57"/>
  <c r="CB428" i="57"/>
  <c r="CE426" i="57"/>
  <c r="CE424" i="57"/>
  <c r="CB423" i="57"/>
  <c r="CE429" i="57"/>
  <c r="CE427" i="57"/>
  <c r="CE423" i="57"/>
  <c r="CE425" i="57"/>
  <c r="CE430" i="57"/>
  <c r="CB427" i="57"/>
  <c r="CE428" i="57"/>
  <c r="CB426" i="57"/>
  <c r="CB425" i="57"/>
  <c r="CB424" i="57"/>
  <c r="CB430" i="57"/>
  <c r="CB436" i="57"/>
  <c r="CE434" i="57"/>
  <c r="CE436" i="57"/>
  <c r="CE433" i="57"/>
  <c r="CB440" i="57"/>
  <c r="CB433" i="57"/>
  <c r="CE432" i="57"/>
  <c r="CE435" i="57"/>
  <c r="CB431" i="57"/>
  <c r="CE431" i="57"/>
  <c r="CB435" i="57"/>
  <c r="CB434" i="57"/>
  <c r="CB432" i="57"/>
  <c r="CE440" i="57"/>
  <c r="CB437" i="57"/>
  <c r="CE437" i="57"/>
  <c r="CB439" i="57"/>
  <c r="CE439" i="57"/>
  <c r="CB438" i="57"/>
  <c r="CE438" i="57"/>
  <c r="CH438" i="57"/>
  <c r="BC59" i="57"/>
  <c r="BC57" i="57"/>
  <c r="BC58" i="57"/>
  <c r="Z443" i="57"/>
  <c r="Z13" i="57" s="1"/>
  <c r="CL439" i="57" s="1"/>
  <c r="CH73" i="57"/>
  <c r="CH93" i="57"/>
  <c r="CH95" i="57"/>
  <c r="CH85" i="57"/>
  <c r="CH87" i="57"/>
  <c r="V455" i="57"/>
  <c r="CH75" i="57"/>
  <c r="CH79" i="57"/>
  <c r="CH89" i="57"/>
  <c r="CH72" i="57"/>
  <c r="CH94" i="57"/>
  <c r="CH71" i="57"/>
  <c r="CH96" i="57"/>
  <c r="CH80" i="57"/>
  <c r="CH69" i="57"/>
  <c r="CH97" i="57"/>
  <c r="CH82" i="57"/>
  <c r="CH76" i="57"/>
  <c r="CH90" i="57"/>
  <c r="CH84" i="57"/>
  <c r="CH88" i="57"/>
  <c r="CH70" i="57"/>
  <c r="CH91" i="57"/>
  <c r="CH92" i="57"/>
  <c r="CH86" i="57"/>
  <c r="CH98" i="57"/>
  <c r="CH77" i="57"/>
  <c r="CH74" i="57"/>
  <c r="CH81" i="57"/>
  <c r="CH78" i="57"/>
  <c r="CH83" i="57"/>
  <c r="V14" i="57"/>
  <c r="CH102" i="57"/>
  <c r="CH101" i="57"/>
  <c r="CH104" i="57"/>
  <c r="CH100" i="57"/>
  <c r="CH103" i="57"/>
  <c r="CH99" i="57"/>
  <c r="CH107" i="57"/>
  <c r="CH105" i="57"/>
  <c r="CH106" i="57"/>
  <c r="CH110" i="57"/>
  <c r="CH112" i="57"/>
  <c r="CH109" i="57"/>
  <c r="CH111" i="57"/>
  <c r="CH113" i="57"/>
  <c r="CH108" i="57"/>
  <c r="CH116" i="57"/>
  <c r="CH114" i="57"/>
  <c r="CH115" i="57"/>
  <c r="CH120" i="57"/>
  <c r="CH119" i="57"/>
  <c r="CH121" i="57"/>
  <c r="CH117" i="57"/>
  <c r="CH118" i="57"/>
  <c r="CH122" i="57"/>
  <c r="CH124" i="57"/>
  <c r="CH123" i="57"/>
  <c r="CH125" i="57"/>
  <c r="CH128" i="57"/>
  <c r="CH127" i="57"/>
  <c r="CH126" i="57"/>
  <c r="CH132" i="57"/>
  <c r="CH133" i="57"/>
  <c r="CH129" i="57"/>
  <c r="CH130" i="57"/>
  <c r="CH131" i="57"/>
  <c r="CH134" i="57"/>
  <c r="CH135" i="57"/>
  <c r="CH137" i="57"/>
  <c r="CH136" i="57"/>
  <c r="CH143" i="57"/>
  <c r="CH139" i="57"/>
  <c r="CH138" i="57"/>
  <c r="CH141" i="57"/>
  <c r="CH142" i="57"/>
  <c r="CH140" i="57"/>
  <c r="CH144" i="57"/>
  <c r="CH145" i="57"/>
  <c r="CH146" i="57"/>
  <c r="CH152" i="57"/>
  <c r="CH148" i="57"/>
  <c r="CH147" i="57"/>
  <c r="CH151" i="57"/>
  <c r="CH149" i="57"/>
  <c r="CH150" i="57"/>
  <c r="CH155" i="57"/>
  <c r="CH153" i="57"/>
  <c r="CH154" i="57"/>
  <c r="CH160" i="57"/>
  <c r="CH157" i="57"/>
  <c r="CH156" i="57"/>
  <c r="CH159" i="57"/>
  <c r="CH158" i="57"/>
  <c r="CH161" i="57"/>
  <c r="CH163" i="57"/>
  <c r="CH162" i="57"/>
  <c r="CH164" i="57"/>
  <c r="CH165" i="57"/>
  <c r="CH166" i="57"/>
  <c r="CH167" i="57"/>
  <c r="CH172" i="57"/>
  <c r="CH169" i="57"/>
  <c r="CH171" i="57"/>
  <c r="CH168" i="57"/>
  <c r="CH170" i="57"/>
  <c r="CH173" i="57"/>
  <c r="CH176" i="57"/>
  <c r="CH177" i="57"/>
  <c r="CH174" i="57"/>
  <c r="CH179" i="57"/>
  <c r="CH175" i="57"/>
  <c r="CH178" i="57"/>
  <c r="CH181" i="57"/>
  <c r="CH182" i="57"/>
  <c r="CH180" i="57"/>
  <c r="CH183" i="57"/>
  <c r="CH184" i="57"/>
  <c r="CH185" i="57"/>
  <c r="CH186" i="57"/>
  <c r="CH191" i="57"/>
  <c r="CH188" i="57"/>
  <c r="CH190" i="57"/>
  <c r="CH189" i="57"/>
  <c r="CH187" i="57"/>
  <c r="CH194" i="57"/>
  <c r="CH192" i="57"/>
  <c r="CH193" i="57"/>
  <c r="CH198" i="57"/>
  <c r="CH195" i="57"/>
  <c r="CH199" i="57"/>
  <c r="CH196" i="57"/>
  <c r="CH197" i="57"/>
  <c r="CH200" i="57"/>
  <c r="CH203" i="57"/>
  <c r="CH201" i="57"/>
  <c r="CH202" i="57"/>
  <c r="CH204" i="57"/>
  <c r="CH205" i="57"/>
  <c r="CH206" i="57"/>
  <c r="CH209" i="57"/>
  <c r="CH207" i="57"/>
  <c r="CH208" i="57"/>
  <c r="CH213" i="57"/>
  <c r="CH210" i="57"/>
  <c r="CH215" i="57"/>
  <c r="CH211" i="57"/>
  <c r="CH212" i="57"/>
  <c r="CH214" i="57"/>
  <c r="CH216" i="57"/>
  <c r="CH218" i="57"/>
  <c r="CH217" i="57"/>
  <c r="CH221" i="57"/>
  <c r="CH220" i="57"/>
  <c r="CH219" i="57"/>
  <c r="CH227" i="57"/>
  <c r="CH222" i="57"/>
  <c r="CH223" i="57"/>
  <c r="CH225" i="57"/>
  <c r="CH226" i="57"/>
  <c r="CH224" i="57"/>
  <c r="CH230" i="57"/>
  <c r="CH228" i="57"/>
  <c r="CH229" i="57"/>
  <c r="CH232" i="57"/>
  <c r="CH231" i="57"/>
  <c r="CH233" i="57"/>
  <c r="CH235" i="57"/>
  <c r="CH234" i="57"/>
  <c r="CH239" i="57"/>
  <c r="CH236" i="57"/>
  <c r="CH238" i="57"/>
  <c r="CH237" i="57"/>
  <c r="CH244" i="57"/>
  <c r="CH241" i="57"/>
  <c r="CH247" i="57"/>
  <c r="CH243" i="57"/>
  <c r="CH240" i="57"/>
  <c r="CH246" i="57"/>
  <c r="CH242" i="57"/>
  <c r="CH245" i="57"/>
  <c r="CH248" i="57"/>
  <c r="CH251" i="57"/>
  <c r="CH249" i="57"/>
  <c r="CH250" i="57"/>
  <c r="CH253" i="57"/>
  <c r="CH252" i="57"/>
  <c r="CH254" i="57"/>
  <c r="CH258" i="57"/>
  <c r="CH260" i="57"/>
  <c r="CH255" i="57"/>
  <c r="CH256" i="57"/>
  <c r="CH259" i="57"/>
  <c r="CH257" i="57"/>
  <c r="CH263" i="57"/>
  <c r="CH262" i="57"/>
  <c r="CH261" i="57"/>
  <c r="CH264" i="57"/>
  <c r="CH265" i="57"/>
  <c r="CH266" i="57"/>
  <c r="CH271" i="57"/>
  <c r="CH269" i="57"/>
  <c r="CH272" i="57"/>
  <c r="CH267" i="57"/>
  <c r="CH268" i="57"/>
  <c r="CH270" i="57"/>
  <c r="CH274" i="57"/>
  <c r="CH273" i="57"/>
  <c r="CH275" i="57"/>
  <c r="CH280" i="57"/>
  <c r="CH276" i="57"/>
  <c r="CH281" i="57"/>
  <c r="CH278" i="57"/>
  <c r="CH279" i="57"/>
  <c r="CH277" i="57"/>
  <c r="CH284" i="57"/>
  <c r="CH283" i="57"/>
  <c r="CH282" i="57"/>
  <c r="CH285" i="57"/>
  <c r="CH289" i="57"/>
  <c r="CH286" i="57"/>
  <c r="CH290" i="57"/>
  <c r="CH287" i="57"/>
  <c r="CH288" i="57"/>
  <c r="CH291" i="57"/>
  <c r="CH292" i="57"/>
  <c r="CH293" i="57"/>
  <c r="CH295" i="57"/>
  <c r="CH296" i="57"/>
  <c r="CH294" i="57"/>
  <c r="CH302" i="57"/>
  <c r="CH299" i="57"/>
  <c r="CH301" i="57"/>
  <c r="CH298" i="57"/>
  <c r="CH300" i="57"/>
  <c r="CH297" i="57"/>
  <c r="CH304" i="57"/>
  <c r="CH303" i="57"/>
  <c r="CH305" i="57"/>
  <c r="CH306" i="57"/>
  <c r="CH310" i="57"/>
  <c r="CH309" i="57"/>
  <c r="CH308" i="57"/>
  <c r="CH311" i="57"/>
  <c r="CH307" i="57"/>
  <c r="CH312" i="57"/>
  <c r="CH317" i="57"/>
  <c r="CH313" i="57"/>
  <c r="CH315" i="57"/>
  <c r="CH314" i="57"/>
  <c r="CH316" i="57"/>
  <c r="CH319" i="57"/>
  <c r="CH320" i="57"/>
  <c r="CH318" i="57"/>
  <c r="CH322" i="57"/>
  <c r="CH326" i="57"/>
  <c r="CH323" i="57"/>
  <c r="CH324" i="57"/>
  <c r="CH321" i="57"/>
  <c r="CH325" i="57"/>
  <c r="CH328" i="57"/>
  <c r="CH327" i="57"/>
  <c r="CH329" i="57"/>
  <c r="CH331" i="57"/>
  <c r="CH334" i="57"/>
  <c r="CH332" i="57"/>
  <c r="CH335" i="57"/>
  <c r="CH330" i="57"/>
  <c r="CH333" i="57"/>
  <c r="CH339" i="57"/>
  <c r="CH340" i="57"/>
  <c r="CH336" i="57"/>
  <c r="CH337" i="57"/>
  <c r="CH341" i="57"/>
  <c r="CH338" i="57"/>
  <c r="CH343" i="57"/>
  <c r="CH344" i="57"/>
  <c r="CH342" i="57"/>
  <c r="CH350" i="57"/>
  <c r="CH347" i="57"/>
  <c r="CH345" i="57"/>
  <c r="CH348" i="57"/>
  <c r="CH346" i="57"/>
  <c r="CH349" i="57"/>
  <c r="CH356" i="57"/>
  <c r="CH352" i="57"/>
  <c r="CH351" i="57"/>
  <c r="CH353" i="57"/>
  <c r="CH354" i="57"/>
  <c r="CH355" i="57"/>
  <c r="CH358" i="57"/>
  <c r="CH359" i="57"/>
  <c r="CH357" i="57"/>
  <c r="CH360" i="57"/>
  <c r="CH362" i="57"/>
  <c r="CH361" i="57"/>
  <c r="CH367" i="57"/>
  <c r="CH365" i="57"/>
  <c r="CH368" i="57"/>
  <c r="CH363" i="57"/>
  <c r="CH366" i="57"/>
  <c r="CH364" i="57"/>
  <c r="CH371" i="57"/>
  <c r="CH373" i="57"/>
  <c r="CH370" i="57"/>
  <c r="CH369" i="57"/>
  <c r="CH372" i="57"/>
  <c r="CH374" i="57"/>
  <c r="CH376" i="57"/>
  <c r="CH380" i="57"/>
  <c r="CH375" i="57"/>
  <c r="CH379" i="57"/>
  <c r="CH377" i="57"/>
  <c r="CH378" i="57"/>
  <c r="CH385" i="57"/>
  <c r="CH381" i="57"/>
  <c r="CH386" i="57"/>
  <c r="CH383" i="57"/>
  <c r="CH382" i="57"/>
  <c r="CH384" i="57"/>
  <c r="CH387" i="57"/>
  <c r="CH388" i="57"/>
  <c r="CH389" i="57"/>
  <c r="CH390" i="57"/>
  <c r="CH394" i="57"/>
  <c r="CH393" i="57"/>
  <c r="CH391" i="57"/>
  <c r="CH395" i="57"/>
  <c r="CH392" i="57"/>
  <c r="CH397" i="57"/>
  <c r="CH398" i="57"/>
  <c r="CH396" i="57"/>
  <c r="CH399" i="57"/>
  <c r="CH404" i="57"/>
  <c r="CH401" i="57"/>
  <c r="CH403" i="57"/>
  <c r="CH402" i="57"/>
  <c r="CH400" i="57"/>
  <c r="CH407" i="57"/>
  <c r="CH408" i="57"/>
  <c r="CH410" i="57"/>
  <c r="CH405" i="57"/>
  <c r="CH406" i="57"/>
  <c r="CH409" i="57"/>
  <c r="CH411" i="57"/>
  <c r="CH415" i="57"/>
  <c r="CH416" i="57"/>
  <c r="CH412" i="57"/>
  <c r="CH414" i="57"/>
  <c r="CH413" i="57"/>
  <c r="CH420" i="57"/>
  <c r="CH417" i="57"/>
  <c r="CH422" i="57"/>
  <c r="CH419" i="57"/>
  <c r="CH421" i="57"/>
  <c r="CH418" i="57"/>
  <c r="CH424" i="57"/>
  <c r="CH423" i="57"/>
  <c r="CH425" i="57"/>
  <c r="CH427" i="57"/>
  <c r="CH428" i="57"/>
  <c r="CH426" i="57"/>
  <c r="CH431" i="57"/>
  <c r="CH430" i="57"/>
  <c r="CH429" i="57"/>
  <c r="CH432" i="57"/>
  <c r="CH433" i="57"/>
  <c r="CH437" i="57"/>
  <c r="CH435" i="57"/>
  <c r="CH436" i="57"/>
  <c r="CH434" i="57"/>
  <c r="CK440" i="57"/>
  <c r="P455" i="57"/>
  <c r="P456" i="57" s="1"/>
  <c r="P14" i="57"/>
  <c r="P17" i="57" s="1"/>
  <c r="P22" i="57" s="1"/>
  <c r="CH440" i="57"/>
  <c r="AF434" i="57"/>
  <c r="BP439" i="57"/>
  <c r="DP439" i="57"/>
  <c r="DD439" i="57"/>
  <c r="AF437" i="57"/>
  <c r="CQ439" i="57"/>
  <c r="BQ439" i="57"/>
  <c r="BP438" i="57"/>
  <c r="DP438" i="57"/>
  <c r="DD438" i="57"/>
  <c r="AR438" i="57"/>
  <c r="AS438" i="57"/>
  <c r="CQ438" i="57"/>
  <c r="BQ438" i="57"/>
  <c r="BL438" i="57"/>
  <c r="DL438" i="57"/>
  <c r="CZ438" i="57"/>
  <c r="AN438" i="57"/>
  <c r="CM438" i="57"/>
  <c r="AO438" i="57"/>
  <c r="BM438" i="57"/>
  <c r="BF443" i="57"/>
  <c r="CD443" i="57"/>
  <c r="CD59" i="57" s="1"/>
  <c r="CG443" i="57"/>
  <c r="CG59" i="57" s="1"/>
  <c r="CH443" i="57"/>
  <c r="BG443" i="57"/>
  <c r="CH441" i="57"/>
  <c r="BJ443" i="57"/>
  <c r="DJ443" i="57"/>
  <c r="CX443" i="57"/>
  <c r="CK443" i="57"/>
  <c r="CL443" i="57"/>
  <c r="BK443" i="57"/>
  <c r="BA439" i="57"/>
  <c r="BB439" i="57"/>
  <c r="CH442" i="57"/>
  <c r="BJ442" i="57"/>
  <c r="DJ442" i="57"/>
  <c r="CX442" i="57"/>
  <c r="CK442" i="57"/>
  <c r="CK58" i="57" s="1"/>
  <c r="CL442" i="57"/>
  <c r="BK442" i="57"/>
  <c r="BA438" i="57"/>
  <c r="Q434" i="57"/>
  <c r="BB438" i="57"/>
  <c r="CL441" i="57"/>
  <c r="AB431" i="57"/>
  <c r="X189" i="44"/>
  <c r="X45" i="56"/>
  <c r="Y119" i="86"/>
  <c r="Y38" i="12"/>
  <c r="Z36" i="12"/>
  <c r="K38" i="98"/>
  <c r="K39" i="98" s="1"/>
  <c r="X14" i="42"/>
  <c r="X42" i="12"/>
  <c r="K91" i="98" s="1"/>
  <c r="K128" i="98"/>
  <c r="K156" i="98"/>
  <c r="K158" i="98" s="1"/>
  <c r="X121" i="86"/>
  <c r="Y46" i="56"/>
  <c r="CO61" i="90"/>
  <c r="Y64" i="56" s="1"/>
  <c r="CN42" i="90"/>
  <c r="X125" i="44"/>
  <c r="X261" i="44"/>
  <c r="Y99" i="44"/>
  <c r="Y191" i="44"/>
  <c r="Y109" i="41"/>
  <c r="Y110" i="41"/>
  <c r="Y90" i="44"/>
  <c r="Y96" i="44"/>
  <c r="Y84" i="44"/>
  <c r="Y277" i="44" s="1"/>
  <c r="Y86" i="44"/>
  <c r="Y87" i="44"/>
  <c r="Y85" i="44"/>
  <c r="Y108" i="41"/>
  <c r="Y186" i="44"/>
  <c r="Y193" i="44"/>
  <c r="Y89" i="44"/>
  <c r="Y137" i="44" s="1"/>
  <c r="Y83" i="44"/>
  <c r="Y273" i="44" s="1"/>
  <c r="Y188" i="44"/>
  <c r="Y136" i="44"/>
  <c r="X205" i="44"/>
  <c r="X122" i="44"/>
  <c r="CD42" i="90"/>
  <c r="X259" i="44"/>
  <c r="X139" i="44"/>
  <c r="X207" i="44"/>
  <c r="X123" i="44"/>
  <c r="X195" i="44"/>
  <c r="CE83" i="90"/>
  <c r="CP83" i="90" s="1"/>
  <c r="Z86" i="56" s="1"/>
  <c r="CE141" i="90"/>
  <c r="CP141" i="90" s="1"/>
  <c r="Z144" i="56" s="1"/>
  <c r="CE65" i="90"/>
  <c r="CP65" i="90" s="1"/>
  <c r="Z68" i="56" s="1"/>
  <c r="CE137" i="90"/>
  <c r="CP137" i="90" s="1"/>
  <c r="Z140" i="56" s="1"/>
  <c r="CE72" i="90"/>
  <c r="CP72" i="90" s="1"/>
  <c r="Z75" i="56" s="1"/>
  <c r="CE69" i="90"/>
  <c r="CP69" i="90" s="1"/>
  <c r="Z72" i="56" s="1"/>
  <c r="CE143" i="90"/>
  <c r="CP143" i="90" s="1"/>
  <c r="Z146" i="56" s="1"/>
  <c r="CE46" i="90"/>
  <c r="CP46" i="90" s="1"/>
  <c r="Z49" i="56" s="1"/>
  <c r="CE75" i="90"/>
  <c r="CP75" i="90" s="1"/>
  <c r="Z78" i="56" s="1"/>
  <c r="CE59" i="90"/>
  <c r="CP59" i="90" s="1"/>
  <c r="Z62" i="56" s="1"/>
  <c r="CE90" i="90"/>
  <c r="CP90" i="90" s="1"/>
  <c r="Z93" i="56" s="1"/>
  <c r="CE67" i="90"/>
  <c r="CP67" i="90" s="1"/>
  <c r="Z70" i="56" s="1"/>
  <c r="CE123" i="90"/>
  <c r="CP123" i="90" s="1"/>
  <c r="Z126" i="56" s="1"/>
  <c r="CE114" i="90"/>
  <c r="CP114" i="90" s="1"/>
  <c r="Z117" i="56" s="1"/>
  <c r="CE73" i="90"/>
  <c r="CP73" i="90" s="1"/>
  <c r="Z76" i="56" s="1"/>
  <c r="CE115" i="90"/>
  <c r="CP115" i="90" s="1"/>
  <c r="Z118" i="56" s="1"/>
  <c r="CE82" i="90"/>
  <c r="CP82" i="90" s="1"/>
  <c r="Z85" i="56" s="1"/>
  <c r="CE66" i="90"/>
  <c r="CP66" i="90" s="1"/>
  <c r="Z69" i="56" s="1"/>
  <c r="CE77" i="90"/>
  <c r="CP77" i="90" s="1"/>
  <c r="Z80" i="56" s="1"/>
  <c r="CE70" i="90"/>
  <c r="CP70" i="90" s="1"/>
  <c r="Z73" i="56" s="1"/>
  <c r="CE92" i="90"/>
  <c r="CP92" i="90" s="1"/>
  <c r="Z95" i="56" s="1"/>
  <c r="CE121" i="90"/>
  <c r="CP121" i="90" s="1"/>
  <c r="Z124" i="56" s="1"/>
  <c r="CE113" i="90"/>
  <c r="CP113" i="90" s="1"/>
  <c r="Z116" i="56" s="1"/>
  <c r="CE63" i="90"/>
  <c r="CP63" i="90" s="1"/>
  <c r="Z66" i="56" s="1"/>
  <c r="CE43" i="90"/>
  <c r="CP43" i="90" s="1"/>
  <c r="CE57" i="90"/>
  <c r="CP57" i="90" s="1"/>
  <c r="Z60" i="56" s="1"/>
  <c r="CE48" i="90"/>
  <c r="CP48" i="90" s="1"/>
  <c r="Z51" i="56" s="1"/>
  <c r="CE49" i="90"/>
  <c r="CP49" i="90" s="1"/>
  <c r="Z52" i="56" s="1"/>
  <c r="CE117" i="90"/>
  <c r="CP117" i="90" s="1"/>
  <c r="Z120" i="56" s="1"/>
  <c r="CE55" i="90"/>
  <c r="CP55" i="90" s="1"/>
  <c r="Z58" i="56" s="1"/>
  <c r="CE87" i="90"/>
  <c r="CP87" i="90" s="1"/>
  <c r="Z90" i="56" s="1"/>
  <c r="CE98" i="90"/>
  <c r="CP98" i="90" s="1"/>
  <c r="Z101" i="56" s="1"/>
  <c r="CE120" i="90"/>
  <c r="CP120" i="90" s="1"/>
  <c r="Z123" i="56" s="1"/>
  <c r="CE112" i="90"/>
  <c r="CP112" i="90" s="1"/>
  <c r="Z115" i="56" s="1"/>
  <c r="CE127" i="90"/>
  <c r="CP127" i="90" s="1"/>
  <c r="Z130" i="56" s="1"/>
  <c r="CE138" i="90"/>
  <c r="CP138" i="90" s="1"/>
  <c r="Z141" i="56" s="1"/>
  <c r="CE102" i="90"/>
  <c r="CP102" i="90" s="1"/>
  <c r="Z105" i="56" s="1"/>
  <c r="CE132" i="90"/>
  <c r="CP132" i="90" s="1"/>
  <c r="Z135" i="56" s="1"/>
  <c r="CE79" i="90"/>
  <c r="CP79" i="90" s="1"/>
  <c r="Z82" i="56" s="1"/>
  <c r="CE100" i="90"/>
  <c r="CP100" i="90" s="1"/>
  <c r="Z103" i="56" s="1"/>
  <c r="CE124" i="90"/>
  <c r="CP124" i="90" s="1"/>
  <c r="Z127" i="56" s="1"/>
  <c r="CE105" i="90"/>
  <c r="CP105" i="90" s="1"/>
  <c r="Z108" i="56" s="1"/>
  <c r="CE85" i="90"/>
  <c r="CP85" i="90" s="1"/>
  <c r="Z88" i="56" s="1"/>
  <c r="CE45" i="90"/>
  <c r="CP45" i="90" s="1"/>
  <c r="Z48" i="56" s="1"/>
  <c r="CE118" i="90"/>
  <c r="CP118" i="90" s="1"/>
  <c r="Z121" i="56" s="1"/>
  <c r="CE142" i="90"/>
  <c r="CP142" i="90" s="1"/>
  <c r="Z145" i="56" s="1"/>
  <c r="CE128" i="90"/>
  <c r="CP128" i="90" s="1"/>
  <c r="Z131" i="56" s="1"/>
  <c r="CE51" i="90"/>
  <c r="CP51" i="90" s="1"/>
  <c r="Z54" i="56" s="1"/>
  <c r="CE86" i="90"/>
  <c r="CP86" i="90" s="1"/>
  <c r="Z89" i="56" s="1"/>
  <c r="CE76" i="90"/>
  <c r="CP76" i="90" s="1"/>
  <c r="Z79" i="56" s="1"/>
  <c r="CE116" i="90"/>
  <c r="CP116" i="90" s="1"/>
  <c r="Z119" i="56" s="1"/>
  <c r="CE94" i="90"/>
  <c r="CP94" i="90" s="1"/>
  <c r="Z97" i="56" s="1"/>
  <c r="CE68" i="90"/>
  <c r="CP68" i="90" s="1"/>
  <c r="Z71" i="56" s="1"/>
  <c r="CE96" i="90"/>
  <c r="CP96" i="90" s="1"/>
  <c r="Z99" i="56" s="1"/>
  <c r="CE119" i="90"/>
  <c r="CP119" i="90" s="1"/>
  <c r="Z122" i="56" s="1"/>
  <c r="CE97" i="90"/>
  <c r="CP97" i="90" s="1"/>
  <c r="Z100" i="56" s="1"/>
  <c r="CE71" i="90"/>
  <c r="CP71" i="90" s="1"/>
  <c r="Z74" i="56" s="1"/>
  <c r="CE81" i="90"/>
  <c r="CP81" i="90" s="1"/>
  <c r="Z84" i="56" s="1"/>
  <c r="CE78" i="90"/>
  <c r="CP78" i="90" s="1"/>
  <c r="Z81" i="56" s="1"/>
  <c r="CE101" i="90"/>
  <c r="CP101" i="90" s="1"/>
  <c r="Z104" i="56" s="1"/>
  <c r="CE74" i="90"/>
  <c r="CP74" i="90" s="1"/>
  <c r="Z77" i="56" s="1"/>
  <c r="CE91" i="90"/>
  <c r="CP91" i="90" s="1"/>
  <c r="Z94" i="56" s="1"/>
  <c r="CE131" i="90"/>
  <c r="CP131" i="90" s="1"/>
  <c r="Z134" i="56" s="1"/>
  <c r="CE111" i="90"/>
  <c r="CP111" i="90" s="1"/>
  <c r="Z114" i="56" s="1"/>
  <c r="CE88" i="90"/>
  <c r="CP88" i="90" s="1"/>
  <c r="Z91" i="56" s="1"/>
  <c r="CE109" i="90"/>
  <c r="CP109" i="90" s="1"/>
  <c r="Z112" i="56" s="1"/>
  <c r="CE139" i="90"/>
  <c r="CP139" i="90" s="1"/>
  <c r="Z142" i="56" s="1"/>
  <c r="CE99" i="90"/>
  <c r="CP99" i="90" s="1"/>
  <c r="Z102" i="56" s="1"/>
  <c r="CE129" i="90"/>
  <c r="CP129" i="90" s="1"/>
  <c r="Z132" i="56" s="1"/>
  <c r="CE64" i="90"/>
  <c r="CP64" i="90" s="1"/>
  <c r="Z67" i="56" s="1"/>
  <c r="CE104" i="90"/>
  <c r="CP104" i="90" s="1"/>
  <c r="Z107" i="56" s="1"/>
  <c r="CE93" i="90"/>
  <c r="CP93" i="90" s="1"/>
  <c r="Z96" i="56" s="1"/>
  <c r="CE133" i="90"/>
  <c r="CP133" i="90" s="1"/>
  <c r="Z136" i="56" s="1"/>
  <c r="CE58" i="90"/>
  <c r="CP58" i="90" s="1"/>
  <c r="Z61" i="56" s="1"/>
  <c r="Z39" i="93"/>
  <c r="Z41" i="93" s="1"/>
  <c r="CE145" i="90"/>
  <c r="CP145" i="90" s="1"/>
  <c r="Z148" i="56" s="1"/>
  <c r="CE126" i="90"/>
  <c r="CP126" i="90" s="1"/>
  <c r="Z129" i="56" s="1"/>
  <c r="CE144" i="90"/>
  <c r="CE125" i="90"/>
  <c r="CP125" i="90" s="1"/>
  <c r="Z128" i="56" s="1"/>
  <c r="CE107" i="90"/>
  <c r="CP107" i="90" s="1"/>
  <c r="Z110" i="56" s="1"/>
  <c r="CE134" i="90"/>
  <c r="CP134" i="90" s="1"/>
  <c r="Z137" i="56" s="1"/>
  <c r="CE106" i="90"/>
  <c r="CP106" i="90" s="1"/>
  <c r="Z109" i="56" s="1"/>
  <c r="CE108" i="90"/>
  <c r="CP108" i="90" s="1"/>
  <c r="Z111" i="56" s="1"/>
  <c r="CE146" i="90"/>
  <c r="CE80" i="90"/>
  <c r="CP80" i="90" s="1"/>
  <c r="Z83" i="56" s="1"/>
  <c r="CE136" i="90"/>
  <c r="CP136" i="90" s="1"/>
  <c r="Z139" i="56" s="1"/>
  <c r="CE135" i="90"/>
  <c r="CP135" i="90" s="1"/>
  <c r="Z138" i="56" s="1"/>
  <c r="CE60" i="90"/>
  <c r="CP60" i="90" s="1"/>
  <c r="Z63" i="56" s="1"/>
  <c r="CE50" i="90"/>
  <c r="CP50" i="90" s="1"/>
  <c r="Z53" i="56" s="1"/>
  <c r="CE44" i="90"/>
  <c r="CP44" i="90" s="1"/>
  <c r="Z47" i="56" s="1"/>
  <c r="CE61" i="90"/>
  <c r="CE95" i="90"/>
  <c r="CP95" i="90" s="1"/>
  <c r="Z98" i="56" s="1"/>
  <c r="CE122" i="90"/>
  <c r="CP122" i="90" s="1"/>
  <c r="Z125" i="56" s="1"/>
  <c r="CE89" i="90"/>
  <c r="CP89" i="90" s="1"/>
  <c r="Z92" i="56" s="1"/>
  <c r="CE110" i="90"/>
  <c r="CP110" i="90" s="1"/>
  <c r="Z113" i="56" s="1"/>
  <c r="CE84" i="90"/>
  <c r="CP84" i="90" s="1"/>
  <c r="Z87" i="56" s="1"/>
  <c r="CE103" i="90"/>
  <c r="CP103" i="90" s="1"/>
  <c r="Z106" i="56" s="1"/>
  <c r="AI15" i="40"/>
  <c r="AA85" i="41" s="1"/>
  <c r="CE47" i="90"/>
  <c r="CP47" i="90" s="1"/>
  <c r="Z50" i="56" s="1"/>
  <c r="CE62" i="90"/>
  <c r="CP62" i="90" s="1"/>
  <c r="Z65" i="56" s="1"/>
  <c r="CE140" i="90"/>
  <c r="CP140" i="90" s="1"/>
  <c r="Z143" i="56" s="1"/>
  <c r="CE130" i="90"/>
  <c r="CP130" i="90" s="1"/>
  <c r="Z133" i="56" s="1"/>
  <c r="X206" i="44"/>
  <c r="X260" i="44"/>
  <c r="X124" i="44"/>
  <c r="X126" i="44"/>
  <c r="X209" i="44"/>
  <c r="AA309" i="44" l="1"/>
  <c r="AA310" i="44"/>
  <c r="AA274" i="44"/>
  <c r="AA311" i="44"/>
  <c r="S17" i="57"/>
  <c r="S22" i="57" s="1"/>
  <c r="CA63" i="57"/>
  <c r="CE59" i="57"/>
  <c r="CE63" i="57" s="1"/>
  <c r="CL432" i="57"/>
  <c r="T17" i="57"/>
  <c r="T22" i="57" s="1"/>
  <c r="T456" i="57"/>
  <c r="T510" i="57"/>
  <c r="BL431" i="57"/>
  <c r="CM431" i="57"/>
  <c r="BM431" i="57"/>
  <c r="DL431" i="57"/>
  <c r="CZ431" i="57"/>
  <c r="BP434" i="57"/>
  <c r="CQ434" i="57"/>
  <c r="DD434" i="57"/>
  <c r="DP434" i="57"/>
  <c r="BQ434" i="57"/>
  <c r="V17" i="57"/>
  <c r="V22" i="57" s="1"/>
  <c r="CG63" i="57"/>
  <c r="CD63" i="57"/>
  <c r="CL438" i="57"/>
  <c r="CE58" i="57"/>
  <c r="CC58" i="57"/>
  <c r="BF57" i="57"/>
  <c r="BF59" i="57"/>
  <c r="BF58" i="57"/>
  <c r="CH57" i="57"/>
  <c r="CF59" i="57"/>
  <c r="CF63" i="57" s="1"/>
  <c r="BA431" i="57"/>
  <c r="BB431" i="57"/>
  <c r="CH58" i="57"/>
  <c r="V456" i="57"/>
  <c r="V510" i="57"/>
  <c r="CL82" i="57"/>
  <c r="CL76" i="57"/>
  <c r="CL75" i="57"/>
  <c r="CL91" i="57"/>
  <c r="CL74" i="57"/>
  <c r="CL69" i="57"/>
  <c r="CL104" i="57"/>
  <c r="CL95" i="57"/>
  <c r="CL96" i="57"/>
  <c r="CL93" i="57"/>
  <c r="CL98" i="57"/>
  <c r="CL79" i="57"/>
  <c r="CL83" i="57"/>
  <c r="CL72" i="57"/>
  <c r="CL80" i="57"/>
  <c r="CL100" i="57"/>
  <c r="Z455" i="57"/>
  <c r="CL81" i="57"/>
  <c r="CL102" i="57"/>
  <c r="CL77" i="57"/>
  <c r="CL101" i="57"/>
  <c r="CL86" i="57"/>
  <c r="CL85" i="57"/>
  <c r="CL78" i="57"/>
  <c r="CL99" i="57"/>
  <c r="CL88" i="57"/>
  <c r="Z14" i="57"/>
  <c r="Z17" i="57" s="1"/>
  <c r="CL89" i="57"/>
  <c r="CL103" i="57"/>
  <c r="CL92" i="57"/>
  <c r="CL97" i="57"/>
  <c r="CL87" i="57"/>
  <c r="CL73" i="57"/>
  <c r="CL71" i="57"/>
  <c r="CL90" i="57"/>
  <c r="CL84" i="57"/>
  <c r="CL70" i="57"/>
  <c r="CL94" i="57"/>
  <c r="CL105" i="57"/>
  <c r="CL107" i="57"/>
  <c r="CL106" i="57"/>
  <c r="CL108" i="57"/>
  <c r="CL110" i="57"/>
  <c r="CL109" i="57"/>
  <c r="CL112" i="57"/>
  <c r="CL113" i="57"/>
  <c r="CL111" i="57"/>
  <c r="CL114" i="57"/>
  <c r="CL115" i="57"/>
  <c r="CL116" i="57"/>
  <c r="CL117" i="57"/>
  <c r="CL118" i="57"/>
  <c r="CL119" i="57"/>
  <c r="CL123" i="57"/>
  <c r="CL121" i="57"/>
  <c r="CL124" i="57"/>
  <c r="CL120" i="57"/>
  <c r="CL125" i="57"/>
  <c r="CL122" i="57"/>
  <c r="CL131" i="57"/>
  <c r="CL127" i="57"/>
  <c r="CL126" i="57"/>
  <c r="CL130" i="57"/>
  <c r="CL128" i="57"/>
  <c r="CL129" i="57"/>
  <c r="CL133" i="57"/>
  <c r="CL132" i="57"/>
  <c r="CL135" i="57"/>
  <c r="CL134" i="57"/>
  <c r="CL136" i="57"/>
  <c r="CL137" i="57"/>
  <c r="CL140" i="57"/>
  <c r="CL139" i="57"/>
  <c r="CL138" i="57"/>
  <c r="CL142" i="57"/>
  <c r="CL141" i="57"/>
  <c r="CL143" i="57"/>
  <c r="CL144" i="57"/>
  <c r="CL145" i="57"/>
  <c r="CL146" i="57"/>
  <c r="CL147" i="57"/>
  <c r="CL148" i="57"/>
  <c r="CL149" i="57"/>
  <c r="CL153" i="57"/>
  <c r="CL154" i="57"/>
  <c r="CL155" i="57"/>
  <c r="CL150" i="57"/>
  <c r="CL151" i="57"/>
  <c r="CL152" i="57"/>
  <c r="CL157" i="57"/>
  <c r="CL156" i="57"/>
  <c r="CL158" i="57"/>
  <c r="CL159" i="57"/>
  <c r="CL160" i="57"/>
  <c r="CL161" i="57"/>
  <c r="CL162" i="57"/>
  <c r="CL165" i="57"/>
  <c r="CL164" i="57"/>
  <c r="CL166" i="57"/>
  <c r="CL167" i="57"/>
  <c r="CL163" i="57"/>
  <c r="CL172" i="57"/>
  <c r="CL171" i="57"/>
  <c r="CL168" i="57"/>
  <c r="CL173" i="57"/>
  <c r="CL169" i="57"/>
  <c r="CL170" i="57"/>
  <c r="CL175" i="57"/>
  <c r="CL174" i="57"/>
  <c r="CL176" i="57"/>
  <c r="CL177" i="57"/>
  <c r="CL178" i="57"/>
  <c r="CL179" i="57"/>
  <c r="CL181" i="57"/>
  <c r="CL180" i="57"/>
  <c r="CL182" i="57"/>
  <c r="CL183" i="57"/>
  <c r="CL184" i="57"/>
  <c r="CL185" i="57"/>
  <c r="CL189" i="57"/>
  <c r="CL187" i="57"/>
  <c r="CL190" i="57"/>
  <c r="CL186" i="57"/>
  <c r="CL191" i="57"/>
  <c r="CL188" i="57"/>
  <c r="CL192" i="57"/>
  <c r="CL193" i="57"/>
  <c r="CL194" i="57"/>
  <c r="CL196" i="57"/>
  <c r="CL195" i="57"/>
  <c r="CL197" i="57"/>
  <c r="CL198" i="57"/>
  <c r="CL199" i="57"/>
  <c r="CL200" i="57"/>
  <c r="CL203" i="57"/>
  <c r="CL205" i="57"/>
  <c r="CL201" i="57"/>
  <c r="CL204" i="57"/>
  <c r="CL202" i="57"/>
  <c r="CL206" i="57"/>
  <c r="CL208" i="57"/>
  <c r="CL207" i="57"/>
  <c r="CL209" i="57"/>
  <c r="CL210" i="57"/>
  <c r="CL214" i="57"/>
  <c r="CL211" i="57"/>
  <c r="CL213" i="57"/>
  <c r="CL212" i="57"/>
  <c r="CL215" i="57"/>
  <c r="CL216" i="57"/>
  <c r="CL217" i="57"/>
  <c r="CL218" i="57"/>
  <c r="CL220" i="57"/>
  <c r="CL219" i="57"/>
  <c r="CL221" i="57"/>
  <c r="CL223" i="57"/>
  <c r="CL222" i="57"/>
  <c r="CL224" i="57"/>
  <c r="CL230" i="57"/>
  <c r="CL226" i="57"/>
  <c r="CL225" i="57"/>
  <c r="CL231" i="57"/>
  <c r="CL227" i="57"/>
  <c r="CL232" i="57"/>
  <c r="CL233" i="57"/>
  <c r="CL228" i="57"/>
  <c r="CL229" i="57"/>
  <c r="CL234" i="57"/>
  <c r="CL235" i="57"/>
  <c r="CL236" i="57"/>
  <c r="CL239" i="57"/>
  <c r="CL237" i="57"/>
  <c r="CL238" i="57"/>
  <c r="CL241" i="57"/>
  <c r="CL244" i="57"/>
  <c r="CL240" i="57"/>
  <c r="CL243" i="57"/>
  <c r="CL242" i="57"/>
  <c r="CL245" i="57"/>
  <c r="CL246" i="57"/>
  <c r="CL247" i="57"/>
  <c r="CL248" i="57"/>
  <c r="CL253" i="57"/>
  <c r="CL252" i="57"/>
  <c r="CL249" i="57"/>
  <c r="CL254" i="57"/>
  <c r="CL250" i="57"/>
  <c r="CL251" i="57"/>
  <c r="CL256" i="57"/>
  <c r="CL255" i="57"/>
  <c r="CL257" i="57"/>
  <c r="CL262" i="57"/>
  <c r="CL263" i="57"/>
  <c r="CL259" i="57"/>
  <c r="CL258" i="57"/>
  <c r="CL260" i="57"/>
  <c r="CL261" i="57"/>
  <c r="CL267" i="57"/>
  <c r="CL266" i="57"/>
  <c r="CL268" i="57"/>
  <c r="CL269" i="57"/>
  <c r="CL265" i="57"/>
  <c r="CL264" i="57"/>
  <c r="CL272" i="57"/>
  <c r="CL273" i="57"/>
  <c r="CL274" i="57"/>
  <c r="CL275" i="57"/>
  <c r="CL270" i="57"/>
  <c r="CL271" i="57"/>
  <c r="CL276" i="57"/>
  <c r="CL278" i="57"/>
  <c r="CL277" i="57"/>
  <c r="CL280" i="57"/>
  <c r="CL279" i="57"/>
  <c r="CL281" i="57"/>
  <c r="CL285" i="57"/>
  <c r="CL282" i="57"/>
  <c r="CL286" i="57"/>
  <c r="CL283" i="57"/>
  <c r="CL287" i="57"/>
  <c r="CL284" i="57"/>
  <c r="CL288" i="57"/>
  <c r="CL290" i="57"/>
  <c r="CL289" i="57"/>
  <c r="CL292" i="57"/>
  <c r="CL291" i="57"/>
  <c r="CL293" i="57"/>
  <c r="CL294" i="57"/>
  <c r="CL295" i="57"/>
  <c r="CL296" i="57"/>
  <c r="CL299" i="57"/>
  <c r="CL297" i="57"/>
  <c r="CL298" i="57"/>
  <c r="CL302" i="57"/>
  <c r="CL305" i="57"/>
  <c r="CL303" i="57"/>
  <c r="CL300" i="57"/>
  <c r="CL304" i="57"/>
  <c r="CL301" i="57"/>
  <c r="CL307" i="57"/>
  <c r="CL306" i="57"/>
  <c r="CL308" i="57"/>
  <c r="CL310" i="57"/>
  <c r="CL311" i="57"/>
  <c r="CL312" i="57"/>
  <c r="CL313" i="57"/>
  <c r="CL314" i="57"/>
  <c r="CL309" i="57"/>
  <c r="CL320" i="57"/>
  <c r="CL317" i="57"/>
  <c r="CL318" i="57"/>
  <c r="CL315" i="57"/>
  <c r="CL319" i="57"/>
  <c r="CL316" i="57"/>
  <c r="CL322" i="57"/>
  <c r="CL321" i="57"/>
  <c r="CL323" i="57"/>
  <c r="CL324" i="57"/>
  <c r="CL325" i="57"/>
  <c r="CL326" i="57"/>
  <c r="CL329" i="57"/>
  <c r="CL327" i="57"/>
  <c r="CL328" i="57"/>
  <c r="CL332" i="57"/>
  <c r="CL331" i="57"/>
  <c r="CL330" i="57"/>
  <c r="CL334" i="57"/>
  <c r="CL335" i="57"/>
  <c r="CL333" i="57"/>
  <c r="CL340" i="57"/>
  <c r="CL337" i="57"/>
  <c r="CL341" i="57"/>
  <c r="CL338" i="57"/>
  <c r="CL336" i="57"/>
  <c r="CL339" i="57"/>
  <c r="CL346" i="57"/>
  <c r="CL344" i="57"/>
  <c r="CL347" i="57"/>
  <c r="Z42" i="57"/>
  <c r="CL342" i="57"/>
  <c r="CL345" i="57"/>
  <c r="CL343" i="57"/>
  <c r="CL349" i="57"/>
  <c r="CL348" i="57"/>
  <c r="CL350" i="57"/>
  <c r="CL354" i="57"/>
  <c r="CL355" i="57"/>
  <c r="CL351" i="57"/>
  <c r="CL353" i="57"/>
  <c r="CL356" i="57"/>
  <c r="CL352" i="57"/>
  <c r="CL358" i="57"/>
  <c r="CL359" i="57"/>
  <c r="CL357" i="57"/>
  <c r="CL365" i="57"/>
  <c r="CL360" i="57"/>
  <c r="CL363" i="57"/>
  <c r="CL361" i="57"/>
  <c r="CL364" i="57"/>
  <c r="CL362" i="57"/>
  <c r="CL368" i="57"/>
  <c r="CL366" i="57"/>
  <c r="CL367" i="57"/>
  <c r="CL370" i="57"/>
  <c r="CL373" i="57"/>
  <c r="CL372" i="57"/>
  <c r="CL374" i="57"/>
  <c r="CL369" i="57"/>
  <c r="CL371" i="57"/>
  <c r="CL375" i="57"/>
  <c r="CL377" i="57"/>
  <c r="CL376" i="57"/>
  <c r="CL379" i="57"/>
  <c r="CL378" i="57"/>
  <c r="CL380" i="57"/>
  <c r="CL381" i="57"/>
  <c r="CL382" i="57"/>
  <c r="CL383" i="57"/>
  <c r="CL385" i="57"/>
  <c r="CL384" i="57"/>
  <c r="CL386" i="57"/>
  <c r="CL392" i="57"/>
  <c r="CL390" i="57"/>
  <c r="CL388" i="57"/>
  <c r="CL391" i="57"/>
  <c r="CL387" i="57"/>
  <c r="CL389" i="57"/>
  <c r="CL398" i="57"/>
  <c r="CL395" i="57"/>
  <c r="CL393" i="57"/>
  <c r="CL396" i="57"/>
  <c r="CL397" i="57"/>
  <c r="CL394" i="57"/>
  <c r="CL401" i="57"/>
  <c r="CL402" i="57"/>
  <c r="CL400" i="57"/>
  <c r="CL403" i="57"/>
  <c r="CL399" i="57"/>
  <c r="CL404" i="57"/>
  <c r="CL410" i="57"/>
  <c r="CL405" i="57"/>
  <c r="CL407" i="57"/>
  <c r="CL409" i="57"/>
  <c r="CL408" i="57"/>
  <c r="CL406" i="57"/>
  <c r="CL411" i="57"/>
  <c r="CL412" i="57"/>
  <c r="CL414" i="57"/>
  <c r="CL416" i="57"/>
  <c r="CL415" i="57"/>
  <c r="CL413" i="57"/>
  <c r="CL419" i="57"/>
  <c r="CL418" i="57"/>
  <c r="CL421" i="57"/>
  <c r="CL420" i="57"/>
  <c r="CL417" i="57"/>
  <c r="CL422" i="57"/>
  <c r="CL425" i="57"/>
  <c r="CL424" i="57"/>
  <c r="CL423" i="57"/>
  <c r="CL428" i="57"/>
  <c r="CL426" i="57"/>
  <c r="CL427" i="57"/>
  <c r="CL431" i="57"/>
  <c r="CL440" i="57"/>
  <c r="CL437" i="57"/>
  <c r="CL436" i="57"/>
  <c r="CL429" i="57"/>
  <c r="CL435" i="57"/>
  <c r="CL430" i="57"/>
  <c r="CE57" i="57"/>
  <c r="CL433" i="57"/>
  <c r="CC59" i="57"/>
  <c r="CC63" i="57" s="1"/>
  <c r="S456" i="57"/>
  <c r="S510" i="57"/>
  <c r="CB59" i="57"/>
  <c r="CF58" i="57"/>
  <c r="Q437" i="57"/>
  <c r="BB434" i="57"/>
  <c r="BJ59" i="57"/>
  <c r="BJ57" i="57"/>
  <c r="BJ58" i="57"/>
  <c r="BP437" i="57"/>
  <c r="CQ437" i="57"/>
  <c r="DP437" i="57"/>
  <c r="DD437" i="57"/>
  <c r="BQ437" i="57"/>
  <c r="CH59" i="57"/>
  <c r="CH63" i="57" s="1"/>
  <c r="BG59" i="57"/>
  <c r="BG57" i="57"/>
  <c r="BG58" i="57"/>
  <c r="CB58" i="57"/>
  <c r="CL434" i="57"/>
  <c r="BK59" i="57"/>
  <c r="BK57" i="57"/>
  <c r="BK58" i="57"/>
  <c r="CB57" i="57"/>
  <c r="CH60" i="57" s="1"/>
  <c r="CF57" i="57"/>
  <c r="CC57" i="57"/>
  <c r="DP441" i="57"/>
  <c r="DD441" i="57"/>
  <c r="AR441" i="57"/>
  <c r="CQ441" i="57"/>
  <c r="BQ441" i="57"/>
  <c r="AS441" i="57"/>
  <c r="BP441" i="57"/>
  <c r="AF440" i="57"/>
  <c r="BL439" i="57"/>
  <c r="DL439" i="57"/>
  <c r="CZ439" i="57"/>
  <c r="CM439" i="57"/>
  <c r="BM439" i="57"/>
  <c r="BA441" i="57"/>
  <c r="BB441" i="57"/>
  <c r="BA434" i="57"/>
  <c r="Q440" i="57"/>
  <c r="BA440" i="57" s="1"/>
  <c r="AB434" i="57"/>
  <c r="X19" i="56"/>
  <c r="X112" i="41" s="1"/>
  <c r="X168" i="44" s="1"/>
  <c r="X127" i="86"/>
  <c r="Z119" i="86"/>
  <c r="Z38" i="12"/>
  <c r="K108" i="98"/>
  <c r="K163" i="98" s="1"/>
  <c r="AA36" i="12"/>
  <c r="L38" i="98"/>
  <c r="L39" i="98" s="1"/>
  <c r="Y42" i="12"/>
  <c r="L91" i="98" s="1"/>
  <c r="Y14" i="42"/>
  <c r="Y121" i="86"/>
  <c r="L108" i="98" s="1"/>
  <c r="L128" i="98"/>
  <c r="L156" i="98"/>
  <c r="L158" i="98" s="1"/>
  <c r="Z46" i="56"/>
  <c r="CP61" i="90"/>
  <c r="Z64" i="56" s="1"/>
  <c r="CO42" i="90"/>
  <c r="Y45" i="56"/>
  <c r="Y259" i="44"/>
  <c r="Y139" i="44"/>
  <c r="CF122" i="90"/>
  <c r="CQ122" i="90" s="1"/>
  <c r="AA125" i="56" s="1"/>
  <c r="CF94" i="90"/>
  <c r="CQ94" i="90" s="1"/>
  <c r="AA97" i="56" s="1"/>
  <c r="CF132" i="90"/>
  <c r="CQ132" i="90" s="1"/>
  <c r="AA135" i="56" s="1"/>
  <c r="CF123" i="90"/>
  <c r="CQ123" i="90" s="1"/>
  <c r="AA126" i="56" s="1"/>
  <c r="CF119" i="90"/>
  <c r="CQ119" i="90" s="1"/>
  <c r="AA122" i="56" s="1"/>
  <c r="CF128" i="90"/>
  <c r="CQ128" i="90" s="1"/>
  <c r="AA131" i="56" s="1"/>
  <c r="CF118" i="90"/>
  <c r="CQ118" i="90" s="1"/>
  <c r="AA121" i="56" s="1"/>
  <c r="CF137" i="90"/>
  <c r="CQ137" i="90" s="1"/>
  <c r="AA140" i="56" s="1"/>
  <c r="CF44" i="90"/>
  <c r="CQ44" i="90" s="1"/>
  <c r="AA47" i="56" s="1"/>
  <c r="CF111" i="90"/>
  <c r="CQ111" i="90" s="1"/>
  <c r="AA114" i="56" s="1"/>
  <c r="CF76" i="90"/>
  <c r="CQ76" i="90" s="1"/>
  <c r="AA79" i="56" s="1"/>
  <c r="CF108" i="90"/>
  <c r="CQ108" i="90" s="1"/>
  <c r="AA111" i="56" s="1"/>
  <c r="CF65" i="90"/>
  <c r="CQ65" i="90" s="1"/>
  <c r="AA68" i="56" s="1"/>
  <c r="CF93" i="90"/>
  <c r="CQ93" i="90" s="1"/>
  <c r="AA96" i="56" s="1"/>
  <c r="CF98" i="90"/>
  <c r="CQ98" i="90" s="1"/>
  <c r="AA101" i="56" s="1"/>
  <c r="CF139" i="90"/>
  <c r="CQ139" i="90" s="1"/>
  <c r="AA142" i="56" s="1"/>
  <c r="CF63" i="90"/>
  <c r="CQ63" i="90" s="1"/>
  <c r="AA66" i="56" s="1"/>
  <c r="CF62" i="90"/>
  <c r="CQ62" i="90" s="1"/>
  <c r="AA65" i="56" s="1"/>
  <c r="CF69" i="90"/>
  <c r="CQ69" i="90" s="1"/>
  <c r="AA72" i="56" s="1"/>
  <c r="CF146" i="90"/>
  <c r="CF57" i="90"/>
  <c r="CQ57" i="90" s="1"/>
  <c r="AA60" i="56" s="1"/>
  <c r="CF143" i="90"/>
  <c r="CQ143" i="90" s="1"/>
  <c r="AA146" i="56" s="1"/>
  <c r="CF71" i="90"/>
  <c r="CQ71" i="90" s="1"/>
  <c r="AA74" i="56" s="1"/>
  <c r="CF59" i="90"/>
  <c r="CQ59" i="90" s="1"/>
  <c r="AA62" i="56" s="1"/>
  <c r="CF112" i="90"/>
  <c r="CQ112" i="90" s="1"/>
  <c r="AA115" i="56" s="1"/>
  <c r="CF138" i="90"/>
  <c r="CQ138" i="90" s="1"/>
  <c r="AA141" i="56" s="1"/>
  <c r="CF78" i="90"/>
  <c r="CQ78" i="90" s="1"/>
  <c r="AA81" i="56" s="1"/>
  <c r="CF131" i="90"/>
  <c r="CQ131" i="90" s="1"/>
  <c r="AA134" i="56" s="1"/>
  <c r="CF64" i="90"/>
  <c r="CQ64" i="90" s="1"/>
  <c r="AA67" i="56" s="1"/>
  <c r="CF140" i="90"/>
  <c r="CQ140" i="90" s="1"/>
  <c r="AA143" i="56" s="1"/>
  <c r="CF84" i="90"/>
  <c r="CQ84" i="90" s="1"/>
  <c r="AA87" i="56" s="1"/>
  <c r="AA39" i="93"/>
  <c r="AA41" i="93" s="1"/>
  <c r="CF125" i="90"/>
  <c r="CQ125" i="90" s="1"/>
  <c r="AA128" i="56" s="1"/>
  <c r="CF136" i="90"/>
  <c r="CQ136" i="90" s="1"/>
  <c r="AA139" i="56" s="1"/>
  <c r="CF91" i="90"/>
  <c r="CQ91" i="90" s="1"/>
  <c r="AA94" i="56" s="1"/>
  <c r="CF110" i="90"/>
  <c r="CQ110" i="90" s="1"/>
  <c r="AA113" i="56" s="1"/>
  <c r="CF96" i="90"/>
  <c r="CQ96" i="90" s="1"/>
  <c r="AA99" i="56" s="1"/>
  <c r="CF45" i="90"/>
  <c r="CQ45" i="90" s="1"/>
  <c r="AA48" i="56" s="1"/>
  <c r="CF79" i="90"/>
  <c r="CQ79" i="90" s="1"/>
  <c r="AA82" i="56" s="1"/>
  <c r="CF85" i="90"/>
  <c r="CQ85" i="90" s="1"/>
  <c r="AA88" i="56" s="1"/>
  <c r="CF74" i="90"/>
  <c r="CQ74" i="90" s="1"/>
  <c r="AA77" i="56" s="1"/>
  <c r="CF95" i="90"/>
  <c r="CQ95" i="90" s="1"/>
  <c r="AA98" i="56" s="1"/>
  <c r="CF77" i="90"/>
  <c r="CQ77" i="90" s="1"/>
  <c r="AA80" i="56" s="1"/>
  <c r="CF103" i="90"/>
  <c r="CQ103" i="90" s="1"/>
  <c r="AA106" i="56" s="1"/>
  <c r="CF61" i="90"/>
  <c r="CF114" i="90"/>
  <c r="CQ114" i="90" s="1"/>
  <c r="AA117" i="56" s="1"/>
  <c r="CF89" i="90"/>
  <c r="CQ89" i="90" s="1"/>
  <c r="AA92" i="56" s="1"/>
  <c r="CF67" i="90"/>
  <c r="CQ67" i="90" s="1"/>
  <c r="AA70" i="56" s="1"/>
  <c r="CF48" i="90"/>
  <c r="CQ48" i="90" s="1"/>
  <c r="AA51" i="56" s="1"/>
  <c r="CF58" i="90"/>
  <c r="CQ58" i="90" s="1"/>
  <c r="AA61" i="56" s="1"/>
  <c r="CF115" i="90"/>
  <c r="CQ115" i="90" s="1"/>
  <c r="AA118" i="56" s="1"/>
  <c r="CF133" i="90"/>
  <c r="CQ133" i="90" s="1"/>
  <c r="AA136" i="56" s="1"/>
  <c r="CF97" i="90"/>
  <c r="CQ97" i="90" s="1"/>
  <c r="AA100" i="56" s="1"/>
  <c r="CF87" i="90"/>
  <c r="CQ87" i="90" s="1"/>
  <c r="AA90" i="56" s="1"/>
  <c r="CF49" i="90"/>
  <c r="CQ49" i="90" s="1"/>
  <c r="AA52" i="56" s="1"/>
  <c r="CF66" i="90"/>
  <c r="CQ66" i="90" s="1"/>
  <c r="AA69" i="56" s="1"/>
  <c r="CF99" i="90"/>
  <c r="CQ99" i="90" s="1"/>
  <c r="AA102" i="56" s="1"/>
  <c r="CF60" i="90"/>
  <c r="CQ60" i="90" s="1"/>
  <c r="AA63" i="56" s="1"/>
  <c r="CF134" i="90"/>
  <c r="CQ134" i="90" s="1"/>
  <c r="AA137" i="56" s="1"/>
  <c r="CF109" i="90"/>
  <c r="CQ109" i="90" s="1"/>
  <c r="AA112" i="56" s="1"/>
  <c r="CF88" i="90"/>
  <c r="CQ88" i="90" s="1"/>
  <c r="AA91" i="56" s="1"/>
  <c r="CF104" i="90"/>
  <c r="CQ104" i="90" s="1"/>
  <c r="AA107" i="56" s="1"/>
  <c r="CF126" i="90"/>
  <c r="CQ126" i="90" s="1"/>
  <c r="AA129" i="56" s="1"/>
  <c r="CF70" i="90"/>
  <c r="CQ70" i="90" s="1"/>
  <c r="AA73" i="56" s="1"/>
  <c r="CF106" i="90"/>
  <c r="CQ106" i="90" s="1"/>
  <c r="AA109" i="56" s="1"/>
  <c r="CF124" i="90"/>
  <c r="CQ124" i="90" s="1"/>
  <c r="AA127" i="56" s="1"/>
  <c r="CF72" i="90"/>
  <c r="CQ72" i="90" s="1"/>
  <c r="AA75" i="56" s="1"/>
  <c r="CF145" i="90"/>
  <c r="CQ145" i="90" s="1"/>
  <c r="AA148" i="56" s="1"/>
  <c r="CF43" i="90"/>
  <c r="CQ43" i="90" s="1"/>
  <c r="CF46" i="90"/>
  <c r="CQ46" i="90" s="1"/>
  <c r="AA49" i="56" s="1"/>
  <c r="CF102" i="90"/>
  <c r="CQ102" i="90" s="1"/>
  <c r="AA105" i="56" s="1"/>
  <c r="CF130" i="90"/>
  <c r="CQ130" i="90" s="1"/>
  <c r="AA133" i="56" s="1"/>
  <c r="CF92" i="90"/>
  <c r="CQ92" i="90" s="1"/>
  <c r="AA95" i="56" s="1"/>
  <c r="CF83" i="90"/>
  <c r="CQ83" i="90" s="1"/>
  <c r="AA86" i="56" s="1"/>
  <c r="CF142" i="90"/>
  <c r="CQ142" i="90" s="1"/>
  <c r="AA145" i="56" s="1"/>
  <c r="CF47" i="90"/>
  <c r="CQ47" i="90" s="1"/>
  <c r="AA50" i="56" s="1"/>
  <c r="CF113" i="90"/>
  <c r="CQ113" i="90" s="1"/>
  <c r="AA116" i="56" s="1"/>
  <c r="CF75" i="90"/>
  <c r="CQ75" i="90" s="1"/>
  <c r="AA78" i="56" s="1"/>
  <c r="CF82" i="90"/>
  <c r="CQ82" i="90" s="1"/>
  <c r="AA85" i="56" s="1"/>
  <c r="CF107" i="90"/>
  <c r="CQ107" i="90" s="1"/>
  <c r="AA110" i="56" s="1"/>
  <c r="CF73" i="90"/>
  <c r="CQ73" i="90" s="1"/>
  <c r="AA76" i="56" s="1"/>
  <c r="CF90" i="90"/>
  <c r="CQ90" i="90" s="1"/>
  <c r="AA93" i="56" s="1"/>
  <c r="CF116" i="90"/>
  <c r="CQ116" i="90" s="1"/>
  <c r="AA119" i="56" s="1"/>
  <c r="CF51" i="90"/>
  <c r="CQ51" i="90" s="1"/>
  <c r="AA54" i="56" s="1"/>
  <c r="CF121" i="90"/>
  <c r="CQ121" i="90" s="1"/>
  <c r="AA124" i="56" s="1"/>
  <c r="CF127" i="90"/>
  <c r="CQ127" i="90" s="1"/>
  <c r="AA130" i="56" s="1"/>
  <c r="CF80" i="90"/>
  <c r="CQ80" i="90" s="1"/>
  <c r="AA83" i="56" s="1"/>
  <c r="CF55" i="90"/>
  <c r="CQ55" i="90" s="1"/>
  <c r="AA58" i="56" s="1"/>
  <c r="CF135" i="90"/>
  <c r="CQ135" i="90" s="1"/>
  <c r="AA138" i="56" s="1"/>
  <c r="CF117" i="90"/>
  <c r="CQ117" i="90" s="1"/>
  <c r="AA120" i="56" s="1"/>
  <c r="CF50" i="90"/>
  <c r="CQ50" i="90" s="1"/>
  <c r="AA53" i="56" s="1"/>
  <c r="CF141" i="90"/>
  <c r="CQ141" i="90" s="1"/>
  <c r="AA144" i="56" s="1"/>
  <c r="CF100" i="90"/>
  <c r="CQ100" i="90" s="1"/>
  <c r="AA103" i="56" s="1"/>
  <c r="CF105" i="90"/>
  <c r="CQ105" i="90" s="1"/>
  <c r="AA108" i="56" s="1"/>
  <c r="CF120" i="90"/>
  <c r="CQ120" i="90" s="1"/>
  <c r="AA123" i="56" s="1"/>
  <c r="CF144" i="90"/>
  <c r="CF101" i="90"/>
  <c r="CQ101" i="90" s="1"/>
  <c r="AA104" i="56" s="1"/>
  <c r="AJ15" i="40"/>
  <c r="AB85" i="41" s="1"/>
  <c r="CF86" i="90"/>
  <c r="CQ86" i="90" s="1"/>
  <c r="AA89" i="56" s="1"/>
  <c r="CF68" i="90"/>
  <c r="CQ68" i="90" s="1"/>
  <c r="AA71" i="56" s="1"/>
  <c r="CF129" i="90"/>
  <c r="CQ129" i="90" s="1"/>
  <c r="AA132" i="56" s="1"/>
  <c r="CF81" i="90"/>
  <c r="CQ81" i="90" s="1"/>
  <c r="AA84" i="56" s="1"/>
  <c r="X131" i="44"/>
  <c r="X167" i="44"/>
  <c r="X98" i="44"/>
  <c r="X213" i="44"/>
  <c r="Y205" i="44"/>
  <c r="Y122" i="44"/>
  <c r="Y126" i="44"/>
  <c r="Y209" i="44"/>
  <c r="Y261" i="44"/>
  <c r="Y125" i="44"/>
  <c r="Y260" i="44"/>
  <c r="Y124" i="44"/>
  <c r="Y206" i="44"/>
  <c r="CE42" i="90"/>
  <c r="Y207" i="44"/>
  <c r="Y123" i="44"/>
  <c r="Z110" i="41"/>
  <c r="Z85" i="44"/>
  <c r="Z108" i="41"/>
  <c r="Z96" i="44"/>
  <c r="Z86" i="44"/>
  <c r="Z136" i="44"/>
  <c r="Z109" i="41"/>
  <c r="Z89" i="44"/>
  <c r="Z137" i="44" s="1"/>
  <c r="Z186" i="44"/>
  <c r="Z191" i="44"/>
  <c r="Z84" i="44"/>
  <c r="Z277" i="44" s="1"/>
  <c r="Z99" i="44"/>
  <c r="Z90" i="44"/>
  <c r="Z193" i="44"/>
  <c r="Z87" i="44"/>
  <c r="Z188" i="44"/>
  <c r="Z83" i="44"/>
  <c r="Z273" i="44" s="1"/>
  <c r="X130" i="44"/>
  <c r="X88" i="44"/>
  <c r="X212" i="44"/>
  <c r="AB309" i="44" l="1"/>
  <c r="AB311" i="44"/>
  <c r="AB310" i="44"/>
  <c r="AB274" i="44"/>
  <c r="Z22" i="57"/>
  <c r="CB63" i="57"/>
  <c r="CH62" i="57"/>
  <c r="CL59" i="57"/>
  <c r="CQ440" i="57"/>
  <c r="Z456" i="57"/>
  <c r="Z510" i="57"/>
  <c r="DD440" i="57"/>
  <c r="DP440" i="57"/>
  <c r="CL57" i="57"/>
  <c r="BL434" i="57"/>
  <c r="CZ434" i="57"/>
  <c r="DL434" i="57"/>
  <c r="CM434" i="57"/>
  <c r="BM434" i="57"/>
  <c r="BP440" i="57"/>
  <c r="BB440" i="57"/>
  <c r="CH61" i="57"/>
  <c r="CL58" i="57"/>
  <c r="CK63" i="57"/>
  <c r="BQ440" i="57"/>
  <c r="BA437" i="57"/>
  <c r="BB437" i="57"/>
  <c r="AF443" i="57"/>
  <c r="AF13" i="57" s="1"/>
  <c r="CR439" i="57" s="1"/>
  <c r="CQ442" i="57"/>
  <c r="BQ442" i="57"/>
  <c r="BP442" i="57"/>
  <c r="DP442" i="57"/>
  <c r="DD442" i="57"/>
  <c r="BA442" i="57"/>
  <c r="BB442" i="57"/>
  <c r="AB437" i="57"/>
  <c r="Q443" i="57"/>
  <c r="Q13" i="57" s="1"/>
  <c r="L163" i="98"/>
  <c r="X222" i="44"/>
  <c r="X221" i="44"/>
  <c r="Y19" i="56"/>
  <c r="Y112" i="41" s="1"/>
  <c r="Y168" i="44" s="1"/>
  <c r="L109" i="98"/>
  <c r="L110" i="98" s="1"/>
  <c r="Y127" i="86"/>
  <c r="Z121" i="86"/>
  <c r="M108" i="98" s="1"/>
  <c r="M109" i="98" s="1"/>
  <c r="M110" i="98" s="1"/>
  <c r="M156" i="98"/>
  <c r="M158" i="98" s="1"/>
  <c r="M128" i="98"/>
  <c r="AA119" i="86"/>
  <c r="AA38" i="12"/>
  <c r="AB36" i="12"/>
  <c r="AB122" i="12"/>
  <c r="M38" i="98"/>
  <c r="M39" i="98" s="1"/>
  <c r="Z14" i="42"/>
  <c r="Z42" i="12"/>
  <c r="M91" i="98" s="1"/>
  <c r="AA46" i="56"/>
  <c r="CQ61" i="90"/>
  <c r="AA64" i="56" s="1"/>
  <c r="CP42" i="90"/>
  <c r="Z45" i="56"/>
  <c r="Z19" i="56" s="1"/>
  <c r="Z112" i="41" s="1"/>
  <c r="Z168" i="44" s="1"/>
  <c r="Z126" i="44"/>
  <c r="Z209" i="44"/>
  <c r="CG129" i="90"/>
  <c r="CR129" i="90" s="1"/>
  <c r="AB132" i="56" s="1"/>
  <c r="CG127" i="90"/>
  <c r="CR127" i="90" s="1"/>
  <c r="AB130" i="56" s="1"/>
  <c r="CG119" i="90"/>
  <c r="CR119" i="90" s="1"/>
  <c r="AB122" i="56" s="1"/>
  <c r="CG88" i="90"/>
  <c r="CR88" i="90" s="1"/>
  <c r="AB91" i="56" s="1"/>
  <c r="CG130" i="90"/>
  <c r="CR130" i="90" s="1"/>
  <c r="AB133" i="56" s="1"/>
  <c r="CG112" i="90"/>
  <c r="CR112" i="90" s="1"/>
  <c r="AB115" i="56" s="1"/>
  <c r="CG47" i="90"/>
  <c r="CG65" i="90"/>
  <c r="CR65" i="90" s="1"/>
  <c r="AB68" i="56" s="1"/>
  <c r="CG139" i="90"/>
  <c r="CR139" i="90" s="1"/>
  <c r="AB142" i="56" s="1"/>
  <c r="CG69" i="90"/>
  <c r="CR69" i="90" s="1"/>
  <c r="AB72" i="56" s="1"/>
  <c r="CG98" i="90"/>
  <c r="CR98" i="90" s="1"/>
  <c r="AB101" i="56" s="1"/>
  <c r="CG109" i="90"/>
  <c r="CR109" i="90" s="1"/>
  <c r="AB112" i="56" s="1"/>
  <c r="CG134" i="90"/>
  <c r="CR134" i="90" s="1"/>
  <c r="AB137" i="56" s="1"/>
  <c r="CG61" i="90"/>
  <c r="CG48" i="90"/>
  <c r="CR48" i="90" s="1"/>
  <c r="AB51" i="56" s="1"/>
  <c r="CG103" i="90"/>
  <c r="CR103" i="90" s="1"/>
  <c r="AB106" i="56" s="1"/>
  <c r="CG57" i="90"/>
  <c r="CR57" i="90" s="1"/>
  <c r="AB60" i="56" s="1"/>
  <c r="CG51" i="90"/>
  <c r="CR51" i="90" s="1"/>
  <c r="AB54" i="56" s="1"/>
  <c r="CG60" i="90"/>
  <c r="CR60" i="90" s="1"/>
  <c r="AB63" i="56" s="1"/>
  <c r="CG116" i="90"/>
  <c r="CR116" i="90" s="1"/>
  <c r="AB119" i="56" s="1"/>
  <c r="CG97" i="90"/>
  <c r="CR97" i="90" s="1"/>
  <c r="AB100" i="56" s="1"/>
  <c r="CG124" i="90"/>
  <c r="CR124" i="90" s="1"/>
  <c r="AB127" i="56" s="1"/>
  <c r="CG136" i="90"/>
  <c r="CR136" i="90" s="1"/>
  <c r="AB139" i="56" s="1"/>
  <c r="CG50" i="90"/>
  <c r="CR50" i="90" s="1"/>
  <c r="AB53" i="56" s="1"/>
  <c r="CG82" i="90"/>
  <c r="CR82" i="90" s="1"/>
  <c r="AB85" i="56" s="1"/>
  <c r="CG144" i="90"/>
  <c r="CG113" i="90"/>
  <c r="CR113" i="90" s="1"/>
  <c r="AB116" i="56" s="1"/>
  <c r="CG128" i="90"/>
  <c r="CR128" i="90" s="1"/>
  <c r="AB131" i="56" s="1"/>
  <c r="CG66" i="90"/>
  <c r="CR66" i="90" s="1"/>
  <c r="AB69" i="56" s="1"/>
  <c r="CG108" i="90"/>
  <c r="CR108" i="90" s="1"/>
  <c r="AB111" i="56" s="1"/>
  <c r="CG131" i="90"/>
  <c r="CR131" i="90" s="1"/>
  <c r="AB134" i="56" s="1"/>
  <c r="CG78" i="90"/>
  <c r="CR78" i="90" s="1"/>
  <c r="AB81" i="56" s="1"/>
  <c r="CG123" i="90"/>
  <c r="CR123" i="90" s="1"/>
  <c r="AB126" i="56" s="1"/>
  <c r="CG94" i="90"/>
  <c r="CR94" i="90" s="1"/>
  <c r="AB97" i="56" s="1"/>
  <c r="CG135" i="90"/>
  <c r="CR135" i="90" s="1"/>
  <c r="AB138" i="56" s="1"/>
  <c r="CG85" i="90"/>
  <c r="CR85" i="90" s="1"/>
  <c r="AB88" i="56" s="1"/>
  <c r="CG76" i="90"/>
  <c r="CR76" i="90" s="1"/>
  <c r="AB79" i="56" s="1"/>
  <c r="CG91" i="90"/>
  <c r="CR91" i="90" s="1"/>
  <c r="AB94" i="56" s="1"/>
  <c r="CG58" i="90"/>
  <c r="CR58" i="90" s="1"/>
  <c r="AB61" i="56" s="1"/>
  <c r="CG120" i="90"/>
  <c r="CR120" i="90" s="1"/>
  <c r="AB123" i="56" s="1"/>
  <c r="CG115" i="90"/>
  <c r="CR115" i="90" s="1"/>
  <c r="AB118" i="56" s="1"/>
  <c r="CG44" i="90"/>
  <c r="CR44" i="90" s="1"/>
  <c r="AB47" i="56" s="1"/>
  <c r="CG49" i="90"/>
  <c r="CR49" i="90" s="1"/>
  <c r="AB52" i="56" s="1"/>
  <c r="CG84" i="90"/>
  <c r="CR84" i="90" s="1"/>
  <c r="AB87" i="56" s="1"/>
  <c r="CG110" i="90"/>
  <c r="CR110" i="90" s="1"/>
  <c r="AB113" i="56" s="1"/>
  <c r="CG111" i="90"/>
  <c r="CR111" i="90" s="1"/>
  <c r="AB114" i="56" s="1"/>
  <c r="CG114" i="90"/>
  <c r="CR114" i="90" s="1"/>
  <c r="AB117" i="56" s="1"/>
  <c r="CG92" i="90"/>
  <c r="CR92" i="90" s="1"/>
  <c r="AB95" i="56" s="1"/>
  <c r="CG64" i="90"/>
  <c r="CR64" i="90" s="1"/>
  <c r="AB67" i="56" s="1"/>
  <c r="CG142" i="90"/>
  <c r="CR142" i="90" s="1"/>
  <c r="AB145" i="56" s="1"/>
  <c r="CG86" i="90"/>
  <c r="CR86" i="90" s="1"/>
  <c r="AB89" i="56" s="1"/>
  <c r="CG107" i="90"/>
  <c r="CR107" i="90" s="1"/>
  <c r="AB110" i="56" s="1"/>
  <c r="CG74" i="90"/>
  <c r="CR74" i="90" s="1"/>
  <c r="AB77" i="56" s="1"/>
  <c r="CG87" i="90"/>
  <c r="CR87" i="90" s="1"/>
  <c r="AB90" i="56" s="1"/>
  <c r="CG141" i="90"/>
  <c r="CR141" i="90" s="1"/>
  <c r="AB144" i="56" s="1"/>
  <c r="CG101" i="90"/>
  <c r="CR101" i="90" s="1"/>
  <c r="AB104" i="56" s="1"/>
  <c r="AB39" i="93"/>
  <c r="AB41" i="93" s="1"/>
  <c r="CG99" i="90"/>
  <c r="CR99" i="90" s="1"/>
  <c r="AB102" i="56" s="1"/>
  <c r="CG59" i="90"/>
  <c r="CR59" i="90" s="1"/>
  <c r="AB62" i="56" s="1"/>
  <c r="CG118" i="90"/>
  <c r="CR118" i="90" s="1"/>
  <c r="AB121" i="56" s="1"/>
  <c r="CG63" i="90"/>
  <c r="CR63" i="90" s="1"/>
  <c r="AB66" i="56" s="1"/>
  <c r="CG132" i="90"/>
  <c r="CR132" i="90" s="1"/>
  <c r="AB135" i="56" s="1"/>
  <c r="CG77" i="90"/>
  <c r="CR77" i="90" s="1"/>
  <c r="AB80" i="56" s="1"/>
  <c r="CG72" i="90"/>
  <c r="CR72" i="90" s="1"/>
  <c r="AB75" i="56" s="1"/>
  <c r="CG43" i="90"/>
  <c r="CR43" i="90" s="1"/>
  <c r="CG133" i="90"/>
  <c r="CR133" i="90" s="1"/>
  <c r="AB136" i="56" s="1"/>
  <c r="CG96" i="90"/>
  <c r="CR96" i="90" s="1"/>
  <c r="AB99" i="56" s="1"/>
  <c r="CG55" i="90"/>
  <c r="CR55" i="90" s="1"/>
  <c r="AB58" i="56" s="1"/>
  <c r="CG70" i="90"/>
  <c r="CR70" i="90" s="1"/>
  <c r="AB73" i="56" s="1"/>
  <c r="CG125" i="90"/>
  <c r="CR125" i="90" s="1"/>
  <c r="AB128" i="56" s="1"/>
  <c r="CG67" i="90"/>
  <c r="CR67" i="90" s="1"/>
  <c r="AB70" i="56" s="1"/>
  <c r="CG145" i="90"/>
  <c r="CR145" i="90" s="1"/>
  <c r="AB148" i="56" s="1"/>
  <c r="CG121" i="90"/>
  <c r="CR121" i="90" s="1"/>
  <c r="AB124" i="56" s="1"/>
  <c r="CG73" i="90"/>
  <c r="CR73" i="90" s="1"/>
  <c r="AB76" i="56" s="1"/>
  <c r="CG95" i="90"/>
  <c r="CR95" i="90" s="1"/>
  <c r="AB98" i="56" s="1"/>
  <c r="CG104" i="90"/>
  <c r="CR104" i="90" s="1"/>
  <c r="AB107" i="56" s="1"/>
  <c r="CG138" i="90"/>
  <c r="CR138" i="90" s="1"/>
  <c r="AB141" i="56" s="1"/>
  <c r="CG143" i="90"/>
  <c r="CR143" i="90" s="1"/>
  <c r="AB146" i="56" s="1"/>
  <c r="CG93" i="90"/>
  <c r="CR93" i="90" s="1"/>
  <c r="AB96" i="56" s="1"/>
  <c r="CG122" i="90"/>
  <c r="CR122" i="90" s="1"/>
  <c r="AB125" i="56" s="1"/>
  <c r="CG62" i="90"/>
  <c r="CR62" i="90" s="1"/>
  <c r="AB65" i="56" s="1"/>
  <c r="CG80" i="90"/>
  <c r="CR80" i="90" s="1"/>
  <c r="AB83" i="56" s="1"/>
  <c r="CG79" i="90"/>
  <c r="CR79" i="90" s="1"/>
  <c r="AB82" i="56" s="1"/>
  <c r="CG137" i="90"/>
  <c r="CR137" i="90" s="1"/>
  <c r="AB140" i="56" s="1"/>
  <c r="CG106" i="90"/>
  <c r="CR106" i="90" s="1"/>
  <c r="AB109" i="56" s="1"/>
  <c r="CG68" i="90"/>
  <c r="CR68" i="90" s="1"/>
  <c r="AB71" i="56" s="1"/>
  <c r="CG71" i="90"/>
  <c r="CR71" i="90" s="1"/>
  <c r="AB74" i="56" s="1"/>
  <c r="CG117" i="90"/>
  <c r="CR117" i="90" s="1"/>
  <c r="AB120" i="56" s="1"/>
  <c r="CG81" i="90"/>
  <c r="CR81" i="90" s="1"/>
  <c r="AB84" i="56" s="1"/>
  <c r="CG89" i="90"/>
  <c r="CR89" i="90" s="1"/>
  <c r="AB92" i="56" s="1"/>
  <c r="CG90" i="90"/>
  <c r="CR90" i="90" s="1"/>
  <c r="AB93" i="56" s="1"/>
  <c r="CG140" i="90"/>
  <c r="CR140" i="90" s="1"/>
  <c r="AB143" i="56" s="1"/>
  <c r="CG83" i="90"/>
  <c r="CR83" i="90" s="1"/>
  <c r="AB86" i="56" s="1"/>
  <c r="CG146" i="90"/>
  <c r="CG105" i="90"/>
  <c r="CR105" i="90" s="1"/>
  <c r="AB108" i="56" s="1"/>
  <c r="CG46" i="90"/>
  <c r="CG75" i="90"/>
  <c r="CR75" i="90" s="1"/>
  <c r="AB78" i="56" s="1"/>
  <c r="CG100" i="90"/>
  <c r="CR100" i="90" s="1"/>
  <c r="AB103" i="56" s="1"/>
  <c r="CG126" i="90"/>
  <c r="CR126" i="90" s="1"/>
  <c r="AB129" i="56" s="1"/>
  <c r="CG45" i="90"/>
  <c r="CG102" i="90"/>
  <c r="CR102" i="90" s="1"/>
  <c r="AB105" i="56" s="1"/>
  <c r="AK15" i="40"/>
  <c r="AC85" i="41" s="1"/>
  <c r="CF42" i="90"/>
  <c r="Z125" i="44"/>
  <c r="Z261" i="44"/>
  <c r="X165" i="44"/>
  <c r="X92" i="44"/>
  <c r="Z122" i="44"/>
  <c r="Z205" i="44"/>
  <c r="Z123" i="44"/>
  <c r="Z207" i="44"/>
  <c r="Z139" i="44"/>
  <c r="Z259" i="44"/>
  <c r="Z206" i="44"/>
  <c r="Z260" i="44"/>
  <c r="Z124" i="44"/>
  <c r="AA109" i="41"/>
  <c r="AA110" i="41"/>
  <c r="AA84" i="44"/>
  <c r="AA277" i="44" s="1"/>
  <c r="AA99" i="44"/>
  <c r="AA108" i="41"/>
  <c r="AA96" i="44"/>
  <c r="AA85" i="44"/>
  <c r="AA186" i="44"/>
  <c r="AA136" i="44"/>
  <c r="AA191" i="44"/>
  <c r="AA83" i="44"/>
  <c r="AA273" i="44" s="1"/>
  <c r="AA87" i="44"/>
  <c r="AA89" i="44"/>
  <c r="AA137" i="44" s="1"/>
  <c r="AA193" i="44"/>
  <c r="AA90" i="44"/>
  <c r="AA188" i="44"/>
  <c r="AA86" i="44"/>
  <c r="AC309" i="44" l="1"/>
  <c r="AC310" i="44"/>
  <c r="AC274" i="44"/>
  <c r="AC311" i="44"/>
  <c r="CL63" i="57"/>
  <c r="Q455" i="57"/>
  <c r="Q456" i="57" s="1"/>
  <c r="Q14" i="57"/>
  <c r="Q17" i="57" s="1"/>
  <c r="Q22" i="57" s="1"/>
  <c r="CR442" i="57"/>
  <c r="CR438" i="57"/>
  <c r="CM437" i="57"/>
  <c r="BM437" i="57"/>
  <c r="BL437" i="57"/>
  <c r="DL437" i="57"/>
  <c r="CZ437" i="57"/>
  <c r="CR440" i="57"/>
  <c r="CR298" i="57"/>
  <c r="AF14" i="57"/>
  <c r="AF17" i="57" s="1"/>
  <c r="AF455" i="57"/>
  <c r="CR75" i="57"/>
  <c r="CR80" i="57"/>
  <c r="CR76" i="57"/>
  <c r="CR71" i="57"/>
  <c r="CR79" i="57"/>
  <c r="CR73" i="57"/>
  <c r="CR69" i="57"/>
  <c r="CR70" i="57"/>
  <c r="CR74" i="57"/>
  <c r="CR77" i="57"/>
  <c r="CR72" i="57"/>
  <c r="CR78" i="57"/>
  <c r="CR86" i="57"/>
  <c r="CR82" i="57"/>
  <c r="CR85" i="57"/>
  <c r="CR81" i="57"/>
  <c r="CR83" i="57"/>
  <c r="CR84" i="57"/>
  <c r="CR87" i="57"/>
  <c r="CR88" i="57"/>
  <c r="CR89" i="57"/>
  <c r="CR90" i="57"/>
  <c r="CR91" i="57"/>
  <c r="CR93" i="57"/>
  <c r="CR95" i="57"/>
  <c r="CR94" i="57"/>
  <c r="CR92" i="57"/>
  <c r="CR99" i="57"/>
  <c r="CR97" i="57"/>
  <c r="CR96" i="57"/>
  <c r="CR100" i="57"/>
  <c r="CR98" i="57"/>
  <c r="CR102" i="57"/>
  <c r="CR101" i="57"/>
  <c r="CR103" i="57"/>
  <c r="CR104" i="57"/>
  <c r="CR107" i="57"/>
  <c r="CR105" i="57"/>
  <c r="CR106" i="57"/>
  <c r="CR108" i="57"/>
  <c r="CR109" i="57"/>
  <c r="CR110" i="57"/>
  <c r="CR111" i="57"/>
  <c r="CR112" i="57"/>
  <c r="CR113" i="57"/>
  <c r="CR116" i="57"/>
  <c r="CR117" i="57"/>
  <c r="CR118" i="57"/>
  <c r="CR114" i="57"/>
  <c r="CR115" i="57"/>
  <c r="CR121" i="57"/>
  <c r="CR120" i="57"/>
  <c r="CR122" i="57"/>
  <c r="CR119" i="57"/>
  <c r="CR124" i="57"/>
  <c r="CR125" i="57"/>
  <c r="CR126" i="57"/>
  <c r="CR127" i="57"/>
  <c r="CR123" i="57"/>
  <c r="CR128" i="57"/>
  <c r="CR129" i="57"/>
  <c r="CR130" i="57"/>
  <c r="CR131" i="57"/>
  <c r="CR134" i="57"/>
  <c r="CR133" i="57"/>
  <c r="CR132" i="57"/>
  <c r="CR136" i="57"/>
  <c r="CR135" i="57"/>
  <c r="CR137" i="57"/>
  <c r="CR141" i="57"/>
  <c r="CR142" i="57"/>
  <c r="CR140" i="57"/>
  <c r="CR143" i="57"/>
  <c r="CR138" i="57"/>
  <c r="CR139" i="57"/>
  <c r="CR146" i="57"/>
  <c r="CR145" i="57"/>
  <c r="CR144" i="57"/>
  <c r="CR147" i="57"/>
  <c r="CR148" i="57"/>
  <c r="CR149" i="57"/>
  <c r="CR152" i="57"/>
  <c r="CR151" i="57"/>
  <c r="CR150" i="57"/>
  <c r="CR154" i="57"/>
  <c r="CR153" i="57"/>
  <c r="CR155" i="57"/>
  <c r="CR158" i="57"/>
  <c r="CR159" i="57"/>
  <c r="CR161" i="57"/>
  <c r="CR160" i="57"/>
  <c r="CR156" i="57"/>
  <c r="CR157" i="57"/>
  <c r="CR164" i="57"/>
  <c r="CR162" i="57"/>
  <c r="CR163" i="57"/>
  <c r="CR165" i="57"/>
  <c r="CR167" i="57"/>
  <c r="CR169" i="57"/>
  <c r="CR170" i="57"/>
  <c r="CR168" i="57"/>
  <c r="CR166" i="57"/>
  <c r="CR173" i="57"/>
  <c r="CR171" i="57"/>
  <c r="CR172" i="57"/>
  <c r="CR176" i="57"/>
  <c r="CR175" i="57"/>
  <c r="CR174" i="57"/>
  <c r="CR177" i="57"/>
  <c r="CR178" i="57"/>
  <c r="CR179" i="57"/>
  <c r="CR185" i="57"/>
  <c r="CR181" i="57"/>
  <c r="CR184" i="57"/>
  <c r="CR183" i="57"/>
  <c r="CR180" i="57"/>
  <c r="CR182" i="57"/>
  <c r="CR188" i="57"/>
  <c r="CR187" i="57"/>
  <c r="CR186" i="57"/>
  <c r="CR189" i="57"/>
  <c r="CR190" i="57"/>
  <c r="CR191" i="57"/>
  <c r="CR194" i="57"/>
  <c r="CR193" i="57"/>
  <c r="CR192" i="57"/>
  <c r="CR200" i="57"/>
  <c r="CR196" i="57"/>
  <c r="CR195" i="57"/>
  <c r="CR199" i="57"/>
  <c r="CR198" i="57"/>
  <c r="CR197" i="57"/>
  <c r="CR201" i="57"/>
  <c r="CR202" i="57"/>
  <c r="CR203" i="57"/>
  <c r="CR205" i="57"/>
  <c r="CR204" i="57"/>
  <c r="CR206" i="57"/>
  <c r="CR208" i="57"/>
  <c r="CR212" i="57"/>
  <c r="CR207" i="57"/>
  <c r="CR209" i="57"/>
  <c r="CR211" i="57"/>
  <c r="CR210" i="57"/>
  <c r="CR218" i="57"/>
  <c r="CR214" i="57"/>
  <c r="CR213" i="57"/>
  <c r="CR216" i="57"/>
  <c r="CR217" i="57"/>
  <c r="CR215" i="57"/>
  <c r="CR220" i="57"/>
  <c r="CR219" i="57"/>
  <c r="CR221" i="57"/>
  <c r="CR224" i="57"/>
  <c r="CR222" i="57"/>
  <c r="CR223" i="57"/>
  <c r="CR226" i="57"/>
  <c r="CR225" i="57"/>
  <c r="CR227" i="57"/>
  <c r="CR230" i="57"/>
  <c r="CR232" i="57"/>
  <c r="CR231" i="57"/>
  <c r="CR228" i="57"/>
  <c r="CR233" i="57"/>
  <c r="CR229" i="57"/>
  <c r="CR234" i="57"/>
  <c r="CR238" i="57"/>
  <c r="CR237" i="57"/>
  <c r="CR235" i="57"/>
  <c r="CR239" i="57"/>
  <c r="CR236" i="57"/>
  <c r="CR242" i="57"/>
  <c r="CR240" i="57"/>
  <c r="CR241" i="57"/>
  <c r="CR243" i="57"/>
  <c r="CR244" i="57"/>
  <c r="CR247" i="57"/>
  <c r="CR245" i="57"/>
  <c r="CR246" i="57"/>
  <c r="CR248" i="57"/>
  <c r="CR249" i="57"/>
  <c r="CR250" i="57"/>
  <c r="CR251" i="57"/>
  <c r="CR257" i="57"/>
  <c r="CR259" i="57"/>
  <c r="CR254" i="57"/>
  <c r="CR260" i="57"/>
  <c r="CR253" i="57"/>
  <c r="CR256" i="57"/>
  <c r="CR252" i="57"/>
  <c r="CR255" i="57"/>
  <c r="CR258" i="57"/>
  <c r="CR261" i="57"/>
  <c r="CR263" i="57"/>
  <c r="CR262" i="57"/>
  <c r="CR269" i="57"/>
  <c r="CR264" i="57"/>
  <c r="CR266" i="57"/>
  <c r="CR267" i="57"/>
  <c r="CR268" i="57"/>
  <c r="CR265" i="57"/>
  <c r="CR275" i="57"/>
  <c r="CR270" i="57"/>
  <c r="CR271" i="57"/>
  <c r="CR272" i="57"/>
  <c r="CR274" i="57"/>
  <c r="CR273" i="57"/>
  <c r="CR277" i="57"/>
  <c r="CR278" i="57"/>
  <c r="CR276" i="57"/>
  <c r="CR280" i="57"/>
  <c r="CR279" i="57"/>
  <c r="CR281" i="57"/>
  <c r="CR283" i="57"/>
  <c r="CR282" i="57"/>
  <c r="CR284" i="57"/>
  <c r="CR287" i="57"/>
  <c r="CR286" i="57"/>
  <c r="CR285" i="57"/>
  <c r="CR289" i="57"/>
  <c r="CR288" i="57"/>
  <c r="CR290" i="57"/>
  <c r="CR296" i="57"/>
  <c r="CR293" i="57"/>
  <c r="CR295" i="57"/>
  <c r="CR291" i="57"/>
  <c r="CR294" i="57"/>
  <c r="CR292" i="57"/>
  <c r="CR299" i="57"/>
  <c r="CR297" i="57"/>
  <c r="CR301" i="57"/>
  <c r="CR305" i="57"/>
  <c r="CR302" i="57"/>
  <c r="CR303" i="57"/>
  <c r="CR300" i="57"/>
  <c r="CR304" i="57"/>
  <c r="CR308" i="57"/>
  <c r="CR306" i="57"/>
  <c r="CR307" i="57"/>
  <c r="CR310" i="57"/>
  <c r="CR309" i="57"/>
  <c r="CR313" i="57"/>
  <c r="CR312" i="57"/>
  <c r="CR311" i="57"/>
  <c r="CR314" i="57"/>
  <c r="CR319" i="57"/>
  <c r="CR318" i="57"/>
  <c r="CR316" i="57"/>
  <c r="CR315" i="57"/>
  <c r="CR320" i="57"/>
  <c r="CR317" i="57"/>
  <c r="CR321" i="57"/>
  <c r="CR323" i="57"/>
  <c r="CR322" i="57"/>
  <c r="CR327" i="57"/>
  <c r="CR324" i="57"/>
  <c r="CR325" i="57"/>
  <c r="CR326" i="57"/>
  <c r="CR329" i="57"/>
  <c r="CR328" i="57"/>
  <c r="CR331" i="57"/>
  <c r="CR335" i="57"/>
  <c r="CR333" i="57"/>
  <c r="CR330" i="57"/>
  <c r="CR334" i="57"/>
  <c r="CR332" i="57"/>
  <c r="CR336" i="57"/>
  <c r="CR338" i="57"/>
  <c r="AF42" i="57"/>
  <c r="CR337" i="57"/>
  <c r="CR344" i="57"/>
  <c r="CR341" i="57"/>
  <c r="CR343" i="57"/>
  <c r="CR340" i="57"/>
  <c r="CR339" i="57"/>
  <c r="CR342" i="57"/>
  <c r="CR345" i="57"/>
  <c r="CR347" i="57"/>
  <c r="CR346" i="57"/>
  <c r="CR348" i="57"/>
  <c r="CR349" i="57"/>
  <c r="CR350" i="57"/>
  <c r="CR353" i="57"/>
  <c r="CR351" i="57"/>
  <c r="CR352" i="57"/>
  <c r="CR359" i="57"/>
  <c r="CR354" i="57"/>
  <c r="CR355" i="57"/>
  <c r="CR357" i="57"/>
  <c r="CR356" i="57"/>
  <c r="CR358" i="57"/>
  <c r="CR362" i="57"/>
  <c r="CR361" i="57"/>
  <c r="CR360" i="57"/>
  <c r="CR367" i="57"/>
  <c r="CR365" i="57"/>
  <c r="CR364" i="57"/>
  <c r="CR368" i="57"/>
  <c r="CR363" i="57"/>
  <c r="CR366" i="57"/>
  <c r="CR371" i="57"/>
  <c r="CR369" i="57"/>
  <c r="CR370" i="57"/>
  <c r="CR380" i="57"/>
  <c r="CR374" i="57"/>
  <c r="CR379" i="57"/>
  <c r="CR372" i="57"/>
  <c r="CR373" i="57"/>
  <c r="CR377" i="57"/>
  <c r="CR378" i="57"/>
  <c r="CR375" i="57"/>
  <c r="CR376" i="57"/>
  <c r="CR382" i="57"/>
  <c r="CR383" i="57"/>
  <c r="CR384" i="57"/>
  <c r="CR385" i="57"/>
  <c r="CR381" i="57"/>
  <c r="CR386" i="57"/>
  <c r="CR387" i="57"/>
  <c r="CR389" i="57"/>
  <c r="CR388" i="57"/>
  <c r="CR392" i="57"/>
  <c r="CR391" i="57"/>
  <c r="CR390" i="57"/>
  <c r="CR394" i="57"/>
  <c r="CR395" i="57"/>
  <c r="CR393" i="57"/>
  <c r="CR398" i="57"/>
  <c r="CR396" i="57"/>
  <c r="CR397" i="57"/>
  <c r="CR404" i="57"/>
  <c r="CR401" i="57"/>
  <c r="CR402" i="57"/>
  <c r="CR399" i="57"/>
  <c r="CR403" i="57"/>
  <c r="CR400" i="57"/>
  <c r="CR406" i="57"/>
  <c r="CR405" i="57"/>
  <c r="CR407" i="57"/>
  <c r="CR412" i="57"/>
  <c r="CR408" i="57"/>
  <c r="CR409" i="57"/>
  <c r="CR411" i="57"/>
  <c r="CR410" i="57"/>
  <c r="CR413" i="57"/>
  <c r="CR416" i="57"/>
  <c r="CR415" i="57"/>
  <c r="CR414" i="57"/>
  <c r="CR417" i="57"/>
  <c r="CR419" i="57"/>
  <c r="CR421" i="57"/>
  <c r="CR418" i="57"/>
  <c r="CR420" i="57"/>
  <c r="CR422" i="57"/>
  <c r="CR425" i="57"/>
  <c r="CR424" i="57"/>
  <c r="CR423" i="57"/>
  <c r="CR429" i="57"/>
  <c r="CR431" i="57"/>
  <c r="CR427" i="57"/>
  <c r="CR428" i="57"/>
  <c r="CR426" i="57"/>
  <c r="CR430" i="57"/>
  <c r="CR437" i="57"/>
  <c r="CR434" i="57"/>
  <c r="CR436" i="57"/>
  <c r="CR435" i="57"/>
  <c r="CR433" i="57"/>
  <c r="CR432" i="57"/>
  <c r="CR441" i="57"/>
  <c r="DP443" i="57"/>
  <c r="DD443" i="57"/>
  <c r="CQ443" i="57"/>
  <c r="CR443" i="57"/>
  <c r="BQ443" i="57"/>
  <c r="BP443" i="57"/>
  <c r="BA443" i="57"/>
  <c r="BA58" i="57" s="1"/>
  <c r="BB443" i="57"/>
  <c r="BL441" i="57"/>
  <c r="CZ441" i="57"/>
  <c r="DL441" i="57"/>
  <c r="AN441" i="57"/>
  <c r="AB443" i="57"/>
  <c r="AB13" i="57" s="1"/>
  <c r="CN435" i="57" s="1"/>
  <c r="CM441" i="57"/>
  <c r="BM441" i="57"/>
  <c r="AO441" i="57"/>
  <c r="AB440" i="57"/>
  <c r="X223" i="44"/>
  <c r="CR45" i="90"/>
  <c r="AB48" i="56" s="1"/>
  <c r="CR46" i="90"/>
  <c r="AB49" i="56" s="1"/>
  <c r="CR47" i="90"/>
  <c r="AB50" i="56" s="1"/>
  <c r="M163" i="98"/>
  <c r="N128" i="98"/>
  <c r="N156" i="98"/>
  <c r="N158" i="98" s="1"/>
  <c r="AA121" i="86"/>
  <c r="AB119" i="86"/>
  <c r="AB38" i="12"/>
  <c r="AB40" i="12" s="1"/>
  <c r="AC36" i="12"/>
  <c r="Z127" i="86"/>
  <c r="AA42" i="12"/>
  <c r="N91" i="98" s="1"/>
  <c r="N38" i="98"/>
  <c r="N39" i="98" s="1"/>
  <c r="AA14" i="42"/>
  <c r="AB46" i="56"/>
  <c r="CR61" i="90"/>
  <c r="AB64" i="56" s="1"/>
  <c r="CQ42" i="90"/>
  <c r="AA45" i="56"/>
  <c r="AA19" i="56" s="1"/>
  <c r="AA112" i="41" s="1"/>
  <c r="AA168" i="44" s="1"/>
  <c r="AA205" i="44"/>
  <c r="AA122" i="44"/>
  <c r="CH117" i="90"/>
  <c r="CS117" i="90" s="1"/>
  <c r="AC120" i="56" s="1"/>
  <c r="CH91" i="90"/>
  <c r="CS91" i="90" s="1"/>
  <c r="AC94" i="56" s="1"/>
  <c r="CH63" i="90"/>
  <c r="CS63" i="90" s="1"/>
  <c r="AC66" i="56" s="1"/>
  <c r="CH114" i="90"/>
  <c r="CS114" i="90" s="1"/>
  <c r="AC117" i="56" s="1"/>
  <c r="CH131" i="90"/>
  <c r="CS131" i="90" s="1"/>
  <c r="AC134" i="56" s="1"/>
  <c r="CH143" i="90"/>
  <c r="CS143" i="90" s="1"/>
  <c r="AC146" i="56" s="1"/>
  <c r="CH94" i="90"/>
  <c r="CS94" i="90" s="1"/>
  <c r="AC97" i="56" s="1"/>
  <c r="CH83" i="90"/>
  <c r="CS83" i="90" s="1"/>
  <c r="AC86" i="56" s="1"/>
  <c r="CH48" i="90"/>
  <c r="CS48" i="90" s="1"/>
  <c r="AC51" i="56" s="1"/>
  <c r="CH101" i="90"/>
  <c r="CS101" i="90" s="1"/>
  <c r="AC104" i="56" s="1"/>
  <c r="CH62" i="90"/>
  <c r="CS62" i="90" s="1"/>
  <c r="AC65" i="56" s="1"/>
  <c r="CH45" i="90"/>
  <c r="CS45" i="90" s="1"/>
  <c r="AC48" i="56" s="1"/>
  <c r="CH58" i="90"/>
  <c r="CS58" i="90" s="1"/>
  <c r="AC61" i="56" s="1"/>
  <c r="CH46" i="90"/>
  <c r="CS46" i="90" s="1"/>
  <c r="AC49" i="56" s="1"/>
  <c r="CH126" i="90"/>
  <c r="CS126" i="90" s="1"/>
  <c r="AC129" i="56" s="1"/>
  <c r="CH88" i="90"/>
  <c r="CS88" i="90" s="1"/>
  <c r="AC91" i="56" s="1"/>
  <c r="CH98" i="90"/>
  <c r="CS98" i="90" s="1"/>
  <c r="AC101" i="56" s="1"/>
  <c r="CH118" i="90"/>
  <c r="CS118" i="90" s="1"/>
  <c r="AC121" i="56" s="1"/>
  <c r="CH72" i="90"/>
  <c r="CS72" i="90" s="1"/>
  <c r="AC75" i="56" s="1"/>
  <c r="CH142" i="90"/>
  <c r="CS142" i="90" s="1"/>
  <c r="AC145" i="56" s="1"/>
  <c r="CH65" i="90"/>
  <c r="CS65" i="90" s="1"/>
  <c r="AC68" i="56" s="1"/>
  <c r="CH47" i="90"/>
  <c r="CS47" i="90" s="1"/>
  <c r="AC50" i="56" s="1"/>
  <c r="CH100" i="90"/>
  <c r="CS100" i="90" s="1"/>
  <c r="AC103" i="56" s="1"/>
  <c r="CH61" i="90"/>
  <c r="CS61" i="90" s="1"/>
  <c r="AC64" i="56" s="1"/>
  <c r="CH132" i="90"/>
  <c r="CS132" i="90" s="1"/>
  <c r="AC135" i="56" s="1"/>
  <c r="CH136" i="90"/>
  <c r="CS136" i="90" s="1"/>
  <c r="AC139" i="56" s="1"/>
  <c r="CH127" i="90"/>
  <c r="CS127" i="90" s="1"/>
  <c r="AC130" i="56" s="1"/>
  <c r="CH113" i="90"/>
  <c r="CS113" i="90" s="1"/>
  <c r="AC116" i="56" s="1"/>
  <c r="CH134" i="90"/>
  <c r="CS134" i="90" s="1"/>
  <c r="AC137" i="56" s="1"/>
  <c r="CH119" i="90"/>
  <c r="CS119" i="90" s="1"/>
  <c r="AC122" i="56" s="1"/>
  <c r="CH122" i="90"/>
  <c r="CS122" i="90" s="1"/>
  <c r="AC125" i="56" s="1"/>
  <c r="CH106" i="90"/>
  <c r="CS106" i="90" s="1"/>
  <c r="AC109" i="56" s="1"/>
  <c r="CH125" i="90"/>
  <c r="CS125" i="90" s="1"/>
  <c r="AC128" i="56" s="1"/>
  <c r="CH92" i="90"/>
  <c r="CS92" i="90" s="1"/>
  <c r="AC95" i="56" s="1"/>
  <c r="CH78" i="90"/>
  <c r="CS78" i="90" s="1"/>
  <c r="AC81" i="56" s="1"/>
  <c r="CH133" i="90"/>
  <c r="CS133" i="90" s="1"/>
  <c r="AC136" i="56" s="1"/>
  <c r="CH95" i="90"/>
  <c r="CS95" i="90" s="1"/>
  <c r="AC98" i="56" s="1"/>
  <c r="CH77" i="90"/>
  <c r="CS77" i="90" s="1"/>
  <c r="AC80" i="56" s="1"/>
  <c r="CH145" i="90"/>
  <c r="CS145" i="90" s="1"/>
  <c r="AC148" i="56" s="1"/>
  <c r="CH79" i="90"/>
  <c r="CS79" i="90" s="1"/>
  <c r="AC82" i="56" s="1"/>
  <c r="CH81" i="90"/>
  <c r="CS81" i="90" s="1"/>
  <c r="AC84" i="56" s="1"/>
  <c r="CH108" i="90"/>
  <c r="CS108" i="90" s="1"/>
  <c r="AC111" i="56" s="1"/>
  <c r="CH144" i="90"/>
  <c r="CH89" i="90"/>
  <c r="CS89" i="90" s="1"/>
  <c r="AC92" i="56" s="1"/>
  <c r="CH43" i="90"/>
  <c r="CS43" i="90" s="1"/>
  <c r="CH141" i="90"/>
  <c r="CS141" i="90" s="1"/>
  <c r="AC144" i="56" s="1"/>
  <c r="CH57" i="90"/>
  <c r="CS57" i="90" s="1"/>
  <c r="AC60" i="56" s="1"/>
  <c r="CH82" i="90"/>
  <c r="CS82" i="90" s="1"/>
  <c r="AC85" i="56" s="1"/>
  <c r="CH69" i="90"/>
  <c r="CS69" i="90" s="1"/>
  <c r="AC72" i="56" s="1"/>
  <c r="CH84" i="90"/>
  <c r="CS84" i="90" s="1"/>
  <c r="AC87" i="56" s="1"/>
  <c r="CH80" i="90"/>
  <c r="CS80" i="90" s="1"/>
  <c r="AC83" i="56" s="1"/>
  <c r="CH99" i="90"/>
  <c r="CS99" i="90" s="1"/>
  <c r="AC102" i="56" s="1"/>
  <c r="CH68" i="90"/>
  <c r="CS68" i="90" s="1"/>
  <c r="AC71" i="56" s="1"/>
  <c r="CH120" i="90"/>
  <c r="CS120" i="90" s="1"/>
  <c r="AC123" i="56" s="1"/>
  <c r="CH76" i="90"/>
  <c r="CS76" i="90" s="1"/>
  <c r="AC79" i="56" s="1"/>
  <c r="CH102" i="90"/>
  <c r="CS102" i="90" s="1"/>
  <c r="AC105" i="56" s="1"/>
  <c r="CH146" i="90"/>
  <c r="CH97" i="90"/>
  <c r="CS97" i="90" s="1"/>
  <c r="AC100" i="56" s="1"/>
  <c r="CH121" i="90"/>
  <c r="CS121" i="90" s="1"/>
  <c r="AC124" i="56" s="1"/>
  <c r="CH73" i="90"/>
  <c r="CS73" i="90" s="1"/>
  <c r="AC76" i="56" s="1"/>
  <c r="CH124" i="90"/>
  <c r="CS124" i="90" s="1"/>
  <c r="AC127" i="56" s="1"/>
  <c r="CH59" i="90"/>
  <c r="CS59" i="90" s="1"/>
  <c r="AC62" i="56" s="1"/>
  <c r="CH107" i="90"/>
  <c r="CS107" i="90" s="1"/>
  <c r="AC110" i="56" s="1"/>
  <c r="CH75" i="90"/>
  <c r="CS75" i="90" s="1"/>
  <c r="AC78" i="56" s="1"/>
  <c r="CH137" i="90"/>
  <c r="CS137" i="90" s="1"/>
  <c r="AC140" i="56" s="1"/>
  <c r="CH128" i="90"/>
  <c r="CS128" i="90" s="1"/>
  <c r="AC131" i="56" s="1"/>
  <c r="CH51" i="90"/>
  <c r="CS51" i="90" s="1"/>
  <c r="AC54" i="56" s="1"/>
  <c r="CH135" i="90"/>
  <c r="CS135" i="90" s="1"/>
  <c r="AC138" i="56" s="1"/>
  <c r="CH93" i="90"/>
  <c r="CS93" i="90" s="1"/>
  <c r="AC96" i="56" s="1"/>
  <c r="CH104" i="90"/>
  <c r="CS104" i="90" s="1"/>
  <c r="AC107" i="56" s="1"/>
  <c r="CH74" i="90"/>
  <c r="CS74" i="90" s="1"/>
  <c r="AC77" i="56" s="1"/>
  <c r="CH112" i="90"/>
  <c r="CS112" i="90" s="1"/>
  <c r="AC115" i="56" s="1"/>
  <c r="CH116" i="90"/>
  <c r="CS116" i="90" s="1"/>
  <c r="AC119" i="56" s="1"/>
  <c r="CH115" i="90"/>
  <c r="CS115" i="90" s="1"/>
  <c r="AC118" i="56" s="1"/>
  <c r="CH64" i="90"/>
  <c r="CS64" i="90" s="1"/>
  <c r="AC67" i="56" s="1"/>
  <c r="CH86" i="90"/>
  <c r="CS86" i="90" s="1"/>
  <c r="AC89" i="56" s="1"/>
  <c r="CH103" i="90"/>
  <c r="CS103" i="90" s="1"/>
  <c r="AC106" i="56" s="1"/>
  <c r="CH85" i="90"/>
  <c r="CS85" i="90" s="1"/>
  <c r="AC88" i="56" s="1"/>
  <c r="CH55" i="90"/>
  <c r="CS55" i="90" s="1"/>
  <c r="AC58" i="56" s="1"/>
  <c r="CH66" i="90"/>
  <c r="CS66" i="90" s="1"/>
  <c r="AC69" i="56" s="1"/>
  <c r="CH70" i="90"/>
  <c r="CS70" i="90" s="1"/>
  <c r="AC73" i="56" s="1"/>
  <c r="CH50" i="90"/>
  <c r="CS50" i="90" s="1"/>
  <c r="AC53" i="56" s="1"/>
  <c r="CH111" i="90"/>
  <c r="CS111" i="90" s="1"/>
  <c r="AC114" i="56" s="1"/>
  <c r="CH44" i="90"/>
  <c r="CS44" i="90" s="1"/>
  <c r="AC47" i="56" s="1"/>
  <c r="CH60" i="90"/>
  <c r="CS60" i="90" s="1"/>
  <c r="AC63" i="56" s="1"/>
  <c r="CH49" i="90"/>
  <c r="CS49" i="90" s="1"/>
  <c r="AC52" i="56" s="1"/>
  <c r="CH110" i="90"/>
  <c r="CS110" i="90" s="1"/>
  <c r="AC113" i="56" s="1"/>
  <c r="CH130" i="90"/>
  <c r="CS130" i="90" s="1"/>
  <c r="AC133" i="56" s="1"/>
  <c r="CH138" i="90"/>
  <c r="CS138" i="90" s="1"/>
  <c r="AC141" i="56" s="1"/>
  <c r="CH67" i="90"/>
  <c r="CS67" i="90" s="1"/>
  <c r="AC70" i="56" s="1"/>
  <c r="CH129" i="90"/>
  <c r="CS129" i="90" s="1"/>
  <c r="AC132" i="56" s="1"/>
  <c r="CH96" i="90"/>
  <c r="CS96" i="90" s="1"/>
  <c r="AC99" i="56" s="1"/>
  <c r="CH105" i="90"/>
  <c r="CS105" i="90" s="1"/>
  <c r="AC108" i="56" s="1"/>
  <c r="CH123" i="90"/>
  <c r="CS123" i="90" s="1"/>
  <c r="AC126" i="56" s="1"/>
  <c r="CH139" i="90"/>
  <c r="CS139" i="90" s="1"/>
  <c r="AC142" i="56" s="1"/>
  <c r="CH87" i="90"/>
  <c r="CS87" i="90" s="1"/>
  <c r="AC90" i="56" s="1"/>
  <c r="CH109" i="90"/>
  <c r="CS109" i="90" s="1"/>
  <c r="AC112" i="56" s="1"/>
  <c r="CH140" i="90"/>
  <c r="CS140" i="90" s="1"/>
  <c r="AC143" i="56" s="1"/>
  <c r="CH71" i="90"/>
  <c r="CS71" i="90" s="1"/>
  <c r="AC74" i="56" s="1"/>
  <c r="CH90" i="90"/>
  <c r="CS90" i="90" s="1"/>
  <c r="AC93" i="56" s="1"/>
  <c r="AL15" i="40"/>
  <c r="AD85" i="41" s="1"/>
  <c r="AC39" i="93"/>
  <c r="AC41" i="93" s="1"/>
  <c r="AA124" i="44"/>
  <c r="AA206" i="44"/>
  <c r="AA260" i="44"/>
  <c r="AA139" i="44"/>
  <c r="AA259" i="44"/>
  <c r="AA209" i="44"/>
  <c r="AA126" i="44"/>
  <c r="AB110" i="41"/>
  <c r="AB109" i="41"/>
  <c r="AB191" i="44"/>
  <c r="AB136" i="44"/>
  <c r="AB186" i="44"/>
  <c r="AB99" i="44"/>
  <c r="AB87" i="44"/>
  <c r="AB96" i="44"/>
  <c r="AB89" i="44"/>
  <c r="AB137" i="44" s="1"/>
  <c r="AB108" i="41"/>
  <c r="AB84" i="44"/>
  <c r="AB277" i="44" s="1"/>
  <c r="AB193" i="44"/>
  <c r="AB85" i="44"/>
  <c r="AB90" i="44"/>
  <c r="AB83" i="44"/>
  <c r="AB273" i="44" s="1"/>
  <c r="AB188" i="44"/>
  <c r="AB86" i="44"/>
  <c r="AA261" i="44"/>
  <c r="AA125" i="44"/>
  <c r="AA123" i="44"/>
  <c r="AA207" i="44"/>
  <c r="CG42" i="90"/>
  <c r="AD309" i="44" l="1"/>
  <c r="AD311" i="44"/>
  <c r="AD310" i="44"/>
  <c r="AD274" i="44"/>
  <c r="CR59" i="57"/>
  <c r="CR63" i="57" s="1"/>
  <c r="BL440" i="57"/>
  <c r="DL440" i="57"/>
  <c r="CZ440" i="57"/>
  <c r="CM440" i="57"/>
  <c r="CN440" i="57"/>
  <c r="BM440" i="57"/>
  <c r="CN438" i="57"/>
  <c r="CN439" i="57"/>
  <c r="CN436" i="57"/>
  <c r="BB58" i="57"/>
  <c r="BG61" i="57" s="1"/>
  <c r="BB59" i="57"/>
  <c r="BB57" i="57"/>
  <c r="BP59" i="57"/>
  <c r="BP57" i="57"/>
  <c r="BP58" i="57"/>
  <c r="CR58" i="57"/>
  <c r="AF456" i="57"/>
  <c r="AF510" i="57"/>
  <c r="CN94" i="57"/>
  <c r="CN93" i="57"/>
  <c r="CN92" i="57"/>
  <c r="CN87" i="57"/>
  <c r="CN98" i="57"/>
  <c r="CN73" i="57"/>
  <c r="CN74" i="57"/>
  <c r="CN71" i="57"/>
  <c r="CN84" i="57"/>
  <c r="CN85" i="57"/>
  <c r="CN96" i="57"/>
  <c r="CN76" i="57"/>
  <c r="CN72" i="57"/>
  <c r="CN88" i="57"/>
  <c r="CN77" i="57"/>
  <c r="CN97" i="57"/>
  <c r="CN95" i="57"/>
  <c r="CN91" i="57"/>
  <c r="CN70" i="57"/>
  <c r="CN82" i="57"/>
  <c r="CN90" i="57"/>
  <c r="CN79" i="57"/>
  <c r="CN69" i="57"/>
  <c r="CN80" i="57"/>
  <c r="CN86" i="57"/>
  <c r="CN78" i="57"/>
  <c r="CN81" i="57"/>
  <c r="CN83" i="57"/>
  <c r="CN75" i="57"/>
  <c r="AB455" i="57"/>
  <c r="AB14" i="57"/>
  <c r="CN89" i="57"/>
  <c r="CN101" i="57"/>
  <c r="CN100" i="57"/>
  <c r="CN99" i="57"/>
  <c r="CN103" i="57"/>
  <c r="CN102" i="57"/>
  <c r="CN104" i="57"/>
  <c r="CN110" i="57"/>
  <c r="CN108" i="57"/>
  <c r="CN106" i="57"/>
  <c r="CN109" i="57"/>
  <c r="CN105" i="57"/>
  <c r="CN107" i="57"/>
  <c r="CN115" i="57"/>
  <c r="CN116" i="57"/>
  <c r="CN114" i="57"/>
  <c r="CN111" i="57"/>
  <c r="CN113" i="57"/>
  <c r="CN112" i="57"/>
  <c r="CN117" i="57"/>
  <c r="CN118" i="57"/>
  <c r="CN119" i="57"/>
  <c r="CN121" i="57"/>
  <c r="CN120" i="57"/>
  <c r="CN122" i="57"/>
  <c r="CN123" i="57"/>
  <c r="CN124" i="57"/>
  <c r="CN125" i="57"/>
  <c r="CN126" i="57"/>
  <c r="CN127" i="57"/>
  <c r="CN128" i="57"/>
  <c r="CN129" i="57"/>
  <c r="CN130" i="57"/>
  <c r="CN133" i="57"/>
  <c r="CN131" i="57"/>
  <c r="CN132" i="57"/>
  <c r="CN134" i="57"/>
  <c r="CN139" i="57"/>
  <c r="CN138" i="57"/>
  <c r="CN135" i="57"/>
  <c r="CN140" i="57"/>
  <c r="CN136" i="57"/>
  <c r="CN137" i="57"/>
  <c r="CN141" i="57"/>
  <c r="CN142" i="57"/>
  <c r="CN143" i="57"/>
  <c r="CN146" i="57"/>
  <c r="CN145" i="57"/>
  <c r="CN144" i="57"/>
  <c r="CN148" i="57"/>
  <c r="CN147" i="57"/>
  <c r="CN149" i="57"/>
  <c r="CN151" i="57"/>
  <c r="CN152" i="57"/>
  <c r="CN150" i="57"/>
  <c r="CN154" i="57"/>
  <c r="CN153" i="57"/>
  <c r="CN155" i="57"/>
  <c r="CN156" i="57"/>
  <c r="CN157" i="57"/>
  <c r="CN158" i="57"/>
  <c r="CN159" i="57"/>
  <c r="CN160" i="57"/>
  <c r="CN161" i="57"/>
  <c r="CN164" i="57"/>
  <c r="CN165" i="57"/>
  <c r="CN167" i="57"/>
  <c r="CN162" i="57"/>
  <c r="CN163" i="57"/>
  <c r="CN166" i="57"/>
  <c r="CN168" i="57"/>
  <c r="CN171" i="57"/>
  <c r="CN172" i="57"/>
  <c r="CN170" i="57"/>
  <c r="CN173" i="57"/>
  <c r="CN169" i="57"/>
  <c r="CN175" i="57"/>
  <c r="CN174" i="57"/>
  <c r="CN176" i="57"/>
  <c r="CN178" i="57"/>
  <c r="CN177" i="57"/>
  <c r="CN179" i="57"/>
  <c r="CN180" i="57"/>
  <c r="CN181" i="57"/>
  <c r="CN182" i="57"/>
  <c r="CN187" i="57"/>
  <c r="CN186" i="57"/>
  <c r="CN188" i="57"/>
  <c r="CN183" i="57"/>
  <c r="CN184" i="57"/>
  <c r="CN185" i="57"/>
  <c r="CN190" i="57"/>
  <c r="CN189" i="57"/>
  <c r="CN191" i="57"/>
  <c r="CN193" i="57"/>
  <c r="CN192" i="57"/>
  <c r="CN194" i="57"/>
  <c r="CN199" i="57"/>
  <c r="CN198" i="57"/>
  <c r="CN200" i="57"/>
  <c r="CN196" i="57"/>
  <c r="CN195" i="57"/>
  <c r="CN197" i="57"/>
  <c r="CN202" i="57"/>
  <c r="CN201" i="57"/>
  <c r="CN203" i="57"/>
  <c r="CN205" i="57"/>
  <c r="CN204" i="57"/>
  <c r="CN206" i="57"/>
  <c r="CN207" i="57"/>
  <c r="CN208" i="57"/>
  <c r="CN209" i="57"/>
  <c r="CN211" i="57"/>
  <c r="CN210" i="57"/>
  <c r="CN212" i="57"/>
  <c r="CN214" i="57"/>
  <c r="CN213" i="57"/>
  <c r="CN215" i="57"/>
  <c r="CN217" i="57"/>
  <c r="CN216" i="57"/>
  <c r="CN220" i="57"/>
  <c r="CN218" i="57"/>
  <c r="CN219" i="57"/>
  <c r="CN221" i="57"/>
  <c r="CN226" i="57"/>
  <c r="CN225" i="57"/>
  <c r="CN223" i="57"/>
  <c r="CN222" i="57"/>
  <c r="CN227" i="57"/>
  <c r="CN224" i="57"/>
  <c r="CN229" i="57"/>
  <c r="CN228" i="57"/>
  <c r="CN230" i="57"/>
  <c r="CN236" i="57"/>
  <c r="CN233" i="57"/>
  <c r="CN235" i="57"/>
  <c r="CN231" i="57"/>
  <c r="CN234" i="57"/>
  <c r="CN232" i="57"/>
  <c r="CN237" i="57"/>
  <c r="CN238" i="57"/>
  <c r="CN239" i="57"/>
  <c r="CN244" i="57"/>
  <c r="CN242" i="57"/>
  <c r="CN243" i="57"/>
  <c r="CN245" i="57"/>
  <c r="CN240" i="57"/>
  <c r="CN241" i="57"/>
  <c r="CN248" i="57"/>
  <c r="CN247" i="57"/>
  <c r="CN246" i="57"/>
  <c r="CN253" i="57"/>
  <c r="CN252" i="57"/>
  <c r="CN249" i="57"/>
  <c r="CN250" i="57"/>
  <c r="CN254" i="57"/>
  <c r="CN251" i="57"/>
  <c r="CN256" i="57"/>
  <c r="CN255" i="57"/>
  <c r="CN257" i="57"/>
  <c r="CN259" i="57"/>
  <c r="CN258" i="57"/>
  <c r="CN260" i="57"/>
  <c r="CN262" i="57"/>
  <c r="CN261" i="57"/>
  <c r="CN263" i="57"/>
  <c r="CN264" i="57"/>
  <c r="CN265" i="57"/>
  <c r="CN266" i="57"/>
  <c r="CN269" i="57"/>
  <c r="CN271" i="57"/>
  <c r="CN270" i="57"/>
  <c r="CN267" i="57"/>
  <c r="CN272" i="57"/>
  <c r="CN268" i="57"/>
  <c r="CN275" i="57"/>
  <c r="CN274" i="57"/>
  <c r="CN273" i="57"/>
  <c r="CN280" i="57"/>
  <c r="CN281" i="57"/>
  <c r="CN277" i="57"/>
  <c r="CN276" i="57"/>
  <c r="CN278" i="57"/>
  <c r="CN279" i="57"/>
  <c r="CN282" i="57"/>
  <c r="CN284" i="57"/>
  <c r="CN283" i="57"/>
  <c r="CN286" i="57"/>
  <c r="CN285" i="57"/>
  <c r="CN288" i="57"/>
  <c r="CN287" i="57"/>
  <c r="CN289" i="57"/>
  <c r="CN290" i="57"/>
  <c r="CN292" i="57"/>
  <c r="CN295" i="57"/>
  <c r="CN291" i="57"/>
  <c r="CN294" i="57"/>
  <c r="CN296" i="57"/>
  <c r="CN293" i="57"/>
  <c r="CN298" i="57"/>
  <c r="CN299" i="57"/>
  <c r="CN297" i="57"/>
  <c r="CN300" i="57"/>
  <c r="CN301" i="57"/>
  <c r="CN302" i="57"/>
  <c r="CN304" i="57"/>
  <c r="CN305" i="57"/>
  <c r="CN303" i="57"/>
  <c r="CN310" i="57"/>
  <c r="CN309" i="57"/>
  <c r="CN306" i="57"/>
  <c r="CN307" i="57"/>
  <c r="CN311" i="57"/>
  <c r="CN308" i="57"/>
  <c r="CN313" i="57"/>
  <c r="CN312" i="57"/>
  <c r="CN314" i="57"/>
  <c r="CN315" i="57"/>
  <c r="CN320" i="57"/>
  <c r="CN316" i="57"/>
  <c r="CN317" i="57"/>
  <c r="CN319" i="57"/>
  <c r="CN318" i="57"/>
  <c r="CN321" i="57"/>
  <c r="CN322" i="57"/>
  <c r="CN323" i="57"/>
  <c r="CN324" i="57"/>
  <c r="CN325" i="57"/>
  <c r="CN329" i="57"/>
  <c r="CN326" i="57"/>
  <c r="CN327" i="57"/>
  <c r="CN328" i="57"/>
  <c r="CN330" i="57"/>
  <c r="CN331" i="57"/>
  <c r="CN332" i="57"/>
  <c r="CN334" i="57"/>
  <c r="CN333" i="57"/>
  <c r="CN335" i="57"/>
  <c r="CN336" i="57"/>
  <c r="CN337" i="57"/>
  <c r="CN338" i="57"/>
  <c r="CN339" i="57"/>
  <c r="CN340" i="57"/>
  <c r="CN341" i="57"/>
  <c r="AB42" i="57"/>
  <c r="CN343" i="57"/>
  <c r="CN342" i="57"/>
  <c r="CN344" i="57"/>
  <c r="CN347" i="57"/>
  <c r="CN345" i="57"/>
  <c r="CN346" i="57"/>
  <c r="CN348" i="57"/>
  <c r="CN350" i="57"/>
  <c r="CN349" i="57"/>
  <c r="CN351" i="57"/>
  <c r="CN354" i="57"/>
  <c r="CN356" i="57"/>
  <c r="CN353" i="57"/>
  <c r="CN355" i="57"/>
  <c r="CN352" i="57"/>
  <c r="CN358" i="57"/>
  <c r="CN359" i="57"/>
  <c r="CN357" i="57"/>
  <c r="CN362" i="57"/>
  <c r="CN361" i="57"/>
  <c r="CN360" i="57"/>
  <c r="CN365" i="57"/>
  <c r="CN366" i="57"/>
  <c r="CN368" i="57"/>
  <c r="CN364" i="57"/>
  <c r="CN363" i="57"/>
  <c r="CN367" i="57"/>
  <c r="CN370" i="57"/>
  <c r="CN369" i="57"/>
  <c r="CN371" i="57"/>
  <c r="CN374" i="57"/>
  <c r="CN373" i="57"/>
  <c r="CN372" i="57"/>
  <c r="CN377" i="57"/>
  <c r="CN376" i="57"/>
  <c r="CN375" i="57"/>
  <c r="CN381" i="57"/>
  <c r="CN379" i="57"/>
  <c r="CN378" i="57"/>
  <c r="CN383" i="57"/>
  <c r="CN380" i="57"/>
  <c r="CN382" i="57"/>
  <c r="CN385" i="57"/>
  <c r="CN384" i="57"/>
  <c r="CN386" i="57"/>
  <c r="CN392" i="57"/>
  <c r="CN388" i="57"/>
  <c r="CN391" i="57"/>
  <c r="CN387" i="57"/>
  <c r="CN390" i="57"/>
  <c r="CN389" i="57"/>
  <c r="CN396" i="57"/>
  <c r="CN395" i="57"/>
  <c r="CN398" i="57"/>
  <c r="CN394" i="57"/>
  <c r="CN397" i="57"/>
  <c r="CN393" i="57"/>
  <c r="CN400" i="57"/>
  <c r="CN401" i="57"/>
  <c r="CN399" i="57"/>
  <c r="CN405" i="57"/>
  <c r="CN407" i="57"/>
  <c r="CN402" i="57"/>
  <c r="CN404" i="57"/>
  <c r="CN406" i="57"/>
  <c r="CN403" i="57"/>
  <c r="CN410" i="57"/>
  <c r="CN408" i="57"/>
  <c r="CN409" i="57"/>
  <c r="CN413" i="57"/>
  <c r="CN412" i="57"/>
  <c r="CN411" i="57"/>
  <c r="CN417" i="57"/>
  <c r="CN415" i="57"/>
  <c r="CN419" i="57"/>
  <c r="CN414" i="57"/>
  <c r="CN416" i="57"/>
  <c r="CN418" i="57"/>
  <c r="CN420" i="57"/>
  <c r="CN422" i="57"/>
  <c r="CN421" i="57"/>
  <c r="CN423" i="57"/>
  <c r="CN427" i="57"/>
  <c r="CN426" i="57"/>
  <c r="CN425" i="57"/>
  <c r="CN424" i="57"/>
  <c r="CN428" i="57"/>
  <c r="CN431" i="57"/>
  <c r="CN429" i="57"/>
  <c r="CN430" i="57"/>
  <c r="CN434" i="57"/>
  <c r="CN432" i="57"/>
  <c r="CN433" i="57"/>
  <c r="BQ59" i="57"/>
  <c r="BQ57" i="57"/>
  <c r="BQ58" i="57"/>
  <c r="CR57" i="57"/>
  <c r="AF22" i="57"/>
  <c r="AF30" i="57"/>
  <c r="CN437" i="57"/>
  <c r="CQ59" i="57"/>
  <c r="CQ63" i="57" s="1"/>
  <c r="CQ57" i="57"/>
  <c r="CQ58" i="57"/>
  <c r="BL443" i="57"/>
  <c r="DL443" i="57"/>
  <c r="CZ443" i="57"/>
  <c r="CM443" i="57"/>
  <c r="BM443" i="57"/>
  <c r="CN443" i="57"/>
  <c r="BL442" i="57"/>
  <c r="DL442" i="57"/>
  <c r="CZ442" i="57"/>
  <c r="CM442" i="57"/>
  <c r="BM442" i="57"/>
  <c r="CN442" i="57"/>
  <c r="CN441" i="57"/>
  <c r="BA57" i="57"/>
  <c r="BG60" i="57" s="1"/>
  <c r="BA59" i="57"/>
  <c r="BG62" i="57" s="1"/>
  <c r="O38" i="98"/>
  <c r="O39" i="98" s="1"/>
  <c r="AB14" i="42"/>
  <c r="AB42" i="12"/>
  <c r="AA127" i="86"/>
  <c r="O128" i="98"/>
  <c r="O156" i="98"/>
  <c r="O158" i="98" s="1"/>
  <c r="AB121" i="86"/>
  <c r="O108" i="98" s="1"/>
  <c r="N108" i="98"/>
  <c r="N109" i="98" s="1"/>
  <c r="N110" i="98" s="1"/>
  <c r="AC119" i="86"/>
  <c r="AC38" i="12"/>
  <c r="AD36" i="12"/>
  <c r="CR42" i="90"/>
  <c r="AC46" i="56"/>
  <c r="AC45" i="56" s="1"/>
  <c r="AC19" i="56" s="1"/>
  <c r="AC112" i="41" s="1"/>
  <c r="AC168" i="44" s="1"/>
  <c r="CS42" i="90"/>
  <c r="AB45" i="56"/>
  <c r="AB19" i="56" s="1"/>
  <c r="AB112" i="41" s="1"/>
  <c r="AB168" i="44" s="1"/>
  <c r="AB209" i="44"/>
  <c r="AB126" i="44"/>
  <c r="AC84" i="44"/>
  <c r="AC277" i="44" s="1"/>
  <c r="AC109" i="41"/>
  <c r="AC108" i="41"/>
  <c r="AC96" i="44"/>
  <c r="AC110" i="41"/>
  <c r="AC186" i="44"/>
  <c r="AC191" i="44"/>
  <c r="AC85" i="44"/>
  <c r="AC136" i="44"/>
  <c r="AC89" i="44"/>
  <c r="AC137" i="44" s="1"/>
  <c r="AC86" i="44"/>
  <c r="AC87" i="44"/>
  <c r="AC99" i="44"/>
  <c r="AC188" i="44"/>
  <c r="AC90" i="44"/>
  <c r="AC83" i="44"/>
  <c r="AC273" i="44" s="1"/>
  <c r="AC193" i="44"/>
  <c r="AB125" i="44"/>
  <c r="AB261" i="44"/>
  <c r="CH42" i="90"/>
  <c r="AB207" i="44"/>
  <c r="AB123" i="44"/>
  <c r="CI144" i="90"/>
  <c r="CI113" i="90"/>
  <c r="CT113" i="90" s="1"/>
  <c r="AD116" i="56" s="1"/>
  <c r="CI59" i="90"/>
  <c r="CT59" i="90" s="1"/>
  <c r="AD62" i="56" s="1"/>
  <c r="CI82" i="90"/>
  <c r="CT82" i="90" s="1"/>
  <c r="AD85" i="56" s="1"/>
  <c r="CI80" i="90"/>
  <c r="CT80" i="90" s="1"/>
  <c r="AD83" i="56" s="1"/>
  <c r="CI106" i="90"/>
  <c r="CT106" i="90" s="1"/>
  <c r="AD109" i="56" s="1"/>
  <c r="CI139" i="90"/>
  <c r="CT139" i="90" s="1"/>
  <c r="AD142" i="56" s="1"/>
  <c r="CI79" i="90"/>
  <c r="CT79" i="90" s="1"/>
  <c r="AD82" i="56" s="1"/>
  <c r="CI146" i="90"/>
  <c r="CI117" i="90"/>
  <c r="CT117" i="90" s="1"/>
  <c r="AD120" i="56" s="1"/>
  <c r="CI111" i="90"/>
  <c r="CT111" i="90" s="1"/>
  <c r="AD114" i="56" s="1"/>
  <c r="CI97" i="90"/>
  <c r="CT97" i="90" s="1"/>
  <c r="AD100" i="56" s="1"/>
  <c r="CI145" i="90"/>
  <c r="CT145" i="90" s="1"/>
  <c r="AD148" i="56" s="1"/>
  <c r="CI78" i="90"/>
  <c r="CT78" i="90" s="1"/>
  <c r="AD81" i="56" s="1"/>
  <c r="CI143" i="90"/>
  <c r="CT143" i="90" s="1"/>
  <c r="AD146" i="56" s="1"/>
  <c r="CI116" i="90"/>
  <c r="CT116" i="90" s="1"/>
  <c r="AD119" i="56" s="1"/>
  <c r="CI48" i="90"/>
  <c r="CT48" i="90" s="1"/>
  <c r="AD51" i="56" s="1"/>
  <c r="CI70" i="90"/>
  <c r="CT70" i="90" s="1"/>
  <c r="AD73" i="56" s="1"/>
  <c r="CI115" i="90"/>
  <c r="CT115" i="90" s="1"/>
  <c r="AD118" i="56" s="1"/>
  <c r="CI91" i="90"/>
  <c r="CT91" i="90" s="1"/>
  <c r="AD94" i="56" s="1"/>
  <c r="CI85" i="90"/>
  <c r="CT85" i="90" s="1"/>
  <c r="AD88" i="56" s="1"/>
  <c r="CI123" i="90"/>
  <c r="CT123" i="90" s="1"/>
  <c r="AD126" i="56" s="1"/>
  <c r="CI76" i="90"/>
  <c r="CT76" i="90" s="1"/>
  <c r="AD79" i="56" s="1"/>
  <c r="CI81" i="90"/>
  <c r="CT81" i="90" s="1"/>
  <c r="AD84" i="56" s="1"/>
  <c r="CI44" i="90"/>
  <c r="CT44" i="90" s="1"/>
  <c r="AD47" i="56" s="1"/>
  <c r="CI131" i="90"/>
  <c r="CT131" i="90" s="1"/>
  <c r="AD134" i="56" s="1"/>
  <c r="CI122" i="90"/>
  <c r="CT122" i="90" s="1"/>
  <c r="AD125" i="56" s="1"/>
  <c r="CI45" i="90"/>
  <c r="CT45" i="90" s="1"/>
  <c r="AD48" i="56" s="1"/>
  <c r="CI137" i="90"/>
  <c r="CT137" i="90" s="1"/>
  <c r="AD140" i="56" s="1"/>
  <c r="CI96" i="90"/>
  <c r="CT96" i="90" s="1"/>
  <c r="AD99" i="56" s="1"/>
  <c r="CI62" i="90"/>
  <c r="CT62" i="90" s="1"/>
  <c r="AD65" i="56" s="1"/>
  <c r="CI87" i="90"/>
  <c r="CT87" i="90" s="1"/>
  <c r="AD90" i="56" s="1"/>
  <c r="CI140" i="90"/>
  <c r="CT140" i="90" s="1"/>
  <c r="AD143" i="56" s="1"/>
  <c r="CI69" i="90"/>
  <c r="CT69" i="90" s="1"/>
  <c r="AD72" i="56" s="1"/>
  <c r="CI90" i="90"/>
  <c r="CT90" i="90" s="1"/>
  <c r="AD93" i="56" s="1"/>
  <c r="CI50" i="90"/>
  <c r="CT50" i="90" s="1"/>
  <c r="AD53" i="56" s="1"/>
  <c r="CI47" i="90"/>
  <c r="CT47" i="90" s="1"/>
  <c r="AD50" i="56" s="1"/>
  <c r="CI130" i="90"/>
  <c r="CT130" i="90" s="1"/>
  <c r="AD133" i="56" s="1"/>
  <c r="CI75" i="90"/>
  <c r="CT75" i="90" s="1"/>
  <c r="AD78" i="56" s="1"/>
  <c r="CI60" i="90"/>
  <c r="CT60" i="90" s="1"/>
  <c r="AD63" i="56" s="1"/>
  <c r="CI135" i="90"/>
  <c r="CT135" i="90" s="1"/>
  <c r="AD138" i="56" s="1"/>
  <c r="CI98" i="90"/>
  <c r="CT98" i="90" s="1"/>
  <c r="AD101" i="56" s="1"/>
  <c r="CI99" i="90"/>
  <c r="CT99" i="90" s="1"/>
  <c r="AD102" i="56" s="1"/>
  <c r="CI95" i="90"/>
  <c r="CT95" i="90" s="1"/>
  <c r="AD98" i="56" s="1"/>
  <c r="CI65" i="90"/>
  <c r="CT65" i="90" s="1"/>
  <c r="AD68" i="56" s="1"/>
  <c r="CI73" i="90"/>
  <c r="CT73" i="90" s="1"/>
  <c r="AD76" i="56" s="1"/>
  <c r="CI77" i="90"/>
  <c r="CT77" i="90" s="1"/>
  <c r="AD80" i="56" s="1"/>
  <c r="CI64" i="90"/>
  <c r="CT64" i="90" s="1"/>
  <c r="AD67" i="56" s="1"/>
  <c r="CI100" i="90"/>
  <c r="CT100" i="90" s="1"/>
  <c r="AD103" i="56" s="1"/>
  <c r="CI107" i="90"/>
  <c r="CT107" i="90" s="1"/>
  <c r="AD110" i="56" s="1"/>
  <c r="CI71" i="90"/>
  <c r="CT71" i="90" s="1"/>
  <c r="AD74" i="56" s="1"/>
  <c r="CI58" i="90"/>
  <c r="CT58" i="90" s="1"/>
  <c r="AD61" i="56" s="1"/>
  <c r="CI93" i="90"/>
  <c r="CT93" i="90" s="1"/>
  <c r="AD96" i="56" s="1"/>
  <c r="CI142" i="90"/>
  <c r="CT142" i="90" s="1"/>
  <c r="AD145" i="56" s="1"/>
  <c r="CI120" i="90"/>
  <c r="CT120" i="90" s="1"/>
  <c r="AD123" i="56" s="1"/>
  <c r="CI67" i="90"/>
  <c r="CT67" i="90" s="1"/>
  <c r="AD70" i="56" s="1"/>
  <c r="CI119" i="90"/>
  <c r="CT119" i="90" s="1"/>
  <c r="AD122" i="56" s="1"/>
  <c r="CI61" i="90"/>
  <c r="CT61" i="90" s="1"/>
  <c r="AD64" i="56" s="1"/>
  <c r="CI84" i="90"/>
  <c r="CT84" i="90" s="1"/>
  <c r="AD87" i="56" s="1"/>
  <c r="CI128" i="90"/>
  <c r="CT128" i="90" s="1"/>
  <c r="AD131" i="56" s="1"/>
  <c r="CI101" i="90"/>
  <c r="CT101" i="90" s="1"/>
  <c r="AD104" i="56" s="1"/>
  <c r="CI88" i="90"/>
  <c r="CT88" i="90" s="1"/>
  <c r="AD91" i="56" s="1"/>
  <c r="CI49" i="90"/>
  <c r="CT49" i="90" s="1"/>
  <c r="AD52" i="56" s="1"/>
  <c r="CI57" i="90"/>
  <c r="CT57" i="90" s="1"/>
  <c r="AD60" i="56" s="1"/>
  <c r="CI127" i="90"/>
  <c r="CT127" i="90" s="1"/>
  <c r="AD130" i="56" s="1"/>
  <c r="CI72" i="90"/>
  <c r="CT72" i="90" s="1"/>
  <c r="AD75" i="56" s="1"/>
  <c r="CI94" i="90"/>
  <c r="CT94" i="90" s="1"/>
  <c r="AD97" i="56" s="1"/>
  <c r="CI138" i="90"/>
  <c r="CT138" i="90" s="1"/>
  <c r="AD141" i="56" s="1"/>
  <c r="CI46" i="90"/>
  <c r="CT46" i="90" s="1"/>
  <c r="AD49" i="56" s="1"/>
  <c r="CI132" i="90"/>
  <c r="CT132" i="90" s="1"/>
  <c r="AD135" i="56" s="1"/>
  <c r="CI66" i="90"/>
  <c r="CT66" i="90" s="1"/>
  <c r="AD69" i="56" s="1"/>
  <c r="CI89" i="90"/>
  <c r="CT89" i="90" s="1"/>
  <c r="AD92" i="56" s="1"/>
  <c r="CI102" i="90"/>
  <c r="CT102" i="90" s="1"/>
  <c r="AD105" i="56" s="1"/>
  <c r="CI83" i="90"/>
  <c r="CT83" i="90" s="1"/>
  <c r="AD86" i="56" s="1"/>
  <c r="CI51" i="90"/>
  <c r="CT51" i="90" s="1"/>
  <c r="AD54" i="56" s="1"/>
  <c r="CI141" i="90"/>
  <c r="CT141" i="90" s="1"/>
  <c r="AD144" i="56" s="1"/>
  <c r="CI136" i="90"/>
  <c r="CT136" i="90" s="1"/>
  <c r="AD139" i="56" s="1"/>
  <c r="CI110" i="90"/>
  <c r="CT110" i="90" s="1"/>
  <c r="AD113" i="56" s="1"/>
  <c r="CI63" i="90"/>
  <c r="CT63" i="90" s="1"/>
  <c r="AD66" i="56" s="1"/>
  <c r="CI108" i="90"/>
  <c r="CT108" i="90" s="1"/>
  <c r="AD111" i="56" s="1"/>
  <c r="CI109" i="90"/>
  <c r="CT109" i="90" s="1"/>
  <c r="AD112" i="56" s="1"/>
  <c r="CI105" i="90"/>
  <c r="CT105" i="90" s="1"/>
  <c r="AD108" i="56" s="1"/>
  <c r="CI124" i="90"/>
  <c r="CT124" i="90" s="1"/>
  <c r="AD127" i="56" s="1"/>
  <c r="CI104" i="90"/>
  <c r="CT104" i="90" s="1"/>
  <c r="AD107" i="56" s="1"/>
  <c r="CI133" i="90"/>
  <c r="CT133" i="90" s="1"/>
  <c r="AD136" i="56" s="1"/>
  <c r="CI129" i="90"/>
  <c r="CT129" i="90" s="1"/>
  <c r="AD132" i="56" s="1"/>
  <c r="CI121" i="90"/>
  <c r="CT121" i="90" s="1"/>
  <c r="AD124" i="56" s="1"/>
  <c r="CI86" i="90"/>
  <c r="CT86" i="90" s="1"/>
  <c r="AD89" i="56" s="1"/>
  <c r="CI43" i="90"/>
  <c r="CT43" i="90" s="1"/>
  <c r="CI134" i="90"/>
  <c r="CT134" i="90" s="1"/>
  <c r="AD137" i="56" s="1"/>
  <c r="CI92" i="90"/>
  <c r="CT92" i="90" s="1"/>
  <c r="AD95" i="56" s="1"/>
  <c r="CI126" i="90"/>
  <c r="CT126" i="90" s="1"/>
  <c r="AD129" i="56" s="1"/>
  <c r="CI74" i="90"/>
  <c r="CT74" i="90" s="1"/>
  <c r="AD77" i="56" s="1"/>
  <c r="CI68" i="90"/>
  <c r="CT68" i="90" s="1"/>
  <c r="AD71" i="56" s="1"/>
  <c r="CI118" i="90"/>
  <c r="CT118" i="90" s="1"/>
  <c r="AD121" i="56" s="1"/>
  <c r="CI114" i="90"/>
  <c r="CT114" i="90" s="1"/>
  <c r="AD117" i="56" s="1"/>
  <c r="AM15" i="40"/>
  <c r="AE85" i="41" s="1"/>
  <c r="CI55" i="90"/>
  <c r="CT55" i="90" s="1"/>
  <c r="AD58" i="56" s="1"/>
  <c r="CI112" i="90"/>
  <c r="CT112" i="90" s="1"/>
  <c r="AD115" i="56" s="1"/>
  <c r="AD39" i="93"/>
  <c r="AD41" i="93" s="1"/>
  <c r="CI125" i="90"/>
  <c r="CT125" i="90" s="1"/>
  <c r="AD128" i="56" s="1"/>
  <c r="CI103" i="90"/>
  <c r="CT103" i="90" s="1"/>
  <c r="AD106" i="56" s="1"/>
  <c r="AB124" i="44"/>
  <c r="AB260" i="44"/>
  <c r="AB206" i="44"/>
  <c r="AB122" i="44"/>
  <c r="AB205" i="44"/>
  <c r="AB139" i="44"/>
  <c r="AB259" i="44"/>
  <c r="D32" i="98" l="1"/>
  <c r="O91" i="98"/>
  <c r="AE309" i="44"/>
  <c r="AE274" i="44"/>
  <c r="AE311" i="44"/>
  <c r="AE310" i="44"/>
  <c r="BL59" i="57"/>
  <c r="BL62" i="57" s="1"/>
  <c r="BL57" i="57"/>
  <c r="BL60" i="57" s="1"/>
  <c r="BL58" i="57"/>
  <c r="BL61" i="57" s="1"/>
  <c r="CN58" i="57"/>
  <c r="CR61" i="57" s="1"/>
  <c r="BM59" i="57"/>
  <c r="BQ62" i="57" s="1"/>
  <c r="BM57" i="57"/>
  <c r="BQ60" i="57" s="1"/>
  <c r="BM58" i="57"/>
  <c r="BQ61" i="57" s="1"/>
  <c r="CN59" i="57"/>
  <c r="CR62" i="57" s="1"/>
  <c r="CM59" i="57"/>
  <c r="CM57" i="57"/>
  <c r="CM60" i="57" s="1"/>
  <c r="CM58" i="57"/>
  <c r="CM61" i="57" s="1"/>
  <c r="AB17" i="57"/>
  <c r="CN63" i="57"/>
  <c r="CN57" i="57"/>
  <c r="CR60" i="57" s="1"/>
  <c r="AB456" i="57"/>
  <c r="AB510" i="57"/>
  <c r="AB122" i="86"/>
  <c r="AB44" i="12"/>
  <c r="AN14" i="42"/>
  <c r="AJ14" i="42"/>
  <c r="AC121" i="86"/>
  <c r="P128" i="98"/>
  <c r="P156" i="98"/>
  <c r="P158" i="98" s="1"/>
  <c r="AD119" i="86"/>
  <c r="AD38" i="12"/>
  <c r="AB127" i="86"/>
  <c r="AE36" i="12"/>
  <c r="O109" i="98"/>
  <c r="O110" i="98" s="1"/>
  <c r="N163" i="98"/>
  <c r="O163" i="98"/>
  <c r="AC42" i="12"/>
  <c r="P91" i="98" s="1"/>
  <c r="AC14" i="42"/>
  <c r="P38" i="98"/>
  <c r="P39" i="98" s="1"/>
  <c r="AD46" i="56"/>
  <c r="AD45" i="56" s="1"/>
  <c r="AD19" i="56" s="1"/>
  <c r="AD112" i="41" s="1"/>
  <c r="AD168" i="44" s="1"/>
  <c r="CT42" i="90"/>
  <c r="AC205" i="44"/>
  <c r="AC122" i="44"/>
  <c r="AC259" i="44"/>
  <c r="AC139" i="44"/>
  <c r="AC125" i="44"/>
  <c r="AC261" i="44"/>
  <c r="CJ145" i="90"/>
  <c r="CJ99" i="90"/>
  <c r="CU99" i="90" s="1"/>
  <c r="AE102" i="56" s="1"/>
  <c r="CJ65" i="90"/>
  <c r="CU65" i="90" s="1"/>
  <c r="AE68" i="56" s="1"/>
  <c r="CJ69" i="90"/>
  <c r="CU69" i="90" s="1"/>
  <c r="AE72" i="56" s="1"/>
  <c r="CJ118" i="90"/>
  <c r="CU118" i="90" s="1"/>
  <c r="AE121" i="56" s="1"/>
  <c r="CJ59" i="90"/>
  <c r="CU59" i="90" s="1"/>
  <c r="AE62" i="56" s="1"/>
  <c r="CJ93" i="90"/>
  <c r="CU93" i="90" s="1"/>
  <c r="AE96" i="56" s="1"/>
  <c r="CJ132" i="90"/>
  <c r="CU132" i="90" s="1"/>
  <c r="AE135" i="56" s="1"/>
  <c r="CJ106" i="90"/>
  <c r="CU106" i="90" s="1"/>
  <c r="AE109" i="56" s="1"/>
  <c r="CJ143" i="90"/>
  <c r="CU143" i="90" s="1"/>
  <c r="AE146" i="56" s="1"/>
  <c r="CJ94" i="90"/>
  <c r="CU94" i="90" s="1"/>
  <c r="AE97" i="56" s="1"/>
  <c r="CJ114" i="90"/>
  <c r="CU114" i="90" s="1"/>
  <c r="AE117" i="56" s="1"/>
  <c r="CJ123" i="90"/>
  <c r="CU123" i="90" s="1"/>
  <c r="AE126" i="56" s="1"/>
  <c r="CJ85" i="90"/>
  <c r="CU85" i="90" s="1"/>
  <c r="AE88" i="56" s="1"/>
  <c r="CJ129" i="90"/>
  <c r="CU129" i="90" s="1"/>
  <c r="AE132" i="56" s="1"/>
  <c r="CJ86" i="90"/>
  <c r="CU86" i="90" s="1"/>
  <c r="AE89" i="56" s="1"/>
  <c r="CJ62" i="90"/>
  <c r="CU62" i="90" s="1"/>
  <c r="AE65" i="56" s="1"/>
  <c r="CJ146" i="90"/>
  <c r="CJ89" i="90"/>
  <c r="CU89" i="90" s="1"/>
  <c r="AE92" i="56" s="1"/>
  <c r="CJ92" i="90"/>
  <c r="CU92" i="90" s="1"/>
  <c r="AE95" i="56" s="1"/>
  <c r="CJ139" i="90"/>
  <c r="CU139" i="90" s="1"/>
  <c r="AE142" i="56" s="1"/>
  <c r="CJ60" i="90"/>
  <c r="CU60" i="90" s="1"/>
  <c r="AE63" i="56" s="1"/>
  <c r="CJ55" i="90"/>
  <c r="CU55" i="90" s="1"/>
  <c r="AE58" i="56" s="1"/>
  <c r="CJ77" i="90"/>
  <c r="CU77" i="90" s="1"/>
  <c r="AE80" i="56" s="1"/>
  <c r="CJ74" i="90"/>
  <c r="CU74" i="90" s="1"/>
  <c r="AE77" i="56" s="1"/>
  <c r="CJ134" i="90"/>
  <c r="CU134" i="90" s="1"/>
  <c r="AE137" i="56" s="1"/>
  <c r="CJ64" i="90"/>
  <c r="CU64" i="90" s="1"/>
  <c r="AE67" i="56" s="1"/>
  <c r="CJ135" i="90"/>
  <c r="CU135" i="90" s="1"/>
  <c r="AE138" i="56" s="1"/>
  <c r="CJ113" i="90"/>
  <c r="CU113" i="90" s="1"/>
  <c r="AE116" i="56" s="1"/>
  <c r="CJ73" i="90"/>
  <c r="CU73" i="90" s="1"/>
  <c r="AE76" i="56" s="1"/>
  <c r="CJ133" i="90"/>
  <c r="CU133" i="90" s="1"/>
  <c r="AE136" i="56" s="1"/>
  <c r="CJ108" i="90"/>
  <c r="CU108" i="90" s="1"/>
  <c r="AE111" i="56" s="1"/>
  <c r="CJ111" i="90"/>
  <c r="CU111" i="90" s="1"/>
  <c r="AE114" i="56" s="1"/>
  <c r="CJ130" i="90"/>
  <c r="CU130" i="90" s="1"/>
  <c r="AE133" i="56" s="1"/>
  <c r="CJ83" i="90"/>
  <c r="CU83" i="90" s="1"/>
  <c r="AE86" i="56" s="1"/>
  <c r="CJ79" i="90"/>
  <c r="CU79" i="90" s="1"/>
  <c r="AE82" i="56" s="1"/>
  <c r="CJ117" i="90"/>
  <c r="CU117" i="90" s="1"/>
  <c r="AE120" i="56" s="1"/>
  <c r="CJ121" i="90"/>
  <c r="CU121" i="90" s="1"/>
  <c r="AE124" i="56" s="1"/>
  <c r="CJ46" i="90"/>
  <c r="CU46" i="90" s="1"/>
  <c r="AE49" i="56" s="1"/>
  <c r="CJ57" i="90"/>
  <c r="CU57" i="90" s="1"/>
  <c r="AE60" i="56" s="1"/>
  <c r="CJ109" i="90"/>
  <c r="CU109" i="90" s="1"/>
  <c r="AE112" i="56" s="1"/>
  <c r="CJ63" i="90"/>
  <c r="CU63" i="90" s="1"/>
  <c r="AE66" i="56" s="1"/>
  <c r="CJ87" i="90"/>
  <c r="CU87" i="90" s="1"/>
  <c r="AE90" i="56" s="1"/>
  <c r="CJ124" i="90"/>
  <c r="CU124" i="90" s="1"/>
  <c r="AE127" i="56" s="1"/>
  <c r="CJ49" i="90"/>
  <c r="CU49" i="90" s="1"/>
  <c r="AE52" i="56" s="1"/>
  <c r="CJ90" i="90"/>
  <c r="CU90" i="90" s="1"/>
  <c r="AE93" i="56" s="1"/>
  <c r="CJ110" i="90"/>
  <c r="CU110" i="90" s="1"/>
  <c r="AE113" i="56" s="1"/>
  <c r="CJ126" i="90"/>
  <c r="CU126" i="90" s="1"/>
  <c r="AE129" i="56" s="1"/>
  <c r="CJ70" i="90"/>
  <c r="CU70" i="90" s="1"/>
  <c r="AE73" i="56" s="1"/>
  <c r="CJ91" i="90"/>
  <c r="CU91" i="90" s="1"/>
  <c r="AE94" i="56" s="1"/>
  <c r="CJ119" i="90"/>
  <c r="CU119" i="90" s="1"/>
  <c r="AE122" i="56" s="1"/>
  <c r="CJ141" i="90"/>
  <c r="CU141" i="90" s="1"/>
  <c r="AE144" i="56" s="1"/>
  <c r="CJ128" i="90"/>
  <c r="CU128" i="90" s="1"/>
  <c r="AE131" i="56" s="1"/>
  <c r="CJ71" i="90"/>
  <c r="CU71" i="90" s="1"/>
  <c r="AE74" i="56" s="1"/>
  <c r="CJ78" i="90"/>
  <c r="CU78" i="90" s="1"/>
  <c r="AE81" i="56" s="1"/>
  <c r="CJ97" i="90"/>
  <c r="CU97" i="90" s="1"/>
  <c r="AE100" i="56" s="1"/>
  <c r="CJ44" i="90"/>
  <c r="CU44" i="90" s="1"/>
  <c r="AE47" i="56" s="1"/>
  <c r="CJ136" i="90"/>
  <c r="CU136" i="90" s="1"/>
  <c r="AE139" i="56" s="1"/>
  <c r="CJ138" i="90"/>
  <c r="CU138" i="90" s="1"/>
  <c r="AE141" i="56" s="1"/>
  <c r="CJ76" i="90"/>
  <c r="CU76" i="90" s="1"/>
  <c r="AE79" i="56" s="1"/>
  <c r="CJ68" i="90"/>
  <c r="CU68" i="90" s="1"/>
  <c r="AE71" i="56" s="1"/>
  <c r="CJ48" i="90"/>
  <c r="CU48" i="90" s="1"/>
  <c r="AE51" i="56" s="1"/>
  <c r="CJ72" i="90"/>
  <c r="CU72" i="90" s="1"/>
  <c r="AE75" i="56" s="1"/>
  <c r="CJ107" i="90"/>
  <c r="CU107" i="90" s="1"/>
  <c r="AE110" i="56" s="1"/>
  <c r="CJ80" i="90"/>
  <c r="CU80" i="90" s="1"/>
  <c r="AE83" i="56" s="1"/>
  <c r="CJ98" i="90"/>
  <c r="CU98" i="90" s="1"/>
  <c r="AE101" i="56" s="1"/>
  <c r="CJ142" i="90"/>
  <c r="CU142" i="90" s="1"/>
  <c r="AE145" i="56" s="1"/>
  <c r="CJ96" i="90"/>
  <c r="CU96" i="90" s="1"/>
  <c r="AE99" i="56" s="1"/>
  <c r="AE39" i="93"/>
  <c r="AE41" i="93" s="1"/>
  <c r="CJ43" i="90"/>
  <c r="CU43" i="90" s="1"/>
  <c r="CJ50" i="90"/>
  <c r="CU50" i="90" s="1"/>
  <c r="AE53" i="56" s="1"/>
  <c r="CJ112" i="90"/>
  <c r="CU112" i="90" s="1"/>
  <c r="AE115" i="56" s="1"/>
  <c r="CJ115" i="90"/>
  <c r="CU115" i="90" s="1"/>
  <c r="AE118" i="56" s="1"/>
  <c r="CJ82" i="90"/>
  <c r="CU82" i="90" s="1"/>
  <c r="AE85" i="56" s="1"/>
  <c r="CJ45" i="90"/>
  <c r="CU45" i="90" s="1"/>
  <c r="AE48" i="56" s="1"/>
  <c r="CJ75" i="90"/>
  <c r="CU75" i="90" s="1"/>
  <c r="AE78" i="56" s="1"/>
  <c r="CJ116" i="90"/>
  <c r="CU116" i="90" s="1"/>
  <c r="AE119" i="56" s="1"/>
  <c r="CJ125" i="90"/>
  <c r="CU125" i="90" s="1"/>
  <c r="AE128" i="56" s="1"/>
  <c r="CJ47" i="90"/>
  <c r="CU47" i="90" s="1"/>
  <c r="AE50" i="56" s="1"/>
  <c r="CJ88" i="90"/>
  <c r="CU88" i="90" s="1"/>
  <c r="AE91" i="56" s="1"/>
  <c r="CJ120" i="90"/>
  <c r="CU120" i="90" s="1"/>
  <c r="AE123" i="56" s="1"/>
  <c r="CJ144" i="90"/>
  <c r="CJ58" i="90"/>
  <c r="CU58" i="90" s="1"/>
  <c r="AE61" i="56" s="1"/>
  <c r="CJ127" i="90"/>
  <c r="CU127" i="90" s="1"/>
  <c r="AE130" i="56" s="1"/>
  <c r="CJ67" i="90"/>
  <c r="CU67" i="90" s="1"/>
  <c r="AE70" i="56" s="1"/>
  <c r="CJ103" i="90"/>
  <c r="CU103" i="90" s="1"/>
  <c r="AE106" i="56" s="1"/>
  <c r="CJ137" i="90"/>
  <c r="CU137" i="90" s="1"/>
  <c r="AE140" i="56" s="1"/>
  <c r="CJ140" i="90"/>
  <c r="CU140" i="90" s="1"/>
  <c r="AE143" i="56" s="1"/>
  <c r="CJ100" i="90"/>
  <c r="CU100" i="90" s="1"/>
  <c r="AE103" i="56" s="1"/>
  <c r="CJ61" i="90"/>
  <c r="CU61" i="90" s="1"/>
  <c r="AE64" i="56" s="1"/>
  <c r="CJ131" i="90"/>
  <c r="CU131" i="90" s="1"/>
  <c r="AE134" i="56" s="1"/>
  <c r="CJ84" i="90"/>
  <c r="CU84" i="90" s="1"/>
  <c r="AE87" i="56" s="1"/>
  <c r="CJ51" i="90"/>
  <c r="CU51" i="90" s="1"/>
  <c r="AE54" i="56" s="1"/>
  <c r="CJ122" i="90"/>
  <c r="CU122" i="90" s="1"/>
  <c r="AE125" i="56" s="1"/>
  <c r="CJ105" i="90"/>
  <c r="CU105" i="90" s="1"/>
  <c r="AE108" i="56" s="1"/>
  <c r="CJ104" i="90"/>
  <c r="CU104" i="90" s="1"/>
  <c r="AE107" i="56" s="1"/>
  <c r="CJ81" i="90"/>
  <c r="CU81" i="90" s="1"/>
  <c r="AE84" i="56" s="1"/>
  <c r="CJ66" i="90"/>
  <c r="CU66" i="90" s="1"/>
  <c r="AE69" i="56" s="1"/>
  <c r="CJ95" i="90"/>
  <c r="CU95" i="90" s="1"/>
  <c r="AE98" i="56" s="1"/>
  <c r="CJ101" i="90"/>
  <c r="CU101" i="90" s="1"/>
  <c r="AE104" i="56" s="1"/>
  <c r="CJ102" i="90"/>
  <c r="CU102" i="90" s="1"/>
  <c r="AE105" i="56" s="1"/>
  <c r="AN15" i="40"/>
  <c r="AF85" i="41" s="1"/>
  <c r="CI42" i="90"/>
  <c r="AC123" i="44"/>
  <c r="AC207" i="44"/>
  <c r="AD109" i="41"/>
  <c r="AD96" i="44"/>
  <c r="AD191" i="44"/>
  <c r="AD108" i="41"/>
  <c r="AD89" i="44"/>
  <c r="AD137" i="44" s="1"/>
  <c r="AD99" i="44"/>
  <c r="AD186" i="44"/>
  <c r="AD85" i="44"/>
  <c r="AD136" i="44"/>
  <c r="AD84" i="44"/>
  <c r="AD277" i="44" s="1"/>
  <c r="AD110" i="41"/>
  <c r="AD87" i="44"/>
  <c r="AD86" i="44"/>
  <c r="AD90" i="44"/>
  <c r="AD188" i="44"/>
  <c r="AD83" i="44"/>
  <c r="AD273" i="44" s="1"/>
  <c r="AD193" i="44"/>
  <c r="AC126" i="44"/>
  <c r="AC209" i="44"/>
  <c r="AC260" i="44"/>
  <c r="AC206" i="44"/>
  <c r="AC124" i="44"/>
  <c r="AF309" i="44" l="1"/>
  <c r="AF310" i="44"/>
  <c r="AF274" i="44"/>
  <c r="AF311" i="44"/>
  <c r="AB22" i="57"/>
  <c r="AA30" i="57"/>
  <c r="CM63" i="57"/>
  <c r="CM62" i="57"/>
  <c r="AD42" i="12"/>
  <c r="Q91" i="98" s="1"/>
  <c r="Q38" i="98"/>
  <c r="Q39" i="98" s="1"/>
  <c r="AD14" i="42"/>
  <c r="Q156" i="98"/>
  <c r="Q158" i="98" s="1"/>
  <c r="Q128" i="98"/>
  <c r="AD121" i="86"/>
  <c r="Q108" i="98" s="1"/>
  <c r="AE119" i="86"/>
  <c r="AE38" i="12"/>
  <c r="AG36" i="12"/>
  <c r="AF36" i="12"/>
  <c r="P108" i="98"/>
  <c r="P109" i="98" s="1"/>
  <c r="P110" i="98" s="1"/>
  <c r="AC127" i="86"/>
  <c r="CU145" i="90"/>
  <c r="AE148" i="56" s="1"/>
  <c r="CV145" i="90"/>
  <c r="AF148" i="56" s="1"/>
  <c r="CW145" i="90"/>
  <c r="AG148" i="56" s="1"/>
  <c r="AE46" i="56"/>
  <c r="AE110" i="41"/>
  <c r="AE99" i="44"/>
  <c r="AE186" i="44"/>
  <c r="AE109" i="41"/>
  <c r="AE84" i="44"/>
  <c r="AE277" i="44" s="1"/>
  <c r="AE87" i="44"/>
  <c r="AE89" i="44"/>
  <c r="AE137" i="44" s="1"/>
  <c r="AE86" i="44"/>
  <c r="AE191" i="44"/>
  <c r="AE96" i="44"/>
  <c r="AE83" i="44"/>
  <c r="AE273" i="44" s="1"/>
  <c r="AE188" i="44"/>
  <c r="AE90" i="44"/>
  <c r="AE85" i="44"/>
  <c r="AE136" i="44"/>
  <c r="AE108" i="41"/>
  <c r="AE193" i="44"/>
  <c r="CK62" i="90"/>
  <c r="CV62" i="90" s="1"/>
  <c r="AF65" i="56" s="1"/>
  <c r="CK126" i="90"/>
  <c r="CV126" i="90" s="1"/>
  <c r="AF129" i="56" s="1"/>
  <c r="CK48" i="90"/>
  <c r="CV48" i="90" s="1"/>
  <c r="AF51" i="56" s="1"/>
  <c r="CK57" i="90"/>
  <c r="CV57" i="90" s="1"/>
  <c r="AF60" i="56" s="1"/>
  <c r="CK84" i="90"/>
  <c r="CV84" i="90" s="1"/>
  <c r="AF87" i="56" s="1"/>
  <c r="CK77" i="90"/>
  <c r="CV77" i="90" s="1"/>
  <c r="AF80" i="56" s="1"/>
  <c r="CK91" i="90"/>
  <c r="CV91" i="90" s="1"/>
  <c r="AF94" i="56" s="1"/>
  <c r="CK105" i="90"/>
  <c r="CV105" i="90" s="1"/>
  <c r="AF108" i="56" s="1"/>
  <c r="CK95" i="90"/>
  <c r="CV95" i="90" s="1"/>
  <c r="AF98" i="56" s="1"/>
  <c r="CK107" i="90"/>
  <c r="CV107" i="90" s="1"/>
  <c r="AF110" i="56" s="1"/>
  <c r="CK51" i="90"/>
  <c r="CV51" i="90" s="1"/>
  <c r="AF54" i="56" s="1"/>
  <c r="CK71" i="90"/>
  <c r="CV71" i="90" s="1"/>
  <c r="AF74" i="56" s="1"/>
  <c r="CK85" i="90"/>
  <c r="CV85" i="90" s="1"/>
  <c r="AF88" i="56" s="1"/>
  <c r="CK128" i="90"/>
  <c r="CV128" i="90" s="1"/>
  <c r="AF131" i="56" s="1"/>
  <c r="CK137" i="90"/>
  <c r="CV137" i="90" s="1"/>
  <c r="AF140" i="56" s="1"/>
  <c r="CK114" i="90"/>
  <c r="CV114" i="90" s="1"/>
  <c r="AF117" i="56" s="1"/>
  <c r="CK143" i="90"/>
  <c r="CV143" i="90" s="1"/>
  <c r="AF146" i="56" s="1"/>
  <c r="CK142" i="90"/>
  <c r="CV142" i="90" s="1"/>
  <c r="AF145" i="56" s="1"/>
  <c r="CK73" i="90"/>
  <c r="CV73" i="90" s="1"/>
  <c r="AF76" i="56" s="1"/>
  <c r="CK47" i="90"/>
  <c r="CV47" i="90" s="1"/>
  <c r="AF50" i="56" s="1"/>
  <c r="CK86" i="90"/>
  <c r="CV86" i="90" s="1"/>
  <c r="AF89" i="56" s="1"/>
  <c r="CK141" i="90"/>
  <c r="CV141" i="90" s="1"/>
  <c r="AF144" i="56" s="1"/>
  <c r="CK119" i="90"/>
  <c r="CV119" i="90" s="1"/>
  <c r="AF122" i="56" s="1"/>
  <c r="CK133" i="90"/>
  <c r="CV133" i="90" s="1"/>
  <c r="AF136" i="56" s="1"/>
  <c r="CK70" i="90"/>
  <c r="CV70" i="90" s="1"/>
  <c r="AF73" i="56" s="1"/>
  <c r="CK49" i="90"/>
  <c r="CV49" i="90" s="1"/>
  <c r="AF52" i="56" s="1"/>
  <c r="CK146" i="90"/>
  <c r="CK135" i="90"/>
  <c r="CV135" i="90" s="1"/>
  <c r="AF138" i="56" s="1"/>
  <c r="CK45" i="90"/>
  <c r="CV45" i="90" s="1"/>
  <c r="AF48" i="56" s="1"/>
  <c r="CK113" i="90"/>
  <c r="CV113" i="90" s="1"/>
  <c r="AF116" i="56" s="1"/>
  <c r="CK110" i="90"/>
  <c r="CV110" i="90" s="1"/>
  <c r="AF113" i="56" s="1"/>
  <c r="CK129" i="90"/>
  <c r="CV129" i="90" s="1"/>
  <c r="AF132" i="56" s="1"/>
  <c r="CK61" i="90"/>
  <c r="CV61" i="90" s="1"/>
  <c r="AF64" i="56" s="1"/>
  <c r="CK98" i="90"/>
  <c r="CV98" i="90" s="1"/>
  <c r="AF101" i="56" s="1"/>
  <c r="CK139" i="90"/>
  <c r="CV139" i="90" s="1"/>
  <c r="AF142" i="56" s="1"/>
  <c r="CK115" i="90"/>
  <c r="CV115" i="90" s="1"/>
  <c r="AF118" i="56" s="1"/>
  <c r="CK76" i="90"/>
  <c r="CV76" i="90" s="1"/>
  <c r="AF79" i="56" s="1"/>
  <c r="CK100" i="90"/>
  <c r="CV100" i="90" s="1"/>
  <c r="AF103" i="56" s="1"/>
  <c r="CK58" i="90"/>
  <c r="CV58" i="90" s="1"/>
  <c r="AF61" i="56" s="1"/>
  <c r="CK92" i="90"/>
  <c r="CV92" i="90" s="1"/>
  <c r="AF95" i="56" s="1"/>
  <c r="CK96" i="90"/>
  <c r="CV96" i="90" s="1"/>
  <c r="AF99" i="56" s="1"/>
  <c r="CK145" i="90"/>
  <c r="CK123" i="90"/>
  <c r="CV123" i="90" s="1"/>
  <c r="AF126" i="56" s="1"/>
  <c r="CK97" i="90"/>
  <c r="CV97" i="90" s="1"/>
  <c r="AF100" i="56" s="1"/>
  <c r="CK127" i="90"/>
  <c r="CV127" i="90" s="1"/>
  <c r="AF130" i="56" s="1"/>
  <c r="CK117" i="90"/>
  <c r="CV117" i="90" s="1"/>
  <c r="AF120" i="56" s="1"/>
  <c r="CK82" i="90"/>
  <c r="CV82" i="90" s="1"/>
  <c r="AF85" i="56" s="1"/>
  <c r="CK111" i="90"/>
  <c r="CV111" i="90" s="1"/>
  <c r="AF114" i="56" s="1"/>
  <c r="CK74" i="90"/>
  <c r="CV74" i="90" s="1"/>
  <c r="AF77" i="56" s="1"/>
  <c r="CK109" i="90"/>
  <c r="CV109" i="90" s="1"/>
  <c r="AF112" i="56" s="1"/>
  <c r="CK102" i="90"/>
  <c r="CV102" i="90" s="1"/>
  <c r="AF105" i="56" s="1"/>
  <c r="CK112" i="90"/>
  <c r="CV112" i="90" s="1"/>
  <c r="AF115" i="56" s="1"/>
  <c r="CK60" i="90"/>
  <c r="CV60" i="90" s="1"/>
  <c r="AF63" i="56" s="1"/>
  <c r="CK90" i="90"/>
  <c r="CV90" i="90" s="1"/>
  <c r="AF93" i="56" s="1"/>
  <c r="CK101" i="90"/>
  <c r="CV101" i="90" s="1"/>
  <c r="AF104" i="56" s="1"/>
  <c r="CK83" i="90"/>
  <c r="CV83" i="90" s="1"/>
  <c r="AF86" i="56" s="1"/>
  <c r="CK79" i="90"/>
  <c r="CV79" i="90" s="1"/>
  <c r="AF82" i="56" s="1"/>
  <c r="CK72" i="90"/>
  <c r="CV72" i="90" s="1"/>
  <c r="AF75" i="56" s="1"/>
  <c r="CK89" i="90"/>
  <c r="CV89" i="90" s="1"/>
  <c r="AF92" i="56" s="1"/>
  <c r="CK81" i="90"/>
  <c r="CV81" i="90" s="1"/>
  <c r="AF84" i="56" s="1"/>
  <c r="CK69" i="90"/>
  <c r="CV69" i="90" s="1"/>
  <c r="AF72" i="56" s="1"/>
  <c r="CK125" i="90"/>
  <c r="CV125" i="90" s="1"/>
  <c r="AF128" i="56" s="1"/>
  <c r="CK75" i="90"/>
  <c r="CV75" i="90" s="1"/>
  <c r="AF78" i="56" s="1"/>
  <c r="CK46" i="90"/>
  <c r="CV46" i="90" s="1"/>
  <c r="AF49" i="56" s="1"/>
  <c r="CK122" i="90"/>
  <c r="CV122" i="90" s="1"/>
  <c r="AF125" i="56" s="1"/>
  <c r="CK94" i="90"/>
  <c r="CV94" i="90" s="1"/>
  <c r="AF97" i="56" s="1"/>
  <c r="CK136" i="90"/>
  <c r="CV136" i="90" s="1"/>
  <c r="AF139" i="56" s="1"/>
  <c r="CK68" i="90"/>
  <c r="CV68" i="90" s="1"/>
  <c r="AF71" i="56" s="1"/>
  <c r="CK78" i="90"/>
  <c r="CV78" i="90" s="1"/>
  <c r="AF81" i="56" s="1"/>
  <c r="CK44" i="90"/>
  <c r="CV44" i="90" s="1"/>
  <c r="AF47" i="56" s="1"/>
  <c r="CK144" i="90"/>
  <c r="CK118" i="90"/>
  <c r="CV118" i="90" s="1"/>
  <c r="AF121" i="56" s="1"/>
  <c r="CK116" i="90"/>
  <c r="CV116" i="90" s="1"/>
  <c r="AF119" i="56" s="1"/>
  <c r="CK87" i="90"/>
  <c r="CV87" i="90" s="1"/>
  <c r="AF90" i="56" s="1"/>
  <c r="CK66" i="90"/>
  <c r="CV66" i="90" s="1"/>
  <c r="AF69" i="56" s="1"/>
  <c r="CK50" i="90"/>
  <c r="CV50" i="90" s="1"/>
  <c r="AF53" i="56" s="1"/>
  <c r="CK140" i="90"/>
  <c r="CV140" i="90" s="1"/>
  <c r="AF143" i="56" s="1"/>
  <c r="CK88" i="90"/>
  <c r="CV88" i="90" s="1"/>
  <c r="AF91" i="56" s="1"/>
  <c r="CK59" i="90"/>
  <c r="CV59" i="90" s="1"/>
  <c r="AF62" i="56" s="1"/>
  <c r="CK63" i="90"/>
  <c r="CV63" i="90" s="1"/>
  <c r="AF66" i="56" s="1"/>
  <c r="CK104" i="90"/>
  <c r="CV104" i="90" s="1"/>
  <c r="AF107" i="56" s="1"/>
  <c r="CK106" i="90"/>
  <c r="CV106" i="90" s="1"/>
  <c r="AF109" i="56" s="1"/>
  <c r="CK65" i="90"/>
  <c r="CV65" i="90" s="1"/>
  <c r="AF68" i="56" s="1"/>
  <c r="CK55" i="90"/>
  <c r="CV55" i="90" s="1"/>
  <c r="AF58" i="56" s="1"/>
  <c r="CK103" i="90"/>
  <c r="CV103" i="90" s="1"/>
  <c r="AF106" i="56" s="1"/>
  <c r="CK67" i="90"/>
  <c r="CV67" i="90" s="1"/>
  <c r="AF70" i="56" s="1"/>
  <c r="CK93" i="90"/>
  <c r="CV93" i="90" s="1"/>
  <c r="AF96" i="56" s="1"/>
  <c r="AF39" i="93"/>
  <c r="AF41" i="93" s="1"/>
  <c r="CK134" i="90"/>
  <c r="CV134" i="90" s="1"/>
  <c r="AF137" i="56" s="1"/>
  <c r="CK99" i="90"/>
  <c r="CV99" i="90" s="1"/>
  <c r="AF102" i="56" s="1"/>
  <c r="CK80" i="90"/>
  <c r="CV80" i="90" s="1"/>
  <c r="AF83" i="56" s="1"/>
  <c r="CK131" i="90"/>
  <c r="CV131" i="90" s="1"/>
  <c r="AF134" i="56" s="1"/>
  <c r="CK124" i="90"/>
  <c r="CV124" i="90" s="1"/>
  <c r="AF127" i="56" s="1"/>
  <c r="CK108" i="90"/>
  <c r="CV108" i="90" s="1"/>
  <c r="AF111" i="56" s="1"/>
  <c r="CK130" i="90"/>
  <c r="CV130" i="90" s="1"/>
  <c r="AF133" i="56" s="1"/>
  <c r="CK121" i="90"/>
  <c r="CV121" i="90" s="1"/>
  <c r="AF124" i="56" s="1"/>
  <c r="CK43" i="90"/>
  <c r="CV43" i="90" s="1"/>
  <c r="AO15" i="40"/>
  <c r="CK132" i="90"/>
  <c r="CV132" i="90" s="1"/>
  <c r="AF135" i="56" s="1"/>
  <c r="CK120" i="90"/>
  <c r="CV120" i="90" s="1"/>
  <c r="AF123" i="56" s="1"/>
  <c r="CK64" i="90"/>
  <c r="CV64" i="90" s="1"/>
  <c r="AF67" i="56" s="1"/>
  <c r="CK138" i="90"/>
  <c r="CV138" i="90" s="1"/>
  <c r="AF141" i="56" s="1"/>
  <c r="AD205" i="44"/>
  <c r="AD122" i="44"/>
  <c r="AD209" i="44"/>
  <c r="AD126" i="44"/>
  <c r="AD139" i="44"/>
  <c r="AD259" i="44"/>
  <c r="AD123" i="44"/>
  <c r="AD207" i="44"/>
  <c r="AD124" i="44"/>
  <c r="AD260" i="44"/>
  <c r="AD206" i="44"/>
  <c r="CJ42" i="90"/>
  <c r="AD125" i="44"/>
  <c r="AD261" i="44"/>
  <c r="Q109" i="98" l="1"/>
  <c r="Q110" i="98" s="1"/>
  <c r="Q163" i="98"/>
  <c r="AG122" i="12"/>
  <c r="AF119" i="86"/>
  <c r="AF38" i="12"/>
  <c r="AG119" i="86"/>
  <c r="AG38" i="12"/>
  <c r="P163" i="98"/>
  <c r="AD127" i="86"/>
  <c r="AE42" i="12"/>
  <c r="R91" i="98" s="1"/>
  <c r="R38" i="98"/>
  <c r="R39" i="98" s="1"/>
  <c r="AE14" i="42"/>
  <c r="AE121" i="86"/>
  <c r="R108" i="98" s="1"/>
  <c r="R109" i="98" s="1"/>
  <c r="R110" i="98" s="1"/>
  <c r="R156" i="98"/>
  <c r="R158" i="98" s="1"/>
  <c r="R128" i="98"/>
  <c r="CU42" i="90"/>
  <c r="AE45" i="56"/>
  <c r="AE19" i="56" s="1"/>
  <c r="AE112" i="41" s="1"/>
  <c r="AE168" i="44" s="1"/>
  <c r="AF46" i="56"/>
  <c r="AF45" i="56" s="1"/>
  <c r="AF19" i="56" s="1"/>
  <c r="AF112" i="41" s="1"/>
  <c r="AF168" i="44" s="1"/>
  <c r="CV42" i="90"/>
  <c r="CL70" i="90"/>
  <c r="CW70" i="90" s="1"/>
  <c r="AG73" i="56" s="1"/>
  <c r="CL113" i="90"/>
  <c r="CW113" i="90" s="1"/>
  <c r="AG116" i="56" s="1"/>
  <c r="CL65" i="90"/>
  <c r="CW65" i="90" s="1"/>
  <c r="AG68" i="56" s="1"/>
  <c r="CL139" i="90"/>
  <c r="CW139" i="90" s="1"/>
  <c r="AG142" i="56" s="1"/>
  <c r="CL112" i="90"/>
  <c r="CW112" i="90" s="1"/>
  <c r="AG115" i="56" s="1"/>
  <c r="CL72" i="90"/>
  <c r="CW72" i="90" s="1"/>
  <c r="AG75" i="56" s="1"/>
  <c r="CL81" i="90"/>
  <c r="CW81" i="90" s="1"/>
  <c r="AG84" i="56" s="1"/>
  <c r="CL90" i="90"/>
  <c r="CW90" i="90" s="1"/>
  <c r="AG93" i="56" s="1"/>
  <c r="CL48" i="90"/>
  <c r="CW48" i="90" s="1"/>
  <c r="AG51" i="56" s="1"/>
  <c r="CL123" i="90"/>
  <c r="CW123" i="90" s="1"/>
  <c r="AG126" i="56" s="1"/>
  <c r="CL67" i="90"/>
  <c r="CW67" i="90" s="1"/>
  <c r="AG70" i="56" s="1"/>
  <c r="CL78" i="90"/>
  <c r="CW78" i="90" s="1"/>
  <c r="AG81" i="56" s="1"/>
  <c r="CL82" i="90"/>
  <c r="CW82" i="90" s="1"/>
  <c r="AG85" i="56" s="1"/>
  <c r="CL84" i="90"/>
  <c r="CW84" i="90" s="1"/>
  <c r="AG87" i="56" s="1"/>
  <c r="CL135" i="90"/>
  <c r="CW135" i="90" s="1"/>
  <c r="AG138" i="56" s="1"/>
  <c r="CL50" i="90"/>
  <c r="CW50" i="90" s="1"/>
  <c r="AG53" i="56" s="1"/>
  <c r="CL98" i="90"/>
  <c r="CW98" i="90" s="1"/>
  <c r="AG101" i="56" s="1"/>
  <c r="CL133" i="90"/>
  <c r="CW133" i="90" s="1"/>
  <c r="AG136" i="56" s="1"/>
  <c r="CL68" i="90"/>
  <c r="CW68" i="90" s="1"/>
  <c r="AG71" i="56" s="1"/>
  <c r="CL61" i="90"/>
  <c r="CW61" i="90" s="1"/>
  <c r="AG64" i="56" s="1"/>
  <c r="CL105" i="90"/>
  <c r="CW105" i="90" s="1"/>
  <c r="AG108" i="56" s="1"/>
  <c r="CL130" i="90"/>
  <c r="CW130" i="90" s="1"/>
  <c r="AG133" i="56" s="1"/>
  <c r="CL44" i="90"/>
  <c r="CW44" i="90" s="1"/>
  <c r="AG47" i="56" s="1"/>
  <c r="CL89" i="90"/>
  <c r="CW89" i="90" s="1"/>
  <c r="AG92" i="56" s="1"/>
  <c r="CL111" i="90"/>
  <c r="CW111" i="90" s="1"/>
  <c r="AG114" i="56" s="1"/>
  <c r="CL108" i="90"/>
  <c r="CW108" i="90" s="1"/>
  <c r="AG111" i="56" s="1"/>
  <c r="CL94" i="90"/>
  <c r="CW94" i="90" s="1"/>
  <c r="AG97" i="56" s="1"/>
  <c r="CL110" i="90"/>
  <c r="CW110" i="90" s="1"/>
  <c r="AG113" i="56" s="1"/>
  <c r="CL138" i="90"/>
  <c r="CW138" i="90" s="1"/>
  <c r="AG141" i="56" s="1"/>
  <c r="CL73" i="90"/>
  <c r="CW73" i="90" s="1"/>
  <c r="AG76" i="56" s="1"/>
  <c r="CL57" i="90"/>
  <c r="CW57" i="90" s="1"/>
  <c r="AG60" i="56" s="1"/>
  <c r="CL47" i="90"/>
  <c r="CW47" i="90" s="1"/>
  <c r="AG50" i="56" s="1"/>
  <c r="CL117" i="90"/>
  <c r="CW117" i="90" s="1"/>
  <c r="AG120" i="56" s="1"/>
  <c r="CL93" i="90"/>
  <c r="CW93" i="90" s="1"/>
  <c r="AG96" i="56" s="1"/>
  <c r="CL51" i="90"/>
  <c r="CW51" i="90" s="1"/>
  <c r="AG54" i="56" s="1"/>
  <c r="CL104" i="90"/>
  <c r="CW104" i="90" s="1"/>
  <c r="AG107" i="56" s="1"/>
  <c r="CL143" i="90"/>
  <c r="CW143" i="90" s="1"/>
  <c r="AG146" i="56" s="1"/>
  <c r="CL76" i="90"/>
  <c r="CW76" i="90" s="1"/>
  <c r="AG79" i="56" s="1"/>
  <c r="CL74" i="90"/>
  <c r="CW74" i="90" s="1"/>
  <c r="AG77" i="56" s="1"/>
  <c r="CL120" i="90"/>
  <c r="CW120" i="90" s="1"/>
  <c r="AG123" i="56" s="1"/>
  <c r="CL66" i="90"/>
  <c r="CW66" i="90" s="1"/>
  <c r="AG69" i="56" s="1"/>
  <c r="CL118" i="90"/>
  <c r="CW118" i="90" s="1"/>
  <c r="AG121" i="56" s="1"/>
  <c r="CL55" i="90"/>
  <c r="CW55" i="90" s="1"/>
  <c r="AG58" i="56" s="1"/>
  <c r="CL46" i="90"/>
  <c r="CW46" i="90" s="1"/>
  <c r="AG49" i="56" s="1"/>
  <c r="CL75" i="90"/>
  <c r="CW75" i="90" s="1"/>
  <c r="AG78" i="56" s="1"/>
  <c r="CL92" i="90"/>
  <c r="CW92" i="90" s="1"/>
  <c r="AG95" i="56" s="1"/>
  <c r="CL64" i="90"/>
  <c r="CW64" i="90" s="1"/>
  <c r="AG67" i="56" s="1"/>
  <c r="CL62" i="90"/>
  <c r="CW62" i="90" s="1"/>
  <c r="AG65" i="56" s="1"/>
  <c r="CL91" i="90"/>
  <c r="CW91" i="90" s="1"/>
  <c r="AG94" i="56" s="1"/>
  <c r="CL114" i="90"/>
  <c r="CW114" i="90" s="1"/>
  <c r="AG117" i="56" s="1"/>
  <c r="CL121" i="90"/>
  <c r="CW121" i="90" s="1"/>
  <c r="AG124" i="56" s="1"/>
  <c r="CL77" i="90"/>
  <c r="CW77" i="90" s="1"/>
  <c r="AG80" i="56" s="1"/>
  <c r="CL134" i="90"/>
  <c r="CW134" i="90" s="1"/>
  <c r="AG137" i="56" s="1"/>
  <c r="CL45" i="90"/>
  <c r="CW45" i="90" s="1"/>
  <c r="AG48" i="56" s="1"/>
  <c r="CL60" i="90"/>
  <c r="CW60" i="90" s="1"/>
  <c r="AG63" i="56" s="1"/>
  <c r="CL103" i="90"/>
  <c r="CW103" i="90" s="1"/>
  <c r="AG106" i="56" s="1"/>
  <c r="CL116" i="90"/>
  <c r="CW116" i="90" s="1"/>
  <c r="AG119" i="56" s="1"/>
  <c r="CL137" i="90"/>
  <c r="CW137" i="90" s="1"/>
  <c r="AG140" i="56" s="1"/>
  <c r="CL107" i="90"/>
  <c r="CW107" i="90" s="1"/>
  <c r="AG110" i="56" s="1"/>
  <c r="CL142" i="90"/>
  <c r="CW142" i="90" s="1"/>
  <c r="AG145" i="56" s="1"/>
  <c r="CL132" i="90"/>
  <c r="CW132" i="90" s="1"/>
  <c r="AG135" i="56" s="1"/>
  <c r="CL144" i="90"/>
  <c r="CL126" i="90"/>
  <c r="CW126" i="90" s="1"/>
  <c r="AG129" i="56" s="1"/>
  <c r="CL83" i="90"/>
  <c r="CW83" i="90" s="1"/>
  <c r="AG86" i="56" s="1"/>
  <c r="CL95" i="90"/>
  <c r="CW95" i="90" s="1"/>
  <c r="AG98" i="56" s="1"/>
  <c r="CL101" i="90"/>
  <c r="CW101" i="90" s="1"/>
  <c r="AG104" i="56" s="1"/>
  <c r="CL131" i="90"/>
  <c r="CW131" i="90" s="1"/>
  <c r="AG134" i="56" s="1"/>
  <c r="CL87" i="90"/>
  <c r="CW87" i="90" s="1"/>
  <c r="AG90" i="56" s="1"/>
  <c r="CL63" i="90"/>
  <c r="CW63" i="90" s="1"/>
  <c r="AG66" i="56" s="1"/>
  <c r="CL100" i="90"/>
  <c r="CW100" i="90" s="1"/>
  <c r="AG103" i="56" s="1"/>
  <c r="CL127" i="90"/>
  <c r="CW127" i="90" s="1"/>
  <c r="AG130" i="56" s="1"/>
  <c r="CL80" i="90"/>
  <c r="CW80" i="90" s="1"/>
  <c r="AG83" i="56" s="1"/>
  <c r="CL136" i="90"/>
  <c r="CW136" i="90" s="1"/>
  <c r="AG139" i="56" s="1"/>
  <c r="CL146" i="90"/>
  <c r="CL119" i="90"/>
  <c r="CW119" i="90" s="1"/>
  <c r="AG122" i="56" s="1"/>
  <c r="CL97" i="90"/>
  <c r="CW97" i="90" s="1"/>
  <c r="AG100" i="56" s="1"/>
  <c r="CL141" i="90"/>
  <c r="CW141" i="90" s="1"/>
  <c r="AG144" i="56" s="1"/>
  <c r="CL69" i="90"/>
  <c r="CW69" i="90" s="1"/>
  <c r="AG72" i="56" s="1"/>
  <c r="CL79" i="90"/>
  <c r="CW79" i="90" s="1"/>
  <c r="AG82" i="56" s="1"/>
  <c r="CL58" i="90"/>
  <c r="CW58" i="90" s="1"/>
  <c r="AG61" i="56" s="1"/>
  <c r="CL86" i="90"/>
  <c r="CW86" i="90" s="1"/>
  <c r="AG89" i="56" s="1"/>
  <c r="CL140" i="90"/>
  <c r="CW140" i="90" s="1"/>
  <c r="AG143" i="56" s="1"/>
  <c r="CL71" i="90"/>
  <c r="CW71" i="90" s="1"/>
  <c r="AG74" i="56" s="1"/>
  <c r="CL99" i="90"/>
  <c r="CW99" i="90" s="1"/>
  <c r="AG102" i="56" s="1"/>
  <c r="CL85" i="90"/>
  <c r="CW85" i="90" s="1"/>
  <c r="AG88" i="56" s="1"/>
  <c r="CL96" i="90"/>
  <c r="CW96" i="90" s="1"/>
  <c r="AG99" i="56" s="1"/>
  <c r="CL102" i="90"/>
  <c r="CW102" i="90" s="1"/>
  <c r="AG105" i="56" s="1"/>
  <c r="CL124" i="90"/>
  <c r="CW124" i="90" s="1"/>
  <c r="AG127" i="56" s="1"/>
  <c r="CL106" i="90"/>
  <c r="CW106" i="90" s="1"/>
  <c r="AG109" i="56" s="1"/>
  <c r="CL145" i="90"/>
  <c r="CL43" i="90"/>
  <c r="CW43" i="90" s="1"/>
  <c r="AG85" i="41"/>
  <c r="CL122" i="90"/>
  <c r="CW122" i="90" s="1"/>
  <c r="AG125" i="56" s="1"/>
  <c r="CL59" i="90"/>
  <c r="CW59" i="90" s="1"/>
  <c r="AG62" i="56" s="1"/>
  <c r="CL88" i="90"/>
  <c r="CW88" i="90" s="1"/>
  <c r="AG91" i="56" s="1"/>
  <c r="AG39" i="93"/>
  <c r="AG41" i="93" s="1"/>
  <c r="CL128" i="90"/>
  <c r="CW128" i="90" s="1"/>
  <c r="AG131" i="56" s="1"/>
  <c r="CL125" i="90"/>
  <c r="CW125" i="90" s="1"/>
  <c r="AG128" i="56" s="1"/>
  <c r="CL109" i="90"/>
  <c r="CW109" i="90" s="1"/>
  <c r="AG112" i="56" s="1"/>
  <c r="CL115" i="90"/>
  <c r="CW115" i="90" s="1"/>
  <c r="AG118" i="56" s="1"/>
  <c r="CL129" i="90"/>
  <c r="CW129" i="90" s="1"/>
  <c r="AG132" i="56" s="1"/>
  <c r="CL49" i="90"/>
  <c r="CW49" i="90" s="1"/>
  <c r="AG52" i="56" s="1"/>
  <c r="AF186" i="44"/>
  <c r="AF90" i="44"/>
  <c r="AF108" i="41"/>
  <c r="AF86" i="44"/>
  <c r="AF109" i="41"/>
  <c r="AF99" i="44"/>
  <c r="AF89" i="44"/>
  <c r="AF137" i="44" s="1"/>
  <c r="AF191" i="44"/>
  <c r="AF110" i="41"/>
  <c r="AF84" i="44"/>
  <c r="AF277" i="44" s="1"/>
  <c r="AF136" i="44"/>
  <c r="AF96" i="44"/>
  <c r="AF83" i="44"/>
  <c r="AF273" i="44" s="1"/>
  <c r="AF85" i="44"/>
  <c r="AF87" i="44"/>
  <c r="AF193" i="44"/>
  <c r="AF188" i="44"/>
  <c r="CK42" i="90"/>
  <c r="AE126" i="44"/>
  <c r="AE209" i="44"/>
  <c r="AE205" i="44"/>
  <c r="AE122" i="44"/>
  <c r="AE206" i="44"/>
  <c r="AE260" i="44"/>
  <c r="AE124" i="44"/>
  <c r="AE123" i="44"/>
  <c r="AE207" i="44"/>
  <c r="AE261" i="44"/>
  <c r="AE125" i="44"/>
  <c r="AE139" i="44"/>
  <c r="AE259" i="44"/>
  <c r="AG309" i="44" l="1"/>
  <c r="AG310" i="44"/>
  <c r="AG274" i="44"/>
  <c r="AG311" i="44"/>
  <c r="AG42" i="12"/>
  <c r="T91" i="98" s="1"/>
  <c r="T38" i="98"/>
  <c r="T39" i="98" s="1"/>
  <c r="AG14" i="42"/>
  <c r="AG40" i="12"/>
  <c r="AG121" i="86"/>
  <c r="T108" i="98" s="1"/>
  <c r="T156" i="98"/>
  <c r="T158" i="98" s="1"/>
  <c r="T128" i="98"/>
  <c r="AF42" i="12"/>
  <c r="S91" i="98" s="1"/>
  <c r="S38" i="98"/>
  <c r="S39" i="98" s="1"/>
  <c r="AF14" i="42"/>
  <c r="S128" i="98"/>
  <c r="S156" i="98"/>
  <c r="S158" i="98" s="1"/>
  <c r="AF121" i="86"/>
  <c r="S108" i="98" s="1"/>
  <c r="S109" i="98" s="1"/>
  <c r="S110" i="98" s="1"/>
  <c r="AE127" i="86"/>
  <c r="R163" i="98"/>
  <c r="AG46" i="56"/>
  <c r="AG45" i="56" s="1"/>
  <c r="AG19" i="56" s="1"/>
  <c r="AG112" i="41" s="1"/>
  <c r="AG168" i="44" s="1"/>
  <c r="CW42" i="90"/>
  <c r="CL42" i="90"/>
  <c r="AF122" i="44"/>
  <c r="AF205" i="44"/>
  <c r="AF125" i="44"/>
  <c r="AF261" i="44"/>
  <c r="AF123" i="44"/>
  <c r="AF207" i="44"/>
  <c r="AF259" i="44"/>
  <c r="AF139" i="44"/>
  <c r="AF126" i="44"/>
  <c r="AF209" i="44"/>
  <c r="AF206" i="44"/>
  <c r="AF124" i="44"/>
  <c r="AF260" i="44"/>
  <c r="AG87" i="44"/>
  <c r="AG110" i="41"/>
  <c r="AG84" i="44"/>
  <c r="AG277" i="44" s="1"/>
  <c r="AG96" i="44"/>
  <c r="AG186" i="44"/>
  <c r="AG109" i="41"/>
  <c r="AG108" i="41"/>
  <c r="AG191" i="44"/>
  <c r="AG99" i="44"/>
  <c r="AG86" i="44"/>
  <c r="AG89" i="44"/>
  <c r="AG137" i="44" s="1"/>
  <c r="AG193" i="44"/>
  <c r="AG188" i="44"/>
  <c r="AG90" i="44"/>
  <c r="AG136" i="44"/>
  <c r="AG85" i="44"/>
  <c r="AG83" i="44"/>
  <c r="AG273" i="44" s="1"/>
  <c r="AG44" i="12" l="1"/>
  <c r="T109" i="98"/>
  <c r="T110" i="98" s="1"/>
  <c r="AK14" i="42"/>
  <c r="T163" i="98"/>
  <c r="AF127" i="86"/>
  <c r="S163" i="98"/>
  <c r="AO14" i="42"/>
  <c r="AG127" i="86"/>
  <c r="AG122" i="86"/>
  <c r="AG123" i="44"/>
  <c r="AG207" i="44"/>
  <c r="AG209" i="44"/>
  <c r="AG126" i="44"/>
  <c r="AG125" i="44"/>
  <c r="AG261" i="44"/>
  <c r="AG122" i="44"/>
  <c r="AG205" i="44"/>
  <c r="AG139" i="44"/>
  <c r="AG259" i="44"/>
  <c r="AG124" i="44"/>
  <c r="AG206" i="44"/>
  <c r="AG260" i="44"/>
  <c r="X81" i="86" l="1"/>
  <c r="X88" i="86" l="1"/>
  <c r="Y81" i="86"/>
  <c r="Y88" i="86" s="1"/>
  <c r="L125" i="98" s="1"/>
  <c r="L132" i="98" s="1"/>
  <c r="L135" i="98" s="1"/>
  <c r="Z81" i="86" l="1"/>
  <c r="Z88" i="86" s="1"/>
  <c r="M125" i="98" s="1"/>
  <c r="Y113" i="86"/>
  <c r="L103" i="98" s="1"/>
  <c r="K125" i="98"/>
  <c r="L136" i="98"/>
  <c r="L142" i="98"/>
  <c r="L139" i="98"/>
  <c r="L141" i="98"/>
  <c r="L140" i="98"/>
  <c r="L137" i="98"/>
  <c r="L138" i="98"/>
  <c r="Y124" i="86" l="1"/>
  <c r="Y129" i="86" s="1"/>
  <c r="V18" i="108" s="1"/>
  <c r="AA81" i="86"/>
  <c r="AB81" i="86" s="1"/>
  <c r="M132" i="98"/>
  <c r="M135" i="98" s="1"/>
  <c r="Y15" i="42"/>
  <c r="L119" i="98"/>
  <c r="L113" i="98"/>
  <c r="L122" i="98" s="1"/>
  <c r="Y46" i="12"/>
  <c r="Y48" i="12" s="1"/>
  <c r="V21" i="108" s="1"/>
  <c r="Y128" i="86"/>
  <c r="Z113" i="86"/>
  <c r="L160" i="98" l="1"/>
  <c r="L120" i="98"/>
  <c r="AA88" i="86"/>
  <c r="N125" i="98" s="1"/>
  <c r="N132" i="98" s="1"/>
  <c r="N135" i="98" s="1"/>
  <c r="Y15" i="41"/>
  <c r="Y95" i="44"/>
  <c r="Y278" i="44" s="1"/>
  <c r="L121" i="98"/>
  <c r="M136" i="98"/>
  <c r="M142" i="98"/>
  <c r="M141" i="98"/>
  <c r="M139" i="98"/>
  <c r="M140" i="98"/>
  <c r="M138" i="98"/>
  <c r="M137" i="98"/>
  <c r="M103" i="98"/>
  <c r="L162" i="98"/>
  <c r="L116" i="98"/>
  <c r="AC81" i="86"/>
  <c r="AB88" i="86"/>
  <c r="Y47" i="12"/>
  <c r="Z124" i="86"/>
  <c r="Z129" i="86" s="1"/>
  <c r="W18" i="108" s="1"/>
  <c r="AA113" i="86" l="1"/>
  <c r="M160" i="98"/>
  <c r="AB89" i="86"/>
  <c r="O125" i="98"/>
  <c r="N136" i="98"/>
  <c r="N142" i="98"/>
  <c r="N139" i="98"/>
  <c r="N141" i="98"/>
  <c r="N140" i="98"/>
  <c r="N138" i="98"/>
  <c r="N137" i="98"/>
  <c r="N103" i="98"/>
  <c r="M104" i="98"/>
  <c r="M105" i="98" s="1"/>
  <c r="M113" i="98"/>
  <c r="M120" i="98"/>
  <c r="Z15" i="42"/>
  <c r="M119" i="98"/>
  <c r="AA124" i="86"/>
  <c r="AB113" i="86"/>
  <c r="Y102" i="41"/>
  <c r="Y111" i="41" s="1"/>
  <c r="Z46" i="12"/>
  <c r="Z48" i="12" s="1"/>
  <c r="W21" i="108" s="1"/>
  <c r="Z128" i="86"/>
  <c r="AD81" i="86"/>
  <c r="AC88" i="86"/>
  <c r="P125" i="98" s="1"/>
  <c r="Y128" i="44"/>
  <c r="Z15" i="41" l="1"/>
  <c r="Z95" i="44"/>
  <c r="M122" i="98"/>
  <c r="M162" i="98"/>
  <c r="P132" i="98"/>
  <c r="P135" i="98" s="1"/>
  <c r="O132" i="98"/>
  <c r="O135" i="98" s="1"/>
  <c r="N119" i="98"/>
  <c r="AA129" i="86"/>
  <c r="X18" i="108" s="1"/>
  <c r="M114" i="98"/>
  <c r="M115" i="98" s="1"/>
  <c r="N120" i="98"/>
  <c r="AA15" i="42"/>
  <c r="N160" i="98"/>
  <c r="M121" i="98"/>
  <c r="O103" i="98"/>
  <c r="M116" i="98"/>
  <c r="N104" i="98"/>
  <c r="N105" i="98" s="1"/>
  <c r="N113" i="98"/>
  <c r="N116" i="98" s="1"/>
  <c r="Z278" i="44"/>
  <c r="AA128" i="86"/>
  <c r="AA46" i="12"/>
  <c r="AA48" i="12" s="1"/>
  <c r="X21" i="108" s="1"/>
  <c r="Y210" i="44"/>
  <c r="Y166" i="44"/>
  <c r="AB124" i="86"/>
  <c r="Z47" i="12"/>
  <c r="AC113" i="86"/>
  <c r="AE81" i="86"/>
  <c r="AD88" i="86"/>
  <c r="Q125" i="98" s="1"/>
  <c r="AA15" i="41" l="1"/>
  <c r="AA95" i="44"/>
  <c r="AA278" i="44" s="1"/>
  <c r="N122" i="98"/>
  <c r="O119" i="98"/>
  <c r="AB129" i="86"/>
  <c r="Y18" i="108" s="1"/>
  <c r="O136" i="98"/>
  <c r="O142" i="98"/>
  <c r="O139" i="98"/>
  <c r="O141" i="98"/>
  <c r="O138" i="98"/>
  <c r="O140" i="98"/>
  <c r="O137" i="98"/>
  <c r="Q132" i="98"/>
  <c r="Q135" i="98" s="1"/>
  <c r="N121" i="98"/>
  <c r="P136" i="98"/>
  <c r="P142" i="98"/>
  <c r="P141" i="98"/>
  <c r="P138" i="98"/>
  <c r="P139" i="98"/>
  <c r="P140" i="98"/>
  <c r="P137" i="98"/>
  <c r="P103" i="98"/>
  <c r="O104" i="98"/>
  <c r="O105" i="98" s="1"/>
  <c r="O113" i="98"/>
  <c r="O122" i="98" s="1"/>
  <c r="O120" i="98"/>
  <c r="AB15" i="42"/>
  <c r="AB95" i="44" s="1"/>
  <c r="O160" i="98"/>
  <c r="N114" i="98"/>
  <c r="N115" i="98" s="1"/>
  <c r="N162" i="98"/>
  <c r="AF81" i="86"/>
  <c r="AE88" i="86"/>
  <c r="R125" i="98" s="1"/>
  <c r="AD113" i="86"/>
  <c r="AC124" i="86"/>
  <c r="AB46" i="12"/>
  <c r="AB48" i="12" s="1"/>
  <c r="Y21" i="108" s="1"/>
  <c r="AB128" i="86"/>
  <c r="Z128" i="44"/>
  <c r="AA47" i="12"/>
  <c r="Z102" i="41"/>
  <c r="Z111" i="41" s="1"/>
  <c r="AB15" i="41" l="1"/>
  <c r="O121" i="98"/>
  <c r="P119" i="98"/>
  <c r="AC129" i="86"/>
  <c r="Z18" i="108" s="1"/>
  <c r="R132" i="98"/>
  <c r="R135" i="98" s="1"/>
  <c r="Q136" i="98"/>
  <c r="Q142" i="98"/>
  <c r="Q137" i="98"/>
  <c r="Q139" i="98"/>
  <c r="Q140" i="98"/>
  <c r="Q138" i="98"/>
  <c r="Q141" i="98"/>
  <c r="P120" i="98"/>
  <c r="AC15" i="42"/>
  <c r="P160" i="98"/>
  <c r="Q103" i="98"/>
  <c r="P113" i="98"/>
  <c r="P122" i="98" s="1"/>
  <c r="P104" i="98"/>
  <c r="P105" i="98" s="1"/>
  <c r="O114" i="98"/>
  <c r="O115" i="98" s="1"/>
  <c r="O162" i="98"/>
  <c r="O116" i="98"/>
  <c r="AA102" i="41"/>
  <c r="AA111" i="41" s="1"/>
  <c r="AA128" i="44"/>
  <c r="Z210" i="44"/>
  <c r="Z166" i="44"/>
  <c r="AE113" i="86"/>
  <c r="AB47" i="12"/>
  <c r="AG81" i="86"/>
  <c r="AG88" i="86" s="1"/>
  <c r="T125" i="98" s="1"/>
  <c r="AF88" i="86"/>
  <c r="S125" i="98" s="1"/>
  <c r="AC46" i="12"/>
  <c r="AC48" i="12" s="1"/>
  <c r="Z21" i="108" s="1"/>
  <c r="AC128" i="86"/>
  <c r="AD124" i="86"/>
  <c r="AD129" i="86" s="1"/>
  <c r="AA18" i="108" s="1"/>
  <c r="AB278" i="44"/>
  <c r="AC15" i="41" l="1"/>
  <c r="AC95" i="44"/>
  <c r="AC278" i="44" s="1"/>
  <c r="P121" i="98"/>
  <c r="P116" i="98"/>
  <c r="T132" i="98"/>
  <c r="T135" i="98" s="1"/>
  <c r="R136" i="98"/>
  <c r="R142" i="98"/>
  <c r="R137" i="98"/>
  <c r="R141" i="98"/>
  <c r="R138" i="98"/>
  <c r="R139" i="98"/>
  <c r="R140" i="98"/>
  <c r="S132" i="98"/>
  <c r="S135" i="98" s="1"/>
  <c r="Q104" i="98"/>
  <c r="Q105" i="98" s="1"/>
  <c r="Q113" i="98"/>
  <c r="Q116" i="98" s="1"/>
  <c r="R103" i="98"/>
  <c r="P162" i="98"/>
  <c r="P114" i="98"/>
  <c r="P115" i="98" s="1"/>
  <c r="Q120" i="98"/>
  <c r="AD15" i="42"/>
  <c r="Q160" i="98"/>
  <c r="Q119" i="98"/>
  <c r="AG89" i="86"/>
  <c r="AG113" i="86"/>
  <c r="AB128" i="44"/>
  <c r="AB102" i="41"/>
  <c r="AB111" i="41" s="1"/>
  <c r="AA166" i="44"/>
  <c r="AA210" i="44"/>
  <c r="AD46" i="12"/>
  <c r="AD48" i="12" s="1"/>
  <c r="AA21" i="108" s="1"/>
  <c r="AD128" i="86"/>
  <c r="AC47" i="12"/>
  <c r="AF113" i="86"/>
  <c r="AE124" i="86"/>
  <c r="AD15" i="41" l="1"/>
  <c r="AD95" i="44"/>
  <c r="Q121" i="98"/>
  <c r="Q122" i="98"/>
  <c r="R119" i="98"/>
  <c r="AE129" i="86"/>
  <c r="AB18" i="108" s="1"/>
  <c r="S136" i="98"/>
  <c r="S138" i="98"/>
  <c r="S137" i="98"/>
  <c r="S140" i="98"/>
  <c r="S139" i="98"/>
  <c r="S141" i="98"/>
  <c r="S142" i="98"/>
  <c r="T136" i="98"/>
  <c r="T142" i="98"/>
  <c r="T137" i="98"/>
  <c r="T139" i="98"/>
  <c r="T140" i="98"/>
  <c r="T138" i="98"/>
  <c r="T141" i="98"/>
  <c r="R113" i="98"/>
  <c r="R116" i="98" s="1"/>
  <c r="R104" i="98"/>
  <c r="R105" i="98" s="1"/>
  <c r="T103" i="98"/>
  <c r="R120" i="98"/>
  <c r="AE15" i="42"/>
  <c r="R160" i="98"/>
  <c r="Q114" i="98"/>
  <c r="Q115" i="98" s="1"/>
  <c r="Q162" i="98"/>
  <c r="S103" i="98"/>
  <c r="AG114" i="86"/>
  <c r="AF124" i="86"/>
  <c r="AF129" i="86" s="1"/>
  <c r="AC18" i="108" s="1"/>
  <c r="AB210" i="44"/>
  <c r="AB166" i="44"/>
  <c r="AD47" i="12"/>
  <c r="AD278" i="44"/>
  <c r="AC128" i="44"/>
  <c r="AC102" i="41"/>
  <c r="AC111" i="41" s="1"/>
  <c r="AG124" i="86"/>
  <c r="AG129" i="86" s="1"/>
  <c r="AD18" i="108" s="1"/>
  <c r="AE128" i="86"/>
  <c r="AE46" i="12"/>
  <c r="AE48" i="12" s="1"/>
  <c r="AB21" i="108" s="1"/>
  <c r="AE15" i="41" l="1"/>
  <c r="AE95" i="44"/>
  <c r="R121" i="98"/>
  <c r="R122" i="98"/>
  <c r="T119" i="98"/>
  <c r="S113" i="98"/>
  <c r="S116" i="98" s="1"/>
  <c r="S104" i="98"/>
  <c r="S105" i="98" s="1"/>
  <c r="T120" i="98"/>
  <c r="AG15" i="42"/>
  <c r="T160" i="98"/>
  <c r="S120" i="98"/>
  <c r="AF15" i="42"/>
  <c r="S160" i="98"/>
  <c r="T113" i="98"/>
  <c r="T122" i="98" s="1"/>
  <c r="T104" i="98"/>
  <c r="T105" i="98" s="1"/>
  <c r="R162" i="98"/>
  <c r="R114" i="98"/>
  <c r="R115" i="98" s="1"/>
  <c r="S119" i="98"/>
  <c r="AG125" i="86"/>
  <c r="AG128" i="86"/>
  <c r="AG46" i="12"/>
  <c r="AG48" i="12" s="1"/>
  <c r="AD21" i="108" s="1"/>
  <c r="AF46" i="12"/>
  <c r="AF48" i="12" s="1"/>
  <c r="AC21" i="108" s="1"/>
  <c r="AF128" i="86"/>
  <c r="AD102" i="41"/>
  <c r="AD111" i="41" s="1"/>
  <c r="AD128" i="44"/>
  <c r="AE47" i="12"/>
  <c r="AE278" i="44"/>
  <c r="AC166" i="44"/>
  <c r="AC210" i="44"/>
  <c r="AF15" i="41" l="1"/>
  <c r="AF95" i="44"/>
  <c r="AF278" i="44" s="1"/>
  <c r="AG15" i="41"/>
  <c r="AG95" i="44"/>
  <c r="T121" i="98"/>
  <c r="AK15" i="42"/>
  <c r="S122" i="98"/>
  <c r="S121" i="98"/>
  <c r="T116" i="98"/>
  <c r="AO15" i="42"/>
  <c r="T114" i="98"/>
  <c r="T115" i="98" s="1"/>
  <c r="T162" i="98"/>
  <c r="S162" i="98"/>
  <c r="S114" i="98"/>
  <c r="S115" i="98" s="1"/>
  <c r="AF47" i="12"/>
  <c r="AE102" i="41"/>
  <c r="AE111" i="41" s="1"/>
  <c r="AE128" i="44"/>
  <c r="AG47" i="12"/>
  <c r="AG278" i="44"/>
  <c r="AD210" i="44"/>
  <c r="AD166" i="44"/>
  <c r="AE210" i="44" l="1"/>
  <c r="AE166" i="44"/>
  <c r="AG102" i="41"/>
  <c r="AG111" i="41" s="1"/>
  <c r="AF102" i="41"/>
  <c r="AF111" i="41" s="1"/>
  <c r="AG128" i="44"/>
  <c r="AF128" i="44"/>
  <c r="AG210" i="44" l="1"/>
  <c r="AG166" i="44"/>
  <c r="AF166" i="44"/>
  <c r="AF210" i="44"/>
  <c r="X96" i="98" l="1"/>
  <c r="AJ33" i="98" l="1"/>
  <c r="AG33" i="98"/>
  <c r="AH33" i="98"/>
  <c r="AF33" i="98"/>
  <c r="AK33" i="98"/>
  <c r="AI33" i="98"/>
  <c r="P16" i="45" l="1"/>
  <c r="Q16" i="45" l="1"/>
  <c r="V16" i="45" l="1"/>
  <c r="U16" i="45"/>
  <c r="T16" i="45"/>
  <c r="R16" i="45"/>
  <c r="S16" i="45"/>
  <c r="W16" i="45"/>
  <c r="P15" i="45" l="1"/>
  <c r="P17" i="45" s="1"/>
  <c r="P29" i="45" l="1"/>
  <c r="P30" i="45" s="1"/>
  <c r="Q24" i="45" s="1"/>
  <c r="P41" i="41"/>
  <c r="P75" i="41" l="1"/>
  <c r="P78" i="41" s="1"/>
  <c r="P43" i="41"/>
  <c r="P45" i="41" s="1"/>
  <c r="P79" i="41"/>
  <c r="P13" i="45"/>
  <c r="P80" i="41" l="1"/>
  <c r="M49" i="108" s="1"/>
  <c r="P242" i="44"/>
  <c r="P244" i="44" s="1"/>
  <c r="P245" i="44" s="1"/>
  <c r="M59" i="108" s="1"/>
  <c r="P103" i="41"/>
  <c r="P104" i="41" s="1"/>
  <c r="Q37" i="41"/>
  <c r="Q12" i="45"/>
  <c r="P81" i="41"/>
  <c r="Q71" i="41"/>
  <c r="P114" i="41" l="1"/>
  <c r="P298" i="44"/>
  <c r="Y94" i="98"/>
  <c r="Y96" i="98" s="1"/>
  <c r="P281" i="44" l="1"/>
  <c r="P289" i="44" s="1"/>
  <c r="P291" i="44" s="1"/>
  <c r="Q15" i="45"/>
  <c r="Q17" i="45" s="1"/>
  <c r="Q29" i="45" l="1"/>
  <c r="Q30" i="45" s="1"/>
  <c r="R24" i="45" s="1"/>
  <c r="Q41" i="41"/>
  <c r="Q75" i="41" l="1"/>
  <c r="Q78" i="41" s="1"/>
  <c r="Q43" i="41"/>
  <c r="Q45" i="41" s="1"/>
  <c r="Q79" i="41"/>
  <c r="Q13" i="45"/>
  <c r="Q242" i="44" l="1"/>
  <c r="Q244" i="44" s="1"/>
  <c r="Q245" i="44" s="1"/>
  <c r="N59" i="108" s="1"/>
  <c r="Q103" i="41"/>
  <c r="Q104" i="41" s="1"/>
  <c r="Q80" i="41"/>
  <c r="N49" i="108" s="1"/>
  <c r="R37" i="41"/>
  <c r="R12" i="45"/>
  <c r="R71" i="41"/>
  <c r="Q81" i="41"/>
  <c r="Q114" i="41" l="1"/>
  <c r="Q298" i="44"/>
  <c r="Z94" i="98"/>
  <c r="Z96" i="98" s="1"/>
  <c r="R15" i="45"/>
  <c r="R17" i="45" s="1"/>
  <c r="Q281" i="44" l="1"/>
  <c r="Q289" i="44" s="1"/>
  <c r="Q291" i="44" s="1"/>
  <c r="R41" i="41"/>
  <c r="R29" i="45"/>
  <c r="R30" i="45" s="1"/>
  <c r="S24" i="45" s="1"/>
  <c r="R79" i="41" l="1"/>
  <c r="R13" i="45"/>
  <c r="R75" i="41"/>
  <c r="R78" i="41" s="1"/>
  <c r="R43" i="41"/>
  <c r="R45" i="41" s="1"/>
  <c r="R242" i="44" l="1"/>
  <c r="R244" i="44" s="1"/>
  <c r="R245" i="44" s="1"/>
  <c r="O59" i="108" s="1"/>
  <c r="R103" i="41"/>
  <c r="R104" i="41" s="1"/>
  <c r="R80" i="41"/>
  <c r="O49" i="108" s="1"/>
  <c r="S71" i="41"/>
  <c r="R81" i="41"/>
  <c r="S12" i="45"/>
  <c r="S37" i="41"/>
  <c r="R114" i="41" l="1"/>
  <c r="R298" i="44"/>
  <c r="AA94" i="98"/>
  <c r="AA96" i="98" s="1"/>
  <c r="R281" i="44" l="1"/>
  <c r="R289" i="44" s="1"/>
  <c r="R291" i="44" s="1"/>
  <c r="S15" i="45"/>
  <c r="S17" i="45" s="1"/>
  <c r="S29" i="45" l="1"/>
  <c r="S30" i="45" s="1"/>
  <c r="T24" i="45" s="1"/>
  <c r="S41" i="41"/>
  <c r="S75" i="41" l="1"/>
  <c r="S78" i="41" s="1"/>
  <c r="S43" i="41"/>
  <c r="S45" i="41" s="1"/>
  <c r="S79" i="41"/>
  <c r="S13" i="45"/>
  <c r="S242" i="44" l="1"/>
  <c r="S244" i="44" s="1"/>
  <c r="S245" i="44" s="1"/>
  <c r="P59" i="108" s="1"/>
  <c r="S103" i="41"/>
  <c r="S104" i="41" s="1"/>
  <c r="S80" i="41"/>
  <c r="P49" i="108" s="1"/>
  <c r="T37" i="41"/>
  <c r="T12" i="45"/>
  <c r="T71" i="41"/>
  <c r="S81" i="41"/>
  <c r="S114" i="41" l="1"/>
  <c r="S298" i="44"/>
  <c r="AB94" i="98"/>
  <c r="AB96" i="98" s="1"/>
  <c r="S281" i="44" l="1"/>
  <c r="S289" i="44" s="1"/>
  <c r="S291" i="44" s="1"/>
  <c r="T15" i="45"/>
  <c r="T17" i="45" s="1"/>
  <c r="T29" i="45" l="1"/>
  <c r="T30" i="45" s="1"/>
  <c r="U24" i="45" s="1"/>
  <c r="T41" i="41"/>
  <c r="T75" i="41" l="1"/>
  <c r="T78" i="41" s="1"/>
  <c r="T43" i="41"/>
  <c r="T45" i="41" s="1"/>
  <c r="T79" i="41"/>
  <c r="T13" i="45"/>
  <c r="T242" i="44" l="1"/>
  <c r="T244" i="44" s="1"/>
  <c r="T245" i="44" s="1"/>
  <c r="Q59" i="108" s="1"/>
  <c r="T103" i="41"/>
  <c r="T104" i="41" s="1"/>
  <c r="T80" i="41"/>
  <c r="Q49" i="108" s="1"/>
  <c r="U37" i="41"/>
  <c r="U12" i="45"/>
  <c r="T81" i="41"/>
  <c r="U71" i="41"/>
  <c r="T114" i="41" l="1"/>
  <c r="T298" i="44"/>
  <c r="AC94" i="98"/>
  <c r="AC96" i="98" s="1"/>
  <c r="T281" i="44" l="1"/>
  <c r="T289" i="44" s="1"/>
  <c r="T291" i="44" s="1"/>
  <c r="U15" i="45"/>
  <c r="U17" i="45" s="1"/>
  <c r="U29" i="45" l="1"/>
  <c r="U30" i="45" s="1"/>
  <c r="V24" i="45" s="1"/>
  <c r="U41" i="41"/>
  <c r="U75" i="41" l="1"/>
  <c r="U78" i="41" s="1"/>
  <c r="U43" i="41"/>
  <c r="U45" i="41" s="1"/>
  <c r="U79" i="41"/>
  <c r="U13" i="45"/>
  <c r="U80" i="41" l="1"/>
  <c r="R49" i="108" s="1"/>
  <c r="U242" i="44"/>
  <c r="U244" i="44" s="1"/>
  <c r="U245" i="44" s="1"/>
  <c r="R59" i="108" s="1"/>
  <c r="U103" i="41"/>
  <c r="U104" i="41" s="1"/>
  <c r="V37" i="41"/>
  <c r="V12" i="45"/>
  <c r="V71" i="41"/>
  <c r="U81" i="41"/>
  <c r="U114" i="41" l="1"/>
  <c r="U298" i="44"/>
  <c r="AD94" i="98"/>
  <c r="AD96" i="98" s="1"/>
  <c r="U281" i="44" l="1"/>
  <c r="U289" i="44" s="1"/>
  <c r="U291" i="44" s="1"/>
  <c r="V15" i="45"/>
  <c r="V17" i="45" s="1"/>
  <c r="V29" i="45" l="1"/>
  <c r="V30" i="45" s="1"/>
  <c r="W24" i="45" s="1"/>
  <c r="V41" i="41"/>
  <c r="V75" i="41" l="1"/>
  <c r="V78" i="41" s="1"/>
  <c r="V43" i="41"/>
  <c r="V45" i="41" s="1"/>
  <c r="V79" i="41"/>
  <c r="V13" i="45"/>
  <c r="V242" i="44" l="1"/>
  <c r="V244" i="44" s="1"/>
  <c r="V245" i="44" s="1"/>
  <c r="S59" i="108" s="1"/>
  <c r="V103" i="41"/>
  <c r="V104" i="41" s="1"/>
  <c r="V80" i="41"/>
  <c r="S49" i="108" s="1"/>
  <c r="W37" i="41"/>
  <c r="W12" i="45"/>
  <c r="W71" i="41"/>
  <c r="V81" i="41"/>
  <c r="V114" i="41" l="1"/>
  <c r="V298" i="44"/>
  <c r="AE94" i="98"/>
  <c r="AE96" i="98" s="1"/>
  <c r="V281" i="44" l="1"/>
  <c r="V289" i="44" s="1"/>
  <c r="V291" i="44" s="1"/>
  <c r="W15" i="45"/>
  <c r="W17" i="45" s="1"/>
  <c r="X68" i="98" s="1"/>
  <c r="W29" i="45" l="1"/>
  <c r="W30" i="45" s="1"/>
  <c r="W41" i="41"/>
  <c r="X42" i="45" l="1"/>
  <c r="X44" i="45"/>
  <c r="X41" i="45"/>
  <c r="X24" i="45"/>
  <c r="W75" i="41"/>
  <c r="W78" i="41" s="1"/>
  <c r="W43" i="41"/>
  <c r="X43" i="45"/>
  <c r="X47" i="45"/>
  <c r="W13" i="45"/>
  <c r="G84" i="45"/>
  <c r="X45" i="45"/>
  <c r="W79" i="41"/>
  <c r="Y42" i="45" l="1"/>
  <c r="Z42" i="45" s="1"/>
  <c r="AA42" i="45"/>
  <c r="AB42" i="45" s="1"/>
  <c r="AC42" i="45" s="1"/>
  <c r="AD42" i="45" s="1"/>
  <c r="AE42" i="45" s="1"/>
  <c r="AF42" i="45" s="1"/>
  <c r="AG42" i="45" s="1"/>
  <c r="Y44" i="45"/>
  <c r="Z44" i="45"/>
  <c r="AA44" i="45" s="1"/>
  <c r="AB44" i="45"/>
  <c r="AC44" i="45" s="1"/>
  <c r="AD44" i="45" s="1"/>
  <c r="AE44" i="45" s="1"/>
  <c r="AF44" i="45" s="1"/>
  <c r="AG44" i="45"/>
  <c r="X82" i="45"/>
  <c r="T32" i="108"/>
  <c r="G85" i="45"/>
  <c r="W80" i="41"/>
  <c r="T49" i="108" s="1"/>
  <c r="X12" i="45"/>
  <c r="Y47" i="45"/>
  <c r="Z47" i="45" s="1"/>
  <c r="AA47" i="45" s="1"/>
  <c r="AB47" i="45" s="1"/>
  <c r="AC47" i="45" s="1"/>
  <c r="Y41" i="45"/>
  <c r="Y43" i="45"/>
  <c r="Z43" i="45" s="1"/>
  <c r="AA43" i="45" s="1"/>
  <c r="AB43" i="45" s="1"/>
  <c r="AC43" i="45" s="1"/>
  <c r="AD43" i="45" s="1"/>
  <c r="AE43" i="45" s="1"/>
  <c r="X37" i="41"/>
  <c r="W45" i="41"/>
  <c r="Y45" i="45"/>
  <c r="Z45" i="45" s="1"/>
  <c r="AA45" i="45" s="1"/>
  <c r="AB45" i="45" s="1"/>
  <c r="AC45" i="45" s="1"/>
  <c r="AD45" i="45" s="1"/>
  <c r="AE45" i="45" s="1"/>
  <c r="AF45" i="45" s="1"/>
  <c r="AG45" i="45" s="1"/>
  <c r="W81" i="41"/>
  <c r="X71" i="41"/>
  <c r="W242" i="44" l="1"/>
  <c r="W244" i="44" s="1"/>
  <c r="W245" i="44" s="1"/>
  <c r="T59" i="108" s="1"/>
  <c r="W103" i="41"/>
  <c r="W104" i="41" s="1"/>
  <c r="Z41" i="45"/>
  <c r="AA41" i="45" s="1"/>
  <c r="X15" i="45"/>
  <c r="X28" i="42" s="1"/>
  <c r="AD47" i="45"/>
  <c r="AE47" i="45" s="1"/>
  <c r="AF47" i="45" s="1"/>
  <c r="AG47" i="45" s="1"/>
  <c r="AF43" i="45"/>
  <c r="AG43" i="45" s="1"/>
  <c r="Y82" i="45"/>
  <c r="AF94" i="98"/>
  <c r="AF96" i="98" s="1"/>
  <c r="W114" i="41" l="1"/>
  <c r="W298" i="44"/>
  <c r="X41" i="41"/>
  <c r="Z82" i="45"/>
  <c r="W281" i="44" l="1"/>
  <c r="W289" i="44" s="1"/>
  <c r="W291" i="44" s="1"/>
  <c r="X43" i="41"/>
  <c r="Y37" i="41" s="1"/>
  <c r="AB41" i="45"/>
  <c r="AA82" i="45"/>
  <c r="AC41" i="45" l="1"/>
  <c r="X45" i="41"/>
  <c r="AB82" i="45"/>
  <c r="Y15" i="45"/>
  <c r="AG94" i="98"/>
  <c r="X47" i="41" l="1"/>
  <c r="AC82" i="45"/>
  <c r="AD41" i="45"/>
  <c r="AD82" i="45" s="1"/>
  <c r="Y28" i="42"/>
  <c r="Y41" i="41"/>
  <c r="X49" i="41" l="1"/>
  <c r="AE41" i="45"/>
  <c r="Y43" i="41"/>
  <c r="AE82" i="45" l="1"/>
  <c r="AF41" i="45"/>
  <c r="AG41" i="45" s="1"/>
  <c r="Z37" i="41"/>
  <c r="Y45" i="41"/>
  <c r="AH94" i="98" l="1"/>
  <c r="Y47" i="41"/>
  <c r="AF82" i="45"/>
  <c r="AG82" i="45"/>
  <c r="Z15" i="45"/>
  <c r="Z28" i="42" l="1"/>
  <c r="Z41" i="41"/>
  <c r="Y49" i="41"/>
  <c r="Z43" i="41" l="1"/>
  <c r="AA37" i="41" l="1"/>
  <c r="Z45" i="41"/>
  <c r="AI94" i="98" l="1"/>
  <c r="Z47" i="41"/>
  <c r="AA15" i="45"/>
  <c r="Z49" i="41" l="1"/>
  <c r="AA41" i="41"/>
  <c r="AA28" i="42"/>
  <c r="R47" i="41"/>
  <c r="R49" i="41" s="1"/>
  <c r="U47" i="41"/>
  <c r="U49" i="41" s="1"/>
  <c r="V47" i="41" l="1"/>
  <c r="V49" i="41" s="1"/>
  <c r="Q47" i="41"/>
  <c r="Q49" i="41" s="1"/>
  <c r="P47" i="41"/>
  <c r="P49" i="41" s="1"/>
  <c r="T47" i="41"/>
  <c r="T49" i="41" s="1"/>
  <c r="AA43" i="41"/>
  <c r="S47" i="41"/>
  <c r="S49" i="41" s="1"/>
  <c r="W47" i="41"/>
  <c r="W49" i="41" s="1"/>
  <c r="AB37" i="41" l="1"/>
  <c r="AA45" i="41"/>
  <c r="AJ94" i="98" l="1"/>
  <c r="AB15" i="45"/>
  <c r="AA47" i="41"/>
  <c r="AB28" i="42" l="1"/>
  <c r="AB41" i="41"/>
  <c r="AA49" i="41"/>
  <c r="AB43" i="41" l="1"/>
  <c r="AJ28" i="42"/>
  <c r="AN28" i="42"/>
  <c r="P18" i="57"/>
  <c r="AC37" i="41" l="1"/>
  <c r="AB45" i="41"/>
  <c r="P23" i="41"/>
  <c r="P98" i="41" s="1"/>
  <c r="P107" i="41" s="1"/>
  <c r="P116" i="41" s="1"/>
  <c r="P117" i="41" s="1"/>
  <c r="P18" i="36"/>
  <c r="P118" i="41" l="1"/>
  <c r="P120" i="41" s="1"/>
  <c r="C5" i="98"/>
  <c r="AC15" i="45"/>
  <c r="P33" i="42"/>
  <c r="AB47" i="41"/>
  <c r="AK94" i="98"/>
  <c r="Q18" i="57"/>
  <c r="P279" i="44" l="1"/>
  <c r="P283" i="44" s="1"/>
  <c r="P122" i="41"/>
  <c r="Q23" i="41"/>
  <c r="Q98" i="41" s="1"/>
  <c r="Q107" i="41" s="1"/>
  <c r="Q116" i="41" s="1"/>
  <c r="Q117" i="41" s="1"/>
  <c r="Q18" i="36"/>
  <c r="AB49" i="41"/>
  <c r="AC28" i="42"/>
  <c r="AC41" i="41"/>
  <c r="R18" i="57"/>
  <c r="S18" i="57"/>
  <c r="Q118" i="41" l="1"/>
  <c r="Q120" i="41" s="1"/>
  <c r="P297" i="44"/>
  <c r="P307" i="44"/>
  <c r="P288" i="44"/>
  <c r="P293" i="44" s="1"/>
  <c r="P294" i="44" s="1"/>
  <c r="M65" i="108" s="1"/>
  <c r="S23" i="41"/>
  <c r="S98" i="41" s="1"/>
  <c r="S107" i="41" s="1"/>
  <c r="S116" i="41" s="1"/>
  <c r="S117" i="41" s="1"/>
  <c r="S18" i="36"/>
  <c r="AC43" i="41"/>
  <c r="R23" i="41"/>
  <c r="R98" i="41" s="1"/>
  <c r="R107" i="41" s="1"/>
  <c r="R116" i="41" s="1"/>
  <c r="R117" i="41" s="1"/>
  <c r="R18" i="36"/>
  <c r="Q33" i="42"/>
  <c r="D5" i="98"/>
  <c r="T18" i="57"/>
  <c r="U18" i="57"/>
  <c r="P313" i="44" l="1"/>
  <c r="P314" i="44" s="1"/>
  <c r="M69" i="108" s="1"/>
  <c r="P302" i="44"/>
  <c r="P303" i="44" s="1"/>
  <c r="M66" i="108" s="1"/>
  <c r="Q122" i="41"/>
  <c r="Q279" i="44"/>
  <c r="Q283" i="44" s="1"/>
  <c r="S118" i="41"/>
  <c r="S120" i="41" s="1"/>
  <c r="R118" i="41"/>
  <c r="R120" i="41" s="1"/>
  <c r="U18" i="36"/>
  <c r="U23" i="41"/>
  <c r="U98" i="41" s="1"/>
  <c r="U107" i="41" s="1"/>
  <c r="U116" i="41" s="1"/>
  <c r="AD37" i="41"/>
  <c r="AL94" i="98" s="1"/>
  <c r="AC45" i="41"/>
  <c r="R33" i="42"/>
  <c r="E5" i="98"/>
  <c r="T23" i="41"/>
  <c r="T98" i="41" s="1"/>
  <c r="T107" i="41" s="1"/>
  <c r="T116" i="41" s="1"/>
  <c r="T117" i="41" s="1"/>
  <c r="T18" i="36"/>
  <c r="F5" i="98"/>
  <c r="S33" i="42"/>
  <c r="V18" i="57"/>
  <c r="T118" i="41" l="1"/>
  <c r="T120" i="41" s="1"/>
  <c r="S122" i="41"/>
  <c r="S279" i="44"/>
  <c r="S283" i="44" s="1"/>
  <c r="U117" i="41"/>
  <c r="Q307" i="44"/>
  <c r="Q288" i="44"/>
  <c r="Q293" i="44" s="1"/>
  <c r="Q294" i="44" s="1"/>
  <c r="N65" i="108" s="1"/>
  <c r="Q297" i="44"/>
  <c r="R122" i="41"/>
  <c r="R279" i="44"/>
  <c r="R283" i="44" s="1"/>
  <c r="G5" i="98"/>
  <c r="T33" i="42"/>
  <c r="AC47" i="41"/>
  <c r="AD15" i="45"/>
  <c r="H5" i="98"/>
  <c r="U33" i="42"/>
  <c r="V23" i="41"/>
  <c r="V98" i="41" s="1"/>
  <c r="V107" i="41" s="1"/>
  <c r="V116" i="41" s="1"/>
  <c r="V18" i="36"/>
  <c r="W18" i="57"/>
  <c r="Q302" i="44" l="1"/>
  <c r="Q303" i="44" s="1"/>
  <c r="N66" i="108" s="1"/>
  <c r="Q313" i="44"/>
  <c r="Q314" i="44" s="1"/>
  <c r="N69" i="108" s="1"/>
  <c r="U118" i="41"/>
  <c r="U120" i="41" s="1"/>
  <c r="S297" i="44"/>
  <c r="S307" i="44"/>
  <c r="S288" i="44"/>
  <c r="S293" i="44" s="1"/>
  <c r="S294" i="44" s="1"/>
  <c r="P65" i="108" s="1"/>
  <c r="R307" i="44"/>
  <c r="R297" i="44"/>
  <c r="R288" i="44"/>
  <c r="R293" i="44" s="1"/>
  <c r="R294" i="44" s="1"/>
  <c r="O65" i="108" s="1"/>
  <c r="T122" i="41"/>
  <c r="T279" i="44"/>
  <c r="T283" i="44" s="1"/>
  <c r="V117" i="41"/>
  <c r="V118" i="41" s="1"/>
  <c r="V120" i="41" s="1"/>
  <c r="W23" i="41"/>
  <c r="W18" i="36"/>
  <c r="AD41" i="41"/>
  <c r="AD28" i="42"/>
  <c r="I5" i="98"/>
  <c r="V33" i="42"/>
  <c r="AC49" i="41"/>
  <c r="S313" i="44" l="1"/>
  <c r="S314" i="44" s="1"/>
  <c r="P69" i="108" s="1"/>
  <c r="S302" i="44"/>
  <c r="S303" i="44" s="1"/>
  <c r="P66" i="108" s="1"/>
  <c r="R302" i="44"/>
  <c r="R303" i="44" s="1"/>
  <c r="O66" i="108" s="1"/>
  <c r="R313" i="44"/>
  <c r="R314" i="44" s="1"/>
  <c r="O69" i="108" s="1"/>
  <c r="V122" i="41"/>
  <c r="V279" i="44"/>
  <c r="V283" i="44" s="1"/>
  <c r="C31" i="98"/>
  <c r="W98" i="41"/>
  <c r="W107" i="41" s="1"/>
  <c r="W116" i="41" s="1"/>
  <c r="T288" i="44"/>
  <c r="T293" i="44" s="1"/>
  <c r="T294" i="44" s="1"/>
  <c r="Q65" i="108" s="1"/>
  <c r="T297" i="44"/>
  <c r="T307" i="44"/>
  <c r="U122" i="41"/>
  <c r="U279" i="44"/>
  <c r="U283" i="44" s="1"/>
  <c r="AD43" i="41"/>
  <c r="J5" i="98"/>
  <c r="W33" i="42"/>
  <c r="T302" i="44" l="1"/>
  <c r="T303" i="44" s="1"/>
  <c r="Q66" i="108" s="1"/>
  <c r="T313" i="44"/>
  <c r="T314" i="44" s="1"/>
  <c r="Q69" i="108" s="1"/>
  <c r="W117" i="41"/>
  <c r="V307" i="44"/>
  <c r="V288" i="44"/>
  <c r="V293" i="44" s="1"/>
  <c r="V294" i="44" s="1"/>
  <c r="S65" i="108" s="1"/>
  <c r="V297" i="44"/>
  <c r="U307" i="44"/>
  <c r="U297" i="44"/>
  <c r="U288" i="44"/>
  <c r="U293" i="44" s="1"/>
  <c r="U294" i="44" s="1"/>
  <c r="R65" i="108" s="1"/>
  <c r="F6" i="98"/>
  <c r="C6" i="98"/>
  <c r="AM33" i="42"/>
  <c r="AI33" i="42"/>
  <c r="D6" i="98"/>
  <c r="H6" i="98"/>
  <c r="E6" i="98"/>
  <c r="I6" i="98"/>
  <c r="G6" i="98"/>
  <c r="AE37" i="41"/>
  <c r="AM94" i="98" s="1"/>
  <c r="AD45" i="41"/>
  <c r="J6" i="98"/>
  <c r="V313" i="44" l="1"/>
  <c r="V314" i="44" s="1"/>
  <c r="S69" i="108" s="1"/>
  <c r="U302" i="44"/>
  <c r="U303" i="44" s="1"/>
  <c r="R66" i="108" s="1"/>
  <c r="U313" i="44"/>
  <c r="U314" i="44" s="1"/>
  <c r="R69" i="108" s="1"/>
  <c r="V302" i="44"/>
  <c r="V303" i="44" s="1"/>
  <c r="S66" i="108" s="1"/>
  <c r="W118" i="41"/>
  <c r="W120" i="41" s="1"/>
  <c r="AD47" i="41"/>
  <c r="AE15" i="45"/>
  <c r="W122" i="41" l="1"/>
  <c r="W279" i="44"/>
  <c r="W283" i="44" s="1"/>
  <c r="AE41" i="41"/>
  <c r="AE28" i="42"/>
  <c r="AD49" i="41"/>
  <c r="W307" i="44" l="1"/>
  <c r="W297" i="44"/>
  <c r="W288" i="44"/>
  <c r="W293" i="44" s="1"/>
  <c r="W294" i="44" s="1"/>
  <c r="T65" i="108" s="1"/>
  <c r="AE43" i="41"/>
  <c r="W302" i="44" l="1"/>
  <c r="W303" i="44" s="1"/>
  <c r="T66" i="108" s="1"/>
  <c r="W313" i="44"/>
  <c r="W314" i="44" s="1"/>
  <c r="T69" i="108" s="1"/>
  <c r="AF37" i="41"/>
  <c r="AN94" i="98" s="1"/>
  <c r="AE45" i="41"/>
  <c r="AE47" i="41" l="1"/>
  <c r="AF15" i="45"/>
  <c r="AF41" i="41" l="1"/>
  <c r="AF28" i="42"/>
  <c r="AE49" i="41"/>
  <c r="AF43" i="41" l="1"/>
  <c r="AG37" i="41" l="1"/>
  <c r="AO94" i="98" s="1"/>
  <c r="AF45" i="41"/>
  <c r="AG15" i="45" l="1"/>
  <c r="AF47" i="41"/>
  <c r="AF49" i="41" l="1"/>
  <c r="AG28" i="42"/>
  <c r="AG41" i="41"/>
  <c r="AG43" i="41" l="1"/>
  <c r="AG45" i="41" s="1"/>
  <c r="AK28" i="42"/>
  <c r="AO28" i="42"/>
  <c r="AG47" i="41" l="1"/>
  <c r="AG49" i="41" l="1"/>
  <c r="O281" i="44"/>
  <c r="O289" i="44" s="1"/>
  <c r="O291" i="44" s="1"/>
  <c r="AC30" i="42"/>
  <c r="X30" i="42"/>
  <c r="X17" i="45"/>
  <c r="X17" i="41" s="1"/>
  <c r="AF58" i="41"/>
  <c r="AF75" i="41" s="1"/>
  <c r="AF30" i="42"/>
  <c r="AA58" i="41"/>
  <c r="AA75" i="41" s="1"/>
  <c r="AA30" i="42"/>
  <c r="AE58" i="41"/>
  <c r="AE75" i="41" s="1"/>
  <c r="AE30" i="42"/>
  <c r="AB58" i="41"/>
  <c r="AB75" i="41" s="1"/>
  <c r="AB30" i="42"/>
  <c r="AO29" i="42"/>
  <c r="AC17" i="45"/>
  <c r="AC29" i="45" s="1"/>
  <c r="AK29" i="42"/>
  <c r="AD17" i="45"/>
  <c r="AD17" i="41" s="1"/>
  <c r="AD30" i="42"/>
  <c r="AG30" i="42"/>
  <c r="Z17" i="45"/>
  <c r="Z29" i="45" s="1"/>
  <c r="Z30" i="42"/>
  <c r="Y17" i="45"/>
  <c r="Y30" i="42"/>
  <c r="AN29" i="42"/>
  <c r="X58" i="41"/>
  <c r="X75" i="41" s="1"/>
  <c r="X78" i="41" s="1"/>
  <c r="AJ29" i="42"/>
  <c r="O283" i="44" l="1"/>
  <c r="O307" i="44" s="1"/>
  <c r="O313" i="44" s="1"/>
  <c r="O314" i="44" s="1"/>
  <c r="L69" i="108" s="1"/>
  <c r="X60" i="41"/>
  <c r="X62" i="41" s="1"/>
  <c r="X242" i="44" s="1"/>
  <c r="X244" i="44" s="1"/>
  <c r="X245" i="44" s="1"/>
  <c r="U59" i="108" s="1"/>
  <c r="X29" i="45"/>
  <c r="X30" i="45" s="1"/>
  <c r="X13" i="45" s="1"/>
  <c r="Y71" i="41"/>
  <c r="Y17" i="41"/>
  <c r="Y29" i="45"/>
  <c r="Z17" i="41"/>
  <c r="AB17" i="45"/>
  <c r="Y58" i="41"/>
  <c r="Y75" i="41" s="1"/>
  <c r="Z58" i="41"/>
  <c r="Z75" i="41" s="1"/>
  <c r="AC17" i="41"/>
  <c r="AG17" i="45"/>
  <c r="AG58" i="41"/>
  <c r="AG75" i="41" s="1"/>
  <c r="AK30" i="42"/>
  <c r="AA17" i="45"/>
  <c r="AJ30" i="42"/>
  <c r="AD29" i="45"/>
  <c r="AF17" i="45"/>
  <c r="AD58" i="41"/>
  <c r="AD75" i="41" s="1"/>
  <c r="AC58" i="41"/>
  <c r="AC75" i="41" s="1"/>
  <c r="AO30" i="42"/>
  <c r="AE17" i="45"/>
  <c r="AN30" i="42"/>
  <c r="O297" i="44" l="1"/>
  <c r="O302" i="44" s="1"/>
  <c r="O303" i="44" s="1"/>
  <c r="L66" i="108" s="1"/>
  <c r="O288" i="44"/>
  <c r="O293" i="44" s="1"/>
  <c r="O294" i="44" s="1"/>
  <c r="L65" i="108" s="1"/>
  <c r="Y54" i="41"/>
  <c r="Y60" i="41" s="1"/>
  <c r="Z54" i="41" s="1"/>
  <c r="Y24" i="45"/>
  <c r="Y12" i="45" s="1"/>
  <c r="X79" i="41"/>
  <c r="X80" i="41" s="1"/>
  <c r="U49" i="108" s="1"/>
  <c r="X64" i="41"/>
  <c r="X66" i="41" s="1"/>
  <c r="X103" i="41"/>
  <c r="X104" i="41" s="1"/>
  <c r="X298" i="44" s="1"/>
  <c r="AB17" i="41"/>
  <c r="AB29" i="45"/>
  <c r="Y78" i="41"/>
  <c r="AA29" i="45"/>
  <c r="AA17" i="41"/>
  <c r="Y68" i="98"/>
  <c r="AE17" i="41"/>
  <c r="AE29" i="45"/>
  <c r="AG17" i="41"/>
  <c r="AG29" i="45"/>
  <c r="AF17" i="41"/>
  <c r="AF29" i="45"/>
  <c r="AG95" i="98" l="1"/>
  <c r="AG96" i="98" s="1"/>
  <c r="Y30" i="45"/>
  <c r="Y13" i="45" s="1"/>
  <c r="X16" i="41"/>
  <c r="X114" i="41"/>
  <c r="X281" i="44" s="1"/>
  <c r="X289" i="44" s="1"/>
  <c r="X291" i="44" s="1"/>
  <c r="C15" i="98"/>
  <c r="X81" i="41"/>
  <c r="Z60" i="41"/>
  <c r="AA54" i="41" s="1"/>
  <c r="AH95" i="98"/>
  <c r="AH96" i="98" s="1"/>
  <c r="Y62" i="41"/>
  <c r="Z71" i="41"/>
  <c r="Z78" i="41" s="1"/>
  <c r="Z24" i="45" l="1"/>
  <c r="Z30" i="45" s="1"/>
  <c r="Y79" i="41"/>
  <c r="Y80" i="41" s="1"/>
  <c r="V49" i="108" s="1"/>
  <c r="Z62" i="41"/>
  <c r="Z103" i="41" s="1"/>
  <c r="Z104" i="41" s="1"/>
  <c r="Y103" i="41"/>
  <c r="Y104" i="41" s="1"/>
  <c r="Y64" i="41"/>
  <c r="Y242" i="44"/>
  <c r="AI95" i="98"/>
  <c r="AI96" i="98" s="1"/>
  <c r="AA60" i="41"/>
  <c r="AB54" i="41" s="1"/>
  <c r="AA71" i="41"/>
  <c r="AA78" i="41" s="1"/>
  <c r="Y81" i="41" l="1"/>
  <c r="Z12" i="45"/>
  <c r="Z64" i="41"/>
  <c r="Z16" i="41" s="1"/>
  <c r="Z242" i="44"/>
  <c r="AA62" i="41"/>
  <c r="AA242" i="44" s="1"/>
  <c r="AB71" i="41"/>
  <c r="AB78" i="41" s="1"/>
  <c r="Z79" i="41"/>
  <c r="AA24" i="45"/>
  <c r="Z13" i="45"/>
  <c r="AB60" i="41"/>
  <c r="AC54" i="41" s="1"/>
  <c r="AJ95" i="98"/>
  <c r="AJ96" i="98" s="1"/>
  <c r="Y16" i="41"/>
  <c r="Y66" i="41"/>
  <c r="Y298" i="44"/>
  <c r="Y114" i="41"/>
  <c r="Y281" i="44" s="1"/>
  <c r="Y289" i="44" s="1"/>
  <c r="Y291" i="44" s="1"/>
  <c r="Z114" i="41"/>
  <c r="Z281" i="44" s="1"/>
  <c r="Z289" i="44" s="1"/>
  <c r="Z291" i="44" s="1"/>
  <c r="Z298" i="44"/>
  <c r="AB62" i="41" l="1"/>
  <c r="AB103" i="41" s="1"/>
  <c r="AB104" i="41" s="1"/>
  <c r="AA64" i="41"/>
  <c r="AA16" i="41" s="1"/>
  <c r="AA103" i="41"/>
  <c r="AA104" i="41" s="1"/>
  <c r="AA298" i="44" s="1"/>
  <c r="Z66" i="41"/>
  <c r="Y98" i="41"/>
  <c r="Y107" i="41" s="1"/>
  <c r="AK95" i="98"/>
  <c r="AK96" i="98" s="1"/>
  <c r="AC60" i="41"/>
  <c r="AD54" i="41" s="1"/>
  <c r="AA30" i="45"/>
  <c r="AA12" i="45"/>
  <c r="Z98" i="41"/>
  <c r="Z107" i="41" s="1"/>
  <c r="Z80" i="41"/>
  <c r="W49" i="108" s="1"/>
  <c r="Z81" i="41"/>
  <c r="AC71" i="41"/>
  <c r="AC78" i="41" s="1"/>
  <c r="AB64" i="41" l="1"/>
  <c r="AB66" i="41" s="1"/>
  <c r="AA66" i="41"/>
  <c r="AA114" i="41"/>
  <c r="AA281" i="44" s="1"/>
  <c r="AA289" i="44" s="1"/>
  <c r="AA291" i="44" s="1"/>
  <c r="AB242" i="44"/>
  <c r="AB298" i="44"/>
  <c r="AB114" i="41"/>
  <c r="AB281" i="44" s="1"/>
  <c r="AB289" i="44" s="1"/>
  <c r="AB291" i="44" s="1"/>
  <c r="AD71" i="41"/>
  <c r="AD78" i="41" s="1"/>
  <c r="AB24" i="45"/>
  <c r="AA79" i="41"/>
  <c r="AA13" i="45"/>
  <c r="AA98" i="41"/>
  <c r="AA107" i="41" s="1"/>
  <c r="AD60" i="41"/>
  <c r="AE54" i="41" s="1"/>
  <c r="AL95" i="98"/>
  <c r="AL96" i="98" s="1"/>
  <c r="AC62" i="41"/>
  <c r="AB16" i="41" l="1"/>
  <c r="AB98" i="41" s="1"/>
  <c r="AB107" i="41" s="1"/>
  <c r="AD62" i="41"/>
  <c r="AD242" i="44" s="1"/>
  <c r="AA80" i="41"/>
  <c r="X49" i="108" s="1"/>
  <c r="AA81" i="41"/>
  <c r="AE60" i="41"/>
  <c r="AF54" i="41" s="1"/>
  <c r="AM95" i="98"/>
  <c r="AM96" i="98" s="1"/>
  <c r="AB12" i="45"/>
  <c r="AB30" i="45"/>
  <c r="AE71" i="41"/>
  <c r="AE78" i="41" s="1"/>
  <c r="AC242" i="44"/>
  <c r="AC103" i="41"/>
  <c r="AC104" i="41" s="1"/>
  <c r="AC64" i="41"/>
  <c r="C14" i="98" l="1"/>
  <c r="AD64" i="41"/>
  <c r="AD16" i="41" s="1"/>
  <c r="AD103" i="41"/>
  <c r="AD104" i="41" s="1"/>
  <c r="AD298" i="44" s="1"/>
  <c r="AE62" i="41"/>
  <c r="AE103" i="41" s="1"/>
  <c r="AE104" i="41" s="1"/>
  <c r="AB79" i="41"/>
  <c r="AC24" i="45"/>
  <c r="AB13" i="45"/>
  <c r="AC298" i="44"/>
  <c r="AC114" i="41"/>
  <c r="AC281" i="44" s="1"/>
  <c r="AC289" i="44" s="1"/>
  <c r="AC291" i="44" s="1"/>
  <c r="AF71" i="41"/>
  <c r="AF78" i="41" s="1"/>
  <c r="AC66" i="41"/>
  <c r="AC16" i="41"/>
  <c r="AN95" i="98"/>
  <c r="AN96" i="98" s="1"/>
  <c r="AF60" i="41"/>
  <c r="AG54" i="41" s="1"/>
  <c r="AD66" i="41" l="1"/>
  <c r="AD114" i="41"/>
  <c r="AD281" i="44" s="1"/>
  <c r="AD289" i="44" s="1"/>
  <c r="AD291" i="44" s="1"/>
  <c r="AE64" i="41"/>
  <c r="AE66" i="41" s="1"/>
  <c r="AE242" i="44"/>
  <c r="AC98" i="41"/>
  <c r="AC107" i="41" s="1"/>
  <c r="AC12" i="45"/>
  <c r="AC30" i="45"/>
  <c r="AB80" i="41"/>
  <c r="Y49" i="108" s="1"/>
  <c r="AB81" i="41"/>
  <c r="AE298" i="44"/>
  <c r="AE114" i="41"/>
  <c r="AE281" i="44" s="1"/>
  <c r="AE289" i="44" s="1"/>
  <c r="AE291" i="44" s="1"/>
  <c r="AD98" i="41"/>
  <c r="AD107" i="41" s="1"/>
  <c r="AO95" i="98"/>
  <c r="AO96" i="98" s="1"/>
  <c r="AG60" i="41"/>
  <c r="AG62" i="41" s="1"/>
  <c r="AG71" i="41"/>
  <c r="AG78" i="41" s="1"/>
  <c r="AF62" i="41"/>
  <c r="AE16" i="41" l="1"/>
  <c r="AE98" i="41" s="1"/>
  <c r="AE107" i="41" s="1"/>
  <c r="AF242" i="44"/>
  <c r="AF103" i="41"/>
  <c r="AF104" i="41" s="1"/>
  <c r="AF64" i="41"/>
  <c r="AC13" i="45"/>
  <c r="AD24" i="45"/>
  <c r="AC79" i="41"/>
  <c r="AG103" i="41"/>
  <c r="AG104" i="41" s="1"/>
  <c r="AG64" i="41"/>
  <c r="AG242" i="44"/>
  <c r="AC80" i="41" l="1"/>
  <c r="Z49" i="108" s="1"/>
  <c r="AC81" i="41"/>
  <c r="AF16" i="41"/>
  <c r="AF66" i="41"/>
  <c r="AF114" i="41"/>
  <c r="AF281" i="44" s="1"/>
  <c r="AF289" i="44" s="1"/>
  <c r="AF291" i="44" s="1"/>
  <c r="AF298" i="44"/>
  <c r="AG16" i="41"/>
  <c r="AG66" i="41"/>
  <c r="AD30" i="45"/>
  <c r="AD12" i="45"/>
  <c r="AG298" i="44"/>
  <c r="AG114" i="41"/>
  <c r="AG281" i="44" s="1"/>
  <c r="AG289" i="44" s="1"/>
  <c r="AG291" i="44" s="1"/>
  <c r="AF98" i="41" l="1"/>
  <c r="AF107" i="41" s="1"/>
  <c r="AD13" i="45"/>
  <c r="AE24" i="45"/>
  <c r="AD79" i="41"/>
  <c r="AG98" i="41"/>
  <c r="AG107" i="41" s="1"/>
  <c r="AD80" i="41" l="1"/>
  <c r="AA49" i="108" s="1"/>
  <c r="AD81" i="41"/>
  <c r="AE12" i="45"/>
  <c r="AE30" i="45"/>
  <c r="AE79" i="41" l="1"/>
  <c r="AF24" i="45"/>
  <c r="AE13" i="45"/>
  <c r="AE80" i="41" l="1"/>
  <c r="AB49" i="108" s="1"/>
  <c r="AE81" i="41"/>
  <c r="AF12" i="45"/>
  <c r="AF30" i="45"/>
  <c r="AF79" i="41" l="1"/>
  <c r="AF13" i="45"/>
  <c r="AG24" i="45"/>
  <c r="AF80" i="41" l="1"/>
  <c r="AC49" i="108" s="1"/>
  <c r="AF81" i="41"/>
  <c r="AG30" i="45"/>
  <c r="AG12" i="45"/>
  <c r="AG13" i="45" l="1"/>
  <c r="AG79" i="41"/>
  <c r="AG80" i="41" l="1"/>
  <c r="AD49" i="108" s="1"/>
  <c r="AG81" i="41"/>
  <c r="K145" i="98" l="1"/>
  <c r="K150" i="98" s="1"/>
  <c r="X110" i="86"/>
  <c r="AB111" i="86" s="1"/>
  <c r="K126" i="98" l="1"/>
  <c r="K132" i="98" s="1"/>
  <c r="K138" i="98" s="1"/>
  <c r="X113" i="86"/>
  <c r="K141" i="98" l="1"/>
  <c r="K135" i="98"/>
  <c r="K137" i="98"/>
  <c r="K142" i="98"/>
  <c r="K140" i="98"/>
  <c r="X124" i="86"/>
  <c r="K119" i="98" s="1"/>
  <c r="AB114" i="86"/>
  <c r="K103" i="98"/>
  <c r="K139" i="98"/>
  <c r="K136" i="98"/>
  <c r="K161" i="98"/>
  <c r="L104" i="98" l="1"/>
  <c r="L105" i="98" s="1"/>
  <c r="K113" i="98"/>
  <c r="K122" i="98"/>
  <c r="AB125" i="86"/>
  <c r="X128" i="86"/>
  <c r="X15" i="42"/>
  <c r="K116" i="98"/>
  <c r="X129" i="86"/>
  <c r="U18" i="108" s="1"/>
  <c r="X46" i="12"/>
  <c r="K120" i="98"/>
  <c r="K121" i="98" s="1"/>
  <c r="K160" i="98"/>
  <c r="X47" i="12" l="1"/>
  <c r="X48" i="12"/>
  <c r="U21" i="108" s="1"/>
  <c r="AJ15" i="42"/>
  <c r="AN15" i="42"/>
  <c r="X15" i="41"/>
  <c r="X95" i="44"/>
  <c r="L114" i="98"/>
  <c r="L115" i="98" s="1"/>
  <c r="K162" i="98"/>
  <c r="X102" i="41" l="1"/>
  <c r="X111" i="41" s="1"/>
  <c r="C13" i="98"/>
  <c r="X98" i="41"/>
  <c r="X107" i="41" s="1"/>
  <c r="X116" i="41" s="1"/>
  <c r="X128" i="44"/>
  <c r="X278" i="44"/>
  <c r="X101" i="44"/>
  <c r="X103" i="44" s="1"/>
  <c r="X166" i="44" l="1"/>
  <c r="X172" i="44" s="1"/>
  <c r="X210" i="44"/>
  <c r="X107" i="44"/>
  <c r="X105" i="44"/>
  <c r="Y115" i="41"/>
  <c r="Y116" i="41" s="1"/>
  <c r="X117" i="41"/>
  <c r="X118" i="41" l="1"/>
  <c r="X120" i="41" s="1"/>
  <c r="Y117" i="41"/>
  <c r="Z115" i="41"/>
  <c r="Z116" i="41" s="1"/>
  <c r="X174" i="44"/>
  <c r="Y169" i="44"/>
  <c r="X122" i="41" l="1"/>
  <c r="X279" i="44"/>
  <c r="X283" i="44" s="1"/>
  <c r="X211" i="44"/>
  <c r="X215" i="44" s="1"/>
  <c r="X129" i="44"/>
  <c r="X133" i="44" s="1"/>
  <c r="X109" i="44"/>
  <c r="AA115" i="41"/>
  <c r="AA116" i="41" s="1"/>
  <c r="Z117" i="41"/>
  <c r="Y118" i="41"/>
  <c r="Y120" i="41" s="1"/>
  <c r="X20" i="41" l="1"/>
  <c r="X23" i="41" s="1"/>
  <c r="Y122" i="41"/>
  <c r="Y279" i="44"/>
  <c r="Y283" i="44" s="1"/>
  <c r="Z118" i="41"/>
  <c r="Z120" i="41" s="1"/>
  <c r="AA117" i="41"/>
  <c r="AA118" i="41" s="1"/>
  <c r="AA120" i="41" s="1"/>
  <c r="AB115" i="41"/>
  <c r="AB116" i="41" s="1"/>
  <c r="X141" i="44"/>
  <c r="X143" i="44" s="1"/>
  <c r="X248" i="44"/>
  <c r="X111" i="44"/>
  <c r="X258" i="44"/>
  <c r="X257" i="44"/>
  <c r="X229" i="44"/>
  <c r="X234" i="44" s="1"/>
  <c r="X235" i="44" s="1"/>
  <c r="U56" i="108" s="1"/>
  <c r="X247" i="44"/>
  <c r="X220" i="44"/>
  <c r="X225" i="44" s="1"/>
  <c r="X297" i="44"/>
  <c r="X302" i="44" s="1"/>
  <c r="X303" i="44" s="1"/>
  <c r="U66" i="108" s="1"/>
  <c r="X307" i="44"/>
  <c r="X313" i="44" s="1"/>
  <c r="X314" i="44" s="1"/>
  <c r="U69" i="108" s="1"/>
  <c r="X288" i="44"/>
  <c r="X293" i="44" s="1"/>
  <c r="X294" i="44" s="1"/>
  <c r="U65" i="108" s="1"/>
  <c r="X18" i="57" l="1"/>
  <c r="X18" i="36"/>
  <c r="X33" i="42"/>
  <c r="K5" i="98"/>
  <c r="Y20" i="41"/>
  <c r="Y23" i="41" s="1"/>
  <c r="X263" i="44"/>
  <c r="X264" i="44" s="1"/>
  <c r="U61" i="108" s="1"/>
  <c r="X156" i="44"/>
  <c r="X157" i="44" s="1"/>
  <c r="Y155" i="44" s="1"/>
  <c r="Y187" i="44" s="1"/>
  <c r="AB117" i="41"/>
  <c r="AB118" i="41" s="1"/>
  <c r="AB120" i="41" s="1"/>
  <c r="AC115" i="41"/>
  <c r="AC116" i="41" s="1"/>
  <c r="AA122" i="41"/>
  <c r="AA279" i="44"/>
  <c r="AA283" i="44" s="1"/>
  <c r="Y297" i="44"/>
  <c r="Y302" i="44" s="1"/>
  <c r="Y303" i="44" s="1"/>
  <c r="V66" i="108" s="1"/>
  <c r="Y307" i="44"/>
  <c r="Y313" i="44" s="1"/>
  <c r="Y314" i="44" s="1"/>
  <c r="V69" i="108" s="1"/>
  <c r="Y288" i="44"/>
  <c r="Y293" i="44" s="1"/>
  <c r="Y294" i="44" s="1"/>
  <c r="V65" i="108" s="1"/>
  <c r="Z122" i="41"/>
  <c r="Z279" i="44"/>
  <c r="Z283" i="44" s="1"/>
  <c r="X226" i="44"/>
  <c r="U55" i="108" s="1"/>
  <c r="K95" i="98"/>
  <c r="X253" i="44"/>
  <c r="X254" i="44" s="1"/>
  <c r="U60" i="108" s="1"/>
  <c r="L5" i="98" l="1"/>
  <c r="Y18" i="36"/>
  <c r="Y33" i="42"/>
  <c r="Y18" i="57"/>
  <c r="Z20" i="41"/>
  <c r="Z23" i="41" s="1"/>
  <c r="AA20" i="41"/>
  <c r="AA23" i="41" s="1"/>
  <c r="K99" i="98"/>
  <c r="AA297" i="44"/>
  <c r="AA302" i="44" s="1"/>
  <c r="AA303" i="44" s="1"/>
  <c r="X66" i="108" s="1"/>
  <c r="AA288" i="44"/>
  <c r="AA293" i="44" s="1"/>
  <c r="AA294" i="44" s="1"/>
  <c r="X65" i="108" s="1"/>
  <c r="AA307" i="44"/>
  <c r="AA313" i="44" s="1"/>
  <c r="AA314" i="44" s="1"/>
  <c r="X69" i="108" s="1"/>
  <c r="AB122" i="41"/>
  <c r="AB279" i="44"/>
  <c r="AB283" i="44" s="1"/>
  <c r="Y232" i="44"/>
  <c r="Y251" i="44"/>
  <c r="Y241" i="44"/>
  <c r="Y189" i="44"/>
  <c r="AD115" i="41"/>
  <c r="AD116" i="41" s="1"/>
  <c r="AC117" i="41"/>
  <c r="AC118" i="41" s="1"/>
  <c r="AC120" i="41" s="1"/>
  <c r="Z307" i="44"/>
  <c r="Z313" i="44" s="1"/>
  <c r="Z314" i="44" s="1"/>
  <c r="W69" i="108" s="1"/>
  <c r="Z288" i="44"/>
  <c r="Z293" i="44" s="1"/>
  <c r="Z294" i="44" s="1"/>
  <c r="W65" i="108" s="1"/>
  <c r="Z297" i="44"/>
  <c r="Z302" i="44" s="1"/>
  <c r="Z303" i="44" s="1"/>
  <c r="W66" i="108" s="1"/>
  <c r="X160" i="44"/>
  <c r="X161" i="44" s="1"/>
  <c r="Y159" i="44" s="1"/>
  <c r="Y192" i="44" s="1"/>
  <c r="AA33" i="42" l="1"/>
  <c r="N5" i="98"/>
  <c r="AA18" i="57"/>
  <c r="AA18" i="36"/>
  <c r="M5" i="98"/>
  <c r="Z33" i="42"/>
  <c r="Z18" i="36"/>
  <c r="Z18" i="57"/>
  <c r="AB20" i="41"/>
  <c r="C18" i="98" s="1"/>
  <c r="C19" i="98" s="1"/>
  <c r="AC279" i="44"/>
  <c r="AC283" i="44" s="1"/>
  <c r="AC122" i="41"/>
  <c r="AC20" i="41" s="1"/>
  <c r="AC23" i="41" s="1"/>
  <c r="Y230" i="44"/>
  <c r="Y195" i="44"/>
  <c r="Y249" i="44"/>
  <c r="Y240" i="44"/>
  <c r="Y244" i="44" s="1"/>
  <c r="Y245" i="44" s="1"/>
  <c r="V59" i="108" s="1"/>
  <c r="AE115" i="41"/>
  <c r="AE116" i="41" s="1"/>
  <c r="AD117" i="41"/>
  <c r="AD118" i="41" s="1"/>
  <c r="AD120" i="41" s="1"/>
  <c r="Y130" i="44"/>
  <c r="Y212" i="44"/>
  <c r="Y222" i="44" s="1"/>
  <c r="Y88" i="44"/>
  <c r="AB288" i="44"/>
  <c r="AB293" i="44" s="1"/>
  <c r="AB294" i="44" s="1"/>
  <c r="Y65" i="108" s="1"/>
  <c r="AB307" i="44"/>
  <c r="AB313" i="44" s="1"/>
  <c r="AB314" i="44" s="1"/>
  <c r="Y69" i="108" s="1"/>
  <c r="AB297" i="44"/>
  <c r="AB302" i="44" s="1"/>
  <c r="AB303" i="44" s="1"/>
  <c r="Y66" i="108" s="1"/>
  <c r="AB23" i="41" l="1"/>
  <c r="AB18" i="36" s="1"/>
  <c r="AA31" i="36" s="1"/>
  <c r="AA32" i="36" s="1"/>
  <c r="AC18" i="36"/>
  <c r="AC18" i="57"/>
  <c r="AC33" i="42"/>
  <c r="P5" i="98"/>
  <c r="AC297" i="44"/>
  <c r="AC302" i="44" s="1"/>
  <c r="AC303" i="44" s="1"/>
  <c r="Z66" i="108" s="1"/>
  <c r="AC307" i="44"/>
  <c r="AC313" i="44" s="1"/>
  <c r="AC314" i="44" s="1"/>
  <c r="Z69" i="108" s="1"/>
  <c r="AC288" i="44"/>
  <c r="AC293" i="44" s="1"/>
  <c r="AC294" i="44" s="1"/>
  <c r="Z65" i="108" s="1"/>
  <c r="AF115" i="41"/>
  <c r="AF116" i="41" s="1"/>
  <c r="AE117" i="41"/>
  <c r="Y167" i="44"/>
  <c r="Y213" i="44"/>
  <c r="Y221" i="44" s="1"/>
  <c r="Y223" i="44" s="1"/>
  <c r="Y131" i="44"/>
  <c r="Y98" i="44"/>
  <c r="Y101" i="44" s="1"/>
  <c r="Y92" i="44"/>
  <c r="Y165" i="44"/>
  <c r="AD122" i="41"/>
  <c r="AD20" i="41" s="1"/>
  <c r="AD23" i="41" s="1"/>
  <c r="AD279" i="44"/>
  <c r="AD283" i="44" s="1"/>
  <c r="AB18" i="57" l="1"/>
  <c r="AA31" i="57" s="1"/>
  <c r="AA32" i="57" s="1"/>
  <c r="O5" i="98"/>
  <c r="O7" i="98" s="1"/>
  <c r="C32" i="98"/>
  <c r="AB33" i="42"/>
  <c r="AJ33" i="42" s="1"/>
  <c r="Y34" i="36"/>
  <c r="U35" i="108" s="1"/>
  <c r="Y103" i="44"/>
  <c r="Y107" i="44" s="1"/>
  <c r="AG115" i="41"/>
  <c r="AG116" i="41" s="1"/>
  <c r="AG117" i="41" s="1"/>
  <c r="AF117" i="41"/>
  <c r="AF118" i="41" s="1"/>
  <c r="AF120" i="41" s="1"/>
  <c r="AD33" i="42"/>
  <c r="AD18" i="57"/>
  <c r="Q5" i="98"/>
  <c r="AD18" i="36"/>
  <c r="AE118" i="41"/>
  <c r="AE120" i="41" s="1"/>
  <c r="AD288" i="44"/>
  <c r="AD293" i="44" s="1"/>
  <c r="AD294" i="44" s="1"/>
  <c r="AA65" i="108" s="1"/>
  <c r="AD297" i="44"/>
  <c r="AD302" i="44" s="1"/>
  <c r="AD303" i="44" s="1"/>
  <c r="AA66" i="108" s="1"/>
  <c r="AD307" i="44"/>
  <c r="AD313" i="44" s="1"/>
  <c r="AD314" i="44" s="1"/>
  <c r="AA69" i="108" s="1"/>
  <c r="Y172" i="44"/>
  <c r="K7" i="98" l="1"/>
  <c r="N7" i="98"/>
  <c r="L7" i="98"/>
  <c r="Y34" i="57"/>
  <c r="AN33" i="42"/>
  <c r="M7" i="98"/>
  <c r="T35" i="108"/>
  <c r="Y105" i="44"/>
  <c r="Y174" i="44"/>
  <c r="Y109" i="44" s="1"/>
  <c r="Z169" i="44"/>
  <c r="AE122" i="41"/>
  <c r="AE20" i="41" s="1"/>
  <c r="AE23" i="41" s="1"/>
  <c r="AE279" i="44"/>
  <c r="AE283" i="44" s="1"/>
  <c r="AF279" i="44"/>
  <c r="AF283" i="44" s="1"/>
  <c r="AF122" i="41"/>
  <c r="AF20" i="41" s="1"/>
  <c r="AF23" i="41" s="1"/>
  <c r="AG118" i="41"/>
  <c r="AG120" i="41" s="1"/>
  <c r="AG122" i="41" l="1"/>
  <c r="AG20" i="41" s="1"/>
  <c r="AG23" i="41" s="1"/>
  <c r="AG279" i="44"/>
  <c r="AG283" i="44" s="1"/>
  <c r="AF18" i="36"/>
  <c r="AF18" i="57"/>
  <c r="AF33" i="42"/>
  <c r="S5" i="98"/>
  <c r="AF307" i="44"/>
  <c r="AF313" i="44" s="1"/>
  <c r="AF314" i="44" s="1"/>
  <c r="AC69" i="108" s="1"/>
  <c r="AF288" i="44"/>
  <c r="AF293" i="44" s="1"/>
  <c r="AF294" i="44" s="1"/>
  <c r="AC65" i="108" s="1"/>
  <c r="AF297" i="44"/>
  <c r="AF302" i="44" s="1"/>
  <c r="AF303" i="44" s="1"/>
  <c r="AC66" i="108" s="1"/>
  <c r="Y258" i="44"/>
  <c r="Y141" i="44"/>
  <c r="Y248" i="44"/>
  <c r="Y111" i="44"/>
  <c r="AE297" i="44"/>
  <c r="AE302" i="44" s="1"/>
  <c r="AE303" i="44" s="1"/>
  <c r="AB66" i="108" s="1"/>
  <c r="AE307" i="44"/>
  <c r="AE313" i="44" s="1"/>
  <c r="AE314" i="44" s="1"/>
  <c r="AB69" i="108" s="1"/>
  <c r="AE288" i="44"/>
  <c r="AE293" i="44" s="1"/>
  <c r="AE294" i="44" s="1"/>
  <c r="AB65" i="108" s="1"/>
  <c r="AE18" i="36"/>
  <c r="R5" i="98"/>
  <c r="AE33" i="42"/>
  <c r="AE18" i="57"/>
  <c r="Y211" i="44"/>
  <c r="Y215" i="44" s="1"/>
  <c r="Y129" i="44"/>
  <c r="Y133" i="44" s="1"/>
  <c r="Y247" i="44" l="1"/>
  <c r="Y253" i="44" s="1"/>
  <c r="Y254" i="44" s="1"/>
  <c r="V60" i="108" s="1"/>
  <c r="Y229" i="44"/>
  <c r="Y234" i="44" s="1"/>
  <c r="Y235" i="44" s="1"/>
  <c r="V56" i="108" s="1"/>
  <c r="Y220" i="44"/>
  <c r="Y225" i="44" s="1"/>
  <c r="Y257" i="44"/>
  <c r="Y263" i="44" s="1"/>
  <c r="Y143" i="44"/>
  <c r="AG297" i="44"/>
  <c r="AG302" i="44" s="1"/>
  <c r="AG303" i="44" s="1"/>
  <c r="AD66" i="108" s="1"/>
  <c r="AG307" i="44"/>
  <c r="AG313" i="44" s="1"/>
  <c r="AG314" i="44" s="1"/>
  <c r="AD69" i="108" s="1"/>
  <c r="AG288" i="44"/>
  <c r="AG293" i="44" s="1"/>
  <c r="AG294" i="44" s="1"/>
  <c r="AD65" i="108" s="1"/>
  <c r="AG18" i="36"/>
  <c r="AF31" i="36" s="1"/>
  <c r="AG33" i="42"/>
  <c r="AO33" i="42" s="1"/>
  <c r="T5" i="98"/>
  <c r="Q8" i="98" s="1"/>
  <c r="AG18" i="57"/>
  <c r="AF31" i="57" s="1"/>
  <c r="R8" i="98" l="1"/>
  <c r="P8" i="98"/>
  <c r="S8" i="98"/>
  <c r="T8" i="98"/>
  <c r="AK33" i="42"/>
  <c r="AF32" i="36"/>
  <c r="AD34" i="36"/>
  <c r="AF32" i="57"/>
  <c r="AD34" i="57"/>
  <c r="Y156" i="44"/>
  <c r="Y157" i="44" s="1"/>
  <c r="Z155" i="44" s="1"/>
  <c r="Z187" i="44" s="1"/>
  <c r="Y264" i="44"/>
  <c r="V61" i="108" s="1"/>
  <c r="L99" i="98"/>
  <c r="Y226" i="44"/>
  <c r="V55" i="108" s="1"/>
  <c r="L95" i="98"/>
  <c r="Y160" i="44" l="1"/>
  <c r="Y161" i="44" s="1"/>
  <c r="Z159" i="44" s="1"/>
  <c r="Z192" i="44" s="1"/>
  <c r="Z249" i="44" s="1"/>
  <c r="Z241" i="44"/>
  <c r="Z189" i="44"/>
  <c r="Z232" i="44"/>
  <c r="Z251" i="44"/>
  <c r="U37" i="108"/>
  <c r="T37" i="108"/>
  <c r="Z230" i="44" l="1"/>
  <c r="Z240" i="44"/>
  <c r="Z244" i="44" s="1"/>
  <c r="Z245" i="44" s="1"/>
  <c r="W59" i="108" s="1"/>
  <c r="Z195" i="44"/>
  <c r="I9" i="108"/>
  <c r="Z130" i="44"/>
  <c r="Z88" i="44"/>
  <c r="Z212" i="44"/>
  <c r="Z222" i="44" s="1"/>
  <c r="Z98" i="44" l="1"/>
  <c r="Z101" i="44" s="1"/>
  <c r="Z213" i="44"/>
  <c r="Z221" i="44" s="1"/>
  <c r="Z223" i="44" s="1"/>
  <c r="Z167" i="44"/>
  <c r="Z131" i="44"/>
  <c r="Z92" i="44"/>
  <c r="Z165" i="44"/>
  <c r="Z172" i="44" l="1"/>
  <c r="AA169" i="44" s="1"/>
  <c r="Z103" i="44"/>
  <c r="Z107" i="44" s="1"/>
  <c r="Z105" i="44" l="1"/>
  <c r="Z174" i="44"/>
  <c r="Z109" i="44" s="1"/>
  <c r="Z111" i="44" l="1"/>
  <c r="Z211" i="44"/>
  <c r="Z215" i="44" s="1"/>
  <c r="Z247" i="44" s="1"/>
  <c r="Z129" i="44"/>
  <c r="Z133" i="44" s="1"/>
  <c r="Z141" i="44"/>
  <c r="Z258" i="44"/>
  <c r="Z248" i="44"/>
  <c r="Z257" i="44" l="1"/>
  <c r="Z263" i="44" s="1"/>
  <c r="M99" i="98" s="1"/>
  <c r="Z229" i="44"/>
  <c r="Z234" i="44" s="1"/>
  <c r="Z235" i="44" s="1"/>
  <c r="W56" i="108" s="1"/>
  <c r="Z220" i="44"/>
  <c r="Z225" i="44" s="1"/>
  <c r="Z226" i="44" s="1"/>
  <c r="W55" i="108" s="1"/>
  <c r="Z143" i="44"/>
  <c r="Z156" i="44" s="1"/>
  <c r="Z157" i="44" s="1"/>
  <c r="AA155" i="44" s="1"/>
  <c r="AA187" i="44" s="1"/>
  <c r="Z253" i="44"/>
  <c r="Z254" i="44" s="1"/>
  <c r="W60" i="108" s="1"/>
  <c r="M95" i="98" l="1"/>
  <c r="Z264" i="44"/>
  <c r="W61" i="108" s="1"/>
  <c r="Z160" i="44"/>
  <c r="Z161" i="44" s="1"/>
  <c r="AA159" i="44" s="1"/>
  <c r="AA192" i="44" s="1"/>
  <c r="AA232" i="44"/>
  <c r="AA241" i="44"/>
  <c r="AA189" i="44"/>
  <c r="AA251" i="44"/>
  <c r="AA249" i="44" l="1"/>
  <c r="AA240" i="44"/>
  <c r="AA244" i="44" s="1"/>
  <c r="AA245" i="44" s="1"/>
  <c r="X59" i="108" s="1"/>
  <c r="AA195" i="44"/>
  <c r="AA230" i="44"/>
  <c r="AA212" i="44"/>
  <c r="AA222" i="44" s="1"/>
  <c r="AA130" i="44"/>
  <c r="AA88" i="44"/>
  <c r="AA131" i="44" l="1"/>
  <c r="AA98" i="44"/>
  <c r="AA101" i="44" s="1"/>
  <c r="AA167" i="44"/>
  <c r="AA213" i="44"/>
  <c r="AA221" i="44" s="1"/>
  <c r="AA223" i="44" s="1"/>
  <c r="AA165" i="44"/>
  <c r="AA92" i="44"/>
  <c r="AA172" i="44" l="1"/>
  <c r="AB169" i="44" s="1"/>
  <c r="AA103" i="44"/>
  <c r="AA107" i="44" s="1"/>
  <c r="AA174" i="44" l="1"/>
  <c r="AA211" i="44" s="1"/>
  <c r="AA215" i="44" s="1"/>
  <c r="AA105" i="44"/>
  <c r="AA109" i="44" l="1"/>
  <c r="AA111" i="44" s="1"/>
  <c r="AA129" i="44"/>
  <c r="AA133" i="44" s="1"/>
  <c r="AA229" i="44"/>
  <c r="AA234" i="44" s="1"/>
  <c r="AA235" i="44" s="1"/>
  <c r="X56" i="108" s="1"/>
  <c r="AA257" i="44"/>
  <c r="AA220" i="44"/>
  <c r="AA225" i="44" s="1"/>
  <c r="AA247" i="44"/>
  <c r="AA248" i="44" l="1"/>
  <c r="AA253" i="44" s="1"/>
  <c r="AA254" i="44" s="1"/>
  <c r="X60" i="108" s="1"/>
  <c r="AA258" i="44"/>
  <c r="AA263" i="44" s="1"/>
  <c r="AA264" i="44" s="1"/>
  <c r="X61" i="108" s="1"/>
  <c r="AA141" i="44"/>
  <c r="AA143" i="44" s="1"/>
  <c r="AA156" i="44" s="1"/>
  <c r="AA157" i="44" s="1"/>
  <c r="AB155" i="44" s="1"/>
  <c r="AB187" i="44" s="1"/>
  <c r="N95" i="98"/>
  <c r="AA226" i="44"/>
  <c r="X55" i="108" s="1"/>
  <c r="N99" i="98" l="1"/>
  <c r="AA160" i="44"/>
  <c r="AA161" i="44" s="1"/>
  <c r="AB159" i="44" s="1"/>
  <c r="AB192" i="44" s="1"/>
  <c r="AB240" i="44" s="1"/>
  <c r="AB189" i="44"/>
  <c r="AB251" i="44"/>
  <c r="AB241" i="44"/>
  <c r="AB232" i="44"/>
  <c r="AB244" i="44" l="1"/>
  <c r="AB245" i="44" s="1"/>
  <c r="Y59" i="108" s="1"/>
  <c r="AB195" i="44"/>
  <c r="AB167" i="44" s="1"/>
  <c r="AB230" i="44"/>
  <c r="AB249" i="44"/>
  <c r="AB88" i="44"/>
  <c r="AB130" i="44"/>
  <c r="AB212" i="44"/>
  <c r="AB222" i="44" s="1"/>
  <c r="AB213" i="44" l="1"/>
  <c r="AB221" i="44" s="1"/>
  <c r="AB223" i="44" s="1"/>
  <c r="AB98" i="44"/>
  <c r="AB101" i="44" s="1"/>
  <c r="AB131" i="44"/>
  <c r="AB92" i="44"/>
  <c r="AB165" i="44"/>
  <c r="AB172" i="44" s="1"/>
  <c r="AB103" i="44" l="1"/>
  <c r="AB105" i="44" s="1"/>
  <c r="AC169" i="44"/>
  <c r="AB174" i="44"/>
  <c r="AB107" i="44" l="1"/>
  <c r="AB109" i="44" s="1"/>
  <c r="AB211" i="44"/>
  <c r="AB215" i="44" s="1"/>
  <c r="AB129" i="44"/>
  <c r="AB133" i="44" s="1"/>
  <c r="AB248" i="44" l="1"/>
  <c r="AB111" i="44"/>
  <c r="AB258" i="44"/>
  <c r="AB141" i="44"/>
  <c r="AB143" i="44" s="1"/>
  <c r="AB247" i="44"/>
  <c r="AB257" i="44"/>
  <c r="AB220" i="44"/>
  <c r="AB225" i="44" s="1"/>
  <c r="AB229" i="44"/>
  <c r="AB234" i="44" s="1"/>
  <c r="AB235" i="44" s="1"/>
  <c r="Y56" i="108" s="1"/>
  <c r="AB263" i="44" l="1"/>
  <c r="O99" i="98" s="1"/>
  <c r="AB253" i="44"/>
  <c r="AB254" i="44" s="1"/>
  <c r="Y60" i="108" s="1"/>
  <c r="AB226" i="44"/>
  <c r="Y55" i="108" s="1"/>
  <c r="O95" i="98"/>
  <c r="AB156" i="44"/>
  <c r="AB157" i="44" s="1"/>
  <c r="AC155" i="44" s="1"/>
  <c r="AC187" i="44" s="1"/>
  <c r="AB264" i="44" l="1"/>
  <c r="Y61" i="108" s="1"/>
  <c r="AB160" i="44"/>
  <c r="AB161" i="44" s="1"/>
  <c r="AC159" i="44" s="1"/>
  <c r="AC192" i="44" s="1"/>
  <c r="AC232" i="44"/>
  <c r="AC251" i="44"/>
  <c r="AC241" i="44"/>
  <c r="AC189" i="44"/>
  <c r="AC195" i="44" l="1"/>
  <c r="AC249" i="44"/>
  <c r="AC240" i="44"/>
  <c r="AC244" i="44" s="1"/>
  <c r="AC245" i="44" s="1"/>
  <c r="Z59" i="108" s="1"/>
  <c r="AC230" i="44"/>
  <c r="AC88" i="44"/>
  <c r="AC212" i="44"/>
  <c r="AC222" i="44" s="1"/>
  <c r="AC130" i="44"/>
  <c r="AC98" i="44" l="1"/>
  <c r="AC101" i="44" s="1"/>
  <c r="AC167" i="44"/>
  <c r="AC213" i="44"/>
  <c r="AC221" i="44" s="1"/>
  <c r="AC223" i="44" s="1"/>
  <c r="AC131" i="44"/>
  <c r="AC165" i="44"/>
  <c r="AC92" i="44"/>
  <c r="AC172" i="44" l="1"/>
  <c r="AD169" i="44" s="1"/>
  <c r="AC103" i="44"/>
  <c r="AC107" i="44" s="1"/>
  <c r="AC174" i="44" l="1"/>
  <c r="AC129" i="44" s="1"/>
  <c r="AC133" i="44" s="1"/>
  <c r="AC105" i="44"/>
  <c r="AC109" i="44" l="1"/>
  <c r="AC141" i="44" s="1"/>
  <c r="AC143" i="44" s="1"/>
  <c r="AC156" i="44" s="1"/>
  <c r="AC157" i="44" s="1"/>
  <c r="AD155" i="44" s="1"/>
  <c r="AD187" i="44" s="1"/>
  <c r="AC211" i="44"/>
  <c r="AC215" i="44" s="1"/>
  <c r="AC220" i="44" s="1"/>
  <c r="AC225" i="44" s="1"/>
  <c r="AC247" i="44" l="1"/>
  <c r="AC257" i="44"/>
  <c r="AC229" i="44"/>
  <c r="AC234" i="44" s="1"/>
  <c r="AC235" i="44" s="1"/>
  <c r="Z56" i="108" s="1"/>
  <c r="AC248" i="44"/>
  <c r="AC258" i="44"/>
  <c r="AC111" i="44"/>
  <c r="AC160" i="44"/>
  <c r="AC161" i="44" s="1"/>
  <c r="AD159" i="44" s="1"/>
  <c r="AD192" i="44" s="1"/>
  <c r="P95" i="98"/>
  <c r="AC226" i="44"/>
  <c r="Z55" i="108" s="1"/>
  <c r="AD232" i="44"/>
  <c r="AD189" i="44"/>
  <c r="AD251" i="44"/>
  <c r="AD241" i="44"/>
  <c r="AC263" i="44" l="1"/>
  <c r="P99" i="98" s="1"/>
  <c r="AC253" i="44"/>
  <c r="AC254" i="44" s="1"/>
  <c r="Z60" i="108" s="1"/>
  <c r="AD212" i="44"/>
  <c r="AD222" i="44" s="1"/>
  <c r="AD130" i="44"/>
  <c r="AD88" i="44"/>
  <c r="AD240" i="44"/>
  <c r="AD244" i="44" s="1"/>
  <c r="AD245" i="44" s="1"/>
  <c r="AA59" i="108" s="1"/>
  <c r="AD195" i="44"/>
  <c r="AD230" i="44"/>
  <c r="AD249" i="44"/>
  <c r="AC264" i="44" l="1"/>
  <c r="Z61" i="108" s="1"/>
  <c r="AD98" i="44"/>
  <c r="AD101" i="44" s="1"/>
  <c r="AD167" i="44"/>
  <c r="AD213" i="44"/>
  <c r="AD221" i="44" s="1"/>
  <c r="AD223" i="44" s="1"/>
  <c r="AD131" i="44"/>
  <c r="AD92" i="44"/>
  <c r="AD165" i="44"/>
  <c r="AD172" i="44" l="1"/>
  <c r="AD174" i="44" s="1"/>
  <c r="AD103" i="44"/>
  <c r="AD105" i="44" s="1"/>
  <c r="AD107" i="44" l="1"/>
  <c r="AD109" i="44" s="1"/>
  <c r="AD111" i="44" s="1"/>
  <c r="AE169" i="44"/>
  <c r="AD211" i="44"/>
  <c r="AD215" i="44" s="1"/>
  <c r="AD129" i="44"/>
  <c r="AD133" i="44" s="1"/>
  <c r="AD258" i="44" l="1"/>
  <c r="AD248" i="44"/>
  <c r="AD141" i="44"/>
  <c r="AD143" i="44" s="1"/>
  <c r="AD156" i="44" s="1"/>
  <c r="AD157" i="44" s="1"/>
  <c r="AE155" i="44" s="1"/>
  <c r="AD220" i="44"/>
  <c r="AD225" i="44" s="1"/>
  <c r="AD229" i="44"/>
  <c r="AD234" i="44" s="1"/>
  <c r="AD235" i="44" s="1"/>
  <c r="AA56" i="108" s="1"/>
  <c r="AD247" i="44"/>
  <c r="AD257" i="44"/>
  <c r="AD253" i="44" l="1"/>
  <c r="AD254" i="44" s="1"/>
  <c r="AA60" i="108" s="1"/>
  <c r="AD263" i="44"/>
  <c r="AD264" i="44" s="1"/>
  <c r="AA61" i="108" s="1"/>
  <c r="Q95" i="98"/>
  <c r="AD226" i="44"/>
  <c r="AA55" i="108" s="1"/>
  <c r="AE187" i="44"/>
  <c r="AD160" i="44"/>
  <c r="AD161" i="44" s="1"/>
  <c r="AE159" i="44" s="1"/>
  <c r="Q99" i="98" l="1"/>
  <c r="AE189" i="44"/>
  <c r="AE241" i="44"/>
  <c r="AE232" i="44"/>
  <c r="AE251" i="44"/>
  <c r="AE192" i="44"/>
  <c r="AE230" i="44" l="1"/>
  <c r="AE195" i="44"/>
  <c r="AE249" i="44"/>
  <c r="AE240" i="44"/>
  <c r="AE244" i="44" s="1"/>
  <c r="AE245" i="44" s="1"/>
  <c r="AB59" i="108" s="1"/>
  <c r="AE130" i="44"/>
  <c r="AE212" i="44"/>
  <c r="AE222" i="44" s="1"/>
  <c r="AE88" i="44"/>
  <c r="AE92" i="44" l="1"/>
  <c r="AE165" i="44"/>
  <c r="AE167" i="44"/>
  <c r="AE98" i="44"/>
  <c r="AE101" i="44" s="1"/>
  <c r="AE213" i="44"/>
  <c r="AE221" i="44" s="1"/>
  <c r="AE223" i="44" s="1"/>
  <c r="AE131" i="44"/>
  <c r="AE172" i="44" l="1"/>
  <c r="AE103" i="44"/>
  <c r="AE107" i="44" l="1"/>
  <c r="AE105" i="44"/>
  <c r="AF169" i="44"/>
  <c r="AE174" i="44"/>
  <c r="AE129" i="44" l="1"/>
  <c r="AE133" i="44" s="1"/>
  <c r="AE211" i="44"/>
  <c r="AE215" i="44" s="1"/>
  <c r="AE109" i="44"/>
  <c r="AE141" i="44" l="1"/>
  <c r="AE143" i="44" s="1"/>
  <c r="AE258" i="44"/>
  <c r="AE248" i="44"/>
  <c r="AE220" i="44"/>
  <c r="AE225" i="44" s="1"/>
  <c r="AE257" i="44"/>
  <c r="AE229" i="44"/>
  <c r="AE234" i="44" s="1"/>
  <c r="AE235" i="44" s="1"/>
  <c r="AB56" i="108" s="1"/>
  <c r="AE247" i="44"/>
  <c r="AE111" i="44"/>
  <c r="AE253" i="44" l="1"/>
  <c r="AE254" i="44" s="1"/>
  <c r="AB60" i="108" s="1"/>
  <c r="AE263" i="44"/>
  <c r="AE264" i="44" s="1"/>
  <c r="AB61" i="108" s="1"/>
  <c r="AE156" i="44"/>
  <c r="AE157" i="44" s="1"/>
  <c r="AF155" i="44" s="1"/>
  <c r="AE226" i="44"/>
  <c r="AB55" i="108" s="1"/>
  <c r="R95" i="98"/>
  <c r="R99" i="98" l="1"/>
  <c r="AF187" i="44"/>
  <c r="AE160" i="44"/>
  <c r="AE161" i="44" s="1"/>
  <c r="AF159" i="44" s="1"/>
  <c r="AF192" i="44" l="1"/>
  <c r="AF251" i="44"/>
  <c r="AF189" i="44"/>
  <c r="AF241" i="44"/>
  <c r="AF232" i="44"/>
  <c r="AF212" i="44" l="1"/>
  <c r="AF222" i="44" s="1"/>
  <c r="AF130" i="44"/>
  <c r="AF88" i="44"/>
  <c r="AF230" i="44"/>
  <c r="AF249" i="44"/>
  <c r="AF195" i="44"/>
  <c r="AF240" i="44"/>
  <c r="AF244" i="44" s="1"/>
  <c r="AF245" i="44" s="1"/>
  <c r="AC59" i="108" s="1"/>
  <c r="AF213" i="44" l="1"/>
  <c r="AF221" i="44" s="1"/>
  <c r="AF223" i="44" s="1"/>
  <c r="AF167" i="44"/>
  <c r="AF131" i="44"/>
  <c r="AF98" i="44"/>
  <c r="AF101" i="44" s="1"/>
  <c r="AF165" i="44"/>
  <c r="AF92" i="44"/>
  <c r="AF103" i="44" l="1"/>
  <c r="AF107" i="44" s="1"/>
  <c r="AF172" i="44"/>
  <c r="AG169" i="44" s="1"/>
  <c r="AF105" i="44" l="1"/>
  <c r="AF174" i="44"/>
  <c r="AF129" i="44" s="1"/>
  <c r="AF133" i="44" s="1"/>
  <c r="AF109" i="44" l="1"/>
  <c r="AF258" i="44" s="1"/>
  <c r="AF211" i="44"/>
  <c r="AF215" i="44" s="1"/>
  <c r="AF257" i="44" s="1"/>
  <c r="AF263" i="44" l="1"/>
  <c r="AF264" i="44" s="1"/>
  <c r="AC61" i="108" s="1"/>
  <c r="AF248" i="44"/>
  <c r="AF220" i="44"/>
  <c r="AF225" i="44" s="1"/>
  <c r="AF226" i="44" s="1"/>
  <c r="AC55" i="108" s="1"/>
  <c r="AF229" i="44"/>
  <c r="AF234" i="44" s="1"/>
  <c r="AF235" i="44" s="1"/>
  <c r="AC56" i="108" s="1"/>
  <c r="AF247" i="44"/>
  <c r="AF111" i="44"/>
  <c r="AF141" i="44"/>
  <c r="AF143" i="44" s="1"/>
  <c r="AF156" i="44" s="1"/>
  <c r="AF157" i="44" s="1"/>
  <c r="AG155" i="44" s="1"/>
  <c r="S99" i="98" l="1"/>
  <c r="AF253" i="44"/>
  <c r="AF254" i="44" s="1"/>
  <c r="AC60" i="108" s="1"/>
  <c r="S95" i="98"/>
  <c r="AG187" i="44"/>
  <c r="AF160" i="44"/>
  <c r="AF161" i="44" s="1"/>
  <c r="AG159" i="44" s="1"/>
  <c r="AG192" i="44" l="1"/>
  <c r="AG251" i="44"/>
  <c r="AG189" i="44"/>
  <c r="AG241" i="44"/>
  <c r="AG232" i="44"/>
  <c r="AG212" i="44" l="1"/>
  <c r="AG222" i="44" s="1"/>
  <c r="AG130" i="44"/>
  <c r="AG88" i="44"/>
  <c r="AG249" i="44"/>
  <c r="AG195" i="44"/>
  <c r="AG240" i="44"/>
  <c r="AG244" i="44" s="1"/>
  <c r="AG245" i="44" s="1"/>
  <c r="AD59" i="108" s="1"/>
  <c r="AG230" i="44"/>
  <c r="AG131" i="44" l="1"/>
  <c r="AG98" i="44"/>
  <c r="AG101" i="44" s="1"/>
  <c r="AG213" i="44"/>
  <c r="AG221" i="44" s="1"/>
  <c r="AG223" i="44" s="1"/>
  <c r="AG167" i="44"/>
  <c r="AG165" i="44"/>
  <c r="AG92" i="44"/>
  <c r="AG103" i="44" l="1"/>
  <c r="AG105" i="44" s="1"/>
  <c r="AG172" i="44"/>
  <c r="AG174" i="44" s="1"/>
  <c r="AG211" i="44" s="1"/>
  <c r="AG215" i="44" s="1"/>
  <c r="AG107" i="44" l="1"/>
  <c r="AG109" i="44" s="1"/>
  <c r="AG129" i="44"/>
  <c r="AG133" i="44" s="1"/>
  <c r="AG229" i="44"/>
  <c r="AG234" i="44" s="1"/>
  <c r="AG235" i="44" s="1"/>
  <c r="AD56" i="108" s="1"/>
  <c r="AG257" i="44"/>
  <c r="AG220" i="44"/>
  <c r="AG225" i="44" s="1"/>
  <c r="AG247" i="44"/>
  <c r="AG111" i="44" l="1"/>
  <c r="AG248" i="44"/>
  <c r="AG253" i="44" s="1"/>
  <c r="AG254" i="44" s="1"/>
  <c r="AD60" i="108" s="1"/>
  <c r="AG141" i="44"/>
  <c r="AG143" i="44" s="1"/>
  <c r="AG156" i="44" s="1"/>
  <c r="AG157" i="44" s="1"/>
  <c r="AG258" i="44"/>
  <c r="AG263" i="44" s="1"/>
  <c r="T95" i="98"/>
  <c r="AG226" i="44"/>
  <c r="AD55" i="108" s="1"/>
  <c r="T99" i="98" l="1"/>
  <c r="AG264" i="44"/>
  <c r="AD61" i="108" s="1"/>
  <c r="I11" i="108" s="1"/>
  <c r="AG160" i="44"/>
  <c r="AG161" i="4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Kean Chan (ESC)</author>
  </authors>
  <commentList>
    <comment ref="Z14" authorId="0" shapeId="0" xr:uid="{E41BF5B6-61BF-4C56-9A5F-1C53FCF2946B}">
      <text>
        <r>
          <rPr>
            <sz val="9"/>
            <color indexed="81"/>
            <rFont val="Tahoma"/>
            <family val="2"/>
          </rPr>
          <t xml:space="preserve">Forecast until 27-28
</t>
        </r>
      </text>
    </comment>
    <comment ref="Z18" authorId="0" shapeId="0" xr:uid="{B55C411D-FF02-44AC-88F1-177150446ED8}">
      <text>
        <r>
          <rPr>
            <sz val="9"/>
            <color indexed="81"/>
            <rFont val="Tahoma"/>
            <family val="2"/>
          </rPr>
          <t xml:space="preserve">Forecast until 27-28
</t>
        </r>
      </text>
    </comment>
    <comment ref="Z22" authorId="0" shapeId="0" xr:uid="{8F3B17D9-5160-4163-82A2-62F5FB2ACCF3}">
      <text>
        <r>
          <rPr>
            <sz val="9"/>
            <color indexed="81"/>
            <rFont val="Tahoma"/>
            <family val="2"/>
          </rPr>
          <t xml:space="preserve">Forecast until 27-28
</t>
        </r>
      </text>
    </comment>
    <comment ref="Z26" authorId="0" shapeId="0" xr:uid="{F57AC6A5-9BE9-4255-9C7E-2E610F223090}">
      <text>
        <r>
          <rPr>
            <sz val="9"/>
            <color indexed="81"/>
            <rFont val="Tahoma"/>
            <family val="2"/>
          </rPr>
          <t xml:space="preserve">Forecast until 27-28
</t>
        </r>
      </text>
    </comment>
    <comment ref="Z30" authorId="0" shapeId="0" xr:uid="{B03A1939-24A2-4F58-840F-3B28D52C5460}">
      <text>
        <r>
          <rPr>
            <sz val="9"/>
            <color indexed="81"/>
            <rFont val="Tahoma"/>
            <family val="2"/>
          </rPr>
          <t xml:space="preserve">Forecast until 27-28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Kean Chan (ESC)</author>
  </authors>
  <commentList>
    <comment ref="Z34" authorId="0" shapeId="0" xr:uid="{CBC40F02-BC45-4503-8C46-291C43D5B019}">
      <text>
        <r>
          <rPr>
            <sz val="9"/>
            <color indexed="81"/>
            <rFont val="Tahoma"/>
            <family val="2"/>
          </rPr>
          <t xml:space="preserve">adjusted baseline vs approved controllable opex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Kean Chan (ESC)</author>
  </authors>
  <commentList>
    <comment ref="Y21" authorId="0" shapeId="0" xr:uid="{E258C2A8-E322-4DEF-866A-508B8CC4399F}">
      <text>
        <r>
          <rPr>
            <sz val="9"/>
            <color indexed="81"/>
            <rFont val="Tahoma"/>
            <family val="2"/>
          </rPr>
          <t>Forecast to 27-28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Kean Chan (ESC)</author>
  </authors>
  <commentList>
    <comment ref="AB20" authorId="0" shapeId="0" xr:uid="{008C8917-B248-481A-9678-EBBE7B76517A}">
      <text>
        <r>
          <rPr>
            <sz val="9"/>
            <color indexed="81"/>
            <rFont val="Tahoma"/>
            <family val="2"/>
          </rPr>
          <t xml:space="preserve">only available up to 27/28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Kean Chan (ESC)</author>
  </authors>
  <commentList>
    <comment ref="H71" authorId="0" shapeId="0" xr:uid="{A6934005-BB5B-40F0-8EFC-06DB8255CB0A}">
      <text>
        <r>
          <rPr>
            <sz val="9"/>
            <color indexed="81"/>
            <rFont val="Tahoma"/>
            <family val="2"/>
          </rPr>
          <t xml:space="preserve">Cash rate as at April 2024
</t>
        </r>
      </text>
    </comment>
    <comment ref="J71" authorId="0" shapeId="0" xr:uid="{774C846A-AAC4-439B-81A8-8A7F7009EE9F}">
      <text>
        <r>
          <rPr>
            <sz val="9"/>
            <color indexed="81"/>
            <rFont val="Tahoma"/>
            <family val="2"/>
          </rPr>
          <t xml:space="preserve">Cash rate as at April 2024
</t>
        </r>
      </text>
    </comment>
    <comment ref="J172" authorId="0" shapeId="0" xr:uid="{02D15A56-E9AA-4FE1-96BD-323D2363FFFB}">
      <text>
        <r>
          <rPr>
            <sz val="9"/>
            <color indexed="81"/>
            <rFont val="Tahoma"/>
            <family val="2"/>
          </rPr>
          <t xml:space="preserve">tax losses brought forward
</t>
        </r>
      </text>
    </comment>
    <comment ref="H184" authorId="0" shapeId="0" xr:uid="{7DAB9525-4E54-4D96-9088-8422DCCF5C0C}">
      <text>
        <r>
          <rPr>
            <sz val="9"/>
            <color indexed="81"/>
            <rFont val="Tahoma"/>
            <family val="2"/>
          </rPr>
          <t xml:space="preserve">Cash rate as at April 2024
</t>
        </r>
      </text>
    </comment>
    <comment ref="J184" authorId="0" shapeId="0" xr:uid="{D21ACB5A-26A4-40D7-8FAD-2083CA438C86}">
      <text>
        <r>
          <rPr>
            <sz val="9"/>
            <color indexed="81"/>
            <rFont val="Tahoma"/>
            <family val="2"/>
          </rPr>
          <t xml:space="preserve">Cash rate as at April 2024
</t>
        </r>
      </text>
    </comment>
    <comment ref="H225" authorId="0" shapeId="0" xr:uid="{5692F985-F174-46A0-B5B5-E82982141DEE}">
      <text>
        <r>
          <rPr>
            <sz val="9"/>
            <color indexed="81"/>
            <rFont val="Tahoma"/>
            <family val="2"/>
          </rPr>
          <t xml:space="preserve">
No change to the threshold</t>
        </r>
      </text>
    </comment>
    <comment ref="E228" authorId="0" shapeId="0" xr:uid="{61033A7D-03B7-4BD6-8B32-CE810B80C9D3}">
      <text>
        <r>
          <rPr>
            <b/>
            <sz val="9"/>
            <color indexed="81"/>
            <rFont val="Tahoma"/>
            <family val="2"/>
          </rPr>
          <t>Kean Chan (ESC):</t>
        </r>
        <r>
          <rPr>
            <sz val="9"/>
            <color indexed="81"/>
            <rFont val="Tahoma"/>
            <family val="2"/>
          </rPr>
          <t xml:space="preserve">
Now a primary indicator</t>
        </r>
      </text>
    </comment>
    <comment ref="H234" authorId="0" shapeId="0" xr:uid="{8EE9F29F-A097-4624-B418-9CE0634D05B2}">
      <text>
        <r>
          <rPr>
            <sz val="9"/>
            <color indexed="81"/>
            <rFont val="Tahoma"/>
            <family val="2"/>
          </rPr>
          <t>Previously 10%</t>
        </r>
      </text>
    </comment>
    <comment ref="H244" authorId="0" shapeId="0" xr:uid="{C5BDA26D-3E65-4878-9B93-6F02C121A39C}">
      <text>
        <r>
          <rPr>
            <sz val="9"/>
            <color indexed="81"/>
            <rFont val="Tahoma"/>
            <family val="2"/>
          </rPr>
          <t>Previously 70%, No gearing ratio for the notional test</t>
        </r>
      </text>
    </comment>
    <comment ref="E246" authorId="0" shapeId="0" xr:uid="{4CBA35D0-D570-46D6-94A9-B773279B8393}">
      <text>
        <r>
          <rPr>
            <b/>
            <sz val="9"/>
            <color indexed="81"/>
            <rFont val="Tahoma"/>
            <family val="2"/>
          </rPr>
          <t>New indicator</t>
        </r>
        <r>
          <rPr>
            <sz val="9"/>
            <color indexed="81"/>
            <rFont val="Tahoma"/>
            <family val="2"/>
          </rPr>
          <t xml:space="preserve">
</t>
        </r>
      </text>
    </comment>
    <comment ref="E248" authorId="0" shapeId="0" xr:uid="{56798D56-5B20-4E32-99CD-D543BA145A7F}">
      <text>
        <r>
          <rPr>
            <sz val="9"/>
            <color indexed="81"/>
            <rFont val="Tahoma"/>
            <family val="2"/>
          </rPr>
          <t xml:space="preserve">Ordinary dividends, not capital repatriation or extra ordinary dividends
</t>
        </r>
      </text>
    </comment>
    <comment ref="H263" authorId="0" shapeId="0" xr:uid="{9246BE9F-89B7-4DFD-9E42-0E9572CCFBE6}">
      <text>
        <r>
          <rPr>
            <sz val="9"/>
            <color indexed="81"/>
            <rFont val="Tahoma"/>
            <family val="2"/>
          </rPr>
          <t>No change to this threshold</t>
        </r>
      </text>
    </comment>
    <comment ref="D269" authorId="0" shapeId="0" xr:uid="{E60D7F36-9A2A-42DE-884A-49616C20B80B}">
      <text>
        <r>
          <rPr>
            <sz val="9"/>
            <color indexed="81"/>
            <rFont val="Tahoma"/>
            <family val="2"/>
          </rPr>
          <t xml:space="preserve">ESC adopts a notional test on the effectiveness of price controls. 
</t>
        </r>
      </text>
    </comment>
    <comment ref="E272" authorId="0" shapeId="0" xr:uid="{B795AC42-7483-40B4-9E00-A72902621185}">
      <text>
        <r>
          <rPr>
            <sz val="9"/>
            <color indexed="81"/>
            <rFont val="Tahoma"/>
            <family val="2"/>
          </rPr>
          <t xml:space="preserve">non-prescribed revenue
, interest revenue
these are not part of the notional tests,
removed all non-prescribed items </t>
        </r>
      </text>
    </comment>
    <comment ref="E276" authorId="0" shapeId="0" xr:uid="{C0AE350F-490B-4EE3-852D-586C5F1A90C1}">
      <text>
        <r>
          <rPr>
            <sz val="9"/>
            <color indexed="81"/>
            <rFont val="Tahoma"/>
            <family val="2"/>
          </rPr>
          <t>Operating adjustments are outside the building blocks methodology</t>
        </r>
      </text>
    </comment>
    <comment ref="E280" authorId="0" shapeId="0" xr:uid="{1A406475-0BBE-4084-B47A-1B2613A4AE1A}">
      <text>
        <r>
          <rPr>
            <sz val="9"/>
            <color indexed="81"/>
            <rFont val="Tahoma"/>
            <family val="2"/>
          </rPr>
          <t xml:space="preserve">interest revenue is outside the notional test
</t>
        </r>
      </text>
    </comment>
    <comment ref="E290" authorId="0" shapeId="0" xr:uid="{4A83FD2D-0895-48FF-A8DA-06EA7D0585D4}">
      <text>
        <r>
          <rPr>
            <sz val="9"/>
            <color indexed="81"/>
            <rFont val="Tahoma"/>
            <family val="2"/>
          </rPr>
          <t>0 as interest revenue is not part of the notional test</t>
        </r>
      </text>
    </comment>
    <comment ref="E298" authorId="0" shapeId="0" xr:uid="{7BA55C13-8CAB-4A20-AE0A-B367909C23D1}">
      <text>
        <r>
          <rPr>
            <sz val="9"/>
            <color indexed="81"/>
            <rFont val="Tahoma"/>
            <family val="2"/>
          </rPr>
          <t xml:space="preserve"> 60% Average Regulatory Asset Base</t>
        </r>
      </text>
    </comment>
    <comment ref="E299" authorId="0" shapeId="0" xr:uid="{96EF4925-2941-4C4B-B21C-8E7878F2B163}">
      <text>
        <r>
          <rPr>
            <sz val="9"/>
            <color indexed="81"/>
            <rFont val="Tahoma"/>
            <family val="2"/>
          </rPr>
          <t>part of the 60% gearing under building blocks methodology</t>
        </r>
      </text>
    </comment>
    <comment ref="E300" authorId="0" shapeId="0" xr:uid="{FBEFDC0D-40BE-4B68-8E4A-006E142D1634}">
      <text>
        <r>
          <rPr>
            <sz val="9"/>
            <color indexed="81"/>
            <rFont val="Tahoma"/>
            <family val="2"/>
          </rPr>
          <t xml:space="preserve">0 cash assets for notional test (pricing control principles apply)
</t>
        </r>
      </text>
    </comment>
    <comment ref="E308" authorId="0" shapeId="0" xr:uid="{4D4B8ACE-DB28-4DA7-8B4A-E17844E3E420}">
      <text>
        <r>
          <rPr>
            <sz val="9"/>
            <color indexed="81"/>
            <rFont val="Tahoma"/>
            <family val="2"/>
          </rPr>
          <t xml:space="preserve"> 0 dividends as the notional test is price control based</t>
        </r>
      </text>
    </comment>
    <comment ref="E309" authorId="0" shapeId="0" xr:uid="{0B43E258-4F9A-4FD5-AF1B-C37383EF53CC}">
      <text>
        <r>
          <rPr>
            <b/>
            <sz val="9"/>
            <color indexed="81"/>
            <rFont val="Tahoma"/>
            <family val="2"/>
          </rPr>
          <t xml:space="preserve">
</t>
        </r>
        <r>
          <rPr>
            <sz val="9"/>
            <color indexed="81"/>
            <rFont val="Tahoma"/>
            <family val="2"/>
          </rPr>
          <t>prescribed only</t>
        </r>
      </text>
    </comment>
    <comment ref="E310" authorId="0" shapeId="0" xr:uid="{E0EA37C9-E3FD-4033-8682-F94EAD4B7558}">
      <text>
        <r>
          <rPr>
            <sz val="9"/>
            <color indexed="81"/>
            <rFont val="Tahoma"/>
            <family val="2"/>
          </rPr>
          <t>prescribed only</t>
        </r>
      </text>
    </comment>
    <comment ref="E311" authorId="0" shapeId="0" xr:uid="{B6475F36-99B2-4581-A226-CB60913A9B1D}">
      <text>
        <r>
          <rPr>
            <sz val="9"/>
            <color indexed="81"/>
            <rFont val="Tahoma"/>
            <family val="2"/>
          </rPr>
          <t>Prescribed only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Kean Chan (ESC)</author>
  </authors>
  <commentList>
    <comment ref="D7" authorId="0" shapeId="0" xr:uid="{D5A0F948-EA4D-4531-9BE9-D35CD8041568}">
      <text>
        <r>
          <rPr>
            <sz val="9"/>
            <color indexed="81"/>
            <rFont val="Tahoma"/>
            <family val="2"/>
          </rPr>
          <t xml:space="preserve"> for 2026-27 in $26</t>
        </r>
      </text>
    </comment>
    <comment ref="E7" authorId="0" shapeId="0" xr:uid="{D428D49E-1379-4CB0-A7B7-A624994A844C}">
      <text>
        <r>
          <rPr>
            <sz val="9"/>
            <color indexed="81"/>
            <rFont val="Tahoma"/>
            <family val="2"/>
          </rPr>
          <t xml:space="preserve">2025-26 Inflation adjusted prices
</t>
        </r>
      </text>
    </comment>
    <comment ref="E10" authorId="0" shapeId="0" xr:uid="{B34E3D7A-1102-48F5-A918-9721279C4FA5}">
      <text>
        <r>
          <rPr>
            <b/>
            <sz val="9"/>
            <color indexed="81"/>
            <rFont val="Tahoma"/>
            <family val="2"/>
          </rPr>
          <t>ESC will update the 2026-27 inflation around May 2026</t>
        </r>
        <r>
          <rPr>
            <sz val="9"/>
            <color indexed="81"/>
            <rFont val="Tahoma"/>
            <family val="2"/>
          </rPr>
          <t xml:space="preserve">
</t>
        </r>
      </text>
    </comment>
    <comment ref="D13" authorId="0" shapeId="0" xr:uid="{5BA8DC61-645D-4213-BD9B-D0C625B6FBBA}">
      <text>
        <r>
          <rPr>
            <sz val="9"/>
            <color indexed="81"/>
            <rFont val="Tahoma"/>
            <family val="2"/>
          </rPr>
          <t>Please link through from
Revenue price cap or revenue tariff basket</t>
        </r>
      </text>
    </comment>
    <comment ref="F13" authorId="0" shapeId="0" xr:uid="{701D5C53-5538-472E-B645-1DE133E77997}">
      <text>
        <r>
          <rPr>
            <sz val="9"/>
            <color indexed="81"/>
            <rFont val="Tahoma"/>
            <family val="2"/>
          </rPr>
          <t xml:space="preserve">Please link PPM in % from BH to BL in the Revenue PriceCap or Revenue Tariff Basket.
</t>
        </r>
      </text>
    </comment>
    <comment ref="G13" authorId="0" shapeId="0" xr:uid="{E5A1E7BE-98AA-4ED8-8BD4-3C5221F0D990}">
      <text>
        <r>
          <rPr>
            <sz val="9"/>
            <color indexed="81"/>
            <rFont val="Tahoma"/>
            <family val="2"/>
          </rPr>
          <t xml:space="preserve">Please link PPM in % from BH to BL in the Revenue PriceCap or Revenue Tariff Basket.
</t>
        </r>
      </text>
    </comment>
    <comment ref="H13" authorId="0" shapeId="0" xr:uid="{3E68EC72-FAF3-415E-AADB-898DBEA6DE6C}">
      <text>
        <r>
          <rPr>
            <sz val="9"/>
            <color indexed="81"/>
            <rFont val="Tahoma"/>
            <family val="2"/>
          </rPr>
          <t xml:space="preserve">Please link PPM in % from BH to BL in the Revenue PriceCap or Revenue Tariff Basket.
</t>
        </r>
      </text>
    </comment>
    <comment ref="I13" authorId="0" shapeId="0" xr:uid="{EFF62ADF-1B21-41EC-8414-84913893904F}">
      <text>
        <r>
          <rPr>
            <sz val="9"/>
            <color indexed="81"/>
            <rFont val="Tahoma"/>
            <family val="2"/>
          </rPr>
          <t xml:space="preserve">Please link PPM in % from BH to BL in the Revenue PriceCap or Revenue Tariff Basket.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Kean Chan (ESC)</author>
    <author>Jaawid Nazeer</author>
  </authors>
  <commentList>
    <comment ref="K9" authorId="0" shapeId="0" xr:uid="{BE5DF630-5361-44A7-8558-5D8864FD33E6}">
      <text>
        <r>
          <rPr>
            <sz val="9"/>
            <color indexed="81"/>
            <rFont val="Tahoma"/>
            <family val="2"/>
          </rPr>
          <t xml:space="preserve">Real basis front this point on
</t>
        </r>
      </text>
    </comment>
    <comment ref="J10" authorId="0" shapeId="0" xr:uid="{12C138E9-D99A-4140-8AB2-DE35055B1C11}">
      <text>
        <r>
          <rPr>
            <sz val="9"/>
            <color indexed="81"/>
            <rFont val="Tahoma"/>
            <family val="2"/>
          </rPr>
          <t>Nominal values to 25-26</t>
        </r>
      </text>
    </comment>
    <comment ref="K10" authorId="0" shapeId="0" xr:uid="{EAE890E9-4C6F-428C-A6C2-94C6D9A2C579}">
      <text>
        <r>
          <rPr>
            <sz val="9"/>
            <color indexed="81"/>
            <rFont val="Tahoma"/>
            <family val="2"/>
          </rPr>
          <t>Please link to RevenuePriceCap_FO or RevenueTariffBasket_FO</t>
        </r>
      </text>
    </comment>
    <comment ref="K11" authorId="0" shapeId="0" xr:uid="{1074752F-27A4-45C2-94DA-562C756E3CF9}">
      <text>
        <r>
          <rPr>
            <sz val="9"/>
            <color indexed="81"/>
            <rFont val="Tahoma"/>
            <family val="2"/>
          </rPr>
          <t>Please link to RevenuePriceCap_FO or RevenueTariffBasket_FO</t>
        </r>
      </text>
    </comment>
    <comment ref="K12" authorId="0" shapeId="0" xr:uid="{35D63CEC-3121-495C-835C-E60FC796AC49}">
      <text>
        <r>
          <rPr>
            <sz val="9"/>
            <color indexed="81"/>
            <rFont val="Tahoma"/>
            <family val="2"/>
          </rPr>
          <t>Please link to RevenuePriceCap_FO or RevenueTariffBasket_FO</t>
        </r>
      </text>
    </comment>
    <comment ref="K13" authorId="0" shapeId="0" xr:uid="{5BC802BD-63A0-4C2B-AA83-9C3D62232DC6}">
      <text>
        <r>
          <rPr>
            <sz val="9"/>
            <color indexed="81"/>
            <rFont val="Tahoma"/>
            <family val="2"/>
          </rPr>
          <t>Please link to RevenuePriceCap_FO or RevenueTariffBasket_FO</t>
        </r>
      </text>
    </comment>
    <comment ref="K14" authorId="0" shapeId="0" xr:uid="{E07E5E92-6C95-489E-AE58-67C957998345}">
      <text>
        <r>
          <rPr>
            <sz val="9"/>
            <color indexed="81"/>
            <rFont val="Tahoma"/>
            <family val="2"/>
          </rPr>
          <t>Please link to RevenuePriceCap_FO or RevenueTariffBasket_FO</t>
        </r>
      </text>
    </comment>
    <comment ref="K15" authorId="0" shapeId="0" xr:uid="{EBA638DD-4AD3-42DF-8821-62E106828E8B}">
      <text>
        <r>
          <rPr>
            <sz val="9"/>
            <color indexed="81"/>
            <rFont val="Tahoma"/>
            <family val="2"/>
          </rPr>
          <t>Please link to RevenuePriceCap_FO or RevenueTariffBasket_FO</t>
        </r>
      </text>
    </comment>
    <comment ref="K90" authorId="1" shapeId="0" xr:uid="{00000000-0006-0000-1700-000004000000}">
      <text>
        <r>
          <rPr>
            <sz val="9"/>
            <color indexed="81"/>
            <rFont val="Tahoma"/>
            <family val="2"/>
          </rPr>
          <t>From this point figures are in $25-26 basis.
If nominal figures are required, change cell formula to accomodate the forecasted inflation rate.</t>
        </r>
      </text>
    </comment>
    <comment ref="K93" authorId="1" shapeId="0" xr:uid="{00000000-0006-0000-1700-000005000000}">
      <text>
        <r>
          <rPr>
            <sz val="9"/>
            <color indexed="81"/>
            <rFont val="Tahoma"/>
            <family val="2"/>
          </rPr>
          <t>From this point figures are in $25-26 basis.
If nominal figures are required, change cell formula to accomodate the forecasted inflation rate.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Kean Chan (ESC)</author>
  </authors>
  <commentList>
    <comment ref="AI102" authorId="0" shapeId="0" xr:uid="{1F1F082F-05CC-4E97-A46E-7323532D6BD2}">
      <text>
        <r>
          <rPr>
            <b/>
            <sz val="9"/>
            <color indexed="81"/>
            <rFont val="Tahoma"/>
            <family val="2"/>
          </rPr>
          <t>Kean Chan (ESC):</t>
        </r>
        <r>
          <rPr>
            <sz val="9"/>
            <color indexed="81"/>
            <rFont val="Tahoma"/>
            <family val="2"/>
          </rPr>
          <t xml:space="preserve">
forecasts stops at 27-28</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tc={6BBD2D0F-97A0-4770-A11C-A703642D0D71}</author>
    <author>Kean Chan (ESC)</author>
  </authors>
  <commentList>
    <comment ref="G34" authorId="0" shapeId="0" xr:uid="{6BBD2D0F-97A0-4770-A11C-A703642D0D71}">
      <text>
        <t>[Threaded comment]
Your version of Excel allows you to read this threaded comment; however, any edits to it will get removed if the file is opened in a newer version of Excel. Learn more: https://go.microsoft.com/fwlink/?linkid=870924
Comment:
    FD_NEW 2018 Price Review Model</t>
      </text>
    </comment>
    <comment ref="G51" authorId="1" shapeId="0" xr:uid="{F21CA46A-46E6-4A79-B71D-59B2C0EDC2E7}">
      <text>
        <r>
          <rPr>
            <sz val="9"/>
            <color indexed="81"/>
            <rFont val="Tahoma"/>
            <family val="2"/>
          </rPr>
          <t xml:space="preserve">From the latest audited performance report
</t>
        </r>
      </text>
    </comment>
    <comment ref="G52" authorId="1" shapeId="0" xr:uid="{50A1A7F8-76ED-4AF5-94D9-A3E389C170DF}">
      <text>
        <r>
          <rPr>
            <sz val="9"/>
            <color indexed="81"/>
            <rFont val="Tahoma"/>
            <family val="2"/>
          </rPr>
          <t xml:space="preserve">From the latest audited performance report
</t>
        </r>
      </text>
    </comment>
    <comment ref="G53" authorId="1" shapeId="0" xr:uid="{E8CFB4B1-35B7-4617-82B8-A391065BB1A2}">
      <text>
        <r>
          <rPr>
            <sz val="9"/>
            <color indexed="81"/>
            <rFont val="Tahoma"/>
            <family val="2"/>
          </rPr>
          <t xml:space="preserve">From the latest audited performance report
</t>
        </r>
      </text>
    </comment>
    <comment ref="G54" authorId="1" shapeId="0" xr:uid="{4A9381B4-0E84-4D97-ADCA-A2334AEDC958}">
      <text>
        <r>
          <rPr>
            <sz val="9"/>
            <color indexed="81"/>
            <rFont val="Tahoma"/>
            <family val="2"/>
          </rPr>
          <t xml:space="preserve">From the latest audited performance report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<sst xmlns="http://schemas.openxmlformats.org/spreadsheetml/2006/main" count="6068" uniqueCount="1485">
  <si>
    <t>Go to Table of Contents</t>
  </si>
  <si>
    <t>Table of Contents</t>
  </si>
  <si>
    <t>Section &amp; Sheet Titles</t>
  </si>
  <si>
    <t>FO</t>
  </si>
  <si>
    <t>Essential Services Commission</t>
  </si>
  <si>
    <t>Operations &amp; Maintenance</t>
  </si>
  <si>
    <t>Treatment</t>
  </si>
  <si>
    <t>Customer Service and billing</t>
  </si>
  <si>
    <t>GSL Payments</t>
  </si>
  <si>
    <t>Licence Fees</t>
  </si>
  <si>
    <t>Corporate</t>
  </si>
  <si>
    <t>Other operating expenditure</t>
  </si>
  <si>
    <t>Growth</t>
  </si>
  <si>
    <t>Headworks</t>
  </si>
  <si>
    <t>Pipelines/network</t>
  </si>
  <si>
    <t>Licence fees</t>
  </si>
  <si>
    <t>Environment Protection Authority</t>
  </si>
  <si>
    <t>Gifted assets</t>
  </si>
  <si>
    <t>Proceeds from disposals</t>
  </si>
  <si>
    <t>Government contributions</t>
  </si>
  <si>
    <t>Water</t>
  </si>
  <si>
    <t>Sewerage</t>
  </si>
  <si>
    <t>Customer contributions</t>
  </si>
  <si>
    <t>Gross capital expenditure</t>
  </si>
  <si>
    <t>Net capital expenditure</t>
  </si>
  <si>
    <t>Depreciation</t>
  </si>
  <si>
    <t>Operating expenditure</t>
  </si>
  <si>
    <t>[Service]</t>
  </si>
  <si>
    <t>Revenue forecast</t>
  </si>
  <si>
    <t>Non-tariff revenue</t>
  </si>
  <si>
    <t>Contract revenue</t>
  </si>
  <si>
    <t>Trade Waste Contract Revenue</t>
  </si>
  <si>
    <t>Sewerage Contract Revenue</t>
  </si>
  <si>
    <t>Water Contract Revenue</t>
  </si>
  <si>
    <t>Recycled Water Contract Revenue</t>
  </si>
  <si>
    <t>Miscellaneous Services</t>
  </si>
  <si>
    <t>Other Revenue</t>
  </si>
  <si>
    <t>Revenue not collected</t>
  </si>
  <si>
    <t>Tariff revenue</t>
  </si>
  <si>
    <t>PQR</t>
  </si>
  <si>
    <t>Service</t>
  </si>
  <si>
    <t>District</t>
  </si>
  <si>
    <t>Tariff Description</t>
  </si>
  <si>
    <t>Unit</t>
  </si>
  <si>
    <t>Price</t>
  </si>
  <si>
    <t>Qty</t>
  </si>
  <si>
    <t>Rev</t>
  </si>
  <si>
    <t>kL</t>
  </si>
  <si>
    <t>Inflation assumptions</t>
  </si>
  <si>
    <t>Inflation factor</t>
  </si>
  <si>
    <t>Risk Free Rate (Real)</t>
  </si>
  <si>
    <t>Debt Premium</t>
  </si>
  <si>
    <t>Equity Premium</t>
  </si>
  <si>
    <t>Equity Beta</t>
  </si>
  <si>
    <t>Gearing (Debt/Assets)</t>
  </si>
  <si>
    <t>Forecast Inflation</t>
  </si>
  <si>
    <t>Franking credit value</t>
  </si>
  <si>
    <t>'Vanilla' After Tax WACC (Real)</t>
  </si>
  <si>
    <t>Operating Expenditure Summary</t>
  </si>
  <si>
    <t>FIRST REG PERIOD</t>
  </si>
  <si>
    <t>SECOND REG PERIOD</t>
  </si>
  <si>
    <t>Gifted Assets</t>
  </si>
  <si>
    <t>Straight Line</t>
  </si>
  <si>
    <t>Declining Balance</t>
  </si>
  <si>
    <t>Regulatory Depreciation</t>
  </si>
  <si>
    <t>Closing asset base</t>
  </si>
  <si>
    <t>Return on assets</t>
  </si>
  <si>
    <t>Total Non Prescribed Services</t>
  </si>
  <si>
    <t>Revenue</t>
  </si>
  <si>
    <t>Revenue Summary</t>
  </si>
  <si>
    <t>Total prescribed revenue</t>
  </si>
  <si>
    <t>Net prescribed revenue</t>
  </si>
  <si>
    <t>Revenue requirement</t>
  </si>
  <si>
    <t>Non-prescribed revenue</t>
  </si>
  <si>
    <t>TOTAL REVENUE</t>
  </si>
  <si>
    <t>NPV Revenue Requirement</t>
  </si>
  <si>
    <t>NPV Net Prescribed Revenue</t>
  </si>
  <si>
    <t>Variance</t>
  </si>
  <si>
    <t>March quarter annual CPI</t>
  </si>
  <si>
    <t>Inflation</t>
  </si>
  <si>
    <t>Parameters</t>
  </si>
  <si>
    <t>Revenue requirement and RAV outputs</t>
  </si>
  <si>
    <t>Benchmark tax liability</t>
  </si>
  <si>
    <t>Total revenue requirement</t>
  </si>
  <si>
    <t>Revenue requirement detail</t>
  </si>
  <si>
    <t>Opening asset base</t>
  </si>
  <si>
    <t>less regulatory depreciation</t>
  </si>
  <si>
    <t>Average asset base</t>
  </si>
  <si>
    <t>2004-05</t>
  </si>
  <si>
    <t>plus capital expenditure</t>
  </si>
  <si>
    <t>less customer contributions</t>
  </si>
  <si>
    <t>less government contributions</t>
  </si>
  <si>
    <t>less disposals</t>
  </si>
  <si>
    <t>Return on assets (new)</t>
  </si>
  <si>
    <t>Return on and of new assets</t>
  </si>
  <si>
    <t>Rolled forward RAV</t>
  </si>
  <si>
    <t>Forecast inflation</t>
  </si>
  <si>
    <t>Gearing</t>
  </si>
  <si>
    <t>Tax rate</t>
  </si>
  <si>
    <t>Cost of debt (nominal)</t>
  </si>
  <si>
    <t>Taxation calculation</t>
  </si>
  <si>
    <t>Operating &amp; maintenance expenditure</t>
  </si>
  <si>
    <t>Average RAV</t>
  </si>
  <si>
    <t>Debt (60% of ARAV)</t>
  </si>
  <si>
    <t>$m (MOD)</t>
  </si>
  <si>
    <t>Tax depreciation (new)</t>
  </si>
  <si>
    <t>Tax depreciation (existing)</t>
  </si>
  <si>
    <t>Interest</t>
  </si>
  <si>
    <t>Tax losses brought forward</t>
  </si>
  <si>
    <t>Benchmark gross tax liability</t>
  </si>
  <si>
    <t>Franking benefit</t>
  </si>
  <si>
    <t>Benchmark tax liability (MOD)</t>
  </si>
  <si>
    <t>Benchmark tax liability (real)</t>
  </si>
  <si>
    <t>Opening cash balance</t>
  </si>
  <si>
    <t>Interest earned</t>
  </si>
  <si>
    <t>Opening debt balance</t>
  </si>
  <si>
    <t>Interest incurred</t>
  </si>
  <si>
    <t>Book depreciation</t>
  </si>
  <si>
    <t>Finance and tax summary</t>
  </si>
  <si>
    <t>Cash and Debt</t>
  </si>
  <si>
    <t>Tax depreciation - existing assets</t>
  </si>
  <si>
    <t>Financial indicators</t>
  </si>
  <si>
    <t>Above figures include contributions from:</t>
  </si>
  <si>
    <t>Cash, debt and tax assumptions</t>
  </si>
  <si>
    <t>Dividends - whole of business</t>
  </si>
  <si>
    <t>$m, MOD</t>
  </si>
  <si>
    <t>Revenue from ordinary activities</t>
  </si>
  <si>
    <t>(less income not received)</t>
  </si>
  <si>
    <t>Government and developer contributed assets</t>
  </si>
  <si>
    <t>Developer cash contributions</t>
  </si>
  <si>
    <t>Government cash contributions</t>
  </si>
  <si>
    <t>Investment income</t>
  </si>
  <si>
    <t>Proceeds from asset disposal</t>
  </si>
  <si>
    <t>Expenditure from ordinary activities</t>
  </si>
  <si>
    <t>Interest expense</t>
  </si>
  <si>
    <t>Written down value of assets disposed</t>
  </si>
  <si>
    <t>Profit from ordinary activities (before tax)</t>
  </si>
  <si>
    <t>Return to government</t>
  </si>
  <si>
    <t>Dividend payments (offset)</t>
  </si>
  <si>
    <t>Retained revenue</t>
  </si>
  <si>
    <t>Adjusted cash flow statement</t>
  </si>
  <si>
    <t>Operating Activities</t>
  </si>
  <si>
    <t>Customer cash contributions</t>
  </si>
  <si>
    <t>Payments to suppliers and employees (opex)</t>
  </si>
  <si>
    <t>Income tax paid</t>
  </si>
  <si>
    <t>Interest received</t>
  </si>
  <si>
    <t>Interest paid</t>
  </si>
  <si>
    <t xml:space="preserve">Net cash inflows from operating activities </t>
  </si>
  <si>
    <t>Investing activities</t>
  </si>
  <si>
    <t>Payment for property, plant, equipment and WIP (capex)</t>
  </si>
  <si>
    <t>Proceeds from sale of property, plant and equipment</t>
  </si>
  <si>
    <t xml:space="preserve">Net cash (outflow) from investing activities </t>
  </si>
  <si>
    <t>Dividend payable</t>
  </si>
  <si>
    <t>Net cash (outflow) for cash or debt</t>
  </si>
  <si>
    <t>Adjusted cash and debt</t>
  </si>
  <si>
    <t>Target cash balance</t>
  </si>
  <si>
    <t>Target Cash ($)</t>
  </si>
  <si>
    <t>Cash at the beginning of the financial year</t>
  </si>
  <si>
    <t>Increase in Cash</t>
  </si>
  <si>
    <t>Cash at the end of the financial year</t>
  </si>
  <si>
    <t>Debt at the beginning of the financial year</t>
  </si>
  <si>
    <t>Increase in Debt</t>
  </si>
  <si>
    <t>Debt at the end of the financial year</t>
  </si>
  <si>
    <t>TAX PAYABLE CALCULATION</t>
  </si>
  <si>
    <t>less Opex</t>
  </si>
  <si>
    <t>less Interest</t>
  </si>
  <si>
    <t>less Tax Depreciation</t>
  </si>
  <si>
    <t>less Tax Losses brought forward</t>
  </si>
  <si>
    <t>Taxable Income</t>
  </si>
  <si>
    <t>Tax Payable</t>
  </si>
  <si>
    <t>Interest adjustments</t>
  </si>
  <si>
    <t>Marginal Interest Rate - Borrowings :</t>
  </si>
  <si>
    <t>Marginal Interest Rate - Cash :</t>
  </si>
  <si>
    <t>Forecast Cash (opening)</t>
  </si>
  <si>
    <t>Adjusted Cash</t>
  </si>
  <si>
    <t>Forecast Interest Earned</t>
  </si>
  <si>
    <t>Adjusted Interest Earned</t>
  </si>
  <si>
    <t>Forecast Debt  (opening)</t>
  </si>
  <si>
    <t>Adjusted Debt</t>
  </si>
  <si>
    <t>Forecast Interest Paid</t>
  </si>
  <si>
    <t>Adjusted Interest Paid</t>
  </si>
  <si>
    <t>Funds from operations ($m)</t>
  </si>
  <si>
    <t>less Income not received</t>
  </si>
  <si>
    <t>less Total operating expenditure</t>
  </si>
  <si>
    <t>less Income tax paid</t>
  </si>
  <si>
    <t>plus Interest revenue</t>
  </si>
  <si>
    <t>less Interest expense</t>
  </si>
  <si>
    <t>FFO interest cover (times)</t>
  </si>
  <si>
    <t xml:space="preserve">FFO  </t>
  </si>
  <si>
    <t>plus Interest expense</t>
  </si>
  <si>
    <t>less Interest revenue</t>
  </si>
  <si>
    <t>divided by Net interest expense</t>
  </si>
  <si>
    <t>FFO</t>
  </si>
  <si>
    <t>(divided by Non-current interest bearing liabilities</t>
  </si>
  <si>
    <t>plus Current interest bearing liabilities</t>
  </si>
  <si>
    <t>less cash assets)</t>
  </si>
  <si>
    <t>Interest bearing liabilities</t>
  </si>
  <si>
    <t>less cash assets</t>
  </si>
  <si>
    <t>divided by Average regulatory asset base</t>
  </si>
  <si>
    <t>Internal financing ratio (%)</t>
  </si>
  <si>
    <t>less Dividends</t>
  </si>
  <si>
    <t>(divided by Gross capital expenditure</t>
  </si>
  <si>
    <t>less Customer cash contributions</t>
  </si>
  <si>
    <t>less Government cash contributions)</t>
  </si>
  <si>
    <t>Funds from operations</t>
  </si>
  <si>
    <t>Total revenue from ordinary activities</t>
  </si>
  <si>
    <t>Total expenditure from ordinary activities</t>
  </si>
  <si>
    <t>Asset disposals</t>
  </si>
  <si>
    <t>Rolled forward asset base</t>
  </si>
  <si>
    <t>Asset class</t>
  </si>
  <si>
    <t>Remaining Life</t>
  </si>
  <si>
    <t>Book Value</t>
  </si>
  <si>
    <t>% of total</t>
  </si>
  <si>
    <t>Total assets</t>
  </si>
  <si>
    <t>Existing assets detail</t>
  </si>
  <si>
    <t>Return on and of existing assets</t>
  </si>
  <si>
    <t>New capital expenditure</t>
  </si>
  <si>
    <t>Prescribed revenue</t>
  </si>
  <si>
    <t>Category</t>
  </si>
  <si>
    <t>Type</t>
  </si>
  <si>
    <t>2003-04</t>
  </si>
  <si>
    <t>kg</t>
  </si>
  <si>
    <t>Adjustments to financial indicator inputs</t>
  </si>
  <si>
    <t>[Note: any adjustments due to non-prescribed services should be included on the Non Prescribed worksheet, rather than below]</t>
  </si>
  <si>
    <t>Operating expenditure adjustments</t>
  </si>
  <si>
    <t>Operating cash flow adjustments</t>
  </si>
  <si>
    <t>Investing cash flow adjustments</t>
  </si>
  <si>
    <t>Revenue adjustments</t>
  </si>
  <si>
    <t>All adjustments must be defined and explained</t>
  </si>
  <si>
    <t>Other non-prescribed revenue</t>
  </si>
  <si>
    <t>Operating expenditure (prescribed)</t>
  </si>
  <si>
    <t>Operating expenditure (non-prescribed)</t>
  </si>
  <si>
    <t>plus non-prescribed revenue</t>
  </si>
  <si>
    <t>Prima facie income tax expense</t>
  </si>
  <si>
    <t>1st period</t>
  </si>
  <si>
    <t>Revenue forecast (tariff basket)</t>
  </si>
  <si>
    <t>Revenue forecast (price caps)</t>
  </si>
  <si>
    <t>Price caps</t>
  </si>
  <si>
    <t>Renewals</t>
  </si>
  <si>
    <t>Adjustments from last period</t>
  </si>
  <si>
    <t>Adjustments Summary</t>
  </si>
  <si>
    <t>Total adjustments required</t>
  </si>
  <si>
    <t>Additional expenses incurred to be carried forward</t>
  </si>
  <si>
    <t>Melbourne Water</t>
  </si>
  <si>
    <t>City West Water</t>
  </si>
  <si>
    <t>South East Water</t>
  </si>
  <si>
    <t>Yarra Valley Water</t>
  </si>
  <si>
    <t>RegDepEx</t>
  </si>
  <si>
    <t>RegDepNew</t>
  </si>
  <si>
    <t>RoA</t>
  </si>
  <si>
    <t>plus Gross capex</t>
  </si>
  <si>
    <t>less Government contributions</t>
  </si>
  <si>
    <t>less Customer contributions</t>
  </si>
  <si>
    <t>less Proceeds from disposals</t>
  </si>
  <si>
    <t>less Regulatory depreciation</t>
  </si>
  <si>
    <t>Revenue Req</t>
  </si>
  <si>
    <t>Regulatory depreciation - New Assets</t>
  </si>
  <si>
    <t>Regulatory depreciation - Total</t>
  </si>
  <si>
    <t>Expenditure Summary</t>
  </si>
  <si>
    <t>Operating Expenditure</t>
  </si>
  <si>
    <t>Total Gross Capital Expenditure</t>
  </si>
  <si>
    <t>Total Government Contributions</t>
  </si>
  <si>
    <t>Total Customer Contributions</t>
  </si>
  <si>
    <t>Total Net Capital Expenditure</t>
  </si>
  <si>
    <t>Tax losses brought forward (enter a positive value)</t>
  </si>
  <si>
    <t>Net capital expenditure - non-prescribed</t>
  </si>
  <si>
    <t>Revenue cap services</t>
  </si>
  <si>
    <t>Allocation of carried forward expenses (NPV of cash flows should equate to net present cost to recover)</t>
  </si>
  <si>
    <t>NPV:</t>
  </si>
  <si>
    <t>less disposals (all disposals included in existing assets)</t>
  </si>
  <si>
    <t>Before tax net income</t>
  </si>
  <si>
    <t>Dividend plus tax equivalents benchmark</t>
  </si>
  <si>
    <t>2012-13</t>
  </si>
  <si>
    <t>Form of price control</t>
  </si>
  <si>
    <t>THIRD REG PERIOD</t>
  </si>
  <si>
    <t>Recycled Water</t>
  </si>
  <si>
    <t>Government contribution to operations</t>
  </si>
  <si>
    <t>BL</t>
  </si>
  <si>
    <t>Depreciation Method</t>
  </si>
  <si>
    <t>Straight line</t>
  </si>
  <si>
    <t>Method of Depreciation</t>
  </si>
  <si>
    <t>Service by Asset Class</t>
  </si>
  <si>
    <t>Service by Cost Driver</t>
  </si>
  <si>
    <t>Non-scheduled tariff revenue</t>
  </si>
  <si>
    <t>Other non-scheduled tariff revenue</t>
  </si>
  <si>
    <t>[Not prescribed service 10]</t>
  </si>
  <si>
    <t>[Not prescribed service 11]</t>
  </si>
  <si>
    <t>[Not prescribed service 12]</t>
  </si>
  <si>
    <t>[Not prescribed service 13]</t>
  </si>
  <si>
    <t>[Not prescribed service 14]</t>
  </si>
  <si>
    <t>[Not prescribed service 15]</t>
  </si>
  <si>
    <t>Other inputs required for the calculation of indicators</t>
  </si>
  <si>
    <t>Depreciation deferral</t>
  </si>
  <si>
    <t>Accumulated capex</t>
  </si>
  <si>
    <t>[Year finalised?]</t>
  </si>
  <si>
    <t>Ongoing</t>
  </si>
  <si>
    <t>Labour assumptions</t>
  </si>
  <si>
    <t>Annual growth in labour costs for current FTEs</t>
  </si>
  <si>
    <t>Cost per FTE</t>
  </si>
  <si>
    <t>Total FTEs</t>
  </si>
  <si>
    <t>Annual growth in total labour costs</t>
  </si>
  <si>
    <t>Energy assumptions</t>
  </si>
  <si>
    <t>Electricity - traditional sources</t>
  </si>
  <si>
    <t>Large sites</t>
  </si>
  <si>
    <t>Total kWh</t>
  </si>
  <si>
    <t>Medium sites</t>
  </si>
  <si>
    <t>Small sites</t>
  </si>
  <si>
    <t>% increase p.a.</t>
  </si>
  <si>
    <t>BASE LOAD</t>
  </si>
  <si>
    <t>NEW PROJECTS</t>
  </si>
  <si>
    <t>TOTAL ENERGY COSTS</t>
  </si>
  <si>
    <t>Chemical cost assumptions</t>
  </si>
  <si>
    <t>Total chemical costs</t>
  </si>
  <si>
    <t>Other chemical costs</t>
  </si>
  <si>
    <t>Sewerage and trade waste related chemical costs</t>
  </si>
  <si>
    <t>Service for pricing by Asset Class</t>
  </si>
  <si>
    <t>Trade Waste</t>
  </si>
  <si>
    <t>Tariff - fixed or variable</t>
  </si>
  <si>
    <t>[Price]</t>
  </si>
  <si>
    <t>Fixed</t>
  </si>
  <si>
    <t>Variable</t>
  </si>
  <si>
    <t>Pricing Unit</t>
  </si>
  <si>
    <t>[Pricing Unit]</t>
  </si>
  <si>
    <t>cust</t>
  </si>
  <si>
    <t>Water related chemical costs</t>
  </si>
  <si>
    <t>General Lookup</t>
  </si>
  <si>
    <t>Total prescribed opex</t>
  </si>
  <si>
    <t>Environment Contribution</t>
  </si>
  <si>
    <t>2nd period</t>
  </si>
  <si>
    <t>Actual and forecast labour costs for current FTEs ($m)</t>
  </si>
  <si>
    <t>Cost per FTE ($000)</t>
  </si>
  <si>
    <t>Total electricity costs ($m)</t>
  </si>
  <si>
    <t>Average c/kWh</t>
  </si>
  <si>
    <t>2017-18</t>
  </si>
  <si>
    <t>FOURTH REG PERIOD</t>
  </si>
  <si>
    <t>Current FTEs (at 30 June)</t>
  </si>
  <si>
    <t>Annual growth in total labour costs per FTE</t>
  </si>
  <si>
    <t>Increase or decrease in  labour costs ($m)</t>
  </si>
  <si>
    <t>Total labour costs ($m)</t>
  </si>
  <si>
    <t>Greenhouse Gas Offsets</t>
  </si>
  <si>
    <t>IT cost assumptions</t>
  </si>
  <si>
    <t>Water related IT costs</t>
  </si>
  <si>
    <t>Sewerage and trade waste related IT costs</t>
  </si>
  <si>
    <t>Other IT costs</t>
  </si>
  <si>
    <t>$m</t>
  </si>
  <si>
    <t>$</t>
  </si>
  <si>
    <t>Total IT costs</t>
  </si>
  <si>
    <t>Non Prescribed Services</t>
  </si>
  <si>
    <t>Non Prescribed Services summary</t>
  </si>
  <si>
    <t>Rural water</t>
  </si>
  <si>
    <t>Rural Water</t>
  </si>
  <si>
    <t>Bulk Water</t>
  </si>
  <si>
    <t>Total Bulk water</t>
  </si>
  <si>
    <t>Revenue Cap</t>
  </si>
  <si>
    <t>[Price Control]</t>
  </si>
  <si>
    <t>2018-19</t>
  </si>
  <si>
    <t>2019-20</t>
  </si>
  <si>
    <t>2020-21</t>
  </si>
  <si>
    <t>2021-22</t>
  </si>
  <si>
    <t>2022-23</t>
  </si>
  <si>
    <t>Previous period adjustments</t>
  </si>
  <si>
    <t>[Adjustment 1]</t>
  </si>
  <si>
    <t>[Adjustment 2]</t>
  </si>
  <si>
    <t>[Adjustment 3]</t>
  </si>
  <si>
    <t>[Adjustment 4]</t>
  </si>
  <si>
    <t>[Adjustment 5]</t>
  </si>
  <si>
    <t>[Adjustment 6]</t>
  </si>
  <si>
    <t>[Adjustment 7]</t>
  </si>
  <si>
    <t>[Adjustment 8]</t>
  </si>
  <si>
    <t>[Adjustment 9]</t>
  </si>
  <si>
    <t>Form of price control selected</t>
  </si>
  <si>
    <t>Change in FTEs in future periods (net no. annual change)</t>
  </si>
  <si>
    <t>Revenue cap / Hybrid Tariff Basket</t>
  </si>
  <si>
    <t xml:space="preserve">Water Price Review </t>
  </si>
  <si>
    <t>Key Assumptions Price Control</t>
  </si>
  <si>
    <t>Barwon Water</t>
  </si>
  <si>
    <t>Coliban Water</t>
  </si>
  <si>
    <t>Non-prescribed revenue offset of revenue requirement</t>
  </si>
  <si>
    <t>Central Highlands Water</t>
  </si>
  <si>
    <t>East Gippsland Water</t>
  </si>
  <si>
    <t>Gippsland Water</t>
  </si>
  <si>
    <t>Goulburn Valley Water</t>
  </si>
  <si>
    <t>North East Water</t>
  </si>
  <si>
    <t>South Gippsland Water</t>
  </si>
  <si>
    <t>Wannon Water</t>
  </si>
  <si>
    <t>Western Water</t>
  </si>
  <si>
    <t>Ml</t>
  </si>
  <si>
    <t xml:space="preserve">Financial Model Template </t>
  </si>
  <si>
    <t>External temporary water purchases</t>
  </si>
  <si>
    <t>External bulk charges (excl. temporary purchases)</t>
  </si>
  <si>
    <t>External bulk water charges (excl. temporary purchases)</t>
  </si>
  <si>
    <t>Tax liability</t>
  </si>
  <si>
    <t>[Not prescribed service 9]</t>
  </si>
  <si>
    <t>[Not prescribed service 8]</t>
  </si>
  <si>
    <t>[Not prescribed service 7]</t>
  </si>
  <si>
    <t>[Not prescribed service 6]</t>
  </si>
  <si>
    <t>add taxable income adjustment</t>
  </si>
  <si>
    <t>Interest paid adjustments</t>
  </si>
  <si>
    <t>plus developer charges</t>
  </si>
  <si>
    <t>plus operating adjustments</t>
  </si>
  <si>
    <t>Interest payment adjustments</t>
  </si>
  <si>
    <t>Water Business:</t>
  </si>
  <si>
    <t>Regulatory Period:</t>
  </si>
  <si>
    <t>Model Name:</t>
  </si>
  <si>
    <t>Model Key:</t>
  </si>
  <si>
    <t>BLUE</t>
  </si>
  <si>
    <t>NOTES / INSTRUCTIONS</t>
  </si>
  <si>
    <t>GREY</t>
  </si>
  <si>
    <t>WHITE</t>
  </si>
  <si>
    <t>FORMULA / HARDCODED VALUES</t>
  </si>
  <si>
    <t>ORANGE</t>
  </si>
  <si>
    <t>FORMULA DIFFERENT TO ADJACENT CELL</t>
  </si>
  <si>
    <t>RED</t>
  </si>
  <si>
    <t>ERROR CHECK</t>
  </si>
  <si>
    <t>[Month]</t>
  </si>
  <si>
    <t>[Year]</t>
  </si>
  <si>
    <t>[Version]</t>
  </si>
  <si>
    <t>Jun</t>
  </si>
  <si>
    <t xml:space="preserve"> - v1</t>
  </si>
  <si>
    <t xml:space="preserve"> &lt;&lt; Select</t>
  </si>
  <si>
    <t>Jan</t>
  </si>
  <si>
    <t>Feb</t>
  </si>
  <si>
    <t>Mar</t>
  </si>
  <si>
    <t xml:space="preserve"> - v3</t>
  </si>
  <si>
    <t>Apr</t>
  </si>
  <si>
    <t xml:space="preserve"> - v3.1</t>
  </si>
  <si>
    <t>May</t>
  </si>
  <si>
    <t xml:space="preserve"> - v4</t>
  </si>
  <si>
    <t xml:space="preserve"> - v5</t>
  </si>
  <si>
    <t>Jul</t>
  </si>
  <si>
    <t xml:space="preserve"> - v6</t>
  </si>
  <si>
    <t>Aug</t>
  </si>
  <si>
    <t xml:space="preserve"> - v7</t>
  </si>
  <si>
    <t>Sep</t>
  </si>
  <si>
    <t>Oct</t>
  </si>
  <si>
    <t>Nov</t>
  </si>
  <si>
    <t>Dec</t>
  </si>
  <si>
    <t xml:space="preserve"> - v4.1</t>
  </si>
  <si>
    <t xml:space="preserve"> - v5.1</t>
  </si>
  <si>
    <t xml:space="preserve"> - v6.1</t>
  </si>
  <si>
    <t xml:space="preserve"> - v7.1</t>
  </si>
  <si>
    <t>[Decision]</t>
  </si>
  <si>
    <t>Draft</t>
  </si>
  <si>
    <t>Final</t>
  </si>
  <si>
    <t>ESC USE ONLY</t>
  </si>
  <si>
    <t>CWW</t>
  </si>
  <si>
    <t>SEW</t>
  </si>
  <si>
    <t>YVW</t>
  </si>
  <si>
    <t>BW</t>
  </si>
  <si>
    <t>CGW</t>
  </si>
  <si>
    <t>CHW</t>
  </si>
  <si>
    <t>CW</t>
  </si>
  <si>
    <t>EGW</t>
  </si>
  <si>
    <t>GVW</t>
  </si>
  <si>
    <t>GWMW</t>
  </si>
  <si>
    <t>GWM Water</t>
  </si>
  <si>
    <t>NEW</t>
  </si>
  <si>
    <t>SGW</t>
  </si>
  <si>
    <t>WNW</t>
  </si>
  <si>
    <t>WPW</t>
  </si>
  <si>
    <t>Westernport Water</t>
  </si>
  <si>
    <t>WW</t>
  </si>
  <si>
    <t>SRW</t>
  </si>
  <si>
    <t>[Business]</t>
  </si>
  <si>
    <t>Decision type:</t>
  </si>
  <si>
    <t>FIFTH REG PERIOD</t>
  </si>
  <si>
    <t>3rd period</t>
  </si>
  <si>
    <t>Cost of Debt</t>
  </si>
  <si>
    <t>Return on Equity</t>
  </si>
  <si>
    <t>Difference</t>
  </si>
  <si>
    <t>Water business self-assessment</t>
  </si>
  <si>
    <t>Leading</t>
  </si>
  <si>
    <t>Advanced</t>
  </si>
  <si>
    <t>Standard</t>
  </si>
  <si>
    <t>Basic</t>
  </si>
  <si>
    <t>[Select]</t>
  </si>
  <si>
    <t>ESC assessment of submission</t>
  </si>
  <si>
    <t>Outcomes</t>
  </si>
  <si>
    <t>Business self assessment</t>
  </si>
  <si>
    <t>downgrading</t>
  </si>
  <si>
    <t>- v1.2</t>
  </si>
  <si>
    <t>Test</t>
  </si>
  <si>
    <t>Total controllable operating expenditure</t>
  </si>
  <si>
    <t>Total prescribed operating expenditure</t>
  </si>
  <si>
    <t>Other non-controllable</t>
  </si>
  <si>
    <t>Total non-controllable operating expenditure</t>
  </si>
  <si>
    <t>[Non-controllable 2]</t>
  </si>
  <si>
    <t>[Non-controllable 3]</t>
  </si>
  <si>
    <t>[Non-controllable 4]</t>
  </si>
  <si>
    <t>[Non-controllable 5]</t>
  </si>
  <si>
    <t>[Non-controllable 6]</t>
  </si>
  <si>
    <t>[Non-controllable 7]</t>
  </si>
  <si>
    <t>[Non-controllable 8]</t>
  </si>
  <si>
    <t>[Non-controllable 9]</t>
  </si>
  <si>
    <t>[Non-controllable 10]</t>
  </si>
  <si>
    <t>4th period</t>
  </si>
  <si>
    <t>Baseline Forecast</t>
  </si>
  <si>
    <t>Adjusted Baseline controllable operating expenditure (Forecast)</t>
  </si>
  <si>
    <t>Operating expenditure - reconciliation</t>
  </si>
  <si>
    <t>Total changes required to baseline operating expenditure</t>
  </si>
  <si>
    <t>Non-controllable operating expenditure</t>
  </si>
  <si>
    <t>Change - $</t>
  </si>
  <si>
    <t>Change - %</t>
  </si>
  <si>
    <t>Controllable opex - %</t>
  </si>
  <si>
    <t>Non-controllable opex - %</t>
  </si>
  <si>
    <t>Adjusted baseline opex</t>
  </si>
  <si>
    <t>External bulk water charges</t>
  </si>
  <si>
    <t>Total Non-controllable operating expenditure</t>
  </si>
  <si>
    <t>Operating Expenditure - Breakdown</t>
  </si>
  <si>
    <t>Operating Expenditure - Forecast</t>
  </si>
  <si>
    <t xml:space="preserve">Fixed </t>
  </si>
  <si>
    <t>Reconciliation</t>
  </si>
  <si>
    <t>Other Sources</t>
  </si>
  <si>
    <t>see reconciliation below</t>
  </si>
  <si>
    <t>Description</t>
  </si>
  <si>
    <t>By Cost Driver</t>
  </si>
  <si>
    <t>Improvements / Compliance</t>
  </si>
  <si>
    <t>Total prescribed capex</t>
  </si>
  <si>
    <t>Top 10 Major Projects</t>
  </si>
  <si>
    <t>Significant projects</t>
  </si>
  <si>
    <t>Capital Programs / Allocation</t>
  </si>
  <si>
    <t>Other Capital expenditure</t>
  </si>
  <si>
    <t>Tax Depreciation</t>
  </si>
  <si>
    <t>Nominal,$</t>
  </si>
  <si>
    <t>2023-24</t>
  </si>
  <si>
    <t>2024-25</t>
  </si>
  <si>
    <t>2025-26</t>
  </si>
  <si>
    <t>2026-27</t>
  </si>
  <si>
    <t>2027-28</t>
  </si>
  <si>
    <t>Project/program Name</t>
  </si>
  <si>
    <t>Asset category</t>
  </si>
  <si>
    <t>Capital type</t>
  </si>
  <si>
    <t>Year asset operational</t>
  </si>
  <si>
    <t>[Capital type]</t>
  </si>
  <si>
    <t>Capital Expenditure - Forecast Input</t>
  </si>
  <si>
    <t>Capital Expenditure - Asset Category Breakdown</t>
  </si>
  <si>
    <t>Rolled forward regulatory asset base (RAB)</t>
  </si>
  <si>
    <t>Capital Expenditure Summary</t>
  </si>
  <si>
    <t>CHECK</t>
  </si>
  <si>
    <t>DIFFERENCE</t>
  </si>
  <si>
    <t>TEST</t>
  </si>
  <si>
    <t>Net capital expenditure - Improvements / Compliance</t>
  </si>
  <si>
    <t>GREEN</t>
  </si>
  <si>
    <t>Average Asset life</t>
  </si>
  <si>
    <t>RAB Rolled forward</t>
  </si>
  <si>
    <t>Tax depreciation - new assets</t>
  </si>
  <si>
    <t>Tax depreciation - new assets (incl non-prescribed)</t>
  </si>
  <si>
    <t>Tax depreciation - existing assets (incl non-prescribed)</t>
  </si>
  <si>
    <t>By Capital Type</t>
  </si>
  <si>
    <t>Asset life (Regulatory)</t>
  </si>
  <si>
    <t>Asset life (Tax)</t>
  </si>
  <si>
    <t>Source</t>
  </si>
  <si>
    <t>[Source]</t>
  </si>
  <si>
    <t>Total External Bulk Charges</t>
  </si>
  <si>
    <t>Expenditure - Detail</t>
  </si>
  <si>
    <t>Regulatory depreciation of assets</t>
  </si>
  <si>
    <t>Return on assets (existing)</t>
  </si>
  <si>
    <t>Input Summary</t>
  </si>
  <si>
    <t>Price control - Fifth period</t>
  </si>
  <si>
    <t>Total tariff revenue</t>
  </si>
  <si>
    <t>Price cap - Fixed</t>
  </si>
  <si>
    <t xml:space="preserve">Price cap - Variable </t>
  </si>
  <si>
    <t xml:space="preserve">Revenue cap - Fixed </t>
  </si>
  <si>
    <t>Revenue cap - Variable</t>
  </si>
  <si>
    <t>[Asset category]</t>
  </si>
  <si>
    <t>Lower Murray Water - Urban</t>
  </si>
  <si>
    <t>LMW-U</t>
  </si>
  <si>
    <t>Lower Murray Water - Rural</t>
  </si>
  <si>
    <t>Southern Rural Water</t>
  </si>
  <si>
    <t>LMW-R</t>
  </si>
  <si>
    <t>Total capital expenditure</t>
  </si>
  <si>
    <t>Total operating expenditure</t>
  </si>
  <si>
    <t>RP4</t>
  </si>
  <si>
    <t>MODEL PARAMETERS / ASSUMPTIONS</t>
  </si>
  <si>
    <t>Revenue requirement - Building Blocks</t>
  </si>
  <si>
    <t>Major cost driver</t>
  </si>
  <si>
    <t>[Major Cost Driver]</t>
  </si>
  <si>
    <t>Cost of debt</t>
  </si>
  <si>
    <t>Re-financing weightings - average 10 yrs</t>
  </si>
  <si>
    <t xml:space="preserve">Cost of debt - 10 year trailing average  </t>
  </si>
  <si>
    <t>Forecast variations to baseline operating expenditure (above or below baseline)</t>
  </si>
  <si>
    <t>Price cap services</t>
  </si>
  <si>
    <t>Cost efficiency improvement rate (% per annum)</t>
  </si>
  <si>
    <r>
      <t xml:space="preserve">Water business self-assessment </t>
    </r>
    <r>
      <rPr>
        <sz val="9"/>
        <color theme="1"/>
        <rFont val="Calibri"/>
        <family val="2"/>
        <scheme val="minor"/>
      </rPr>
      <t>(Maximum allowable ROE)</t>
    </r>
  </si>
  <si>
    <t>Forecast variations to baseline operating expenditure</t>
  </si>
  <si>
    <r>
      <t xml:space="preserve">Cost of debt - 10 year trailing average </t>
    </r>
    <r>
      <rPr>
        <sz val="9"/>
        <color theme="8"/>
        <rFont val="Calibri"/>
        <family val="2"/>
        <scheme val="minor"/>
      </rPr>
      <t>(Nominal)</t>
    </r>
  </si>
  <si>
    <r>
      <t xml:space="preserve">WACC assumptions </t>
    </r>
    <r>
      <rPr>
        <sz val="9"/>
        <color theme="8"/>
        <rFont val="Calibri"/>
        <family val="2"/>
        <scheme val="minor"/>
      </rPr>
      <t>(retained for historical purposes only)</t>
    </r>
  </si>
  <si>
    <r>
      <t xml:space="preserve">Regulatory Rate of Return (RRR) - </t>
    </r>
    <r>
      <rPr>
        <sz val="9"/>
        <color theme="8"/>
        <rFont val="Calibri"/>
        <family val="2"/>
        <scheme val="minor"/>
      </rPr>
      <t>Nominal</t>
    </r>
  </si>
  <si>
    <r>
      <t xml:space="preserve">Regulatory Rate of Return (RRR) - </t>
    </r>
    <r>
      <rPr>
        <sz val="9"/>
        <color theme="8"/>
        <rFont val="Calibri"/>
        <family val="2"/>
        <scheme val="minor"/>
      </rPr>
      <t>Real</t>
    </r>
  </si>
  <si>
    <r>
      <t xml:space="preserve">RRR </t>
    </r>
    <r>
      <rPr>
        <sz val="9"/>
        <rFont val="Calibri"/>
        <family val="2"/>
        <scheme val="minor"/>
      </rPr>
      <t>(real)</t>
    </r>
  </si>
  <si>
    <r>
      <t xml:space="preserve">PREMO Assessment Matrix </t>
    </r>
    <r>
      <rPr>
        <sz val="9"/>
        <color theme="8"/>
        <rFont val="Calibri"/>
        <family val="2"/>
        <scheme val="minor"/>
      </rPr>
      <t>(linked to Regulatory Rate of Return calculation above)</t>
    </r>
  </si>
  <si>
    <r>
      <t>ROE Override</t>
    </r>
    <r>
      <rPr>
        <b/>
        <i/>
        <sz val="9"/>
        <color theme="1"/>
        <rFont val="Calibri"/>
        <family val="2"/>
        <scheme val="minor"/>
      </rPr>
      <t xml:space="preserve"> </t>
    </r>
    <r>
      <rPr>
        <sz val="9"/>
        <color theme="1"/>
        <rFont val="Calibri"/>
        <family val="2"/>
        <scheme val="minor"/>
      </rPr>
      <t>(Must be less than Maximum allowable ROE)</t>
    </r>
  </si>
  <si>
    <r>
      <t xml:space="preserve">ESSENTIAL SERVICES </t>
    </r>
    <r>
      <rPr>
        <sz val="11"/>
        <rFont val="Calibri"/>
        <family val="2"/>
        <scheme val="minor"/>
      </rPr>
      <t>COMMISSION</t>
    </r>
  </si>
  <si>
    <r>
      <t xml:space="preserve">External bulk charges </t>
    </r>
    <r>
      <rPr>
        <sz val="9"/>
        <color theme="8"/>
        <rFont val="Calibri"/>
        <family val="2"/>
        <scheme val="minor"/>
      </rPr>
      <t>(excl. temporary purchases)</t>
    </r>
  </si>
  <si>
    <r>
      <t xml:space="preserve">Depreciation override </t>
    </r>
    <r>
      <rPr>
        <sz val="9"/>
        <rFont val="Calibri"/>
        <family val="2"/>
        <scheme val="minor"/>
      </rPr>
      <t>(New assets)</t>
    </r>
    <r>
      <rPr>
        <b/>
        <sz val="9"/>
        <rFont val="Calibri"/>
        <family val="2"/>
        <scheme val="minor"/>
      </rPr>
      <t>:</t>
    </r>
  </si>
  <si>
    <r>
      <t xml:space="preserve">Depreciation override </t>
    </r>
    <r>
      <rPr>
        <sz val="9"/>
        <rFont val="Calibri"/>
        <family val="2"/>
        <scheme val="minor"/>
      </rPr>
      <t>(Existing assets)</t>
    </r>
    <r>
      <rPr>
        <b/>
        <sz val="9"/>
        <rFont val="Calibri"/>
        <family val="2"/>
        <scheme val="minor"/>
      </rPr>
      <t>:</t>
    </r>
  </si>
  <si>
    <r>
      <t>Total regulatory depreciation</t>
    </r>
    <r>
      <rPr>
        <sz val="9"/>
        <rFont val="Calibri"/>
        <family val="2"/>
        <scheme val="minor"/>
      </rPr>
      <t xml:space="preserve"> (Existing assets)</t>
    </r>
    <r>
      <rPr>
        <b/>
        <sz val="9"/>
        <rFont val="Calibri"/>
        <family val="2"/>
        <scheme val="minor"/>
      </rPr>
      <t>:</t>
    </r>
  </si>
  <si>
    <r>
      <rPr>
        <u/>
        <sz val="9"/>
        <rFont val="Calibri"/>
        <family val="2"/>
        <scheme val="minor"/>
      </rPr>
      <t>Non-Prescribed</t>
    </r>
    <r>
      <rPr>
        <sz val="9"/>
        <rFont val="Calibri"/>
        <family val="2"/>
        <scheme val="minor"/>
      </rPr>
      <t xml:space="preserve"> Tax Depreciation - new assets</t>
    </r>
  </si>
  <si>
    <r>
      <t xml:space="preserve">Revenue adjustments </t>
    </r>
    <r>
      <rPr>
        <vertAlign val="superscript"/>
        <sz val="9"/>
        <rFont val="Calibri"/>
        <family val="2"/>
        <scheme val="minor"/>
      </rPr>
      <t>1</t>
    </r>
  </si>
  <si>
    <r>
      <t xml:space="preserve">Expenditure adjustments </t>
    </r>
    <r>
      <rPr>
        <vertAlign val="superscript"/>
        <sz val="9"/>
        <rFont val="Calibri"/>
        <family val="2"/>
        <scheme val="minor"/>
      </rPr>
      <t>2</t>
    </r>
  </si>
  <si>
    <r>
      <t xml:space="preserve">Operating Adjustments </t>
    </r>
    <r>
      <rPr>
        <vertAlign val="superscript"/>
        <sz val="9"/>
        <rFont val="Calibri"/>
        <family val="2"/>
        <scheme val="minor"/>
      </rPr>
      <t>3</t>
    </r>
  </si>
  <si>
    <r>
      <t xml:space="preserve">Investing adjustments </t>
    </r>
    <r>
      <rPr>
        <vertAlign val="superscript"/>
        <sz val="9"/>
        <rFont val="Calibri"/>
        <family val="2"/>
        <scheme val="minor"/>
      </rPr>
      <t>4</t>
    </r>
  </si>
  <si>
    <t>Goulburn-Murray Water</t>
  </si>
  <si>
    <t>WACC - HISTORIC</t>
  </si>
  <si>
    <t>NEW1</t>
  </si>
  <si>
    <t>NEW2</t>
  </si>
  <si>
    <t>NEW3</t>
  </si>
  <si>
    <t>diff model</t>
  </si>
  <si>
    <t>Secondary Indicators</t>
  </si>
  <si>
    <t>Primary Indicator</t>
  </si>
  <si>
    <t>&gt; 35 per cent</t>
  </si>
  <si>
    <t>&gt; 1.5 times</t>
  </si>
  <si>
    <t>FFO / Net debt (%)</t>
  </si>
  <si>
    <t>Net Debt / RAV (Gearing) (%)</t>
  </si>
  <si>
    <t>Marginal Interest Rate - Borrowings</t>
  </si>
  <si>
    <t>Marginal Interest Rate - Cash</t>
  </si>
  <si>
    <t>ESC to update prior to final decision</t>
  </si>
  <si>
    <t>&lt;&lt; Source: PREMO Assessment Matrix</t>
  </si>
  <si>
    <t>Controllable</t>
  </si>
  <si>
    <t>only</t>
  </si>
  <si>
    <t>Enter negative figures only</t>
  </si>
  <si>
    <t>&lt;&lt; Linked to Benchmark tax liability calculation (Rev&amp;RAV_FO)</t>
  </si>
  <si>
    <t>Guaranteed Service Levels (GSL)</t>
  </si>
  <si>
    <t>Guaranteed Service Levels</t>
  </si>
  <si>
    <t>Number of GSL applicable events for each GSL indicator</t>
  </si>
  <si>
    <t>ACTUAL</t>
  </si>
  <si>
    <t>FORECAST</t>
  </si>
  <si>
    <t>GSL 1</t>
  </si>
  <si>
    <t>GSL 2</t>
  </si>
  <si>
    <t>GSL 3</t>
  </si>
  <si>
    <t>GSL 4</t>
  </si>
  <si>
    <t>GSL 5</t>
  </si>
  <si>
    <t>GSL 6</t>
  </si>
  <si>
    <t>GSL 7</t>
  </si>
  <si>
    <t>GSL 8</t>
  </si>
  <si>
    <t>GSL 9</t>
  </si>
  <si>
    <t>GSL 10</t>
  </si>
  <si>
    <t>GSL 11</t>
  </si>
  <si>
    <t>GSL 12</t>
  </si>
  <si>
    <t>GSL 13</t>
  </si>
  <si>
    <t>GSL 14</t>
  </si>
  <si>
    <t>GSL 15</t>
  </si>
  <si>
    <t>GSL 16</t>
  </si>
  <si>
    <t>GSL 17</t>
  </si>
  <si>
    <t>GSL 18</t>
  </si>
  <si>
    <t>GSL 19</t>
  </si>
  <si>
    <t>GSL 20</t>
  </si>
  <si>
    <t>$,nominal</t>
  </si>
  <si>
    <t>Proposed</t>
  </si>
  <si>
    <t>Current</t>
  </si>
  <si>
    <t>GSL payment/rebate</t>
  </si>
  <si>
    <t>Outcome 1</t>
  </si>
  <si>
    <t>Output 1</t>
  </si>
  <si>
    <t>Output 2</t>
  </si>
  <si>
    <t>Output 3</t>
  </si>
  <si>
    <t>Output 4</t>
  </si>
  <si>
    <t>Output 5</t>
  </si>
  <si>
    <t>Output 6</t>
  </si>
  <si>
    <t>Output 7</t>
  </si>
  <si>
    <t>Output 8</t>
  </si>
  <si>
    <t>Output 9</t>
  </si>
  <si>
    <t>Output 10</t>
  </si>
  <si>
    <t>Outcome 2</t>
  </si>
  <si>
    <t>Outcome 3</t>
  </si>
  <si>
    <t>Outcome 4</t>
  </si>
  <si>
    <t>Outcome 5</t>
  </si>
  <si>
    <t>Outcome 6</t>
  </si>
  <si>
    <t>Minimum flow rates</t>
  </si>
  <si>
    <t>20mm</t>
  </si>
  <si>
    <t>25mm</t>
  </si>
  <si>
    <t>32mm</t>
  </si>
  <si>
    <t>40mm</t>
  </si>
  <si>
    <t>50mm</t>
  </si>
  <si>
    <t>Business proposed outcomes and outputs</t>
  </si>
  <si>
    <t>Number of unplanned water supply interruptions for each customer in any 12 month period</t>
  </si>
  <si>
    <t>Number of sewer blockages for each customer in any 12 month period</t>
  </si>
  <si>
    <t>Hours from notification to attend water bursts and leaks, and sewer spills and blockages</t>
  </si>
  <si>
    <t>Hours to restore an interruption to water services</t>
  </si>
  <si>
    <t>Hours for clearance of sewer blockages in the water business's pipe</t>
  </si>
  <si>
    <t>Hours for containment of sewer spills</t>
  </si>
  <si>
    <t>Other</t>
  </si>
  <si>
    <t xml:space="preserve"> Unit of measurement</t>
  </si>
  <si>
    <t>Output descriptor</t>
  </si>
  <si>
    <t>Outcome 7</t>
  </si>
  <si>
    <t>Outcome 10</t>
  </si>
  <si>
    <t>Outcome 9</t>
  </si>
  <si>
    <t>Outcome 8</t>
  </si>
  <si>
    <t>&lt;&lt; Used as normalising metric for dashboard graphs</t>
  </si>
  <si>
    <t>%</t>
  </si>
  <si>
    <t>Fixed %</t>
  </si>
  <si>
    <t>Total</t>
  </si>
  <si>
    <t>Check</t>
  </si>
  <si>
    <t>Estimate</t>
  </si>
  <si>
    <t>Variable %</t>
  </si>
  <si>
    <r>
      <rPr>
        <b/>
        <sz val="9"/>
        <rFont val="Calibri"/>
        <family val="2"/>
        <scheme val="minor"/>
      </rPr>
      <t>Tariff Revenue</t>
    </r>
    <r>
      <rPr>
        <sz val="9"/>
        <rFont val="Calibri"/>
        <family val="2"/>
        <scheme val="minor"/>
      </rPr>
      <t xml:space="preserve"> - Fixed vs. Variable</t>
    </r>
  </si>
  <si>
    <r>
      <rPr>
        <b/>
        <sz val="9"/>
        <rFont val="Calibri"/>
        <family val="2"/>
        <scheme val="minor"/>
      </rPr>
      <t>Tariff Revenue</t>
    </r>
    <r>
      <rPr>
        <sz val="9"/>
        <rFont val="Calibri"/>
        <family val="2"/>
        <scheme val="minor"/>
      </rPr>
      <t xml:space="preserve"> - By Service</t>
    </r>
  </si>
  <si>
    <t>PPM</t>
  </si>
  <si>
    <t>Capital Expenditure</t>
  </si>
  <si>
    <t>Regulatory depreciation - Existing Assets</t>
  </si>
  <si>
    <t>Total Prescribed Operating Expenditure</t>
  </si>
  <si>
    <t>Regulatory Depreciation - Total</t>
  </si>
  <si>
    <t>Regulatory Depreciation - Existing Assets</t>
  </si>
  <si>
    <t>Regulatory Depreciation - New Assets</t>
  </si>
  <si>
    <t>Proceeds from Disposals</t>
  </si>
  <si>
    <t xml:space="preserve">Bulk Water </t>
  </si>
  <si>
    <t>Net capital expenditure - Renewals</t>
  </si>
  <si>
    <t>Net capital expenditure - Growth</t>
  </si>
  <si>
    <t>Government Contributions</t>
  </si>
  <si>
    <t>Customer Contributions</t>
  </si>
  <si>
    <t>Total Labour costs</t>
  </si>
  <si>
    <t>Total Energy costs</t>
  </si>
  <si>
    <t>Total Chemical costs</t>
  </si>
  <si>
    <t xml:space="preserve">Examples of standards required by Customer Service Code </t>
  </si>
  <si>
    <t>Total metered volume of water delivered to customers (ML) - [BED 10]</t>
  </si>
  <si>
    <t>Residential, Non-Residential &amp; Recycled (Residential &amp; Non-Residential)</t>
  </si>
  <si>
    <t>$,million (nominal)</t>
  </si>
  <si>
    <t>$,million (real)</t>
  </si>
  <si>
    <t>$, (nominal)</t>
  </si>
  <si>
    <t>Check to GSL Payments (Opex_Breakdown)(real)</t>
  </si>
  <si>
    <r>
      <t xml:space="preserve">Water customers (No.) - </t>
    </r>
    <r>
      <rPr>
        <i/>
        <sz val="9"/>
        <rFont val="Calibri"/>
        <family val="2"/>
        <scheme val="minor"/>
      </rPr>
      <t xml:space="preserve">Residential &amp; Non-Residential </t>
    </r>
    <r>
      <rPr>
        <sz val="9"/>
        <rFont val="Calibri"/>
        <family val="2"/>
        <scheme val="minor"/>
      </rPr>
      <t>- [BED 1]</t>
    </r>
  </si>
  <si>
    <r>
      <t xml:space="preserve">Sewer customers (No.) - </t>
    </r>
    <r>
      <rPr>
        <i/>
        <sz val="9"/>
        <rFont val="Calibri"/>
        <family val="2"/>
        <scheme val="minor"/>
      </rPr>
      <t>Residential &amp; Non-Residential</t>
    </r>
    <r>
      <rPr>
        <sz val="9"/>
        <rFont val="Calibri"/>
        <family val="2"/>
        <scheme val="minor"/>
      </rPr>
      <t xml:space="preserve"> - [BED 2]</t>
    </r>
  </si>
  <si>
    <t>Water customers (No.) - Residential &amp; Non-Residential - [BED 1]</t>
  </si>
  <si>
    <t>Sewer customers (No.) - Residential &amp; Non-Residential - [BED 2]</t>
  </si>
  <si>
    <t>REVENUE REQUIREMENT</t>
  </si>
  <si>
    <t>CAPITAL EXPENDITURE</t>
  </si>
  <si>
    <t>Revenue requirement ($m)</t>
  </si>
  <si>
    <t>3rd Reg Period</t>
  </si>
  <si>
    <t>4th Reg Period</t>
  </si>
  <si>
    <t>5th Reg Period</t>
  </si>
  <si>
    <t>Total prescribed capital expenditure by service category ($m)</t>
  </si>
  <si>
    <t>Values</t>
  </si>
  <si>
    <t>Reg period average</t>
  </si>
  <si>
    <t>REVENUE REQUIREMENT - BUILDING BLOCKS</t>
  </si>
  <si>
    <t>Total prescribed capital expenditure by cost driver ($m)</t>
  </si>
  <si>
    <t>Net capital expenditure - renewals</t>
  </si>
  <si>
    <t>Net capital expenditure - growth</t>
  </si>
  <si>
    <t>Total prescribed capital expenditure by cost driver - Water ($m)</t>
  </si>
  <si>
    <t>VARIABLE COSTS VS FIXED COSTS</t>
  </si>
  <si>
    <t>Total tariff revenue - Fixed vs Variable ($m)</t>
  </si>
  <si>
    <t>Total prescribed capital expenditure by cost driver - Sewerage ($m)</t>
  </si>
  <si>
    <t xml:space="preserve">Total revenue requirement </t>
  </si>
  <si>
    <t>4th regulatory period</t>
  </si>
  <si>
    <t>OPERATING EXPENDITURE</t>
  </si>
  <si>
    <t>Total prescribed capital expenditure by capital type ($m)</t>
  </si>
  <si>
    <t>Total prescribed operating expenditure ($m)</t>
  </si>
  <si>
    <t>Controllable opex</t>
  </si>
  <si>
    <t>Non-controllable opex</t>
  </si>
  <si>
    <t>Total prescribed capital expenditure by capital type - Water ($m)</t>
  </si>
  <si>
    <t>Total prescribed capital expenditure by capital type - Sewerage ($m)</t>
  </si>
  <si>
    <t>Capital programs / Allocation and other capital expenditure by service category ($m)</t>
  </si>
  <si>
    <t>Total prescribed operating expenditure - Water ($m)</t>
  </si>
  <si>
    <t>Total capital programs / allocations</t>
  </si>
  <si>
    <t>CAPITAL EXPENDITURE VS REGULATORY DEPRECIATION</t>
  </si>
  <si>
    <t>Total prescribed opex - Water</t>
  </si>
  <si>
    <t>Capital expenditure</t>
  </si>
  <si>
    <t>Total prescribed operating expenditure - Sewerage ($m)</t>
  </si>
  <si>
    <t>Regulatory depreciation</t>
  </si>
  <si>
    <t>LABOUR COSTS</t>
  </si>
  <si>
    <t>Labour costs per water connections</t>
  </si>
  <si>
    <t>FTE's per water connections</t>
  </si>
  <si>
    <t>Total prescribed opex - Sewerage</t>
  </si>
  <si>
    <t>Controllable opex per water connections</t>
  </si>
  <si>
    <t>Average unit labour cost (labour costs per FTE)</t>
  </si>
  <si>
    <t>CHEMICAL COSTS</t>
  </si>
  <si>
    <t>Controllable water opex per water connections</t>
  </si>
  <si>
    <t>Chemical costs per water volume</t>
  </si>
  <si>
    <t>Controllable sewerage opex per sewerage connections</t>
  </si>
  <si>
    <t>ENERGY COSTS</t>
  </si>
  <si>
    <t>TOTEX</t>
  </si>
  <si>
    <t>Energy costs per water volume</t>
  </si>
  <si>
    <t>Total prescribed expenditure per water connections</t>
  </si>
  <si>
    <t>COMPOSITION OF RAV</t>
  </si>
  <si>
    <t>INTEREST COVER</t>
  </si>
  <si>
    <t xml:space="preserve">Existing assets </t>
  </si>
  <si>
    <t>Interest cover</t>
  </si>
  <si>
    <t>New assets</t>
  </si>
  <si>
    <t>INTERNAL FINANCING RATIO</t>
  </si>
  <si>
    <t>Internal financing ratio</t>
  </si>
  <si>
    <t xml:space="preserve">CPI index re-referenced in 2012-13, shaded values have been hardcoded to lock in RAB value. </t>
  </si>
  <si>
    <t>Average Annual Household Bill</t>
  </si>
  <si>
    <t>Q</t>
  </si>
  <si>
    <t>T</t>
  </si>
  <si>
    <t>Avg. annual consumption (kL per household)</t>
  </si>
  <si>
    <t>Supply charge Water (annual)</t>
  </si>
  <si>
    <t>Tier 1</t>
  </si>
  <si>
    <t>Tier 2</t>
  </si>
  <si>
    <t>Tier 3</t>
  </si>
  <si>
    <t>Supply charge Wastewater (annual)</t>
  </si>
  <si>
    <t>Volumetric wastewater</t>
  </si>
  <si>
    <t>Water Fixed</t>
  </si>
  <si>
    <t>Water Variable</t>
  </si>
  <si>
    <t>Sewerage Fixed</t>
  </si>
  <si>
    <t>Sewerage Variable</t>
  </si>
  <si>
    <t>Total Household Bill - Maximum</t>
  </si>
  <si>
    <t>Owner Occupier</t>
  </si>
  <si>
    <t>Owner Occupier Bill</t>
  </si>
  <si>
    <t>YoY Change</t>
  </si>
  <si>
    <t>OB - YoY Change</t>
  </si>
  <si>
    <t>Tenant Bill</t>
  </si>
  <si>
    <t>Tenant</t>
  </si>
  <si>
    <t>TB - YoY Change</t>
  </si>
  <si>
    <t>Zero Line</t>
  </si>
  <si>
    <t>Adjustments to Max. Prices (show / hide)</t>
  </si>
  <si>
    <t>1. Carbon Tax Reduction</t>
  </si>
  <si>
    <t>2. Efficiency Savings - Tariff Reduction</t>
  </si>
  <si>
    <t>3. Other adjustments</t>
  </si>
  <si>
    <t>4. Efficiency Savings - Rebate</t>
  </si>
  <si>
    <t>Total Household Bill - Actual</t>
  </si>
  <si>
    <t>Workings (show / hide)</t>
  </si>
  <si>
    <t>Inclining Blocks</t>
  </si>
  <si>
    <t>First block</t>
  </si>
  <si>
    <t>Middle Block</t>
  </si>
  <si>
    <t>Third Block</t>
  </si>
  <si>
    <t>Relative</t>
  </si>
  <si>
    <t>T1</t>
  </si>
  <si>
    <t>T2</t>
  </si>
  <si>
    <t>T3</t>
  </si>
  <si>
    <t>Monthly Load Profile</t>
  </si>
  <si>
    <t>Periodic Consumption</t>
  </si>
  <si>
    <t>P1</t>
  </si>
  <si>
    <t>P2</t>
  </si>
  <si>
    <t>P3</t>
  </si>
  <si>
    <t>P4</t>
  </si>
  <si>
    <t>Consumption by Tier</t>
  </si>
  <si>
    <t>All</t>
  </si>
  <si>
    <t>Variable Wastewater</t>
  </si>
  <si>
    <t>% of water</t>
  </si>
  <si>
    <t>Sewerage Disposal Charge</t>
  </si>
  <si>
    <t>Month</t>
  </si>
  <si>
    <t>SI</t>
  </si>
  <si>
    <t>No. Days</t>
  </si>
  <si>
    <t>S.I * Days</t>
  </si>
  <si>
    <t>SF</t>
  </si>
  <si>
    <t>DF</t>
  </si>
  <si>
    <t>SI = Seasonal Index</t>
  </si>
  <si>
    <t>SF = Seasonal Factor; number of days in metering period divided by (seasonal indices X days in the month)</t>
  </si>
  <si>
    <t>DF = Discharge Factor</t>
  </si>
  <si>
    <t>Revenue &gt; Opex</t>
  </si>
  <si>
    <t>All sewerage discharge assumed @ 50% of water use</t>
  </si>
  <si>
    <t>ESC ASSESSMENT</t>
  </si>
  <si>
    <t>8 - Tariff Revenue - By Service and Type</t>
  </si>
  <si>
    <t/>
  </si>
  <si>
    <t>2 - Simple Moving Averages</t>
  </si>
  <si>
    <t>5 - Revenue-Weighted Moving Averages</t>
  </si>
  <si>
    <t>Quantity</t>
  </si>
  <si>
    <t>Price - Avg. YoY Growth for each Reg Period</t>
  </si>
  <si>
    <t>Price - Wgt. Avg. YoY Growth for each Reg Period</t>
  </si>
  <si>
    <t>Quantity -  Avg. YoY Growth for each Reg Period</t>
  </si>
  <si>
    <t>Quantity -  Wgt. Avg. YoY Growth for each Reg Period</t>
  </si>
  <si>
    <t>Revenue -  Avg. YoY Growth for each Reg Period</t>
  </si>
  <si>
    <t>Revenue -  Wgt. Avg. YoY Growth for each Reg Period</t>
  </si>
  <si>
    <t>1 - Year-over-Year (YoY) Growth Rate</t>
  </si>
  <si>
    <t>3 - YoY Growth Rate</t>
  </si>
  <si>
    <t>4 - Revenue-Weighted YoY Growth Rate</t>
  </si>
  <si>
    <t>Actual</t>
  </si>
  <si>
    <t>Forecasted</t>
  </si>
  <si>
    <t>2 - Overall Average Growth Rate</t>
  </si>
  <si>
    <t>CPI Adjustment to Actual Prices (Show / Hide)</t>
  </si>
  <si>
    <t>Year</t>
  </si>
  <si>
    <t>Dollars</t>
  </si>
  <si>
    <t>CPI Index</t>
  </si>
  <si>
    <t>Net baseline opex growth</t>
  </si>
  <si>
    <t>% of Total</t>
  </si>
  <si>
    <t>Water Volumetric</t>
  </si>
  <si>
    <t>Water Volumetric - Major Customers</t>
  </si>
  <si>
    <t>Fixed tariff group 1 -20 mm</t>
  </si>
  <si>
    <t>Fixed tariff group - 1 -25mm</t>
  </si>
  <si>
    <t>Fixed tariff group - 1 -32mm</t>
  </si>
  <si>
    <t>Fixed tariff group - 1 -40mm</t>
  </si>
  <si>
    <t>Fixed tariff group - 1 -50mm</t>
  </si>
  <si>
    <t>Fixed tariff group - 1 -80mm</t>
  </si>
  <si>
    <t>Fixed tariff group - 1 -100mm</t>
  </si>
  <si>
    <t>Fixed tariff group - 1 -150mm</t>
  </si>
  <si>
    <t>Fixed tariff group - 1 -200mm</t>
  </si>
  <si>
    <t>Fixed tariff group - 1 -250mm</t>
  </si>
  <si>
    <t>Fixed tariff group - 1 -300mm</t>
  </si>
  <si>
    <t>Fixed tariff group - 1 -20mm Eskdale</t>
  </si>
  <si>
    <t>Fixed tariff group - 1 -25mm Eskdale</t>
  </si>
  <si>
    <t>Fixed tariff group - 1 -40mm Eskdale</t>
  </si>
  <si>
    <t>Fixed tariff group - 1 -50mm Eskdale</t>
  </si>
  <si>
    <t>Fixed tariff group 2 -20 mm</t>
  </si>
  <si>
    <t>Fixed tariff group 2 -25 mm</t>
  </si>
  <si>
    <t>Fixed tariff group 2 -32 mm</t>
  </si>
  <si>
    <t>Fixed tariff group - 2 -40mm</t>
  </si>
  <si>
    <t>Fixed tariff group - 2 -50mm</t>
  </si>
  <si>
    <t>Fixed tariff group - 2 -80mm</t>
  </si>
  <si>
    <t>Fixed tariff group - 2 -100mm</t>
  </si>
  <si>
    <t>Fixed tariff group - 2 -150mm</t>
  </si>
  <si>
    <t>Fixed tariff group - 3 -20mm</t>
  </si>
  <si>
    <t>Fixed tariff group - 3 -25mm</t>
  </si>
  <si>
    <t>Fixed tariff group - 3 -32mm</t>
  </si>
  <si>
    <t>Fixed tariff group - 3 -40mm</t>
  </si>
  <si>
    <t>Fixed tariff group - 3 -50mm</t>
  </si>
  <si>
    <t>Fixed tariff group - 3 -80mm</t>
  </si>
  <si>
    <t>Fixed tariff group - 3 -100mm</t>
  </si>
  <si>
    <t>Standpipe charges</t>
  </si>
  <si>
    <t>Fire Service charges</t>
  </si>
  <si>
    <t>Wastewater Fixed Charges - Group A</t>
  </si>
  <si>
    <t>Wastewater Fixed Charges - Group B</t>
  </si>
  <si>
    <t>Wastewater Fixed Charges - Group C</t>
  </si>
  <si>
    <t>Wastewater Fixed Charges - Group D</t>
  </si>
  <si>
    <t>Wastewater Fixed Charges - Group E (WALWA)</t>
  </si>
  <si>
    <t>Wastewater Fixed Charge - Bandiana Army</t>
  </si>
  <si>
    <t>Major - Converted Discharge</t>
  </si>
  <si>
    <t>Major - Chemial Oxygen Demand</t>
  </si>
  <si>
    <t>Major - Suspended Solids</t>
  </si>
  <si>
    <t>Major - TKN</t>
  </si>
  <si>
    <t>Major - Total Phosphorus</t>
  </si>
  <si>
    <t>Major - Total Dissolved Solids</t>
  </si>
  <si>
    <t>Major - Oil and Grease</t>
  </si>
  <si>
    <t>Major - Ammonia</t>
  </si>
  <si>
    <t>Major - Sodium</t>
  </si>
  <si>
    <t>Major -Total Oxidised Sulphur</t>
  </si>
  <si>
    <t>Commercial Tradewaste Category 4</t>
  </si>
  <si>
    <t xml:space="preserve">NCC </t>
  </si>
  <si>
    <t>NCC</t>
  </si>
  <si>
    <t>Cat A - Non Potable Fixed Charge 20mm</t>
  </si>
  <si>
    <t>Cat A - Non Potable Fixed Charge 25mm</t>
  </si>
  <si>
    <t>Cat B - Non Potable Fixed Charge 20mm</t>
  </si>
  <si>
    <t>Cat B - Non Potable Fixed Charge 25mm</t>
  </si>
  <si>
    <t>Cat B - Non Potable Fixed Charge 32mm</t>
  </si>
  <si>
    <t>Cat C - Non Potable Fixed Charge 20mm</t>
  </si>
  <si>
    <t>Cat C - Non Potable Fixed Charge 25mm</t>
  </si>
  <si>
    <t>Cat C - Non Potable Fixed Charge 32mm</t>
  </si>
  <si>
    <t>Cat C - Non Potable Fixed Charge 50mm</t>
  </si>
  <si>
    <t>Commercial  Tradewaste Category 2</t>
  </si>
  <si>
    <t>Commercial  Tradewaste Category 3</t>
  </si>
  <si>
    <t>Fixed Charges 2012-13 50mm</t>
  </si>
  <si>
    <t>Fixed Charges 2012-13 80mm</t>
  </si>
  <si>
    <t>Fixed Charges 2012-13 100mm</t>
  </si>
  <si>
    <t>Fixed Charges 2012-13 150mm</t>
  </si>
  <si>
    <t>Fixed Charges 2012-13 200mm</t>
  </si>
  <si>
    <t>Fixed Charges 2012-13 250mm</t>
  </si>
  <si>
    <t>Fixed Charges 2012-13 300mm</t>
  </si>
  <si>
    <t>Fixed Charge Cat 1 - Wangaratta, Yarrawonga, Benalla, wodonga, Baranduda</t>
  </si>
  <si>
    <t>Fixed Charge Cat 2 - Bright, Rutherglen, Wahgunyah, Beechworth, Mt Beauty, Tawonga, Tawonga South, Myrtleford, Porepunkah</t>
  </si>
  <si>
    <t xml:space="preserve"> Fixed Charge Cat 3 Chiltern, Tallangatta, Corryong, Yackandandah</t>
  </si>
  <si>
    <t>Fixed Charge Cat 4 - Bellbridge</t>
  </si>
  <si>
    <t>Fixed Charge Cat 5 - Dartmouth</t>
  </si>
  <si>
    <t>Fixed Charge Cat 6 - Kiewa, Tangam, Barnawartah</t>
  </si>
  <si>
    <t>Fixed Charge Cat 7 - Bundalong</t>
  </si>
  <si>
    <t>Major Trade Waste 2012-13</t>
  </si>
  <si>
    <t>No.</t>
  </si>
  <si>
    <t>Responsive Services</t>
  </si>
  <si>
    <t>Proposed - controllable operating expenditure</t>
  </si>
  <si>
    <t>Proposed - non-controllable operating expenditure</t>
  </si>
  <si>
    <t>Proposed - total operating expenditure</t>
  </si>
  <si>
    <t>Proposed - capital expenditure</t>
  </si>
  <si>
    <t>Total adjustments</t>
  </si>
  <si>
    <t>SIXTH REG PERIOD</t>
  </si>
  <si>
    <t>Model Updates</t>
  </si>
  <si>
    <t>Date</t>
  </si>
  <si>
    <t>Topic</t>
  </si>
  <si>
    <t>Tab</t>
  </si>
  <si>
    <t>Cell</t>
  </si>
  <si>
    <t>Comments</t>
  </si>
  <si>
    <t>DD adjustments</t>
  </si>
  <si>
    <t>xx</t>
  </si>
  <si>
    <t>FD adjustments</t>
  </si>
  <si>
    <t>Draft decision - controllable operating expenditure</t>
  </si>
  <si>
    <t>Draft decision - non-controllable operating expenditure</t>
  </si>
  <si>
    <t>Draft decision - total operating expenditure</t>
  </si>
  <si>
    <t>Draft decision - capital expenditure</t>
  </si>
  <si>
    <t>2028-29</t>
  </si>
  <si>
    <t>2029-30</t>
  </si>
  <si>
    <t>2030-31</t>
  </si>
  <si>
    <t>2031-32</t>
  </si>
  <si>
    <t>2032-33</t>
  </si>
  <si>
    <t>2033-34</t>
  </si>
  <si>
    <t>2034-35</t>
  </si>
  <si>
    <t>2035-36</t>
  </si>
  <si>
    <t>$m, 01/01/26</t>
  </si>
  <si>
    <t>Enter 2016-17 closing balance here&gt;&gt;&gt;</t>
  </si>
  <si>
    <t xml:space="preserve"> </t>
  </si>
  <si>
    <t>RP5</t>
  </si>
  <si>
    <t>Revenue Requirement</t>
  </si>
  <si>
    <t>Revenue Requirement Total</t>
  </si>
  <si>
    <t>Tariff revenue efficiency rebate</t>
  </si>
  <si>
    <t>&lt;&lt;&lt;Enter negative figures only</t>
  </si>
  <si>
    <t>PURPLE</t>
  </si>
  <si>
    <t>5th period</t>
  </si>
  <si>
    <t>Opex growth forecast (% per annum)</t>
  </si>
  <si>
    <t>Total FTEs (current and forecast at 30 June)</t>
  </si>
  <si>
    <t>Total Labour costs (actual and forecast $m)</t>
  </si>
  <si>
    <t>Difference ($m)</t>
  </si>
  <si>
    <t>Total Energy costs (actual and forecast $m)</t>
  </si>
  <si>
    <t>Total IT costs (actual and forecast $m)</t>
  </si>
  <si>
    <t>Total Chemical costs (actual and forecast $m)</t>
  </si>
  <si>
    <t>($, 2025-26)</t>
  </si>
  <si>
    <t>Adjusted baseline controllable operating expenditure (2024-25)</t>
  </si>
  <si>
    <t>Variations to the baseline year benchmark</t>
  </si>
  <si>
    <t>Proposed baseline difference</t>
  </si>
  <si>
    <t>Unexplained Difference</t>
  </si>
  <si>
    <t xml:space="preserve">Remaining unexplained  (%) </t>
  </si>
  <si>
    <t>Baseline year - total controllable operating expenditure in 2024-25:</t>
  </si>
  <si>
    <t>Discrepancy between approved 24-25 benchmark and actual 24-25 controllable opex</t>
  </si>
  <si>
    <t xml:space="preserve">% difference </t>
  </si>
  <si>
    <t>FD 2018 - Approved Benchmarks and Forecasts</t>
  </si>
  <si>
    <t>ê</t>
  </si>
  <si>
    <t>Amount applied to RAB calculations</t>
  </si>
  <si>
    <t>$ Difference</t>
  </si>
  <si>
    <t>% Difference</t>
  </si>
  <si>
    <t>Select FD 2018 outlook or updated forecast for RAB calculation</t>
  </si>
  <si>
    <t>$, 2025-26</t>
  </si>
  <si>
    <t>Actual &amp; 25-26 update</t>
  </si>
  <si>
    <t>Forecast</t>
  </si>
  <si>
    <t>% difference</t>
  </si>
  <si>
    <t>Comparison: benchmark 2017-18 to 2025-26 total capex</t>
  </si>
  <si>
    <t>Actual 2017-18 to 2024-25</t>
  </si>
  <si>
    <t>Benchmark 2017-18 to 2024-25</t>
  </si>
  <si>
    <t>FD 2017/18 Forecast</t>
  </si>
  <si>
    <t>Water business 1</t>
  </si>
  <si>
    <t>Water business 2</t>
  </si>
  <si>
    <t>Parameter 1</t>
  </si>
  <si>
    <t>Parameter 2</t>
  </si>
  <si>
    <t>ID</t>
  </si>
  <si>
    <t>Index</t>
  </si>
  <si>
    <t>RAV (Opening Base)</t>
  </si>
  <si>
    <t>Total controllable opex</t>
  </si>
  <si>
    <t>Number</t>
  </si>
  <si>
    <t>ML</t>
  </si>
  <si>
    <t>Forecast FTEs (FD 2017/18 forecasts)</t>
  </si>
  <si>
    <t>Total Labour costs (FD 2017/18 forecasts)</t>
  </si>
  <si>
    <t>Total Energy costs (FD 2017/18 forecasts)</t>
  </si>
  <si>
    <t>Total IT costs (FD 2017/18 forecasts)</t>
  </si>
  <si>
    <t>Total Chemical costs (FD 2017/18 forecasts)</t>
  </si>
  <si>
    <t>per 2018  model</t>
  </si>
  <si>
    <t>per FD2018 model</t>
  </si>
  <si>
    <t>Comparison with approved 2024-25 total controllable opex</t>
  </si>
  <si>
    <t>FD 2017/18 - Approved Benchmarks and Forecasts</t>
  </si>
  <si>
    <t>Regulatory Period Total</t>
  </si>
  <si>
    <t>Regulatory Period (Total)</t>
  </si>
  <si>
    <t>Regulatory Period (Annual average)</t>
  </si>
  <si>
    <r>
      <t>5</t>
    </r>
    <r>
      <rPr>
        <b/>
        <vertAlign val="superscript"/>
        <sz val="9"/>
        <color theme="8"/>
        <rFont val="Calibri"/>
        <family val="2"/>
        <scheme val="minor"/>
      </rPr>
      <t>th</t>
    </r>
    <r>
      <rPr>
        <b/>
        <sz val="9"/>
        <color theme="8"/>
        <rFont val="Calibri"/>
        <family val="2"/>
        <scheme val="minor"/>
      </rPr>
      <t xml:space="preserve"> Reg Period</t>
    </r>
  </si>
  <si>
    <r>
      <t>6</t>
    </r>
    <r>
      <rPr>
        <b/>
        <vertAlign val="superscript"/>
        <sz val="9"/>
        <color theme="8"/>
        <rFont val="Calibri"/>
        <family val="2"/>
        <scheme val="minor"/>
      </rPr>
      <t>th</t>
    </r>
    <r>
      <rPr>
        <b/>
        <sz val="9"/>
        <color theme="8"/>
        <rFont val="Calibri"/>
        <family val="2"/>
        <scheme val="minor"/>
      </rPr>
      <t xml:space="preserve"> Reg Period</t>
    </r>
  </si>
  <si>
    <r>
      <t>4</t>
    </r>
    <r>
      <rPr>
        <b/>
        <vertAlign val="superscript"/>
        <sz val="9"/>
        <color theme="8"/>
        <rFont val="Calibri"/>
        <family val="2"/>
        <scheme val="minor"/>
      </rPr>
      <t>th</t>
    </r>
    <r>
      <rPr>
        <b/>
        <sz val="9"/>
        <color theme="8"/>
        <rFont val="Calibri"/>
        <family val="2"/>
        <scheme val="minor"/>
      </rPr>
      <t xml:space="preserve"> Reg Period</t>
    </r>
  </si>
  <si>
    <t>Total Controllable Operating Expenditure</t>
  </si>
  <si>
    <t>Total Non-controllable Operating Expenditure</t>
  </si>
  <si>
    <t>6th Reg Period</t>
  </si>
  <si>
    <t>Reference Only</t>
  </si>
  <si>
    <t>5th regulatory period</t>
  </si>
  <si>
    <t>DIFFERENCES BETWEEN REGULATORY PERIOD 4 AND REGULATORY PERIOD 5 (REV RAV, OPEX, CAPEX)</t>
  </si>
  <si>
    <r>
      <t xml:space="preserve">Total </t>
    </r>
    <r>
      <rPr>
        <b/>
        <u/>
        <sz val="9"/>
        <rFont val="Calibri"/>
        <family val="2"/>
        <scheme val="minor"/>
      </rPr>
      <t>controllable</t>
    </r>
    <r>
      <rPr>
        <b/>
        <sz val="9"/>
        <rFont val="Calibri"/>
        <family val="2"/>
        <scheme val="minor"/>
      </rPr>
      <t xml:space="preserve"> opex</t>
    </r>
  </si>
  <si>
    <r>
      <t xml:space="preserve">Total </t>
    </r>
    <r>
      <rPr>
        <b/>
        <u/>
        <sz val="9"/>
        <rFont val="Calibri"/>
        <family val="2"/>
        <scheme val="minor"/>
      </rPr>
      <t>non-controllable</t>
    </r>
    <r>
      <rPr>
        <b/>
        <sz val="9"/>
        <rFont val="Calibri"/>
        <family val="2"/>
        <scheme val="minor"/>
      </rPr>
      <t xml:space="preserve"> opex</t>
    </r>
  </si>
  <si>
    <r>
      <t xml:space="preserve">Total </t>
    </r>
    <r>
      <rPr>
        <b/>
        <u/>
        <sz val="9"/>
        <rFont val="Calibri"/>
        <family val="2"/>
        <scheme val="minor"/>
      </rPr>
      <t>prescribed</t>
    </r>
    <r>
      <rPr>
        <b/>
        <sz val="9"/>
        <rFont val="Calibri"/>
        <family val="2"/>
        <scheme val="minor"/>
      </rPr>
      <t xml:space="preserve"> opex</t>
    </r>
  </si>
  <si>
    <r>
      <t xml:space="preserve">Controllable </t>
    </r>
    <r>
      <rPr>
        <b/>
        <u/>
        <sz val="9"/>
        <rFont val="Calibri"/>
        <family val="2"/>
        <scheme val="minor"/>
      </rPr>
      <t>vs.</t>
    </r>
    <r>
      <rPr>
        <b/>
        <sz val="9"/>
        <rFont val="Calibri"/>
        <family val="2"/>
        <scheme val="minor"/>
      </rPr>
      <t xml:space="preserve"> Non-controllable opex - %</t>
    </r>
  </si>
  <si>
    <t>check</t>
  </si>
  <si>
    <t>4th Reg period Opex</t>
  </si>
  <si>
    <t>Controllable Opex:Current vs Previous Review</t>
  </si>
  <si>
    <t>FD 2017/18 Benchmarks</t>
  </si>
  <si>
    <t>PS4 Actual (2018-2026)</t>
  </si>
  <si>
    <t>PS5 Proposed</t>
  </si>
  <si>
    <t>Prescribed Capex:Current vs Previous Review</t>
  </si>
  <si>
    <t>ok</t>
  </si>
  <si>
    <t>Model Quality Check</t>
  </si>
  <si>
    <t xml:space="preserve">  Model ready for submission:</t>
  </si>
  <si>
    <t>(If No, please ensure that the error check is corrected at the source)</t>
  </si>
  <si>
    <t>1.</t>
  </si>
  <si>
    <t>KeyAssumptionsPriceControl_FO</t>
  </si>
  <si>
    <t>2.</t>
  </si>
  <si>
    <t>Opex_FO</t>
  </si>
  <si>
    <t>3.</t>
  </si>
  <si>
    <t>Opex_Breakdown</t>
  </si>
  <si>
    <t>Reconciliation of Opex by service and function</t>
  </si>
  <si>
    <t>4.</t>
  </si>
  <si>
    <t>Capex_FO input</t>
  </si>
  <si>
    <t>Reconciliation of total prescribed capex between cost driver and capital type</t>
  </si>
  <si>
    <t>5.</t>
  </si>
  <si>
    <t>Capex_FO_AC</t>
  </si>
  <si>
    <t>6.</t>
  </si>
  <si>
    <t>RollForward_FO</t>
  </si>
  <si>
    <t>Reconciliation of existing assets book value to RAB</t>
  </si>
  <si>
    <t>7.</t>
  </si>
  <si>
    <t>RevenuePriceCap_FO</t>
  </si>
  <si>
    <t>Price control -Sixth period</t>
  </si>
  <si>
    <t>Tariff revenue reconciliation</t>
  </si>
  <si>
    <t>8.</t>
  </si>
  <si>
    <t>RevenueTariffBasket_FO</t>
  </si>
  <si>
    <t>9.</t>
  </si>
  <si>
    <t>Rev&amp;RAV_FO</t>
  </si>
  <si>
    <t>Rolled forward RAV reconciliation</t>
  </si>
  <si>
    <t>To reconcile to 'Opex_Breakdown' tab &gt;&gt;</t>
  </si>
  <si>
    <t>Reconciliation to Opex_Breakdown tab</t>
  </si>
  <si>
    <t>Reconciliation to 'Opex_FO' tab</t>
  </si>
  <si>
    <t xml:space="preserve">Reconciliation to 'Capex_FO input' tab </t>
  </si>
  <si>
    <t>FFO interest cover</t>
  </si>
  <si>
    <t>Secondary indicators</t>
  </si>
  <si>
    <t>Net debt / RAV</t>
  </si>
  <si>
    <t>FFO / Net debt</t>
  </si>
  <si>
    <t>RP3</t>
  </si>
  <si>
    <t>Approved  2024-25 total controllable operating expenditure (FD2018)</t>
  </si>
  <si>
    <t>Baseline year - total prescribed operating expenditure in 2024-25:</t>
  </si>
  <si>
    <t>Less non-controllable expenditure items incurred in 2024-25:</t>
  </si>
  <si>
    <t>Adjustments for non-recurring expenditure items incurred in 2024-25 and any efficiency savings to be realised from 2024-25:</t>
  </si>
  <si>
    <t>4rd, 5th, &amp; 6th Reg Periods</t>
  </si>
  <si>
    <r>
      <t xml:space="preserve">6 - Compound Annual Growth Rate (CAGR) - Base Period: </t>
    </r>
    <r>
      <rPr>
        <b/>
        <sz val="9"/>
        <color rgb="FFFFFF00"/>
        <rFont val="Calibri"/>
        <family val="2"/>
        <scheme val="minor"/>
      </rPr>
      <t>2025-26</t>
    </r>
  </si>
  <si>
    <r>
      <t xml:space="preserve">7 - Compound Annual Growth Rate (CAGR) - Base Period: </t>
    </r>
    <r>
      <rPr>
        <b/>
        <sz val="9"/>
        <color rgb="FFFFFF00"/>
        <rFont val="Calibri"/>
        <family val="2"/>
        <scheme val="minor"/>
      </rPr>
      <t>2026-27</t>
    </r>
  </si>
  <si>
    <t>DATA FROM 2017/18 DECISION OR PERFORMANCE REPORT</t>
  </si>
  <si>
    <t>Depreciation of asset base as at 1/7/26</t>
  </si>
  <si>
    <t>&lt;&lt; enter positive values</t>
  </si>
  <si>
    <t>enter positive values &gt;&gt;</t>
  </si>
  <si>
    <t>Business to provide separate depreciation reconciliation workbook if depreciation override is used</t>
  </si>
  <si>
    <t>$m 2025-26</t>
  </si>
  <si>
    <t>Department of Health</t>
  </si>
  <si>
    <t>Dashboard Data</t>
  </si>
  <si>
    <t>Dashboard - Pricing</t>
  </si>
  <si>
    <t>Dashboard - Capex</t>
  </si>
  <si>
    <t>Dashboard - Opex</t>
  </si>
  <si>
    <t xml:space="preserve">2026-27 to 2030-31 </t>
  </si>
  <si>
    <t>&lt; 80 per cent</t>
  </si>
  <si>
    <t>&gt; 6 per cent</t>
  </si>
  <si>
    <t>Retained Cashflows/Net Debt (%)</t>
  </si>
  <si>
    <t>&gt; 4 per cent</t>
  </si>
  <si>
    <t>Tariff and Price Component</t>
  </si>
  <si>
    <t>2.1 Water – volumetric charges (per kL)</t>
  </si>
  <si>
    <t>Water usage – all</t>
  </si>
  <si>
    <t>Water usage - Major customers</t>
  </si>
  <si>
    <t xml:space="preserve">2.2 Water – fixed service charges (per annum) </t>
  </si>
  <si>
    <t>Wangaratta, Yarrawonga, Benalla., Wodonga, Baranduda, Kiewa, Tangambalanga</t>
  </si>
  <si>
    <t>20mm connection</t>
  </si>
  <si>
    <t>25mm connection</t>
  </si>
  <si>
    <t>32mm connection</t>
  </si>
  <si>
    <t>40mm connection</t>
  </si>
  <si>
    <t>50mm connection</t>
  </si>
  <si>
    <t>80mm connection</t>
  </si>
  <si>
    <t>100mm connection</t>
  </si>
  <si>
    <t>150mm connection</t>
  </si>
  <si>
    <t>200mm connection</t>
  </si>
  <si>
    <t>250mm connection</t>
  </si>
  <si>
    <t>300mm connection</t>
  </si>
  <si>
    <t>20mm connection – Eskdale*</t>
  </si>
  <si>
    <t>Bright, Rutherglen, Wahgunyah, Beechworth, Myrtleford, Porepunkah, Wandiligong</t>
  </si>
  <si>
    <t>Barnawartha, Bundalong, Mt Beauty, Tawonga, Tawonga South, Chiltern, Tallangatta, Corryong, Yackandandah, Devenish, Oxley, Moyhu, Tungamah, Harrietville, Glenrowan, Springhurst, Dartmouth, St James, Goorambat, Whitfield, Walwa, Bellbridge, Cudgewa</t>
  </si>
  <si>
    <t>2.3 Wastewater fixed service charges (per annum)</t>
  </si>
  <si>
    <t>Wangaratta, Yarrawonga, Benalla, Wodonga, Baranduda, Kiewa, Tangambalanga</t>
  </si>
  <si>
    <t>Bright, Rutherglen, Wahgunyah, Beechworth, , Myrtleford, Porepunkah, Chiltern, Bundalong</t>
  </si>
  <si>
    <t>Mt Beauty, Tawonga, Tawonga South, Tallangatta, Corryong, Yackandandah, Bellbridge, Dartmouth, Barnawartha</t>
  </si>
  <si>
    <t>Milawa, Oxley Tungamah and Glenrowan, Moyhu</t>
  </si>
  <si>
    <t>Milawa, Oxley, Tungamah, Glenrowan and Moyhu (not connected)</t>
  </si>
  <si>
    <t>Walwa</t>
  </si>
  <si>
    <t>2.4 Trade Waste charges per unit (per kg)</t>
  </si>
  <si>
    <t>Volume</t>
  </si>
  <si>
    <t>Chemical Oxygen Demand</t>
  </si>
  <si>
    <t>Suspended Solids</t>
  </si>
  <si>
    <t>Total Kjeldahl Nitrogen</t>
  </si>
  <si>
    <t>Total Phosphorus</t>
  </si>
  <si>
    <t>2.5 Trade Waste charges when limit exceeded (per kg)</t>
  </si>
  <si>
    <t>Total Dissolved Solids</t>
  </si>
  <si>
    <t>Oil and Grease</t>
  </si>
  <si>
    <t>Ammonia</t>
  </si>
  <si>
    <t>Sodium</t>
  </si>
  <si>
    <t>Total Oxidised Sulphur</t>
  </si>
  <si>
    <t>pH</t>
  </si>
  <si>
    <t>2.6 Commercial Tradewaste Charges</t>
  </si>
  <si>
    <t>Commercial Trade Waste Category 2</t>
  </si>
  <si>
    <t>Commercial Trade Waste Category 3</t>
  </si>
  <si>
    <t>Commercial Trade Waste Category 4</t>
  </si>
  <si>
    <t>2.7 Customer contributions – water (per lot)</t>
  </si>
  <si>
    <t>2.8 Customer contributions – wastewater (per lot)</t>
  </si>
  <si>
    <t>2.9 Core Miscellaneous fees and charges</t>
  </si>
  <si>
    <t>Information statements</t>
  </si>
  <si>
    <t>Special meter readings – tenants</t>
  </si>
  <si>
    <t>Septic disposal charge (per kL)</t>
  </si>
  <si>
    <t>Septic disposal charge – portable</t>
  </si>
  <si>
    <t>Wastewater connection alterations</t>
  </si>
  <si>
    <t>2.10 Non-core miscellaneous fees and charges</t>
  </si>
  <si>
    <t>Replacement of galvanised iron property service pipe</t>
  </si>
  <si>
    <t>Maximum charge</t>
  </si>
  <si>
    <t>Special meter readings – other</t>
  </si>
  <si>
    <t>Water meter testing (per test)</t>
  </si>
  <si>
    <t>Fire service charge (per lot)</t>
  </si>
  <si>
    <t>Fire service information – Pressure Test</t>
  </si>
  <si>
    <t>Private fire service annual inspection fee</t>
  </si>
  <si>
    <t>Build over easement fee</t>
  </si>
  <si>
    <t xml:space="preserve">Amendment to a build over easement fee </t>
  </si>
  <si>
    <t>Sealing fire hose taps (per tap)</t>
  </si>
  <si>
    <t>Standpipe water sales – admin charge</t>
  </si>
  <si>
    <t>Standpipe water sales – Potable (per kL)</t>
  </si>
  <si>
    <t>Standpipe water sales – Reuse (per kL)</t>
  </si>
  <si>
    <t>Non potable water volumetric - all</t>
  </si>
  <si>
    <t>Dishonoured payment charge</t>
  </si>
  <si>
    <t>Restriction charge – after hours</t>
  </si>
  <si>
    <t>Backflow prevention device application fee</t>
  </si>
  <si>
    <t>Backflow prevention device annual fee</t>
  </si>
  <si>
    <t>Test prior advice notice (mandatory fee)</t>
  </si>
  <si>
    <t>Alter existing sewer asset fee</t>
  </si>
  <si>
    <t>Water disconnection fee – All services</t>
  </si>
  <si>
    <t>Real Prices</t>
  </si>
  <si>
    <t>($2026)</t>
  </si>
  <si>
    <t>Prices</t>
  </si>
  <si>
    <t>(1 July 2026)</t>
  </si>
  <si>
    <t>(1 July 2027)</t>
  </si>
  <si>
    <t>(1 July 2028)</t>
  </si>
  <si>
    <t>(1 July 2029)</t>
  </si>
  <si>
    <t>(1 July 2030)</t>
  </si>
  <si>
    <t>Schedule of prices to be included in the Determination</t>
  </si>
  <si>
    <t xml:space="preserve">  All financial indicators satisfied:</t>
  </si>
  <si>
    <t>Financial indicators - Actual Test</t>
  </si>
  <si>
    <t>ERROR/BREACH CHECK</t>
  </si>
  <si>
    <t>A</t>
  </si>
  <si>
    <t>Secondary Indicator</t>
  </si>
  <si>
    <t>Primary Indicators</t>
  </si>
  <si>
    <t>Financial indicators - Notional Test</t>
  </si>
  <si>
    <t>Schedule 2</t>
  </si>
  <si>
    <t>PPM2</t>
  </si>
  <si>
    <t>PPM3</t>
  </si>
  <si>
    <t>PPM4</t>
  </si>
  <si>
    <t>PPM5</t>
  </si>
  <si>
    <t>2.11 Other</t>
  </si>
  <si>
    <t>2026-27 Inflation</t>
  </si>
  <si>
    <t>n/a</t>
  </si>
  <si>
    <t>plus interest revenue</t>
  </si>
  <si>
    <t>Notional Funds from operations (NFFO)</t>
  </si>
  <si>
    <t xml:space="preserve">NFFO  </t>
  </si>
  <si>
    <t>NFFO interest cover (times)</t>
  </si>
  <si>
    <t>NFFO / Net debt (%)</t>
  </si>
  <si>
    <t>NFFO</t>
  </si>
  <si>
    <t>Notional Funds from operations ($m)</t>
  </si>
  <si>
    <t>less tax liability</t>
  </si>
  <si>
    <t>Actual Test</t>
  </si>
  <si>
    <t>Notional Test</t>
  </si>
  <si>
    <t>RCF / Net debt</t>
  </si>
  <si>
    <t>NFFO interest cover</t>
  </si>
  <si>
    <t>NFFO / Net debt</t>
  </si>
  <si>
    <t>Household Bill - Actual ($25-26)</t>
  </si>
  <si>
    <t>ESC Adjustment log</t>
  </si>
  <si>
    <t>NEW Adjustment log</t>
  </si>
  <si>
    <t>(To be applied at the draft decision stage)</t>
  </si>
  <si>
    <t>Revenue and Expenditure Summary</t>
  </si>
  <si>
    <t>Household Bills</t>
  </si>
  <si>
    <t>(divided by interest bearing liabilities</t>
  </si>
  <si>
    <t>If there are more than 5 unplanned water supply interruptions to a customer’s property in any 12-month period, we will pay that customer $65</t>
  </si>
  <si>
    <t>If we don’t contain a sewer spill in a house within 1 hour of notification (caused by the business or a failure of the business’ system), we will pay that customer $1,275.</t>
  </si>
  <si>
    <t>If we restrict the water supply or take legal action against a residential customer prior to making reasonable efforts to contact the customer and provide information about help that is available if the customer is experiencing difficulties paying, we will pay that customer $385.</t>
  </si>
  <si>
    <t>If we don’t contain a sewer spill within 5 hours of notification (caused by an asset failure and reportable to the EPA), we’ll make a donation to a community catchment project of up to $5,000</t>
  </si>
  <si>
    <t>New</t>
  </si>
  <si>
    <t>Fair Prices</t>
  </si>
  <si>
    <t>Reliable Systems</t>
  </si>
  <si>
    <t>Sustainable Practices</t>
  </si>
  <si>
    <t>≤ Avg regional bill</t>
  </si>
  <si>
    <t>≥90%</t>
  </si>
  <si>
    <t>≥70%</t>
  </si>
  <si>
    <t>&gt;80%</t>
  </si>
  <si>
    <t>&gt;82%</t>
  </si>
  <si>
    <t>&gt;85%</t>
  </si>
  <si>
    <t>≤14</t>
  </si>
  <si>
    <t>≤13</t>
  </si>
  <si>
    <t>≤10</t>
  </si>
  <si>
    <t>≤9</t>
  </si>
  <si>
    <t>Clean safe water – number of non-compliances with the Safe Drinking Water Regulations</t>
  </si>
  <si>
    <t>≥65%</t>
  </si>
  <si>
    <t>Seamless customer experience – percentage of customers who believe we are easy to deal with (Service Evaluation Survey respondents)</t>
  </si>
  <si>
    <t>≥98%</t>
  </si>
  <si>
    <t>≥80%</t>
  </si>
  <si>
    <t>Seamless customer experience – affected customers receive notification prior to a planned interruption via our website and SMS as per our Customer Charter (for customers that have provided these details)</t>
  </si>
  <si>
    <t>Timely responses – planned and unplanned water supply interruptions restored within 5 hours</t>
  </si>
  <si>
    <t>Timely response – we will rectify all sewer blockages within 150 minutes</t>
  </si>
  <si>
    <t>Timely response – 80% of priority 3 and service connections repairs (water) are completed within 2 weeks, with the balance repaired within 3 weeks</t>
  </si>
  <si>
    <t>Resilient systems – number of unplanned water supply interruptions per 100 km</t>
  </si>
  <si>
    <t>Clean safe water – boil water notices caused by a failure in our system</t>
  </si>
  <si>
    <t xml:space="preserve">Climate action – customer satisfaction that NEW is taking steps to ensure we have enough water in the future (Survey response of "very satisfied" and "satisfied") </t>
  </si>
  <si>
    <t>Environmental leadership –  number of non-compliances with EPA licence(s)</t>
  </si>
  <si>
    <t>Smaller footprint – reducing greenhouse gas emissions to achieve our annual target towards net zero emissions by 2035</t>
  </si>
  <si>
    <t>Fair prices - North East Water’s average water bill always remains below or on par with the Victorian water corporation regional average</t>
  </si>
  <si>
    <t>Customer support - customers in the support program who report the program has helped them with payment difficulties (survey response of ‘yes’ or ‘no’)</t>
  </si>
  <si>
    <t>Customer support - percentage of customers surveyed who are aware of our customer support program (survey response ‘very satisfied’ and ‘satisfied’)</t>
  </si>
  <si>
    <t>Value for money - customers believe they receive value for money from the services North East Water provides (survey response TBC)</t>
  </si>
  <si>
    <t>Collaboration – key stakeholders from local government, customer support agencies and business believe that collaborating with North East Water is achieving positive outcomes for the community. (sample of stakeholders to be surveyed annually – ‘regional stakeholder survey’)</t>
  </si>
  <si>
    <t>Local people – customer satisfaction with NEW staff local knowledge, employment and location. (Customer Research Program survey response of "very satisfied" or "satisfied")</t>
  </si>
  <si>
    <t>≥72%</t>
  </si>
  <si>
    <t>≥75%</t>
  </si>
  <si>
    <t>≥78%</t>
  </si>
  <si>
    <t>Average regional bill</t>
  </si>
  <si>
    <t>Tonnes CO2-e</t>
  </si>
  <si>
    <t>% of customers</t>
  </si>
  <si>
    <t>% of responses</t>
  </si>
  <si>
    <t>No. per 100km water main</t>
  </si>
  <si>
    <t>% of blockages</t>
  </si>
  <si>
    <t>% of interruptions</t>
  </si>
  <si>
    <t>No. of non-compliances</t>
  </si>
  <si>
    <t>Local Community</t>
  </si>
  <si>
    <t>Water Volume Balancing Item</t>
  </si>
  <si>
    <t>Water Fixed Balancing Item</t>
  </si>
  <si>
    <t>Wastewater Fixed Balancing Item</t>
  </si>
  <si>
    <t>Trade Waste Balancing Item</t>
  </si>
  <si>
    <t>Farming</t>
  </si>
  <si>
    <t>Temporary Water Sales</t>
  </si>
  <si>
    <t>Interest on Investments and Schemes</t>
  </si>
  <si>
    <t>Other Charges</t>
  </si>
  <si>
    <t>Other licence fees</t>
  </si>
  <si>
    <t>Bulk Charges`</t>
  </si>
  <si>
    <t>PS5 - Engagement - Insync</t>
  </si>
  <si>
    <t>PS5 - Project Management - URA</t>
  </si>
  <si>
    <t>PS5 - Electricity Forecasting Consultancy</t>
  </si>
  <si>
    <t>PS5 - Capital expenditure review</t>
  </si>
  <si>
    <t>PS5 - Demand Consultancy</t>
  </si>
  <si>
    <t>Employee expenses - EA backpay for 2023-24 period</t>
  </si>
  <si>
    <t>CAPEX transfers for accounting purposes</t>
  </si>
  <si>
    <t>Hardship correction - alignment back to budget</t>
  </si>
  <si>
    <t>Baseline year electricity</t>
  </si>
  <si>
    <t>Labour - Additional FTE</t>
  </si>
  <si>
    <t>West Wodonga WWTP - Chemical and maintenance</t>
  </si>
  <si>
    <t>Energy</t>
  </si>
  <si>
    <t>Maintenance - Operations</t>
  </si>
  <si>
    <t xml:space="preserve">Maintenance - RHQ </t>
  </si>
  <si>
    <t>Additional hardship to support vulnerable customers</t>
  </si>
  <si>
    <t>Digital and Business Transformation (Salesforce, Aerial imagery, Digital meters trial phase)</t>
  </si>
  <si>
    <t>Infrastructure Planning &amp; Assets (inc dam safety)</t>
  </si>
  <si>
    <t>Infrastructure Strategy and liveability</t>
  </si>
  <si>
    <t>Water sampling increased compliance - SDW regs and PFAS</t>
  </si>
  <si>
    <t>Chemicals - Water</t>
  </si>
  <si>
    <t>Chemicals - Wastewater</t>
  </si>
  <si>
    <t>PS6 preparation</t>
  </si>
  <si>
    <t>Enterprise Programs and Procurement</t>
  </si>
  <si>
    <t xml:space="preserve">New operational position vehicle running costs </t>
  </si>
  <si>
    <t>Insurance</t>
  </si>
  <si>
    <t>Labour</t>
  </si>
  <si>
    <t>Electricity</t>
  </si>
  <si>
    <t>Direct Water</t>
  </si>
  <si>
    <t>Direct Wastewater</t>
  </si>
  <si>
    <t>Asset decommissioning - water</t>
  </si>
  <si>
    <t>Asset decommissioning - wastewater</t>
  </si>
  <si>
    <t>Other - operating - other</t>
  </si>
  <si>
    <t>Other - admin - Software Licence</t>
  </si>
  <si>
    <t>Other - admin - Insurance</t>
  </si>
  <si>
    <t>Other - admin - Meter Reading</t>
  </si>
  <si>
    <t>Other - admin - Meter replacements</t>
  </si>
  <si>
    <t>Other - admin - Contractors</t>
  </si>
  <si>
    <t>Other - admin - Safety Equipment</t>
  </si>
  <si>
    <t>Other - admin - Legal Fees</t>
  </si>
  <si>
    <t>Other - admin - Consultancy Fee</t>
  </si>
  <si>
    <t>Other - admin - Staff Training</t>
  </si>
  <si>
    <t>Other - admin - Audits</t>
  </si>
  <si>
    <t>Other - admin - Other</t>
  </si>
  <si>
    <t>Balance 2031 - 2036 - flow on from 2030-31 plus 1.46% increase to flatline $/connection cost</t>
  </si>
  <si>
    <t>Wodonga Sewerage Transfer Capacity</t>
  </si>
  <si>
    <t>Rutherglen Reuse Expansion</t>
  </si>
  <si>
    <t>Wangaratta WTP Upgrade (Major Renewal)</t>
  </si>
  <si>
    <t>Yarrawonga 5ML CWS</t>
  </si>
  <si>
    <t>Yarrawonga WTP Renewal and UV installation</t>
  </si>
  <si>
    <t>Tangambalanga Water System Upgrade Water</t>
  </si>
  <si>
    <t>Tangambalanga Water System Upgrade Sewer</t>
  </si>
  <si>
    <t>Benalla WWTP Upgrade Stage 1</t>
  </si>
  <si>
    <t>Wodonga Leneva Water</t>
  </si>
  <si>
    <t>Wodonga Leneva Wastewater</t>
  </si>
  <si>
    <t>Beechworth WWTP Upgrade</t>
  </si>
  <si>
    <t>Bright WWTP Upgrade</t>
  </si>
  <si>
    <t>Wodonga South Bandiana SPS (Whytes Road)</t>
  </si>
  <si>
    <t>Wangaratta Works Depot Relocation</t>
  </si>
  <si>
    <t xml:space="preserve">Region Wide Digital Business Sustainability </t>
  </si>
  <si>
    <t xml:space="preserve">Region Wide ICT Infrastructure </t>
  </si>
  <si>
    <t>Region Wide Health &amp; Safety Improvements</t>
  </si>
  <si>
    <t>Region Wide Water System Improvement</t>
  </si>
  <si>
    <t>Region Wide Scada System Upgrades</t>
  </si>
  <si>
    <t>Region Wide Securing the Integrity of Our Services</t>
  </si>
  <si>
    <t>Porepunkah Security of Supply</t>
  </si>
  <si>
    <t>Region Wide Above Ground Asset Renewals Water</t>
  </si>
  <si>
    <t>Region Wide Above Ground Asset Renewals Wastewater</t>
  </si>
  <si>
    <t>Region Wide Below Ground Asset Renewals Water</t>
  </si>
  <si>
    <t>Region Wide Below Ground Asset Renewals Wastewater</t>
  </si>
  <si>
    <t xml:space="preserve">Region Wide Strategic Land Acquisitions </t>
  </si>
  <si>
    <t>Mount Beauty Raw Water West Kiewa Offtake Upgrade (Security of Supply)</t>
  </si>
  <si>
    <t>Region Wide Customer Online Applications</t>
  </si>
  <si>
    <t>Region Wide Information Security Compliance</t>
  </si>
  <si>
    <t>Region Wide Water Trunk Mains Construction</t>
  </si>
  <si>
    <t>Digital metering</t>
  </si>
  <si>
    <t>Wangaratta  Trade waste Plant Upgrade Project</t>
  </si>
  <si>
    <t>Region Wide Wastewater Trunk Mains Construction</t>
  </si>
  <si>
    <t>Region Wide Bulk Water Purchases</t>
  </si>
  <si>
    <t>Region Wide Minor Works, Plant &amp; Equipment</t>
  </si>
  <si>
    <t>Region Wide Fleet</t>
  </si>
  <si>
    <t>Corporate Office Furniture and Minor Equipment</t>
  </si>
  <si>
    <t>Bright WTP upgrade (UV &amp; Capacity)</t>
  </si>
  <si>
    <t>Corryong Hamilton Hill Dam Safety Upgrade</t>
  </si>
  <si>
    <t>Harretville WTP UV Installation</t>
  </si>
  <si>
    <t>Tallangatta Estate Contribution</t>
  </si>
  <si>
    <t>Wangaratta - Abbotoirs dedicated main to Graham Ave SPS</t>
  </si>
  <si>
    <t>Wangaratta Ryan Ave 450 water main and Phillipson St CWS Upgrade</t>
  </si>
  <si>
    <t>Region Wide Wastewater Systems and Environment</t>
  </si>
  <si>
    <t>Wodonga Huon Hill CWS</t>
  </si>
  <si>
    <t>Yackandandah WTP UV Installation</t>
  </si>
  <si>
    <t>Yarrawonga Southern Sewer Pump station</t>
  </si>
  <si>
    <t>Wodonga - WTP - Chemical Upgrade</t>
  </si>
  <si>
    <t>Mt Beauty CWS</t>
  </si>
  <si>
    <t>Myrtleford WWTP Upgrade</t>
  </si>
  <si>
    <t>Wodonga WWTP Outfall Pipeline</t>
  </si>
  <si>
    <t>Wodonga WWTP Laboratory &amp; Shed upgrade</t>
  </si>
  <si>
    <t>Tallangatta CWS replacement</t>
  </si>
  <si>
    <t>Wodonga Beechworth Road WPS Upgrade</t>
  </si>
  <si>
    <t>Wangaratta Ovens River SPS</t>
  </si>
  <si>
    <t>Wodonga WTP upgrade and UV</t>
  </si>
  <si>
    <t>Wodonga WWTP Stage 2</t>
  </si>
  <si>
    <t>Region-wide - Bulk Entitlement metering improvement program</t>
  </si>
  <si>
    <t>Region-wide - Customer Billing System ongoing development</t>
  </si>
  <si>
    <t>Wangaratta - Waldara Rising main</t>
  </si>
  <si>
    <t>Wangaratta Groundwater bores - construction and pipework</t>
  </si>
  <si>
    <t>Wangaratta Growth Areas Trunk Mains</t>
  </si>
  <si>
    <t>Wangaratta Kerr St WTP Expansion - to take groundwater</t>
  </si>
  <si>
    <t>Wangaratta Phillipson St Trunk Main</t>
  </si>
  <si>
    <t>Wangaratta Rattray Ave SPS &amp; Gravity Sewer</t>
  </si>
  <si>
    <t>Wangaratta Vincent Rd SPS</t>
  </si>
  <si>
    <t>Wangaratta Wareena Park SPS</t>
  </si>
  <si>
    <t>Wangaratta Williams Rd SPS Rising Main</t>
  </si>
  <si>
    <t>Wangaratta WTP - new plant (inc offtake and raw water pipeline)</t>
  </si>
  <si>
    <t>Wangaratta WWTP Upgrade (Polishing Plant Augmentation)</t>
  </si>
  <si>
    <t>Benalla WWTP Upgrade Stage 2</t>
  </si>
  <si>
    <t>Mt Beauty WTP Stage 1</t>
  </si>
  <si>
    <t>Masterplanning</t>
  </si>
  <si>
    <t xml:space="preserve">Customer contributions </t>
  </si>
  <si>
    <t>Wodonga WWTP Capacity  &amp; Emissions Reduction</t>
  </si>
  <si>
    <t>Opening Assets</t>
  </si>
  <si>
    <t>WP1 Assets - Capex 2005-06 to 2007-08</t>
  </si>
  <si>
    <t>WP2 Assets - Capex 2008-09 to 2012-13</t>
  </si>
  <si>
    <t>WP3 Assets - Capex 2013-14 to 2017-18</t>
  </si>
  <si>
    <t>WP4 Assets - Capex 2018-19 to 2025-26</t>
  </si>
  <si>
    <t>RAS Year</t>
  </si>
  <si>
    <t>Metric</t>
  </si>
  <si>
    <t>Item</t>
  </si>
  <si>
    <t>Reason</t>
  </si>
  <si>
    <t>Change</t>
  </si>
  <si>
    <t>$26 Pricing Model</t>
  </si>
  <si>
    <t>Reference Sheet</t>
  </si>
  <si>
    <t>Impacted Cell</t>
  </si>
  <si>
    <t>Pres OPEX</t>
  </si>
  <si>
    <t>Pres CAPEX</t>
  </si>
  <si>
    <t>Master Planning Cost</t>
  </si>
  <si>
    <t>Capitalisation of OPEX</t>
  </si>
  <si>
    <t>Deduct</t>
  </si>
  <si>
    <t>Add</t>
  </si>
  <si>
    <t>U61</t>
  </si>
  <si>
    <t>U72</t>
  </si>
  <si>
    <t>U41</t>
  </si>
  <si>
    <t>U48</t>
  </si>
  <si>
    <t>T61</t>
  </si>
  <si>
    <t>T72</t>
  </si>
  <si>
    <t>T41</t>
  </si>
  <si>
    <t>T48</t>
  </si>
  <si>
    <t>SaaS Costs</t>
  </si>
  <si>
    <t>Wastewater</t>
  </si>
  <si>
    <t>S58</t>
  </si>
  <si>
    <t>S61</t>
  </si>
  <si>
    <t>S69</t>
  </si>
  <si>
    <t>S72</t>
  </si>
  <si>
    <t>S41</t>
  </si>
  <si>
    <t>S48</t>
  </si>
  <si>
    <r>
      <t xml:space="preserve">Amount </t>
    </r>
    <r>
      <rPr>
        <sz val="10"/>
        <color rgb="FFFF0000"/>
        <rFont val="Arial"/>
        <family val="2"/>
      </rPr>
      <t>$2026</t>
    </r>
  </si>
  <si>
    <r>
      <t xml:space="preserve">Approved RAS </t>
    </r>
    <r>
      <rPr>
        <sz val="10"/>
        <color rgb="FFFF0000"/>
        <rFont val="Arial"/>
        <family val="2"/>
      </rPr>
      <t>$ of day</t>
    </r>
  </si>
  <si>
    <t>At Cost</t>
  </si>
  <si>
    <t>Water tapping fee – 20mm service (including fire service)</t>
  </si>
  <si>
    <t>Water tapping fee – 25mm service (including fire service)</t>
  </si>
  <si>
    <t>Water tapping fee – 32mm service (including fire service)</t>
  </si>
  <si>
    <t>Water tapping fee – 40mm service (including fire service)</t>
  </si>
  <si>
    <t>Water tapping fee – 50mm service (including fire service)</t>
  </si>
  <si>
    <t>Water tapping fee – 80mm service (including fire service)</t>
  </si>
  <si>
    <t>Water tapping fee – 100mm service (including fire service)</t>
  </si>
  <si>
    <t>Water tapping fee – 150mm service (including fire service)</t>
  </si>
  <si>
    <t>Water tapping fee – 225mm service (including fire service)</t>
  </si>
  <si>
    <t>* Water tapping fee for all AC main 80mm and above - additional charge</t>
  </si>
  <si>
    <t>* Water main connection fee all AC main - additional charge</t>
  </si>
  <si>
    <t>Water meter connecton fee – 20mm service</t>
  </si>
  <si>
    <t>Water meter connecton fee – 25mm service</t>
  </si>
  <si>
    <t>Water meter connecton fee – 32mm service</t>
  </si>
  <si>
    <t>Water meter connecton fee – 40mm service</t>
  </si>
  <si>
    <t>Water meter connecton fee – 50mm service</t>
  </si>
  <si>
    <t>Water meter connecton fee – 80mm service</t>
  </si>
  <si>
    <t>Water meter connecton fee – 100mm service</t>
  </si>
  <si>
    <t>Water meter connecton fee – 150mm service</t>
  </si>
  <si>
    <t>Water meter connecton fee – 225mm service</t>
  </si>
  <si>
    <t>Wastewater connection – standard residential</t>
  </si>
  <si>
    <t>Wastewater connection – other</t>
  </si>
  <si>
    <t>Wastewater disconnection</t>
  </si>
  <si>
    <t>Amendment to  approved wastewater connection</t>
  </si>
  <si>
    <t>Pressure sewer pump maintenance fee</t>
  </si>
  <si>
    <t>Restriction charge – business hours install and remove device</t>
  </si>
  <si>
    <t>Water main connection fee (developments) - 100mm</t>
  </si>
  <si>
    <t>Water main connection fee (developments) - 150mm</t>
  </si>
  <si>
    <t>Water main connection fee (developments) - 200mm</t>
  </si>
  <si>
    <t>Water main connection fee (developments) - 225mm</t>
  </si>
  <si>
    <t>Water main connection fee (developments) - 300mm</t>
  </si>
  <si>
    <t>Water main connection fee (developments) - 375mm</t>
  </si>
  <si>
    <t>Water main connection fee (developments) - 450mm</t>
  </si>
  <si>
    <t>Water main connection fee (developments) - 500mm</t>
  </si>
  <si>
    <t>&gt;81%</t>
  </si>
  <si>
    <t>&gt;83%</t>
  </si>
  <si>
    <t>≤150 mins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</si>
</sst>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6" formatCode="&quot;$&quot;#,##0;[Red]\-&quot;$&quot;#,##0"/>
    <numFmt numFmtId="44" formatCode="_-&quot;$&quot;* #,##0.00_-;\-&quot;$&quot;* #,##0.00_-;_-&quot;$&quot;* &quot;-&quot;??_-;_-@_-"/>
    <numFmt numFmtId="43" formatCode="_-* #,##0.00_-;\-* #,##0.00_-;_-* &quot;-&quot;??_-;_-@_-"/>
    <numFmt numFmtId="164" formatCode="_(###0_);\(###0\);_(###0_)"/>
    <numFmt numFmtId="165" formatCode="_(#,##0.0_);\(#,##0.0\);_(&quot;-&quot;_)"/>
    <numFmt numFmtId="166" formatCode="_(#,##0.0%_);\(#,##0.0%\);_(&quot;-&quot;_)"/>
    <numFmt numFmtId="167" formatCode="_(#,##0.0\x_);\(#,##0.0\x\);_(&quot;-&quot;_)"/>
    <numFmt numFmtId="168" formatCode="_(&quot;$&quot;#,##0.0_);\(&quot;$&quot;#,##0.0\);_(&quot;-&quot;_)"/>
    <numFmt numFmtId="169" formatCode="_)d\-mmm\-yy_)"/>
    <numFmt numFmtId="170" formatCode="_(#,##0_);\(#,##0\);_(&quot;-&quot;_)"/>
    <numFmt numFmtId="171" formatCode="0.0"/>
    <numFmt numFmtId="172" formatCode="_(#,##0.00_);\(#,##0.00\);_(&quot;-&quot;_)"/>
    <numFmt numFmtId="173" formatCode="0.0%"/>
    <numFmt numFmtId="174" formatCode="_(#,##0.000_);\(#,##0.000\);_(&quot;-&quot;_)"/>
    <numFmt numFmtId="175" formatCode="_(#,##0.0000_);\(#,##0.0000\);_(&quot;-&quot;_)"/>
    <numFmt numFmtId="176" formatCode="_(#,##0.000000_);\(#,##0.000000\);_(&quot;-&quot;_)"/>
    <numFmt numFmtId="177" formatCode="0.000000"/>
    <numFmt numFmtId="178" formatCode="0.000"/>
    <numFmt numFmtId="179" formatCode="0.0000000"/>
    <numFmt numFmtId="180" formatCode="#,##0.0_ ;\-#,##0.0\ "/>
    <numFmt numFmtId="181" formatCode="0.000%"/>
    <numFmt numFmtId="182" formatCode="\+0.0%;\-0.0%"/>
    <numFmt numFmtId="183" formatCode="&quot;$&quot;#,##0.0"/>
    <numFmt numFmtId="184" formatCode="#,##0.0"/>
    <numFmt numFmtId="185" formatCode="#,##0.00_ ;\-#,##0.00\ "/>
    <numFmt numFmtId="186" formatCode="#,##0.000"/>
    <numFmt numFmtId="187" formatCode="_(#,##0.0000000000000_);\(#,##0.0000000000000\);_(&quot;-&quot;_)"/>
    <numFmt numFmtId="188" formatCode="_-* #,##0_-;\-* #,##0_-;_-* &quot;-&quot;??_-;_-@_-"/>
    <numFmt numFmtId="189" formatCode="_(#,##0.0%_);\(#,##0.0%\);_(&quot;-&quot;_);_)@_)"/>
    <numFmt numFmtId="190" formatCode="_(#,##0.00%_);\(#,##0.00%\);_(&quot;-&quot;_);_)@_)"/>
    <numFmt numFmtId="191" formatCode="0.0000"/>
    <numFmt numFmtId="192" formatCode="_-* #,##0.0_-;\-* #,##0.0_-;_-* &quot;-&quot;??_-;_-@_-"/>
    <numFmt numFmtId="193" formatCode="#,##0.0000_ ;\-#,##0.0000\ "/>
    <numFmt numFmtId="194" formatCode="0.00000000000%"/>
    <numFmt numFmtId="195" formatCode="#,##0_ ;\-#,##0\ "/>
    <numFmt numFmtId="196" formatCode="[Green][=0]&quot;OK&quot;;[Red]&quot;Error&quot;"/>
    <numFmt numFmtId="197" formatCode="[Green][=0]\ &quot;OK&quot;;[Red]\ &quot;ERROR&quot;"/>
    <numFmt numFmtId="198" formatCode="_-* #,##0.000_-;\-* #,##0.000_-;_-* &quot;-&quot;??_-;_-@_-"/>
    <numFmt numFmtId="199" formatCode="0.0000000000000000000"/>
    <numFmt numFmtId="200" formatCode="0.00000"/>
    <numFmt numFmtId="201" formatCode="[Green][=0]\ &quot;OK&quot;;[Red]\ &quot;BREACH&quot;"/>
    <numFmt numFmtId="202" formatCode="#,##0.0000"/>
    <numFmt numFmtId="203" formatCode="[Green][=0]&quot;YES&quot;;[Red]&quot;NO&quot;"/>
    <numFmt numFmtId="204" formatCode="_-* #,##0.0000_-;\-* #,##0.0000_-;_-* &quot;-&quot;??_-;_-@_-"/>
    <numFmt numFmtId="205" formatCode="_-&quot;$&quot;* #,##0.000_-;\-&quot;$&quot;* #,##0.000_-;_-&quot;$&quot;* &quot;-&quot;??_-;_-@_-"/>
  </numFmts>
  <fonts count="169">
    <font>
      <sz val="8"/>
      <name val="Arial"/>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4"/>
      <name val="Arial"/>
      <family val="2"/>
    </font>
    <font>
      <b/>
      <sz val="13"/>
      <name val="Arial"/>
      <family val="2"/>
    </font>
    <font>
      <b/>
      <sz val="12"/>
      <name val="Arial"/>
      <family val="2"/>
    </font>
    <font>
      <b/>
      <sz val="10"/>
      <name val="Arial"/>
      <family val="2"/>
    </font>
    <font>
      <b/>
      <sz val="9"/>
      <name val="Arial"/>
      <family val="2"/>
    </font>
    <font>
      <b/>
      <sz val="8"/>
      <name val="Arial"/>
      <family val="2"/>
    </font>
    <font>
      <b/>
      <u/>
      <sz val="8"/>
      <color indexed="56"/>
      <name val="Arial"/>
      <family val="2"/>
    </font>
    <font>
      <b/>
      <sz val="10"/>
      <color indexed="56"/>
      <name val="Wingdings"/>
      <charset val="2"/>
    </font>
    <font>
      <b/>
      <u/>
      <sz val="9.5"/>
      <color indexed="56"/>
      <name val="Arial"/>
      <family val="2"/>
    </font>
    <font>
      <b/>
      <u/>
      <sz val="9"/>
      <color indexed="56"/>
      <name val="Arial"/>
      <family val="2"/>
    </font>
    <font>
      <b/>
      <u/>
      <sz val="7.5"/>
      <color indexed="56"/>
      <name val="Arial"/>
      <family val="2"/>
    </font>
    <font>
      <b/>
      <sz val="14"/>
      <color indexed="60"/>
      <name val="Arial"/>
      <family val="2"/>
    </font>
    <font>
      <b/>
      <sz val="8"/>
      <color indexed="60"/>
      <name val="Arial"/>
      <family val="2"/>
    </font>
    <font>
      <sz val="8"/>
      <color indexed="60"/>
      <name val="Arial"/>
      <family val="2"/>
    </font>
    <font>
      <sz val="8"/>
      <color indexed="9"/>
      <name val="Arial"/>
      <family val="2"/>
    </font>
    <font>
      <b/>
      <sz val="10"/>
      <color indexed="60"/>
      <name val="Arial"/>
      <family val="2"/>
    </font>
    <font>
      <sz val="8"/>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52"/>
      <name val="Calibri"/>
      <family val="2"/>
    </font>
    <font>
      <b/>
      <sz val="11"/>
      <color indexed="8"/>
      <name val="Calibri"/>
      <family val="2"/>
    </font>
    <font>
      <sz val="11"/>
      <color indexed="10"/>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60"/>
      <name val="Calibri"/>
      <family val="2"/>
    </font>
    <font>
      <b/>
      <sz val="11"/>
      <color indexed="63"/>
      <name val="Calibri"/>
      <family val="2"/>
    </font>
    <font>
      <sz val="10"/>
      <color indexed="8"/>
      <name val="Arial"/>
      <family val="2"/>
    </font>
    <font>
      <b/>
      <sz val="18"/>
      <color indexed="56"/>
      <name val="Cambria"/>
      <family val="2"/>
    </font>
    <font>
      <sz val="11"/>
      <color theme="1"/>
      <name val="Calibri"/>
      <family val="2"/>
      <scheme val="minor"/>
    </font>
    <font>
      <sz val="11"/>
      <color rgb="FF9C0006"/>
      <name val="Calibri"/>
      <family val="2"/>
      <scheme val="minor"/>
    </font>
    <font>
      <b/>
      <sz val="8"/>
      <color theme="0"/>
      <name val="Arial"/>
      <family val="2"/>
    </font>
    <font>
      <b/>
      <sz val="8"/>
      <color theme="8"/>
      <name val="Arial"/>
      <family val="2"/>
    </font>
    <font>
      <sz val="10"/>
      <name val="Arial"/>
      <family val="2"/>
    </font>
    <font>
      <sz val="10"/>
      <color theme="1"/>
      <name val="Arial"/>
      <family val="2"/>
    </font>
    <font>
      <sz val="11"/>
      <color theme="0" tint="-0.499984740745262"/>
      <name val="Calibri"/>
      <family val="2"/>
      <scheme val="minor"/>
    </font>
    <font>
      <sz val="11"/>
      <name val="Calibri"/>
      <family val="2"/>
      <scheme val="minor"/>
    </font>
    <font>
      <sz val="8"/>
      <color theme="1"/>
      <name val="Tahoma"/>
      <family val="2"/>
    </font>
    <font>
      <sz val="10"/>
      <name val="Tahoma"/>
      <family val="2"/>
    </font>
    <font>
      <sz val="8"/>
      <name val="Calibri"/>
      <family val="2"/>
      <scheme val="minor"/>
    </font>
    <font>
      <sz val="10"/>
      <name val="Calibri"/>
      <family val="2"/>
      <scheme val="minor"/>
    </font>
    <font>
      <sz val="8"/>
      <name val="Cambria"/>
      <family val="2"/>
      <scheme val="major"/>
    </font>
    <font>
      <b/>
      <sz val="8"/>
      <name val="Cambria"/>
      <family val="2"/>
      <scheme val="major"/>
    </font>
    <font>
      <sz val="10"/>
      <color rgb="FFFF0000"/>
      <name val="Calibri"/>
      <family val="2"/>
      <scheme val="minor"/>
    </font>
    <font>
      <sz val="9"/>
      <color theme="1"/>
      <name val="Calibri"/>
      <family val="2"/>
      <scheme val="minor"/>
    </font>
    <font>
      <b/>
      <sz val="9"/>
      <color theme="1"/>
      <name val="Calibri"/>
      <family val="2"/>
      <scheme val="minor"/>
    </font>
    <font>
      <sz val="10"/>
      <color theme="0" tint="-0.499984740745262"/>
      <name val="Calibri"/>
      <family val="2"/>
      <scheme val="minor"/>
    </font>
    <font>
      <b/>
      <sz val="10"/>
      <color theme="0" tint="-0.499984740745262"/>
      <name val="Calibri"/>
      <family val="2"/>
      <scheme val="minor"/>
    </font>
    <font>
      <u/>
      <sz val="8"/>
      <color theme="0" tint="-0.499984740745262"/>
      <name val="Calibri"/>
      <family val="2"/>
      <scheme val="minor"/>
    </font>
    <font>
      <b/>
      <sz val="10"/>
      <color indexed="56"/>
      <name val="Calibri"/>
      <family val="2"/>
      <scheme val="minor"/>
    </font>
    <font>
      <sz val="8"/>
      <color theme="0" tint="-0.499984740745262"/>
      <name val="Calibri"/>
      <family val="2"/>
      <scheme val="minor"/>
    </font>
    <font>
      <sz val="10"/>
      <color indexed="9"/>
      <name val="Calibri"/>
      <family val="2"/>
      <scheme val="minor"/>
    </font>
    <font>
      <b/>
      <sz val="10"/>
      <name val="Calibri"/>
      <family val="2"/>
      <scheme val="minor"/>
    </font>
    <font>
      <sz val="9"/>
      <color indexed="9"/>
      <name val="Calibri"/>
      <family val="2"/>
      <scheme val="minor"/>
    </font>
    <font>
      <b/>
      <sz val="9"/>
      <color theme="8"/>
      <name val="Calibri"/>
      <family val="2"/>
      <scheme val="minor"/>
    </font>
    <font>
      <sz val="9"/>
      <name val="Calibri"/>
      <family val="2"/>
      <scheme val="minor"/>
    </font>
    <font>
      <u/>
      <sz val="9"/>
      <color theme="0" tint="-0.499984740745262"/>
      <name val="Calibri"/>
      <family val="2"/>
      <scheme val="minor"/>
    </font>
    <font>
      <b/>
      <u/>
      <sz val="9"/>
      <color indexed="56"/>
      <name val="Calibri"/>
      <family val="2"/>
      <scheme val="minor"/>
    </font>
    <font>
      <b/>
      <sz val="9"/>
      <color indexed="56"/>
      <name val="Calibri"/>
      <family val="2"/>
      <scheme val="minor"/>
    </font>
    <font>
      <b/>
      <sz val="9"/>
      <name val="Calibri"/>
      <family val="2"/>
      <scheme val="minor"/>
    </font>
    <font>
      <b/>
      <sz val="9"/>
      <color indexed="59"/>
      <name val="Calibri"/>
      <family val="2"/>
      <scheme val="minor"/>
    </font>
    <font>
      <sz val="9"/>
      <color indexed="63"/>
      <name val="Calibri"/>
      <family val="2"/>
      <scheme val="minor"/>
    </font>
    <font>
      <b/>
      <sz val="9"/>
      <color indexed="63"/>
      <name val="Calibri"/>
      <family val="2"/>
      <scheme val="minor"/>
    </font>
    <font>
      <b/>
      <sz val="9"/>
      <color theme="0"/>
      <name val="Calibri"/>
      <family val="2"/>
      <scheme val="minor"/>
    </font>
    <font>
      <sz val="9"/>
      <color rgb="FFFF0000"/>
      <name val="Calibri"/>
      <family val="2"/>
      <scheme val="minor"/>
    </font>
    <font>
      <sz val="9"/>
      <color theme="8"/>
      <name val="Calibri"/>
      <family val="2"/>
      <scheme val="minor"/>
    </font>
    <font>
      <b/>
      <sz val="9"/>
      <color indexed="60"/>
      <name val="Calibri"/>
      <family val="2"/>
      <scheme val="minor"/>
    </font>
    <font>
      <sz val="9"/>
      <color indexed="26"/>
      <name val="Calibri"/>
      <family val="2"/>
      <scheme val="minor"/>
    </font>
    <font>
      <sz val="9"/>
      <color theme="0" tint="-0.499984740745262"/>
      <name val="Calibri"/>
      <family val="2"/>
      <scheme val="minor"/>
    </font>
    <font>
      <i/>
      <sz val="9"/>
      <color theme="1"/>
      <name val="Calibri"/>
      <family val="2"/>
      <scheme val="minor"/>
    </font>
    <font>
      <b/>
      <i/>
      <sz val="9"/>
      <color theme="1"/>
      <name val="Calibri"/>
      <family val="2"/>
      <scheme val="minor"/>
    </font>
    <font>
      <b/>
      <sz val="9"/>
      <color theme="0" tint="-0.34998626667073579"/>
      <name val="Calibri"/>
      <family val="2"/>
      <scheme val="minor"/>
    </font>
    <font>
      <sz val="9"/>
      <color theme="0" tint="-0.34998626667073579"/>
      <name val="Calibri"/>
      <family val="2"/>
      <scheme val="minor"/>
    </font>
    <font>
      <sz val="9"/>
      <color theme="0"/>
      <name val="Calibri"/>
      <family val="2"/>
      <scheme val="minor"/>
    </font>
    <font>
      <b/>
      <sz val="11"/>
      <color theme="8"/>
      <name val="Calibri"/>
      <family val="2"/>
      <scheme val="minor"/>
    </font>
    <font>
      <b/>
      <sz val="11"/>
      <color indexed="60"/>
      <name val="Calibri"/>
      <family val="2"/>
      <scheme val="minor"/>
    </font>
    <font>
      <b/>
      <sz val="11"/>
      <name val="Calibri"/>
      <family val="2"/>
      <scheme val="minor"/>
    </font>
    <font>
      <u/>
      <sz val="11"/>
      <color theme="0" tint="-0.499984740745262"/>
      <name val="Calibri"/>
      <family val="2"/>
      <scheme val="minor"/>
    </font>
    <font>
      <u/>
      <sz val="11"/>
      <color indexed="56"/>
      <name val="Calibri"/>
      <family val="2"/>
      <scheme val="minor"/>
    </font>
    <font>
      <b/>
      <sz val="9"/>
      <color indexed="10"/>
      <name val="Calibri"/>
      <family val="2"/>
      <scheme val="minor"/>
    </font>
    <font>
      <i/>
      <sz val="9"/>
      <name val="Calibri"/>
      <family val="2"/>
      <scheme val="minor"/>
    </font>
    <font>
      <i/>
      <sz val="9"/>
      <color rgb="FFFF0000"/>
      <name val="Calibri"/>
      <family val="2"/>
      <scheme val="minor"/>
    </font>
    <font>
      <i/>
      <sz val="9"/>
      <color theme="0" tint="-0.249977111117893"/>
      <name val="Calibri"/>
      <family val="2"/>
      <scheme val="minor"/>
    </font>
    <font>
      <i/>
      <sz val="9"/>
      <color theme="0" tint="-0.14999847407452621"/>
      <name val="Calibri"/>
      <family val="2"/>
      <scheme val="minor"/>
    </font>
    <font>
      <sz val="9"/>
      <color theme="0" tint="-0.249977111117893"/>
      <name val="Calibri"/>
      <family val="2"/>
      <scheme val="minor"/>
    </font>
    <font>
      <sz val="9"/>
      <color theme="0" tint="-4.9989318521683403E-2"/>
      <name val="Calibri"/>
      <family val="2"/>
      <scheme val="minor"/>
    </font>
    <font>
      <i/>
      <sz val="9"/>
      <color indexed="10"/>
      <name val="Calibri"/>
      <family val="2"/>
      <scheme val="minor"/>
    </font>
    <font>
      <sz val="9"/>
      <color indexed="10"/>
      <name val="Calibri"/>
      <family val="2"/>
      <scheme val="minor"/>
    </font>
    <font>
      <sz val="9"/>
      <color indexed="60"/>
      <name val="Calibri"/>
      <family val="2"/>
      <scheme val="minor"/>
    </font>
    <font>
      <sz val="9"/>
      <color indexed="22"/>
      <name val="Calibri"/>
      <family val="2"/>
      <scheme val="minor"/>
    </font>
    <font>
      <b/>
      <sz val="9"/>
      <color rgb="FF0070C0"/>
      <name val="Calibri"/>
      <family val="2"/>
      <scheme val="minor"/>
    </font>
    <font>
      <b/>
      <sz val="9"/>
      <color indexed="9"/>
      <name val="Calibri"/>
      <family val="2"/>
      <scheme val="minor"/>
    </font>
    <font>
      <u/>
      <sz val="9"/>
      <name val="Calibri"/>
      <family val="2"/>
      <scheme val="minor"/>
    </font>
    <font>
      <sz val="9"/>
      <color indexed="59"/>
      <name val="Calibri"/>
      <family val="2"/>
      <scheme val="minor"/>
    </font>
    <font>
      <sz val="9"/>
      <color rgb="FF9C0006"/>
      <name val="Calibri"/>
      <family val="2"/>
      <scheme val="minor"/>
    </font>
    <font>
      <vertAlign val="superscript"/>
      <sz val="9"/>
      <name val="Calibri"/>
      <family val="2"/>
      <scheme val="minor"/>
    </font>
    <font>
      <sz val="8"/>
      <color rgb="FF000000"/>
      <name val="Tahoma"/>
      <family val="2"/>
    </font>
    <font>
      <b/>
      <sz val="9"/>
      <color theme="0" tint="-0.249977111117893"/>
      <name val="Calibri"/>
      <family val="2"/>
      <scheme val="minor"/>
    </font>
    <font>
      <sz val="9"/>
      <color theme="0" tint="-0.14999847407452621"/>
      <name val="Calibri"/>
      <family val="2"/>
      <scheme val="minor"/>
    </font>
    <font>
      <b/>
      <sz val="9"/>
      <color theme="0" tint="-0.14999847407452621"/>
      <name val="Calibri"/>
      <family val="2"/>
      <scheme val="minor"/>
    </font>
    <font>
      <b/>
      <sz val="10"/>
      <color theme="8"/>
      <name val="Calibri"/>
      <family val="2"/>
      <scheme val="minor"/>
    </font>
    <font>
      <b/>
      <sz val="9"/>
      <color theme="0" tint="-0.499984740745262"/>
      <name val="Calibri"/>
      <family val="2"/>
      <scheme val="minor"/>
    </font>
    <font>
      <i/>
      <sz val="9"/>
      <color theme="0" tint="-0.34998626667073579"/>
      <name val="Calibri"/>
      <family val="2"/>
      <scheme val="minor"/>
    </font>
    <font>
      <sz val="9"/>
      <color indexed="81"/>
      <name val="Tahoma"/>
      <family val="2"/>
    </font>
    <font>
      <b/>
      <sz val="9"/>
      <color indexed="81"/>
      <name val="Tahoma"/>
      <family val="2"/>
    </font>
    <font>
      <b/>
      <sz val="9"/>
      <color rgb="FFC00000"/>
      <name val="Calibri"/>
      <family val="2"/>
      <scheme val="minor"/>
    </font>
    <font>
      <sz val="9"/>
      <color rgb="FFC00000"/>
      <name val="Calibri"/>
      <family val="2"/>
      <scheme val="minor"/>
    </font>
    <font>
      <b/>
      <sz val="10"/>
      <color theme="0"/>
      <name val="Arial"/>
      <family val="2"/>
    </font>
    <font>
      <sz val="8"/>
      <color theme="0"/>
      <name val="Arial"/>
      <family val="2"/>
    </font>
    <font>
      <sz val="8"/>
      <color rgb="FF0000FF"/>
      <name val="Arial"/>
      <family val="2"/>
    </font>
    <font>
      <b/>
      <sz val="8"/>
      <color rgb="FF0000FF"/>
      <name val="Arial"/>
      <family val="2"/>
    </font>
    <font>
      <sz val="10"/>
      <name val="Verdana"/>
      <family val="2"/>
    </font>
    <font>
      <i/>
      <sz val="8"/>
      <name val="Arial"/>
      <family val="2"/>
    </font>
    <font>
      <i/>
      <sz val="8"/>
      <color theme="0"/>
      <name val="Arial"/>
      <family val="2"/>
    </font>
    <font>
      <i/>
      <sz val="8"/>
      <color rgb="FF0000FF"/>
      <name val="Arial"/>
      <family val="2"/>
    </font>
    <font>
      <b/>
      <sz val="8"/>
      <color theme="9" tint="-0.499984740745262"/>
      <name val="Arial"/>
      <family val="2"/>
    </font>
    <font>
      <sz val="8"/>
      <color theme="9" tint="-0.499984740745262"/>
      <name val="Arial"/>
      <family val="2"/>
    </font>
    <font>
      <b/>
      <sz val="8"/>
      <color rgb="FFC00000"/>
      <name val="Arial"/>
      <family val="2"/>
    </font>
    <font>
      <i/>
      <sz val="9"/>
      <color rgb="FFC00000"/>
      <name val="Calibri"/>
      <family val="2"/>
      <scheme val="minor"/>
    </font>
    <font>
      <i/>
      <sz val="9"/>
      <color theme="0"/>
      <name val="Calibri"/>
      <family val="2"/>
      <scheme val="minor"/>
    </font>
    <font>
      <b/>
      <sz val="9"/>
      <color rgb="FFFFFF00"/>
      <name val="Calibri"/>
      <family val="2"/>
      <scheme val="minor"/>
    </font>
    <font>
      <b/>
      <sz val="8"/>
      <color theme="1"/>
      <name val="Arial"/>
      <family val="2"/>
    </font>
    <font>
      <sz val="8"/>
      <color theme="1"/>
      <name val="Arial"/>
      <family val="2"/>
    </font>
    <font>
      <sz val="9"/>
      <color theme="9" tint="-0.499984740745262"/>
      <name val="Calibri"/>
      <family val="2"/>
      <scheme val="minor"/>
    </font>
    <font>
      <b/>
      <sz val="9"/>
      <color theme="9" tint="-0.499984740745262"/>
      <name val="Calibri"/>
      <family val="2"/>
      <scheme val="minor"/>
    </font>
    <font>
      <sz val="9"/>
      <name val="Calibri"/>
      <family val="2"/>
    </font>
    <font>
      <b/>
      <sz val="9"/>
      <color rgb="FFFFFFFF"/>
      <name val="Calibri"/>
      <family val="2"/>
      <scheme val="minor"/>
    </font>
    <font>
      <b/>
      <sz val="9"/>
      <color rgb="FF0000FF"/>
      <name val="Calibri"/>
      <family val="2"/>
      <scheme val="minor"/>
    </font>
    <font>
      <i/>
      <sz val="9"/>
      <color rgb="FF0000FF"/>
      <name val="Calibri"/>
      <family val="2"/>
      <scheme val="minor"/>
    </font>
    <font>
      <b/>
      <i/>
      <sz val="9"/>
      <name val="Calibri"/>
      <family val="2"/>
      <scheme val="minor"/>
    </font>
    <font>
      <b/>
      <sz val="9"/>
      <color rgb="FFFF0000"/>
      <name val="Calibri"/>
      <family val="2"/>
      <scheme val="minor"/>
    </font>
    <font>
      <sz val="8"/>
      <color theme="8" tint="0.79998168889431442"/>
      <name val="Arial"/>
      <family val="2"/>
    </font>
    <font>
      <i/>
      <sz val="9"/>
      <color rgb="FF00B050"/>
      <name val="Calibri"/>
      <family val="2"/>
      <scheme val="minor"/>
    </font>
    <font>
      <b/>
      <i/>
      <sz val="9"/>
      <color rgb="FF00B050"/>
      <name val="Calibri"/>
      <family val="2"/>
      <scheme val="minor"/>
    </font>
    <font>
      <sz val="9"/>
      <color indexed="56"/>
      <name val="Calibri"/>
      <family val="2"/>
      <scheme val="minor"/>
    </font>
    <font>
      <b/>
      <sz val="8"/>
      <color theme="0" tint="-0.499984740745262"/>
      <name val="Calibri"/>
      <family val="2"/>
      <scheme val="minor"/>
    </font>
    <font>
      <b/>
      <sz val="9"/>
      <color rgb="FF00B050"/>
      <name val="Calibri"/>
      <family val="2"/>
      <scheme val="minor"/>
    </font>
    <font>
      <sz val="8"/>
      <color rgb="FF000000"/>
      <name val="Segoe UI"/>
      <family val="2"/>
    </font>
    <font>
      <b/>
      <sz val="9"/>
      <color rgb="FFFF0000"/>
      <name val="Wingdings"/>
      <charset val="2"/>
    </font>
    <font>
      <sz val="8"/>
      <color rgb="FFFF0000"/>
      <name val="Arial"/>
      <family val="2"/>
    </font>
    <font>
      <b/>
      <vertAlign val="superscript"/>
      <sz val="9"/>
      <color theme="8"/>
      <name val="Calibri"/>
      <family val="2"/>
      <scheme val="minor"/>
    </font>
    <font>
      <b/>
      <sz val="8"/>
      <color rgb="FFFF0000"/>
      <name val="Arial"/>
      <family val="2"/>
    </font>
    <font>
      <b/>
      <u/>
      <sz val="9"/>
      <name val="Calibri"/>
      <family val="2"/>
      <scheme val="minor"/>
    </font>
    <font>
      <strike/>
      <sz val="8"/>
      <color theme="1"/>
      <name val="Arial"/>
      <family val="2"/>
    </font>
    <font>
      <strike/>
      <sz val="8"/>
      <name val="Arial"/>
      <family val="2"/>
    </font>
    <font>
      <sz val="20"/>
      <color theme="5"/>
      <name val="Tahoma"/>
      <family val="2"/>
    </font>
    <font>
      <sz val="9"/>
      <color rgb="FF000000"/>
      <name val="Calibri"/>
      <family val="2"/>
      <scheme val="minor"/>
    </font>
    <font>
      <b/>
      <sz val="9"/>
      <color rgb="FF000000"/>
      <name val="Calibri"/>
      <family val="2"/>
      <scheme val="minor"/>
    </font>
    <font>
      <sz val="9"/>
      <color theme="1"/>
      <name val="Arial"/>
      <family val="2"/>
    </font>
    <font>
      <sz val="9"/>
      <name val="Arial"/>
      <family val="2"/>
    </font>
    <font>
      <b/>
      <sz val="16"/>
      <name val="Calibri"/>
      <family val="2"/>
      <scheme val="minor"/>
    </font>
    <font>
      <b/>
      <sz val="12"/>
      <color theme="8"/>
      <name val="Calibri"/>
      <family val="2"/>
      <scheme val="minor"/>
    </font>
    <font>
      <b/>
      <sz val="12"/>
      <color rgb="FFFF0000"/>
      <name val="Calibri"/>
      <family val="2"/>
      <scheme val="minor"/>
    </font>
    <font>
      <sz val="11"/>
      <name val="Arial"/>
      <family val="2"/>
    </font>
    <font>
      <b/>
      <sz val="11"/>
      <color rgb="FFFF0000"/>
      <name val="Calibri"/>
      <family val="2"/>
      <scheme val="minor"/>
    </font>
    <font>
      <sz val="8"/>
      <name val="Arial"/>
      <family val="2"/>
    </font>
    <font>
      <sz val="10"/>
      <color rgb="FFFF0000"/>
      <name val="Arial"/>
      <family val="2"/>
    </font>
  </fonts>
  <fills count="6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62"/>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63"/>
        <bgColor indexed="64"/>
      </patternFill>
    </fill>
    <fill>
      <patternFill patternType="solid">
        <fgColor rgb="FFFFC7CE"/>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lightGray">
        <fgColor indexed="9"/>
        <bgColor indexed="26"/>
      </patternFill>
    </fill>
    <fill>
      <patternFill patternType="lightGray">
        <fgColor indexed="9"/>
        <bgColor theme="0"/>
      </patternFill>
    </fill>
    <fill>
      <patternFill patternType="solid">
        <fgColor theme="0" tint="-0.249977111117893"/>
        <bgColor indexed="64"/>
      </patternFill>
    </fill>
    <fill>
      <patternFill patternType="lightUp">
        <fgColor theme="5" tint="0.39994506668294322"/>
        <bgColor theme="5" tint="0.79989013336588644"/>
      </patternFill>
    </fill>
    <fill>
      <patternFill patternType="solid">
        <fgColor theme="1"/>
        <bgColor indexed="64"/>
      </patternFill>
    </fill>
    <fill>
      <patternFill patternType="solid">
        <fgColor theme="4" tint="0.79998168889431442"/>
        <bgColor indexed="64"/>
      </patternFill>
    </fill>
    <fill>
      <patternFill patternType="solid">
        <fgColor theme="6" tint="-0.499984740745262"/>
        <bgColor indexed="64"/>
      </patternFill>
    </fill>
    <fill>
      <patternFill patternType="solid">
        <fgColor theme="6" tint="0.59999389629810485"/>
        <bgColor indexed="64"/>
      </patternFill>
    </fill>
    <fill>
      <patternFill patternType="solid">
        <fgColor theme="9" tint="-0.499984740745262"/>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7" tint="-0.49998474074526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DAEEF3"/>
        <bgColor rgb="FF000000"/>
      </patternFill>
    </fill>
    <fill>
      <patternFill patternType="solid">
        <fgColor theme="2"/>
        <bgColor indexed="64"/>
      </patternFill>
    </fill>
    <fill>
      <patternFill patternType="solid">
        <fgColor rgb="FF4986A0"/>
        <bgColor indexed="64"/>
      </patternFill>
    </fill>
    <fill>
      <patternFill patternType="solid">
        <fgColor theme="8" tint="0.79998168889431442"/>
        <bgColor rgb="FF000000"/>
      </patternFill>
    </fill>
    <fill>
      <patternFill patternType="solid">
        <fgColor theme="8" tint="0.39997558519241921"/>
        <bgColor indexed="64"/>
      </patternFill>
    </fill>
    <fill>
      <patternFill patternType="solid">
        <fgColor rgb="FF84A0F0"/>
        <bgColor indexed="64"/>
      </patternFill>
    </fill>
    <fill>
      <patternFill patternType="solid">
        <fgColor rgb="FFF2F2F2"/>
        <bgColor indexed="64"/>
      </patternFill>
    </fill>
    <fill>
      <patternFill patternType="solid">
        <fgColor rgb="FFBCD3EE"/>
        <bgColor indexed="64"/>
      </patternFill>
    </fill>
    <fill>
      <patternFill patternType="solid">
        <fgColor rgb="FFFFCCFF"/>
        <bgColor indexed="64"/>
      </patternFill>
    </fill>
    <fill>
      <patternFill patternType="solid">
        <fgColor rgb="FFEBF1DE"/>
        <bgColor indexed="64"/>
      </patternFill>
    </fill>
    <fill>
      <patternFill patternType="solid">
        <fgColor rgb="FFFFFFFF"/>
        <bgColor indexed="64"/>
      </patternFill>
    </fill>
    <fill>
      <patternFill patternType="solid">
        <fgColor rgb="FFD8E4BC"/>
        <bgColor indexed="64"/>
      </patternFill>
    </fill>
    <fill>
      <patternFill patternType="solid">
        <fgColor rgb="FFB7DEE8"/>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8" tint="-0.249977111117893"/>
        <bgColor indexed="64"/>
      </patternFill>
    </fill>
  </fills>
  <borders count="153">
    <border>
      <left/>
      <right/>
      <top/>
      <bottom/>
      <diagonal/>
    </border>
    <border>
      <left style="medium">
        <color indexed="18"/>
      </left>
      <right style="medium">
        <color indexed="18"/>
      </right>
      <top style="medium">
        <color indexed="18"/>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thin">
        <color theme="0" tint="-0.34998626667073579"/>
      </right>
      <top style="thin">
        <color indexed="64"/>
      </top>
      <bottom style="thin">
        <color indexed="64"/>
      </bottom>
      <diagonal/>
    </border>
    <border>
      <left/>
      <right style="thin">
        <color theme="0" tint="-0.34998626667073579"/>
      </right>
      <top style="thin">
        <color indexed="64"/>
      </top>
      <bottom/>
      <diagonal/>
    </border>
    <border>
      <left/>
      <right style="thin">
        <color theme="0" tint="-0.34998626667073579"/>
      </right>
      <top/>
      <bottom style="thin">
        <color indexed="64"/>
      </bottom>
      <diagonal/>
    </border>
    <border>
      <left style="hair">
        <color auto="1"/>
      </left>
      <right/>
      <top/>
      <bottom/>
      <diagonal/>
    </border>
    <border>
      <left/>
      <right style="hair">
        <color auto="1"/>
      </right>
      <top/>
      <bottom/>
      <diagonal/>
    </border>
    <border>
      <left style="hair">
        <color auto="1"/>
      </left>
      <right/>
      <top/>
      <bottom style="thin">
        <color indexed="64"/>
      </bottom>
      <diagonal/>
    </border>
    <border>
      <left/>
      <right style="hair">
        <color auto="1"/>
      </right>
      <top/>
      <bottom style="thin">
        <color indexed="64"/>
      </bottom>
      <diagonal/>
    </border>
    <border>
      <left style="hair">
        <color auto="1"/>
      </left>
      <right/>
      <top style="medium">
        <color indexed="64"/>
      </top>
      <bottom/>
      <diagonal/>
    </border>
    <border>
      <left/>
      <right style="hair">
        <color auto="1"/>
      </right>
      <top style="medium">
        <color indexed="64"/>
      </top>
      <bottom/>
      <diagonal/>
    </border>
    <border>
      <left style="hair">
        <color auto="1"/>
      </left>
      <right/>
      <top/>
      <bottom style="medium">
        <color indexed="64"/>
      </bottom>
      <diagonal/>
    </border>
    <border>
      <left/>
      <right style="hair">
        <color auto="1"/>
      </right>
      <top/>
      <bottom style="medium">
        <color indexed="64"/>
      </bottom>
      <diagonal/>
    </border>
    <border>
      <left style="hair">
        <color auto="1"/>
      </left>
      <right/>
      <top style="thin">
        <color indexed="64"/>
      </top>
      <bottom/>
      <diagonal/>
    </border>
    <border>
      <left/>
      <right style="hair">
        <color auto="1"/>
      </right>
      <top style="thin">
        <color indexed="64"/>
      </top>
      <bottom/>
      <diagonal/>
    </border>
    <border>
      <left/>
      <right/>
      <top style="hair">
        <color indexed="64"/>
      </top>
      <bottom/>
      <diagonal/>
    </border>
    <border>
      <left style="hair">
        <color auto="1"/>
      </left>
      <right/>
      <top style="hair">
        <color indexed="64"/>
      </top>
      <bottom/>
      <diagonal/>
    </border>
    <border>
      <left/>
      <right style="hair">
        <color auto="1"/>
      </right>
      <top style="hair">
        <color indexed="64"/>
      </top>
      <bottom/>
      <diagonal/>
    </border>
    <border>
      <left/>
      <right/>
      <top/>
      <bottom style="hair">
        <color auto="1"/>
      </bottom>
      <diagonal/>
    </border>
    <border>
      <left style="hair">
        <color auto="1"/>
      </left>
      <right/>
      <top/>
      <bottom style="hair">
        <color auto="1"/>
      </bottom>
      <diagonal/>
    </border>
    <border>
      <left/>
      <right style="hair">
        <color auto="1"/>
      </right>
      <top/>
      <bottom style="hair">
        <color auto="1"/>
      </bottom>
      <diagonal/>
    </border>
    <border>
      <left/>
      <right/>
      <top style="hair">
        <color indexed="64"/>
      </top>
      <bottom style="hair">
        <color indexed="64"/>
      </bottom>
      <diagonal/>
    </border>
    <border>
      <left style="hair">
        <color auto="1"/>
      </left>
      <right/>
      <top style="hair">
        <color indexed="64"/>
      </top>
      <bottom style="hair">
        <color indexed="64"/>
      </bottom>
      <diagonal/>
    </border>
    <border>
      <left/>
      <right style="hair">
        <color auto="1"/>
      </right>
      <top style="hair">
        <color indexed="64"/>
      </top>
      <bottom style="hair">
        <color indexed="64"/>
      </bottom>
      <diagonal/>
    </border>
    <border>
      <left style="dotted">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style="dotted">
        <color indexed="64"/>
      </left>
      <right style="thin">
        <color indexed="64"/>
      </right>
      <top style="medium">
        <color indexed="64"/>
      </top>
      <bottom/>
      <diagonal/>
    </border>
    <border>
      <left style="thin">
        <color indexed="64"/>
      </left>
      <right style="thin">
        <color indexed="64"/>
      </right>
      <top style="medium">
        <color indexed="64"/>
      </top>
      <bottom/>
      <diagonal/>
    </border>
    <border>
      <left style="dotted">
        <color indexed="64"/>
      </left>
      <right style="thin">
        <color indexed="64"/>
      </right>
      <top/>
      <bottom/>
      <diagonal/>
    </border>
    <border>
      <left style="medium">
        <color indexed="64"/>
      </left>
      <right/>
      <top/>
      <bottom style="hair">
        <color indexed="64"/>
      </bottom>
      <diagonal/>
    </border>
    <border>
      <left style="thin">
        <color indexed="64"/>
      </left>
      <right style="thin">
        <color indexed="64"/>
      </right>
      <top/>
      <bottom style="hair">
        <color indexed="64"/>
      </bottom>
      <diagonal/>
    </border>
    <border>
      <left/>
      <right style="medium">
        <color indexed="64"/>
      </right>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dotted">
        <color indexed="64"/>
      </left>
      <right style="thin">
        <color indexed="64"/>
      </right>
      <top style="thin">
        <color indexed="64"/>
      </top>
      <bottom/>
      <diagonal/>
    </border>
    <border>
      <left style="medium">
        <color indexed="64"/>
      </left>
      <right/>
      <top style="hair">
        <color indexed="64"/>
      </top>
      <bottom/>
      <diagonal/>
    </border>
    <border>
      <left style="thin">
        <color indexed="64"/>
      </left>
      <right style="thin">
        <color indexed="64"/>
      </right>
      <top style="hair">
        <color indexed="64"/>
      </top>
      <bottom/>
      <diagonal/>
    </border>
    <border>
      <left/>
      <right style="medium">
        <color indexed="64"/>
      </right>
      <top style="hair">
        <color indexed="64"/>
      </top>
      <bottom/>
      <diagonal/>
    </border>
    <border>
      <left style="medium">
        <color indexed="64"/>
      </left>
      <right style="medium">
        <color indexed="64"/>
      </right>
      <top style="hair">
        <color indexed="64"/>
      </top>
      <bottom/>
      <diagonal/>
    </border>
    <border>
      <left style="medium">
        <color indexed="64"/>
      </left>
      <right style="medium">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thin">
        <color indexed="64"/>
      </right>
      <top/>
      <bottom style="medium">
        <color indexed="64"/>
      </bottom>
      <diagonal/>
    </border>
    <border>
      <left style="hair">
        <color auto="1"/>
      </left>
      <right/>
      <top style="thin">
        <color indexed="64"/>
      </top>
      <bottom style="thin">
        <color indexed="64"/>
      </bottom>
      <diagonal/>
    </border>
    <border>
      <left/>
      <right style="hair">
        <color auto="1"/>
      </right>
      <top style="thin">
        <color indexed="64"/>
      </top>
      <bottom style="thin">
        <color indexed="64"/>
      </bottom>
      <diagonal/>
    </border>
    <border>
      <left style="thin">
        <color indexed="64"/>
      </left>
      <right/>
      <top style="medium">
        <color indexed="64"/>
      </top>
      <bottom style="thin">
        <color indexed="64"/>
      </bottom>
      <diagonal/>
    </border>
    <border>
      <left/>
      <right/>
      <top/>
      <bottom style="medium">
        <color rgb="FFFFFFFF"/>
      </bottom>
      <diagonal/>
    </border>
    <border>
      <left/>
      <right style="dotted">
        <color indexed="64"/>
      </right>
      <top/>
      <bottom style="medium">
        <color indexed="64"/>
      </bottom>
      <diagonal/>
    </border>
  </borders>
  <cellStyleXfs count="225">
    <xf numFmtId="0" fontId="0" fillId="0" borderId="0"/>
    <xf numFmtId="0" fontId="23" fillId="2" borderId="0" applyNumberFormat="0" applyBorder="0" applyAlignment="0" applyProtection="0"/>
    <xf numFmtId="0" fontId="23" fillId="4"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3"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9" borderId="0" applyNumberFormat="0" applyBorder="0" applyAlignment="0" applyProtection="0"/>
    <xf numFmtId="0" fontId="23" fillId="13"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2" borderId="0" applyNumberFormat="0" applyBorder="0" applyAlignment="0" applyProtection="0"/>
    <xf numFmtId="0" fontId="24" fillId="17"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17" borderId="0" applyNumberFormat="0" applyBorder="0" applyAlignment="0" applyProtection="0"/>
    <xf numFmtId="0" fontId="24" fillId="14" borderId="0" applyNumberFormat="0" applyBorder="0" applyAlignment="0" applyProtection="0"/>
    <xf numFmtId="0" fontId="24" fillId="21" borderId="0" applyNumberFormat="0" applyBorder="0" applyAlignment="0" applyProtection="0"/>
    <xf numFmtId="168" fontId="4" fillId="0" borderId="1">
      <alignment horizontal="center" vertical="center"/>
      <protection locked="0"/>
    </xf>
    <xf numFmtId="168" fontId="21" fillId="0" borderId="1">
      <alignment horizontal="center" vertical="center"/>
      <protection locked="0"/>
    </xf>
    <xf numFmtId="15" fontId="4" fillId="0" borderId="1">
      <alignment horizontal="center" vertical="center"/>
      <protection locked="0"/>
    </xf>
    <xf numFmtId="15" fontId="21" fillId="0" borderId="1">
      <alignment horizontal="center" vertical="center"/>
      <protection locked="0"/>
    </xf>
    <xf numFmtId="167" fontId="4" fillId="0" borderId="1">
      <alignment horizontal="center" vertical="center"/>
      <protection locked="0"/>
    </xf>
    <xf numFmtId="167" fontId="21" fillId="0" borderId="1">
      <alignment horizontal="center" vertical="center"/>
      <protection locked="0"/>
    </xf>
    <xf numFmtId="165" fontId="4" fillId="0" borderId="1">
      <alignment horizontal="center" vertical="center"/>
      <protection locked="0"/>
    </xf>
    <xf numFmtId="165" fontId="21" fillId="0" borderId="1">
      <alignment horizontal="center" vertical="center"/>
      <protection locked="0"/>
    </xf>
    <xf numFmtId="166" fontId="4" fillId="0" borderId="1">
      <alignment horizontal="center" vertical="center"/>
      <protection locked="0"/>
    </xf>
    <xf numFmtId="166" fontId="21" fillId="0" borderId="1">
      <alignment horizontal="center" vertical="center"/>
      <protection locked="0"/>
    </xf>
    <xf numFmtId="164" fontId="4" fillId="0" borderId="1">
      <alignment horizontal="center" vertical="center"/>
      <protection locked="0"/>
    </xf>
    <xf numFmtId="164" fontId="21" fillId="0" borderId="1">
      <alignment horizontal="center" vertical="center"/>
      <protection locked="0"/>
    </xf>
    <xf numFmtId="0" fontId="4" fillId="0" borderId="1">
      <alignment vertical="center"/>
      <protection locked="0"/>
    </xf>
    <xf numFmtId="0" fontId="21" fillId="0" borderId="1">
      <alignment vertical="center"/>
      <protection locked="0"/>
    </xf>
    <xf numFmtId="168" fontId="4" fillId="0" borderId="1">
      <alignment horizontal="right" vertical="center"/>
      <protection locked="0"/>
    </xf>
    <xf numFmtId="168" fontId="21" fillId="0" borderId="1">
      <alignment horizontal="right" vertical="center"/>
      <protection locked="0"/>
    </xf>
    <xf numFmtId="169" fontId="4" fillId="0" borderId="1">
      <alignment horizontal="right" vertical="center"/>
      <protection locked="0"/>
    </xf>
    <xf numFmtId="169" fontId="21" fillId="0" borderId="1">
      <alignment horizontal="right" vertical="center"/>
      <protection locked="0"/>
    </xf>
    <xf numFmtId="167" fontId="4" fillId="0" borderId="1">
      <alignment horizontal="right" vertical="center"/>
      <protection locked="0"/>
    </xf>
    <xf numFmtId="167" fontId="21" fillId="0" borderId="1">
      <alignment horizontal="right" vertical="center"/>
      <protection locked="0"/>
    </xf>
    <xf numFmtId="165" fontId="4" fillId="0" borderId="1">
      <alignment horizontal="right" vertical="center"/>
      <protection locked="0"/>
    </xf>
    <xf numFmtId="165" fontId="21" fillId="0" borderId="1">
      <alignment horizontal="right" vertical="center"/>
      <protection locked="0"/>
    </xf>
    <xf numFmtId="166" fontId="4" fillId="0" borderId="1">
      <alignment horizontal="right" vertical="center"/>
      <protection locked="0"/>
    </xf>
    <xf numFmtId="166" fontId="21" fillId="0" borderId="1">
      <alignment horizontal="right" vertical="center"/>
      <protection locked="0"/>
    </xf>
    <xf numFmtId="164" fontId="4" fillId="0" borderId="1">
      <alignment horizontal="right" vertical="center"/>
      <protection locked="0"/>
    </xf>
    <xf numFmtId="164" fontId="21" fillId="0" borderId="1">
      <alignment horizontal="right" vertical="center"/>
      <protection locked="0"/>
    </xf>
    <xf numFmtId="0" fontId="42" fillId="26" borderId="0" applyNumberFormat="0" applyBorder="0" applyAlignment="0" applyProtection="0"/>
    <xf numFmtId="0" fontId="25" fillId="4" borderId="0" applyNumberFormat="0" applyBorder="0" applyAlignment="0" applyProtection="0"/>
    <xf numFmtId="0" fontId="26" fillId="22" borderId="2" applyNumberFormat="0" applyAlignment="0" applyProtection="0"/>
    <xf numFmtId="0" fontId="4" fillId="0" borderId="0" applyNumberFormat="0" applyFont="0" applyFill="0" applyBorder="0">
      <alignment horizontal="center" vertical="center"/>
      <protection locked="0"/>
    </xf>
    <xf numFmtId="0" fontId="21" fillId="0" borderId="0" applyNumberFormat="0" applyFont="0" applyFill="0" applyBorder="0">
      <alignment horizontal="center" vertical="center"/>
      <protection locked="0"/>
    </xf>
    <xf numFmtId="168" fontId="4" fillId="0" borderId="0" applyFill="0" applyBorder="0">
      <alignment horizontal="center" vertical="center"/>
    </xf>
    <xf numFmtId="168" fontId="21" fillId="0" borderId="0" applyFill="0" applyBorder="0">
      <alignment horizontal="center" vertical="center"/>
    </xf>
    <xf numFmtId="15" fontId="4" fillId="0" borderId="0" applyFill="0" applyBorder="0">
      <alignment horizontal="center" vertical="center"/>
    </xf>
    <xf numFmtId="15" fontId="21" fillId="0" borderId="0" applyFill="0" applyBorder="0">
      <alignment horizontal="center" vertical="center"/>
    </xf>
    <xf numFmtId="167" fontId="4" fillId="0" borderId="0" applyFill="0" applyBorder="0">
      <alignment horizontal="center" vertical="center"/>
    </xf>
    <xf numFmtId="167" fontId="21" fillId="0" borderId="0" applyFill="0" applyBorder="0">
      <alignment horizontal="center" vertical="center"/>
    </xf>
    <xf numFmtId="165" fontId="4" fillId="0" borderId="0" applyFill="0" applyBorder="0">
      <alignment horizontal="center" vertical="center"/>
    </xf>
    <xf numFmtId="165" fontId="21" fillId="0" borderId="0" applyFill="0" applyBorder="0">
      <alignment horizontal="center" vertical="center"/>
    </xf>
    <xf numFmtId="166" fontId="4" fillId="0" borderId="0" applyFill="0" applyBorder="0">
      <alignment horizontal="center" vertical="center"/>
    </xf>
    <xf numFmtId="166" fontId="21" fillId="0" borderId="0" applyFill="0" applyBorder="0">
      <alignment horizontal="center" vertical="center"/>
    </xf>
    <xf numFmtId="164" fontId="4" fillId="0" borderId="0" applyFill="0" applyBorder="0">
      <alignment horizontal="center" vertical="center"/>
    </xf>
    <xf numFmtId="164" fontId="21" fillId="0" borderId="0" applyFill="0" applyBorder="0">
      <alignment horizontal="center" vertical="center"/>
    </xf>
    <xf numFmtId="0" fontId="27" fillId="23" borderId="3" applyNumberFormat="0" applyAlignment="0" applyProtection="0"/>
    <xf numFmtId="43" fontId="4" fillId="0" borderId="0" applyFont="0" applyFill="0" applyBorder="0" applyAlignment="0" applyProtection="0"/>
    <xf numFmtId="0" fontId="28" fillId="0" borderId="0" applyNumberFormat="0" applyFill="0" applyBorder="0" applyAlignment="0" applyProtection="0"/>
    <xf numFmtId="0" fontId="29" fillId="6" borderId="0" applyNumberFormat="0" applyBorder="0" applyAlignment="0" applyProtection="0"/>
    <xf numFmtId="0" fontId="8" fillId="0" borderId="0" applyFill="0" applyBorder="0">
      <alignment vertical="center"/>
    </xf>
    <xf numFmtId="0" fontId="33" fillId="0" borderId="4" applyNumberFormat="0" applyFill="0" applyAlignment="0" applyProtection="0"/>
    <xf numFmtId="0" fontId="9" fillId="0" borderId="0" applyFill="0" applyBorder="0">
      <alignment vertical="center"/>
    </xf>
    <xf numFmtId="0" fontId="34" fillId="0" borderId="5" applyNumberFormat="0" applyFill="0" applyAlignment="0" applyProtection="0"/>
    <xf numFmtId="0" fontId="10" fillId="0" borderId="0" applyFill="0" applyBorder="0">
      <alignment vertical="center"/>
    </xf>
    <xf numFmtId="0" fontId="35" fillId="0" borderId="6" applyNumberFormat="0" applyFill="0" applyAlignment="0" applyProtection="0"/>
    <xf numFmtId="0" fontId="4" fillId="0" borderId="0" applyFill="0" applyBorder="0">
      <alignment vertical="center"/>
    </xf>
    <xf numFmtId="0" fontId="35" fillId="0" borderId="0" applyNumberFormat="0" applyFill="0" applyBorder="0" applyAlignment="0" applyProtection="0"/>
    <xf numFmtId="0" fontId="12" fillId="0" borderId="0" applyFill="0" applyBorder="0">
      <alignment horizontal="center" vertical="center"/>
      <protection locked="0"/>
    </xf>
    <xf numFmtId="0" fontId="12" fillId="0" borderId="0" applyFill="0" applyBorder="0">
      <alignment horizontal="center" vertical="center"/>
      <protection locked="0"/>
    </xf>
    <xf numFmtId="0" fontId="11" fillId="0" borderId="0" applyFill="0" applyBorder="0">
      <alignment horizontal="left" vertical="center"/>
      <protection locked="0"/>
    </xf>
    <xf numFmtId="0" fontId="11" fillId="0" borderId="0" applyFill="0" applyBorder="0">
      <alignment horizontal="left" vertical="center"/>
      <protection locked="0"/>
    </xf>
    <xf numFmtId="0" fontId="11" fillId="0" borderId="0" applyFill="0" applyBorder="0">
      <alignment horizontal="left" vertical="center"/>
      <protection locked="0"/>
    </xf>
    <xf numFmtId="0" fontId="36" fillId="3" borderId="2" applyNumberFormat="0" applyAlignment="0" applyProtection="0"/>
    <xf numFmtId="0" fontId="30" fillId="0" borderId="7" applyNumberFormat="0" applyFill="0" applyAlignment="0" applyProtection="0"/>
    <xf numFmtId="0" fontId="10" fillId="0" borderId="8" applyFill="0">
      <alignment horizontal="center" vertical="center"/>
    </xf>
    <xf numFmtId="0" fontId="10" fillId="0" borderId="8" applyFill="0">
      <alignment horizontal="center" vertical="center"/>
    </xf>
    <xf numFmtId="0" fontId="4" fillId="0" borderId="8" applyFill="0">
      <alignment horizontal="center" vertical="center"/>
    </xf>
    <xf numFmtId="0" fontId="21" fillId="0" borderId="8" applyFill="0">
      <alignment horizontal="center" vertical="center"/>
    </xf>
    <xf numFmtId="170" fontId="4" fillId="0" borderId="8" applyFill="0">
      <alignment horizontal="center" vertical="center"/>
    </xf>
    <xf numFmtId="170" fontId="21" fillId="0" borderId="8" applyFill="0">
      <alignment horizontal="center" vertical="center"/>
    </xf>
    <xf numFmtId="0" fontId="7" fillId="0" borderId="0" applyFill="0" applyBorder="0">
      <alignment horizontal="left" vertical="center"/>
    </xf>
    <xf numFmtId="0" fontId="7" fillId="0" borderId="0" applyFill="0" applyBorder="0">
      <alignment horizontal="left" vertical="center"/>
    </xf>
    <xf numFmtId="0" fontId="7" fillId="0" borderId="0" applyFill="0" applyBorder="0">
      <alignment horizontal="left" vertical="center"/>
    </xf>
    <xf numFmtId="0" fontId="37" fillId="11" borderId="0" applyNumberFormat="0" applyBorder="0" applyAlignment="0" applyProtection="0"/>
    <xf numFmtId="0" fontId="21" fillId="0" borderId="0"/>
    <xf numFmtId="0" fontId="21" fillId="0" borderId="0"/>
    <xf numFmtId="0" fontId="23" fillId="5" borderId="10" applyNumberFormat="0" applyFont="0" applyAlignment="0" applyProtection="0"/>
    <xf numFmtId="0" fontId="38" fillId="22" borderId="11" applyNumberFormat="0" applyAlignment="0" applyProtection="0"/>
    <xf numFmtId="9" fontId="4" fillId="0" borderId="0" applyFont="0" applyFill="0" applyBorder="0" applyAlignment="0" applyProtection="0"/>
    <xf numFmtId="9" fontId="21" fillId="0" borderId="0" applyFont="0" applyFill="0" applyBorder="0" applyAlignment="0" applyProtection="0"/>
    <xf numFmtId="0" fontId="10" fillId="0" borderId="0" applyFill="0" applyBorder="0">
      <alignment vertical="center"/>
    </xf>
    <xf numFmtId="0" fontId="10" fillId="0" borderId="0" applyFill="0" applyBorder="0">
      <alignment vertical="center"/>
    </xf>
    <xf numFmtId="168" fontId="4" fillId="0" borderId="0" applyFill="0" applyBorder="0">
      <alignment horizontal="right" vertical="center"/>
    </xf>
    <xf numFmtId="168" fontId="21" fillId="0" borderId="0" applyFill="0" applyBorder="0">
      <alignment horizontal="right" vertical="center"/>
    </xf>
    <xf numFmtId="169" fontId="4" fillId="0" borderId="0" applyFill="0" applyBorder="0">
      <alignment horizontal="right" vertical="center"/>
    </xf>
    <xf numFmtId="169" fontId="21" fillId="0" borderId="0" applyFill="0" applyBorder="0">
      <alignment horizontal="right" vertical="center"/>
    </xf>
    <xf numFmtId="167" fontId="4" fillId="0" borderId="0" applyFill="0" applyBorder="0">
      <alignment horizontal="right" vertical="center"/>
    </xf>
    <xf numFmtId="167" fontId="21" fillId="0" borderId="0" applyFill="0" applyBorder="0">
      <alignment horizontal="right" vertical="center"/>
    </xf>
    <xf numFmtId="165" fontId="4" fillId="0" borderId="0" applyFill="0" applyBorder="0">
      <alignment horizontal="right" vertical="center"/>
    </xf>
    <xf numFmtId="165" fontId="21" fillId="0" borderId="0" applyFill="0" applyBorder="0">
      <alignment horizontal="right" vertical="center"/>
    </xf>
    <xf numFmtId="165" fontId="21" fillId="0" borderId="0" applyFill="0" applyBorder="0">
      <alignment horizontal="right" vertical="center"/>
    </xf>
    <xf numFmtId="165" fontId="21" fillId="0" borderId="0" applyFill="0" applyBorder="0">
      <alignment horizontal="right" vertical="center"/>
    </xf>
    <xf numFmtId="165" fontId="21" fillId="0" borderId="0" applyFill="0" applyBorder="0">
      <alignment horizontal="right" vertical="center"/>
    </xf>
    <xf numFmtId="166" fontId="4" fillId="0" borderId="0" applyFill="0" applyBorder="0">
      <alignment horizontal="right" vertical="center"/>
    </xf>
    <xf numFmtId="166" fontId="21" fillId="0" borderId="0" applyFill="0" applyBorder="0">
      <alignment horizontal="right" vertical="center"/>
    </xf>
    <xf numFmtId="164" fontId="4" fillId="0" borderId="0" applyFill="0" applyBorder="0">
      <alignment horizontal="right" vertical="center"/>
    </xf>
    <xf numFmtId="164" fontId="21" fillId="0" borderId="0" applyFill="0" applyBorder="0">
      <alignment horizontal="right" vertical="center"/>
    </xf>
    <xf numFmtId="0" fontId="6" fillId="0" borderId="0" applyFill="0" applyBorder="0">
      <alignment horizontal="left" vertical="center"/>
    </xf>
    <xf numFmtId="0" fontId="6" fillId="0" borderId="0" applyFill="0" applyBorder="0">
      <alignment horizontal="left" vertical="center"/>
    </xf>
    <xf numFmtId="0" fontId="5" fillId="0" borderId="0" applyFill="0" applyBorder="0">
      <alignment horizontal="left" vertical="center"/>
    </xf>
    <xf numFmtId="0" fontId="5" fillId="0" borderId="0" applyFill="0" applyBorder="0">
      <alignment horizontal="left" vertical="center"/>
    </xf>
    <xf numFmtId="0" fontId="5" fillId="0" borderId="0" applyFill="0" applyBorder="0">
      <alignment horizontal="left" vertical="center"/>
    </xf>
    <xf numFmtId="0" fontId="39" fillId="0" borderId="0">
      <alignment vertical="top"/>
    </xf>
    <xf numFmtId="0" fontId="40" fillId="0" borderId="0" applyNumberFormat="0" applyFill="0" applyBorder="0" applyAlignment="0" applyProtection="0"/>
    <xf numFmtId="0" fontId="13" fillId="0" borderId="0" applyFill="0" applyBorder="0">
      <alignment horizontal="left" vertical="center"/>
      <protection locked="0"/>
    </xf>
    <xf numFmtId="0" fontId="13" fillId="0" borderId="0" applyFill="0" applyBorder="0">
      <alignment horizontal="left" vertical="center"/>
      <protection locked="0"/>
    </xf>
    <xf numFmtId="0" fontId="14" fillId="0" borderId="0" applyFill="0" applyBorder="0">
      <alignment horizontal="left" vertical="center"/>
      <protection locked="0"/>
    </xf>
    <xf numFmtId="0" fontId="14" fillId="0" borderId="0" applyFill="0" applyBorder="0">
      <alignment horizontal="left" vertical="center"/>
      <protection locked="0"/>
    </xf>
    <xf numFmtId="0" fontId="11" fillId="0" borderId="0" applyFill="0" applyBorder="0">
      <alignment horizontal="left" vertical="center"/>
      <protection locked="0"/>
    </xf>
    <xf numFmtId="0" fontId="11" fillId="0" borderId="0" applyFill="0" applyBorder="0">
      <alignment horizontal="left" vertical="center"/>
      <protection locked="0"/>
    </xf>
    <xf numFmtId="0" fontId="15" fillId="0" borderId="0" applyFill="0" applyBorder="0">
      <alignment horizontal="left" vertical="center"/>
      <protection locked="0"/>
    </xf>
    <xf numFmtId="0" fontId="15" fillId="0" borderId="0" applyFill="0" applyBorder="0">
      <alignment horizontal="left" vertical="center"/>
      <protection locked="0"/>
    </xf>
    <xf numFmtId="0" fontId="31" fillId="0" borderId="12" applyNumberFormat="0" applyFill="0" applyAlignment="0" applyProtection="0"/>
    <xf numFmtId="0" fontId="32" fillId="0" borderId="0" applyNumberFormat="0" applyFill="0" applyBorder="0" applyAlignment="0" applyProtection="0"/>
    <xf numFmtId="0" fontId="21" fillId="0" borderId="0"/>
    <xf numFmtId="0" fontId="8" fillId="0" borderId="0" applyFill="0" applyBorder="0">
      <alignment vertical="center"/>
    </xf>
    <xf numFmtId="0" fontId="45" fillId="35" borderId="0" applyNumberFormat="0" applyFont="0" applyBorder="0" applyAlignment="0">
      <protection hidden="1"/>
    </xf>
    <xf numFmtId="0" fontId="41" fillId="0" borderId="0"/>
    <xf numFmtId="0" fontId="21" fillId="0" borderId="0" applyFill="0" applyBorder="0">
      <alignment vertical="center"/>
    </xf>
    <xf numFmtId="0" fontId="21" fillId="0" borderId="0"/>
    <xf numFmtId="0" fontId="21" fillId="0" borderId="0"/>
    <xf numFmtId="0" fontId="21" fillId="0" borderId="0"/>
    <xf numFmtId="0" fontId="21" fillId="0" borderId="1">
      <alignment vertical="center"/>
      <protection locked="0"/>
    </xf>
    <xf numFmtId="43" fontId="49" fillId="0" borderId="0" applyFont="0" applyFill="0" applyBorder="0" applyAlignment="0" applyProtection="0"/>
    <xf numFmtId="43" fontId="45" fillId="0" borderId="0" applyFont="0" applyFill="0" applyBorder="0" applyAlignment="0" applyProtection="0"/>
    <xf numFmtId="43" fontId="50" fillId="0" borderId="0" applyFont="0" applyFill="0" applyBorder="0" applyAlignment="0" applyProtection="0"/>
    <xf numFmtId="43" fontId="2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9" fillId="0" borderId="0" applyFill="0" applyBorder="0">
      <alignment vertical="center"/>
    </xf>
    <xf numFmtId="0" fontId="21" fillId="0" borderId="0"/>
    <xf numFmtId="0" fontId="46" fillId="0" borderId="0"/>
    <xf numFmtId="0" fontId="21" fillId="0" borderId="0"/>
    <xf numFmtId="0" fontId="21" fillId="0" borderId="0"/>
    <xf numFmtId="0" fontId="50" fillId="0" borderId="0"/>
    <xf numFmtId="0" fontId="51" fillId="0" borderId="0" applyFill="0" applyBorder="0">
      <alignment vertical="center"/>
    </xf>
    <xf numFmtId="0" fontId="49" fillId="0" borderId="0"/>
    <xf numFmtId="9" fontId="50" fillId="0" borderId="0" applyFont="0" applyFill="0" applyBorder="0" applyAlignment="0" applyProtection="0"/>
    <xf numFmtId="9" fontId="46" fillId="0" borderId="0" applyFont="0" applyFill="0" applyBorder="0" applyAlignment="0" applyProtection="0"/>
    <xf numFmtId="165" fontId="21" fillId="0" borderId="0" applyFill="0" applyBorder="0">
      <alignment horizontal="right" vertical="center"/>
    </xf>
    <xf numFmtId="165" fontId="21" fillId="0" borderId="0" applyFill="0" applyBorder="0">
      <alignment horizontal="right" vertical="center"/>
    </xf>
    <xf numFmtId="165" fontId="21" fillId="0" borderId="0" applyFill="0" applyBorder="0">
      <alignment horizontal="right" vertical="center"/>
    </xf>
    <xf numFmtId="189" fontId="51" fillId="0" borderId="9">
      <alignment vertical="center"/>
      <protection locked="0"/>
    </xf>
    <xf numFmtId="189" fontId="51" fillId="0" borderId="0" applyFill="0" applyBorder="0">
      <alignment vertical="center"/>
    </xf>
    <xf numFmtId="0" fontId="53" fillId="0" borderId="0" applyFill="0" applyBorder="0">
      <alignment vertical="center"/>
    </xf>
    <xf numFmtId="0" fontId="54" fillId="0" borderId="0" applyFill="0" applyBorder="0">
      <alignment vertical="center"/>
    </xf>
    <xf numFmtId="0" fontId="4" fillId="0" borderId="0"/>
    <xf numFmtId="0" fontId="4" fillId="0" borderId="0"/>
    <xf numFmtId="0" fontId="4" fillId="0" borderId="0"/>
    <xf numFmtId="0" fontId="45" fillId="0" borderId="0"/>
    <xf numFmtId="0" fontId="123" fillId="0" borderId="0"/>
    <xf numFmtId="168" fontId="4" fillId="0" borderId="1">
      <alignment horizontal="center" vertical="center"/>
      <protection locked="0"/>
    </xf>
    <xf numFmtId="15" fontId="4" fillId="0" borderId="1">
      <alignment horizontal="center" vertical="center"/>
      <protection locked="0"/>
    </xf>
    <xf numFmtId="167" fontId="4" fillId="0" borderId="1">
      <alignment horizontal="center" vertical="center"/>
      <protection locked="0"/>
    </xf>
    <xf numFmtId="165" fontId="4" fillId="0" borderId="1">
      <alignment horizontal="center" vertical="center"/>
      <protection locked="0"/>
    </xf>
    <xf numFmtId="166" fontId="4" fillId="0" borderId="1">
      <alignment horizontal="center" vertical="center"/>
      <protection locked="0"/>
    </xf>
    <xf numFmtId="164" fontId="4" fillId="0" borderId="1">
      <alignment horizontal="center" vertical="center"/>
      <protection locked="0"/>
    </xf>
    <xf numFmtId="0" fontId="4" fillId="0" borderId="1">
      <alignment vertical="center"/>
      <protection locked="0"/>
    </xf>
    <xf numFmtId="0" fontId="4" fillId="0" borderId="1">
      <alignment vertical="center"/>
      <protection locked="0"/>
    </xf>
    <xf numFmtId="168" fontId="4" fillId="0" borderId="1">
      <alignment horizontal="right" vertical="center"/>
      <protection locked="0"/>
    </xf>
    <xf numFmtId="169" fontId="4" fillId="0" borderId="1">
      <alignment horizontal="right" vertical="center"/>
      <protection locked="0"/>
    </xf>
    <xf numFmtId="167" fontId="4" fillId="0" borderId="1">
      <alignment horizontal="right" vertical="center"/>
      <protection locked="0"/>
    </xf>
    <xf numFmtId="165" fontId="4" fillId="0" borderId="1">
      <alignment horizontal="right" vertical="center"/>
      <protection locked="0"/>
    </xf>
    <xf numFmtId="166" fontId="4" fillId="0" borderId="1">
      <alignment horizontal="right" vertical="center"/>
      <protection locked="0"/>
    </xf>
    <xf numFmtId="164" fontId="4" fillId="0" borderId="1">
      <alignment horizontal="right" vertical="center"/>
      <protection locked="0"/>
    </xf>
    <xf numFmtId="0" fontId="4" fillId="0" borderId="0" applyNumberFormat="0" applyFont="0" applyFill="0" applyBorder="0">
      <alignment horizontal="center" vertical="center"/>
      <protection locked="0"/>
    </xf>
    <xf numFmtId="168" fontId="4" fillId="0" borderId="0" applyFill="0" applyBorder="0">
      <alignment horizontal="center" vertical="center"/>
    </xf>
    <xf numFmtId="15" fontId="4" fillId="0" borderId="0" applyFill="0" applyBorder="0">
      <alignment horizontal="center" vertical="center"/>
    </xf>
    <xf numFmtId="167" fontId="4" fillId="0" borderId="0" applyFill="0" applyBorder="0">
      <alignment horizontal="center" vertical="center"/>
    </xf>
    <xf numFmtId="165" fontId="4" fillId="0" borderId="0" applyFill="0" applyBorder="0">
      <alignment horizontal="center" vertical="center"/>
    </xf>
    <xf numFmtId="166" fontId="4" fillId="0" borderId="0" applyFill="0" applyBorder="0">
      <alignment horizontal="center" vertical="center"/>
    </xf>
    <xf numFmtId="164" fontId="4" fillId="0" borderId="0" applyFill="0" applyBorder="0">
      <alignment horizontal="center" vertical="center"/>
    </xf>
    <xf numFmtId="43" fontId="4" fillId="0" borderId="0" applyFont="0" applyFill="0" applyBorder="0" applyAlignment="0" applyProtection="0"/>
    <xf numFmtId="0" fontId="4" fillId="0" borderId="0" applyFill="0" applyBorder="0">
      <alignment vertical="center"/>
    </xf>
    <xf numFmtId="0" fontId="4" fillId="0" borderId="8" applyFill="0">
      <alignment horizontal="center" vertical="center"/>
    </xf>
    <xf numFmtId="170" fontId="4" fillId="0" borderId="8" applyFill="0">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9" fontId="4" fillId="0" borderId="0" applyFont="0" applyFill="0" applyBorder="0" applyAlignment="0" applyProtection="0"/>
    <xf numFmtId="168" fontId="4" fillId="0" borderId="0" applyFill="0" applyBorder="0">
      <alignment horizontal="right" vertical="center"/>
    </xf>
    <xf numFmtId="169" fontId="4" fillId="0" borderId="0" applyFill="0" applyBorder="0">
      <alignment horizontal="right" vertical="center"/>
    </xf>
    <xf numFmtId="167" fontId="4" fillId="0" borderId="0" applyFill="0" applyBorder="0">
      <alignment horizontal="right" vertical="center"/>
    </xf>
    <xf numFmtId="165" fontId="4" fillId="0" borderId="0" applyFill="0" applyBorder="0">
      <alignment horizontal="right" vertical="center"/>
    </xf>
    <xf numFmtId="165" fontId="4" fillId="0" borderId="0" applyFill="0" applyBorder="0">
      <alignment horizontal="right" vertical="center"/>
    </xf>
    <xf numFmtId="165" fontId="4" fillId="0" borderId="0" applyFill="0" applyBorder="0">
      <alignment horizontal="right" vertical="center"/>
    </xf>
    <xf numFmtId="165" fontId="4" fillId="0" borderId="0" applyFill="0" applyBorder="0">
      <alignment horizontal="right" vertical="center"/>
    </xf>
    <xf numFmtId="165" fontId="4" fillId="0" borderId="0" applyFill="0" applyBorder="0">
      <alignment horizontal="right" vertical="center"/>
    </xf>
    <xf numFmtId="165" fontId="4" fillId="0" borderId="0" applyFill="0" applyBorder="0">
      <alignment horizontal="right" vertical="center"/>
    </xf>
    <xf numFmtId="165" fontId="4" fillId="0" borderId="0" applyFill="0" applyBorder="0">
      <alignment horizontal="right" vertical="center"/>
    </xf>
    <xf numFmtId="166" fontId="4" fillId="0" borderId="0" applyFill="0" applyBorder="0">
      <alignment horizontal="right" vertical="center"/>
    </xf>
    <xf numFmtId="164" fontId="4" fillId="0" borderId="0" applyFill="0" applyBorder="0">
      <alignment horizontal="right" vertical="center"/>
    </xf>
    <xf numFmtId="44" fontId="4" fillId="0" borderId="0" applyFont="0" applyFill="0" applyBorder="0" applyAlignment="0" applyProtection="0"/>
    <xf numFmtId="0" fontId="45" fillId="0" borderId="0"/>
    <xf numFmtId="0" fontId="2" fillId="0" borderId="0"/>
    <xf numFmtId="44" fontId="167" fillId="0" borderId="0" applyFont="0" applyFill="0" applyBorder="0" applyAlignment="0" applyProtection="0"/>
    <xf numFmtId="43" fontId="4" fillId="0" borderId="0" applyFont="0" applyFill="0" applyBorder="0" applyAlignment="0" applyProtection="0"/>
  </cellStyleXfs>
  <cellXfs count="2313">
    <xf numFmtId="0" fontId="0" fillId="0" borderId="0" xfId="0"/>
    <xf numFmtId="0" fontId="51" fillId="27" borderId="0" xfId="0" applyFont="1" applyFill="1"/>
    <xf numFmtId="0" fontId="51" fillId="29" borderId="0" xfId="0" applyFont="1" applyFill="1"/>
    <xf numFmtId="0" fontId="52" fillId="29" borderId="0" xfId="0" applyFont="1" applyFill="1"/>
    <xf numFmtId="0" fontId="67" fillId="0" borderId="0" xfId="0" applyFont="1" applyProtection="1">
      <protection locked="0"/>
    </xf>
    <xf numFmtId="0" fontId="63" fillId="27" borderId="0" xfId="0" applyFont="1" applyFill="1"/>
    <xf numFmtId="0" fontId="52" fillId="27" borderId="0" xfId="0" applyFont="1" applyFill="1"/>
    <xf numFmtId="0" fontId="48" fillId="27" borderId="0" xfId="0" applyFont="1" applyFill="1"/>
    <xf numFmtId="0" fontId="52" fillId="28" borderId="30" xfId="0" applyFont="1" applyFill="1" applyBorder="1"/>
    <xf numFmtId="0" fontId="52" fillId="28" borderId="0" xfId="0" applyFont="1" applyFill="1" applyAlignment="1">
      <alignment horizontal="center"/>
    </xf>
    <xf numFmtId="0" fontId="52" fillId="28" borderId="0" xfId="0" applyFont="1" applyFill="1"/>
    <xf numFmtId="0" fontId="87" fillId="27" borderId="0" xfId="122" applyFont="1" applyFill="1">
      <alignment horizontal="left" vertical="center"/>
    </xf>
    <xf numFmtId="0" fontId="88" fillId="27" borderId="0" xfId="76" applyFont="1" applyFill="1" applyAlignment="1">
      <alignment horizontal="left" vertical="center"/>
    </xf>
    <xf numFmtId="0" fontId="48" fillId="27" borderId="0" xfId="122" applyFont="1" applyFill="1">
      <alignment horizontal="left" vertical="center"/>
    </xf>
    <xf numFmtId="0" fontId="52" fillId="28" borderId="0" xfId="0" applyFont="1" applyFill="1" applyAlignment="1">
      <alignment vertical="center"/>
    </xf>
    <xf numFmtId="0" fontId="88" fillId="29" borderId="0" xfId="93" applyFont="1" applyFill="1">
      <alignment horizontal="left" vertical="center"/>
    </xf>
    <xf numFmtId="0" fontId="48" fillId="29" borderId="0" xfId="0" applyFont="1" applyFill="1"/>
    <xf numFmtId="0" fontId="48" fillId="28" borderId="30" xfId="0" applyFont="1" applyFill="1" applyBorder="1"/>
    <xf numFmtId="0" fontId="88" fillId="29" borderId="0" xfId="122" applyFont="1" applyFill="1">
      <alignment horizontal="left" vertical="center"/>
    </xf>
    <xf numFmtId="0" fontId="88" fillId="29" borderId="0" xfId="0" applyFont="1" applyFill="1"/>
    <xf numFmtId="0" fontId="58" fillId="29" borderId="0" xfId="0" applyFont="1" applyFill="1" applyAlignment="1" applyProtection="1">
      <alignment horizontal="left"/>
      <protection hidden="1"/>
    </xf>
    <xf numFmtId="0" fontId="61" fillId="29" borderId="0" xfId="80" applyFont="1" applyFill="1" applyBorder="1">
      <alignment horizontal="center" vertical="center"/>
      <protection locked="0"/>
    </xf>
    <xf numFmtId="0" fontId="48" fillId="29" borderId="0" xfId="72" applyFont="1" applyFill="1" applyBorder="1" applyAlignment="1">
      <alignment horizontal="left" vertical="center"/>
    </xf>
    <xf numFmtId="0" fontId="47" fillId="29" borderId="0" xfId="0" applyFont="1" applyFill="1" applyProtection="1">
      <protection hidden="1"/>
    </xf>
    <xf numFmtId="0" fontId="58" fillId="28" borderId="0" xfId="0" applyFont="1" applyFill="1"/>
    <xf numFmtId="0" fontId="58" fillId="28" borderId="0" xfId="0" applyFont="1" applyFill="1" applyAlignment="1">
      <alignment horizontal="center"/>
    </xf>
    <xf numFmtId="0" fontId="64" fillId="29" borderId="0" xfId="0" applyFont="1" applyFill="1" applyAlignment="1">
      <alignment horizontal="left" indent="1"/>
    </xf>
    <xf numFmtId="0" fontId="64" fillId="29" borderId="0" xfId="0" applyFont="1" applyFill="1"/>
    <xf numFmtId="0" fontId="58" fillId="29" borderId="0" xfId="0" applyFont="1" applyFill="1" applyProtection="1">
      <protection hidden="1"/>
    </xf>
    <xf numFmtId="0" fontId="64" fillId="29" borderId="8" xfId="0" applyFont="1" applyFill="1" applyBorder="1" applyAlignment="1">
      <alignment vertical="center"/>
    </xf>
    <xf numFmtId="0" fontId="64" fillId="29" borderId="8" xfId="0" applyFont="1" applyFill="1" applyBorder="1" applyAlignment="1">
      <alignment horizontal="center" vertical="center"/>
    </xf>
    <xf numFmtId="0" fontId="64" fillId="29" borderId="8" xfId="0" applyFont="1" applyFill="1" applyBorder="1" applyAlignment="1">
      <alignment horizontal="right" vertical="center"/>
    </xf>
    <xf numFmtId="0" fontId="51" fillId="29" borderId="0" xfId="0" quotePrefix="1" applyFont="1" applyFill="1"/>
    <xf numFmtId="0" fontId="62" fillId="29" borderId="0" xfId="0" applyFont="1" applyFill="1" applyProtection="1">
      <protection hidden="1"/>
    </xf>
    <xf numFmtId="0" fontId="58" fillId="28" borderId="8" xfId="0" applyFont="1" applyFill="1" applyBorder="1"/>
    <xf numFmtId="0" fontId="58" fillId="28" borderId="8" xfId="0" applyFont="1" applyFill="1" applyBorder="1" applyAlignment="1">
      <alignment horizontal="center"/>
    </xf>
    <xf numFmtId="0" fontId="58" fillId="28" borderId="8" xfId="0" applyFont="1" applyFill="1" applyBorder="1" applyAlignment="1">
      <alignment horizontal="right"/>
    </xf>
    <xf numFmtId="0" fontId="90" fillId="29" borderId="0" xfId="131" quotePrefix="1" applyFont="1" applyFill="1">
      <alignment horizontal="left" vertical="center"/>
      <protection locked="0"/>
    </xf>
    <xf numFmtId="0" fontId="58" fillId="28" borderId="8" xfId="0" quotePrefix="1" applyFont="1" applyFill="1" applyBorder="1" applyAlignment="1">
      <alignment horizontal="right"/>
    </xf>
    <xf numFmtId="0" fontId="89" fillId="29" borderId="0" xfId="131" applyFont="1" applyFill="1" applyAlignment="1">
      <alignment horizontal="left" vertical="center" indent="1"/>
      <protection locked="0"/>
    </xf>
    <xf numFmtId="0" fontId="89" fillId="29" borderId="0" xfId="131" quotePrefix="1" applyFont="1" applyFill="1">
      <alignment horizontal="left" vertical="center"/>
      <protection locked="0"/>
    </xf>
    <xf numFmtId="0" fontId="52" fillId="29" borderId="57" xfId="0" applyFont="1" applyFill="1" applyBorder="1"/>
    <xf numFmtId="0" fontId="52" fillId="29" borderId="58" xfId="0" applyFont="1" applyFill="1" applyBorder="1"/>
    <xf numFmtId="0" fontId="52" fillId="29" borderId="59" xfId="0" applyFont="1" applyFill="1" applyBorder="1"/>
    <xf numFmtId="0" fontId="52" fillId="29" borderId="60" xfId="0" applyFont="1" applyFill="1" applyBorder="1"/>
    <xf numFmtId="0" fontId="52" fillId="32" borderId="8" xfId="38" applyFont="1" applyFill="1" applyBorder="1" applyAlignment="1" applyProtection="1">
      <alignment horizontal="center" vertical="center"/>
    </xf>
    <xf numFmtId="0" fontId="52" fillId="29" borderId="0" xfId="0" applyFont="1" applyFill="1" applyAlignment="1">
      <alignment horizontal="left" vertical="center" indent="2"/>
    </xf>
    <xf numFmtId="0" fontId="52" fillId="29" borderId="61" xfId="0" applyFont="1" applyFill="1" applyBorder="1"/>
    <xf numFmtId="0" fontId="89" fillId="29" borderId="0" xfId="131" quotePrefix="1" applyFont="1" applyFill="1" applyAlignment="1">
      <alignment vertical="center"/>
      <protection locked="0"/>
    </xf>
    <xf numFmtId="0" fontId="52" fillId="29" borderId="0" xfId="0" applyFont="1" applyFill="1" applyAlignment="1">
      <alignment vertical="center"/>
    </xf>
    <xf numFmtId="0" fontId="52" fillId="29" borderId="0" xfId="0" applyFont="1" applyFill="1" applyAlignment="1">
      <alignment horizontal="left" indent="2"/>
    </xf>
    <xf numFmtId="0" fontId="52" fillId="28" borderId="8" xfId="0" applyFont="1" applyFill="1" applyBorder="1" applyAlignment="1">
      <alignment horizontal="center" vertical="center"/>
    </xf>
    <xf numFmtId="0" fontId="52" fillId="27" borderId="8" xfId="0" applyFont="1" applyFill="1" applyBorder="1" applyAlignment="1">
      <alignment horizontal="center" vertical="center"/>
    </xf>
    <xf numFmtId="0" fontId="52" fillId="34" borderId="8" xfId="0" applyFont="1" applyFill="1" applyBorder="1" applyAlignment="1">
      <alignment horizontal="center" vertical="center"/>
    </xf>
    <xf numFmtId="0" fontId="64" fillId="28" borderId="8" xfId="0" applyFont="1" applyFill="1" applyBorder="1" applyAlignment="1">
      <alignment horizontal="right" vertical="center"/>
    </xf>
    <xf numFmtId="0" fontId="58" fillId="28" borderId="8" xfId="0" applyFont="1" applyFill="1" applyBorder="1" applyAlignment="1">
      <alignment horizontal="left"/>
    </xf>
    <xf numFmtId="0" fontId="55" fillId="31" borderId="8" xfId="0" applyFont="1" applyFill="1" applyBorder="1" applyAlignment="1">
      <alignment horizontal="center" vertical="center"/>
    </xf>
    <xf numFmtId="0" fontId="52" fillId="29" borderId="62" xfId="0" applyFont="1" applyFill="1" applyBorder="1"/>
    <xf numFmtId="0" fontId="52" fillId="29" borderId="63" xfId="0" applyFont="1" applyFill="1" applyBorder="1"/>
    <xf numFmtId="0" fontId="52" fillId="29" borderId="64" xfId="0" applyFont="1" applyFill="1" applyBorder="1"/>
    <xf numFmtId="0" fontId="67" fillId="0" borderId="0" xfId="0" applyFont="1" applyAlignment="1">
      <alignment horizontal="left"/>
    </xf>
    <xf numFmtId="0" fontId="67" fillId="27" borderId="24" xfId="0" applyFont="1" applyFill="1" applyBorder="1"/>
    <xf numFmtId="0" fontId="67" fillId="0" borderId="26" xfId="0" applyFont="1" applyBorder="1"/>
    <xf numFmtId="0" fontId="67" fillId="0" borderId="24" xfId="0" applyFont="1" applyBorder="1"/>
    <xf numFmtId="0" fontId="67" fillId="0" borderId="25" xfId="0" applyFont="1" applyBorder="1"/>
    <xf numFmtId="0" fontId="74" fillId="27" borderId="0" xfId="103" applyFont="1" applyFill="1" applyAlignment="1">
      <alignment horizontal="right" vertical="center"/>
    </xf>
    <xf numFmtId="0" fontId="74" fillId="0" borderId="0" xfId="103" applyFont="1" applyAlignment="1">
      <alignment horizontal="right" vertical="center"/>
    </xf>
    <xf numFmtId="0" fontId="85" fillId="0" borderId="0" xfId="103" applyFont="1" applyAlignment="1">
      <alignment horizontal="right" vertical="center"/>
    </xf>
    <xf numFmtId="0" fontId="66" fillId="0" borderId="13" xfId="103" applyFont="1" applyBorder="1" applyAlignment="1">
      <alignment horizontal="right" vertical="center"/>
    </xf>
    <xf numFmtId="0" fontId="67" fillId="0" borderId="0" xfId="0" applyFont="1" applyAlignment="1">
      <alignment horizontal="center" vertical="center"/>
    </xf>
    <xf numFmtId="0" fontId="67" fillId="0" borderId="0" xfId="0" applyFont="1"/>
    <xf numFmtId="0" fontId="69" fillId="0" borderId="0" xfId="82" applyFont="1" applyAlignment="1" applyProtection="1">
      <alignment vertical="center"/>
    </xf>
    <xf numFmtId="0" fontId="70" fillId="0" borderId="0" xfId="80" applyFont="1" applyAlignment="1" applyProtection="1">
      <alignment horizontal="right" vertical="center"/>
    </xf>
    <xf numFmtId="0" fontId="70" fillId="0" borderId="0" xfId="80" applyFont="1" applyAlignment="1" applyProtection="1">
      <alignment horizontal="left" vertical="center"/>
    </xf>
    <xf numFmtId="0" fontId="67" fillId="27" borderId="0" xfId="0" applyFont="1" applyFill="1"/>
    <xf numFmtId="0" fontId="67" fillId="0" borderId="13" xfId="0" applyFont="1" applyBorder="1"/>
    <xf numFmtId="0" fontId="67" fillId="0" borderId="27" xfId="0" applyFont="1" applyBorder="1"/>
    <xf numFmtId="0" fontId="67" fillId="0" borderId="28" xfId="0" applyFont="1" applyBorder="1"/>
    <xf numFmtId="0" fontId="71" fillId="0" borderId="28" xfId="0" applyFont="1" applyBorder="1"/>
    <xf numFmtId="0" fontId="67" fillId="27" borderId="28" xfId="0" applyFont="1" applyFill="1" applyBorder="1"/>
    <xf numFmtId="0" fontId="67" fillId="0" borderId="29" xfId="0" applyFont="1" applyBorder="1"/>
    <xf numFmtId="0" fontId="67" fillId="0" borderId="14" xfId="0" applyFont="1" applyBorder="1"/>
    <xf numFmtId="0" fontId="67" fillId="0" borderId="30" xfId="0" applyFont="1" applyBorder="1"/>
    <xf numFmtId="0" fontId="78" fillId="0" borderId="0" xfId="0" applyFont="1" applyAlignment="1">
      <alignment horizontal="right" wrapText="1"/>
    </xf>
    <xf numFmtId="0" fontId="92" fillId="0" borderId="0" xfId="0" applyFont="1"/>
    <xf numFmtId="2" fontId="67" fillId="0" borderId="0" xfId="0" applyNumberFormat="1" applyFont="1"/>
    <xf numFmtId="0" fontId="67" fillId="27" borderId="0" xfId="0" applyFont="1" applyFill="1" applyAlignment="1">
      <alignment horizontal="left"/>
    </xf>
    <xf numFmtId="173" fontId="67" fillId="29" borderId="8" xfId="0" applyNumberFormat="1" applyFont="1" applyFill="1" applyBorder="1" applyAlignment="1">
      <alignment horizontal="center"/>
    </xf>
    <xf numFmtId="173" fontId="67" fillId="0" borderId="0" xfId="0" applyNumberFormat="1" applyFont="1"/>
    <xf numFmtId="171" fontId="67" fillId="0" borderId="0" xfId="0" applyNumberFormat="1" applyFont="1"/>
    <xf numFmtId="0" fontId="76" fillId="0" borderId="0" xfId="0" applyFont="1"/>
    <xf numFmtId="0" fontId="67" fillId="0" borderId="0" xfId="0" quotePrefix="1" applyFont="1"/>
    <xf numFmtId="0" fontId="67" fillId="0" borderId="31" xfId="0" applyFont="1" applyBorder="1"/>
    <xf numFmtId="0" fontId="93" fillId="0" borderId="13" xfId="0" applyFont="1" applyBorder="1"/>
    <xf numFmtId="0" fontId="67" fillId="0" borderId="15" xfId="0" applyFont="1" applyBorder="1"/>
    <xf numFmtId="0" fontId="92" fillId="0" borderId="0" xfId="0" quotePrefix="1" applyFont="1"/>
    <xf numFmtId="0" fontId="71" fillId="27" borderId="0" xfId="0" applyFont="1" applyFill="1" applyAlignment="1">
      <alignment horizontal="left"/>
    </xf>
    <xf numFmtId="2" fontId="67" fillId="27" borderId="8" xfId="0" applyNumberFormat="1" applyFont="1" applyFill="1" applyBorder="1"/>
    <xf numFmtId="0" fontId="94" fillId="0" borderId="0" xfId="0" applyFont="1"/>
    <xf numFmtId="0" fontId="92" fillId="0" borderId="0" xfId="0" applyFont="1" applyAlignment="1">
      <alignment horizontal="left" indent="1"/>
    </xf>
    <xf numFmtId="2" fontId="67" fillId="27" borderId="33" xfId="0" applyNumberFormat="1" applyFont="1" applyFill="1" applyBorder="1"/>
    <xf numFmtId="2" fontId="67" fillId="27" borderId="34" xfId="0" applyNumberFormat="1" applyFont="1" applyFill="1" applyBorder="1"/>
    <xf numFmtId="2" fontId="67" fillId="27" borderId="35" xfId="0" applyNumberFormat="1" applyFont="1" applyFill="1" applyBorder="1"/>
    <xf numFmtId="2" fontId="67" fillId="27" borderId="0" xfId="0" applyNumberFormat="1" applyFont="1" applyFill="1"/>
    <xf numFmtId="0" fontId="71" fillId="0" borderId="0" xfId="0" applyFont="1"/>
    <xf numFmtId="172" fontId="95" fillId="0" borderId="0" xfId="0" applyNumberFormat="1" applyFont="1"/>
    <xf numFmtId="0" fontId="67" fillId="27" borderId="14" xfId="0" applyFont="1" applyFill="1" applyBorder="1"/>
    <xf numFmtId="2" fontId="67" fillId="27" borderId="24" xfId="0" applyNumberFormat="1" applyFont="1" applyFill="1" applyBorder="1"/>
    <xf numFmtId="2" fontId="67" fillId="27" borderId="25" xfId="0" applyNumberFormat="1" applyFont="1" applyFill="1" applyBorder="1"/>
    <xf numFmtId="2" fontId="67" fillId="27" borderId="26" xfId="0" applyNumberFormat="1" applyFont="1" applyFill="1" applyBorder="1"/>
    <xf numFmtId="0" fontId="76" fillId="0" borderId="25" xfId="0" applyFont="1" applyBorder="1"/>
    <xf numFmtId="0" fontId="71" fillId="27" borderId="0" xfId="0" applyFont="1" applyFill="1" applyAlignment="1">
      <alignment horizontal="left" indent="1"/>
    </xf>
    <xf numFmtId="0" fontId="71" fillId="27" borderId="0" xfId="0" applyFont="1" applyFill="1"/>
    <xf numFmtId="0" fontId="67" fillId="0" borderId="0" xfId="0" applyFont="1" applyAlignment="1">
      <alignment horizontal="right"/>
    </xf>
    <xf numFmtId="172" fontId="67" fillId="27" borderId="24" xfId="0" applyNumberFormat="1" applyFont="1" applyFill="1" applyBorder="1"/>
    <xf numFmtId="172" fontId="67" fillId="27" borderId="25" xfId="0" applyNumberFormat="1" applyFont="1" applyFill="1" applyBorder="1"/>
    <xf numFmtId="172" fontId="67" fillId="27" borderId="26" xfId="0" applyNumberFormat="1" applyFont="1" applyFill="1" applyBorder="1"/>
    <xf numFmtId="172" fontId="71" fillId="27" borderId="0" xfId="0" applyNumberFormat="1" applyFont="1" applyFill="1"/>
    <xf numFmtId="0" fontId="67" fillId="27" borderId="0" xfId="0" applyFont="1" applyFill="1" applyAlignment="1">
      <alignment horizontal="left" indent="3"/>
    </xf>
    <xf numFmtId="0" fontId="67" fillId="27" borderId="0" xfId="0" applyFont="1" applyFill="1" applyAlignment="1">
      <alignment horizontal="left" indent="2"/>
    </xf>
    <xf numFmtId="172" fontId="67" fillId="27" borderId="0" xfId="114" applyNumberFormat="1" applyFont="1" applyFill="1" applyBorder="1">
      <alignment horizontal="right" vertical="center"/>
    </xf>
    <xf numFmtId="0" fontId="67" fillId="0" borderId="0" xfId="0" applyFont="1" applyAlignment="1">
      <alignment horizontal="left" indent="2"/>
    </xf>
    <xf numFmtId="172" fontId="67" fillId="27" borderId="13" xfId="114" applyNumberFormat="1" applyFont="1" applyFill="1" applyBorder="1">
      <alignment horizontal="right" vertical="center"/>
    </xf>
    <xf numFmtId="172" fontId="67" fillId="27" borderId="0" xfId="0" applyNumberFormat="1" applyFont="1" applyFill="1"/>
    <xf numFmtId="0" fontId="80" fillId="27" borderId="0" xfId="0" applyFont="1" applyFill="1"/>
    <xf numFmtId="0" fontId="96" fillId="0" borderId="13" xfId="0" applyFont="1" applyBorder="1"/>
    <xf numFmtId="173" fontId="96" fillId="0" borderId="13" xfId="102" applyNumberFormat="1" applyFont="1" applyBorder="1" applyProtection="1"/>
    <xf numFmtId="0" fontId="65" fillId="24" borderId="0" xfId="0" applyFont="1" applyFill="1"/>
    <xf numFmtId="172" fontId="67" fillId="0" borderId="0" xfId="0" applyNumberFormat="1" applyFont="1"/>
    <xf numFmtId="0" fontId="71" fillId="24" borderId="0" xfId="0" applyFont="1" applyFill="1"/>
    <xf numFmtId="0" fontId="67" fillId="27" borderId="0" xfId="0" applyFont="1" applyFill="1" applyAlignment="1">
      <alignment horizontal="left" indent="1"/>
    </xf>
    <xf numFmtId="0" fontId="58" fillId="31" borderId="8" xfId="0" applyFont="1" applyFill="1" applyBorder="1" applyAlignment="1">
      <alignment horizontal="left"/>
    </xf>
    <xf numFmtId="0" fontId="58" fillId="31" borderId="8" xfId="0" applyFont="1" applyFill="1" applyBorder="1" applyAlignment="1">
      <alignment horizontal="right"/>
    </xf>
    <xf numFmtId="0" fontId="52" fillId="33" borderId="8" xfId="0" applyFont="1" applyFill="1" applyBorder="1" applyAlignment="1">
      <alignment horizontal="center" vertical="center"/>
    </xf>
    <xf numFmtId="0" fontId="96" fillId="27" borderId="0" xfId="0" applyFont="1" applyFill="1"/>
    <xf numFmtId="0" fontId="84" fillId="29" borderId="0" xfId="0" applyFont="1" applyFill="1"/>
    <xf numFmtId="0" fontId="113" fillId="0" borderId="0" xfId="0" applyFont="1"/>
    <xf numFmtId="0" fontId="71" fillId="29" borderId="65" xfId="0" applyFont="1" applyFill="1" applyBorder="1" applyAlignment="1">
      <alignment horizontal="right"/>
    </xf>
    <xf numFmtId="0" fontId="71" fillId="29" borderId="66" xfId="0" applyFont="1" applyFill="1" applyBorder="1" applyAlignment="1">
      <alignment horizontal="right"/>
    </xf>
    <xf numFmtId="0" fontId="71" fillId="29" borderId="66" xfId="0" applyFont="1" applyFill="1" applyBorder="1"/>
    <xf numFmtId="0" fontId="71" fillId="29" borderId="67" xfId="0" applyFont="1" applyFill="1" applyBorder="1"/>
    <xf numFmtId="2" fontId="80" fillId="29" borderId="104" xfId="0" applyNumberFormat="1" applyFont="1" applyFill="1" applyBorder="1" applyAlignment="1">
      <alignment horizontal="right" indent="1"/>
    </xf>
    <xf numFmtId="0" fontId="67" fillId="29" borderId="105" xfId="0" applyFont="1" applyFill="1" applyBorder="1"/>
    <xf numFmtId="0" fontId="67" fillId="29" borderId="68" xfId="0" applyFont="1" applyFill="1" applyBorder="1"/>
    <xf numFmtId="0" fontId="67" fillId="29" borderId="69" xfId="0" applyFont="1" applyFill="1" applyBorder="1" applyAlignment="1">
      <alignment horizontal="right"/>
    </xf>
    <xf numFmtId="0" fontId="67" fillId="29" borderId="69" xfId="0" applyFont="1" applyFill="1" applyBorder="1"/>
    <xf numFmtId="0" fontId="67" fillId="29" borderId="70" xfId="0" applyFont="1" applyFill="1" applyBorder="1"/>
    <xf numFmtId="9" fontId="80" fillId="29" borderId="0" xfId="101" applyFont="1" applyFill="1" applyBorder="1" applyAlignment="1" applyProtection="1">
      <alignment horizontal="center"/>
    </xf>
    <xf numFmtId="0" fontId="67" fillId="27" borderId="30" xfId="0" applyFont="1" applyFill="1" applyBorder="1"/>
    <xf numFmtId="0" fontId="71" fillId="0" borderId="25" xfId="0" applyFont="1" applyBorder="1" applyAlignment="1">
      <alignment horizontal="center"/>
    </xf>
    <xf numFmtId="0" fontId="71" fillId="27" borderId="25" xfId="0" applyFont="1" applyFill="1" applyBorder="1" applyAlignment="1">
      <alignment horizontal="center"/>
    </xf>
    <xf numFmtId="0" fontId="114" fillId="27" borderId="0" xfId="0" applyFont="1" applyFill="1"/>
    <xf numFmtId="0" fontId="65" fillId="0" borderId="0" xfId="0" applyFont="1"/>
    <xf numFmtId="0" fontId="86" fillId="0" borderId="0" xfId="122" applyFont="1">
      <alignment horizontal="left" vertical="center"/>
    </xf>
    <xf numFmtId="178" fontId="67" fillId="0" borderId="0" xfId="0" applyNumberFormat="1" applyFont="1"/>
    <xf numFmtId="0" fontId="59" fillId="0" borderId="0" xfId="93" applyFont="1">
      <alignment horizontal="left" vertical="center"/>
    </xf>
    <xf numFmtId="0" fontId="67" fillId="25" borderId="0" xfId="0" applyFont="1" applyFill="1"/>
    <xf numFmtId="178" fontId="67" fillId="25" borderId="0" xfId="0" applyNumberFormat="1" applyFont="1" applyFill="1"/>
    <xf numFmtId="176" fontId="67" fillId="24" borderId="0" xfId="0" applyNumberFormat="1" applyFont="1" applyFill="1" applyAlignment="1">
      <alignment vertical="center"/>
    </xf>
    <xf numFmtId="0" fontId="69" fillId="0" borderId="0" xfId="82" applyFont="1" applyProtection="1">
      <alignment horizontal="left" vertical="center"/>
    </xf>
    <xf numFmtId="0" fontId="70" fillId="0" borderId="0" xfId="80" applyFont="1" applyProtection="1">
      <alignment horizontal="center" vertical="center"/>
    </xf>
    <xf numFmtId="0" fontId="72" fillId="0" borderId="0" xfId="103" applyFont="1" applyAlignment="1">
      <alignment horizontal="left" vertical="center"/>
    </xf>
    <xf numFmtId="0" fontId="73" fillId="0" borderId="0" xfId="0" applyFont="1"/>
    <xf numFmtId="0" fontId="75" fillId="0" borderId="0" xfId="103" applyFont="1" applyAlignment="1">
      <alignment horizontal="right" vertical="center"/>
    </xf>
    <xf numFmtId="0" fontId="72" fillId="0" borderId="13" xfId="103" applyFont="1" applyBorder="1" applyAlignment="1">
      <alignment horizontal="left" vertical="center"/>
    </xf>
    <xf numFmtId="0" fontId="73" fillId="0" borderId="13" xfId="0" applyFont="1" applyBorder="1"/>
    <xf numFmtId="0" fontId="67" fillId="0" borderId="16" xfId="0" applyFont="1" applyBorder="1"/>
    <xf numFmtId="0" fontId="67" fillId="0" borderId="17" xfId="0" applyFont="1" applyBorder="1"/>
    <xf numFmtId="0" fontId="67" fillId="0" borderId="18" xfId="0" applyFont="1" applyBorder="1"/>
    <xf numFmtId="0" fontId="67" fillId="0" borderId="19" xfId="0" applyFont="1" applyBorder="1"/>
    <xf numFmtId="0" fontId="66" fillId="0" borderId="0" xfId="72" applyFont="1" applyFill="1" applyBorder="1">
      <alignment vertical="center"/>
    </xf>
    <xf numFmtId="0" fontId="67" fillId="0" borderId="20" xfId="0" applyFont="1" applyBorder="1"/>
    <xf numFmtId="0" fontId="67" fillId="33" borderId="0" xfId="0" applyFont="1" applyFill="1"/>
    <xf numFmtId="165" fontId="67" fillId="33" borderId="0" xfId="111" applyFont="1" applyFill="1" applyBorder="1">
      <alignment horizontal="right" vertical="center"/>
    </xf>
    <xf numFmtId="165" fontId="67" fillId="29" borderId="24" xfId="111" applyFont="1" applyFill="1" applyBorder="1">
      <alignment horizontal="right" vertical="center"/>
    </xf>
    <xf numFmtId="165" fontId="67" fillId="29" borderId="25" xfId="111" applyFont="1" applyFill="1" applyBorder="1">
      <alignment horizontal="right" vertical="center"/>
    </xf>
    <xf numFmtId="10" fontId="67" fillId="33" borderId="0" xfId="111" applyNumberFormat="1" applyFont="1" applyFill="1" applyBorder="1">
      <alignment horizontal="right" vertical="center"/>
    </xf>
    <xf numFmtId="10" fontId="67" fillId="0" borderId="0" xfId="112" applyNumberFormat="1" applyFont="1" applyFill="1" applyBorder="1">
      <alignment horizontal="right" vertical="center"/>
    </xf>
    <xf numFmtId="174" fontId="67" fillId="33" borderId="0" xfId="111" applyNumberFormat="1" applyFont="1" applyFill="1" applyBorder="1">
      <alignment horizontal="right" vertical="center"/>
    </xf>
    <xf numFmtId="174" fontId="67" fillId="0" borderId="0" xfId="112" applyNumberFormat="1" applyFont="1" applyBorder="1">
      <alignment horizontal="right" vertical="center"/>
    </xf>
    <xf numFmtId="165" fontId="67" fillId="0" borderId="0" xfId="111" applyFont="1" applyBorder="1">
      <alignment horizontal="right" vertical="center"/>
    </xf>
    <xf numFmtId="165" fontId="67" fillId="0" borderId="0" xfId="112" applyFont="1" applyBorder="1">
      <alignment horizontal="right" vertical="center"/>
    </xf>
    <xf numFmtId="0" fontId="67" fillId="0" borderId="21" xfId="0" applyFont="1" applyBorder="1"/>
    <xf numFmtId="0" fontId="67" fillId="0" borderId="22" xfId="0" applyFont="1" applyBorder="1"/>
    <xf numFmtId="165" fontId="67" fillId="0" borderId="22" xfId="111" applyFont="1" applyBorder="1">
      <alignment horizontal="right" vertical="center"/>
    </xf>
    <xf numFmtId="165" fontId="67" fillId="0" borderId="22" xfId="112" applyFont="1" applyBorder="1">
      <alignment horizontal="right" vertical="center"/>
    </xf>
    <xf numFmtId="0" fontId="67" fillId="0" borderId="23" xfId="0" applyFont="1" applyBorder="1"/>
    <xf numFmtId="0" fontId="67" fillId="27" borderId="19" xfId="0" applyFont="1" applyFill="1" applyBorder="1" applyAlignment="1">
      <alignment vertical="center"/>
    </xf>
    <xf numFmtId="0" fontId="67" fillId="0" borderId="0" xfId="167" applyFont="1" applyFill="1">
      <alignment vertical="center"/>
    </xf>
    <xf numFmtId="0" fontId="76" fillId="27" borderId="0" xfId="0" applyFont="1" applyFill="1" applyAlignment="1">
      <alignment vertical="center"/>
    </xf>
    <xf numFmtId="0" fontId="67" fillId="27" borderId="0" xfId="0" applyFont="1" applyFill="1" applyAlignment="1">
      <alignment vertical="center"/>
    </xf>
    <xf numFmtId="0" fontId="67" fillId="27" borderId="20" xfId="0" applyFont="1" applyFill="1" applyBorder="1" applyAlignment="1">
      <alignment vertical="center"/>
    </xf>
    <xf numFmtId="0" fontId="67" fillId="27" borderId="19" xfId="0" applyFont="1" applyFill="1" applyBorder="1"/>
    <xf numFmtId="0" fontId="76" fillId="27" borderId="0" xfId="0" applyFont="1" applyFill="1"/>
    <xf numFmtId="189" fontId="67" fillId="27" borderId="0" xfId="166" applyFont="1" applyFill="1" applyBorder="1">
      <alignment vertical="center"/>
    </xf>
    <xf numFmtId="0" fontId="67" fillId="27" borderId="20" xfId="0" applyFont="1" applyFill="1" applyBorder="1"/>
    <xf numFmtId="0" fontId="56" fillId="0" borderId="0" xfId="140" applyFont="1"/>
    <xf numFmtId="0" fontId="67" fillId="0" borderId="0" xfId="168" applyFont="1" applyFill="1">
      <alignment vertical="center"/>
    </xf>
    <xf numFmtId="0" fontId="67" fillId="27" borderId="21" xfId="0" applyFont="1" applyFill="1" applyBorder="1"/>
    <xf numFmtId="0" fontId="67" fillId="27" borderId="22" xfId="0" applyFont="1" applyFill="1" applyBorder="1"/>
    <xf numFmtId="0" fontId="76" fillId="27" borderId="22" xfId="0" applyFont="1" applyFill="1" applyBorder="1"/>
    <xf numFmtId="0" fontId="67" fillId="27" borderId="23" xfId="0" applyFont="1" applyFill="1" applyBorder="1"/>
    <xf numFmtId="0" fontId="67" fillId="0" borderId="16" xfId="137" applyFont="1" applyBorder="1"/>
    <xf numFmtId="0" fontId="67" fillId="0" borderId="17" xfId="137" applyFont="1" applyBorder="1"/>
    <xf numFmtId="0" fontId="67" fillId="0" borderId="18" xfId="137" applyFont="1" applyBorder="1"/>
    <xf numFmtId="0" fontId="67" fillId="0" borderId="0" xfId="137" applyFont="1"/>
    <xf numFmtId="0" fontId="66" fillId="0" borderId="19" xfId="138" applyFont="1" applyFill="1" applyBorder="1" applyAlignment="1">
      <alignment horizontal="left" vertical="center" indent="1"/>
    </xf>
    <xf numFmtId="0" fontId="57" fillId="36" borderId="30" xfId="139" applyFont="1" applyFill="1" applyBorder="1" applyAlignment="1" applyProtection="1">
      <alignment horizontal="left" indent="1"/>
    </xf>
    <xf numFmtId="10" fontId="67" fillId="27" borderId="0" xfId="101" applyNumberFormat="1" applyFont="1" applyFill="1" applyBorder="1" applyProtection="1"/>
    <xf numFmtId="0" fontId="67" fillId="27" borderId="0" xfId="137" applyFont="1" applyFill="1"/>
    <xf numFmtId="0" fontId="67" fillId="0" borderId="20" xfId="137" applyFont="1" applyBorder="1"/>
    <xf numFmtId="0" fontId="67" fillId="0" borderId="19" xfId="137" applyFont="1" applyBorder="1" applyAlignment="1">
      <alignment horizontal="left" indent="1"/>
    </xf>
    <xf numFmtId="0" fontId="67" fillId="0" borderId="0" xfId="137" applyFont="1" applyAlignment="1">
      <alignment horizontal="left" indent="1"/>
    </xf>
    <xf numFmtId="0" fontId="66" fillId="0" borderId="0" xfId="0" applyFont="1" applyAlignment="1">
      <alignment horizontal="right" wrapText="1"/>
    </xf>
    <xf numFmtId="0" fontId="57" fillId="27" borderId="19" xfId="137" applyFont="1" applyFill="1" applyBorder="1" applyAlignment="1">
      <alignment horizontal="left" vertical="top" indent="1"/>
    </xf>
    <xf numFmtId="0" fontId="67" fillId="27" borderId="0" xfId="137" applyFont="1" applyFill="1" applyAlignment="1">
      <alignment horizontal="left" indent="1"/>
    </xf>
    <xf numFmtId="0" fontId="67" fillId="0" borderId="21" xfId="137" applyFont="1" applyBorder="1"/>
    <xf numFmtId="0" fontId="67" fillId="0" borderId="22" xfId="137" applyFont="1" applyBorder="1"/>
    <xf numFmtId="0" fontId="67" fillId="0" borderId="23" xfId="137" applyFont="1" applyBorder="1"/>
    <xf numFmtId="10" fontId="67" fillId="29" borderId="33" xfId="0" applyNumberFormat="1" applyFont="1" applyFill="1" applyBorder="1"/>
    <xf numFmtId="10" fontId="67" fillId="29" borderId="34" xfId="0" applyNumberFormat="1" applyFont="1" applyFill="1" applyBorder="1"/>
    <xf numFmtId="0" fontId="57" fillId="36" borderId="16" xfId="139" applyFont="1" applyFill="1" applyBorder="1" applyAlignment="1" applyProtection="1">
      <alignment horizontal="left" indent="1"/>
    </xf>
    <xf numFmtId="0" fontId="57" fillId="36" borderId="17" xfId="139" applyFont="1" applyFill="1" applyBorder="1" applyAlignment="1" applyProtection="1">
      <alignment horizontal="left" indent="1"/>
    </xf>
    <xf numFmtId="0" fontId="67" fillId="27" borderId="17" xfId="137" applyFont="1" applyFill="1" applyBorder="1"/>
    <xf numFmtId="0" fontId="57" fillId="36" borderId="0" xfId="139" applyFont="1" applyFill="1" applyBorder="1" applyAlignment="1" applyProtection="1">
      <alignment horizontal="left" indent="1"/>
    </xf>
    <xf numFmtId="0" fontId="57" fillId="27" borderId="19" xfId="137" applyFont="1" applyFill="1" applyBorder="1" applyAlignment="1">
      <alignment horizontal="left" indent="1"/>
    </xf>
    <xf numFmtId="10" fontId="57" fillId="29" borderId="8" xfId="102" quotePrefix="1" applyNumberFormat="1" applyFont="1" applyFill="1" applyBorder="1" applyProtection="1"/>
    <xf numFmtId="0" fontId="67" fillId="0" borderId="19" xfId="137" applyFont="1" applyBorder="1"/>
    <xf numFmtId="10" fontId="67" fillId="0" borderId="0" xfId="137" applyNumberFormat="1" applyFont="1"/>
    <xf numFmtId="10" fontId="71" fillId="29" borderId="8" xfId="0" applyNumberFormat="1" applyFont="1" applyFill="1" applyBorder="1"/>
    <xf numFmtId="0" fontId="71" fillId="27" borderId="19" xfId="137" applyFont="1" applyFill="1" applyBorder="1" applyAlignment="1">
      <alignment horizontal="left" indent="1"/>
    </xf>
    <xf numFmtId="0" fontId="56" fillId="27" borderId="19" xfId="137" applyFont="1" applyFill="1" applyBorder="1" applyAlignment="1">
      <alignment horizontal="left" indent="2"/>
    </xf>
    <xf numFmtId="0" fontId="67" fillId="24" borderId="0" xfId="0" applyFont="1" applyFill="1"/>
    <xf numFmtId="173" fontId="67" fillId="0" borderId="0" xfId="102" applyNumberFormat="1" applyFont="1" applyProtection="1"/>
    <xf numFmtId="0" fontId="78" fillId="0" borderId="0" xfId="72" applyFont="1" applyFill="1" applyBorder="1">
      <alignment vertical="center"/>
    </xf>
    <xf numFmtId="0" fontId="56" fillId="0" borderId="19" xfId="140" applyFont="1" applyBorder="1"/>
    <xf numFmtId="0" fontId="56" fillId="0" borderId="0" xfId="140" applyFont="1" applyAlignment="1">
      <alignment horizontal="center" vertical="top"/>
    </xf>
    <xf numFmtId="0" fontId="57" fillId="27" borderId="19" xfId="0" applyFont="1" applyFill="1" applyBorder="1" applyAlignment="1">
      <alignment horizontal="left" vertical="center" indent="2"/>
    </xf>
    <xf numFmtId="2" fontId="56" fillId="0" borderId="8" xfId="140" applyNumberFormat="1" applyFont="1" applyBorder="1" applyAlignment="1">
      <alignment horizontal="center" vertical="center"/>
    </xf>
    <xf numFmtId="0" fontId="56" fillId="0" borderId="0" xfId="140" applyFont="1" applyAlignment="1">
      <alignment horizontal="left" vertical="center"/>
    </xf>
    <xf numFmtId="0" fontId="56" fillId="37" borderId="8" xfId="140" applyFont="1" applyFill="1" applyBorder="1" applyAlignment="1">
      <alignment horizontal="center" vertical="center"/>
    </xf>
    <xf numFmtId="0" fontId="56" fillId="38" borderId="8" xfId="140" applyFont="1" applyFill="1" applyBorder="1" applyAlignment="1">
      <alignment horizontal="center" vertical="center"/>
    </xf>
    <xf numFmtId="0" fontId="56" fillId="0" borderId="0" xfId="140" applyFont="1" applyAlignment="1">
      <alignment horizontal="left"/>
    </xf>
    <xf numFmtId="0" fontId="57" fillId="0" borderId="0" xfId="140" applyFont="1" applyAlignment="1">
      <alignment vertical="center"/>
    </xf>
    <xf numFmtId="0" fontId="56" fillId="0" borderId="0" xfId="140" applyFont="1" applyAlignment="1">
      <alignment horizontal="right" vertical="center"/>
    </xf>
    <xf numFmtId="2" fontId="67" fillId="0" borderId="0" xfId="140" applyNumberFormat="1" applyFont="1" applyAlignment="1">
      <alignment horizontal="center" vertical="center"/>
    </xf>
    <xf numFmtId="0" fontId="67" fillId="0" borderId="19" xfId="0" applyFont="1" applyBorder="1" applyAlignment="1">
      <alignment horizontal="left"/>
    </xf>
    <xf numFmtId="2" fontId="80" fillId="0" borderId="0" xfId="140" applyNumberFormat="1" applyFont="1" applyAlignment="1">
      <alignment horizontal="right" vertical="center"/>
    </xf>
    <xf numFmtId="0" fontId="56" fillId="0" borderId="22" xfId="140" applyFont="1" applyBorder="1"/>
    <xf numFmtId="0" fontId="56" fillId="0" borderId="21" xfId="140" applyFont="1" applyBorder="1"/>
    <xf numFmtId="0" fontId="80" fillId="0" borderId="22" xfId="140" applyFont="1" applyBorder="1" applyAlignment="1">
      <alignment horizontal="right"/>
    </xf>
    <xf numFmtId="2" fontId="80" fillId="0" borderId="22" xfId="140" applyNumberFormat="1" applyFont="1" applyBorder="1" applyAlignment="1">
      <alignment horizontal="center" vertical="center"/>
    </xf>
    <xf numFmtId="0" fontId="83" fillId="29" borderId="0" xfId="0" applyFont="1" applyFill="1" applyAlignment="1">
      <alignment vertical="top"/>
    </xf>
    <xf numFmtId="0" fontId="110" fillId="29" borderId="0" xfId="0" applyFont="1" applyFill="1"/>
    <xf numFmtId="0" fontId="110" fillId="29" borderId="0" xfId="140" applyFont="1" applyFill="1"/>
    <xf numFmtId="0" fontId="110" fillId="29" borderId="97" xfId="140" applyFont="1" applyFill="1" applyBorder="1"/>
    <xf numFmtId="0" fontId="111" fillId="29" borderId="98" xfId="140" applyFont="1" applyFill="1" applyBorder="1"/>
    <xf numFmtId="0" fontId="110" fillId="29" borderId="99" xfId="140" applyFont="1" applyFill="1" applyBorder="1"/>
    <xf numFmtId="2" fontId="110" fillId="29" borderId="100" xfId="140" applyNumberFormat="1" applyFont="1" applyFill="1" applyBorder="1"/>
    <xf numFmtId="0" fontId="110" fillId="29" borderId="101" xfId="140" applyFont="1" applyFill="1" applyBorder="1"/>
    <xf numFmtId="2" fontId="110" fillId="29" borderId="102" xfId="140" applyNumberFormat="1" applyFont="1" applyFill="1" applyBorder="1"/>
    <xf numFmtId="2" fontId="110" fillId="29" borderId="0" xfId="140" applyNumberFormat="1" applyFont="1" applyFill="1"/>
    <xf numFmtId="0" fontId="110" fillId="29" borderId="97" xfId="140" applyFont="1" applyFill="1" applyBorder="1" applyAlignment="1">
      <alignment horizontal="left"/>
    </xf>
    <xf numFmtId="2" fontId="110" fillId="29" borderId="98" xfId="140" applyNumberFormat="1" applyFont="1" applyFill="1" applyBorder="1"/>
    <xf numFmtId="0" fontId="110" fillId="29" borderId="99" xfId="140" applyFont="1" applyFill="1" applyBorder="1" applyAlignment="1">
      <alignment horizontal="left"/>
    </xf>
    <xf numFmtId="2" fontId="110" fillId="29" borderId="102" xfId="140" applyNumberFormat="1" applyFont="1" applyFill="1" applyBorder="1" applyAlignment="1">
      <alignment horizontal="right"/>
    </xf>
    <xf numFmtId="165" fontId="67" fillId="32" borderId="25" xfId="111" applyFont="1" applyFill="1" applyBorder="1" applyProtection="1">
      <alignment horizontal="right" vertical="center"/>
      <protection locked="0"/>
    </xf>
    <xf numFmtId="0" fontId="56" fillId="32" borderId="51" xfId="0" applyFont="1" applyFill="1" applyBorder="1" applyAlignment="1" applyProtection="1">
      <alignment horizontal="center" vertical="center"/>
      <protection locked="0"/>
    </xf>
    <xf numFmtId="2" fontId="67" fillId="32" borderId="51" xfId="0" applyNumberFormat="1" applyFont="1" applyFill="1" applyBorder="1" applyAlignment="1" applyProtection="1">
      <alignment horizontal="center" vertical="center"/>
      <protection locked="0"/>
    </xf>
    <xf numFmtId="0" fontId="79" fillId="0" borderId="0" xfId="54" applyFont="1" applyFill="1" applyBorder="1">
      <alignment horizontal="center" vertical="center"/>
      <protection locked="0"/>
    </xf>
    <xf numFmtId="0" fontId="67" fillId="0" borderId="22" xfId="0" applyFont="1" applyBorder="1" applyProtection="1">
      <protection locked="0"/>
    </xf>
    <xf numFmtId="10" fontId="67" fillId="0" borderId="0" xfId="111" applyNumberFormat="1" applyFont="1" applyBorder="1">
      <alignment horizontal="right" vertical="center"/>
    </xf>
    <xf numFmtId="184" fontId="67" fillId="0" borderId="0" xfId="111" applyNumberFormat="1" applyFont="1" applyBorder="1">
      <alignment horizontal="right" vertical="center"/>
    </xf>
    <xf numFmtId="183" fontId="67" fillId="0" borderId="0" xfId="111" applyNumberFormat="1" applyFont="1" applyBorder="1">
      <alignment horizontal="right" vertical="center"/>
    </xf>
    <xf numFmtId="183" fontId="67" fillId="33" borderId="0" xfId="111" applyNumberFormat="1" applyFont="1" applyFill="1" applyBorder="1">
      <alignment horizontal="right" vertical="center"/>
    </xf>
    <xf numFmtId="183" fontId="67" fillId="27" borderId="0" xfId="111" applyNumberFormat="1" applyFont="1" applyFill="1" applyBorder="1">
      <alignment horizontal="right" vertical="center"/>
    </xf>
    <xf numFmtId="10" fontId="67" fillId="27" borderId="0" xfId="111" applyNumberFormat="1" applyFont="1" applyFill="1" applyBorder="1">
      <alignment horizontal="right" vertical="center"/>
    </xf>
    <xf numFmtId="10" fontId="67" fillId="0" borderId="0" xfId="111" applyNumberFormat="1" applyFont="1" applyFill="1" applyBorder="1">
      <alignment horizontal="right" vertical="center"/>
    </xf>
    <xf numFmtId="174" fontId="67" fillId="0" borderId="0" xfId="111" applyNumberFormat="1" applyFont="1" applyFill="1" applyBorder="1">
      <alignment horizontal="right" vertical="center"/>
    </xf>
    <xf numFmtId="174" fontId="91" fillId="0" borderId="0" xfId="111" applyNumberFormat="1" applyFont="1" applyFill="1" applyBorder="1" applyAlignment="1">
      <alignment horizontal="left" vertical="center"/>
    </xf>
    <xf numFmtId="174" fontId="67" fillId="0" borderId="0" xfId="111" applyNumberFormat="1" applyFont="1" applyBorder="1">
      <alignment horizontal="right" vertical="center"/>
    </xf>
    <xf numFmtId="165" fontId="67" fillId="27" borderId="0" xfId="111" applyFont="1" applyFill="1" applyBorder="1">
      <alignment horizontal="right" vertical="center"/>
    </xf>
    <xf numFmtId="165" fontId="67" fillId="0" borderId="0" xfId="111" applyFont="1" applyFill="1" applyBorder="1">
      <alignment horizontal="right" vertical="center"/>
    </xf>
    <xf numFmtId="191" fontId="67" fillId="27" borderId="0" xfId="111" applyNumberFormat="1" applyFont="1" applyFill="1" applyBorder="1">
      <alignment horizontal="right" vertical="center"/>
    </xf>
    <xf numFmtId="174" fontId="71" fillId="0" borderId="0" xfId="111" applyNumberFormat="1" applyFont="1" applyBorder="1">
      <alignment horizontal="right" vertical="center"/>
    </xf>
    <xf numFmtId="0" fontId="66" fillId="0" borderId="0" xfId="0" applyFont="1"/>
    <xf numFmtId="165" fontId="67" fillId="27" borderId="24" xfId="111" applyFont="1" applyFill="1" applyBorder="1">
      <alignment horizontal="right" vertical="center"/>
    </xf>
    <xf numFmtId="165" fontId="67" fillId="27" borderId="31" xfId="111" applyFont="1" applyFill="1" applyBorder="1">
      <alignment horizontal="right" vertical="center"/>
    </xf>
    <xf numFmtId="165" fontId="71" fillId="0" borderId="0" xfId="111" applyFont="1" applyBorder="1">
      <alignment horizontal="right" vertical="center"/>
    </xf>
    <xf numFmtId="172" fontId="71" fillId="0" borderId="0" xfId="111" applyNumberFormat="1" applyFont="1" applyBorder="1">
      <alignment horizontal="right" vertical="center"/>
    </xf>
    <xf numFmtId="0" fontId="66" fillId="27" borderId="0" xfId="0" applyFont="1" applyFill="1"/>
    <xf numFmtId="165" fontId="71" fillId="0" borderId="32" xfId="111" applyFont="1" applyBorder="1">
      <alignment horizontal="right" vertical="center"/>
    </xf>
    <xf numFmtId="0" fontId="67" fillId="27" borderId="17" xfId="0" applyFont="1" applyFill="1" applyBorder="1"/>
    <xf numFmtId="165" fontId="67" fillId="27" borderId="22" xfId="111" applyFont="1" applyFill="1" applyBorder="1">
      <alignment horizontal="right" vertical="center"/>
    </xf>
    <xf numFmtId="165" fontId="67" fillId="32" borderId="8" xfId="111" applyFont="1" applyFill="1" applyBorder="1" applyProtection="1">
      <alignment horizontal="right" vertical="center"/>
      <protection locked="0"/>
    </xf>
    <xf numFmtId="165" fontId="67" fillId="32" borderId="24" xfId="111" applyFont="1" applyFill="1" applyBorder="1" applyProtection="1">
      <alignment horizontal="right" vertical="center"/>
      <protection locked="0"/>
    </xf>
    <xf numFmtId="165" fontId="67" fillId="32" borderId="26" xfId="111" applyFont="1" applyFill="1" applyBorder="1" applyProtection="1">
      <alignment horizontal="right" vertical="center"/>
      <protection locked="0"/>
    </xf>
    <xf numFmtId="165" fontId="67" fillId="32" borderId="31" xfId="111" applyFont="1" applyFill="1" applyBorder="1" applyProtection="1">
      <alignment horizontal="right" vertical="center"/>
      <protection locked="0"/>
    </xf>
    <xf numFmtId="165" fontId="67" fillId="32" borderId="13" xfId="111" applyFont="1" applyFill="1" applyBorder="1" applyProtection="1">
      <alignment horizontal="right" vertical="center"/>
      <protection locked="0"/>
    </xf>
    <xf numFmtId="170" fontId="67" fillId="32" borderId="24" xfId="111" applyNumberFormat="1" applyFont="1" applyFill="1" applyBorder="1" applyProtection="1">
      <alignment horizontal="right" vertical="center"/>
      <protection locked="0"/>
    </xf>
    <xf numFmtId="170" fontId="67" fillId="32" borderId="25" xfId="111" applyNumberFormat="1" applyFont="1" applyFill="1" applyBorder="1" applyProtection="1">
      <alignment horizontal="right" vertical="center"/>
      <protection locked="0"/>
    </xf>
    <xf numFmtId="170" fontId="67" fillId="32" borderId="26" xfId="111" applyNumberFormat="1" applyFont="1" applyFill="1" applyBorder="1" applyProtection="1">
      <alignment horizontal="right" vertical="center"/>
      <protection locked="0"/>
    </xf>
    <xf numFmtId="174" fontId="67" fillId="32" borderId="31" xfId="111" applyNumberFormat="1" applyFont="1" applyFill="1" applyBorder="1" applyProtection="1">
      <alignment horizontal="right" vertical="center"/>
      <protection locked="0"/>
    </xf>
    <xf numFmtId="174" fontId="67" fillId="32" borderId="13" xfId="111" applyNumberFormat="1" applyFont="1" applyFill="1" applyBorder="1" applyProtection="1">
      <alignment horizontal="right" vertical="center"/>
      <protection locked="0"/>
    </xf>
    <xf numFmtId="174" fontId="67" fillId="32" borderId="15" xfId="111" applyNumberFormat="1" applyFont="1" applyFill="1" applyBorder="1" applyProtection="1">
      <alignment horizontal="right" vertical="center"/>
      <protection locked="0"/>
    </xf>
    <xf numFmtId="165" fontId="67" fillId="32" borderId="15" xfId="111" applyFont="1" applyFill="1" applyBorder="1" applyProtection="1">
      <alignment horizontal="right" vertical="center"/>
      <protection locked="0"/>
    </xf>
    <xf numFmtId="0" fontId="66" fillId="0" borderId="30" xfId="138" applyFont="1" applyFill="1" applyBorder="1" applyAlignment="1">
      <alignment horizontal="left" vertical="center" indent="1"/>
    </xf>
    <xf numFmtId="0" fontId="66" fillId="0" borderId="0" xfId="138" applyFont="1" applyFill="1" applyBorder="1">
      <alignment vertical="center"/>
    </xf>
    <xf numFmtId="0" fontId="80" fillId="0" borderId="0" xfId="0" applyFont="1"/>
    <xf numFmtId="0" fontId="113" fillId="29" borderId="104" xfId="0" applyFont="1" applyFill="1" applyBorder="1" applyAlignment="1">
      <alignment horizontal="right" indent="1"/>
    </xf>
    <xf numFmtId="0" fontId="113" fillId="29" borderId="0" xfId="0" applyFont="1" applyFill="1" applyAlignment="1">
      <alignment horizontal="center"/>
    </xf>
    <xf numFmtId="0" fontId="71" fillId="29" borderId="105" xfId="0" applyFont="1" applyFill="1" applyBorder="1"/>
    <xf numFmtId="0" fontId="80" fillId="29" borderId="104" xfId="0" applyFont="1" applyFill="1" applyBorder="1"/>
    <xf numFmtId="0" fontId="80" fillId="29" borderId="0" xfId="0" applyFont="1" applyFill="1" applyAlignment="1">
      <alignment horizontal="center"/>
    </xf>
    <xf numFmtId="2" fontId="80" fillId="29" borderId="103" xfId="0" applyNumberFormat="1" applyFont="1" applyFill="1" applyBorder="1" applyAlignment="1">
      <alignment horizontal="center"/>
    </xf>
    <xf numFmtId="2" fontId="80" fillId="29" borderId="0" xfId="0" applyNumberFormat="1" applyFont="1" applyFill="1" applyAlignment="1">
      <alignment horizontal="center"/>
    </xf>
    <xf numFmtId="172" fontId="76" fillId="27" borderId="0" xfId="112" applyNumberFormat="1" applyFont="1" applyFill="1" applyBorder="1" applyAlignment="1">
      <alignment horizontal="left" vertical="center"/>
    </xf>
    <xf numFmtId="172" fontId="96" fillId="27" borderId="0" xfId="112" applyNumberFormat="1" applyFont="1" applyFill="1" applyBorder="1">
      <alignment horizontal="right" vertical="center"/>
    </xf>
    <xf numFmtId="172" fontId="96" fillId="27" borderId="65" xfId="112" applyNumberFormat="1" applyFont="1" applyFill="1" applyBorder="1">
      <alignment horizontal="right" vertical="center"/>
    </xf>
    <xf numFmtId="172" fontId="96" fillId="27" borderId="66" xfId="112" applyNumberFormat="1" applyFont="1" applyFill="1" applyBorder="1">
      <alignment horizontal="right" vertical="center"/>
    </xf>
    <xf numFmtId="172" fontId="96" fillId="27" borderId="67" xfId="112" applyNumberFormat="1" applyFont="1" applyFill="1" applyBorder="1">
      <alignment horizontal="right" vertical="center"/>
    </xf>
    <xf numFmtId="172" fontId="96" fillId="27" borderId="69" xfId="112" applyNumberFormat="1" applyFont="1" applyFill="1" applyBorder="1">
      <alignment horizontal="right" vertical="center"/>
    </xf>
    <xf numFmtId="172" fontId="96" fillId="27" borderId="70" xfId="112" applyNumberFormat="1" applyFont="1" applyFill="1" applyBorder="1">
      <alignment horizontal="right" vertical="center"/>
    </xf>
    <xf numFmtId="182" fontId="96" fillId="27" borderId="0" xfId="112" applyNumberFormat="1" applyFont="1" applyFill="1" applyBorder="1">
      <alignment horizontal="right" vertical="center"/>
    </xf>
    <xf numFmtId="173" fontId="67" fillId="32" borderId="24" xfId="102" applyNumberFormat="1" applyFont="1" applyFill="1" applyBorder="1" applyProtection="1">
      <protection locked="0"/>
    </xf>
    <xf numFmtId="173" fontId="67" fillId="32" borderId="25" xfId="102" applyNumberFormat="1" applyFont="1" applyFill="1" applyBorder="1" applyProtection="1">
      <protection locked="0"/>
    </xf>
    <xf numFmtId="173" fontId="67" fillId="32" borderId="26" xfId="102" applyNumberFormat="1" applyFont="1" applyFill="1" applyBorder="1" applyProtection="1">
      <protection locked="0"/>
    </xf>
    <xf numFmtId="0" fontId="67" fillId="32" borderId="25" xfId="0" applyFont="1" applyFill="1" applyBorder="1" applyProtection="1">
      <protection locked="0"/>
    </xf>
    <xf numFmtId="0" fontId="67" fillId="32" borderId="26" xfId="0" applyFont="1" applyFill="1" applyBorder="1" applyProtection="1">
      <protection locked="0"/>
    </xf>
    <xf numFmtId="172" fontId="67" fillId="32" borderId="24" xfId="114" applyNumberFormat="1" applyFont="1" applyFill="1" applyBorder="1" applyAlignment="1" applyProtection="1">
      <alignment horizontal="left" vertical="center" indent="1"/>
      <protection locked="0"/>
    </xf>
    <xf numFmtId="0" fontId="67" fillId="32" borderId="25" xfId="38" applyFont="1" applyFill="1" applyBorder="1">
      <alignment vertical="center"/>
      <protection locked="0"/>
    </xf>
    <xf numFmtId="0" fontId="92" fillId="0" borderId="0" xfId="0" applyFont="1" applyProtection="1">
      <protection locked="0"/>
    </xf>
    <xf numFmtId="172" fontId="67" fillId="32" borderId="33" xfId="114" applyNumberFormat="1" applyFont="1" applyFill="1" applyBorder="1" applyAlignment="1" applyProtection="1">
      <alignment vertical="center"/>
      <protection locked="0"/>
    </xf>
    <xf numFmtId="172" fontId="67" fillId="32" borderId="34" xfId="114" applyNumberFormat="1" applyFont="1" applyFill="1" applyBorder="1" applyAlignment="1" applyProtection="1">
      <alignment vertical="center"/>
      <protection locked="0"/>
    </xf>
    <xf numFmtId="172" fontId="67" fillId="32" borderId="35" xfId="114" applyNumberFormat="1" applyFont="1" applyFill="1" applyBorder="1" applyAlignment="1" applyProtection="1">
      <alignment vertical="center"/>
      <protection locked="0"/>
    </xf>
    <xf numFmtId="0" fontId="67" fillId="32" borderId="8" xfId="37" applyFont="1" applyFill="1" applyBorder="1" applyAlignment="1">
      <alignment horizontal="left" vertical="center"/>
      <protection locked="0"/>
    </xf>
    <xf numFmtId="172" fontId="67" fillId="32" borderId="28" xfId="114" applyNumberFormat="1" applyFont="1" applyFill="1" applyBorder="1" applyAlignment="1" applyProtection="1">
      <alignment vertical="center"/>
      <protection locked="0"/>
    </xf>
    <xf numFmtId="172" fontId="67" fillId="32" borderId="29" xfId="114" applyNumberFormat="1" applyFont="1" applyFill="1" applyBorder="1" applyAlignment="1" applyProtection="1">
      <alignment vertical="center"/>
      <protection locked="0"/>
    </xf>
    <xf numFmtId="172" fontId="67" fillId="32" borderId="30" xfId="114" applyNumberFormat="1" applyFont="1" applyFill="1" applyBorder="1" applyAlignment="1" applyProtection="1">
      <alignment vertical="center"/>
      <protection locked="0"/>
    </xf>
    <xf numFmtId="172" fontId="67" fillId="32" borderId="0" xfId="114" applyNumberFormat="1" applyFont="1" applyFill="1" applyBorder="1" applyAlignment="1" applyProtection="1">
      <alignment vertical="center"/>
      <protection locked="0"/>
    </xf>
    <xf numFmtId="172" fontId="67" fillId="32" borderId="14" xfId="114" applyNumberFormat="1" applyFont="1" applyFill="1" applyBorder="1" applyAlignment="1" applyProtection="1">
      <alignment vertical="center"/>
      <protection locked="0"/>
    </xf>
    <xf numFmtId="177" fontId="67" fillId="0" borderId="0" xfId="0" applyNumberFormat="1" applyFont="1"/>
    <xf numFmtId="0" fontId="72" fillId="0" borderId="13" xfId="103" applyFont="1" applyBorder="1" applyAlignment="1">
      <alignment horizontal="right" vertical="center"/>
    </xf>
    <xf numFmtId="0" fontId="67" fillId="27" borderId="16" xfId="0" applyFont="1" applyFill="1" applyBorder="1"/>
    <xf numFmtId="0" fontId="67" fillId="27" borderId="18" xfId="0" applyFont="1" applyFill="1" applyBorder="1"/>
    <xf numFmtId="0" fontId="66" fillId="27" borderId="0" xfId="72" applyFont="1" applyFill="1" applyBorder="1">
      <alignment vertical="center"/>
    </xf>
    <xf numFmtId="0" fontId="78" fillId="27" borderId="0" xfId="72" applyFont="1" applyFill="1" applyBorder="1">
      <alignment vertical="center"/>
    </xf>
    <xf numFmtId="0" fontId="67" fillId="27" borderId="0" xfId="141" applyFont="1" applyFill="1" applyBorder="1" applyAlignment="1">
      <alignment horizontal="left" vertical="center" indent="1"/>
    </xf>
    <xf numFmtId="0" fontId="67" fillId="27" borderId="0" xfId="142" applyFont="1" applyFill="1"/>
    <xf numFmtId="172" fontId="67" fillId="27" borderId="0" xfId="111" applyNumberFormat="1" applyFont="1" applyFill="1" applyBorder="1">
      <alignment horizontal="right" vertical="center"/>
    </xf>
    <xf numFmtId="172" fontId="67" fillId="27" borderId="32" xfId="111" applyNumberFormat="1" applyFont="1" applyFill="1" applyBorder="1">
      <alignment horizontal="right" vertical="center"/>
    </xf>
    <xf numFmtId="172" fontId="71" fillId="27" borderId="32" xfId="111" applyNumberFormat="1" applyFont="1" applyFill="1" applyBorder="1">
      <alignment horizontal="right" vertical="center"/>
    </xf>
    <xf numFmtId="0" fontId="92" fillId="27" borderId="0" xfId="142" applyFont="1" applyFill="1"/>
    <xf numFmtId="172" fontId="67" fillId="27" borderId="0" xfId="112" applyNumberFormat="1" applyFont="1" applyFill="1" applyBorder="1">
      <alignment horizontal="right" vertical="center"/>
    </xf>
    <xf numFmtId="172" fontId="67" fillId="27" borderId="13" xfId="112" applyNumberFormat="1" applyFont="1" applyFill="1" applyBorder="1">
      <alignment horizontal="right" vertical="center"/>
    </xf>
    <xf numFmtId="172" fontId="71" fillId="27" borderId="32" xfId="112" applyNumberFormat="1" applyFont="1" applyFill="1" applyBorder="1">
      <alignment horizontal="right" vertical="center"/>
    </xf>
    <xf numFmtId="0" fontId="71" fillId="27" borderId="0" xfId="142" applyFont="1" applyFill="1"/>
    <xf numFmtId="172" fontId="97" fillId="27" borderId="0" xfId="112" applyNumberFormat="1" applyFont="1" applyFill="1" applyBorder="1">
      <alignment horizontal="right" vertical="center"/>
    </xf>
    <xf numFmtId="172" fontId="84" fillId="27" borderId="0" xfId="112" applyNumberFormat="1" applyFont="1" applyFill="1" applyBorder="1">
      <alignment horizontal="right" vertical="center"/>
    </xf>
    <xf numFmtId="0" fontId="92" fillId="27" borderId="0" xfId="0" applyFont="1" applyFill="1"/>
    <xf numFmtId="187" fontId="67" fillId="27" borderId="0" xfId="111" applyNumberFormat="1" applyFont="1" applyFill="1" applyBorder="1">
      <alignment horizontal="right" vertical="center"/>
    </xf>
    <xf numFmtId="172" fontId="84" fillId="27" borderId="65" xfId="112" applyNumberFormat="1" applyFont="1" applyFill="1" applyBorder="1">
      <alignment horizontal="right" vertical="center"/>
    </xf>
    <xf numFmtId="172" fontId="84" fillId="27" borderId="66" xfId="112" applyNumberFormat="1" applyFont="1" applyFill="1" applyBorder="1">
      <alignment horizontal="right" vertical="center"/>
    </xf>
    <xf numFmtId="172" fontId="84" fillId="27" borderId="67" xfId="112" applyNumberFormat="1" applyFont="1" applyFill="1" applyBorder="1">
      <alignment horizontal="right" vertical="center"/>
    </xf>
    <xf numFmtId="172" fontId="84" fillId="27" borderId="68" xfId="112" applyNumberFormat="1" applyFont="1" applyFill="1" applyBorder="1">
      <alignment horizontal="right" vertical="center"/>
    </xf>
    <xf numFmtId="172" fontId="84" fillId="27" borderId="69" xfId="112" applyNumberFormat="1" applyFont="1" applyFill="1" applyBorder="1">
      <alignment horizontal="right" vertical="center"/>
    </xf>
    <xf numFmtId="172" fontId="84" fillId="27" borderId="70" xfId="112" applyNumberFormat="1" applyFont="1" applyFill="1" applyBorder="1">
      <alignment horizontal="right" vertical="center"/>
    </xf>
    <xf numFmtId="0" fontId="92" fillId="27" borderId="19" xfId="0" applyFont="1" applyFill="1" applyBorder="1"/>
    <xf numFmtId="172" fontId="92" fillId="27" borderId="0" xfId="112" applyNumberFormat="1" applyFont="1" applyFill="1" applyBorder="1">
      <alignment horizontal="right" vertical="center"/>
    </xf>
    <xf numFmtId="182" fontId="98" fillId="27" borderId="0" xfId="112" applyNumberFormat="1" applyFont="1" applyFill="1" applyBorder="1">
      <alignment horizontal="right" vertical="center"/>
    </xf>
    <xf numFmtId="182" fontId="84" fillId="27" borderId="0" xfId="112" applyNumberFormat="1" applyFont="1" applyFill="1" applyBorder="1">
      <alignment horizontal="right" vertical="center"/>
    </xf>
    <xf numFmtId="0" fontId="92" fillId="27" borderId="20" xfId="0" applyFont="1" applyFill="1" applyBorder="1"/>
    <xf numFmtId="0" fontId="91" fillId="27" borderId="22" xfId="0" applyFont="1" applyFill="1" applyBorder="1"/>
    <xf numFmtId="0" fontId="99" fillId="27" borderId="22" xfId="0" applyFont="1" applyFill="1" applyBorder="1"/>
    <xf numFmtId="172" fontId="67" fillId="27" borderId="22" xfId="111" applyNumberFormat="1" applyFont="1" applyFill="1" applyBorder="1">
      <alignment horizontal="right" vertical="center"/>
    </xf>
    <xf numFmtId="172" fontId="67" fillId="0" borderId="0" xfId="111" applyNumberFormat="1" applyFont="1">
      <alignment horizontal="right" vertical="center"/>
    </xf>
    <xf numFmtId="172" fontId="67" fillId="25" borderId="0" xfId="111" applyNumberFormat="1" applyFont="1" applyFill="1">
      <alignment horizontal="right" vertical="center"/>
    </xf>
    <xf numFmtId="0" fontId="66" fillId="0" borderId="0" xfId="72" applyFont="1">
      <alignment vertical="center"/>
    </xf>
    <xf numFmtId="172" fontId="67" fillId="0" borderId="0" xfId="111" applyNumberFormat="1" applyFont="1" applyFill="1" applyBorder="1">
      <alignment horizontal="right" vertical="center"/>
    </xf>
    <xf numFmtId="10" fontId="67" fillId="0" borderId="0" xfId="101" applyNumberFormat="1" applyFont="1" applyProtection="1"/>
    <xf numFmtId="0" fontId="66" fillId="0" borderId="0" xfId="74" applyFont="1" applyFill="1">
      <alignment vertical="center"/>
    </xf>
    <xf numFmtId="172" fontId="67" fillId="24" borderId="0" xfId="111" applyNumberFormat="1" applyFont="1" applyFill="1">
      <alignment horizontal="right" vertical="center"/>
    </xf>
    <xf numFmtId="172" fontId="67" fillId="0" borderId="0" xfId="111" applyNumberFormat="1" applyFont="1" applyFill="1">
      <alignment horizontal="right" vertical="center"/>
    </xf>
    <xf numFmtId="0" fontId="67" fillId="0" borderId="0" xfId="78" applyFont="1" applyFill="1">
      <alignment vertical="center"/>
    </xf>
    <xf numFmtId="172" fontId="67" fillId="27" borderId="27" xfId="111" applyNumberFormat="1" applyFont="1" applyFill="1" applyBorder="1">
      <alignment horizontal="right" vertical="center"/>
    </xf>
    <xf numFmtId="172" fontId="67" fillId="27" borderId="28" xfId="111" applyNumberFormat="1" applyFont="1" applyFill="1" applyBorder="1">
      <alignment horizontal="right" vertical="center"/>
    </xf>
    <xf numFmtId="172" fontId="67" fillId="27" borderId="29" xfId="111" applyNumberFormat="1" applyFont="1" applyFill="1" applyBorder="1">
      <alignment horizontal="right" vertical="center"/>
    </xf>
    <xf numFmtId="172" fontId="67" fillId="27" borderId="30" xfId="111" applyNumberFormat="1" applyFont="1" applyFill="1" applyBorder="1">
      <alignment horizontal="right" vertical="center"/>
    </xf>
    <xf numFmtId="172" fontId="67" fillId="27" borderId="14" xfId="111" applyNumberFormat="1" applyFont="1" applyFill="1" applyBorder="1">
      <alignment horizontal="right" vertical="center"/>
    </xf>
    <xf numFmtId="172" fontId="67" fillId="29" borderId="24" xfId="111" applyNumberFormat="1" applyFont="1" applyFill="1" applyBorder="1">
      <alignment horizontal="right" vertical="center"/>
    </xf>
    <xf numFmtId="172" fontId="67" fillId="29" borderId="25" xfId="111" applyNumberFormat="1" applyFont="1" applyFill="1" applyBorder="1">
      <alignment horizontal="right" vertical="center"/>
    </xf>
    <xf numFmtId="172" fontId="67" fillId="29" borderId="26" xfId="111" applyNumberFormat="1" applyFont="1" applyFill="1" applyBorder="1">
      <alignment horizontal="right" vertical="center"/>
    </xf>
    <xf numFmtId="172" fontId="67" fillId="27" borderId="31" xfId="111" applyNumberFormat="1" applyFont="1" applyFill="1" applyBorder="1">
      <alignment horizontal="right" vertical="center"/>
    </xf>
    <xf numFmtId="172" fontId="67" fillId="27" borderId="13" xfId="111" applyNumberFormat="1" applyFont="1" applyFill="1" applyBorder="1">
      <alignment horizontal="right" vertical="center"/>
    </xf>
    <xf numFmtId="172" fontId="67" fillId="27" borderId="15" xfId="111" applyNumberFormat="1" applyFont="1" applyFill="1" applyBorder="1">
      <alignment horizontal="right" vertical="center"/>
    </xf>
    <xf numFmtId="0" fontId="78" fillId="0" borderId="0" xfId="74" applyFont="1" applyFill="1">
      <alignment vertical="center"/>
    </xf>
    <xf numFmtId="0" fontId="66" fillId="27" borderId="0" xfId="74" applyFont="1" applyFill="1">
      <alignment vertical="center"/>
    </xf>
    <xf numFmtId="0" fontId="67" fillId="27" borderId="0" xfId="78" applyFont="1" applyFill="1">
      <alignment vertical="center"/>
    </xf>
    <xf numFmtId="0" fontId="78" fillId="27" borderId="0" xfId="74" applyFont="1" applyFill="1">
      <alignment vertical="center"/>
    </xf>
    <xf numFmtId="172" fontId="67" fillId="24" borderId="0" xfId="111" applyNumberFormat="1" applyFont="1" applyFill="1" applyBorder="1">
      <alignment horizontal="right" vertical="center"/>
    </xf>
    <xf numFmtId="172" fontId="67" fillId="27" borderId="24" xfId="111" applyNumberFormat="1" applyFont="1" applyFill="1" applyBorder="1">
      <alignment horizontal="right" vertical="center"/>
    </xf>
    <xf numFmtId="172" fontId="67" fillId="27" borderId="25" xfId="111" applyNumberFormat="1" applyFont="1" applyFill="1" applyBorder="1">
      <alignment horizontal="right" vertical="center"/>
    </xf>
    <xf numFmtId="172" fontId="67" fillId="27" borderId="26" xfId="111" applyNumberFormat="1" applyFont="1" applyFill="1" applyBorder="1">
      <alignment horizontal="right" vertical="center"/>
    </xf>
    <xf numFmtId="0" fontId="100" fillId="0" borderId="0" xfId="78" applyFont="1" applyFill="1">
      <alignment vertical="center"/>
    </xf>
    <xf numFmtId="165" fontId="67" fillId="27" borderId="0" xfId="111" applyFont="1" applyFill="1">
      <alignment horizontal="right" vertical="center"/>
    </xf>
    <xf numFmtId="165" fontId="67" fillId="0" borderId="0" xfId="111" applyFont="1">
      <alignment horizontal="right" vertical="center"/>
    </xf>
    <xf numFmtId="0" fontId="67" fillId="27" borderId="29" xfId="0" applyFont="1" applyFill="1" applyBorder="1"/>
    <xf numFmtId="0" fontId="67" fillId="27" borderId="13" xfId="0" applyFont="1" applyFill="1" applyBorder="1"/>
    <xf numFmtId="0" fontId="67" fillId="27" borderId="15" xfId="0" applyFont="1" applyFill="1" applyBorder="1"/>
    <xf numFmtId="0" fontId="77" fillId="27" borderId="0" xfId="74" applyFont="1" applyFill="1" applyBorder="1">
      <alignment vertical="center"/>
    </xf>
    <xf numFmtId="0" fontId="66" fillId="27" borderId="0" xfId="0" applyFont="1" applyFill="1" applyAlignment="1">
      <alignment horizontal="right"/>
    </xf>
    <xf numFmtId="2" fontId="67" fillId="27" borderId="27" xfId="0" applyNumberFormat="1" applyFont="1" applyFill="1" applyBorder="1"/>
    <xf numFmtId="2" fontId="67" fillId="27" borderId="28" xfId="0" applyNumberFormat="1" applyFont="1" applyFill="1" applyBorder="1"/>
    <xf numFmtId="2" fontId="67" fillId="27" borderId="29" xfId="0" applyNumberFormat="1" applyFont="1" applyFill="1" applyBorder="1"/>
    <xf numFmtId="0" fontId="67" fillId="30" borderId="0" xfId="0" applyFont="1" applyFill="1"/>
    <xf numFmtId="2" fontId="67" fillId="27" borderId="30" xfId="0" applyNumberFormat="1" applyFont="1" applyFill="1" applyBorder="1"/>
    <xf numFmtId="2" fontId="67" fillId="27" borderId="14" xfId="0" applyNumberFormat="1" applyFont="1" applyFill="1" applyBorder="1"/>
    <xf numFmtId="2" fontId="67" fillId="27" borderId="31" xfId="0" applyNumberFormat="1" applyFont="1" applyFill="1" applyBorder="1"/>
    <xf numFmtId="2" fontId="67" fillId="27" borderId="13" xfId="0" applyNumberFormat="1" applyFont="1" applyFill="1" applyBorder="1"/>
    <xf numFmtId="2" fontId="67" fillId="27" borderId="15" xfId="0" applyNumberFormat="1" applyFont="1" applyFill="1" applyBorder="1"/>
    <xf numFmtId="172" fontId="71" fillId="27" borderId="0" xfId="112" applyNumberFormat="1" applyFont="1" applyFill="1" applyBorder="1">
      <alignment horizontal="right" vertical="center"/>
    </xf>
    <xf numFmtId="0" fontId="71" fillId="27" borderId="0" xfId="0" applyFont="1" applyFill="1" applyAlignment="1">
      <alignment horizontal="left" vertical="center"/>
    </xf>
    <xf numFmtId="0" fontId="71" fillId="27" borderId="0" xfId="0" applyFont="1" applyFill="1" applyAlignment="1">
      <alignment horizontal="center" vertical="center"/>
    </xf>
    <xf numFmtId="0" fontId="67" fillId="29" borderId="0" xfId="0" applyFont="1" applyFill="1"/>
    <xf numFmtId="0" fontId="109" fillId="29" borderId="0" xfId="0" applyFont="1" applyFill="1"/>
    <xf numFmtId="0" fontId="96" fillId="29" borderId="0" xfId="0" applyFont="1" applyFill="1"/>
    <xf numFmtId="0" fontId="67" fillId="29" borderId="13" xfId="0" applyFont="1" applyFill="1" applyBorder="1"/>
    <xf numFmtId="0" fontId="67" fillId="27" borderId="0" xfId="0" applyFont="1" applyFill="1" applyAlignment="1">
      <alignment horizontal="center" vertical="center"/>
    </xf>
    <xf numFmtId="172" fontId="67" fillId="32" borderId="27" xfId="111" applyNumberFormat="1" applyFont="1" applyFill="1" applyBorder="1" applyProtection="1">
      <alignment horizontal="right" vertical="center"/>
      <protection locked="0"/>
    </xf>
    <xf numFmtId="172" fontId="67" fillId="32" borderId="28" xfId="111" applyNumberFormat="1" applyFont="1" applyFill="1" applyBorder="1" applyProtection="1">
      <alignment horizontal="right" vertical="center"/>
      <protection locked="0"/>
    </xf>
    <xf numFmtId="172" fontId="67" fillId="32" borderId="29" xfId="111" applyNumberFormat="1" applyFont="1" applyFill="1" applyBorder="1" applyProtection="1">
      <alignment horizontal="right" vertical="center"/>
      <protection locked="0"/>
    </xf>
    <xf numFmtId="172" fontId="67" fillId="32" borderId="30" xfId="111" applyNumberFormat="1" applyFont="1" applyFill="1" applyBorder="1" applyProtection="1">
      <alignment horizontal="right" vertical="center"/>
      <protection locked="0"/>
    </xf>
    <xf numFmtId="172" fontId="67" fillId="32" borderId="0" xfId="111" applyNumberFormat="1" applyFont="1" applyFill="1" applyBorder="1" applyProtection="1">
      <alignment horizontal="right" vertical="center"/>
      <protection locked="0"/>
    </xf>
    <xf numFmtId="172" fontId="67" fillId="32" borderId="14" xfId="111" applyNumberFormat="1" applyFont="1" applyFill="1" applyBorder="1" applyProtection="1">
      <alignment horizontal="right" vertical="center"/>
      <protection locked="0"/>
    </xf>
    <xf numFmtId="172" fontId="67" fillId="32" borderId="31" xfId="111" applyNumberFormat="1" applyFont="1" applyFill="1" applyBorder="1" applyProtection="1">
      <alignment horizontal="right" vertical="center"/>
      <protection locked="0"/>
    </xf>
    <xf numFmtId="172" fontId="67" fillId="32" borderId="13" xfId="111" applyNumberFormat="1" applyFont="1" applyFill="1" applyBorder="1" applyProtection="1">
      <alignment horizontal="right" vertical="center"/>
      <protection locked="0"/>
    </xf>
    <xf numFmtId="172" fontId="67" fillId="32" borderId="15" xfId="111" applyNumberFormat="1" applyFont="1" applyFill="1" applyBorder="1" applyProtection="1">
      <alignment horizontal="right" vertical="center"/>
      <protection locked="0"/>
    </xf>
    <xf numFmtId="172" fontId="67" fillId="32" borderId="24" xfId="111" applyNumberFormat="1" applyFont="1" applyFill="1" applyBorder="1" applyProtection="1">
      <alignment horizontal="right" vertical="center"/>
      <protection locked="0"/>
    </xf>
    <xf numFmtId="172" fontId="67" fillId="32" borderId="25" xfId="111" applyNumberFormat="1" applyFont="1" applyFill="1" applyBorder="1" applyProtection="1">
      <alignment horizontal="right" vertical="center"/>
      <protection locked="0"/>
    </xf>
    <xf numFmtId="172" fontId="67" fillId="32" borderId="26" xfId="111" applyNumberFormat="1" applyFont="1" applyFill="1" applyBorder="1" applyProtection="1">
      <alignment horizontal="right" vertical="center"/>
      <protection locked="0"/>
    </xf>
    <xf numFmtId="172" fontId="67" fillId="32" borderId="8" xfId="111" applyNumberFormat="1" applyFont="1" applyFill="1" applyBorder="1" applyProtection="1">
      <alignment horizontal="right" vertical="center"/>
      <protection locked="0"/>
    </xf>
    <xf numFmtId="0" fontId="67" fillId="27" borderId="28" xfId="0" applyFont="1" applyFill="1" applyBorder="1" applyProtection="1">
      <protection locked="0"/>
    </xf>
    <xf numFmtId="0" fontId="67" fillId="27" borderId="29" xfId="0" applyFont="1" applyFill="1" applyBorder="1" applyProtection="1">
      <protection locked="0"/>
    </xf>
    <xf numFmtId="0" fontId="67" fillId="0" borderId="27" xfId="0" applyFont="1" applyBorder="1" applyProtection="1">
      <protection locked="0"/>
    </xf>
    <xf numFmtId="2" fontId="67" fillId="32" borderId="27" xfId="0" applyNumberFormat="1" applyFont="1" applyFill="1" applyBorder="1" applyProtection="1">
      <protection locked="0"/>
    </xf>
    <xf numFmtId="2" fontId="67" fillId="32" borderId="28" xfId="0" applyNumberFormat="1" applyFont="1" applyFill="1" applyBorder="1" applyProtection="1">
      <protection locked="0"/>
    </xf>
    <xf numFmtId="2" fontId="67" fillId="32" borderId="29" xfId="0" applyNumberFormat="1" applyFont="1" applyFill="1" applyBorder="1" applyProtection="1">
      <protection locked="0"/>
    </xf>
    <xf numFmtId="0" fontId="67" fillId="27" borderId="0" xfId="0" applyFont="1" applyFill="1" applyProtection="1">
      <protection locked="0"/>
    </xf>
    <xf numFmtId="0" fontId="67" fillId="27" borderId="14" xfId="0" applyFont="1" applyFill="1" applyBorder="1" applyProtection="1">
      <protection locked="0"/>
    </xf>
    <xf numFmtId="0" fontId="67" fillId="0" borderId="30" xfId="0" applyFont="1" applyBorder="1" applyProtection="1">
      <protection locked="0"/>
    </xf>
    <xf numFmtId="2" fontId="67" fillId="32" borderId="30" xfId="0" applyNumberFormat="1" applyFont="1" applyFill="1" applyBorder="1" applyProtection="1">
      <protection locked="0"/>
    </xf>
    <xf numFmtId="2" fontId="67" fillId="32" borderId="0" xfId="0" applyNumberFormat="1" applyFont="1" applyFill="1" applyProtection="1">
      <protection locked="0"/>
    </xf>
    <xf numFmtId="2" fontId="67" fillId="32" borderId="14" xfId="0" applyNumberFormat="1" applyFont="1" applyFill="1" applyBorder="1" applyProtection="1">
      <protection locked="0"/>
    </xf>
    <xf numFmtId="0" fontId="67" fillId="27" borderId="13" xfId="0" applyFont="1" applyFill="1" applyBorder="1" applyProtection="1">
      <protection locked="0"/>
    </xf>
    <xf numFmtId="0" fontId="67" fillId="27" borderId="15" xfId="0" applyFont="1" applyFill="1" applyBorder="1" applyProtection="1">
      <protection locked="0"/>
    </xf>
    <xf numFmtId="0" fontId="67" fillId="0" borderId="31" xfId="0" applyFont="1" applyBorder="1" applyProtection="1">
      <protection locked="0"/>
    </xf>
    <xf numFmtId="2" fontId="67" fillId="32" borderId="31" xfId="0" applyNumberFormat="1" applyFont="1" applyFill="1" applyBorder="1" applyProtection="1">
      <protection locked="0"/>
    </xf>
    <xf numFmtId="2" fontId="67" fillId="32" borderId="13" xfId="0" applyNumberFormat="1" applyFont="1" applyFill="1" applyBorder="1" applyProtection="1">
      <protection locked="0"/>
    </xf>
    <xf numFmtId="2" fontId="67" fillId="32" borderId="15" xfId="0" applyNumberFormat="1" applyFont="1" applyFill="1" applyBorder="1" applyProtection="1">
      <protection locked="0"/>
    </xf>
    <xf numFmtId="0" fontId="67" fillId="32" borderId="8" xfId="0" applyFont="1" applyFill="1" applyBorder="1" applyAlignment="1" applyProtection="1">
      <alignment horizontal="left" vertical="center"/>
      <protection locked="0"/>
    </xf>
    <xf numFmtId="0" fontId="67" fillId="32" borderId="33" xfId="0" applyFont="1" applyFill="1" applyBorder="1" applyAlignment="1" applyProtection="1">
      <alignment horizontal="center" vertical="center"/>
      <protection locked="0"/>
    </xf>
    <xf numFmtId="0" fontId="67" fillId="29" borderId="27" xfId="0" applyFont="1" applyFill="1" applyBorder="1" applyProtection="1">
      <protection locked="0"/>
    </xf>
    <xf numFmtId="0" fontId="67" fillId="29" borderId="28" xfId="0" applyFont="1" applyFill="1" applyBorder="1" applyProtection="1">
      <protection locked="0"/>
    </xf>
    <xf numFmtId="0" fontId="67" fillId="29" borderId="30" xfId="0" applyFont="1" applyFill="1" applyBorder="1" applyProtection="1">
      <protection locked="0"/>
    </xf>
    <xf numFmtId="0" fontId="67" fillId="29" borderId="0" xfId="0" applyFont="1" applyFill="1" applyProtection="1">
      <protection locked="0"/>
    </xf>
    <xf numFmtId="0" fontId="67" fillId="32" borderId="8" xfId="0" applyFont="1" applyFill="1" applyBorder="1" applyAlignment="1" applyProtection="1">
      <alignment horizontal="center" vertical="center"/>
      <protection locked="0"/>
    </xf>
    <xf numFmtId="0" fontId="67" fillId="29" borderId="13" xfId="0" applyFont="1" applyFill="1" applyBorder="1" applyProtection="1">
      <protection locked="0"/>
    </xf>
    <xf numFmtId="0" fontId="67" fillId="0" borderId="0" xfId="143" applyFont="1"/>
    <xf numFmtId="0" fontId="60" fillId="0" borderId="0" xfId="82" applyFont="1" applyAlignment="1" applyProtection="1">
      <alignment vertical="center"/>
    </xf>
    <xf numFmtId="0" fontId="67" fillId="27" borderId="16" xfId="143" applyFont="1" applyFill="1" applyBorder="1"/>
    <xf numFmtId="0" fontId="67" fillId="27" borderId="17" xfId="143" applyFont="1" applyFill="1" applyBorder="1"/>
    <xf numFmtId="0" fontId="67" fillId="27" borderId="18" xfId="143" applyFont="1" applyFill="1" applyBorder="1"/>
    <xf numFmtId="0" fontId="67" fillId="27" borderId="19" xfId="143" applyFont="1" applyFill="1" applyBorder="1"/>
    <xf numFmtId="0" fontId="67" fillId="27" borderId="25" xfId="0" applyFont="1" applyFill="1" applyBorder="1"/>
    <xf numFmtId="0" fontId="67" fillId="27" borderId="26" xfId="0" applyFont="1" applyFill="1" applyBorder="1"/>
    <xf numFmtId="0" fontId="71" fillId="27" borderId="24" xfId="0" applyFont="1" applyFill="1" applyBorder="1"/>
    <xf numFmtId="0" fontId="71" fillId="27" borderId="25" xfId="0" applyFont="1" applyFill="1" applyBorder="1"/>
    <xf numFmtId="0" fontId="71" fillId="27" borderId="26" xfId="0" applyFont="1" applyFill="1" applyBorder="1"/>
    <xf numFmtId="0" fontId="67" fillId="27" borderId="20" xfId="143" applyFont="1" applyFill="1" applyBorder="1"/>
    <xf numFmtId="0" fontId="67" fillId="27" borderId="0" xfId="143" applyFont="1" applyFill="1"/>
    <xf numFmtId="0" fontId="71" fillId="27" borderId="28" xfId="0" applyFont="1" applyFill="1" applyBorder="1" applyAlignment="1">
      <alignment horizontal="center"/>
    </xf>
    <xf numFmtId="0" fontId="71" fillId="27" borderId="28" xfId="0" applyFont="1" applyFill="1" applyBorder="1"/>
    <xf numFmtId="0" fontId="66" fillId="27" borderId="0" xfId="103" applyFont="1" applyFill="1" applyBorder="1" applyAlignment="1">
      <alignment horizontal="right" vertical="center"/>
    </xf>
    <xf numFmtId="0" fontId="66" fillId="27" borderId="0" xfId="144" applyFont="1" applyFill="1"/>
    <xf numFmtId="0" fontId="67" fillId="27" borderId="0" xfId="144" applyFont="1" applyFill="1" applyAlignment="1">
      <alignment horizontal="left" indent="1"/>
    </xf>
    <xf numFmtId="2" fontId="67" fillId="27" borderId="0" xfId="143" applyNumberFormat="1" applyFont="1" applyFill="1"/>
    <xf numFmtId="0" fontId="71" fillId="27" borderId="0" xfId="144" applyFont="1" applyFill="1"/>
    <xf numFmtId="2" fontId="71" fillId="27" borderId="32" xfId="143" applyNumberFormat="1" applyFont="1" applyFill="1" applyBorder="1"/>
    <xf numFmtId="0" fontId="67" fillId="27" borderId="0" xfId="143" applyFont="1" applyFill="1" applyAlignment="1">
      <alignment horizontal="left" indent="1"/>
    </xf>
    <xf numFmtId="2" fontId="84" fillId="0" borderId="65" xfId="0" applyNumberFormat="1" applyFont="1" applyBorder="1"/>
    <xf numFmtId="2" fontId="84" fillId="0" borderId="66" xfId="0" applyNumberFormat="1" applyFont="1" applyBorder="1"/>
    <xf numFmtId="2" fontId="84" fillId="0" borderId="67" xfId="0" applyNumberFormat="1" applyFont="1" applyBorder="1"/>
    <xf numFmtId="0" fontId="67" fillId="27" borderId="0" xfId="143" applyFont="1" applyFill="1" applyAlignment="1">
      <alignment horizontal="right"/>
    </xf>
    <xf numFmtId="2" fontId="67" fillId="27" borderId="20" xfId="143" applyNumberFormat="1" applyFont="1" applyFill="1" applyBorder="1"/>
    <xf numFmtId="173" fontId="67" fillId="27" borderId="0" xfId="101" applyNumberFormat="1" applyFont="1" applyFill="1" applyBorder="1" applyProtection="1"/>
    <xf numFmtId="0" fontId="67" fillId="27" borderId="21" xfId="143" applyFont="1" applyFill="1" applyBorder="1"/>
    <xf numFmtId="0" fontId="71" fillId="27" borderId="22" xfId="0" applyFont="1" applyFill="1" applyBorder="1"/>
    <xf numFmtId="0" fontId="67" fillId="27" borderId="22" xfId="143" applyFont="1" applyFill="1" applyBorder="1"/>
    <xf numFmtId="2" fontId="67" fillId="27" borderId="22" xfId="143" applyNumberFormat="1" applyFont="1" applyFill="1" applyBorder="1"/>
    <xf numFmtId="2" fontId="67" fillId="27" borderId="23" xfId="143" applyNumberFormat="1" applyFont="1" applyFill="1" applyBorder="1"/>
    <xf numFmtId="173" fontId="67" fillId="0" borderId="0" xfId="101" applyNumberFormat="1" applyFont="1" applyProtection="1"/>
    <xf numFmtId="0" fontId="71" fillId="0" borderId="0" xfId="143" applyFont="1"/>
    <xf numFmtId="0" fontId="57" fillId="0" borderId="0" xfId="143" applyFont="1"/>
    <xf numFmtId="0" fontId="66" fillId="0" borderId="0" xfId="103" applyFont="1" applyBorder="1" applyAlignment="1">
      <alignment horizontal="right" vertical="top"/>
    </xf>
    <xf numFmtId="0" fontId="77" fillId="0" borderId="0" xfId="143" applyFont="1"/>
    <xf numFmtId="0" fontId="84" fillId="27" borderId="0" xfId="0" applyFont="1" applyFill="1"/>
    <xf numFmtId="0" fontId="84" fillId="0" borderId="0" xfId="143" applyFont="1"/>
    <xf numFmtId="0" fontId="57" fillId="0" borderId="0" xfId="143" applyFont="1" applyAlignment="1">
      <alignment vertical="top"/>
    </xf>
    <xf numFmtId="0" fontId="57" fillId="0" borderId="16" xfId="143" applyFont="1" applyBorder="1" applyAlignment="1">
      <alignment vertical="top"/>
    </xf>
    <xf numFmtId="0" fontId="57" fillId="0" borderId="18" xfId="143" applyFont="1" applyBorder="1" applyAlignment="1">
      <alignment vertical="top"/>
    </xf>
    <xf numFmtId="0" fontId="57" fillId="0" borderId="38" xfId="143" applyFont="1" applyBorder="1" applyAlignment="1">
      <alignment vertical="top" wrapText="1"/>
    </xf>
    <xf numFmtId="0" fontId="57" fillId="0" borderId="54" xfId="143" applyFont="1" applyBorder="1" applyAlignment="1">
      <alignment vertical="top"/>
    </xf>
    <xf numFmtId="0" fontId="57" fillId="0" borderId="17" xfId="0" applyFont="1" applyBorder="1" applyAlignment="1">
      <alignment horizontal="center" vertical="top" wrapText="1"/>
    </xf>
    <xf numFmtId="0" fontId="57" fillId="0" borderId="16" xfId="143" applyFont="1" applyBorder="1" applyAlignment="1">
      <alignment horizontal="center" vertical="top" wrapText="1"/>
    </xf>
    <xf numFmtId="0" fontId="57" fillId="0" borderId="51" xfId="143" applyFont="1" applyBorder="1" applyAlignment="1">
      <alignment horizontal="center" vertical="top" wrapText="1"/>
    </xf>
    <xf numFmtId="0" fontId="67" fillId="0" borderId="0" xfId="143" applyFont="1" applyAlignment="1">
      <alignment vertical="top"/>
    </xf>
    <xf numFmtId="2" fontId="71" fillId="27" borderId="54" xfId="0" applyNumberFormat="1" applyFont="1" applyFill="1" applyBorder="1" applyAlignment="1">
      <alignment vertical="top"/>
    </xf>
    <xf numFmtId="2" fontId="71" fillId="27" borderId="55" xfId="0" applyNumberFormat="1" applyFont="1" applyFill="1" applyBorder="1" applyAlignment="1">
      <alignment vertical="top"/>
    </xf>
    <xf numFmtId="2" fontId="71" fillId="27" borderId="56" xfId="0" applyNumberFormat="1" applyFont="1" applyFill="1" applyBorder="1" applyAlignment="1">
      <alignment vertical="top"/>
    </xf>
    <xf numFmtId="0" fontId="67" fillId="27" borderId="0" xfId="143" applyFont="1" applyFill="1" applyAlignment="1">
      <alignment vertical="top"/>
    </xf>
    <xf numFmtId="0" fontId="67" fillId="27" borderId="0" xfId="143" applyFont="1" applyFill="1" applyAlignment="1">
      <alignment horizontal="right" vertical="top"/>
    </xf>
    <xf numFmtId="172" fontId="67" fillId="29" borderId="74" xfId="112" applyNumberFormat="1" applyFont="1" applyFill="1" applyBorder="1">
      <alignment horizontal="right" vertical="center"/>
    </xf>
    <xf numFmtId="172" fontId="67" fillId="29" borderId="75" xfId="112" applyNumberFormat="1" applyFont="1" applyFill="1" applyBorder="1">
      <alignment horizontal="right" vertical="center"/>
    </xf>
    <xf numFmtId="172" fontId="67" fillId="29" borderId="76" xfId="112" applyNumberFormat="1" applyFont="1" applyFill="1" applyBorder="1">
      <alignment horizontal="right" vertical="center"/>
    </xf>
    <xf numFmtId="172" fontId="67" fillId="29" borderId="78" xfId="112" applyNumberFormat="1" applyFont="1" applyFill="1" applyBorder="1">
      <alignment horizontal="right" vertical="center"/>
    </xf>
    <xf numFmtId="172" fontId="67" fillId="29" borderId="8" xfId="112" applyNumberFormat="1" applyFont="1" applyFill="1" applyBorder="1">
      <alignment horizontal="right" vertical="center"/>
    </xf>
    <xf numFmtId="172" fontId="67" fillId="29" borderId="52" xfId="112" applyNumberFormat="1" applyFont="1" applyFill="1" applyBorder="1">
      <alignment horizontal="right" vertical="center"/>
    </xf>
    <xf numFmtId="172" fontId="67" fillId="29" borderId="81" xfId="112" applyNumberFormat="1" applyFont="1" applyFill="1" applyBorder="1">
      <alignment horizontal="right" vertical="center"/>
    </xf>
    <xf numFmtId="172" fontId="67" fillId="29" borderId="82" xfId="112" applyNumberFormat="1" applyFont="1" applyFill="1" applyBorder="1">
      <alignment horizontal="right" vertical="center"/>
    </xf>
    <xf numFmtId="172" fontId="67" fillId="29" borderId="83" xfId="112" applyNumberFormat="1" applyFont="1" applyFill="1" applyBorder="1">
      <alignment horizontal="right" vertical="center"/>
    </xf>
    <xf numFmtId="0" fontId="57" fillId="0" borderId="32" xfId="143" applyFont="1" applyBorder="1"/>
    <xf numFmtId="0" fontId="57" fillId="0" borderId="55" xfId="143" applyFont="1" applyBorder="1"/>
    <xf numFmtId="172" fontId="67" fillId="29" borderId="84" xfId="112" applyNumberFormat="1" applyFont="1" applyFill="1" applyBorder="1">
      <alignment horizontal="right" vertical="center"/>
    </xf>
    <xf numFmtId="172" fontId="67" fillId="29" borderId="35" xfId="112" applyNumberFormat="1" applyFont="1" applyFill="1" applyBorder="1">
      <alignment horizontal="right" vertical="center"/>
    </xf>
    <xf numFmtId="172" fontId="67" fillId="29" borderId="85" xfId="112" applyNumberFormat="1" applyFont="1" applyFill="1" applyBorder="1">
      <alignment horizontal="right" vertical="center"/>
    </xf>
    <xf numFmtId="0" fontId="67" fillId="32" borderId="77" xfId="143" applyFont="1" applyFill="1" applyBorder="1" applyProtection="1">
      <protection locked="0"/>
    </xf>
    <xf numFmtId="0" fontId="67" fillId="32" borderId="53" xfId="143" applyFont="1" applyFill="1" applyBorder="1" applyProtection="1">
      <protection locked="0"/>
    </xf>
    <xf numFmtId="0" fontId="67" fillId="32" borderId="45" xfId="143" applyFont="1" applyFill="1" applyBorder="1" applyProtection="1">
      <protection locked="0"/>
    </xf>
    <xf numFmtId="0" fontId="67" fillId="32" borderId="45" xfId="143" applyFont="1" applyFill="1" applyBorder="1" applyAlignment="1" applyProtection="1">
      <alignment horizontal="center"/>
      <protection locked="0"/>
    </xf>
    <xf numFmtId="0" fontId="67" fillId="32" borderId="79" xfId="143" applyFont="1" applyFill="1" applyBorder="1" applyProtection="1">
      <protection locked="0"/>
    </xf>
    <xf numFmtId="0" fontId="67" fillId="32" borderId="44" xfId="143" applyFont="1" applyFill="1" applyBorder="1" applyProtection="1">
      <protection locked="0"/>
    </xf>
    <xf numFmtId="0" fontId="67" fillId="32" borderId="80" xfId="143" applyFont="1" applyFill="1" applyBorder="1" applyProtection="1">
      <protection locked="0"/>
    </xf>
    <xf numFmtId="0" fontId="67" fillId="32" borderId="80" xfId="143" applyFont="1" applyFill="1" applyBorder="1" applyAlignment="1" applyProtection="1">
      <alignment horizontal="center"/>
      <protection locked="0"/>
    </xf>
    <xf numFmtId="0" fontId="57" fillId="0" borderId="0" xfId="143" applyFont="1" applyProtection="1">
      <protection locked="0"/>
    </xf>
    <xf numFmtId="0" fontId="57" fillId="0" borderId="0" xfId="143" applyFont="1" applyAlignment="1" applyProtection="1">
      <alignment horizontal="center"/>
      <protection locked="0"/>
    </xf>
    <xf numFmtId="0" fontId="57" fillId="0" borderId="19" xfId="143" applyFont="1" applyBorder="1" applyAlignment="1" applyProtection="1">
      <alignment horizontal="center"/>
      <protection locked="0"/>
    </xf>
    <xf numFmtId="0" fontId="57" fillId="0" borderId="20" xfId="143" applyFont="1" applyBorder="1" applyAlignment="1" applyProtection="1">
      <alignment horizontal="center"/>
      <protection locked="0"/>
    </xf>
    <xf numFmtId="0" fontId="67" fillId="0" borderId="0" xfId="143" applyFont="1" applyProtection="1">
      <protection locked="0"/>
    </xf>
    <xf numFmtId="2" fontId="67" fillId="32" borderId="73" xfId="143" applyNumberFormat="1" applyFont="1" applyFill="1" applyBorder="1" applyProtection="1">
      <protection locked="0"/>
    </xf>
    <xf numFmtId="2" fontId="67" fillId="32" borderId="13" xfId="143" applyNumberFormat="1" applyFont="1" applyFill="1" applyBorder="1" applyProtection="1">
      <protection locked="0"/>
    </xf>
    <xf numFmtId="2" fontId="67" fillId="32" borderId="46" xfId="143" applyNumberFormat="1" applyFont="1" applyFill="1" applyBorder="1" applyProtection="1">
      <protection locked="0"/>
    </xf>
    <xf numFmtId="2" fontId="67" fillId="32" borderId="77" xfId="143" applyNumberFormat="1" applyFont="1" applyFill="1" applyBorder="1" applyProtection="1">
      <protection locked="0"/>
    </xf>
    <xf numFmtId="2" fontId="67" fillId="32" borderId="25" xfId="143" applyNumberFormat="1" applyFont="1" applyFill="1" applyBorder="1" applyProtection="1">
      <protection locked="0"/>
    </xf>
    <xf numFmtId="2" fontId="67" fillId="32" borderId="53" xfId="143" applyNumberFormat="1" applyFont="1" applyFill="1" applyBorder="1" applyProtection="1">
      <protection locked="0"/>
    </xf>
    <xf numFmtId="2" fontId="67" fillId="32" borderId="79" xfId="143" applyNumberFormat="1" applyFont="1" applyFill="1" applyBorder="1" applyProtection="1">
      <protection locked="0"/>
    </xf>
    <xf numFmtId="2" fontId="67" fillId="32" borderId="32" xfId="143" applyNumberFormat="1" applyFont="1" applyFill="1" applyBorder="1" applyProtection="1">
      <protection locked="0"/>
    </xf>
    <xf numFmtId="2" fontId="67" fillId="32" borderId="44" xfId="143" applyNumberFormat="1" applyFont="1" applyFill="1" applyBorder="1" applyProtection="1">
      <protection locked="0"/>
    </xf>
    <xf numFmtId="2" fontId="57" fillId="0" borderId="55" xfId="143" applyNumberFormat="1" applyFont="1" applyBorder="1" applyProtection="1">
      <protection locked="0"/>
    </xf>
    <xf numFmtId="2" fontId="57" fillId="0" borderId="32" xfId="143" applyNumberFormat="1" applyFont="1" applyBorder="1" applyProtection="1">
      <protection locked="0"/>
    </xf>
    <xf numFmtId="2" fontId="67" fillId="24" borderId="0" xfId="0" applyNumberFormat="1" applyFont="1" applyFill="1"/>
    <xf numFmtId="177" fontId="67" fillId="24" borderId="0" xfId="0" applyNumberFormat="1" applyFont="1" applyFill="1"/>
    <xf numFmtId="0" fontId="76" fillId="27" borderId="0" xfId="0" applyFont="1" applyFill="1" applyAlignment="1">
      <alignment horizontal="left"/>
    </xf>
    <xf numFmtId="0" fontId="92" fillId="0" borderId="19" xfId="0" applyFont="1" applyBorder="1"/>
    <xf numFmtId="172" fontId="92" fillId="27" borderId="0" xfId="111" applyNumberFormat="1" applyFont="1" applyFill="1" applyBorder="1">
      <alignment horizontal="right" vertical="center"/>
    </xf>
    <xf numFmtId="0" fontId="92" fillId="0" borderId="20" xfId="0" applyFont="1" applyBorder="1"/>
    <xf numFmtId="172" fontId="67" fillId="0" borderId="22" xfId="111" applyNumberFormat="1" applyFont="1" applyBorder="1">
      <alignment horizontal="right" vertical="center"/>
    </xf>
    <xf numFmtId="172" fontId="67" fillId="0" borderId="0" xfId="112" applyNumberFormat="1" applyFont="1">
      <alignment horizontal="right" vertical="center"/>
    </xf>
    <xf numFmtId="172" fontId="84" fillId="29" borderId="65" xfId="112" applyNumberFormat="1" applyFont="1" applyFill="1" applyBorder="1">
      <alignment horizontal="right" vertical="center"/>
    </xf>
    <xf numFmtId="172" fontId="84" fillId="29" borderId="66" xfId="112" applyNumberFormat="1" applyFont="1" applyFill="1" applyBorder="1">
      <alignment horizontal="right" vertical="center"/>
    </xf>
    <xf numFmtId="172" fontId="84" fillId="29" borderId="67" xfId="112" applyNumberFormat="1" applyFont="1" applyFill="1" applyBorder="1">
      <alignment horizontal="right" vertical="center"/>
    </xf>
    <xf numFmtId="172" fontId="84" fillId="29" borderId="68" xfId="112" applyNumberFormat="1" applyFont="1" applyFill="1" applyBorder="1">
      <alignment horizontal="right" vertical="center"/>
    </xf>
    <xf numFmtId="172" fontId="84" fillId="29" borderId="69" xfId="112" applyNumberFormat="1" applyFont="1" applyFill="1" applyBorder="1">
      <alignment horizontal="right" vertical="center"/>
    </xf>
    <xf numFmtId="172" fontId="84" fillId="29" borderId="70" xfId="112" applyNumberFormat="1" applyFont="1" applyFill="1" applyBorder="1">
      <alignment horizontal="right" vertical="center"/>
    </xf>
    <xf numFmtId="172" fontId="67" fillId="27" borderId="0" xfId="111" applyNumberFormat="1" applyFont="1" applyFill="1">
      <alignment horizontal="right" vertical="center"/>
    </xf>
    <xf numFmtId="0" fontId="67" fillId="27" borderId="33" xfId="0" applyFont="1" applyFill="1" applyBorder="1"/>
    <xf numFmtId="172" fontId="67" fillId="29" borderId="28" xfId="111" applyNumberFormat="1" applyFont="1" applyFill="1" applyBorder="1">
      <alignment horizontal="right" vertical="center"/>
    </xf>
    <xf numFmtId="172" fontId="67" fillId="29" borderId="29" xfId="111" applyNumberFormat="1" applyFont="1" applyFill="1" applyBorder="1">
      <alignment horizontal="right" vertical="center"/>
    </xf>
    <xf numFmtId="172" fontId="67" fillId="27" borderId="34" xfId="111" applyNumberFormat="1" applyFont="1" applyFill="1" applyBorder="1">
      <alignment horizontal="right" vertical="center"/>
    </xf>
    <xf numFmtId="172" fontId="67" fillId="29" borderId="0" xfId="111" applyNumberFormat="1" applyFont="1" applyFill="1" applyBorder="1">
      <alignment horizontal="right" vertical="center"/>
    </xf>
    <xf numFmtId="172" fontId="67" fillId="29" borderId="14" xfId="111" applyNumberFormat="1" applyFont="1" applyFill="1" applyBorder="1">
      <alignment horizontal="right" vertical="center"/>
    </xf>
    <xf numFmtId="172" fontId="67" fillId="27" borderId="35" xfId="111" applyNumberFormat="1" applyFont="1" applyFill="1" applyBorder="1">
      <alignment horizontal="right" vertical="center"/>
    </xf>
    <xf numFmtId="172" fontId="67" fillId="29" borderId="13" xfId="111" applyNumberFormat="1" applyFont="1" applyFill="1" applyBorder="1">
      <alignment horizontal="right" vertical="center"/>
    </xf>
    <xf numFmtId="172" fontId="67" fillId="29" borderId="15" xfId="111" applyNumberFormat="1" applyFont="1" applyFill="1" applyBorder="1">
      <alignment horizontal="right" vertical="center"/>
    </xf>
    <xf numFmtId="0" fontId="78" fillId="27" borderId="27" xfId="74" applyFont="1" applyFill="1" applyBorder="1">
      <alignment vertical="center"/>
    </xf>
    <xf numFmtId="0" fontId="66" fillId="27" borderId="0" xfId="74" applyFont="1" applyFill="1" applyBorder="1">
      <alignment vertical="center"/>
    </xf>
    <xf numFmtId="0" fontId="78" fillId="27" borderId="0" xfId="74" applyFont="1" applyFill="1" applyBorder="1">
      <alignment vertical="center"/>
    </xf>
    <xf numFmtId="0" fontId="67" fillId="27" borderId="0" xfId="78" applyFont="1" applyFill="1" applyBorder="1">
      <alignment vertical="center"/>
    </xf>
    <xf numFmtId="0" fontId="100" fillId="27" borderId="0" xfId="78" applyFont="1" applyFill="1" applyBorder="1">
      <alignment vertical="center"/>
    </xf>
    <xf numFmtId="2" fontId="67" fillId="27" borderId="34" xfId="111" applyNumberFormat="1" applyFont="1" applyFill="1" applyBorder="1">
      <alignment horizontal="right" vertical="center"/>
    </xf>
    <xf numFmtId="172" fontId="67" fillId="27" borderId="8" xfId="111" applyNumberFormat="1" applyFont="1" applyFill="1" applyBorder="1">
      <alignment horizontal="right" vertical="center"/>
    </xf>
    <xf numFmtId="172" fontId="67" fillId="27" borderId="33" xfId="111" applyNumberFormat="1" applyFont="1" applyFill="1" applyBorder="1">
      <alignment horizontal="right" vertical="center"/>
    </xf>
    <xf numFmtId="0" fontId="67" fillId="0" borderId="0" xfId="78" applyFont="1" applyFill="1" applyBorder="1">
      <alignment vertical="center"/>
    </xf>
    <xf numFmtId="172" fontId="67" fillId="32" borderId="33" xfId="111" applyNumberFormat="1" applyFont="1" applyFill="1" applyBorder="1" applyProtection="1">
      <alignment horizontal="right" vertical="center"/>
      <protection locked="0"/>
    </xf>
    <xf numFmtId="172" fontId="67" fillId="32" borderId="34" xfId="111" applyNumberFormat="1" applyFont="1" applyFill="1" applyBorder="1" applyProtection="1">
      <alignment horizontal="right" vertical="center"/>
      <protection locked="0"/>
    </xf>
    <xf numFmtId="172" fontId="67" fillId="32" borderId="35" xfId="111" applyNumberFormat="1" applyFont="1" applyFill="1" applyBorder="1" applyProtection="1">
      <alignment horizontal="right" vertical="center"/>
      <protection locked="0"/>
    </xf>
    <xf numFmtId="0" fontId="68" fillId="0" borderId="0" xfId="82" applyFont="1" applyProtection="1">
      <alignment horizontal="left" vertical="center"/>
    </xf>
    <xf numFmtId="165" fontId="67" fillId="0" borderId="13" xfId="111" applyFont="1" applyBorder="1">
      <alignment horizontal="right" vertical="center"/>
    </xf>
    <xf numFmtId="165" fontId="67" fillId="0" borderId="0" xfId="111" applyFont="1" applyFill="1">
      <alignment horizontal="right" vertical="center"/>
    </xf>
    <xf numFmtId="165" fontId="67" fillId="0" borderId="17" xfId="111" applyFont="1" applyFill="1" applyBorder="1">
      <alignment horizontal="right" vertical="center"/>
    </xf>
    <xf numFmtId="0" fontId="66" fillId="0" borderId="0" xfId="74" applyFont="1" applyFill="1" applyBorder="1">
      <alignment vertical="center"/>
    </xf>
    <xf numFmtId="172" fontId="67" fillId="33" borderId="0" xfId="111" applyNumberFormat="1" applyFont="1" applyFill="1" applyBorder="1">
      <alignment horizontal="right" vertical="center"/>
    </xf>
    <xf numFmtId="0" fontId="78" fillId="0" borderId="0" xfId="72" applyFont="1">
      <alignment vertical="center"/>
    </xf>
    <xf numFmtId="172" fontId="67" fillId="0" borderId="22" xfId="0" applyNumberFormat="1" applyFont="1" applyBorder="1"/>
    <xf numFmtId="165" fontId="71" fillId="0" borderId="0" xfId="111" applyFont="1" applyFill="1" applyBorder="1">
      <alignment horizontal="right" vertical="center"/>
    </xf>
    <xf numFmtId="172" fontId="71" fillId="0" borderId="0" xfId="0" applyNumberFormat="1" applyFont="1"/>
    <xf numFmtId="172" fontId="67" fillId="0" borderId="0" xfId="0" quotePrefix="1" applyNumberFormat="1" applyFont="1"/>
    <xf numFmtId="0" fontId="101" fillId="0" borderId="0" xfId="0" applyFont="1"/>
    <xf numFmtId="172" fontId="67" fillId="34" borderId="0" xfId="0" applyNumberFormat="1" applyFont="1" applyFill="1"/>
    <xf numFmtId="172" fontId="67" fillId="0" borderId="0" xfId="111" applyNumberFormat="1" applyFont="1" applyBorder="1">
      <alignment horizontal="right" vertical="center"/>
    </xf>
    <xf numFmtId="172" fontId="71" fillId="0" borderId="25" xfId="111" applyNumberFormat="1" applyFont="1" applyBorder="1">
      <alignment horizontal="right" vertical="center"/>
    </xf>
    <xf numFmtId="172" fontId="73" fillId="27" borderId="0" xfId="111" applyNumberFormat="1" applyFont="1" applyFill="1">
      <alignment horizontal="right" vertical="center"/>
    </xf>
    <xf numFmtId="0" fontId="99" fillId="0" borderId="0" xfId="0" applyFont="1"/>
    <xf numFmtId="172" fontId="67" fillId="34" borderId="51" xfId="111" applyNumberFormat="1" applyFont="1" applyFill="1" applyBorder="1">
      <alignment horizontal="right" vertical="center"/>
    </xf>
    <xf numFmtId="172" fontId="67" fillId="34" borderId="0" xfId="111" applyNumberFormat="1" applyFont="1" applyFill="1" applyBorder="1">
      <alignment horizontal="right" vertical="center"/>
    </xf>
    <xf numFmtId="0" fontId="71" fillId="0" borderId="0" xfId="78" applyFont="1" applyFill="1" applyBorder="1">
      <alignment vertical="center"/>
    </xf>
    <xf numFmtId="172" fontId="71" fillId="0" borderId="36" xfId="111" applyNumberFormat="1" applyFont="1" applyBorder="1">
      <alignment horizontal="right" vertical="center"/>
    </xf>
    <xf numFmtId="172" fontId="67" fillId="27" borderId="0" xfId="112" applyNumberFormat="1" applyFont="1" applyFill="1">
      <alignment horizontal="right" vertical="center"/>
    </xf>
    <xf numFmtId="172" fontId="71" fillId="27" borderId="0" xfId="0" applyNumberFormat="1" applyFont="1" applyFill="1" applyAlignment="1">
      <alignment horizontal="right" indent="1"/>
    </xf>
    <xf numFmtId="172" fontId="67" fillId="25" borderId="0" xfId="0" applyNumberFormat="1" applyFont="1" applyFill="1"/>
    <xf numFmtId="172" fontId="71" fillId="0" borderId="0" xfId="0" applyNumberFormat="1" applyFont="1" applyAlignment="1">
      <alignment horizontal="right" indent="1"/>
    </xf>
    <xf numFmtId="0" fontId="71" fillId="0" borderId="0" xfId="0" applyFont="1" applyAlignment="1">
      <alignment vertical="top"/>
    </xf>
    <xf numFmtId="0" fontId="71" fillId="0" borderId="0" xfId="0" applyFont="1" applyAlignment="1">
      <alignment horizontal="right" vertical="top" wrapText="1"/>
    </xf>
    <xf numFmtId="172" fontId="71" fillId="0" borderId="32" xfId="0" applyNumberFormat="1" applyFont="1" applyBorder="1"/>
    <xf numFmtId="172" fontId="71" fillId="24" borderId="0" xfId="0" applyNumberFormat="1" applyFont="1" applyFill="1"/>
    <xf numFmtId="0" fontId="71" fillId="0" borderId="0" xfId="0" applyFont="1" applyAlignment="1">
      <alignment horizontal="right" indent="1"/>
    </xf>
    <xf numFmtId="0" fontId="84" fillId="29" borderId="0" xfId="0" applyFont="1" applyFill="1" applyAlignment="1">
      <alignment horizontal="right"/>
    </xf>
    <xf numFmtId="172" fontId="84" fillId="29" borderId="86" xfId="0" applyNumberFormat="1" applyFont="1" applyFill="1" applyBorder="1"/>
    <xf numFmtId="172" fontId="84" fillId="29" borderId="87" xfId="0" applyNumberFormat="1" applyFont="1" applyFill="1" applyBorder="1"/>
    <xf numFmtId="0" fontId="71" fillId="0" borderId="0" xfId="0" applyFont="1" applyAlignment="1">
      <alignment horizontal="right"/>
    </xf>
    <xf numFmtId="171" fontId="71" fillId="0" borderId="0" xfId="0" applyNumberFormat="1" applyFont="1"/>
    <xf numFmtId="172" fontId="67" fillId="32" borderId="24" xfId="0" applyNumberFormat="1" applyFont="1" applyFill="1" applyBorder="1" applyProtection="1">
      <protection locked="0"/>
    </xf>
    <xf numFmtId="172" fontId="67" fillId="32" borderId="25" xfId="0" applyNumberFormat="1" applyFont="1" applyFill="1" applyBorder="1" applyProtection="1">
      <protection locked="0"/>
    </xf>
    <xf numFmtId="172" fontId="67" fillId="32" borderId="26" xfId="0" applyNumberFormat="1" applyFont="1" applyFill="1" applyBorder="1" applyProtection="1">
      <protection locked="0"/>
    </xf>
    <xf numFmtId="172" fontId="67" fillId="32" borderId="24" xfId="111" applyNumberFormat="1" applyFont="1" applyFill="1" applyBorder="1" applyAlignment="1" applyProtection="1">
      <alignment vertical="center"/>
      <protection locked="0"/>
    </xf>
    <xf numFmtId="172" fontId="67" fillId="32" borderId="26" xfId="111" applyNumberFormat="1" applyFont="1" applyFill="1" applyBorder="1" applyAlignment="1" applyProtection="1">
      <alignment vertical="center"/>
      <protection locked="0"/>
    </xf>
    <xf numFmtId="172" fontId="67" fillId="32" borderId="8" xfId="111" applyNumberFormat="1" applyFont="1" applyFill="1" applyBorder="1" applyAlignment="1" applyProtection="1">
      <alignment vertical="center"/>
      <protection locked="0"/>
    </xf>
    <xf numFmtId="0" fontId="101" fillId="24" borderId="0" xfId="0" applyFont="1" applyFill="1"/>
    <xf numFmtId="172" fontId="99" fillId="0" borderId="0" xfId="111" applyNumberFormat="1" applyFont="1">
      <alignment horizontal="right" vertical="center"/>
    </xf>
    <xf numFmtId="172" fontId="99" fillId="27" borderId="0" xfId="111" applyNumberFormat="1" applyFont="1" applyFill="1">
      <alignment horizontal="right" vertical="center"/>
    </xf>
    <xf numFmtId="172" fontId="73" fillId="0" borderId="0" xfId="111" applyNumberFormat="1" applyFont="1">
      <alignment horizontal="right" vertical="center"/>
    </xf>
    <xf numFmtId="172" fontId="73" fillId="0" borderId="0" xfId="111" applyNumberFormat="1" applyFont="1" applyFill="1">
      <alignment horizontal="right" vertical="center"/>
    </xf>
    <xf numFmtId="172" fontId="67" fillId="0" borderId="0" xfId="111" applyNumberFormat="1" applyFont="1" applyFill="1" applyAlignment="1">
      <alignment horizontal="left" vertical="center"/>
    </xf>
    <xf numFmtId="175" fontId="67" fillId="0" borderId="0" xfId="111" applyNumberFormat="1" applyFont="1" applyFill="1">
      <alignment horizontal="right" vertical="center"/>
    </xf>
    <xf numFmtId="0" fontId="78" fillId="0" borderId="0" xfId="74" applyFont="1" applyFill="1" applyBorder="1">
      <alignment vertical="center"/>
    </xf>
    <xf numFmtId="0" fontId="67" fillId="27" borderId="28" xfId="37" applyFont="1" applyFill="1" applyBorder="1" applyAlignment="1" applyProtection="1">
      <alignment horizontal="center" vertical="center"/>
    </xf>
    <xf numFmtId="172" fontId="67" fillId="0" borderId="28" xfId="0" applyNumberFormat="1" applyFont="1" applyBorder="1"/>
    <xf numFmtId="172" fontId="67" fillId="0" borderId="29" xfId="0" applyNumberFormat="1" applyFont="1" applyBorder="1"/>
    <xf numFmtId="0" fontId="67" fillId="0" borderId="0" xfId="37" applyFont="1" applyBorder="1" applyProtection="1">
      <alignment vertical="center"/>
    </xf>
    <xf numFmtId="172" fontId="65" fillId="0" borderId="0" xfId="0" applyNumberFormat="1" applyFont="1"/>
    <xf numFmtId="172" fontId="67" fillId="0" borderId="14" xfId="0" applyNumberFormat="1" applyFont="1" applyBorder="1"/>
    <xf numFmtId="172" fontId="71" fillId="0" borderId="0" xfId="0" applyNumberFormat="1" applyFont="1" applyAlignment="1">
      <alignment horizontal="right"/>
    </xf>
    <xf numFmtId="172" fontId="99" fillId="0" borderId="0" xfId="0" applyNumberFormat="1" applyFont="1" applyAlignment="1">
      <alignment horizontal="right"/>
    </xf>
    <xf numFmtId="181" fontId="80" fillId="27" borderId="13" xfId="102" applyNumberFormat="1" applyFont="1" applyFill="1" applyBorder="1" applyProtection="1"/>
    <xf numFmtId="0" fontId="80" fillId="27" borderId="13" xfId="0" applyFont="1" applyFill="1" applyBorder="1"/>
    <xf numFmtId="173" fontId="80" fillId="27" borderId="0" xfId="102" applyNumberFormat="1" applyFont="1" applyFill="1" applyProtection="1"/>
    <xf numFmtId="173" fontId="80" fillId="27" borderId="13" xfId="102" applyNumberFormat="1" applyFont="1" applyFill="1" applyBorder="1" applyProtection="1"/>
    <xf numFmtId="0" fontId="67" fillId="32" borderId="8" xfId="37" applyFont="1" applyFill="1" applyBorder="1" applyAlignment="1">
      <alignment horizontal="center" vertical="center"/>
      <protection locked="0"/>
    </xf>
    <xf numFmtId="179" fontId="67" fillId="24" borderId="0" xfId="0" applyNumberFormat="1" applyFont="1" applyFill="1"/>
    <xf numFmtId="0" fontId="67" fillId="24" borderId="25" xfId="0" applyFont="1" applyFill="1" applyBorder="1"/>
    <xf numFmtId="172" fontId="67" fillId="0" borderId="25" xfId="111" applyNumberFormat="1" applyFont="1" applyBorder="1">
      <alignment horizontal="right" vertical="center"/>
    </xf>
    <xf numFmtId="172" fontId="67" fillId="0" borderId="32" xfId="111" applyNumberFormat="1" applyFont="1" applyBorder="1">
      <alignment horizontal="right" vertical="center"/>
    </xf>
    <xf numFmtId="0" fontId="92" fillId="0" borderId="0" xfId="78" applyFont="1" applyFill="1" applyBorder="1">
      <alignment vertical="center"/>
    </xf>
    <xf numFmtId="172" fontId="76" fillId="27" borderId="0" xfId="111" applyNumberFormat="1" applyFont="1" applyFill="1" applyBorder="1">
      <alignment horizontal="right" vertical="center"/>
    </xf>
    <xf numFmtId="172" fontId="91" fillId="0" borderId="0" xfId="0" applyNumberFormat="1" applyFont="1" applyAlignment="1">
      <alignment horizontal="center"/>
    </xf>
    <xf numFmtId="170" fontId="73" fillId="0" borderId="0" xfId="0" applyNumberFormat="1" applyFont="1"/>
    <xf numFmtId="0" fontId="71" fillId="27" borderId="0" xfId="97" applyFont="1" applyFill="1"/>
    <xf numFmtId="0" fontId="67" fillId="27" borderId="0" xfId="97" applyFont="1" applyFill="1"/>
    <xf numFmtId="0" fontId="102" fillId="27" borderId="0" xfId="97" applyFont="1" applyFill="1"/>
    <xf numFmtId="0" fontId="66" fillId="0" borderId="19" xfId="72" applyFont="1" applyFill="1" applyBorder="1" applyAlignment="1">
      <alignment horizontal="left" vertical="center" indent="2"/>
    </xf>
    <xf numFmtId="0" fontId="66" fillId="0" borderId="0" xfId="72" applyFont="1" applyFill="1" applyBorder="1" applyAlignment="1">
      <alignment horizontal="left" vertical="center" indent="2"/>
    </xf>
    <xf numFmtId="172" fontId="67" fillId="0" borderId="20" xfId="0" applyNumberFormat="1" applyFont="1" applyBorder="1"/>
    <xf numFmtId="0" fontId="71" fillId="27" borderId="0" xfId="97" applyFont="1" applyFill="1" applyAlignment="1">
      <alignment horizontal="left"/>
    </xf>
    <xf numFmtId="172" fontId="67" fillId="24" borderId="0" xfId="0" applyNumberFormat="1" applyFont="1" applyFill="1"/>
    <xf numFmtId="0" fontId="67" fillId="0" borderId="19" xfId="78" applyFont="1" applyFill="1" applyBorder="1" applyAlignment="1">
      <alignment horizontal="left" vertical="center" indent="4"/>
    </xf>
    <xf numFmtId="0" fontId="71" fillId="27" borderId="0" xfId="0" applyFont="1" applyFill="1" applyAlignment="1">
      <alignment horizontal="right"/>
    </xf>
    <xf numFmtId="173" fontId="67" fillId="27" borderId="0" xfId="0" applyNumberFormat="1" applyFont="1" applyFill="1"/>
    <xf numFmtId="173" fontId="75" fillId="27" borderId="0" xfId="102" applyNumberFormat="1" applyFont="1" applyFill="1" applyBorder="1" applyProtection="1"/>
    <xf numFmtId="0" fontId="67" fillId="27" borderId="0" xfId="97" applyFont="1" applyFill="1" applyAlignment="1">
      <alignment horizontal="right"/>
    </xf>
    <xf numFmtId="173" fontId="67" fillId="27" borderId="0" xfId="97" applyNumberFormat="1" applyFont="1" applyFill="1"/>
    <xf numFmtId="0" fontId="67" fillId="27" borderId="0" xfId="0" applyFont="1" applyFill="1" applyAlignment="1">
      <alignment horizontal="right"/>
    </xf>
    <xf numFmtId="172" fontId="67" fillId="0" borderId="23" xfId="0" applyNumberFormat="1" applyFont="1" applyBorder="1"/>
    <xf numFmtId="0" fontId="71" fillId="0" borderId="0" xfId="72" applyFont="1" applyFill="1">
      <alignment vertical="center"/>
    </xf>
    <xf numFmtId="0" fontId="71" fillId="0" borderId="0" xfId="74" applyFont="1" applyBorder="1">
      <alignment vertical="center"/>
    </xf>
    <xf numFmtId="173" fontId="92" fillId="27" borderId="0" xfId="97" applyNumberFormat="1" applyFont="1" applyFill="1"/>
    <xf numFmtId="0" fontId="71" fillId="0" borderId="0" xfId="74" applyFont="1" applyFill="1">
      <alignment vertical="center"/>
    </xf>
    <xf numFmtId="0" fontId="92" fillId="27" borderId="0" xfId="97" applyFont="1" applyFill="1"/>
    <xf numFmtId="0" fontId="71" fillId="0" borderId="0" xfId="76" applyFont="1" applyFill="1">
      <alignment vertical="center"/>
    </xf>
    <xf numFmtId="2" fontId="67" fillId="27" borderId="0" xfId="97" applyNumberFormat="1" applyFont="1" applyFill="1"/>
    <xf numFmtId="43" fontId="92" fillId="27" borderId="0" xfId="69" applyFont="1" applyFill="1" applyBorder="1" applyProtection="1"/>
    <xf numFmtId="173" fontId="71" fillId="27" borderId="0" xfId="102" applyNumberFormat="1" applyFont="1" applyFill="1" applyBorder="1" applyProtection="1"/>
    <xf numFmtId="173" fontId="67" fillId="27" borderId="0" xfId="102" applyNumberFormat="1" applyFont="1" applyFill="1" applyBorder="1" applyProtection="1"/>
    <xf numFmtId="172" fontId="67" fillId="0" borderId="24" xfId="0" applyNumberFormat="1" applyFont="1" applyBorder="1"/>
    <xf numFmtId="172" fontId="67" fillId="0" borderId="25" xfId="0" applyNumberFormat="1" applyFont="1" applyBorder="1"/>
    <xf numFmtId="172" fontId="67" fillId="0" borderId="26" xfId="0" applyNumberFormat="1" applyFont="1" applyBorder="1"/>
    <xf numFmtId="173" fontId="67" fillId="27" borderId="0" xfId="102" applyNumberFormat="1" applyFont="1" applyFill="1" applyBorder="1" applyAlignment="1" applyProtection="1">
      <alignment horizontal="right" vertical="center"/>
    </xf>
    <xf numFmtId="0" fontId="71" fillId="24" borderId="0" xfId="74" applyFont="1" applyFill="1">
      <alignment vertical="center"/>
    </xf>
    <xf numFmtId="186" fontId="67" fillId="0" borderId="0" xfId="0" applyNumberFormat="1" applyFont="1"/>
    <xf numFmtId="2" fontId="67" fillId="27" borderId="0" xfId="102" applyNumberFormat="1" applyFont="1" applyFill="1" applyBorder="1" applyAlignment="1" applyProtection="1">
      <alignment horizontal="center"/>
    </xf>
    <xf numFmtId="173" fontId="67" fillId="27" borderId="0" xfId="102" applyNumberFormat="1" applyFont="1" applyFill="1" applyBorder="1" applyAlignment="1" applyProtection="1">
      <alignment horizontal="center"/>
    </xf>
    <xf numFmtId="0" fontId="71" fillId="27" borderId="0" xfId="97" applyFont="1" applyFill="1" applyAlignment="1">
      <alignment horizontal="center"/>
    </xf>
    <xf numFmtId="0" fontId="71" fillId="0" borderId="0" xfId="97" applyFont="1"/>
    <xf numFmtId="0" fontId="57" fillId="27" borderId="0" xfId="0" applyFont="1" applyFill="1"/>
    <xf numFmtId="0" fontId="67" fillId="0" borderId="0" xfId="97" applyFont="1"/>
    <xf numFmtId="173" fontId="71" fillId="27" borderId="0" xfId="102" applyNumberFormat="1" applyFont="1" applyFill="1" applyBorder="1" applyAlignment="1" applyProtection="1">
      <alignment horizontal="center"/>
    </xf>
    <xf numFmtId="0" fontId="67" fillId="29" borderId="24" xfId="0" applyFont="1" applyFill="1" applyBorder="1"/>
    <xf numFmtId="0" fontId="67" fillId="29" borderId="25" xfId="0" applyFont="1" applyFill="1" applyBorder="1"/>
    <xf numFmtId="0" fontId="71" fillId="29" borderId="25" xfId="0" applyFont="1" applyFill="1" applyBorder="1" applyAlignment="1">
      <alignment horizontal="center"/>
    </xf>
    <xf numFmtId="0" fontId="71" fillId="24" borderId="0" xfId="103" applyFont="1" applyFill="1" applyBorder="1" applyAlignment="1">
      <alignment horizontal="right" vertical="center"/>
    </xf>
    <xf numFmtId="0" fontId="71" fillId="0" borderId="0" xfId="103" applyFont="1" applyBorder="1" applyAlignment="1">
      <alignment horizontal="right" vertical="center"/>
    </xf>
    <xf numFmtId="0" fontId="71" fillId="29" borderId="30" xfId="103" applyFont="1" applyFill="1" applyBorder="1" applyAlignment="1">
      <alignment horizontal="right" vertical="center"/>
    </xf>
    <xf numFmtId="0" fontId="71" fillId="29" borderId="0" xfId="103" applyFont="1" applyFill="1" applyBorder="1" applyAlignment="1">
      <alignment horizontal="right" vertical="center"/>
    </xf>
    <xf numFmtId="0" fontId="71" fillId="27" borderId="30" xfId="103" applyFont="1" applyFill="1" applyBorder="1" applyAlignment="1">
      <alignment horizontal="right" vertical="center"/>
    </xf>
    <xf numFmtId="0" fontId="71" fillId="24" borderId="14" xfId="103" applyFont="1" applyFill="1" applyBorder="1" applyAlignment="1">
      <alignment horizontal="right" vertical="center"/>
    </xf>
    <xf numFmtId="0" fontId="67" fillId="0" borderId="38" xfId="78" applyFont="1" applyFill="1" applyBorder="1">
      <alignment vertical="center"/>
    </xf>
    <xf numFmtId="172" fontId="67" fillId="32" borderId="16" xfId="114" applyNumberFormat="1" applyFont="1" applyFill="1" applyBorder="1">
      <alignment horizontal="right" vertical="center"/>
    </xf>
    <xf numFmtId="172" fontId="67" fillId="32" borderId="17" xfId="114" applyNumberFormat="1" applyFont="1" applyFill="1" applyBorder="1">
      <alignment horizontal="right" vertical="center"/>
    </xf>
    <xf numFmtId="172" fontId="67" fillId="32" borderId="47" xfId="114" applyNumberFormat="1" applyFont="1" applyFill="1" applyBorder="1">
      <alignment horizontal="right" vertical="center"/>
    </xf>
    <xf numFmtId="173" fontId="67" fillId="29" borderId="30" xfId="101" applyNumberFormat="1" applyFont="1" applyFill="1" applyBorder="1" applyProtection="1"/>
    <xf numFmtId="173" fontId="67" fillId="29" borderId="0" xfId="101" applyNumberFormat="1" applyFont="1" applyFill="1" applyBorder="1" applyProtection="1"/>
    <xf numFmtId="173" fontId="67" fillId="27" borderId="30" xfId="101" applyNumberFormat="1" applyFont="1" applyFill="1" applyBorder="1" applyProtection="1"/>
    <xf numFmtId="173" fontId="67" fillId="27" borderId="14" xfId="101" applyNumberFormat="1" applyFont="1" applyFill="1" applyBorder="1" applyProtection="1"/>
    <xf numFmtId="0" fontId="67" fillId="0" borderId="19" xfId="78" applyFont="1" applyFill="1" applyBorder="1">
      <alignment vertical="center"/>
    </xf>
    <xf numFmtId="172" fontId="84" fillId="24" borderId="27" xfId="111" applyNumberFormat="1" applyFont="1" applyFill="1" applyBorder="1" applyAlignment="1">
      <alignment horizontal="left" vertical="center"/>
    </xf>
    <xf numFmtId="172" fontId="84" fillId="24" borderId="28" xfId="111" applyNumberFormat="1" applyFont="1" applyFill="1" applyBorder="1" applyAlignment="1">
      <alignment horizontal="left" vertical="center"/>
    </xf>
    <xf numFmtId="172" fontId="84" fillId="24" borderId="88" xfId="111" applyNumberFormat="1" applyFont="1" applyFill="1" applyBorder="1" applyAlignment="1">
      <alignment horizontal="left" vertical="center"/>
    </xf>
    <xf numFmtId="170" fontId="67" fillId="32" borderId="77" xfId="114" applyNumberFormat="1" applyFont="1" applyFill="1" applyBorder="1">
      <alignment horizontal="right" vertical="center"/>
    </xf>
    <xf numFmtId="170" fontId="67" fillId="32" borderId="25" xfId="114" applyNumberFormat="1" applyFont="1" applyFill="1" applyBorder="1">
      <alignment horizontal="right" vertical="center"/>
    </xf>
    <xf numFmtId="170" fontId="67" fillId="32" borderId="24" xfId="114" applyNumberFormat="1" applyFont="1" applyFill="1" applyBorder="1">
      <alignment horizontal="right" vertical="center"/>
    </xf>
    <xf numFmtId="0" fontId="67" fillId="29" borderId="30" xfId="97" applyFont="1" applyFill="1" applyBorder="1"/>
    <xf numFmtId="0" fontId="67" fillId="29" borderId="0" xfId="97" applyFont="1" applyFill="1"/>
    <xf numFmtId="0" fontId="67" fillId="27" borderId="30" xfId="97" applyFont="1" applyFill="1" applyBorder="1"/>
    <xf numFmtId="0" fontId="67" fillId="0" borderId="21" xfId="78" applyFont="1" applyFill="1" applyBorder="1">
      <alignment vertical="center"/>
    </xf>
    <xf numFmtId="172" fontId="84" fillId="24" borderId="41" xfId="111" applyNumberFormat="1" applyFont="1" applyFill="1" applyBorder="1" applyAlignment="1">
      <alignment horizontal="left" vertical="center"/>
    </xf>
    <xf numFmtId="172" fontId="84" fillId="24" borderId="22" xfId="111" applyNumberFormat="1" applyFont="1" applyFill="1" applyBorder="1" applyAlignment="1">
      <alignment horizontal="left" vertical="center"/>
    </xf>
    <xf numFmtId="172" fontId="84" fillId="24" borderId="23" xfId="111" applyNumberFormat="1" applyFont="1" applyFill="1" applyBorder="1" applyAlignment="1">
      <alignment horizontal="left" vertical="center"/>
    </xf>
    <xf numFmtId="0" fontId="67" fillId="24" borderId="23" xfId="0" applyFont="1" applyFill="1" applyBorder="1"/>
    <xf numFmtId="172" fontId="67" fillId="24" borderId="21" xfId="111" applyNumberFormat="1" applyFont="1" applyFill="1" applyBorder="1">
      <alignment horizontal="right" vertical="center"/>
    </xf>
    <xf numFmtId="172" fontId="67" fillId="24" borderId="22" xfId="111" applyNumberFormat="1" applyFont="1" applyFill="1" applyBorder="1">
      <alignment horizontal="right" vertical="center"/>
    </xf>
    <xf numFmtId="172" fontId="67" fillId="24" borderId="41" xfId="111" applyNumberFormat="1" applyFont="1" applyFill="1" applyBorder="1">
      <alignment horizontal="right" vertical="center"/>
    </xf>
    <xf numFmtId="172" fontId="67" fillId="24" borderId="23" xfId="111" applyNumberFormat="1" applyFont="1" applyFill="1" applyBorder="1">
      <alignment horizontal="right" vertical="center"/>
    </xf>
    <xf numFmtId="172" fontId="67" fillId="27" borderId="0" xfId="97" applyNumberFormat="1" applyFont="1" applyFill="1"/>
    <xf numFmtId="172" fontId="67" fillId="29" borderId="30" xfId="97" applyNumberFormat="1" applyFont="1" applyFill="1" applyBorder="1"/>
    <xf numFmtId="0" fontId="67" fillId="0" borderId="39" xfId="78" applyFont="1" applyFill="1" applyBorder="1">
      <alignment vertical="center"/>
    </xf>
    <xf numFmtId="0" fontId="67" fillId="0" borderId="40" xfId="78" applyFont="1" applyFill="1" applyBorder="1">
      <alignment vertical="center"/>
    </xf>
    <xf numFmtId="172" fontId="67" fillId="0" borderId="0" xfId="97" applyNumberFormat="1" applyFont="1"/>
    <xf numFmtId="172" fontId="67" fillId="0" borderId="0" xfId="114" applyNumberFormat="1" applyFont="1" applyBorder="1">
      <alignment horizontal="right" vertical="center"/>
    </xf>
    <xf numFmtId="172" fontId="67" fillId="29" borderId="31" xfId="97" applyNumberFormat="1" applyFont="1" applyFill="1" applyBorder="1"/>
    <xf numFmtId="0" fontId="67" fillId="29" borderId="13" xfId="97" applyFont="1" applyFill="1" applyBorder="1"/>
    <xf numFmtId="0" fontId="67" fillId="27" borderId="31" xfId="97" applyFont="1" applyFill="1" applyBorder="1"/>
    <xf numFmtId="0" fontId="65" fillId="0" borderId="13" xfId="0" applyFont="1" applyBorder="1"/>
    <xf numFmtId="0" fontId="67" fillId="0" borderId="13" xfId="97" applyFont="1" applyBorder="1"/>
    <xf numFmtId="172" fontId="67" fillId="0" borderId="13" xfId="114" applyNumberFormat="1" applyFont="1" applyBorder="1">
      <alignment horizontal="right" vertical="center"/>
    </xf>
    <xf numFmtId="0" fontId="4" fillId="29" borderId="0" xfId="89" applyFill="1" applyBorder="1" applyAlignment="1">
      <alignment horizontal="left" vertical="center"/>
    </xf>
    <xf numFmtId="2" fontId="67" fillId="29" borderId="0" xfId="0" applyNumberFormat="1" applyFont="1" applyFill="1"/>
    <xf numFmtId="2" fontId="67" fillId="29" borderId="30" xfId="0" applyNumberFormat="1" applyFont="1" applyFill="1" applyBorder="1"/>
    <xf numFmtId="2" fontId="67" fillId="29" borderId="14" xfId="0" applyNumberFormat="1" applyFont="1" applyFill="1" applyBorder="1"/>
    <xf numFmtId="0" fontId="4" fillId="29" borderId="13" xfId="89" applyFill="1" applyBorder="1" applyAlignment="1">
      <alignment horizontal="left" vertical="center"/>
    </xf>
    <xf numFmtId="2" fontId="67" fillId="29" borderId="13" xfId="0" applyNumberFormat="1" applyFont="1" applyFill="1" applyBorder="1"/>
    <xf numFmtId="2" fontId="67" fillId="29" borderId="31" xfId="0" applyNumberFormat="1" applyFont="1" applyFill="1" applyBorder="1"/>
    <xf numFmtId="2" fontId="67" fillId="29" borderId="15" xfId="0" applyNumberFormat="1" applyFont="1" applyFill="1" applyBorder="1"/>
    <xf numFmtId="2" fontId="71" fillId="0" borderId="0" xfId="0" applyNumberFormat="1" applyFont="1"/>
    <xf numFmtId="2" fontId="71" fillId="0" borderId="29" xfId="0" applyNumberFormat="1" applyFont="1" applyBorder="1"/>
    <xf numFmtId="2" fontId="67" fillId="0" borderId="13" xfId="0" applyNumberFormat="1" applyFont="1" applyBorder="1"/>
    <xf numFmtId="2" fontId="67" fillId="0" borderId="15" xfId="0" applyNumberFormat="1" applyFont="1" applyBorder="1"/>
    <xf numFmtId="172" fontId="67" fillId="29" borderId="28" xfId="114" applyNumberFormat="1" applyFont="1" applyFill="1" applyBorder="1" applyAlignment="1">
      <alignment horizontal="left" vertical="center"/>
    </xf>
    <xf numFmtId="172" fontId="67" fillId="29" borderId="28" xfId="114" applyNumberFormat="1" applyFont="1" applyFill="1" applyBorder="1">
      <alignment horizontal="right" vertical="center"/>
    </xf>
    <xf numFmtId="2" fontId="67" fillId="29" borderId="28" xfId="0" applyNumberFormat="1" applyFont="1" applyFill="1" applyBorder="1" applyAlignment="1">
      <alignment horizontal="right"/>
    </xf>
    <xf numFmtId="2" fontId="67" fillId="29" borderId="28" xfId="0" applyNumberFormat="1" applyFont="1" applyFill="1" applyBorder="1"/>
    <xf numFmtId="2" fontId="67" fillId="29" borderId="27" xfId="0" applyNumberFormat="1" applyFont="1" applyFill="1" applyBorder="1"/>
    <xf numFmtId="172" fontId="67" fillId="29" borderId="13" xfId="114" applyNumberFormat="1" applyFont="1" applyFill="1" applyBorder="1" applyAlignment="1">
      <alignment horizontal="left" vertical="center"/>
    </xf>
    <xf numFmtId="172" fontId="67" fillId="29" borderId="13" xfId="114" applyNumberFormat="1" applyFont="1" applyFill="1" applyBorder="1">
      <alignment horizontal="right" vertical="center"/>
    </xf>
    <xf numFmtId="2" fontId="67" fillId="29" borderId="13" xfId="0" applyNumberFormat="1" applyFont="1" applyFill="1" applyBorder="1" applyAlignment="1">
      <alignment horizontal="right"/>
    </xf>
    <xf numFmtId="9" fontId="67" fillId="0" borderId="0" xfId="101" applyFont="1" applyProtection="1"/>
    <xf numFmtId="2" fontId="71" fillId="27" borderId="0" xfId="0" applyNumberFormat="1" applyFont="1" applyFill="1" applyAlignment="1">
      <alignment horizontal="right"/>
    </xf>
    <xf numFmtId="2" fontId="71" fillId="27" borderId="29" xfId="0" applyNumberFormat="1" applyFont="1" applyFill="1" applyBorder="1" applyAlignment="1">
      <alignment horizontal="right"/>
    </xf>
    <xf numFmtId="172" fontId="92" fillId="27" borderId="0" xfId="114" applyNumberFormat="1" applyFont="1" applyFill="1" applyBorder="1" applyAlignment="1">
      <alignment horizontal="left" vertical="center"/>
    </xf>
    <xf numFmtId="9" fontId="92" fillId="27" borderId="0" xfId="101" applyFont="1" applyFill="1" applyBorder="1" applyAlignment="1" applyProtection="1">
      <alignment horizontal="right" vertical="center"/>
    </xf>
    <xf numFmtId="9" fontId="92" fillId="27" borderId="14" xfId="101" applyFont="1" applyFill="1" applyBorder="1" applyAlignment="1" applyProtection="1">
      <alignment horizontal="right" vertical="center"/>
    </xf>
    <xf numFmtId="172" fontId="92" fillId="27" borderId="13" xfId="114" applyNumberFormat="1" applyFont="1" applyFill="1" applyBorder="1" applyAlignment="1">
      <alignment horizontal="left" vertical="center"/>
    </xf>
    <xf numFmtId="9" fontId="92" fillId="27" borderId="13" xfId="101" applyFont="1" applyFill="1" applyBorder="1" applyAlignment="1" applyProtection="1">
      <alignment horizontal="right" vertical="center"/>
    </xf>
    <xf numFmtId="9" fontId="92" fillId="27" borderId="15" xfId="101" applyFont="1" applyFill="1" applyBorder="1" applyAlignment="1" applyProtection="1">
      <alignment horizontal="right" vertical="center"/>
    </xf>
    <xf numFmtId="0" fontId="67" fillId="32" borderId="18" xfId="0" applyFont="1" applyFill="1" applyBorder="1" applyProtection="1">
      <protection locked="0"/>
    </xf>
    <xf numFmtId="0" fontId="67" fillId="32" borderId="53" xfId="0" applyFont="1" applyFill="1" applyBorder="1" applyProtection="1">
      <protection locked="0"/>
    </xf>
    <xf numFmtId="172" fontId="67" fillId="32" borderId="17" xfId="114" applyNumberFormat="1" applyFont="1" applyFill="1" applyBorder="1" applyProtection="1">
      <alignment horizontal="right" vertical="center"/>
      <protection locked="0"/>
    </xf>
    <xf numFmtId="172" fontId="67" fillId="32" borderId="47" xfId="114" applyNumberFormat="1" applyFont="1" applyFill="1" applyBorder="1" applyProtection="1">
      <alignment horizontal="right" vertical="center"/>
      <protection locked="0"/>
    </xf>
    <xf numFmtId="172" fontId="67" fillId="32" borderId="37" xfId="111" applyNumberFormat="1" applyFont="1" applyFill="1" applyBorder="1" applyProtection="1">
      <alignment horizontal="right" vertical="center"/>
      <protection locked="0"/>
    </xf>
    <xf numFmtId="170" fontId="67" fillId="32" borderId="25" xfId="114" applyNumberFormat="1" applyFont="1" applyFill="1" applyBorder="1" applyProtection="1">
      <alignment horizontal="right" vertical="center"/>
      <protection locked="0"/>
    </xf>
    <xf numFmtId="170" fontId="67" fillId="32" borderId="24" xfId="114" applyNumberFormat="1" applyFont="1" applyFill="1" applyBorder="1" applyProtection="1">
      <alignment horizontal="right" vertical="center"/>
      <protection locked="0"/>
    </xf>
    <xf numFmtId="170" fontId="67" fillId="32" borderId="46" xfId="111" applyNumberFormat="1" applyFont="1" applyFill="1" applyBorder="1" applyProtection="1">
      <alignment horizontal="right" vertical="center"/>
      <protection locked="0"/>
    </xf>
    <xf numFmtId="0" fontId="67" fillId="32" borderId="17" xfId="38" applyFont="1" applyFill="1" applyBorder="1">
      <alignment vertical="center"/>
      <protection locked="0"/>
    </xf>
    <xf numFmtId="165" fontId="67" fillId="24" borderId="0" xfId="111" applyFont="1" applyFill="1" applyBorder="1">
      <alignment horizontal="right" vertical="center"/>
    </xf>
    <xf numFmtId="172" fontId="67" fillId="25" borderId="0" xfId="111" applyNumberFormat="1" applyFont="1" applyFill="1" applyBorder="1">
      <alignment horizontal="right" vertical="center"/>
    </xf>
    <xf numFmtId="0" fontId="67" fillId="0" borderId="22" xfId="78" applyFont="1" applyFill="1" applyBorder="1">
      <alignment vertical="center"/>
    </xf>
    <xf numFmtId="0" fontId="78" fillId="0" borderId="0" xfId="72" applyFont="1" applyFill="1" applyBorder="1" applyAlignment="1">
      <alignment horizontal="left" vertical="center"/>
    </xf>
    <xf numFmtId="0" fontId="78" fillId="0" borderId="0" xfId="72" applyFont="1" applyFill="1" applyBorder="1" applyAlignment="1">
      <alignment horizontal="left" vertical="center" indent="1"/>
    </xf>
    <xf numFmtId="0" fontId="78" fillId="27" borderId="0" xfId="72" applyFont="1" applyFill="1" applyBorder="1" applyAlignment="1">
      <alignment horizontal="left" vertical="center"/>
    </xf>
    <xf numFmtId="172" fontId="67" fillId="27" borderId="19" xfId="0" applyNumberFormat="1" applyFont="1" applyFill="1" applyBorder="1"/>
    <xf numFmtId="0" fontId="67" fillId="0" borderId="0" xfId="78" applyFont="1" applyFill="1" applyBorder="1" applyAlignment="1">
      <alignment horizontal="right" vertical="center"/>
    </xf>
    <xf numFmtId="172" fontId="67" fillId="0" borderId="0" xfId="0" applyNumberFormat="1" applyFont="1" applyAlignment="1">
      <alignment horizontal="right"/>
    </xf>
    <xf numFmtId="172" fontId="67" fillId="27" borderId="0" xfId="0" applyNumberFormat="1" applyFont="1" applyFill="1" applyAlignment="1">
      <alignment horizontal="left"/>
    </xf>
    <xf numFmtId="0" fontId="67" fillId="27" borderId="0" xfId="78" applyFont="1" applyFill="1" applyBorder="1" applyAlignment="1">
      <alignment horizontal="right" vertical="center"/>
    </xf>
    <xf numFmtId="172" fontId="67" fillId="24" borderId="8" xfId="0" applyNumberFormat="1" applyFont="1" applyFill="1" applyBorder="1" applyAlignment="1">
      <alignment horizontal="right"/>
    </xf>
    <xf numFmtId="0" fontId="103" fillId="0" borderId="0" xfId="0" applyFont="1"/>
    <xf numFmtId="0" fontId="65" fillId="24" borderId="0" xfId="0" applyFont="1" applyFill="1" applyAlignment="1">
      <alignment horizontal="center"/>
    </xf>
    <xf numFmtId="172" fontId="71" fillId="27" borderId="0" xfId="0" applyNumberFormat="1" applyFont="1" applyFill="1" applyAlignment="1">
      <alignment horizontal="left"/>
    </xf>
    <xf numFmtId="170" fontId="71" fillId="0" borderId="0" xfId="0" applyNumberFormat="1" applyFont="1" applyAlignment="1">
      <alignment horizontal="right"/>
    </xf>
    <xf numFmtId="172" fontId="67" fillId="27" borderId="22" xfId="0" applyNumberFormat="1" applyFont="1" applyFill="1" applyBorder="1"/>
    <xf numFmtId="170" fontId="71" fillId="27" borderId="22" xfId="0" applyNumberFormat="1" applyFont="1" applyFill="1" applyBorder="1" applyAlignment="1">
      <alignment horizontal="right"/>
    </xf>
    <xf numFmtId="170" fontId="71" fillId="27" borderId="0" xfId="0" applyNumberFormat="1" applyFont="1" applyFill="1" applyAlignment="1">
      <alignment horizontal="right"/>
    </xf>
    <xf numFmtId="172" fontId="67" fillId="27" borderId="0" xfId="0" applyNumberFormat="1" applyFont="1" applyFill="1" applyAlignment="1">
      <alignment horizontal="right" vertical="center" indent="1"/>
    </xf>
    <xf numFmtId="2" fontId="67" fillId="29" borderId="29" xfId="0" applyNumberFormat="1" applyFont="1" applyFill="1" applyBorder="1"/>
    <xf numFmtId="0" fontId="67" fillId="0" borderId="0" xfId="0" applyFont="1" applyAlignment="1">
      <alignment horizontal="right" vertical="center" indent="1"/>
    </xf>
    <xf numFmtId="0" fontId="67" fillId="0" borderId="0" xfId="0" applyFont="1" applyAlignment="1">
      <alignment horizontal="right" indent="1"/>
    </xf>
    <xf numFmtId="172" fontId="67" fillId="24" borderId="27" xfId="111" applyNumberFormat="1" applyFont="1" applyFill="1" applyBorder="1">
      <alignment horizontal="right" vertical="center"/>
    </xf>
    <xf numFmtId="172" fontId="67" fillId="24" borderId="28" xfId="111" applyNumberFormat="1" applyFont="1" applyFill="1" applyBorder="1">
      <alignment horizontal="right" vertical="center"/>
    </xf>
    <xf numFmtId="172" fontId="67" fillId="24" borderId="30" xfId="111" applyNumberFormat="1" applyFont="1" applyFill="1" applyBorder="1">
      <alignment horizontal="right" vertical="center"/>
    </xf>
    <xf numFmtId="172" fontId="67" fillId="24" borderId="31" xfId="111" applyNumberFormat="1" applyFont="1" applyFill="1" applyBorder="1">
      <alignment horizontal="right" vertical="center"/>
    </xf>
    <xf numFmtId="172" fontId="67" fillId="24" borderId="13" xfId="111" applyNumberFormat="1" applyFont="1" applyFill="1" applyBorder="1">
      <alignment horizontal="right" vertical="center"/>
    </xf>
    <xf numFmtId="172" fontId="67" fillId="24" borderId="24" xfId="0" applyNumberFormat="1" applyFont="1" applyFill="1" applyBorder="1"/>
    <xf numFmtId="172" fontId="67" fillId="24" borderId="25" xfId="0" applyNumberFormat="1" applyFont="1" applyFill="1" applyBorder="1"/>
    <xf numFmtId="172" fontId="67" fillId="24" borderId="8" xfId="0" applyNumberFormat="1" applyFont="1" applyFill="1" applyBorder="1"/>
    <xf numFmtId="172" fontId="67" fillId="24" borderId="24" xfId="111" applyNumberFormat="1" applyFont="1" applyFill="1" applyBorder="1">
      <alignment horizontal="right" vertical="center"/>
    </xf>
    <xf numFmtId="172" fontId="67" fillId="24" borderId="25" xfId="111" applyNumberFormat="1" applyFont="1" applyFill="1" applyBorder="1">
      <alignment horizontal="right" vertical="center"/>
    </xf>
    <xf numFmtId="170" fontId="67" fillId="0" borderId="0" xfId="0" applyNumberFormat="1" applyFont="1"/>
    <xf numFmtId="2" fontId="67" fillId="0" borderId="0" xfId="0" applyNumberFormat="1" applyFont="1" applyAlignment="1">
      <alignment horizontal="right"/>
    </xf>
    <xf numFmtId="2" fontId="67" fillId="29" borderId="29" xfId="0" applyNumberFormat="1" applyFont="1" applyFill="1" applyBorder="1" applyAlignment="1">
      <alignment horizontal="right"/>
    </xf>
    <xf numFmtId="172" fontId="67" fillId="29" borderId="0" xfId="114" applyNumberFormat="1" applyFont="1" applyFill="1" applyBorder="1" applyAlignment="1">
      <alignment horizontal="left" vertical="center"/>
    </xf>
    <xf numFmtId="172" fontId="67" fillId="29" borderId="0" xfId="114" applyNumberFormat="1" applyFont="1" applyFill="1" applyBorder="1">
      <alignment horizontal="right" vertical="center"/>
    </xf>
    <xf numFmtId="2" fontId="67" fillId="29" borderId="0" xfId="0" applyNumberFormat="1" applyFont="1" applyFill="1" applyAlignment="1">
      <alignment horizontal="right"/>
    </xf>
    <xf numFmtId="2" fontId="67" fillId="29" borderId="14" xfId="0" applyNumberFormat="1" applyFont="1" applyFill="1" applyBorder="1" applyAlignment="1">
      <alignment horizontal="right"/>
    </xf>
    <xf numFmtId="2" fontId="67" fillId="29" borderId="15" xfId="0" applyNumberFormat="1" applyFont="1" applyFill="1" applyBorder="1" applyAlignment="1">
      <alignment horizontal="right"/>
    </xf>
    <xf numFmtId="172" fontId="99" fillId="27" borderId="0" xfId="111" applyNumberFormat="1" applyFont="1" applyFill="1" applyAlignment="1">
      <alignment horizontal="left" vertical="center"/>
    </xf>
    <xf numFmtId="172" fontId="67" fillId="0" borderId="28" xfId="111" applyNumberFormat="1" applyFont="1" applyFill="1" applyBorder="1">
      <alignment horizontal="right" vertical="center"/>
    </xf>
    <xf numFmtId="0" fontId="78" fillId="0" borderId="30" xfId="74" applyFont="1" applyFill="1" applyBorder="1">
      <alignment vertical="center"/>
    </xf>
    <xf numFmtId="172" fontId="67" fillId="0" borderId="13" xfId="111" applyNumberFormat="1" applyFont="1" applyFill="1" applyBorder="1">
      <alignment horizontal="right" vertical="center"/>
    </xf>
    <xf numFmtId="172" fontId="67" fillId="0" borderId="0" xfId="111" applyNumberFormat="1" applyFont="1" applyFill="1" applyBorder="1" applyProtection="1">
      <alignment horizontal="right" vertical="center"/>
      <protection locked="0"/>
    </xf>
    <xf numFmtId="165" fontId="67" fillId="0" borderId="17" xfId="111" applyFont="1" applyBorder="1">
      <alignment horizontal="right" vertical="center"/>
    </xf>
    <xf numFmtId="0" fontId="67" fillId="24" borderId="17" xfId="0" applyFont="1" applyFill="1" applyBorder="1"/>
    <xf numFmtId="0" fontId="67" fillId="24" borderId="22" xfId="0" applyFont="1" applyFill="1" applyBorder="1"/>
    <xf numFmtId="172" fontId="67" fillId="27" borderId="27" xfId="0" applyNumberFormat="1" applyFont="1" applyFill="1" applyBorder="1"/>
    <xf numFmtId="172" fontId="67" fillId="27" borderId="28" xfId="0" applyNumberFormat="1" applyFont="1" applyFill="1" applyBorder="1"/>
    <xf numFmtId="172" fontId="67" fillId="27" borderId="31" xfId="0" applyNumberFormat="1" applyFont="1" applyFill="1" applyBorder="1"/>
    <xf numFmtId="172" fontId="67" fillId="27" borderId="13" xfId="0" applyNumberFormat="1" applyFont="1" applyFill="1" applyBorder="1"/>
    <xf numFmtId="165" fontId="67" fillId="0" borderId="0" xfId="111" applyFont="1" applyFill="1" applyAlignment="1">
      <alignment horizontal="left" vertical="center"/>
    </xf>
    <xf numFmtId="172" fontId="67" fillId="27" borderId="0" xfId="111" applyNumberFormat="1" applyFont="1" applyFill="1" applyBorder="1" applyAlignment="1">
      <alignment horizontal="center" vertical="center"/>
    </xf>
    <xf numFmtId="0" fontId="67" fillId="27" borderId="55" xfId="0" applyFont="1" applyFill="1" applyBorder="1"/>
    <xf numFmtId="0" fontId="57" fillId="0" borderId="91" xfId="143" applyFont="1" applyBorder="1" applyAlignment="1">
      <alignment horizontal="center" vertical="top" wrapText="1"/>
    </xf>
    <xf numFmtId="0" fontId="67" fillId="27" borderId="89" xfId="0" applyFont="1" applyFill="1" applyBorder="1"/>
    <xf numFmtId="0" fontId="67" fillId="27" borderId="90" xfId="0" applyFont="1" applyFill="1" applyBorder="1"/>
    <xf numFmtId="0" fontId="67" fillId="29" borderId="37" xfId="143" applyFont="1" applyFill="1" applyBorder="1" applyAlignment="1">
      <alignment horizontal="center"/>
    </xf>
    <xf numFmtId="0" fontId="67" fillId="29" borderId="53" xfId="143" applyFont="1" applyFill="1" applyBorder="1" applyAlignment="1">
      <alignment horizontal="center"/>
    </xf>
    <xf numFmtId="0" fontId="67" fillId="29" borderId="44" xfId="143" applyFont="1" applyFill="1" applyBorder="1" applyAlignment="1">
      <alignment horizontal="center"/>
    </xf>
    <xf numFmtId="0" fontId="67" fillId="27" borderId="41" xfId="0" applyFont="1" applyFill="1" applyBorder="1"/>
    <xf numFmtId="0" fontId="67" fillId="27" borderId="42" xfId="0" applyFont="1" applyFill="1" applyBorder="1"/>
    <xf numFmtId="0" fontId="67" fillId="0" borderId="0" xfId="0" applyFont="1" applyAlignment="1">
      <alignment horizontal="center"/>
    </xf>
    <xf numFmtId="0" fontId="67" fillId="27" borderId="47" xfId="0" applyFont="1" applyFill="1" applyBorder="1"/>
    <xf numFmtId="172" fontId="67" fillId="29" borderId="93" xfId="112" applyNumberFormat="1" applyFont="1" applyFill="1" applyBorder="1">
      <alignment horizontal="right" vertical="center"/>
    </xf>
    <xf numFmtId="172" fontId="67" fillId="29" borderId="94" xfId="112" applyNumberFormat="1" applyFont="1" applyFill="1" applyBorder="1">
      <alignment horizontal="right" vertical="center"/>
    </xf>
    <xf numFmtId="172" fontId="67" fillId="29" borderId="95" xfId="112" applyNumberFormat="1" applyFont="1" applyFill="1" applyBorder="1">
      <alignment horizontal="right" vertical="center"/>
    </xf>
    <xf numFmtId="172" fontId="67" fillId="32" borderId="27" xfId="0" applyNumberFormat="1" applyFont="1" applyFill="1" applyBorder="1" applyProtection="1">
      <protection locked="0"/>
    </xf>
    <xf numFmtId="172" fontId="67" fillId="32" borderId="28" xfId="0" applyNumberFormat="1" applyFont="1" applyFill="1" applyBorder="1" applyProtection="1">
      <protection locked="0"/>
    </xf>
    <xf numFmtId="172" fontId="67" fillId="32" borderId="29" xfId="0" applyNumberFormat="1" applyFont="1" applyFill="1" applyBorder="1" applyProtection="1">
      <protection locked="0"/>
    </xf>
    <xf numFmtId="172" fontId="67" fillId="32" borderId="31" xfId="0" applyNumberFormat="1" applyFont="1" applyFill="1" applyBorder="1" applyProtection="1">
      <protection locked="0"/>
    </xf>
    <xf numFmtId="172" fontId="67" fillId="32" borderId="13" xfId="0" applyNumberFormat="1" applyFont="1" applyFill="1" applyBorder="1" applyProtection="1">
      <protection locked="0"/>
    </xf>
    <xf numFmtId="172" fontId="67" fillId="32" borderId="15" xfId="0" applyNumberFormat="1" applyFont="1" applyFill="1" applyBorder="1" applyProtection="1">
      <protection locked="0"/>
    </xf>
    <xf numFmtId="172" fontId="67" fillId="0" borderId="0" xfId="0" applyNumberFormat="1" applyFont="1" applyProtection="1">
      <protection locked="0"/>
    </xf>
    <xf numFmtId="172" fontId="67" fillId="32" borderId="8" xfId="0" applyNumberFormat="1" applyFont="1" applyFill="1" applyBorder="1" applyProtection="1">
      <protection locked="0"/>
    </xf>
    <xf numFmtId="0" fontId="67" fillId="24" borderId="16" xfId="0" applyFont="1" applyFill="1" applyBorder="1"/>
    <xf numFmtId="165" fontId="67" fillId="27" borderId="17" xfId="111" applyFont="1" applyFill="1" applyBorder="1">
      <alignment horizontal="right" vertical="center"/>
    </xf>
    <xf numFmtId="165" fontId="67" fillId="24" borderId="17" xfId="111" applyFont="1" applyFill="1" applyBorder="1">
      <alignment horizontal="right" vertical="center"/>
    </xf>
    <xf numFmtId="0" fontId="67" fillId="24" borderId="18" xfId="0" applyFont="1" applyFill="1" applyBorder="1"/>
    <xf numFmtId="0" fontId="67" fillId="24" borderId="19" xfId="0" applyFont="1" applyFill="1" applyBorder="1"/>
    <xf numFmtId="0" fontId="66" fillId="24" borderId="0" xfId="76" applyFont="1" applyFill="1" applyBorder="1">
      <alignment vertical="center"/>
    </xf>
    <xf numFmtId="0" fontId="67" fillId="24" borderId="20" xfId="0" applyFont="1" applyFill="1" applyBorder="1"/>
    <xf numFmtId="9" fontId="67" fillId="27" borderId="0" xfId="101" applyFont="1" applyFill="1" applyBorder="1" applyAlignment="1" applyProtection="1">
      <alignment horizontal="right" vertical="center"/>
    </xf>
    <xf numFmtId="0" fontId="67" fillId="24" borderId="21" xfId="0" applyFont="1" applyFill="1" applyBorder="1"/>
    <xf numFmtId="172" fontId="67" fillId="27" borderId="17" xfId="0" applyNumberFormat="1" applyFont="1" applyFill="1" applyBorder="1"/>
    <xf numFmtId="172" fontId="67" fillId="0" borderId="17" xfId="0" applyNumberFormat="1" applyFont="1" applyBorder="1"/>
    <xf numFmtId="9" fontId="67" fillId="0" borderId="0" xfId="111" applyNumberFormat="1" applyFont="1" applyBorder="1">
      <alignment horizontal="right" vertical="center"/>
    </xf>
    <xf numFmtId="0" fontId="66" fillId="0" borderId="0" xfId="76" applyFont="1" applyBorder="1">
      <alignment vertical="center"/>
    </xf>
    <xf numFmtId="0" fontId="105" fillId="27" borderId="0" xfId="0" applyFont="1" applyFill="1" applyAlignment="1">
      <alignment horizontal="right"/>
    </xf>
    <xf numFmtId="165" fontId="67" fillId="27" borderId="0" xfId="111" applyFont="1" applyFill="1" applyBorder="1" applyAlignment="1">
      <alignment horizontal="left" vertical="center"/>
    </xf>
    <xf numFmtId="170" fontId="67" fillId="27" borderId="0" xfId="111" applyNumberFormat="1" applyFont="1" applyFill="1" applyBorder="1">
      <alignment horizontal="right" vertical="center"/>
    </xf>
    <xf numFmtId="170" fontId="67" fillId="24" borderId="0" xfId="111" applyNumberFormat="1" applyFont="1" applyFill="1" applyBorder="1">
      <alignment horizontal="right" vertical="center"/>
    </xf>
    <xf numFmtId="172" fontId="92" fillId="27" borderId="0" xfId="0" applyNumberFormat="1" applyFont="1" applyFill="1"/>
    <xf numFmtId="172" fontId="92" fillId="34" borderId="0" xfId="0" applyNumberFormat="1" applyFont="1" applyFill="1"/>
    <xf numFmtId="172" fontId="71" fillId="27" borderId="25" xfId="0" applyNumberFormat="1" applyFont="1" applyFill="1" applyBorder="1"/>
    <xf numFmtId="172" fontId="71" fillId="0" borderId="25" xfId="0" applyNumberFormat="1" applyFont="1" applyBorder="1"/>
    <xf numFmtId="172" fontId="71" fillId="27" borderId="25" xfId="111" applyNumberFormat="1" applyFont="1" applyFill="1" applyBorder="1">
      <alignment horizontal="right" vertical="center"/>
    </xf>
    <xf numFmtId="172" fontId="84" fillId="29" borderId="0" xfId="111" applyNumberFormat="1" applyFont="1" applyFill="1" applyBorder="1">
      <alignment horizontal="right" vertical="center"/>
    </xf>
    <xf numFmtId="165" fontId="76" fillId="27" borderId="0" xfId="111" applyFont="1" applyFill="1" applyBorder="1">
      <alignment horizontal="right" vertical="center"/>
    </xf>
    <xf numFmtId="173" fontId="67" fillId="27" borderId="0" xfId="111" applyNumberFormat="1" applyFont="1" applyFill="1" applyBorder="1">
      <alignment horizontal="right" vertical="center"/>
    </xf>
    <xf numFmtId="173" fontId="67" fillId="0" borderId="0" xfId="111" applyNumberFormat="1" applyFont="1" applyBorder="1">
      <alignment horizontal="right" vertical="center"/>
    </xf>
    <xf numFmtId="174" fontId="67" fillId="27" borderId="0" xfId="111" applyNumberFormat="1" applyFont="1" applyFill="1" applyBorder="1">
      <alignment horizontal="right" vertical="center"/>
    </xf>
    <xf numFmtId="9" fontId="67" fillId="27" borderId="0" xfId="111" applyNumberFormat="1" applyFont="1" applyFill="1" applyBorder="1">
      <alignment horizontal="right" vertical="center"/>
    </xf>
    <xf numFmtId="173" fontId="67" fillId="0" borderId="0" xfId="111" quotePrefix="1" applyNumberFormat="1" applyFont="1" applyBorder="1">
      <alignment horizontal="right" vertical="center"/>
    </xf>
    <xf numFmtId="165" fontId="67" fillId="25" borderId="0" xfId="111" applyFont="1" applyFill="1" applyBorder="1">
      <alignment horizontal="right" vertical="center"/>
    </xf>
    <xf numFmtId="165" fontId="67" fillId="0" borderId="0" xfId="111" applyFont="1" applyFill="1" applyBorder="1" applyAlignment="1">
      <alignment horizontal="left" vertical="center"/>
    </xf>
    <xf numFmtId="0" fontId="104" fillId="27" borderId="0" xfId="0" applyFont="1" applyFill="1"/>
    <xf numFmtId="0" fontId="104" fillId="0" borderId="0" xfId="0" applyFont="1"/>
    <xf numFmtId="172" fontId="71" fillId="0" borderId="0" xfId="111" applyNumberFormat="1" applyFont="1" applyFill="1" applyBorder="1">
      <alignment horizontal="right" vertical="center"/>
    </xf>
    <xf numFmtId="172" fontId="71" fillId="0" borderId="32" xfId="111" applyNumberFormat="1" applyFont="1" applyBorder="1">
      <alignment horizontal="right" vertical="center"/>
    </xf>
    <xf numFmtId="9" fontId="67" fillId="32" borderId="24" xfId="111" applyNumberFormat="1" applyFont="1" applyFill="1" applyBorder="1" applyProtection="1">
      <alignment horizontal="right" vertical="center"/>
      <protection locked="0"/>
    </xf>
    <xf numFmtId="9" fontId="67" fillId="32" borderId="25" xfId="111" applyNumberFormat="1" applyFont="1" applyFill="1" applyBorder="1" applyProtection="1">
      <alignment horizontal="right" vertical="center"/>
      <protection locked="0"/>
    </xf>
    <xf numFmtId="9" fontId="67" fillId="32" borderId="26" xfId="111" applyNumberFormat="1" applyFont="1" applyFill="1" applyBorder="1" applyProtection="1">
      <alignment horizontal="right" vertical="center"/>
      <protection locked="0"/>
    </xf>
    <xf numFmtId="0" fontId="106" fillId="27" borderId="0" xfId="51" applyFont="1" applyFill="1" applyProtection="1"/>
    <xf numFmtId="0" fontId="71" fillId="0" borderId="16" xfId="0" applyFont="1" applyBorder="1"/>
    <xf numFmtId="0" fontId="71" fillId="0" borderId="19" xfId="0" applyFont="1" applyBorder="1"/>
    <xf numFmtId="165" fontId="71" fillId="24" borderId="0" xfId="111" applyFont="1" applyFill="1" applyBorder="1">
      <alignment horizontal="right" vertical="center"/>
    </xf>
    <xf numFmtId="0" fontId="71" fillId="0" borderId="20" xfId="0" applyFont="1" applyBorder="1"/>
    <xf numFmtId="0" fontId="106" fillId="27" borderId="0" xfId="51" applyFont="1" applyFill="1" applyBorder="1" applyProtection="1"/>
    <xf numFmtId="0" fontId="66" fillId="0" borderId="0" xfId="0" applyFont="1" applyAlignment="1">
      <alignment horizontal="center"/>
    </xf>
    <xf numFmtId="0" fontId="84" fillId="0" borderId="0" xfId="0" applyFont="1" applyAlignment="1">
      <alignment horizontal="left" indent="1"/>
    </xf>
    <xf numFmtId="10" fontId="67" fillId="0" borderId="0" xfId="111" applyNumberFormat="1" applyFont="1" applyFill="1" applyBorder="1" applyAlignment="1">
      <alignment horizontal="center" vertical="center"/>
    </xf>
    <xf numFmtId="9" fontId="67" fillId="29" borderId="8" xfId="111" applyNumberFormat="1" applyFont="1" applyFill="1" applyBorder="1" applyAlignment="1">
      <alignment horizontal="center" vertical="center"/>
    </xf>
    <xf numFmtId="172" fontId="67" fillId="24" borderId="26" xfId="111" applyNumberFormat="1" applyFont="1" applyFill="1" applyBorder="1">
      <alignment horizontal="right" vertical="center"/>
    </xf>
    <xf numFmtId="172" fontId="71" fillId="33" borderId="96" xfId="111" applyNumberFormat="1" applyFont="1" applyFill="1" applyBorder="1">
      <alignment horizontal="right" vertical="center"/>
    </xf>
    <xf numFmtId="172" fontId="71" fillId="24" borderId="32" xfId="111" applyNumberFormat="1" applyFont="1" applyFill="1" applyBorder="1">
      <alignment horizontal="right" vertical="center"/>
    </xf>
    <xf numFmtId="172" fontId="71" fillId="24" borderId="43" xfId="111" applyNumberFormat="1" applyFont="1" applyFill="1" applyBorder="1">
      <alignment horizontal="right" vertical="center"/>
    </xf>
    <xf numFmtId="172" fontId="71" fillId="27" borderId="43" xfId="111" applyNumberFormat="1" applyFont="1" applyFill="1" applyBorder="1">
      <alignment horizontal="right" vertical="center"/>
    </xf>
    <xf numFmtId="0" fontId="71" fillId="24" borderId="20" xfId="0" applyFont="1" applyFill="1" applyBorder="1"/>
    <xf numFmtId="165" fontId="67" fillId="24" borderId="22" xfId="111" applyFont="1" applyFill="1" applyBorder="1">
      <alignment horizontal="right" vertical="center"/>
    </xf>
    <xf numFmtId="0" fontId="106" fillId="27" borderId="22" xfId="51" applyFont="1" applyFill="1" applyBorder="1" applyProtection="1"/>
    <xf numFmtId="0" fontId="78" fillId="0" borderId="0" xfId="0" applyFont="1"/>
    <xf numFmtId="172" fontId="71" fillId="27" borderId="24" xfId="111" applyNumberFormat="1" applyFont="1" applyFill="1" applyBorder="1">
      <alignment horizontal="right" vertical="center"/>
    </xf>
    <xf numFmtId="172" fontId="71" fillId="0" borderId="26" xfId="111" applyNumberFormat="1" applyFont="1" applyBorder="1">
      <alignment horizontal="right" vertical="center"/>
    </xf>
    <xf numFmtId="172" fontId="71" fillId="0" borderId="24" xfId="111" applyNumberFormat="1" applyFont="1" applyBorder="1">
      <alignment horizontal="right" vertical="center"/>
    </xf>
    <xf numFmtId="172" fontId="71" fillId="27" borderId="26" xfId="111" applyNumberFormat="1" applyFont="1" applyFill="1" applyBorder="1">
      <alignment horizontal="right" vertical="center"/>
    </xf>
    <xf numFmtId="172" fontId="71" fillId="0" borderId="43" xfId="111" applyNumberFormat="1" applyFont="1" applyBorder="1">
      <alignment horizontal="right" vertical="center"/>
    </xf>
    <xf numFmtId="172" fontId="71" fillId="0" borderId="96" xfId="111" applyNumberFormat="1" applyFont="1" applyBorder="1">
      <alignment horizontal="right" vertical="center"/>
    </xf>
    <xf numFmtId="10" fontId="67" fillId="29" borderId="8" xfId="111" applyNumberFormat="1" applyFont="1" applyFill="1" applyBorder="1" applyAlignment="1">
      <alignment horizontal="center" vertical="center"/>
    </xf>
    <xf numFmtId="0" fontId="71" fillId="24" borderId="24" xfId="0" applyFont="1" applyFill="1" applyBorder="1"/>
    <xf numFmtId="172" fontId="71" fillId="24" borderId="25" xfId="111" applyNumberFormat="1" applyFont="1" applyFill="1" applyBorder="1">
      <alignment horizontal="right" vertical="center"/>
    </xf>
    <xf numFmtId="172" fontId="71" fillId="24" borderId="24" xfId="111" applyNumberFormat="1" applyFont="1" applyFill="1" applyBorder="1">
      <alignment horizontal="right" vertical="center"/>
    </xf>
    <xf numFmtId="172" fontId="71" fillId="24" borderId="26" xfId="111" applyNumberFormat="1" applyFont="1" applyFill="1" applyBorder="1">
      <alignment horizontal="right" vertical="center"/>
    </xf>
    <xf numFmtId="0" fontId="67" fillId="0" borderId="92" xfId="0" applyFont="1" applyBorder="1"/>
    <xf numFmtId="0" fontId="71" fillId="24" borderId="25" xfId="0" applyFont="1" applyFill="1" applyBorder="1"/>
    <xf numFmtId="172" fontId="71" fillId="24" borderId="25" xfId="111" applyNumberFormat="1" applyFont="1" applyFill="1" applyBorder="1" applyAlignment="1">
      <alignment horizontal="left" vertical="center"/>
    </xf>
    <xf numFmtId="172" fontId="67" fillId="24" borderId="0" xfId="111" applyNumberFormat="1" applyFont="1" applyFill="1" applyBorder="1" applyAlignment="1">
      <alignment horizontal="left" vertical="center"/>
    </xf>
    <xf numFmtId="0" fontId="71" fillId="0" borderId="24" xfId="0" applyFont="1" applyBorder="1"/>
    <xf numFmtId="0" fontId="71" fillId="0" borderId="25" xfId="0" applyFont="1" applyBorder="1"/>
    <xf numFmtId="173" fontId="71" fillId="27" borderId="25" xfId="111" applyNumberFormat="1" applyFont="1" applyFill="1" applyBorder="1">
      <alignment horizontal="right" vertical="center"/>
    </xf>
    <xf numFmtId="173" fontId="71" fillId="0" borderId="25" xfId="111" applyNumberFormat="1" applyFont="1" applyBorder="1">
      <alignment horizontal="right" vertical="center"/>
    </xf>
    <xf numFmtId="173" fontId="71" fillId="0" borderId="24" xfId="111" applyNumberFormat="1" applyFont="1" applyBorder="1">
      <alignment horizontal="right" vertical="center"/>
    </xf>
    <xf numFmtId="173" fontId="71" fillId="0" borderId="26" xfId="111" applyNumberFormat="1" applyFont="1" applyBorder="1">
      <alignment horizontal="right" vertical="center"/>
    </xf>
    <xf numFmtId="0" fontId="67" fillId="27" borderId="0" xfId="51" applyFont="1" applyFill="1" applyProtection="1"/>
    <xf numFmtId="165" fontId="71" fillId="24" borderId="0" xfId="111" applyFont="1" applyFill="1" applyBorder="1" applyProtection="1">
      <alignment horizontal="right" vertical="center"/>
      <protection locked="0"/>
    </xf>
    <xf numFmtId="0" fontId="67" fillId="27" borderId="0" xfId="0" applyFont="1" applyFill="1" applyAlignment="1" applyProtection="1">
      <alignment horizontal="left"/>
      <protection locked="0"/>
    </xf>
    <xf numFmtId="9" fontId="67" fillId="32" borderId="33" xfId="111" applyNumberFormat="1" applyFont="1" applyFill="1" applyBorder="1" applyAlignment="1" applyProtection="1">
      <alignment horizontal="center" vertical="center"/>
      <protection locked="0"/>
    </xf>
    <xf numFmtId="0" fontId="112" fillId="0" borderId="0" xfId="0" applyFont="1"/>
    <xf numFmtId="0" fontId="66" fillId="0" borderId="0" xfId="74" applyFont="1">
      <alignment vertical="center"/>
    </xf>
    <xf numFmtId="0" fontId="112" fillId="0" borderId="0" xfId="76" applyFont="1" applyBorder="1">
      <alignment vertical="center"/>
    </xf>
    <xf numFmtId="0" fontId="67" fillId="29" borderId="26" xfId="0" applyFont="1" applyFill="1" applyBorder="1"/>
    <xf numFmtId="0" fontId="67" fillId="32" borderId="8" xfId="0" applyFont="1" applyFill="1" applyBorder="1" applyProtection="1">
      <protection locked="0"/>
    </xf>
    <xf numFmtId="0" fontId="67" fillId="32" borderId="24" xfId="0" applyFont="1" applyFill="1" applyBorder="1" applyProtection="1">
      <protection locked="0"/>
    </xf>
    <xf numFmtId="0" fontId="92" fillId="32" borderId="25" xfId="0" applyFont="1" applyFill="1" applyBorder="1" applyProtection="1">
      <protection locked="0"/>
    </xf>
    <xf numFmtId="0" fontId="92" fillId="32" borderId="26" xfId="0" applyFont="1" applyFill="1" applyBorder="1" applyProtection="1">
      <protection locked="0"/>
    </xf>
    <xf numFmtId="0" fontId="67" fillId="32" borderId="27" xfId="0" applyFont="1" applyFill="1" applyBorder="1" applyProtection="1">
      <protection locked="0"/>
    </xf>
    <xf numFmtId="0" fontId="67" fillId="32" borderId="28" xfId="0" applyFont="1" applyFill="1" applyBorder="1" applyProtection="1">
      <protection locked="0"/>
    </xf>
    <xf numFmtId="0" fontId="67" fillId="32" borderId="29" xfId="0" applyFont="1" applyFill="1" applyBorder="1" applyProtection="1">
      <protection locked="0"/>
    </xf>
    <xf numFmtId="0" fontId="67" fillId="32" borderId="8" xfId="0" applyFont="1" applyFill="1" applyBorder="1" applyAlignment="1" applyProtection="1">
      <alignment horizontal="center"/>
      <protection locked="0"/>
    </xf>
    <xf numFmtId="0" fontId="67" fillId="32" borderId="30" xfId="0" applyFont="1" applyFill="1" applyBorder="1" applyProtection="1">
      <protection locked="0"/>
    </xf>
    <xf numFmtId="0" fontId="67" fillId="32" borderId="0" xfId="0" applyFont="1" applyFill="1" applyProtection="1">
      <protection locked="0"/>
    </xf>
    <xf numFmtId="0" fontId="67" fillId="32" borderId="14" xfId="0" applyFont="1" applyFill="1" applyBorder="1" applyProtection="1">
      <protection locked="0"/>
    </xf>
    <xf numFmtId="0" fontId="67" fillId="32" borderId="31" xfId="0" applyFont="1" applyFill="1" applyBorder="1" applyProtection="1">
      <protection locked="0"/>
    </xf>
    <xf numFmtId="0" fontId="67" fillId="32" borderId="13" xfId="0" applyFont="1" applyFill="1" applyBorder="1" applyProtection="1">
      <protection locked="0"/>
    </xf>
    <xf numFmtId="0" fontId="67" fillId="32" borderId="15" xfId="0" applyFont="1" applyFill="1" applyBorder="1" applyProtection="1">
      <protection locked="0"/>
    </xf>
    <xf numFmtId="0" fontId="66" fillId="0" borderId="0" xfId="74" applyFont="1" applyAlignment="1">
      <alignment horizontal="center" vertical="center"/>
    </xf>
    <xf numFmtId="0" fontId="77" fillId="0" borderId="0" xfId="74" applyFont="1" applyAlignment="1">
      <alignment horizontal="center" vertical="center"/>
    </xf>
    <xf numFmtId="0" fontId="77" fillId="0" borderId="0" xfId="0" applyFont="1" applyAlignment="1">
      <alignment horizontal="center"/>
    </xf>
    <xf numFmtId="0" fontId="84" fillId="0" borderId="0" xfId="0" applyFont="1" applyAlignment="1">
      <alignment horizontal="right"/>
    </xf>
    <xf numFmtId="1" fontId="84" fillId="27" borderId="65" xfId="0" applyNumberFormat="1" applyFont="1" applyFill="1" applyBorder="1"/>
    <xf numFmtId="1" fontId="84" fillId="27" borderId="66" xfId="0" applyNumberFormat="1" applyFont="1" applyFill="1" applyBorder="1"/>
    <xf numFmtId="1" fontId="84" fillId="27" borderId="67" xfId="0" applyNumberFormat="1" applyFont="1" applyFill="1" applyBorder="1"/>
    <xf numFmtId="191" fontId="84" fillId="0" borderId="104" xfId="0" applyNumberFormat="1" applyFont="1" applyBorder="1"/>
    <xf numFmtId="191" fontId="84" fillId="0" borderId="0" xfId="0" applyNumberFormat="1" applyFont="1"/>
    <xf numFmtId="191" fontId="84" fillId="0" borderId="105" xfId="0" applyNumberFormat="1" applyFont="1" applyBorder="1"/>
    <xf numFmtId="178" fontId="84" fillId="0" borderId="104" xfId="0" applyNumberFormat="1" applyFont="1" applyBorder="1"/>
    <xf numFmtId="178" fontId="84" fillId="0" borderId="0" xfId="0" applyNumberFormat="1" applyFont="1"/>
    <xf numFmtId="178" fontId="84" fillId="0" borderId="105" xfId="0" applyNumberFormat="1" applyFont="1" applyBorder="1"/>
    <xf numFmtId="178" fontId="84" fillId="27" borderId="104" xfId="0" applyNumberFormat="1" applyFont="1" applyFill="1" applyBorder="1"/>
    <xf numFmtId="178" fontId="84" fillId="27" borderId="0" xfId="0" applyNumberFormat="1" applyFont="1" applyFill="1"/>
    <xf numFmtId="178" fontId="84" fillId="27" borderId="105" xfId="0" applyNumberFormat="1" applyFont="1" applyFill="1" applyBorder="1"/>
    <xf numFmtId="178" fontId="84" fillId="27" borderId="68" xfId="0" applyNumberFormat="1" applyFont="1" applyFill="1" applyBorder="1"/>
    <xf numFmtId="178" fontId="84" fillId="27" borderId="69" xfId="0" applyNumberFormat="1" applyFont="1" applyFill="1" applyBorder="1"/>
    <xf numFmtId="178" fontId="84" fillId="27" borderId="70" xfId="0" applyNumberFormat="1" applyFont="1" applyFill="1" applyBorder="1"/>
    <xf numFmtId="191" fontId="67" fillId="0" borderId="0" xfId="0" applyNumberFormat="1" applyFont="1"/>
    <xf numFmtId="0" fontId="7" fillId="27" borderId="0" xfId="169" applyFont="1" applyFill="1"/>
    <xf numFmtId="0" fontId="4" fillId="27" borderId="0" xfId="169" applyFill="1"/>
    <xf numFmtId="0" fontId="10" fillId="27" borderId="0" xfId="169" applyFont="1" applyFill="1"/>
    <xf numFmtId="0" fontId="10" fillId="27" borderId="13" xfId="169" applyFont="1" applyFill="1" applyBorder="1" applyAlignment="1">
      <alignment horizontal="right"/>
    </xf>
    <xf numFmtId="2" fontId="4" fillId="28" borderId="0" xfId="169" applyNumberFormat="1" applyFill="1"/>
    <xf numFmtId="0" fontId="4" fillId="27" borderId="0" xfId="169" applyFill="1" applyAlignment="1">
      <alignment horizontal="right"/>
    </xf>
    <xf numFmtId="4" fontId="4" fillId="28" borderId="0" xfId="169" applyNumberFormat="1" applyFill="1"/>
    <xf numFmtId="0" fontId="4" fillId="28" borderId="0" xfId="169" applyFill="1"/>
    <xf numFmtId="2" fontId="10" fillId="27" borderId="25" xfId="169" applyNumberFormat="1" applyFont="1" applyFill="1" applyBorder="1"/>
    <xf numFmtId="0" fontId="4" fillId="27" borderId="0" xfId="170" applyFill="1"/>
    <xf numFmtId="4" fontId="4" fillId="28" borderId="28" xfId="169" applyNumberFormat="1" applyFill="1" applyBorder="1"/>
    <xf numFmtId="2" fontId="10" fillId="27" borderId="0" xfId="169" applyNumberFormat="1" applyFont="1" applyFill="1"/>
    <xf numFmtId="0" fontId="10" fillId="27" borderId="0" xfId="169" applyFont="1" applyFill="1" applyAlignment="1">
      <alignment horizontal="right"/>
    </xf>
    <xf numFmtId="4" fontId="10" fillId="27" borderId="25" xfId="169" applyNumberFormat="1" applyFont="1" applyFill="1" applyBorder="1"/>
    <xf numFmtId="0" fontId="4" fillId="27" borderId="13" xfId="169" applyFill="1" applyBorder="1"/>
    <xf numFmtId="0" fontId="10" fillId="27" borderId="0" xfId="170" applyFont="1" applyFill="1"/>
    <xf numFmtId="0" fontId="10" fillId="27" borderId="13" xfId="169" applyFont="1" applyFill="1" applyBorder="1" applyAlignment="1">
      <alignment horizontal="right" wrapText="1"/>
    </xf>
    <xf numFmtId="43" fontId="4" fillId="28" borderId="0" xfId="69" applyFill="1"/>
    <xf numFmtId="0" fontId="4" fillId="27" borderId="0" xfId="170" applyFill="1" applyAlignment="1">
      <alignment horizontal="left" indent="1"/>
    </xf>
    <xf numFmtId="0" fontId="4" fillId="27" borderId="0" xfId="169" applyFill="1" applyAlignment="1">
      <alignment wrapText="1"/>
    </xf>
    <xf numFmtId="0" fontId="10" fillId="27" borderId="0" xfId="169" applyFont="1" applyFill="1" applyAlignment="1">
      <alignment wrapText="1"/>
    </xf>
    <xf numFmtId="0" fontId="4" fillId="27" borderId="0" xfId="171" applyFill="1" applyAlignment="1">
      <alignment horizontal="left" indent="1"/>
    </xf>
    <xf numFmtId="2" fontId="10" fillId="27" borderId="25" xfId="169" applyNumberFormat="1" applyFont="1" applyFill="1" applyBorder="1" applyAlignment="1">
      <alignment horizontal="right"/>
    </xf>
    <xf numFmtId="2" fontId="4" fillId="27" borderId="0" xfId="169" applyNumberFormat="1" applyFill="1"/>
    <xf numFmtId="0" fontId="10" fillId="27" borderId="0" xfId="170" applyFont="1" applyFill="1" applyAlignment="1">
      <alignment horizontal="left" indent="1"/>
    </xf>
    <xf numFmtId="0" fontId="10" fillId="27" borderId="0" xfId="169" applyFont="1" applyFill="1" applyAlignment="1">
      <alignment horizontal="center" vertical="center"/>
    </xf>
    <xf numFmtId="0" fontId="10" fillId="27" borderId="0" xfId="169" applyFont="1" applyFill="1" applyAlignment="1">
      <alignment horizontal="center"/>
    </xf>
    <xf numFmtId="0" fontId="10" fillId="27" borderId="0" xfId="169" applyFont="1" applyFill="1" applyAlignment="1">
      <alignment horizontal="right" wrapText="1"/>
    </xf>
    <xf numFmtId="2" fontId="4" fillId="28" borderId="0" xfId="169" applyNumberFormat="1" applyFill="1" applyAlignment="1">
      <alignment horizontal="right"/>
    </xf>
    <xf numFmtId="0" fontId="4" fillId="27" borderId="0" xfId="169" applyFill="1" applyAlignment="1">
      <alignment horizontal="center" vertical="center"/>
    </xf>
    <xf numFmtId="0" fontId="4" fillId="27" borderId="0" xfId="169" applyFill="1" applyAlignment="1">
      <alignment horizontal="center"/>
    </xf>
    <xf numFmtId="0" fontId="0" fillId="27" borderId="0" xfId="0" applyFill="1"/>
    <xf numFmtId="9" fontId="4" fillId="32" borderId="33" xfId="111" applyNumberFormat="1" applyFill="1" applyBorder="1" applyAlignment="1">
      <alignment horizontal="center" vertical="center"/>
    </xf>
    <xf numFmtId="10" fontId="4" fillId="32" borderId="8" xfId="111" applyNumberFormat="1" applyFill="1" applyBorder="1" applyAlignment="1">
      <alignment horizontal="center" vertical="center"/>
    </xf>
    <xf numFmtId="10" fontId="4" fillId="32" borderId="35" xfId="111" applyNumberFormat="1" applyFill="1" applyBorder="1" applyAlignment="1">
      <alignment horizontal="center" vertical="center"/>
    </xf>
    <xf numFmtId="0" fontId="19" fillId="0" borderId="0" xfId="78" applyFont="1" applyAlignment="1">
      <alignment horizontal="left" vertical="center"/>
    </xf>
    <xf numFmtId="0" fontId="16" fillId="0" borderId="0" xfId="122" applyFont="1">
      <alignment horizontal="left" vertical="center"/>
    </xf>
    <xf numFmtId="0" fontId="7" fillId="0" borderId="0" xfId="93">
      <alignment horizontal="left" vertical="center"/>
    </xf>
    <xf numFmtId="0" fontId="12" fillId="0" borderId="0" xfId="80" applyProtection="1">
      <alignment horizontal="center" vertical="center"/>
    </xf>
    <xf numFmtId="0" fontId="12" fillId="0" borderId="0" xfId="80" applyAlignment="1" applyProtection="1">
      <alignment horizontal="right" vertical="center"/>
    </xf>
    <xf numFmtId="0" fontId="12" fillId="0" borderId="0" xfId="80" applyAlignment="1" applyProtection="1">
      <alignment horizontal="left" vertical="center"/>
    </xf>
    <xf numFmtId="0" fontId="20" fillId="0" borderId="0" xfId="72" applyFont="1" applyAlignment="1">
      <alignment horizontal="left" vertical="center"/>
    </xf>
    <xf numFmtId="0" fontId="17" fillId="32" borderId="8" xfId="87" applyFont="1" applyFill="1">
      <alignment horizontal="center" vertical="center"/>
    </xf>
    <xf numFmtId="0" fontId="18" fillId="32" borderId="8" xfId="89" applyFont="1" applyFill="1">
      <alignment horizontal="center" vertical="center"/>
    </xf>
    <xf numFmtId="0" fontId="18" fillId="0" borderId="8" xfId="89" applyFont="1">
      <alignment horizontal="center" vertical="center"/>
    </xf>
    <xf numFmtId="0" fontId="18" fillId="27" borderId="8" xfId="89" applyFont="1" applyFill="1">
      <alignment horizontal="center" vertical="center"/>
    </xf>
    <xf numFmtId="0" fontId="20" fillId="0" borderId="0" xfId="72" applyFont="1" applyFill="1" applyBorder="1">
      <alignment vertical="center"/>
    </xf>
    <xf numFmtId="0" fontId="17" fillId="0" borderId="8" xfId="87" applyFont="1">
      <alignment horizontal="center" vertical="center"/>
    </xf>
    <xf numFmtId="0" fontId="17" fillId="0" borderId="8" xfId="87" applyFont="1" applyFill="1">
      <alignment horizontal="center" vertical="center"/>
    </xf>
    <xf numFmtId="0" fontId="20" fillId="0" borderId="0" xfId="72" applyFont="1" applyFill="1" applyAlignment="1">
      <alignment horizontal="left" vertical="center"/>
    </xf>
    <xf numFmtId="0" fontId="18" fillId="0" borderId="8" xfId="89" applyFont="1" applyFill="1">
      <alignment horizontal="center" vertical="center"/>
    </xf>
    <xf numFmtId="4" fontId="4" fillId="27" borderId="0" xfId="169" applyNumberFormat="1" applyFill="1"/>
    <xf numFmtId="0" fontId="4" fillId="28" borderId="13" xfId="169" applyFill="1" applyBorder="1"/>
    <xf numFmtId="4" fontId="4" fillId="28" borderId="13" xfId="169" applyNumberFormat="1" applyFill="1" applyBorder="1"/>
    <xf numFmtId="43" fontId="4" fillId="28" borderId="13" xfId="69" applyFill="1" applyBorder="1"/>
    <xf numFmtId="2" fontId="4" fillId="28" borderId="13" xfId="169" applyNumberFormat="1" applyFill="1" applyBorder="1"/>
    <xf numFmtId="10" fontId="4" fillId="28" borderId="25" xfId="169" applyNumberFormat="1" applyFill="1" applyBorder="1" applyAlignment="1">
      <alignment horizontal="right"/>
    </xf>
    <xf numFmtId="2" fontId="4" fillId="28" borderId="25" xfId="169" applyNumberFormat="1" applyFill="1" applyBorder="1" applyAlignment="1">
      <alignment horizontal="right"/>
    </xf>
    <xf numFmtId="2" fontId="4" fillId="28" borderId="13" xfId="169" applyNumberFormat="1" applyFill="1" applyBorder="1" applyAlignment="1">
      <alignment horizontal="right"/>
    </xf>
    <xf numFmtId="0" fontId="10" fillId="27" borderId="13" xfId="169" applyFont="1" applyFill="1" applyBorder="1"/>
    <xf numFmtId="172" fontId="67" fillId="32" borderId="31" xfId="114" applyNumberFormat="1" applyFont="1" applyFill="1" applyBorder="1" applyAlignment="1" applyProtection="1">
      <alignment vertical="center"/>
      <protection locked="0"/>
    </xf>
    <xf numFmtId="172" fontId="67" fillId="32" borderId="13" xfId="114" applyNumberFormat="1" applyFont="1" applyFill="1" applyBorder="1" applyAlignment="1" applyProtection="1">
      <alignment vertical="center"/>
      <protection locked="0"/>
    </xf>
    <xf numFmtId="172" fontId="67" fillId="32" borderId="15" xfId="114" applyNumberFormat="1" applyFont="1" applyFill="1" applyBorder="1" applyAlignment="1" applyProtection="1">
      <alignment vertical="center"/>
      <protection locked="0"/>
    </xf>
    <xf numFmtId="0" fontId="71" fillId="0" borderId="0" xfId="0" applyFont="1" applyAlignment="1">
      <alignment horizontal="center"/>
    </xf>
    <xf numFmtId="0" fontId="118" fillId="0" borderId="0" xfId="0" applyFont="1"/>
    <xf numFmtId="0" fontId="4" fillId="0" borderId="0" xfId="169"/>
    <xf numFmtId="0" fontId="120" fillId="0" borderId="0" xfId="169" applyFont="1"/>
    <xf numFmtId="0" fontId="121" fillId="0" borderId="0" xfId="169" applyFont="1"/>
    <xf numFmtId="0" fontId="4" fillId="0" borderId="0" xfId="172" applyFont="1"/>
    <xf numFmtId="0" fontId="4" fillId="0" borderId="0" xfId="172" applyFont="1" applyAlignment="1">
      <alignment horizontal="center"/>
    </xf>
    <xf numFmtId="0" fontId="4" fillId="0" borderId="8" xfId="172" applyFont="1" applyBorder="1"/>
    <xf numFmtId="0" fontId="122" fillId="40" borderId="8" xfId="169" applyFont="1" applyFill="1" applyBorder="1" applyAlignment="1" applyProtection="1">
      <alignment horizontal="center"/>
      <protection locked="0"/>
    </xf>
    <xf numFmtId="0" fontId="120" fillId="0" borderId="0" xfId="172" applyFont="1" applyAlignment="1">
      <alignment horizontal="center"/>
    </xf>
    <xf numFmtId="0" fontId="10" fillId="29" borderId="13" xfId="169" applyFont="1" applyFill="1" applyBorder="1" applyAlignment="1">
      <alignment horizontal="center"/>
    </xf>
    <xf numFmtId="0" fontId="10" fillId="29" borderId="111" xfId="169" applyFont="1" applyFill="1" applyBorder="1" applyAlignment="1">
      <alignment horizontal="center"/>
    </xf>
    <xf numFmtId="0" fontId="10" fillId="29" borderId="112" xfId="169" applyFont="1" applyFill="1" applyBorder="1" applyAlignment="1">
      <alignment horizontal="center"/>
    </xf>
    <xf numFmtId="0" fontId="10" fillId="0" borderId="0" xfId="169" applyFont="1" applyAlignment="1">
      <alignment horizontal="center"/>
    </xf>
    <xf numFmtId="0" fontId="4" fillId="0" borderId="109" xfId="169" applyBorder="1"/>
    <xf numFmtId="0" fontId="4" fillId="0" borderId="110" xfId="172" applyFont="1" applyBorder="1"/>
    <xf numFmtId="0" fontId="10" fillId="0" borderId="0" xfId="169" applyFont="1"/>
    <xf numFmtId="185" fontId="122" fillId="40" borderId="0" xfId="172" applyNumberFormat="1" applyFont="1" applyFill="1" applyAlignment="1" applyProtection="1">
      <alignment horizontal="right"/>
      <protection locked="0"/>
    </xf>
    <xf numFmtId="0" fontId="43" fillId="0" borderId="0" xfId="169" applyFont="1"/>
    <xf numFmtId="0" fontId="122" fillId="0" borderId="0" xfId="169" applyFont="1"/>
    <xf numFmtId="185" fontId="121" fillId="0" borderId="0" xfId="172" applyNumberFormat="1" applyFont="1" applyAlignment="1">
      <alignment horizontal="right"/>
    </xf>
    <xf numFmtId="185" fontId="121" fillId="40" borderId="0" xfId="172" applyNumberFormat="1" applyFont="1" applyFill="1" applyAlignment="1" applyProtection="1">
      <alignment horizontal="right"/>
      <protection locked="0"/>
    </xf>
    <xf numFmtId="185" fontId="121" fillId="40" borderId="109" xfId="169" applyNumberFormat="1" applyFont="1" applyFill="1" applyBorder="1" applyProtection="1">
      <protection locked="0"/>
    </xf>
    <xf numFmtId="185" fontId="121" fillId="40" borderId="0" xfId="169" applyNumberFormat="1" applyFont="1" applyFill="1" applyProtection="1">
      <protection locked="0"/>
    </xf>
    <xf numFmtId="185" fontId="121" fillId="40" borderId="0" xfId="172" applyNumberFormat="1" applyFont="1" applyFill="1" applyProtection="1">
      <protection locked="0"/>
    </xf>
    <xf numFmtId="185" fontId="121" fillId="40" borderId="110" xfId="172" applyNumberFormat="1" applyFont="1" applyFill="1" applyBorder="1" applyProtection="1">
      <protection locked="0"/>
    </xf>
    <xf numFmtId="193" fontId="121" fillId="40" borderId="0" xfId="172" applyNumberFormat="1" applyFont="1" applyFill="1" applyAlignment="1" applyProtection="1">
      <alignment horizontal="right"/>
      <protection locked="0"/>
    </xf>
    <xf numFmtId="193" fontId="121" fillId="40" borderId="109" xfId="169" applyNumberFormat="1" applyFont="1" applyFill="1" applyBorder="1" applyProtection="1">
      <protection locked="0"/>
    </xf>
    <xf numFmtId="193" fontId="121" fillId="40" borderId="0" xfId="169" applyNumberFormat="1" applyFont="1" applyFill="1" applyProtection="1">
      <protection locked="0"/>
    </xf>
    <xf numFmtId="193" fontId="121" fillId="40" borderId="0" xfId="172" applyNumberFormat="1" applyFont="1" applyFill="1" applyProtection="1">
      <protection locked="0"/>
    </xf>
    <xf numFmtId="193" fontId="121" fillId="40" borderId="110" xfId="172" applyNumberFormat="1" applyFont="1" applyFill="1" applyBorder="1" applyProtection="1">
      <protection locked="0"/>
    </xf>
    <xf numFmtId="193" fontId="121" fillId="0" borderId="0" xfId="172" applyNumberFormat="1" applyFont="1"/>
    <xf numFmtId="0" fontId="4" fillId="0" borderId="0" xfId="173" applyFont="1" applyAlignment="1">
      <alignment horizontal="left"/>
    </xf>
    <xf numFmtId="185" fontId="4" fillId="0" borderId="0" xfId="173" applyNumberFormat="1" applyFont="1"/>
    <xf numFmtId="185" fontId="4" fillId="0" borderId="109" xfId="169" applyNumberFormat="1" applyBorder="1"/>
    <xf numFmtId="185" fontId="4" fillId="0" borderId="0" xfId="169" applyNumberFormat="1"/>
    <xf numFmtId="185" fontId="4" fillId="0" borderId="0" xfId="172" applyNumberFormat="1" applyFont="1"/>
    <xf numFmtId="185" fontId="4" fillId="0" borderId="110" xfId="172" applyNumberFormat="1" applyFont="1" applyBorder="1"/>
    <xf numFmtId="0" fontId="43" fillId="41" borderId="51" xfId="172" applyFont="1" applyFill="1" applyBorder="1"/>
    <xf numFmtId="0" fontId="10" fillId="42" borderId="16" xfId="172" applyFont="1" applyFill="1" applyBorder="1"/>
    <xf numFmtId="0" fontId="10" fillId="42" borderId="17" xfId="172" applyFont="1" applyFill="1" applyBorder="1"/>
    <xf numFmtId="180" fontId="10" fillId="42" borderId="17" xfId="173" applyNumberFormat="1" applyFont="1" applyFill="1" applyBorder="1"/>
    <xf numFmtId="180" fontId="10" fillId="42" borderId="113" xfId="173" applyNumberFormat="1" applyFont="1" applyFill="1" applyBorder="1"/>
    <xf numFmtId="180" fontId="10" fillId="42" borderId="114" xfId="173" applyNumberFormat="1" applyFont="1" applyFill="1" applyBorder="1"/>
    <xf numFmtId="180" fontId="10" fillId="42" borderId="18" xfId="173" applyNumberFormat="1" applyFont="1" applyFill="1" applyBorder="1"/>
    <xf numFmtId="192" fontId="120" fillId="0" borderId="0" xfId="69" applyNumberFormat="1" applyFont="1" applyProtection="1"/>
    <xf numFmtId="188" fontId="120" fillId="0" borderId="0" xfId="69" applyNumberFormat="1" applyFont="1" applyProtection="1"/>
    <xf numFmtId="0" fontId="124" fillId="34" borderId="19" xfId="172" applyFont="1" applyFill="1" applyBorder="1" applyAlignment="1">
      <alignment horizontal="left" indent="1"/>
    </xf>
    <xf numFmtId="173" fontId="124" fillId="34" borderId="110" xfId="172" applyNumberFormat="1" applyFont="1" applyFill="1" applyBorder="1" applyAlignment="1">
      <alignment horizontal="right"/>
    </xf>
    <xf numFmtId="173" fontId="124" fillId="34" borderId="20" xfId="172" applyNumberFormat="1" applyFont="1" applyFill="1" applyBorder="1" applyAlignment="1">
      <alignment horizontal="right"/>
    </xf>
    <xf numFmtId="0" fontId="124" fillId="0" borderId="0" xfId="169" applyFont="1"/>
    <xf numFmtId="0" fontId="125" fillId="0" borderId="0" xfId="169" applyFont="1"/>
    <xf numFmtId="173" fontId="125" fillId="0" borderId="0" xfId="101" applyNumberFormat="1" applyFont="1" applyAlignment="1" applyProtection="1">
      <alignment horizontal="left"/>
    </xf>
    <xf numFmtId="173" fontId="125" fillId="0" borderId="0" xfId="101" applyNumberFormat="1" applyFont="1" applyProtection="1"/>
    <xf numFmtId="0" fontId="126" fillId="0" borderId="0" xfId="169" applyFont="1"/>
    <xf numFmtId="0" fontId="124" fillId="0" borderId="19" xfId="172" applyFont="1" applyBorder="1" applyAlignment="1">
      <alignment horizontal="left" indent="1"/>
    </xf>
    <xf numFmtId="0" fontId="124" fillId="0" borderId="0" xfId="172" applyFont="1"/>
    <xf numFmtId="173" fontId="124" fillId="0" borderId="0" xfId="172" applyNumberFormat="1" applyFont="1"/>
    <xf numFmtId="173" fontId="124" fillId="0" borderId="109" xfId="172" applyNumberFormat="1" applyFont="1" applyBorder="1" applyAlignment="1">
      <alignment horizontal="right"/>
    </xf>
    <xf numFmtId="173" fontId="124" fillId="0" borderId="110" xfId="172" applyNumberFormat="1" applyFont="1" applyBorder="1" applyAlignment="1">
      <alignment horizontal="right"/>
    </xf>
    <xf numFmtId="173" fontId="124" fillId="0" borderId="20" xfId="172" applyNumberFormat="1" applyFont="1" applyBorder="1" applyAlignment="1">
      <alignment horizontal="right"/>
    </xf>
    <xf numFmtId="192" fontId="120" fillId="0" borderId="0" xfId="69" applyNumberFormat="1" applyFont="1" applyFill="1" applyProtection="1"/>
    <xf numFmtId="188" fontId="120" fillId="0" borderId="0" xfId="69" applyNumberFormat="1" applyFont="1" applyFill="1" applyProtection="1"/>
    <xf numFmtId="0" fontId="10" fillId="42" borderId="19" xfId="172" applyFont="1" applyFill="1" applyBorder="1"/>
    <xf numFmtId="180" fontId="10" fillId="42" borderId="109" xfId="172" applyNumberFormat="1" applyFont="1" applyFill="1" applyBorder="1"/>
    <xf numFmtId="180" fontId="10" fillId="42" borderId="110" xfId="172" applyNumberFormat="1" applyFont="1" applyFill="1" applyBorder="1"/>
    <xf numFmtId="180" fontId="10" fillId="42" borderId="20" xfId="172" applyNumberFormat="1" applyFont="1" applyFill="1" applyBorder="1"/>
    <xf numFmtId="0" fontId="124" fillId="34" borderId="21" xfId="172" applyFont="1" applyFill="1" applyBorder="1" applyAlignment="1">
      <alignment horizontal="left" indent="1"/>
    </xf>
    <xf numFmtId="0" fontId="124" fillId="34" borderId="22" xfId="172" applyFont="1" applyFill="1" applyBorder="1"/>
    <xf numFmtId="4" fontId="124" fillId="34" borderId="22" xfId="172" applyNumberFormat="1" applyFont="1" applyFill="1" applyBorder="1"/>
    <xf numFmtId="173" fontId="124" fillId="34" borderId="22" xfId="172" applyNumberFormat="1" applyFont="1" applyFill="1" applyBorder="1" applyAlignment="1">
      <alignment horizontal="right"/>
    </xf>
    <xf numFmtId="173" fontId="124" fillId="34" borderId="116" xfId="172" applyNumberFormat="1" applyFont="1" applyFill="1" applyBorder="1" applyAlignment="1">
      <alignment horizontal="right"/>
    </xf>
    <xf numFmtId="173" fontId="124" fillId="34" borderId="23" xfId="172" applyNumberFormat="1" applyFont="1" applyFill="1" applyBorder="1" applyAlignment="1">
      <alignment horizontal="right"/>
    </xf>
    <xf numFmtId="0" fontId="127" fillId="33" borderId="0" xfId="173" applyFont="1" applyFill="1" applyAlignment="1">
      <alignment horizontal="left"/>
    </xf>
    <xf numFmtId="0" fontId="128" fillId="33" borderId="0" xfId="172" applyFont="1" applyFill="1"/>
    <xf numFmtId="185" fontId="128" fillId="33" borderId="0" xfId="173" applyNumberFormat="1" applyFont="1" applyFill="1"/>
    <xf numFmtId="185" fontId="128" fillId="33" borderId="109" xfId="169" applyNumberFormat="1" applyFont="1" applyFill="1" applyBorder="1"/>
    <xf numFmtId="185" fontId="128" fillId="33" borderId="0" xfId="169" applyNumberFormat="1" applyFont="1" applyFill="1"/>
    <xf numFmtId="185" fontId="128" fillId="33" borderId="0" xfId="172" applyNumberFormat="1" applyFont="1" applyFill="1"/>
    <xf numFmtId="185" fontId="128" fillId="33" borderId="110" xfId="172" applyNumberFormat="1" applyFont="1" applyFill="1" applyBorder="1"/>
    <xf numFmtId="0" fontId="10" fillId="33" borderId="0" xfId="173" applyFont="1" applyFill="1" applyAlignment="1">
      <alignment horizontal="left"/>
    </xf>
    <xf numFmtId="0" fontId="4" fillId="33" borderId="0" xfId="172" applyFont="1" applyFill="1"/>
    <xf numFmtId="185" fontId="4" fillId="33" borderId="0" xfId="173" applyNumberFormat="1" applyFont="1" applyFill="1"/>
    <xf numFmtId="185" fontId="4" fillId="33" borderId="109" xfId="169" applyNumberFormat="1" applyFill="1" applyBorder="1"/>
    <xf numFmtId="185" fontId="4" fillId="33" borderId="0" xfId="169" applyNumberFormat="1" applyFill="1"/>
    <xf numFmtId="185" fontId="4" fillId="33" borderId="0" xfId="172" applyNumberFormat="1" applyFont="1" applyFill="1"/>
    <xf numFmtId="185" fontId="4" fillId="33" borderId="110" xfId="172" applyNumberFormat="1" applyFont="1" applyFill="1" applyBorder="1"/>
    <xf numFmtId="185" fontId="121" fillId="40" borderId="0" xfId="173" applyNumberFormat="1" applyFont="1" applyFill="1" applyProtection="1">
      <protection locked="0"/>
    </xf>
    <xf numFmtId="193" fontId="121" fillId="40" borderId="0" xfId="173" applyNumberFormat="1" applyFont="1" applyFill="1" applyProtection="1">
      <protection locked="0"/>
    </xf>
    <xf numFmtId="0" fontId="4" fillId="0" borderId="0" xfId="169" applyAlignment="1">
      <alignment vertical="center"/>
    </xf>
    <xf numFmtId="185" fontId="4" fillId="0" borderId="0" xfId="172" applyNumberFormat="1" applyFont="1" applyAlignment="1">
      <alignment horizontal="right"/>
    </xf>
    <xf numFmtId="193" fontId="4" fillId="0" borderId="0" xfId="172" applyNumberFormat="1" applyFont="1" applyAlignment="1">
      <alignment horizontal="right"/>
    </xf>
    <xf numFmtId="193" fontId="4" fillId="0" borderId="109" xfId="169" applyNumberFormat="1" applyBorder="1"/>
    <xf numFmtId="193" fontId="4" fillId="0" borderId="0" xfId="169" applyNumberFormat="1"/>
    <xf numFmtId="193" fontId="4" fillId="0" borderId="0" xfId="172" applyNumberFormat="1" applyFont="1"/>
    <xf numFmtId="193" fontId="4" fillId="0" borderId="110" xfId="172" applyNumberFormat="1" applyFont="1" applyBorder="1"/>
    <xf numFmtId="0" fontId="10" fillId="0" borderId="27" xfId="172" applyFont="1" applyBorder="1"/>
    <xf numFmtId="0" fontId="10" fillId="0" borderId="28" xfId="172" applyFont="1" applyBorder="1"/>
    <xf numFmtId="180" fontId="10" fillId="0" borderId="28" xfId="173" applyNumberFormat="1" applyFont="1" applyBorder="1"/>
    <xf numFmtId="180" fontId="10" fillId="0" borderId="117" xfId="173" applyNumberFormat="1" applyFont="1" applyBorder="1"/>
    <xf numFmtId="180" fontId="10" fillId="0" borderId="118" xfId="173" applyNumberFormat="1" applyFont="1" applyBorder="1"/>
    <xf numFmtId="180" fontId="10" fillId="0" borderId="29" xfId="173" applyNumberFormat="1" applyFont="1" applyBorder="1"/>
    <xf numFmtId="0" fontId="10" fillId="0" borderId="31" xfId="172" applyFont="1" applyBorder="1"/>
    <xf numFmtId="0" fontId="10" fillId="0" borderId="13" xfId="172" applyFont="1" applyBorder="1"/>
    <xf numFmtId="180" fontId="10" fillId="0" borderId="13" xfId="172" applyNumberFormat="1" applyFont="1" applyBorder="1"/>
    <xf numFmtId="180" fontId="10" fillId="0" borderId="111" xfId="172" applyNumberFormat="1" applyFont="1" applyBorder="1"/>
    <xf numFmtId="180" fontId="10" fillId="0" borderId="112" xfId="172" applyNumberFormat="1" applyFont="1" applyBorder="1"/>
    <xf numFmtId="180" fontId="10" fillId="0" borderId="15" xfId="172" applyNumberFormat="1" applyFont="1" applyBorder="1"/>
    <xf numFmtId="0" fontId="43" fillId="43" borderId="51" xfId="172" applyFont="1" applyFill="1" applyBorder="1"/>
    <xf numFmtId="0" fontId="10" fillId="44" borderId="16" xfId="172" applyFont="1" applyFill="1" applyBorder="1"/>
    <xf numFmtId="0" fontId="10" fillId="44" borderId="17" xfId="172" applyFont="1" applyFill="1" applyBorder="1"/>
    <xf numFmtId="180" fontId="10" fillId="44" borderId="17" xfId="173" applyNumberFormat="1" applyFont="1" applyFill="1" applyBorder="1"/>
    <xf numFmtId="180" fontId="10" fillId="44" borderId="18" xfId="173" applyNumberFormat="1" applyFont="1" applyFill="1" applyBorder="1"/>
    <xf numFmtId="0" fontId="124" fillId="33" borderId="19" xfId="172" applyFont="1" applyFill="1" applyBorder="1" applyAlignment="1">
      <alignment horizontal="left" indent="1"/>
    </xf>
    <xf numFmtId="173" fontId="124" fillId="33" borderId="20" xfId="172" applyNumberFormat="1" applyFont="1" applyFill="1" applyBorder="1" applyAlignment="1">
      <alignment horizontal="right"/>
    </xf>
    <xf numFmtId="0" fontId="10" fillId="44" borderId="19" xfId="172" applyFont="1" applyFill="1" applyBorder="1"/>
    <xf numFmtId="180" fontId="10" fillId="44" borderId="20" xfId="172" applyNumberFormat="1" applyFont="1" applyFill="1" applyBorder="1"/>
    <xf numFmtId="0" fontId="124" fillId="33" borderId="21" xfId="172" applyFont="1" applyFill="1" applyBorder="1" applyAlignment="1">
      <alignment horizontal="left" indent="1"/>
    </xf>
    <xf numFmtId="0" fontId="124" fillId="33" borderId="22" xfId="172" applyFont="1" applyFill="1" applyBorder="1"/>
    <xf numFmtId="4" fontId="124" fillId="33" borderId="22" xfId="172" applyNumberFormat="1" applyFont="1" applyFill="1" applyBorder="1"/>
    <xf numFmtId="173" fontId="124" fillId="33" borderId="22" xfId="172" applyNumberFormat="1" applyFont="1" applyFill="1" applyBorder="1" applyAlignment="1">
      <alignment horizontal="right"/>
    </xf>
    <xf numFmtId="173" fontId="124" fillId="33" borderId="23" xfId="172" applyNumberFormat="1" applyFont="1" applyFill="1" applyBorder="1" applyAlignment="1">
      <alignment horizontal="right"/>
    </xf>
    <xf numFmtId="0" fontId="129" fillId="31" borderId="0" xfId="172" applyFont="1" applyFill="1"/>
    <xf numFmtId="0" fontId="4" fillId="31" borderId="0" xfId="172" applyFont="1" applyFill="1"/>
    <xf numFmtId="185" fontId="4" fillId="31" borderId="0" xfId="172" applyNumberFormat="1" applyFont="1" applyFill="1"/>
    <xf numFmtId="0" fontId="4" fillId="31" borderId="0" xfId="169" applyFill="1"/>
    <xf numFmtId="0" fontId="10" fillId="0" borderId="0" xfId="172" applyFont="1"/>
    <xf numFmtId="0" fontId="4" fillId="0" borderId="0" xfId="169" applyAlignment="1">
      <alignment horizontal="left"/>
    </xf>
    <xf numFmtId="0" fontId="4" fillId="0" borderId="0" xfId="172" applyFont="1" applyAlignment="1">
      <alignment horizontal="left"/>
    </xf>
    <xf numFmtId="0" fontId="4" fillId="0" borderId="0" xfId="169" applyAlignment="1">
      <alignment horizontal="right"/>
    </xf>
    <xf numFmtId="185" fontId="4" fillId="0" borderId="110" xfId="169" applyNumberFormat="1" applyBorder="1"/>
    <xf numFmtId="173" fontId="121" fillId="40" borderId="0" xfId="169" applyNumberFormat="1" applyFont="1" applyFill="1" applyProtection="1">
      <protection locked="0"/>
    </xf>
    <xf numFmtId="173" fontId="4" fillId="0" borderId="119" xfId="169" applyNumberFormat="1" applyBorder="1"/>
    <xf numFmtId="185" fontId="4" fillId="0" borderId="119" xfId="169" applyNumberFormat="1" applyBorder="1"/>
    <xf numFmtId="185" fontId="4" fillId="0" borderId="120" xfId="169" applyNumberFormat="1" applyBorder="1"/>
    <xf numFmtId="185" fontId="4" fillId="0" borderId="121" xfId="169" applyNumberFormat="1" applyBorder="1"/>
    <xf numFmtId="173" fontId="4" fillId="0" borderId="0" xfId="169" applyNumberFormat="1"/>
    <xf numFmtId="3" fontId="4" fillId="0" borderId="0" xfId="169" applyNumberFormat="1"/>
    <xf numFmtId="4" fontId="4" fillId="0" borderId="122" xfId="169" applyNumberFormat="1" applyBorder="1"/>
    <xf numFmtId="4" fontId="4" fillId="0" borderId="123" xfId="169" applyNumberFormat="1" applyBorder="1"/>
    <xf numFmtId="4" fontId="4" fillId="0" borderId="124" xfId="169" applyNumberFormat="1" applyBorder="1"/>
    <xf numFmtId="4" fontId="4" fillId="0" borderId="125" xfId="169" applyNumberFormat="1" applyBorder="1"/>
    <xf numFmtId="4" fontId="4" fillId="0" borderId="126" xfId="169" applyNumberFormat="1" applyBorder="1"/>
    <xf numFmtId="4" fontId="4" fillId="0" borderId="127" xfId="169" applyNumberFormat="1" applyBorder="1"/>
    <xf numFmtId="4" fontId="4" fillId="0" borderId="119" xfId="169" applyNumberFormat="1" applyBorder="1"/>
    <xf numFmtId="4" fontId="4" fillId="0" borderId="120" xfId="169" applyNumberFormat="1" applyBorder="1"/>
    <xf numFmtId="4" fontId="4" fillId="0" borderId="121" xfId="169" applyNumberFormat="1" applyBorder="1"/>
    <xf numFmtId="0" fontId="4" fillId="0" borderId="0" xfId="172" applyFont="1" applyAlignment="1">
      <alignment horizontal="right"/>
    </xf>
    <xf numFmtId="4" fontId="4" fillId="0" borderId="28" xfId="169" applyNumberFormat="1" applyBorder="1"/>
    <xf numFmtId="4" fontId="4" fillId="0" borderId="117" xfId="169" applyNumberFormat="1" applyBorder="1"/>
    <xf numFmtId="4" fontId="4" fillId="0" borderId="118" xfId="169" applyNumberFormat="1" applyBorder="1"/>
    <xf numFmtId="171" fontId="4" fillId="0" borderId="0" xfId="172" applyNumberFormat="1" applyFont="1"/>
    <xf numFmtId="0" fontId="4" fillId="0" borderId="119" xfId="169" applyBorder="1" applyAlignment="1">
      <alignment horizontal="right"/>
    </xf>
    <xf numFmtId="171" fontId="4" fillId="0" borderId="28" xfId="172" applyNumberFormat="1" applyFont="1" applyBorder="1"/>
    <xf numFmtId="185" fontId="4" fillId="0" borderId="28" xfId="172" applyNumberFormat="1" applyFont="1" applyBorder="1"/>
    <xf numFmtId="185" fontId="4" fillId="0" borderId="117" xfId="172" applyNumberFormat="1" applyFont="1" applyBorder="1"/>
    <xf numFmtId="185" fontId="4" fillId="0" borderId="118" xfId="172" applyNumberFormat="1" applyFont="1" applyBorder="1"/>
    <xf numFmtId="1" fontId="4" fillId="0" borderId="0" xfId="172" applyNumberFormat="1" applyFont="1"/>
    <xf numFmtId="0" fontId="4" fillId="0" borderId="122" xfId="169" applyBorder="1" applyAlignment="1">
      <alignment horizontal="right"/>
    </xf>
    <xf numFmtId="185" fontId="4" fillId="0" borderId="122" xfId="172" applyNumberFormat="1" applyFont="1" applyBorder="1"/>
    <xf numFmtId="185" fontId="4" fillId="0" borderId="123" xfId="172" applyNumberFormat="1" applyFont="1" applyBorder="1"/>
    <xf numFmtId="185" fontId="4" fillId="0" borderId="124" xfId="172" applyNumberFormat="1" applyFont="1" applyBorder="1"/>
    <xf numFmtId="0" fontId="4" fillId="0" borderId="125" xfId="169" applyBorder="1" applyAlignment="1">
      <alignment horizontal="right"/>
    </xf>
    <xf numFmtId="185" fontId="4" fillId="0" borderId="125" xfId="172" applyNumberFormat="1" applyFont="1" applyBorder="1"/>
    <xf numFmtId="185" fontId="4" fillId="0" borderId="126" xfId="172" applyNumberFormat="1" applyFont="1" applyBorder="1"/>
    <xf numFmtId="185" fontId="4" fillId="0" borderId="127" xfId="172" applyNumberFormat="1" applyFont="1" applyBorder="1"/>
    <xf numFmtId="185" fontId="4" fillId="0" borderId="119" xfId="172" applyNumberFormat="1" applyFont="1" applyBorder="1"/>
    <xf numFmtId="185" fontId="4" fillId="0" borderId="120" xfId="172" applyNumberFormat="1" applyFont="1" applyBorder="1"/>
    <xf numFmtId="185" fontId="4" fillId="0" borderId="121" xfId="172" applyNumberFormat="1" applyFont="1" applyBorder="1"/>
    <xf numFmtId="0" fontId="4" fillId="0" borderId="28" xfId="172" applyFont="1" applyBorder="1" applyAlignment="1">
      <alignment horizontal="right"/>
    </xf>
    <xf numFmtId="0" fontId="124" fillId="0" borderId="0" xfId="172" applyFont="1" applyAlignment="1">
      <alignment horizontal="right"/>
    </xf>
    <xf numFmtId="173" fontId="124" fillId="0" borderId="109" xfId="172" applyNumberFormat="1" applyFont="1" applyBorder="1"/>
    <xf numFmtId="173" fontId="124" fillId="0" borderId="110" xfId="172" applyNumberFormat="1" applyFont="1" applyBorder="1"/>
    <xf numFmtId="9" fontId="4" fillId="0" borderId="0" xfId="172" applyNumberFormat="1" applyFont="1"/>
    <xf numFmtId="0" fontId="4" fillId="0" borderId="13" xfId="172" applyFont="1" applyBorder="1" applyAlignment="1">
      <alignment vertical="top"/>
    </xf>
    <xf numFmtId="0" fontId="4" fillId="0" borderId="13" xfId="172" applyFont="1" applyBorder="1" applyAlignment="1">
      <alignment horizontal="center" vertical="top"/>
    </xf>
    <xf numFmtId="0" fontId="4" fillId="0" borderId="0" xfId="172" applyFont="1" applyAlignment="1">
      <alignment horizontal="center" vertical="top" wrapText="1"/>
    </xf>
    <xf numFmtId="0" fontId="4" fillId="0" borderId="0" xfId="172" applyFont="1" applyAlignment="1">
      <alignment vertical="top" wrapText="1"/>
    </xf>
    <xf numFmtId="171" fontId="121" fillId="40" borderId="0" xfId="172" applyNumberFormat="1" applyFont="1" applyFill="1" applyAlignment="1" applyProtection="1">
      <alignment horizontal="center"/>
      <protection locked="0"/>
    </xf>
    <xf numFmtId="171" fontId="4" fillId="0" borderId="0" xfId="172" applyNumberFormat="1" applyFont="1" applyAlignment="1">
      <alignment horizontal="center"/>
    </xf>
    <xf numFmtId="0" fontId="4" fillId="0" borderId="122" xfId="169" applyBorder="1"/>
    <xf numFmtId="171" fontId="121" fillId="40" borderId="122" xfId="172" applyNumberFormat="1" applyFont="1" applyFill="1" applyBorder="1" applyAlignment="1" applyProtection="1">
      <alignment horizontal="center"/>
      <protection locked="0"/>
    </xf>
    <xf numFmtId="171" fontId="4" fillId="0" borderId="122" xfId="172" applyNumberFormat="1" applyFont="1" applyBorder="1" applyAlignment="1">
      <alignment horizontal="center"/>
    </xf>
    <xf numFmtId="171" fontId="121" fillId="0" borderId="0" xfId="172" applyNumberFormat="1" applyFont="1" applyAlignment="1">
      <alignment horizontal="center"/>
    </xf>
    <xf numFmtId="2" fontId="10" fillId="0" borderId="0" xfId="172" applyNumberFormat="1" applyFont="1"/>
    <xf numFmtId="171" fontId="10" fillId="0" borderId="0" xfId="172" applyNumberFormat="1" applyFont="1"/>
    <xf numFmtId="172" fontId="80" fillId="0" borderId="0" xfId="111" applyNumberFormat="1" applyFont="1">
      <alignment horizontal="right" vertical="center"/>
    </xf>
    <xf numFmtId="172" fontId="80" fillId="27" borderId="0" xfId="111" applyNumberFormat="1" applyFont="1" applyFill="1">
      <alignment horizontal="right" vertical="center"/>
    </xf>
    <xf numFmtId="171" fontId="4" fillId="31" borderId="0" xfId="172" applyNumberFormat="1" applyFont="1" applyFill="1"/>
    <xf numFmtId="0" fontId="67" fillId="45" borderId="0" xfId="0" applyFont="1" applyFill="1"/>
    <xf numFmtId="0" fontId="117" fillId="30" borderId="0" xfId="0" applyFont="1" applyFill="1"/>
    <xf numFmtId="0" fontId="118" fillId="30" borderId="0" xfId="0" applyFont="1" applyFill="1"/>
    <xf numFmtId="0" fontId="117" fillId="0" borderId="0" xfId="0" applyFont="1"/>
    <xf numFmtId="172" fontId="71" fillId="29" borderId="19" xfId="213" applyNumberFormat="1" applyFont="1" applyFill="1" applyBorder="1" applyAlignment="1">
      <alignment horizontal="left" vertical="center"/>
    </xf>
    <xf numFmtId="172" fontId="71" fillId="29" borderId="0" xfId="213" applyNumberFormat="1" applyFont="1" applyFill="1" applyBorder="1">
      <alignment horizontal="right" vertical="center"/>
    </xf>
    <xf numFmtId="2" fontId="71" fillId="29" borderId="0" xfId="0" applyNumberFormat="1" applyFont="1" applyFill="1" applyAlignment="1">
      <alignment horizontal="right"/>
    </xf>
    <xf numFmtId="2" fontId="71" fillId="29" borderId="14" xfId="0" applyNumberFormat="1" applyFont="1" applyFill="1" applyBorder="1" applyAlignment="1">
      <alignment horizontal="right"/>
    </xf>
    <xf numFmtId="2" fontId="71" fillId="29" borderId="20" xfId="0" applyNumberFormat="1" applyFont="1" applyFill="1" applyBorder="1" applyAlignment="1">
      <alignment horizontal="right"/>
    </xf>
    <xf numFmtId="0" fontId="71" fillId="45" borderId="0" xfId="0" applyFont="1" applyFill="1"/>
    <xf numFmtId="172" fontId="118" fillId="0" borderId="0" xfId="0" applyNumberFormat="1" applyFont="1"/>
    <xf numFmtId="172" fontId="67" fillId="29" borderId="19" xfId="213" applyNumberFormat="1" applyFont="1" applyFill="1" applyBorder="1" applyAlignment="1">
      <alignment horizontal="left" vertical="center" indent="1"/>
    </xf>
    <xf numFmtId="172" fontId="67" fillId="29" borderId="0" xfId="213" applyNumberFormat="1" applyFont="1" applyFill="1" applyBorder="1">
      <alignment horizontal="right" vertical="center"/>
    </xf>
    <xf numFmtId="2" fontId="67" fillId="29" borderId="20" xfId="0" applyNumberFormat="1" applyFont="1" applyFill="1" applyBorder="1" applyAlignment="1">
      <alignment horizontal="right"/>
    </xf>
    <xf numFmtId="0" fontId="93" fillId="0" borderId="0" xfId="0" applyFont="1"/>
    <xf numFmtId="172" fontId="130" fillId="0" borderId="0" xfId="0" applyNumberFormat="1" applyFont="1"/>
    <xf numFmtId="172" fontId="93" fillId="29" borderId="19" xfId="213" applyNumberFormat="1" applyFont="1" applyFill="1" applyBorder="1" applyAlignment="1">
      <alignment horizontal="left" vertical="center" indent="1"/>
    </xf>
    <xf numFmtId="172" fontId="93" fillId="29" borderId="0" xfId="213" applyNumberFormat="1" applyFont="1" applyFill="1" applyBorder="1">
      <alignment horizontal="right" vertical="center"/>
    </xf>
    <xf numFmtId="2" fontId="93" fillId="29" borderId="0" xfId="0" applyNumberFormat="1" applyFont="1" applyFill="1" applyAlignment="1">
      <alignment horizontal="right"/>
    </xf>
    <xf numFmtId="2" fontId="93" fillId="29" borderId="14" xfId="0" applyNumberFormat="1" applyFont="1" applyFill="1" applyBorder="1" applyAlignment="1">
      <alignment horizontal="right"/>
    </xf>
    <xf numFmtId="43" fontId="93" fillId="29" borderId="14" xfId="69" applyFont="1" applyFill="1" applyBorder="1" applyAlignment="1" applyProtection="1">
      <alignment horizontal="right"/>
    </xf>
    <xf numFmtId="43" fontId="93" fillId="29" borderId="0" xfId="69" applyFont="1" applyFill="1" applyBorder="1" applyAlignment="1" applyProtection="1">
      <alignment horizontal="right"/>
    </xf>
    <xf numFmtId="43" fontId="93" fillId="29" borderId="20" xfId="69" applyFont="1" applyFill="1" applyBorder="1" applyAlignment="1" applyProtection="1">
      <alignment horizontal="right"/>
    </xf>
    <xf numFmtId="0" fontId="93" fillId="45" borderId="0" xfId="0" applyFont="1" applyFill="1"/>
    <xf numFmtId="0" fontId="71" fillId="29" borderId="19" xfId="0" applyFont="1" applyFill="1" applyBorder="1"/>
    <xf numFmtId="0" fontId="71" fillId="29" borderId="0" xfId="0" applyFont="1" applyFill="1"/>
    <xf numFmtId="172" fontId="93" fillId="29" borderId="73" xfId="213" applyNumberFormat="1" applyFont="1" applyFill="1" applyBorder="1" applyAlignment="1">
      <alignment horizontal="left" vertical="center" indent="1"/>
    </xf>
    <xf numFmtId="172" fontId="93" fillId="29" borderId="13" xfId="213" applyNumberFormat="1" applyFont="1" applyFill="1" applyBorder="1">
      <alignment horizontal="right" vertical="center"/>
    </xf>
    <xf numFmtId="2" fontId="93" fillId="29" borderId="13" xfId="0" applyNumberFormat="1" applyFont="1" applyFill="1" applyBorder="1" applyAlignment="1">
      <alignment horizontal="right"/>
    </xf>
    <xf numFmtId="2" fontId="93" fillId="29" borderId="15" xfId="0" applyNumberFormat="1" applyFont="1" applyFill="1" applyBorder="1" applyAlignment="1">
      <alignment horizontal="right"/>
    </xf>
    <xf numFmtId="43" fontId="93" fillId="29" borderId="15" xfId="69" applyFont="1" applyFill="1" applyBorder="1" applyAlignment="1" applyProtection="1">
      <alignment horizontal="right"/>
    </xf>
    <xf numFmtId="43" fontId="93" fillId="29" borderId="13" xfId="69" applyFont="1" applyFill="1" applyBorder="1" applyAlignment="1" applyProtection="1">
      <alignment horizontal="right"/>
    </xf>
    <xf numFmtId="43" fontId="93" fillId="29" borderId="46" xfId="69" applyFont="1" applyFill="1" applyBorder="1" applyAlignment="1" applyProtection="1">
      <alignment horizontal="right"/>
    </xf>
    <xf numFmtId="0" fontId="71" fillId="27" borderId="79" xfId="0" applyFont="1" applyFill="1" applyBorder="1"/>
    <xf numFmtId="0" fontId="67" fillId="0" borderId="32" xfId="0" applyFont="1" applyBorder="1"/>
    <xf numFmtId="2" fontId="71" fillId="0" borderId="32" xfId="0" applyNumberFormat="1" applyFont="1" applyBorder="1"/>
    <xf numFmtId="2" fontId="71" fillId="0" borderId="43" xfId="0" applyNumberFormat="1" applyFont="1" applyBorder="1"/>
    <xf numFmtId="2" fontId="71" fillId="0" borderId="44" xfId="0" applyNumberFormat="1" applyFont="1" applyBorder="1"/>
    <xf numFmtId="172" fontId="131" fillId="0" borderId="0" xfId="0" applyNumberFormat="1" applyFont="1"/>
    <xf numFmtId="172" fontId="93" fillId="29" borderId="16" xfId="213" applyNumberFormat="1" applyFont="1" applyFill="1" applyBorder="1" applyAlignment="1">
      <alignment horizontal="left" vertical="center" indent="1"/>
    </xf>
    <xf numFmtId="172" fontId="93" fillId="29" borderId="17" xfId="213" applyNumberFormat="1" applyFont="1" applyFill="1" applyBorder="1">
      <alignment horizontal="right" vertical="center"/>
    </xf>
    <xf numFmtId="2" fontId="93" fillId="29" borderId="17" xfId="0" applyNumberFormat="1" applyFont="1" applyFill="1" applyBorder="1" applyAlignment="1">
      <alignment horizontal="right"/>
    </xf>
    <xf numFmtId="2" fontId="93" fillId="29" borderId="48" xfId="0" applyNumberFormat="1" applyFont="1" applyFill="1" applyBorder="1" applyAlignment="1">
      <alignment horizontal="right"/>
    </xf>
    <xf numFmtId="43" fontId="93" fillId="29" borderId="48" xfId="69" applyFont="1" applyFill="1" applyBorder="1" applyAlignment="1" applyProtection="1">
      <alignment horizontal="right"/>
    </xf>
    <xf numFmtId="43" fontId="93" fillId="29" borderId="17" xfId="69" applyFont="1" applyFill="1" applyBorder="1" applyAlignment="1" applyProtection="1">
      <alignment horizontal="right"/>
    </xf>
    <xf numFmtId="43" fontId="93" fillId="29" borderId="18" xfId="69" applyFont="1" applyFill="1" applyBorder="1" applyAlignment="1" applyProtection="1">
      <alignment horizontal="right"/>
    </xf>
    <xf numFmtId="0" fontId="75" fillId="0" borderId="0" xfId="0" applyFont="1"/>
    <xf numFmtId="173" fontId="71" fillId="29" borderId="14" xfId="101" applyNumberFormat="1" applyFont="1" applyFill="1" applyBorder="1" applyAlignment="1" applyProtection="1">
      <alignment horizontal="right"/>
    </xf>
    <xf numFmtId="173" fontId="71" fillId="29" borderId="0" xfId="101" applyNumberFormat="1" applyFont="1" applyFill="1" applyBorder="1" applyAlignment="1" applyProtection="1">
      <alignment horizontal="right"/>
    </xf>
    <xf numFmtId="173" fontId="71" fillId="29" borderId="20" xfId="101" applyNumberFormat="1" applyFont="1" applyFill="1" applyBorder="1" applyAlignment="1" applyProtection="1">
      <alignment horizontal="right"/>
    </xf>
    <xf numFmtId="172" fontId="85" fillId="0" borderId="0" xfId="0" applyNumberFormat="1" applyFont="1"/>
    <xf numFmtId="173" fontId="67" fillId="29" borderId="14" xfId="101" applyNumberFormat="1" applyFont="1" applyFill="1" applyBorder="1" applyAlignment="1" applyProtection="1">
      <alignment horizontal="right"/>
    </xf>
    <xf numFmtId="173" fontId="67" fillId="29" borderId="0" xfId="101" applyNumberFormat="1" applyFont="1" applyFill="1" applyBorder="1" applyAlignment="1" applyProtection="1">
      <alignment horizontal="right"/>
    </xf>
    <xf numFmtId="173" fontId="67" fillId="29" borderId="20" xfId="101" applyNumberFormat="1" applyFont="1" applyFill="1" applyBorder="1" applyAlignment="1" applyProtection="1">
      <alignment horizontal="right"/>
    </xf>
    <xf numFmtId="172" fontId="92" fillId="29" borderId="19" xfId="213" applyNumberFormat="1" applyFont="1" applyFill="1" applyBorder="1" applyAlignment="1">
      <alignment horizontal="left" vertical="center" indent="1"/>
    </xf>
    <xf numFmtId="172" fontId="92" fillId="29" borderId="0" xfId="213" applyNumberFormat="1" applyFont="1" applyFill="1" applyBorder="1">
      <alignment horizontal="right" vertical="center"/>
    </xf>
    <xf numFmtId="2" fontId="92" fillId="29" borderId="0" xfId="0" applyNumberFormat="1" applyFont="1" applyFill="1" applyAlignment="1">
      <alignment horizontal="right"/>
    </xf>
    <xf numFmtId="2" fontId="92" fillId="29" borderId="14" xfId="0" applyNumberFormat="1" applyFont="1" applyFill="1" applyBorder="1" applyAlignment="1">
      <alignment horizontal="right"/>
    </xf>
    <xf numFmtId="173" fontId="92" fillId="29" borderId="14" xfId="101" applyNumberFormat="1" applyFont="1" applyFill="1" applyBorder="1" applyAlignment="1" applyProtection="1">
      <alignment horizontal="right"/>
    </xf>
    <xf numFmtId="173" fontId="92" fillId="29" borderId="0" xfId="101" applyNumberFormat="1" applyFont="1" applyFill="1" applyBorder="1" applyAlignment="1" applyProtection="1">
      <alignment horizontal="right"/>
    </xf>
    <xf numFmtId="173" fontId="92" fillId="29" borderId="20" xfId="101" applyNumberFormat="1" applyFont="1" applyFill="1" applyBorder="1" applyAlignment="1" applyProtection="1">
      <alignment horizontal="right"/>
    </xf>
    <xf numFmtId="0" fontId="92" fillId="45" borderId="0" xfId="0" applyFont="1" applyFill="1"/>
    <xf numFmtId="0" fontId="85" fillId="0" borderId="0" xfId="0" applyFont="1"/>
    <xf numFmtId="172" fontId="93" fillId="29" borderId="21" xfId="213" applyNumberFormat="1" applyFont="1" applyFill="1" applyBorder="1" applyAlignment="1">
      <alignment horizontal="left" vertical="center" indent="1"/>
    </xf>
    <xf numFmtId="172" fontId="93" fillId="29" borderId="22" xfId="213" applyNumberFormat="1" applyFont="1" applyFill="1" applyBorder="1">
      <alignment horizontal="right" vertical="center"/>
    </xf>
    <xf numFmtId="2" fontId="93" fillId="29" borderId="22" xfId="0" applyNumberFormat="1" applyFont="1" applyFill="1" applyBorder="1" applyAlignment="1">
      <alignment horizontal="right"/>
    </xf>
    <xf numFmtId="2" fontId="93" fillId="29" borderId="42" xfId="0" applyNumberFormat="1" applyFont="1" applyFill="1" applyBorder="1" applyAlignment="1">
      <alignment horizontal="right"/>
    </xf>
    <xf numFmtId="43" fontId="93" fillId="29" borderId="42" xfId="69" applyFont="1" applyFill="1" applyBorder="1" applyAlignment="1" applyProtection="1">
      <alignment horizontal="right"/>
    </xf>
    <xf numFmtId="43" fontId="93" fillId="29" borderId="22" xfId="69" applyFont="1" applyFill="1" applyBorder="1" applyAlignment="1" applyProtection="1">
      <alignment horizontal="right"/>
    </xf>
    <xf numFmtId="43" fontId="93" fillId="29" borderId="23" xfId="69" applyFont="1" applyFill="1" applyBorder="1" applyAlignment="1" applyProtection="1">
      <alignment horizontal="right"/>
    </xf>
    <xf numFmtId="0" fontId="71" fillId="28" borderId="54" xfId="0" applyFont="1" applyFill="1" applyBorder="1"/>
    <xf numFmtId="0" fontId="67" fillId="28" borderId="55" xfId="0" applyFont="1" applyFill="1" applyBorder="1"/>
    <xf numFmtId="0" fontId="67" fillId="28" borderId="56" xfId="0" applyFont="1" applyFill="1" applyBorder="1"/>
    <xf numFmtId="0" fontId="71" fillId="28" borderId="54" xfId="169" applyFont="1" applyFill="1" applyBorder="1" applyAlignment="1">
      <alignment horizontal="right"/>
    </xf>
    <xf numFmtId="0" fontId="71" fillId="28" borderId="55" xfId="169" applyFont="1" applyFill="1" applyBorder="1" applyAlignment="1">
      <alignment horizontal="right"/>
    </xf>
    <xf numFmtId="0" fontId="71" fillId="28" borderId="90" xfId="169" applyFont="1" applyFill="1" applyBorder="1" applyAlignment="1">
      <alignment horizontal="right"/>
    </xf>
    <xf numFmtId="0" fontId="71" fillId="28" borderId="56" xfId="169" applyFont="1" applyFill="1" applyBorder="1" applyAlignment="1">
      <alignment horizontal="right"/>
    </xf>
    <xf numFmtId="0" fontId="67" fillId="46" borderId="16" xfId="0" applyFont="1" applyFill="1" applyBorder="1"/>
    <xf numFmtId="0" fontId="67" fillId="46" borderId="17" xfId="0" applyFont="1" applyFill="1" applyBorder="1"/>
    <xf numFmtId="0" fontId="67" fillId="46" borderId="18" xfId="0" applyFont="1" applyFill="1" applyBorder="1"/>
    <xf numFmtId="173" fontId="67" fillId="46" borderId="16" xfId="101" applyNumberFormat="1" applyFont="1" applyFill="1" applyBorder="1" applyAlignment="1" applyProtection="1">
      <alignment horizontal="right"/>
    </xf>
    <xf numFmtId="173" fontId="67" fillId="46" borderId="17" xfId="101" applyNumberFormat="1" applyFont="1" applyFill="1" applyBorder="1" applyAlignment="1" applyProtection="1">
      <alignment horizontal="right"/>
    </xf>
    <xf numFmtId="173" fontId="67" fillId="46" borderId="48" xfId="101" applyNumberFormat="1" applyFont="1" applyFill="1" applyBorder="1" applyAlignment="1" applyProtection="1">
      <alignment horizontal="right"/>
    </xf>
    <xf numFmtId="173" fontId="67" fillId="46" borderId="47" xfId="101" applyNumberFormat="1" applyFont="1" applyFill="1" applyBorder="1" applyAlignment="1" applyProtection="1">
      <alignment horizontal="right"/>
    </xf>
    <xf numFmtId="173" fontId="67" fillId="46" borderId="18" xfId="101" applyNumberFormat="1" applyFont="1" applyFill="1" applyBorder="1" applyAlignment="1" applyProtection="1">
      <alignment horizontal="right"/>
    </xf>
    <xf numFmtId="173" fontId="67" fillId="46" borderId="16" xfId="101" applyNumberFormat="1" applyFont="1" applyFill="1" applyBorder="1" applyProtection="1"/>
    <xf numFmtId="173" fontId="67" fillId="46" borderId="17" xfId="101" applyNumberFormat="1" applyFont="1" applyFill="1" applyBorder="1" applyProtection="1"/>
    <xf numFmtId="173" fontId="67" fillId="46" borderId="48" xfId="101" applyNumberFormat="1" applyFont="1" applyFill="1" applyBorder="1" applyProtection="1"/>
    <xf numFmtId="173" fontId="67" fillId="46" borderId="47" xfId="101" applyNumberFormat="1" applyFont="1" applyFill="1" applyBorder="1" applyProtection="1"/>
    <xf numFmtId="173" fontId="67" fillId="46" borderId="18" xfId="101" applyNumberFormat="1" applyFont="1" applyFill="1" applyBorder="1" applyProtection="1"/>
    <xf numFmtId="0" fontId="67" fillId="42" borderId="19" xfId="0" applyFont="1" applyFill="1" applyBorder="1"/>
    <xf numFmtId="0" fontId="67" fillId="42" borderId="0" xfId="0" applyFont="1" applyFill="1"/>
    <xf numFmtId="0" fontId="67" fillId="42" borderId="20" xfId="0" applyFont="1" applyFill="1" applyBorder="1"/>
    <xf numFmtId="173" fontId="67" fillId="42" borderId="19" xfId="101" applyNumberFormat="1" applyFont="1" applyFill="1" applyBorder="1" applyAlignment="1" applyProtection="1">
      <alignment horizontal="right"/>
    </xf>
    <xf numFmtId="173" fontId="67" fillId="42" borderId="0" xfId="101" applyNumberFormat="1" applyFont="1" applyFill="1" applyBorder="1" applyAlignment="1" applyProtection="1">
      <alignment horizontal="right"/>
    </xf>
    <xf numFmtId="173" fontId="67" fillId="42" borderId="14" xfId="101" applyNumberFormat="1" applyFont="1" applyFill="1" applyBorder="1" applyAlignment="1" applyProtection="1">
      <alignment horizontal="right"/>
    </xf>
    <xf numFmtId="173" fontId="67" fillId="42" borderId="30" xfId="101" applyNumberFormat="1" applyFont="1" applyFill="1" applyBorder="1" applyAlignment="1" applyProtection="1">
      <alignment horizontal="right"/>
    </xf>
    <xf numFmtId="173" fontId="67" fillId="42" borderId="20" xfId="101" applyNumberFormat="1" applyFont="1" applyFill="1" applyBorder="1" applyAlignment="1" applyProtection="1">
      <alignment horizontal="right"/>
    </xf>
    <xf numFmtId="173" fontId="67" fillId="42" borderId="19" xfId="101" applyNumberFormat="1" applyFont="1" applyFill="1" applyBorder="1" applyProtection="1"/>
    <xf numFmtId="173" fontId="67" fillId="42" borderId="0" xfId="101" applyNumberFormat="1" applyFont="1" applyFill="1" applyBorder="1" applyProtection="1"/>
    <xf numFmtId="173" fontId="67" fillId="42" borderId="14" xfId="101" applyNumberFormat="1" applyFont="1" applyFill="1" applyBorder="1" applyProtection="1"/>
    <xf numFmtId="173" fontId="67" fillId="42" borderId="30" xfId="101" applyNumberFormat="1" applyFont="1" applyFill="1" applyBorder="1" applyProtection="1"/>
    <xf numFmtId="173" fontId="67" fillId="42" borderId="20" xfId="101" applyNumberFormat="1" applyFont="1" applyFill="1" applyBorder="1" applyProtection="1"/>
    <xf numFmtId="173" fontId="67" fillId="0" borderId="21" xfId="101" applyNumberFormat="1" applyFont="1" applyBorder="1" applyAlignment="1" applyProtection="1">
      <alignment horizontal="right"/>
    </xf>
    <xf numFmtId="173" fontId="67" fillId="0" borderId="22" xfId="101" applyNumberFormat="1" applyFont="1" applyBorder="1" applyAlignment="1" applyProtection="1">
      <alignment horizontal="right"/>
    </xf>
    <xf numFmtId="173" fontId="67" fillId="0" borderId="42" xfId="101" applyNumberFormat="1" applyFont="1" applyBorder="1" applyAlignment="1" applyProtection="1">
      <alignment horizontal="right"/>
    </xf>
    <xf numFmtId="173" fontId="67" fillId="0" borderId="41" xfId="101" applyNumberFormat="1" applyFont="1" applyBorder="1" applyAlignment="1" applyProtection="1">
      <alignment horizontal="right"/>
    </xf>
    <xf numFmtId="173" fontId="67" fillId="0" borderId="23" xfId="101" applyNumberFormat="1" applyFont="1" applyBorder="1" applyAlignment="1" applyProtection="1">
      <alignment horizontal="right"/>
    </xf>
    <xf numFmtId="173" fontId="67" fillId="0" borderId="21" xfId="101" applyNumberFormat="1" applyFont="1" applyBorder="1" applyProtection="1"/>
    <xf numFmtId="173" fontId="67" fillId="0" borderId="22" xfId="101" applyNumberFormat="1" applyFont="1" applyBorder="1" applyProtection="1"/>
    <xf numFmtId="173" fontId="67" fillId="0" borderId="42" xfId="101" applyNumberFormat="1" applyFont="1" applyBorder="1" applyProtection="1"/>
    <xf numFmtId="173" fontId="67" fillId="0" borderId="41" xfId="101" applyNumberFormat="1" applyFont="1" applyBorder="1" applyProtection="1"/>
    <xf numFmtId="173" fontId="67" fillId="0" borderId="23" xfId="101" applyNumberFormat="1" applyFont="1" applyBorder="1" applyProtection="1"/>
    <xf numFmtId="43" fontId="93" fillId="0" borderId="0" xfId="69" applyFont="1" applyAlignment="1" applyProtection="1">
      <alignment horizontal="right"/>
    </xf>
    <xf numFmtId="185" fontId="93" fillId="0" borderId="0" xfId="69" applyNumberFormat="1" applyFont="1" applyAlignment="1" applyProtection="1">
      <alignment horizontal="right"/>
    </xf>
    <xf numFmtId="0" fontId="67" fillId="0" borderId="0" xfId="76" applyFont="1" applyFill="1">
      <alignment vertical="center"/>
    </xf>
    <xf numFmtId="10" fontId="67" fillId="27" borderId="0" xfId="101" applyNumberFormat="1" applyFont="1" applyFill="1" applyProtection="1"/>
    <xf numFmtId="0" fontId="71" fillId="45" borderId="0" xfId="0" applyFont="1" applyFill="1" applyAlignment="1">
      <alignment horizontal="center"/>
    </xf>
    <xf numFmtId="0" fontId="71" fillId="37" borderId="54" xfId="0" applyFont="1" applyFill="1" applyBorder="1" applyAlignment="1">
      <alignment horizontal="center"/>
    </xf>
    <xf numFmtId="0" fontId="71" fillId="37" borderId="129" xfId="0" applyFont="1" applyFill="1" applyBorder="1" applyAlignment="1">
      <alignment horizontal="center"/>
    </xf>
    <xf numFmtId="0" fontId="71" fillId="37" borderId="56" xfId="0" applyFont="1" applyFill="1" applyBorder="1" applyAlignment="1">
      <alignment horizontal="center"/>
    </xf>
    <xf numFmtId="0" fontId="71" fillId="45" borderId="0" xfId="103" applyFont="1" applyFill="1" applyBorder="1" applyAlignment="1">
      <alignment horizontal="right" vertical="center"/>
    </xf>
    <xf numFmtId="0" fontId="71" fillId="28" borderId="51" xfId="78" applyFont="1" applyFill="1" applyBorder="1">
      <alignment vertical="center"/>
    </xf>
    <xf numFmtId="0" fontId="71" fillId="28" borderId="54" xfId="78" applyFont="1" applyFill="1" applyBorder="1">
      <alignment vertical="center"/>
    </xf>
    <xf numFmtId="0" fontId="71" fillId="28" borderId="56" xfId="78" applyFont="1" applyFill="1" applyBorder="1">
      <alignment vertical="center"/>
    </xf>
    <xf numFmtId="0" fontId="71" fillId="28" borderId="130" xfId="169" applyFont="1" applyFill="1" applyBorder="1" applyAlignment="1">
      <alignment horizontal="right"/>
    </xf>
    <xf numFmtId="0" fontId="71" fillId="0" borderId="0" xfId="169" applyFont="1" applyAlignment="1">
      <alignment horizontal="right"/>
    </xf>
    <xf numFmtId="0" fontId="71" fillId="28" borderId="54" xfId="169" applyFont="1" applyFill="1" applyBorder="1" applyAlignment="1">
      <alignment horizontal="center"/>
    </xf>
    <xf numFmtId="0" fontId="71" fillId="28" borderId="55" xfId="78" applyFont="1" applyFill="1" applyBorder="1">
      <alignment vertical="center"/>
    </xf>
    <xf numFmtId="0" fontId="71" fillId="28" borderId="89" xfId="169" applyFont="1" applyFill="1" applyBorder="1" applyAlignment="1">
      <alignment horizontal="right"/>
    </xf>
    <xf numFmtId="173" fontId="67" fillId="45" borderId="0" xfId="101" applyNumberFormat="1" applyFont="1" applyFill="1" applyBorder="1" applyProtection="1"/>
    <xf numFmtId="0" fontId="67" fillId="46" borderId="38" xfId="78" applyFont="1" applyFill="1" applyBorder="1">
      <alignment vertical="center"/>
    </xf>
    <xf numFmtId="0" fontId="67" fillId="46" borderId="16" xfId="180" applyFont="1" applyFill="1" applyBorder="1">
      <alignment vertical="center"/>
      <protection locked="0"/>
    </xf>
    <xf numFmtId="0" fontId="67" fillId="46" borderId="18" xfId="0" applyFont="1" applyFill="1" applyBorder="1" applyProtection="1">
      <protection locked="0"/>
    </xf>
    <xf numFmtId="173" fontId="4" fillId="46" borderId="17" xfId="101" applyNumberFormat="1" applyFont="1" applyFill="1" applyBorder="1" applyAlignment="1">
      <alignment horizontal="right"/>
    </xf>
    <xf numFmtId="173" fontId="4" fillId="46" borderId="131" xfId="101" applyNumberFormat="1" applyFont="1" applyFill="1" applyBorder="1" applyAlignment="1">
      <alignment horizontal="right"/>
    </xf>
    <xf numFmtId="173" fontId="4" fillId="46" borderId="17" xfId="101" applyNumberFormat="1" applyFont="1" applyFill="1" applyBorder="1" applyAlignment="1" applyProtection="1">
      <alignment horizontal="right"/>
    </xf>
    <xf numFmtId="173" fontId="4" fillId="46" borderId="48" xfId="101" applyNumberFormat="1" applyFont="1" applyFill="1" applyBorder="1" applyAlignment="1" applyProtection="1">
      <alignment horizontal="right"/>
    </xf>
    <xf numFmtId="173" fontId="4" fillId="46" borderId="18" xfId="101" applyNumberFormat="1" applyFont="1" applyFill="1" applyBorder="1" applyAlignment="1" applyProtection="1">
      <alignment horizontal="right"/>
    </xf>
    <xf numFmtId="173" fontId="4" fillId="0" borderId="0" xfId="101" applyNumberFormat="1" applyFont="1" applyFill="1" applyBorder="1" applyAlignment="1" applyProtection="1">
      <alignment horizontal="right"/>
    </xf>
    <xf numFmtId="0" fontId="67" fillId="46" borderId="132" xfId="0" applyFont="1" applyFill="1" applyBorder="1"/>
    <xf numFmtId="0" fontId="67" fillId="46" borderId="38" xfId="0" applyFont="1" applyFill="1" applyBorder="1"/>
    <xf numFmtId="0" fontId="67" fillId="46" borderId="39" xfId="78" applyFont="1" applyFill="1" applyBorder="1">
      <alignment vertical="center"/>
    </xf>
    <xf numFmtId="0" fontId="67" fillId="46" borderId="19" xfId="180" applyFont="1" applyFill="1" applyBorder="1">
      <alignment vertical="center"/>
      <protection locked="0"/>
    </xf>
    <xf numFmtId="0" fontId="67" fillId="46" borderId="20" xfId="0" applyFont="1" applyFill="1" applyBorder="1" applyProtection="1">
      <protection locked="0"/>
    </xf>
    <xf numFmtId="173" fontId="4" fillId="46" borderId="0" xfId="101" applyNumberFormat="1" applyFont="1" applyFill="1" applyBorder="1" applyAlignment="1">
      <alignment horizontal="right"/>
    </xf>
    <xf numFmtId="173" fontId="4" fillId="46" borderId="14" xfId="101" applyNumberFormat="1" applyFont="1" applyFill="1" applyBorder="1" applyAlignment="1">
      <alignment horizontal="right"/>
    </xf>
    <xf numFmtId="173" fontId="4" fillId="46" borderId="0" xfId="101" applyNumberFormat="1" applyFont="1" applyFill="1" applyBorder="1" applyAlignment="1" applyProtection="1">
      <alignment horizontal="right"/>
    </xf>
    <xf numFmtId="173" fontId="4" fillId="46" borderId="14" xfId="101" applyNumberFormat="1" applyFont="1" applyFill="1" applyBorder="1" applyAlignment="1" applyProtection="1">
      <alignment horizontal="right"/>
    </xf>
    <xf numFmtId="173" fontId="4" fillId="46" borderId="20" xfId="101" applyNumberFormat="1" applyFont="1" applyFill="1" applyBorder="1" applyAlignment="1" applyProtection="1">
      <alignment horizontal="right"/>
    </xf>
    <xf numFmtId="0" fontId="67" fillId="46" borderId="17" xfId="0" applyFont="1" applyFill="1" applyBorder="1" applyProtection="1">
      <protection locked="0"/>
    </xf>
    <xf numFmtId="173" fontId="4" fillId="46" borderId="19" xfId="101" applyNumberFormat="1" applyFont="1" applyFill="1" applyBorder="1" applyAlignment="1" applyProtection="1">
      <alignment horizontal="right"/>
    </xf>
    <xf numFmtId="173" fontId="4" fillId="46" borderId="16" xfId="101" applyNumberFormat="1" applyFont="1" applyFill="1" applyBorder="1" applyAlignment="1" applyProtection="1">
      <alignment horizontal="right"/>
    </xf>
    <xf numFmtId="0" fontId="67" fillId="42" borderId="39" xfId="78" applyFont="1" applyFill="1" applyBorder="1">
      <alignment vertical="center"/>
    </xf>
    <xf numFmtId="172" fontId="67" fillId="42" borderId="0" xfId="111" applyNumberFormat="1" applyFont="1" applyFill="1" applyBorder="1" applyAlignment="1">
      <alignment horizontal="left" vertical="center"/>
    </xf>
    <xf numFmtId="172" fontId="67" fillId="42" borderId="20" xfId="111" applyNumberFormat="1" applyFont="1" applyFill="1" applyBorder="1" applyAlignment="1">
      <alignment horizontal="left" vertical="center"/>
    </xf>
    <xf numFmtId="173" fontId="4" fillId="42" borderId="0" xfId="101" applyNumberFormat="1" applyFont="1" applyFill="1" applyBorder="1" applyAlignment="1" applyProtection="1">
      <alignment horizontal="right"/>
    </xf>
    <xf numFmtId="173" fontId="4" fillId="42" borderId="133" xfId="101" applyNumberFormat="1" applyFont="1" applyFill="1" applyBorder="1" applyAlignment="1" applyProtection="1">
      <alignment horizontal="right"/>
    </xf>
    <xf numFmtId="173" fontId="4" fillId="42" borderId="14" xfId="101" applyNumberFormat="1" applyFont="1" applyFill="1" applyBorder="1" applyAlignment="1" applyProtection="1">
      <alignment horizontal="right"/>
    </xf>
    <xf numFmtId="173" fontId="4" fillId="42" borderId="20" xfId="101" applyNumberFormat="1" applyFont="1" applyFill="1" applyBorder="1" applyAlignment="1" applyProtection="1">
      <alignment horizontal="right"/>
    </xf>
    <xf numFmtId="0" fontId="67" fillId="42" borderId="34" xfId="0" applyFont="1" applyFill="1" applyBorder="1"/>
    <xf numFmtId="0" fontId="67" fillId="42" borderId="39" xfId="0" applyFont="1" applyFill="1" applyBorder="1"/>
    <xf numFmtId="173" fontId="4" fillId="42" borderId="19" xfId="101" applyNumberFormat="1" applyFont="1" applyFill="1" applyBorder="1" applyAlignment="1" applyProtection="1">
      <alignment horizontal="right"/>
    </xf>
    <xf numFmtId="172" fontId="67" fillId="0" borderId="0" xfId="111" applyNumberFormat="1" applyFont="1" applyFill="1" applyBorder="1" applyAlignment="1">
      <alignment horizontal="left" vertical="center"/>
    </xf>
    <xf numFmtId="172" fontId="67" fillId="0" borderId="20" xfId="111" applyNumberFormat="1" applyFont="1" applyFill="1" applyBorder="1" applyAlignment="1">
      <alignment horizontal="left" vertical="center"/>
    </xf>
    <xf numFmtId="173" fontId="4" fillId="0" borderId="133" xfId="101" applyNumberFormat="1" applyFont="1" applyFill="1" applyBorder="1" applyAlignment="1" applyProtection="1">
      <alignment horizontal="right"/>
    </xf>
    <xf numFmtId="173" fontId="4" fillId="0" borderId="14" xfId="101" applyNumberFormat="1" applyFont="1" applyFill="1" applyBorder="1" applyAlignment="1" applyProtection="1">
      <alignment horizontal="right"/>
    </xf>
    <xf numFmtId="173" fontId="4" fillId="0" borderId="20" xfId="101" applyNumberFormat="1" applyFont="1" applyFill="1" applyBorder="1" applyAlignment="1" applyProtection="1">
      <alignment horizontal="right"/>
    </xf>
    <xf numFmtId="0" fontId="67" fillId="0" borderId="134" xfId="0" applyFont="1" applyBorder="1"/>
    <xf numFmtId="0" fontId="67" fillId="0" borderId="135" xfId="0" applyFont="1" applyBorder="1"/>
    <xf numFmtId="0" fontId="67" fillId="0" borderId="136" xfId="0" applyFont="1" applyBorder="1"/>
    <xf numFmtId="0" fontId="67" fillId="0" borderId="137" xfId="0" applyFont="1" applyBorder="1"/>
    <xf numFmtId="173" fontId="4" fillId="0" borderId="19" xfId="101" applyNumberFormat="1" applyFont="1" applyFill="1" applyBorder="1" applyAlignment="1" applyProtection="1">
      <alignment horizontal="right"/>
    </xf>
    <xf numFmtId="0" fontId="67" fillId="46" borderId="138" xfId="78" applyFont="1" applyFill="1" applyBorder="1">
      <alignment vertical="center"/>
    </xf>
    <xf numFmtId="0" fontId="67" fillId="46" borderId="139" xfId="180" applyFont="1" applyFill="1" applyBorder="1">
      <alignment vertical="center"/>
      <protection locked="0"/>
    </xf>
    <xf numFmtId="0" fontId="67" fillId="46" borderId="88" xfId="0" applyFont="1" applyFill="1" applyBorder="1" applyProtection="1">
      <protection locked="0"/>
    </xf>
    <xf numFmtId="173" fontId="4" fillId="46" borderId="28" xfId="101" applyNumberFormat="1" applyFont="1" applyFill="1" applyBorder="1" applyAlignment="1">
      <alignment horizontal="right"/>
    </xf>
    <xf numFmtId="173" fontId="4" fillId="46" borderId="140" xfId="101" applyNumberFormat="1" applyFont="1" applyFill="1" applyBorder="1" applyAlignment="1">
      <alignment horizontal="right"/>
    </xf>
    <xf numFmtId="173" fontId="4" fillId="46" borderId="28" xfId="101" applyNumberFormat="1" applyFont="1" applyFill="1" applyBorder="1" applyAlignment="1" applyProtection="1">
      <alignment horizontal="right"/>
    </xf>
    <xf numFmtId="173" fontId="4" fillId="46" borderId="29" xfId="101" applyNumberFormat="1" applyFont="1" applyFill="1" applyBorder="1" applyAlignment="1" applyProtection="1">
      <alignment horizontal="right"/>
    </xf>
    <xf numFmtId="173" fontId="4" fillId="46" borderId="88" xfId="101" applyNumberFormat="1" applyFont="1" applyFill="1" applyBorder="1" applyAlignment="1" applyProtection="1">
      <alignment horizontal="right"/>
    </xf>
    <xf numFmtId="0" fontId="67" fillId="46" borderId="141" xfId="0" applyFont="1" applyFill="1" applyBorder="1"/>
    <xf numFmtId="0" fontId="67" fillId="46" borderId="142" xfId="0" applyFont="1" applyFill="1" applyBorder="1"/>
    <xf numFmtId="0" fontId="67" fillId="46" borderId="143" xfId="0" applyFont="1" applyFill="1" applyBorder="1"/>
    <xf numFmtId="0" fontId="67" fillId="46" borderId="144" xfId="0" applyFont="1" applyFill="1" applyBorder="1"/>
    <xf numFmtId="173" fontId="4" fillId="46" borderId="139" xfId="101" applyNumberFormat="1" applyFont="1" applyFill="1" applyBorder="1" applyAlignment="1">
      <alignment horizontal="right"/>
    </xf>
    <xf numFmtId="173" fontId="4" fillId="46" borderId="29" xfId="101" applyNumberFormat="1" applyFont="1" applyFill="1" applyBorder="1" applyAlignment="1">
      <alignment horizontal="right"/>
    </xf>
    <xf numFmtId="0" fontId="67" fillId="46" borderId="28" xfId="0" applyFont="1" applyFill="1" applyBorder="1" applyProtection="1">
      <protection locked="0"/>
    </xf>
    <xf numFmtId="173" fontId="4" fillId="46" borderId="139" xfId="101" applyNumberFormat="1" applyFont="1" applyFill="1" applyBorder="1" applyAlignment="1" applyProtection="1">
      <alignment horizontal="right"/>
    </xf>
    <xf numFmtId="0" fontId="67" fillId="0" borderId="145" xfId="78" applyFont="1" applyFill="1" applyBorder="1">
      <alignment vertical="center"/>
    </xf>
    <xf numFmtId="172" fontId="67" fillId="0" borderId="13" xfId="111" applyNumberFormat="1" applyFont="1" applyFill="1" applyBorder="1" applyAlignment="1">
      <alignment horizontal="left" vertical="center"/>
    </xf>
    <xf numFmtId="172" fontId="67" fillId="0" borderId="46" xfId="111" applyNumberFormat="1" applyFont="1" applyFill="1" applyBorder="1" applyAlignment="1">
      <alignment horizontal="left" vertical="center"/>
    </xf>
    <xf numFmtId="173" fontId="4" fillId="0" borderId="13" xfId="101" applyNumberFormat="1" applyFont="1" applyFill="1" applyBorder="1" applyAlignment="1" applyProtection="1">
      <alignment horizontal="right"/>
    </xf>
    <xf numFmtId="173" fontId="4" fillId="0" borderId="146" xfId="101" applyNumberFormat="1" applyFont="1" applyFill="1" applyBorder="1" applyAlignment="1" applyProtection="1">
      <alignment horizontal="right"/>
    </xf>
    <xf numFmtId="173" fontId="4" fillId="0" borderId="15" xfId="101" applyNumberFormat="1" applyFont="1" applyFill="1" applyBorder="1" applyAlignment="1" applyProtection="1">
      <alignment horizontal="right"/>
    </xf>
    <xf numFmtId="173" fontId="4" fillId="0" borderId="46" xfId="101" applyNumberFormat="1" applyFont="1" applyFill="1" applyBorder="1" applyAlignment="1" applyProtection="1">
      <alignment horizontal="right"/>
    </xf>
    <xf numFmtId="173" fontId="4" fillId="0" borderId="73" xfId="101" applyNumberFormat="1" applyFont="1" applyFill="1" applyBorder="1" applyAlignment="1" applyProtection="1">
      <alignment horizontal="right"/>
    </xf>
    <xf numFmtId="172" fontId="67" fillId="0" borderId="22" xfId="111" applyNumberFormat="1" applyFont="1" applyFill="1" applyBorder="1" applyAlignment="1">
      <alignment horizontal="left" vertical="center"/>
    </xf>
    <xf numFmtId="172" fontId="67" fillId="0" borderId="23" xfId="111" applyNumberFormat="1" applyFont="1" applyFill="1" applyBorder="1" applyAlignment="1">
      <alignment horizontal="left" vertical="center"/>
    </xf>
    <xf numFmtId="173" fontId="4" fillId="0" borderId="22" xfId="101" applyNumberFormat="1" applyFont="1" applyFill="1" applyBorder="1" applyAlignment="1" applyProtection="1">
      <alignment horizontal="right"/>
    </xf>
    <xf numFmtId="173" fontId="4" fillId="0" borderId="147" xfId="101" applyNumberFormat="1" applyFont="1" applyFill="1" applyBorder="1" applyAlignment="1" applyProtection="1">
      <alignment horizontal="right"/>
    </xf>
    <xf numFmtId="173" fontId="4" fillId="0" borderId="42" xfId="101" applyNumberFormat="1" applyFont="1" applyFill="1" applyBorder="1" applyAlignment="1" applyProtection="1">
      <alignment horizontal="right"/>
    </xf>
    <xf numFmtId="173" fontId="4" fillId="0" borderId="23" xfId="101" applyNumberFormat="1" applyFont="1" applyFill="1" applyBorder="1" applyAlignment="1" applyProtection="1">
      <alignment horizontal="right"/>
    </xf>
    <xf numFmtId="0" fontId="67" fillId="0" borderId="94" xfId="0" applyFont="1" applyBorder="1"/>
    <xf numFmtId="0" fontId="67" fillId="0" borderId="40" xfId="0" applyFont="1" applyBorder="1"/>
    <xf numFmtId="173" fontId="4" fillId="0" borderId="21" xfId="101" applyNumberFormat="1" applyFont="1" applyFill="1" applyBorder="1" applyAlignment="1" applyProtection="1">
      <alignment horizontal="right"/>
    </xf>
    <xf numFmtId="172" fontId="67" fillId="0" borderId="0" xfId="213" applyNumberFormat="1" applyFont="1" applyBorder="1">
      <alignment horizontal="right" vertical="center"/>
    </xf>
    <xf numFmtId="0" fontId="93" fillId="0" borderId="0" xfId="0" applyFont="1" applyAlignment="1">
      <alignment horizontal="right"/>
    </xf>
    <xf numFmtId="0" fontId="71" fillId="0" borderId="0" xfId="74" applyFont="1" applyFill="1" applyBorder="1">
      <alignment vertical="center"/>
    </xf>
    <xf numFmtId="0" fontId="71" fillId="0" borderId="0" xfId="76" applyFont="1" applyFill="1" applyBorder="1">
      <alignment vertical="center"/>
    </xf>
    <xf numFmtId="0" fontId="67" fillId="0" borderId="0" xfId="180" applyFont="1" applyBorder="1">
      <alignment vertical="center"/>
      <protection locked="0"/>
    </xf>
    <xf numFmtId="173" fontId="4" fillId="0" borderId="0" xfId="101" applyNumberFormat="1" applyFont="1" applyFill="1" applyBorder="1" applyAlignment="1">
      <alignment horizontal="right"/>
    </xf>
    <xf numFmtId="0" fontId="0" fillId="0" borderId="113" xfId="0" applyBorder="1"/>
    <xf numFmtId="0" fontId="0" fillId="0" borderId="17" xfId="0" applyBorder="1"/>
    <xf numFmtId="0" fontId="4" fillId="0" borderId="17" xfId="172" applyFont="1" applyBorder="1"/>
    <xf numFmtId="0" fontId="4" fillId="0" borderId="114" xfId="172" applyFont="1" applyBorder="1"/>
    <xf numFmtId="185" fontId="0" fillId="0" borderId="0" xfId="0" applyNumberFormat="1"/>
    <xf numFmtId="0" fontId="120" fillId="0" borderId="0" xfId="0" applyFont="1"/>
    <xf numFmtId="0" fontId="121" fillId="0" borderId="0" xfId="0" applyFont="1"/>
    <xf numFmtId="0" fontId="10" fillId="47" borderId="0" xfId="173" applyFont="1" applyFill="1" applyAlignment="1">
      <alignment horizontal="left"/>
    </xf>
    <xf numFmtId="0" fontId="10" fillId="47" borderId="0" xfId="172" applyFont="1" applyFill="1"/>
    <xf numFmtId="185" fontId="10" fillId="47" borderId="0" xfId="173" applyNumberFormat="1" applyFont="1" applyFill="1"/>
    <xf numFmtId="185" fontId="10" fillId="47" borderId="0" xfId="172" applyNumberFormat="1" applyFont="1" applyFill="1"/>
    <xf numFmtId="0" fontId="10" fillId="47" borderId="109" xfId="0" applyFont="1" applyFill="1" applyBorder="1"/>
    <xf numFmtId="0" fontId="10" fillId="47" borderId="0" xfId="0" applyFont="1" applyFill="1"/>
    <xf numFmtId="0" fontId="10" fillId="47" borderId="110" xfId="172" applyFont="1" applyFill="1" applyBorder="1"/>
    <xf numFmtId="185" fontId="10" fillId="47" borderId="0" xfId="0" applyNumberFormat="1" applyFont="1" applyFill="1"/>
    <xf numFmtId="0" fontId="0" fillId="0" borderId="109" xfId="0" applyBorder="1"/>
    <xf numFmtId="10" fontId="121" fillId="40" borderId="109" xfId="0" applyNumberFormat="1" applyFont="1" applyFill="1" applyBorder="1"/>
    <xf numFmtId="0" fontId="133" fillId="0" borderId="0" xfId="0" applyFont="1" applyAlignment="1">
      <alignment horizontal="left" vertical="center"/>
    </xf>
    <xf numFmtId="0" fontId="10" fillId="0" borderId="25" xfId="0" applyFont="1" applyBorder="1" applyAlignment="1">
      <alignment horizontal="right" vertical="center"/>
    </xf>
    <xf numFmtId="0" fontId="10" fillId="0" borderId="148" xfId="0" applyFont="1" applyBorder="1" applyAlignment="1">
      <alignment horizontal="right" vertical="center"/>
    </xf>
    <xf numFmtId="0" fontId="10" fillId="0" borderId="149" xfId="0" applyFont="1" applyBorder="1" applyAlignment="1">
      <alignment horizontal="right" vertical="center"/>
    </xf>
    <xf numFmtId="0" fontId="134" fillId="0" borderId="0" xfId="0" applyFont="1" applyAlignment="1">
      <alignment horizontal="left" vertical="center"/>
    </xf>
    <xf numFmtId="0" fontId="4" fillId="0" borderId="0" xfId="0" applyFont="1" applyAlignment="1">
      <alignment horizontal="right" vertical="center"/>
    </xf>
    <xf numFmtId="0" fontId="4" fillId="0" borderId="109" xfId="0" applyFont="1" applyBorder="1" applyAlignment="1">
      <alignment horizontal="right" vertical="center"/>
    </xf>
    <xf numFmtId="0" fontId="4" fillId="0" borderId="110" xfId="0" applyFont="1" applyBorder="1" applyAlignment="1">
      <alignment horizontal="right" vertical="center"/>
    </xf>
    <xf numFmtId="0" fontId="121" fillId="40" borderId="0" xfId="0" applyFont="1" applyFill="1" applyAlignment="1">
      <alignment horizontal="right" vertical="center"/>
    </xf>
    <xf numFmtId="171" fontId="121" fillId="40" borderId="0" xfId="0" applyNumberFormat="1" applyFont="1" applyFill="1" applyAlignment="1">
      <alignment horizontal="right" vertical="center"/>
    </xf>
    <xf numFmtId="171" fontId="4" fillId="0" borderId="109" xfId="0" applyNumberFormat="1" applyFont="1" applyBorder="1" applyAlignment="1" applyProtection="1">
      <alignment horizontal="right" vertical="center"/>
      <protection locked="0"/>
    </xf>
    <xf numFmtId="171" fontId="4" fillId="0" borderId="110" xfId="0" applyNumberFormat="1" applyFont="1" applyBorder="1" applyAlignment="1" applyProtection="1">
      <alignment horizontal="right" vertical="center"/>
      <protection locked="0"/>
    </xf>
    <xf numFmtId="43" fontId="4" fillId="0" borderId="0" xfId="0" applyNumberFormat="1" applyFont="1" applyAlignment="1">
      <alignment horizontal="right" vertical="center"/>
    </xf>
    <xf numFmtId="10" fontId="4" fillId="0" borderId="0" xfId="101" applyNumberFormat="1" applyFont="1" applyFill="1" applyBorder="1" applyAlignment="1" applyProtection="1">
      <alignment horizontal="right" vertical="center"/>
    </xf>
    <xf numFmtId="10" fontId="4" fillId="0" borderId="109" xfId="101" applyNumberFormat="1" applyFont="1" applyFill="1" applyBorder="1" applyAlignment="1" applyProtection="1">
      <alignment horizontal="right" vertical="center"/>
    </xf>
    <xf numFmtId="10" fontId="4" fillId="0" borderId="110" xfId="101" applyNumberFormat="1" applyFont="1" applyFill="1" applyBorder="1" applyAlignment="1" applyProtection="1">
      <alignment horizontal="right" vertical="center"/>
    </xf>
    <xf numFmtId="0" fontId="43" fillId="48" borderId="51" xfId="172" applyFont="1" applyFill="1" applyBorder="1"/>
    <xf numFmtId="0" fontId="4" fillId="0" borderId="115" xfId="172" applyFont="1" applyBorder="1"/>
    <xf numFmtId="0" fontId="4" fillId="0" borderId="22" xfId="172" applyFont="1" applyBorder="1"/>
    <xf numFmtId="0" fontId="4" fillId="0" borderId="116" xfId="172" applyFont="1" applyBorder="1"/>
    <xf numFmtId="0" fontId="10" fillId="49" borderId="16" xfId="172" applyFont="1" applyFill="1" applyBorder="1"/>
    <xf numFmtId="0" fontId="10" fillId="49" borderId="17" xfId="172" applyFont="1" applyFill="1" applyBorder="1"/>
    <xf numFmtId="180" fontId="10" fillId="50" borderId="17" xfId="173" applyNumberFormat="1" applyFont="1" applyFill="1" applyBorder="1"/>
    <xf numFmtId="180" fontId="10" fillId="50" borderId="114" xfId="173" applyNumberFormat="1" applyFont="1" applyFill="1" applyBorder="1"/>
    <xf numFmtId="180" fontId="10" fillId="50" borderId="18" xfId="173" applyNumberFormat="1" applyFont="1" applyFill="1" applyBorder="1"/>
    <xf numFmtId="0" fontId="10" fillId="0" borderId="0" xfId="0" applyFont="1"/>
    <xf numFmtId="0" fontId="43" fillId="0" borderId="0" xfId="0" applyFont="1"/>
    <xf numFmtId="0" fontId="122" fillId="0" borderId="0" xfId="0" applyFont="1"/>
    <xf numFmtId="0" fontId="124" fillId="47" borderId="19" xfId="172" applyFont="1" applyFill="1" applyBorder="1" applyAlignment="1">
      <alignment horizontal="left" indent="1"/>
    </xf>
    <xf numFmtId="173" fontId="124" fillId="47" borderId="110" xfId="172" applyNumberFormat="1" applyFont="1" applyFill="1" applyBorder="1" applyAlignment="1">
      <alignment horizontal="right"/>
    </xf>
    <xf numFmtId="173" fontId="124" fillId="47" borderId="20" xfId="172" applyNumberFormat="1" applyFont="1" applyFill="1" applyBorder="1" applyAlignment="1">
      <alignment horizontal="right"/>
    </xf>
    <xf numFmtId="0" fontId="124" fillId="0" borderId="0" xfId="0" applyFont="1"/>
    <xf numFmtId="0" fontId="125" fillId="0" borderId="0" xfId="0" applyFont="1"/>
    <xf numFmtId="0" fontId="126" fillId="0" borderId="0" xfId="0" applyFont="1"/>
    <xf numFmtId="0" fontId="10" fillId="49" borderId="19" xfId="172" applyFont="1" applyFill="1" applyBorder="1"/>
    <xf numFmtId="180" fontId="10" fillId="50" borderId="110" xfId="172" applyNumberFormat="1" applyFont="1" applyFill="1" applyBorder="1"/>
    <xf numFmtId="180" fontId="10" fillId="50" borderId="20" xfId="172" applyNumberFormat="1" applyFont="1" applyFill="1" applyBorder="1"/>
    <xf numFmtId="0" fontId="124" fillId="47" borderId="21" xfId="172" applyFont="1" applyFill="1" applyBorder="1" applyAlignment="1">
      <alignment horizontal="left" indent="1"/>
    </xf>
    <xf numFmtId="0" fontId="124" fillId="47" borderId="22" xfId="172" applyFont="1" applyFill="1" applyBorder="1"/>
    <xf numFmtId="4" fontId="124" fillId="47" borderId="22" xfId="172" applyNumberFormat="1" applyFont="1" applyFill="1" applyBorder="1"/>
    <xf numFmtId="173" fontId="124" fillId="47" borderId="22" xfId="172" applyNumberFormat="1" applyFont="1" applyFill="1" applyBorder="1" applyAlignment="1">
      <alignment horizontal="right"/>
    </xf>
    <xf numFmtId="173" fontId="124" fillId="47" borderId="116" xfId="172" applyNumberFormat="1" applyFont="1" applyFill="1" applyBorder="1" applyAlignment="1">
      <alignment horizontal="right"/>
    </xf>
    <xf numFmtId="173" fontId="124" fillId="47" borderId="23" xfId="172" applyNumberFormat="1" applyFont="1" applyFill="1" applyBorder="1" applyAlignment="1">
      <alignment horizontal="right"/>
    </xf>
    <xf numFmtId="0" fontId="135" fillId="0" borderId="0" xfId="0" applyFont="1" applyAlignment="1">
      <alignment horizontal="right"/>
    </xf>
    <xf numFmtId="173" fontId="135" fillId="44" borderId="0" xfId="0" applyNumberFormat="1" applyFont="1" applyFill="1" applyAlignment="1">
      <alignment horizontal="center"/>
    </xf>
    <xf numFmtId="0" fontId="135" fillId="0" borderId="0" xfId="0" applyFont="1"/>
    <xf numFmtId="0" fontId="135" fillId="27" borderId="0" xfId="0" applyFont="1" applyFill="1" applyAlignment="1">
      <alignment horizontal="right"/>
    </xf>
    <xf numFmtId="0" fontId="67" fillId="0" borderId="0" xfId="171" applyFont="1"/>
    <xf numFmtId="0" fontId="135" fillId="33" borderId="25" xfId="171" applyFont="1" applyFill="1" applyBorder="1" applyAlignment="1">
      <alignment horizontal="center" vertical="center"/>
    </xf>
    <xf numFmtId="0" fontId="135" fillId="33" borderId="148" xfId="171" applyFont="1" applyFill="1" applyBorder="1" applyAlignment="1">
      <alignment horizontal="center" vertical="center"/>
    </xf>
    <xf numFmtId="0" fontId="67" fillId="0" borderId="0" xfId="171" applyFont="1" applyAlignment="1">
      <alignment horizontal="center" vertical="center"/>
    </xf>
    <xf numFmtId="2" fontId="135" fillId="44" borderId="28" xfId="171" applyNumberFormat="1" applyFont="1" applyFill="1" applyBorder="1"/>
    <xf numFmtId="173" fontId="135" fillId="44" borderId="117" xfId="101" applyNumberFormat="1" applyFont="1" applyFill="1" applyBorder="1" applyAlignment="1" applyProtection="1">
      <alignment horizontal="right"/>
    </xf>
    <xf numFmtId="2" fontId="135" fillId="44" borderId="0" xfId="171" applyNumberFormat="1" applyFont="1" applyFill="1"/>
    <xf numFmtId="173" fontId="135" fillId="44" borderId="109" xfId="101" applyNumberFormat="1" applyFont="1" applyFill="1" applyBorder="1" applyAlignment="1" applyProtection="1">
      <alignment horizontal="right"/>
    </xf>
    <xf numFmtId="178" fontId="67" fillId="32" borderId="27" xfId="0" applyNumberFormat="1" applyFont="1" applyFill="1" applyBorder="1" applyProtection="1">
      <protection locked="0"/>
    </xf>
    <xf numFmtId="178" fontId="67" fillId="32" borderId="28" xfId="0" applyNumberFormat="1" applyFont="1" applyFill="1" applyBorder="1" applyProtection="1">
      <protection locked="0"/>
    </xf>
    <xf numFmtId="178" fontId="67" fillId="32" borderId="29" xfId="0" applyNumberFormat="1" applyFont="1" applyFill="1" applyBorder="1" applyProtection="1">
      <protection locked="0"/>
    </xf>
    <xf numFmtId="0" fontId="137" fillId="51" borderId="79" xfId="171" applyFont="1" applyFill="1" applyBorder="1" applyProtection="1">
      <protection locked="0"/>
    </xf>
    <xf numFmtId="0" fontId="137" fillId="51" borderId="23" xfId="171" applyFont="1" applyFill="1" applyBorder="1" applyProtection="1">
      <protection locked="0"/>
    </xf>
    <xf numFmtId="0" fontId="137" fillId="51" borderId="80" xfId="171" applyFont="1" applyFill="1" applyBorder="1" applyProtection="1">
      <protection locked="0"/>
    </xf>
    <xf numFmtId="0" fontId="137" fillId="51" borderId="79" xfId="171" applyFont="1" applyFill="1" applyBorder="1" applyAlignment="1" applyProtection="1">
      <alignment horizontal="center"/>
      <protection locked="0"/>
    </xf>
    <xf numFmtId="0" fontId="137" fillId="51" borderId="80" xfId="171" applyFont="1" applyFill="1" applyBorder="1" applyAlignment="1" applyProtection="1">
      <alignment horizontal="center"/>
      <protection locked="0"/>
    </xf>
    <xf numFmtId="174" fontId="67" fillId="24" borderId="22" xfId="111" applyNumberFormat="1" applyFont="1" applyFill="1" applyBorder="1">
      <alignment horizontal="right" vertical="center"/>
    </xf>
    <xf numFmtId="0" fontId="67" fillId="32" borderId="17" xfId="180" applyFont="1" applyFill="1" applyBorder="1">
      <alignment vertical="center"/>
      <protection locked="0"/>
    </xf>
    <xf numFmtId="172" fontId="67" fillId="32" borderId="16" xfId="213" applyNumberFormat="1" applyFont="1" applyFill="1" applyBorder="1">
      <alignment horizontal="right" vertical="center"/>
    </xf>
    <xf numFmtId="172" fontId="67" fillId="32" borderId="17" xfId="213" applyNumberFormat="1" applyFont="1" applyFill="1" applyBorder="1">
      <alignment horizontal="right" vertical="center"/>
    </xf>
    <xf numFmtId="172" fontId="67" fillId="32" borderId="47" xfId="213" applyNumberFormat="1" applyFont="1" applyFill="1" applyBorder="1">
      <alignment horizontal="right" vertical="center"/>
    </xf>
    <xf numFmtId="175" fontId="67" fillId="32" borderId="17" xfId="213" applyNumberFormat="1" applyFont="1" applyFill="1" applyBorder="1" applyProtection="1">
      <alignment horizontal="right" vertical="center"/>
      <protection locked="0"/>
    </xf>
    <xf numFmtId="175" fontId="67" fillId="32" borderId="150" xfId="213" applyNumberFormat="1" applyFont="1" applyFill="1" applyBorder="1" applyProtection="1">
      <alignment horizontal="right" vertical="center"/>
      <protection locked="0"/>
    </xf>
    <xf numFmtId="175" fontId="67" fillId="32" borderId="49" xfId="213" applyNumberFormat="1" applyFont="1" applyFill="1" applyBorder="1" applyProtection="1">
      <alignment horizontal="right" vertical="center"/>
      <protection locked="0"/>
    </xf>
    <xf numFmtId="175" fontId="67" fillId="32" borderId="37" xfId="213" applyNumberFormat="1" applyFont="1" applyFill="1" applyBorder="1" applyProtection="1">
      <alignment horizontal="right" vertical="center"/>
      <protection locked="0"/>
    </xf>
    <xf numFmtId="170" fontId="67" fillId="32" borderId="77" xfId="213" applyNumberFormat="1" applyFont="1" applyFill="1" applyBorder="1">
      <alignment horizontal="right" vertical="center"/>
    </xf>
    <xf numFmtId="170" fontId="67" fillId="32" borderId="25" xfId="213" applyNumberFormat="1" applyFont="1" applyFill="1" applyBorder="1">
      <alignment horizontal="right" vertical="center"/>
    </xf>
    <xf numFmtId="170" fontId="67" fillId="32" borderId="24" xfId="213" applyNumberFormat="1" applyFont="1" applyFill="1" applyBorder="1">
      <alignment horizontal="right" vertical="center"/>
    </xf>
    <xf numFmtId="170" fontId="67" fillId="32" borderId="25" xfId="213" applyNumberFormat="1" applyFont="1" applyFill="1" applyBorder="1" applyProtection="1">
      <alignment horizontal="right" vertical="center"/>
      <protection locked="0"/>
    </xf>
    <xf numFmtId="170" fontId="67" fillId="32" borderId="24" xfId="213" applyNumberFormat="1" applyFont="1" applyFill="1" applyBorder="1" applyProtection="1">
      <alignment horizontal="right" vertical="center"/>
      <protection locked="0"/>
    </xf>
    <xf numFmtId="170" fontId="67" fillId="32" borderId="31" xfId="213" applyNumberFormat="1" applyFont="1" applyFill="1" applyBorder="1" applyProtection="1">
      <alignment horizontal="right" vertical="center"/>
      <protection locked="0"/>
    </xf>
    <xf numFmtId="170" fontId="67" fillId="32" borderId="13" xfId="213" applyNumberFormat="1" applyFont="1" applyFill="1" applyBorder="1" applyProtection="1">
      <alignment horizontal="right" vertical="center"/>
      <protection locked="0"/>
    </xf>
    <xf numFmtId="172" fontId="67" fillId="32" borderId="17" xfId="213" applyNumberFormat="1" applyFont="1" applyFill="1" applyBorder="1" applyProtection="1">
      <alignment horizontal="right" vertical="center"/>
      <protection locked="0"/>
    </xf>
    <xf numFmtId="172" fontId="67" fillId="32" borderId="47" xfId="213" applyNumberFormat="1" applyFont="1" applyFill="1" applyBorder="1" applyProtection="1">
      <alignment horizontal="right" vertical="center"/>
      <protection locked="0"/>
    </xf>
    <xf numFmtId="174" fontId="67" fillId="32" borderId="17" xfId="213" applyNumberFormat="1" applyFont="1" applyFill="1" applyBorder="1" applyProtection="1">
      <alignment horizontal="right" vertical="center"/>
      <protection locked="0"/>
    </xf>
    <xf numFmtId="172" fontId="67" fillId="32" borderId="150" xfId="213" applyNumberFormat="1" applyFont="1" applyFill="1" applyBorder="1" applyProtection="1">
      <alignment horizontal="right" vertical="center"/>
      <protection locked="0"/>
    </xf>
    <xf numFmtId="172" fontId="67" fillId="32" borderId="49" xfId="213" applyNumberFormat="1" applyFont="1" applyFill="1" applyBorder="1" applyProtection="1">
      <alignment horizontal="right" vertical="center"/>
      <protection locked="0"/>
    </xf>
    <xf numFmtId="172" fontId="67" fillId="32" borderId="37" xfId="213" applyNumberFormat="1" applyFont="1" applyFill="1" applyBorder="1" applyProtection="1">
      <alignment horizontal="right" vertical="center"/>
      <protection locked="0"/>
    </xf>
    <xf numFmtId="170" fontId="67" fillId="32" borderId="53" xfId="213" applyNumberFormat="1" applyFont="1" applyFill="1" applyBorder="1" applyProtection="1">
      <alignment horizontal="right" vertical="center"/>
      <protection locked="0"/>
    </xf>
    <xf numFmtId="170" fontId="67" fillId="32" borderId="17" xfId="213" applyNumberFormat="1" applyFont="1" applyFill="1" applyBorder="1" applyProtection="1">
      <alignment horizontal="right" vertical="center"/>
      <protection locked="0"/>
    </xf>
    <xf numFmtId="170" fontId="67" fillId="32" borderId="150" xfId="213" applyNumberFormat="1" applyFont="1" applyFill="1" applyBorder="1" applyProtection="1">
      <alignment horizontal="right" vertical="center"/>
      <protection locked="0"/>
    </xf>
    <xf numFmtId="170" fontId="67" fillId="32" borderId="49" xfId="213" applyNumberFormat="1" applyFont="1" applyFill="1" applyBorder="1" applyProtection="1">
      <alignment horizontal="right" vertical="center"/>
      <protection locked="0"/>
    </xf>
    <xf numFmtId="170" fontId="67" fillId="32" borderId="37" xfId="213" applyNumberFormat="1" applyFont="1" applyFill="1" applyBorder="1" applyProtection="1">
      <alignment horizontal="right" vertical="center"/>
      <protection locked="0"/>
    </xf>
    <xf numFmtId="172" fontId="67" fillId="0" borderId="14" xfId="111" applyNumberFormat="1" applyFont="1" applyFill="1" applyBorder="1" applyProtection="1">
      <alignment horizontal="right" vertical="center"/>
      <protection locked="0"/>
    </xf>
    <xf numFmtId="194" fontId="67" fillId="27" borderId="0" xfId="101" applyNumberFormat="1" applyFont="1" applyFill="1" applyBorder="1" applyProtection="1"/>
    <xf numFmtId="172" fontId="67" fillId="32" borderId="18" xfId="213" applyNumberFormat="1" applyFont="1" applyFill="1" applyBorder="1" applyProtection="1">
      <alignment horizontal="right" vertical="center"/>
      <protection locked="0"/>
    </xf>
    <xf numFmtId="172" fontId="139" fillId="28" borderId="151" xfId="69" applyNumberFormat="1" applyFont="1" applyFill="1" applyBorder="1" applyAlignment="1">
      <alignment horizontal="right" vertical="center" wrapText="1"/>
    </xf>
    <xf numFmtId="172" fontId="139" fillId="29" borderId="151" xfId="69" applyNumberFormat="1" applyFont="1" applyFill="1" applyBorder="1" applyAlignment="1">
      <alignment horizontal="right" vertical="center" wrapText="1"/>
    </xf>
    <xf numFmtId="172" fontId="57" fillId="29" borderId="151" xfId="69" applyNumberFormat="1" applyFont="1" applyFill="1" applyBorder="1" applyAlignment="1">
      <alignment horizontal="right" vertical="center" wrapText="1"/>
    </xf>
    <xf numFmtId="172" fontId="140" fillId="28" borderId="151" xfId="69" applyNumberFormat="1" applyFont="1" applyFill="1" applyBorder="1" applyAlignment="1">
      <alignment horizontal="right" vertical="center" wrapText="1"/>
    </xf>
    <xf numFmtId="172" fontId="140" fillId="29" borderId="151" xfId="69" applyNumberFormat="1" applyFont="1" applyFill="1" applyBorder="1" applyAlignment="1">
      <alignment horizontal="right" vertical="center" wrapText="1"/>
    </xf>
    <xf numFmtId="172" fontId="81" fillId="29" borderId="151" xfId="69" applyNumberFormat="1" applyFont="1" applyFill="1" applyBorder="1" applyAlignment="1">
      <alignment horizontal="right" vertical="center" wrapText="1"/>
    </xf>
    <xf numFmtId="172" fontId="57" fillId="28" borderId="151" xfId="69" applyNumberFormat="1" applyFont="1" applyFill="1" applyBorder="1" applyAlignment="1">
      <alignment horizontal="right" vertical="center" wrapText="1"/>
    </xf>
    <xf numFmtId="172" fontId="82" fillId="28" borderId="0" xfId="69" applyNumberFormat="1" applyFont="1" applyFill="1" applyBorder="1" applyAlignment="1">
      <alignment horizontal="right" vertical="center" wrapText="1"/>
    </xf>
    <xf numFmtId="172" fontId="82" fillId="29" borderId="0" xfId="69" applyNumberFormat="1" applyFont="1" applyFill="1" applyBorder="1" applyAlignment="1">
      <alignment horizontal="right" vertical="center" wrapText="1"/>
    </xf>
    <xf numFmtId="172" fontId="57" fillId="28" borderId="32" xfId="69" applyNumberFormat="1" applyFont="1" applyFill="1" applyBorder="1" applyAlignment="1">
      <alignment horizontal="right" vertical="center" wrapText="1"/>
    </xf>
    <xf numFmtId="43" fontId="71" fillId="0" borderId="0" xfId="69" applyFont="1"/>
    <xf numFmtId="172" fontId="71" fillId="29" borderId="151" xfId="69" applyNumberFormat="1" applyFont="1" applyFill="1" applyBorder="1" applyAlignment="1">
      <alignment horizontal="right" vertical="center" wrapText="1"/>
    </xf>
    <xf numFmtId="172" fontId="81" fillId="29" borderId="0" xfId="69" applyNumberFormat="1" applyFont="1" applyFill="1" applyBorder="1" applyAlignment="1">
      <alignment horizontal="right" vertical="center" wrapText="1"/>
    </xf>
    <xf numFmtId="172" fontId="57" fillId="28" borderId="36" xfId="69" applyNumberFormat="1" applyFont="1" applyFill="1" applyBorder="1" applyAlignment="1">
      <alignment horizontal="right" vertical="center" wrapText="1"/>
    </xf>
    <xf numFmtId="172" fontId="67" fillId="32" borderId="25" xfId="143" applyNumberFormat="1" applyFont="1" applyFill="1" applyBorder="1" applyProtection="1">
      <protection locked="0"/>
    </xf>
    <xf numFmtId="172" fontId="67" fillId="32" borderId="53" xfId="143" applyNumberFormat="1" applyFont="1" applyFill="1" applyBorder="1" applyProtection="1">
      <protection locked="0"/>
    </xf>
    <xf numFmtId="2" fontId="67" fillId="0" borderId="0" xfId="143" applyNumberFormat="1" applyFont="1"/>
    <xf numFmtId="0" fontId="67" fillId="0" borderId="0" xfId="143" applyFont="1" applyAlignment="1">
      <alignment horizontal="right"/>
    </xf>
    <xf numFmtId="2" fontId="71" fillId="0" borderId="0" xfId="143" applyNumberFormat="1" applyFont="1"/>
    <xf numFmtId="172" fontId="96" fillId="27" borderId="68" xfId="112" applyNumberFormat="1" applyFont="1" applyFill="1" applyBorder="1">
      <alignment horizontal="right" vertical="center"/>
    </xf>
    <xf numFmtId="170" fontId="67" fillId="34" borderId="25" xfId="69" applyNumberFormat="1" applyFont="1" applyFill="1" applyBorder="1" applyProtection="1"/>
    <xf numFmtId="170" fontId="67" fillId="32" borderId="25" xfId="0" applyNumberFormat="1" applyFont="1" applyFill="1" applyBorder="1" applyProtection="1">
      <protection locked="0"/>
    </xf>
    <xf numFmtId="170" fontId="67" fillId="32" borderId="26" xfId="0" applyNumberFormat="1" applyFont="1" applyFill="1" applyBorder="1" applyProtection="1">
      <protection locked="0"/>
    </xf>
    <xf numFmtId="170" fontId="67" fillId="32" borderId="24" xfId="0" applyNumberFormat="1" applyFont="1" applyFill="1" applyBorder="1" applyProtection="1">
      <protection locked="0"/>
    </xf>
    <xf numFmtId="0" fontId="137" fillId="54" borderId="71" xfId="171" applyFont="1" applyFill="1" applyBorder="1" applyProtection="1">
      <protection locked="0"/>
    </xf>
    <xf numFmtId="0" fontId="137" fillId="54" borderId="72" xfId="171" applyFont="1" applyFill="1" applyBorder="1" applyProtection="1">
      <protection locked="0"/>
    </xf>
    <xf numFmtId="0" fontId="137" fillId="54" borderId="71" xfId="171" applyFont="1" applyFill="1" applyBorder="1" applyAlignment="1" applyProtection="1">
      <alignment horizontal="center"/>
      <protection locked="0"/>
    </xf>
    <xf numFmtId="0" fontId="137" fillId="54" borderId="72" xfId="171" applyFont="1" applyFill="1" applyBorder="1" applyAlignment="1" applyProtection="1">
      <alignment horizontal="center"/>
      <protection locked="0"/>
    </xf>
    <xf numFmtId="0" fontId="137" fillId="54" borderId="77" xfId="171" applyFont="1" applyFill="1" applyBorder="1" applyProtection="1">
      <protection locked="0"/>
    </xf>
    <xf numFmtId="0" fontId="137" fillId="54" borderId="46" xfId="171" applyFont="1" applyFill="1" applyBorder="1" applyProtection="1">
      <protection locked="0"/>
    </xf>
    <xf numFmtId="0" fontId="137" fillId="54" borderId="45" xfId="171" applyFont="1" applyFill="1" applyBorder="1" applyProtection="1">
      <protection locked="0"/>
    </xf>
    <xf numFmtId="0" fontId="137" fillId="54" borderId="77" xfId="171" applyFont="1" applyFill="1" applyBorder="1" applyAlignment="1" applyProtection="1">
      <alignment horizontal="center"/>
      <protection locked="0"/>
    </xf>
    <xf numFmtId="0" fontId="137" fillId="54" borderId="45" xfId="171" applyFont="1" applyFill="1" applyBorder="1" applyAlignment="1" applyProtection="1">
      <alignment horizontal="center"/>
      <protection locked="0"/>
    </xf>
    <xf numFmtId="165" fontId="142" fillId="0" borderId="0" xfId="111" applyFont="1">
      <alignment horizontal="right" vertical="center"/>
    </xf>
    <xf numFmtId="172" fontId="67" fillId="32" borderId="50" xfId="213" applyNumberFormat="1" applyFont="1" applyFill="1" applyBorder="1" applyProtection="1">
      <alignment horizontal="right" vertical="center"/>
      <protection locked="0"/>
    </xf>
    <xf numFmtId="185" fontId="10" fillId="40" borderId="109" xfId="169" applyNumberFormat="1" applyFont="1" applyFill="1" applyBorder="1" applyProtection="1">
      <protection locked="0"/>
    </xf>
    <xf numFmtId="185" fontId="10" fillId="40" borderId="0" xfId="169" applyNumberFormat="1" applyFont="1" applyFill="1" applyProtection="1">
      <protection locked="0"/>
    </xf>
    <xf numFmtId="185" fontId="10" fillId="40" borderId="0" xfId="172" applyNumberFormat="1" applyFont="1" applyFill="1" applyProtection="1">
      <protection locked="0"/>
    </xf>
    <xf numFmtId="185" fontId="10" fillId="40" borderId="110" xfId="172" applyNumberFormat="1" applyFont="1" applyFill="1" applyBorder="1" applyProtection="1">
      <protection locked="0"/>
    </xf>
    <xf numFmtId="185" fontId="4" fillId="40" borderId="109" xfId="169" applyNumberFormat="1" applyFill="1" applyBorder="1" applyProtection="1">
      <protection locked="0"/>
    </xf>
    <xf numFmtId="185" fontId="4" fillId="40" borderId="0" xfId="169" applyNumberFormat="1" applyFill="1" applyProtection="1">
      <protection locked="0"/>
    </xf>
    <xf numFmtId="185" fontId="4" fillId="40" borderId="0" xfId="172" applyNumberFormat="1" applyFont="1" applyFill="1" applyProtection="1">
      <protection locked="0"/>
    </xf>
    <xf numFmtId="185" fontId="4" fillId="40" borderId="110" xfId="172" applyNumberFormat="1" applyFont="1" applyFill="1" applyBorder="1" applyProtection="1">
      <protection locked="0"/>
    </xf>
    <xf numFmtId="193" fontId="4" fillId="40" borderId="0" xfId="169" applyNumberFormat="1" applyFill="1" applyProtection="1">
      <protection locked="0"/>
    </xf>
    <xf numFmtId="193" fontId="4" fillId="40" borderId="0" xfId="172" applyNumberFormat="1" applyFont="1" applyFill="1" applyProtection="1">
      <protection locked="0"/>
    </xf>
    <xf numFmtId="193" fontId="4" fillId="40" borderId="110" xfId="172" applyNumberFormat="1" applyFont="1" applyFill="1" applyBorder="1" applyProtection="1">
      <protection locked="0"/>
    </xf>
    <xf numFmtId="2" fontId="67" fillId="0" borderId="24" xfId="0" applyNumberFormat="1" applyFont="1" applyBorder="1"/>
    <xf numFmtId="2" fontId="67" fillId="0" borderId="25" xfId="0" applyNumberFormat="1" applyFont="1" applyBorder="1"/>
    <xf numFmtId="0" fontId="117" fillId="0" borderId="0" xfId="0" applyFont="1" applyAlignment="1">
      <alignment horizontal="right"/>
    </xf>
    <xf numFmtId="172" fontId="67" fillId="32" borderId="77" xfId="143" applyNumberFormat="1" applyFont="1" applyFill="1" applyBorder="1" applyProtection="1">
      <protection locked="0"/>
    </xf>
    <xf numFmtId="0" fontId="142" fillId="0" borderId="0" xfId="143" applyFont="1"/>
    <xf numFmtId="0" fontId="76" fillId="0" borderId="0" xfId="143" applyFont="1"/>
    <xf numFmtId="0" fontId="142" fillId="0" borderId="0" xfId="0" applyFont="1"/>
    <xf numFmtId="195" fontId="10" fillId="44" borderId="114" xfId="173" applyNumberFormat="1" applyFont="1" applyFill="1" applyBorder="1"/>
    <xf numFmtId="195" fontId="10" fillId="44" borderId="17" xfId="173" applyNumberFormat="1" applyFont="1" applyFill="1" applyBorder="1"/>
    <xf numFmtId="195" fontId="10" fillId="44" borderId="110" xfId="172" applyNumberFormat="1" applyFont="1" applyFill="1" applyBorder="1"/>
    <xf numFmtId="173" fontId="124" fillId="33" borderId="110" xfId="172" applyNumberFormat="1" applyFont="1" applyFill="1" applyBorder="1" applyAlignment="1">
      <alignment horizontal="right"/>
    </xf>
    <xf numFmtId="173" fontId="124" fillId="33" borderId="116" xfId="172" applyNumberFormat="1" applyFont="1" applyFill="1" applyBorder="1" applyAlignment="1">
      <alignment horizontal="right"/>
    </xf>
    <xf numFmtId="0" fontId="71" fillId="27" borderId="24" xfId="0" applyFont="1" applyFill="1" applyBorder="1" applyAlignment="1">
      <alignment horizontal="center"/>
    </xf>
    <xf numFmtId="172" fontId="67" fillId="32" borderId="27" xfId="114" applyNumberFormat="1" applyFont="1" applyFill="1" applyBorder="1" applyAlignment="1" applyProtection="1">
      <alignment vertical="center"/>
      <protection locked="0"/>
    </xf>
    <xf numFmtId="0" fontId="67" fillId="55" borderId="0" xfId="0" applyFont="1" applyFill="1" applyAlignment="1">
      <alignment horizontal="center" vertical="center"/>
    </xf>
    <xf numFmtId="173" fontId="135" fillId="0" borderId="0" xfId="101" applyNumberFormat="1" applyFont="1" applyFill="1" applyBorder="1" applyAlignment="1" applyProtection="1">
      <alignment horizontal="right"/>
    </xf>
    <xf numFmtId="172" fontId="136" fillId="0" borderId="0" xfId="0" applyNumberFormat="1" applyFont="1"/>
    <xf numFmtId="172" fontId="67" fillId="0" borderId="27" xfId="114" applyNumberFormat="1" applyFont="1" applyFill="1" applyBorder="1">
      <alignment horizontal="right" vertical="center"/>
    </xf>
    <xf numFmtId="172" fontId="67" fillId="0" borderId="28" xfId="114" applyNumberFormat="1" applyFont="1" applyFill="1" applyBorder="1">
      <alignment horizontal="right" vertical="center"/>
    </xf>
    <xf numFmtId="172" fontId="67" fillId="0" borderId="29" xfId="114" applyNumberFormat="1" applyFont="1" applyFill="1" applyBorder="1">
      <alignment horizontal="right" vertical="center"/>
    </xf>
    <xf numFmtId="172" fontId="67" fillId="0" borderId="30" xfId="114" applyNumberFormat="1" applyFont="1" applyFill="1" applyBorder="1">
      <alignment horizontal="right" vertical="center"/>
    </xf>
    <xf numFmtId="172" fontId="67" fillId="0" borderId="0" xfId="114" applyNumberFormat="1" applyFont="1" applyFill="1" applyBorder="1">
      <alignment horizontal="right" vertical="center"/>
    </xf>
    <xf numFmtId="172" fontId="67" fillId="0" borderId="14" xfId="114" applyNumberFormat="1" applyFont="1" applyFill="1" applyBorder="1">
      <alignment horizontal="right" vertical="center"/>
    </xf>
    <xf numFmtId="172" fontId="67" fillId="0" borderId="31" xfId="114" applyNumberFormat="1" applyFont="1" applyFill="1" applyBorder="1">
      <alignment horizontal="right" vertical="center"/>
    </xf>
    <xf numFmtId="172" fontId="67" fillId="0" borderId="13" xfId="114" applyNumberFormat="1" applyFont="1" applyFill="1" applyBorder="1">
      <alignment horizontal="right" vertical="center"/>
    </xf>
    <xf numFmtId="172" fontId="67" fillId="0" borderId="15" xfId="114" applyNumberFormat="1" applyFont="1" applyFill="1" applyBorder="1">
      <alignment horizontal="right" vertical="center"/>
    </xf>
    <xf numFmtId="2" fontId="71" fillId="0" borderId="24" xfId="0" applyNumberFormat="1" applyFont="1" applyBorder="1"/>
    <xf numFmtId="2" fontId="71" fillId="0" borderId="25" xfId="0" applyNumberFormat="1" applyFont="1" applyBorder="1"/>
    <xf numFmtId="2" fontId="71" fillId="0" borderId="26" xfId="0" applyNumberFormat="1" applyFont="1" applyBorder="1"/>
    <xf numFmtId="0" fontId="67" fillId="0" borderId="0" xfId="169" applyFont="1"/>
    <xf numFmtId="0" fontId="71" fillId="0" borderId="0" xfId="169" applyFont="1"/>
    <xf numFmtId="0" fontId="71" fillId="52" borderId="0" xfId="169" quotePrefix="1" applyFont="1" applyFill="1" applyAlignment="1">
      <alignment horizontal="center"/>
    </xf>
    <xf numFmtId="0" fontId="57" fillId="27" borderId="0" xfId="169" applyFont="1" applyFill="1"/>
    <xf numFmtId="0" fontId="56" fillId="27" borderId="0" xfId="169" applyFont="1" applyFill="1"/>
    <xf numFmtId="0" fontId="142" fillId="0" borderId="0" xfId="169" applyFont="1"/>
    <xf numFmtId="0" fontId="138" fillId="53" borderId="151" xfId="169" applyFont="1" applyFill="1" applyBorder="1" applyAlignment="1">
      <alignment vertical="center" wrapText="1"/>
    </xf>
    <xf numFmtId="0" fontId="138" fillId="53" borderId="151" xfId="169" applyFont="1" applyFill="1" applyBorder="1" applyAlignment="1">
      <alignment horizontal="right" vertical="center" wrapText="1"/>
    </xf>
    <xf numFmtId="0" fontId="57" fillId="29" borderId="151" xfId="169" applyFont="1" applyFill="1" applyBorder="1" applyAlignment="1">
      <alignment vertical="center" wrapText="1"/>
    </xf>
    <xf numFmtId="0" fontId="4" fillId="40" borderId="8" xfId="169" applyFill="1" applyBorder="1" applyAlignment="1">
      <alignment horizontal="center"/>
    </xf>
    <xf numFmtId="0" fontId="92" fillId="0" borderId="0" xfId="169" applyFont="1"/>
    <xf numFmtId="0" fontId="81" fillId="29" borderId="151" xfId="169" quotePrefix="1" applyFont="1" applyFill="1" applyBorder="1" applyAlignment="1">
      <alignment horizontal="left" vertical="center" wrapText="1" indent="2"/>
    </xf>
    <xf numFmtId="172" fontId="71" fillId="0" borderId="0" xfId="169" applyNumberFormat="1" applyFont="1"/>
    <xf numFmtId="0" fontId="81" fillId="29" borderId="151" xfId="169" quotePrefix="1" applyFont="1" applyFill="1" applyBorder="1" applyAlignment="1">
      <alignment horizontal="left" vertical="center" indent="2"/>
    </xf>
    <xf numFmtId="0" fontId="141" fillId="0" borderId="0" xfId="169" applyFont="1"/>
    <xf numFmtId="0" fontId="82" fillId="29" borderId="0" xfId="169" quotePrefix="1" applyFont="1" applyFill="1" applyAlignment="1">
      <alignment horizontal="left" vertical="center" wrapText="1"/>
    </xf>
    <xf numFmtId="0" fontId="57" fillId="28" borderId="32" xfId="169" applyFont="1" applyFill="1" applyBorder="1" applyAlignment="1">
      <alignment vertical="center" wrapText="1"/>
    </xf>
    <xf numFmtId="0" fontId="82" fillId="29" borderId="0" xfId="169" quotePrefix="1" applyFont="1" applyFill="1" applyAlignment="1">
      <alignment horizontal="left" vertical="center" wrapText="1" indent="1"/>
    </xf>
    <xf numFmtId="0" fontId="81" fillId="29" borderId="0" xfId="169" quotePrefix="1" applyFont="1" applyFill="1" applyAlignment="1">
      <alignment horizontal="left" vertical="center" wrapText="1" indent="1"/>
    </xf>
    <xf numFmtId="0" fontId="57" fillId="28" borderId="36" xfId="169" applyFont="1" applyFill="1" applyBorder="1" applyAlignment="1">
      <alignment vertical="center" wrapText="1"/>
    </xf>
    <xf numFmtId="0" fontId="118" fillId="0" borderId="0" xfId="169" applyFont="1"/>
    <xf numFmtId="172" fontId="144" fillId="42" borderId="151" xfId="69" applyNumberFormat="1" applyFont="1" applyFill="1" applyBorder="1" applyAlignment="1">
      <alignment horizontal="left" vertical="center" wrapText="1"/>
    </xf>
    <xf numFmtId="43" fontId="144" fillId="42" borderId="151" xfId="69" applyFont="1" applyFill="1" applyBorder="1" applyAlignment="1">
      <alignment horizontal="right" vertical="center" wrapText="1"/>
    </xf>
    <xf numFmtId="43" fontId="145" fillId="42" borderId="151" xfId="69" applyFont="1" applyFill="1" applyBorder="1" applyAlignment="1">
      <alignment horizontal="right" vertical="center" wrapText="1"/>
    </xf>
    <xf numFmtId="172" fontId="135" fillId="0" borderId="0" xfId="0" applyNumberFormat="1" applyFont="1"/>
    <xf numFmtId="4" fontId="135" fillId="0" borderId="0" xfId="0" applyNumberFormat="1" applyFont="1"/>
    <xf numFmtId="172" fontId="67" fillId="0" borderId="0" xfId="112" applyNumberFormat="1" applyFont="1" applyFill="1" applyBorder="1">
      <alignment horizontal="right" vertical="center"/>
    </xf>
    <xf numFmtId="172" fontId="67" fillId="0" borderId="13" xfId="112" applyNumberFormat="1" applyFont="1" applyFill="1" applyBorder="1">
      <alignment horizontal="right" vertical="center"/>
    </xf>
    <xf numFmtId="172" fontId="71" fillId="0" borderId="32" xfId="112" applyNumberFormat="1" applyFont="1" applyFill="1" applyBorder="1">
      <alignment horizontal="right" vertical="center"/>
    </xf>
    <xf numFmtId="0" fontId="137" fillId="54" borderId="37" xfId="171" applyFont="1" applyFill="1" applyBorder="1" applyProtection="1">
      <protection locked="0"/>
    </xf>
    <xf numFmtId="190" fontId="67" fillId="29" borderId="25" xfId="165" applyNumberFormat="1" applyFont="1" applyFill="1" applyBorder="1" applyProtection="1">
      <alignment vertical="center"/>
    </xf>
    <xf numFmtId="190" fontId="67" fillId="29" borderId="25" xfId="166" applyNumberFormat="1" applyFont="1" applyFill="1" applyBorder="1">
      <alignment vertical="center"/>
    </xf>
    <xf numFmtId="190" fontId="67" fillId="57" borderId="25" xfId="166" applyNumberFormat="1" applyFont="1" applyFill="1" applyBorder="1">
      <alignment vertical="center"/>
    </xf>
    <xf numFmtId="190" fontId="67" fillId="57" borderId="25" xfId="101" applyNumberFormat="1" applyFont="1" applyFill="1" applyBorder="1" applyAlignment="1" applyProtection="1">
      <alignment horizontal="right" vertical="center"/>
    </xf>
    <xf numFmtId="190" fontId="67" fillId="29" borderId="24" xfId="165" applyNumberFormat="1" applyFont="1" applyFill="1" applyBorder="1" applyProtection="1">
      <alignment vertical="center"/>
    </xf>
    <xf numFmtId="10" fontId="56" fillId="32" borderId="25" xfId="101" applyNumberFormat="1" applyFont="1" applyFill="1" applyBorder="1" applyAlignment="1" applyProtection="1">
      <alignment vertical="center"/>
      <protection locked="0"/>
    </xf>
    <xf numFmtId="190" fontId="57" fillId="0" borderId="24" xfId="166" applyNumberFormat="1" applyFont="1" applyFill="1" applyBorder="1">
      <alignment vertical="center"/>
    </xf>
    <xf numFmtId="190" fontId="57" fillId="0" borderId="25" xfId="166" applyNumberFormat="1" applyFont="1" applyFill="1" applyBorder="1">
      <alignment vertical="center"/>
    </xf>
    <xf numFmtId="190" fontId="57" fillId="0" borderId="26" xfId="166" applyNumberFormat="1" applyFont="1" applyFill="1" applyBorder="1">
      <alignment vertical="center"/>
    </xf>
    <xf numFmtId="10" fontId="71" fillId="29" borderId="24" xfId="102" applyNumberFormat="1" applyFont="1" applyFill="1" applyBorder="1" applyAlignment="1" applyProtection="1">
      <alignment horizontal="right" vertical="top" wrapText="1"/>
    </xf>
    <xf numFmtId="10" fontId="71" fillId="29" borderId="25" xfId="102" applyNumberFormat="1" applyFont="1" applyFill="1" applyBorder="1" applyAlignment="1" applyProtection="1">
      <alignment horizontal="right" vertical="top" wrapText="1"/>
    </xf>
    <xf numFmtId="10" fontId="71" fillId="29" borderId="26" xfId="102" applyNumberFormat="1" applyFont="1" applyFill="1" applyBorder="1" applyAlignment="1" applyProtection="1">
      <alignment horizontal="right" vertical="top" wrapText="1"/>
    </xf>
    <xf numFmtId="10" fontId="56" fillId="27" borderId="13" xfId="102" applyNumberFormat="1" applyFont="1" applyFill="1" applyBorder="1" applyProtection="1"/>
    <xf numFmtId="10" fontId="56" fillId="27" borderId="15" xfId="102" applyNumberFormat="1" applyFont="1" applyFill="1" applyBorder="1" applyProtection="1"/>
    <xf numFmtId="9" fontId="56" fillId="27" borderId="25" xfId="102" applyFont="1" applyFill="1" applyBorder="1" applyProtection="1"/>
    <xf numFmtId="9" fontId="56" fillId="27" borderId="26" xfId="102" applyFont="1" applyFill="1" applyBorder="1" applyProtection="1"/>
    <xf numFmtId="9" fontId="56" fillId="27" borderId="24" xfId="102" applyFont="1" applyFill="1" applyBorder="1" applyProtection="1"/>
    <xf numFmtId="10" fontId="56" fillId="27" borderId="24" xfId="102" applyNumberFormat="1" applyFont="1" applyFill="1" applyBorder="1" applyProtection="1"/>
    <xf numFmtId="10" fontId="56" fillId="27" borderId="25" xfId="102" applyNumberFormat="1" applyFont="1" applyFill="1" applyBorder="1" applyProtection="1"/>
    <xf numFmtId="10" fontId="56" fillId="27" borderId="26" xfId="102" applyNumberFormat="1" applyFont="1" applyFill="1" applyBorder="1" applyProtection="1"/>
    <xf numFmtId="10" fontId="71" fillId="27" borderId="24" xfId="102" applyNumberFormat="1" applyFont="1" applyFill="1" applyBorder="1" applyAlignment="1" applyProtection="1">
      <alignment horizontal="right" vertical="top" wrapText="1"/>
    </xf>
    <xf numFmtId="10" fontId="71" fillId="27" borderId="25" xfId="102" applyNumberFormat="1" applyFont="1" applyFill="1" applyBorder="1" applyAlignment="1" applyProtection="1">
      <alignment horizontal="right" vertical="top" wrapText="1"/>
    </xf>
    <xf numFmtId="10" fontId="71" fillId="27" borderId="26" xfId="102" applyNumberFormat="1" applyFont="1" applyFill="1" applyBorder="1" applyAlignment="1" applyProtection="1">
      <alignment horizontal="right" vertical="top" wrapText="1"/>
    </xf>
    <xf numFmtId="10" fontId="57" fillId="27" borderId="24" xfId="102" applyNumberFormat="1" applyFont="1" applyFill="1" applyBorder="1" applyProtection="1"/>
    <xf numFmtId="10" fontId="57" fillId="27" borderId="25" xfId="102" applyNumberFormat="1" applyFont="1" applyFill="1" applyBorder="1" applyProtection="1"/>
    <xf numFmtId="10" fontId="57" fillId="27" borderId="26" xfId="102" applyNumberFormat="1" applyFont="1" applyFill="1" applyBorder="1" applyProtection="1"/>
    <xf numFmtId="10" fontId="56" fillId="32" borderId="26" xfId="101" applyNumberFormat="1" applyFont="1" applyFill="1" applyBorder="1" applyAlignment="1" applyProtection="1">
      <alignment vertical="center"/>
      <protection locked="0"/>
    </xf>
    <xf numFmtId="9" fontId="56" fillId="58" borderId="24" xfId="102" applyFont="1" applyFill="1" applyBorder="1" applyProtection="1"/>
    <xf numFmtId="10" fontId="56" fillId="58" borderId="31" xfId="102" applyNumberFormat="1" applyFont="1" applyFill="1" applyBorder="1" applyProtection="1"/>
    <xf numFmtId="0" fontId="57" fillId="0" borderId="19" xfId="0" applyFont="1" applyBorder="1" applyAlignment="1">
      <alignment horizontal="left" vertical="center" indent="2"/>
    </xf>
    <xf numFmtId="0" fontId="56" fillId="0" borderId="51" xfId="0" applyFont="1" applyBorder="1" applyAlignment="1">
      <alignment horizontal="center" vertical="center"/>
    </xf>
    <xf numFmtId="0" fontId="71" fillId="27" borderId="0" xfId="0" applyFont="1" applyFill="1" applyAlignment="1">
      <alignment horizontal="center" vertical="top"/>
    </xf>
    <xf numFmtId="2" fontId="67" fillId="27" borderId="0" xfId="140" applyNumberFormat="1" applyFont="1" applyFill="1" applyAlignment="1" applyProtection="1">
      <alignment horizontal="center" vertical="center"/>
      <protection locked="0"/>
    </xf>
    <xf numFmtId="2" fontId="67" fillId="27" borderId="0" xfId="140" applyNumberFormat="1" applyFont="1" applyFill="1" applyAlignment="1">
      <alignment horizontal="center" vertical="center"/>
    </xf>
    <xf numFmtId="2" fontId="71" fillId="27" borderId="0" xfId="140" applyNumberFormat="1" applyFont="1" applyFill="1" applyAlignment="1">
      <alignment horizontal="center" vertical="center"/>
    </xf>
    <xf numFmtId="0" fontId="67" fillId="27" borderId="0" xfId="0" applyFont="1" applyFill="1" applyAlignment="1">
      <alignment horizontal="center"/>
    </xf>
    <xf numFmtId="0" fontId="71" fillId="0" borderId="0" xfId="138" applyFont="1" applyFill="1" applyBorder="1" applyAlignment="1">
      <alignment horizontal="left" vertical="center" indent="1"/>
    </xf>
    <xf numFmtId="0" fontId="67" fillId="0" borderId="0" xfId="140" applyFont="1" applyAlignment="1">
      <alignment horizontal="left"/>
    </xf>
    <xf numFmtId="0" fontId="92" fillId="27" borderId="0" xfId="0" applyFont="1" applyFill="1" applyAlignment="1">
      <alignment horizontal="left"/>
    </xf>
    <xf numFmtId="0" fontId="71" fillId="27" borderId="0" xfId="0" applyFont="1" applyFill="1" applyAlignment="1">
      <alignment horizontal="left" vertical="center" indent="2"/>
    </xf>
    <xf numFmtId="2" fontId="67" fillId="0" borderId="0" xfId="140" applyNumberFormat="1" applyFont="1" applyAlignment="1">
      <alignment horizontal="left" vertical="center"/>
    </xf>
    <xf numFmtId="0" fontId="71" fillId="0" borderId="0" xfId="140" applyFont="1" applyAlignment="1">
      <alignment vertical="center"/>
    </xf>
    <xf numFmtId="0" fontId="67" fillId="0" borderId="0" xfId="140" applyFont="1"/>
    <xf numFmtId="170" fontId="67" fillId="34" borderId="8" xfId="69" applyNumberFormat="1" applyFont="1" applyFill="1" applyBorder="1" applyProtection="1"/>
    <xf numFmtId="173" fontId="67" fillId="0" borderId="0" xfId="101" applyNumberFormat="1" applyFont="1" applyAlignment="1">
      <alignment horizontal="right"/>
    </xf>
    <xf numFmtId="172" fontId="71" fillId="52" borderId="0" xfId="0" applyNumberFormat="1" applyFont="1" applyFill="1" applyAlignment="1">
      <alignment horizontal="right"/>
    </xf>
    <xf numFmtId="172" fontId="67" fillId="0" borderId="34" xfId="111" applyNumberFormat="1" applyFont="1" applyFill="1" applyBorder="1" applyProtection="1">
      <alignment horizontal="right" vertical="center"/>
      <protection locked="0"/>
    </xf>
    <xf numFmtId="172" fontId="67" fillId="27" borderId="27" xfId="111" applyNumberFormat="1" applyFont="1" applyFill="1" applyBorder="1" applyProtection="1">
      <alignment horizontal="right" vertical="center"/>
      <protection locked="0"/>
    </xf>
    <xf numFmtId="172" fontId="67" fillId="27" borderId="30" xfId="111" applyNumberFormat="1" applyFont="1" applyFill="1" applyBorder="1" applyProtection="1">
      <alignment horizontal="right" vertical="center"/>
      <protection locked="0"/>
    </xf>
    <xf numFmtId="172" fontId="67" fillId="27" borderId="31" xfId="111" applyNumberFormat="1" applyFont="1" applyFill="1" applyBorder="1" applyProtection="1">
      <alignment horizontal="right" vertical="center"/>
      <protection locked="0"/>
    </xf>
    <xf numFmtId="174" fontId="67" fillId="27" borderId="22" xfId="111" applyNumberFormat="1" applyFont="1" applyFill="1" applyBorder="1">
      <alignment horizontal="right" vertical="center"/>
    </xf>
    <xf numFmtId="0" fontId="67" fillId="27" borderId="17" xfId="180" applyFont="1" applyFill="1" applyBorder="1">
      <alignment vertical="center"/>
      <protection locked="0"/>
    </xf>
    <xf numFmtId="0" fontId="67" fillId="27" borderId="18" xfId="0" applyFont="1" applyFill="1" applyBorder="1" applyProtection="1">
      <protection locked="0"/>
    </xf>
    <xf numFmtId="172" fontId="71" fillId="27" borderId="8" xfId="111" applyNumberFormat="1" applyFont="1" applyFill="1" applyBorder="1">
      <alignment horizontal="right" vertical="center"/>
    </xf>
    <xf numFmtId="173" fontId="71" fillId="27" borderId="8" xfId="111" applyNumberFormat="1" applyFont="1" applyFill="1" applyBorder="1">
      <alignment horizontal="right" vertical="center"/>
    </xf>
    <xf numFmtId="172" fontId="67" fillId="32" borderId="0" xfId="111" applyNumberFormat="1" applyFont="1" applyFill="1" applyBorder="1">
      <alignment horizontal="right" vertical="center"/>
    </xf>
    <xf numFmtId="172" fontId="67" fillId="32" borderId="28" xfId="111" applyNumberFormat="1" applyFont="1" applyFill="1" applyBorder="1">
      <alignment horizontal="right" vertical="center"/>
    </xf>
    <xf numFmtId="172" fontId="67" fillId="32" borderId="13" xfId="111" applyNumberFormat="1" applyFont="1" applyFill="1" applyBorder="1">
      <alignment horizontal="right" vertical="center"/>
    </xf>
    <xf numFmtId="172" fontId="67" fillId="32" borderId="33" xfId="111" applyNumberFormat="1" applyFont="1" applyFill="1" applyBorder="1">
      <alignment horizontal="right" vertical="center"/>
    </xf>
    <xf numFmtId="172" fontId="67" fillId="32" borderId="34" xfId="111" applyNumberFormat="1" applyFont="1" applyFill="1" applyBorder="1">
      <alignment horizontal="right" vertical="center"/>
    </xf>
    <xf numFmtId="172" fontId="67" fillId="32" borderId="35" xfId="111" applyNumberFormat="1" applyFont="1" applyFill="1" applyBorder="1">
      <alignment horizontal="right" vertical="center"/>
    </xf>
    <xf numFmtId="165" fontId="71" fillId="0" borderId="43" xfId="111" applyFont="1" applyBorder="1">
      <alignment horizontal="right" vertical="center"/>
    </xf>
    <xf numFmtId="0" fontId="146" fillId="0" borderId="0" xfId="80" applyFont="1" applyAlignment="1" applyProtection="1">
      <alignment horizontal="left" vertical="center"/>
    </xf>
    <xf numFmtId="0" fontId="52" fillId="59" borderId="8" xfId="0" applyFont="1" applyFill="1" applyBorder="1" applyAlignment="1">
      <alignment horizontal="center" vertical="center"/>
    </xf>
    <xf numFmtId="10" fontId="67" fillId="59" borderId="0" xfId="101" applyNumberFormat="1" applyFont="1" applyFill="1" applyProtection="1"/>
    <xf numFmtId="172" fontId="67" fillId="59" borderId="0" xfId="111" applyNumberFormat="1" applyFont="1" applyFill="1" applyBorder="1">
      <alignment horizontal="right" vertical="center"/>
    </xf>
    <xf numFmtId="172" fontId="67" fillId="33" borderId="0" xfId="0" applyNumberFormat="1" applyFont="1" applyFill="1"/>
    <xf numFmtId="188" fontId="67" fillId="0" borderId="0" xfId="69" applyNumberFormat="1" applyFont="1"/>
    <xf numFmtId="196" fontId="67" fillId="0" borderId="0" xfId="0" applyNumberFormat="1" applyFont="1" applyAlignment="1">
      <alignment horizontal="center"/>
    </xf>
    <xf numFmtId="172" fontId="67" fillId="0" borderId="13" xfId="111" applyNumberFormat="1" applyFont="1" applyBorder="1">
      <alignment horizontal="right" vertical="center"/>
    </xf>
    <xf numFmtId="0" fontId="71" fillId="0" borderId="22" xfId="78" applyFont="1" applyFill="1" applyBorder="1">
      <alignment vertical="center"/>
    </xf>
    <xf numFmtId="165" fontId="67" fillId="0" borderId="22" xfId="111" applyFont="1" applyFill="1" applyBorder="1">
      <alignment horizontal="right" vertical="center"/>
    </xf>
    <xf numFmtId="172" fontId="67" fillId="0" borderId="22" xfId="111" applyNumberFormat="1" applyFont="1" applyFill="1" applyBorder="1">
      <alignment horizontal="right" vertical="center"/>
    </xf>
    <xf numFmtId="172" fontId="67" fillId="27" borderId="23" xfId="111" applyNumberFormat="1" applyFont="1" applyFill="1" applyBorder="1">
      <alignment horizontal="right" vertical="center"/>
    </xf>
    <xf numFmtId="165" fontId="67" fillId="32" borderId="35" xfId="111" applyFont="1" applyFill="1" applyBorder="1" applyProtection="1">
      <alignment horizontal="right" vertical="center"/>
      <protection locked="0"/>
    </xf>
    <xf numFmtId="172" fontId="67" fillId="32" borderId="24" xfId="213" applyNumberFormat="1" applyFont="1" applyFill="1" applyBorder="1" applyAlignment="1" applyProtection="1">
      <alignment horizontal="left" vertical="center" indent="1"/>
      <protection locked="0"/>
    </xf>
    <xf numFmtId="0" fontId="67" fillId="32" borderId="25" xfId="180" applyFont="1" applyFill="1" applyBorder="1">
      <alignment vertical="center"/>
      <protection locked="0"/>
    </xf>
    <xf numFmtId="0" fontId="67" fillId="32" borderId="26" xfId="180" applyFont="1" applyFill="1" applyBorder="1">
      <alignment vertical="center"/>
      <protection locked="0"/>
    </xf>
    <xf numFmtId="172" fontId="67" fillId="32" borderId="33" xfId="213" applyNumberFormat="1" applyFont="1" applyFill="1" applyBorder="1" applyAlignment="1" applyProtection="1">
      <alignment vertical="center"/>
      <protection locked="0"/>
    </xf>
    <xf numFmtId="172" fontId="67" fillId="32" borderId="34" xfId="213" applyNumberFormat="1" applyFont="1" applyFill="1" applyBorder="1" applyAlignment="1" applyProtection="1">
      <alignment vertical="center"/>
      <protection locked="0"/>
    </xf>
    <xf numFmtId="0" fontId="71" fillId="29" borderId="27" xfId="0" applyFont="1" applyFill="1" applyBorder="1" applyAlignment="1">
      <alignment horizontal="right"/>
    </xf>
    <xf numFmtId="0" fontId="71" fillId="29" borderId="28" xfId="0" applyFont="1" applyFill="1" applyBorder="1" applyAlignment="1">
      <alignment horizontal="right"/>
    </xf>
    <xf numFmtId="0" fontId="71" fillId="29" borderId="28" xfId="0" applyFont="1" applyFill="1" applyBorder="1"/>
    <xf numFmtId="0" fontId="113" fillId="29" borderId="30" xfId="0" applyFont="1" applyFill="1" applyBorder="1" applyAlignment="1">
      <alignment horizontal="right" indent="1"/>
    </xf>
    <xf numFmtId="0" fontId="113" fillId="29" borderId="0" xfId="0" applyFont="1" applyFill="1" applyAlignment="1">
      <alignment horizontal="left" vertical="center" wrapText="1"/>
    </xf>
    <xf numFmtId="0" fontId="147" fillId="29" borderId="0" xfId="0" applyFont="1" applyFill="1" applyAlignment="1">
      <alignment horizontal="left" vertical="center" wrapText="1"/>
    </xf>
    <xf numFmtId="0" fontId="80" fillId="29" borderId="30" xfId="0" applyFont="1" applyFill="1" applyBorder="1"/>
    <xf numFmtId="2" fontId="80" fillId="29" borderId="30" xfId="0" applyNumberFormat="1" applyFont="1" applyFill="1" applyBorder="1" applyAlignment="1">
      <alignment horizontal="right" indent="1"/>
    </xf>
    <xf numFmtId="2" fontId="80" fillId="60" borderId="103" xfId="0" applyNumberFormat="1" applyFont="1" applyFill="1" applyBorder="1" applyAlignment="1">
      <alignment horizontal="center"/>
    </xf>
    <xf numFmtId="2" fontId="80" fillId="57" borderId="0" xfId="0" applyNumberFormat="1" applyFont="1" applyFill="1" applyAlignment="1">
      <alignment horizontal="center"/>
    </xf>
    <xf numFmtId="9" fontId="80" fillId="57" borderId="0" xfId="101" applyFont="1" applyFill="1" applyBorder="1" applyAlignment="1" applyProtection="1">
      <alignment horizontal="center"/>
    </xf>
    <xf numFmtId="196" fontId="148" fillId="29" borderId="0" xfId="111" applyNumberFormat="1" applyFont="1" applyFill="1" applyBorder="1" applyAlignment="1">
      <alignment horizontal="center" vertical="center"/>
    </xf>
    <xf numFmtId="0" fontId="67" fillId="29" borderId="31" xfId="0" applyFont="1" applyFill="1" applyBorder="1"/>
    <xf numFmtId="0" fontId="67" fillId="29" borderId="13" xfId="0" applyFont="1" applyFill="1" applyBorder="1" applyAlignment="1">
      <alignment horizontal="right"/>
    </xf>
    <xf numFmtId="172" fontId="67" fillId="32" borderId="35" xfId="213" applyNumberFormat="1" applyFont="1" applyFill="1" applyBorder="1" applyAlignment="1" applyProtection="1">
      <alignment vertical="center"/>
      <protection locked="0"/>
    </xf>
    <xf numFmtId="2" fontId="67" fillId="33" borderId="25" xfId="0" applyNumberFormat="1" applyFont="1" applyFill="1" applyBorder="1"/>
    <xf numFmtId="2" fontId="67" fillId="0" borderId="8" xfId="0" applyNumberFormat="1" applyFont="1" applyBorder="1"/>
    <xf numFmtId="2" fontId="67" fillId="0" borderId="26" xfId="0" applyNumberFormat="1" applyFont="1" applyBorder="1"/>
    <xf numFmtId="4" fontId="67" fillId="0" borderId="8" xfId="0" applyNumberFormat="1" applyFont="1" applyBorder="1" applyAlignment="1">
      <alignment horizontal="right"/>
    </xf>
    <xf numFmtId="4" fontId="71" fillId="0" borderId="8" xfId="0" applyNumberFormat="1" applyFont="1" applyBorder="1" applyAlignment="1">
      <alignment horizontal="right"/>
    </xf>
    <xf numFmtId="173" fontId="136" fillId="0" borderId="0" xfId="101" applyNumberFormat="1" applyFont="1" applyFill="1" applyBorder="1" applyAlignment="1" applyProtection="1">
      <alignment horizontal="right"/>
    </xf>
    <xf numFmtId="172" fontId="71" fillId="27" borderId="0" xfId="111" applyNumberFormat="1" applyFont="1" applyFill="1" applyBorder="1">
      <alignment horizontal="right" vertical="center"/>
    </xf>
    <xf numFmtId="172" fontId="67" fillId="0" borderId="25" xfId="111" applyNumberFormat="1" applyFont="1" applyFill="1" applyBorder="1">
      <alignment horizontal="right" vertical="center"/>
    </xf>
    <xf numFmtId="173" fontId="92" fillId="0" borderId="25" xfId="101" applyNumberFormat="1" applyFont="1" applyFill="1" applyBorder="1" applyAlignment="1">
      <alignment horizontal="right" vertical="center"/>
    </xf>
    <xf numFmtId="43" fontId="67" fillId="0" borderId="0" xfId="69" applyFont="1" applyProtection="1"/>
    <xf numFmtId="172" fontId="67" fillId="29" borderId="8" xfId="111" applyNumberFormat="1" applyFont="1" applyFill="1" applyBorder="1">
      <alignment horizontal="right" vertical="center"/>
    </xf>
    <xf numFmtId="0" fontId="67" fillId="32" borderId="33" xfId="0" applyFont="1" applyFill="1" applyBorder="1" applyProtection="1">
      <protection locked="0"/>
    </xf>
    <xf numFmtId="0" fontId="67" fillId="32" borderId="34" xfId="0" applyFont="1" applyFill="1" applyBorder="1" applyProtection="1">
      <protection locked="0"/>
    </xf>
    <xf numFmtId="0" fontId="67" fillId="32" borderId="35" xfId="0" applyFont="1" applyFill="1" applyBorder="1" applyProtection="1">
      <protection locked="0"/>
    </xf>
    <xf numFmtId="165" fontId="67" fillId="0" borderId="8" xfId="111" applyFont="1" applyBorder="1">
      <alignment horizontal="right" vertical="center"/>
    </xf>
    <xf numFmtId="172" fontId="67" fillId="0" borderId="8" xfId="111" applyNumberFormat="1" applyFont="1" applyFill="1" applyBorder="1">
      <alignment horizontal="right" vertical="center"/>
    </xf>
    <xf numFmtId="172" fontId="67" fillId="33" borderId="24" xfId="111" applyNumberFormat="1" applyFont="1" applyFill="1" applyBorder="1" applyProtection="1">
      <alignment horizontal="right" vertical="center"/>
      <protection locked="0"/>
    </xf>
    <xf numFmtId="172" fontId="67" fillId="33" borderId="27" xfId="111" applyNumberFormat="1" applyFont="1" applyFill="1" applyBorder="1" applyProtection="1">
      <alignment horizontal="right" vertical="center"/>
      <protection locked="0"/>
    </xf>
    <xf numFmtId="172" fontId="67" fillId="33" borderId="30" xfId="111" applyNumberFormat="1" applyFont="1" applyFill="1" applyBorder="1" applyProtection="1">
      <alignment horizontal="right" vertical="center"/>
      <protection locked="0"/>
    </xf>
    <xf numFmtId="172" fontId="67" fillId="33" borderId="31" xfId="111" applyNumberFormat="1" applyFont="1" applyFill="1" applyBorder="1" applyProtection="1">
      <alignment horizontal="right" vertical="center"/>
      <protection locked="0"/>
    </xf>
    <xf numFmtId="197" fontId="71" fillId="0" borderId="0" xfId="111" applyNumberFormat="1" applyFont="1" applyFill="1" applyBorder="1" applyAlignment="1">
      <alignment horizontal="center" vertical="center"/>
    </xf>
    <xf numFmtId="0" fontId="150" fillId="0" borderId="0" xfId="0" applyFont="1"/>
    <xf numFmtId="172" fontId="64" fillId="61" borderId="0" xfId="111" applyNumberFormat="1" applyFont="1" applyFill="1" applyBorder="1" applyAlignment="1">
      <alignment horizontal="left" vertical="center"/>
    </xf>
    <xf numFmtId="0" fontId="71" fillId="29" borderId="16" xfId="0" applyFont="1" applyFill="1" applyBorder="1"/>
    <xf numFmtId="0" fontId="67" fillId="29" borderId="17" xfId="0" applyFont="1" applyFill="1" applyBorder="1"/>
    <xf numFmtId="0" fontId="67" fillId="29" borderId="18" xfId="0" applyFont="1" applyFill="1" applyBorder="1"/>
    <xf numFmtId="43" fontId="67" fillId="29" borderId="19" xfId="69" applyFont="1" applyFill="1" applyBorder="1" applyProtection="1"/>
    <xf numFmtId="0" fontId="67" fillId="29" borderId="20" xfId="0" applyFont="1" applyFill="1" applyBorder="1"/>
    <xf numFmtId="0" fontId="67" fillId="29" borderId="19" xfId="0" applyFont="1" applyFill="1" applyBorder="1"/>
    <xf numFmtId="43" fontId="67" fillId="29" borderId="0" xfId="69" applyFont="1" applyFill="1" applyBorder="1" applyProtection="1"/>
    <xf numFmtId="43" fontId="67" fillId="29" borderId="20" xfId="69" applyFont="1" applyFill="1" applyBorder="1" applyProtection="1"/>
    <xf numFmtId="0" fontId="71" fillId="29" borderId="0" xfId="0" applyFont="1" applyFill="1" applyAlignment="1">
      <alignment horizontal="right"/>
    </xf>
    <xf numFmtId="43" fontId="148" fillId="29" borderId="0" xfId="69" applyFont="1" applyFill="1" applyBorder="1"/>
    <xf numFmtId="0" fontId="67" fillId="29" borderId="21" xfId="0" applyFont="1" applyFill="1" applyBorder="1"/>
    <xf numFmtId="43" fontId="67" fillId="29" borderId="22" xfId="69" applyFont="1" applyFill="1" applyBorder="1" applyProtection="1"/>
    <xf numFmtId="43" fontId="67" fillId="29" borderId="23" xfId="69" applyFont="1" applyFill="1" applyBorder="1" applyProtection="1"/>
    <xf numFmtId="0" fontId="113" fillId="27" borderId="0" xfId="0" applyFont="1" applyFill="1" applyAlignment="1">
      <alignment horizontal="center"/>
    </xf>
    <xf numFmtId="0" fontId="71" fillId="29" borderId="16" xfId="0" applyFont="1" applyFill="1" applyBorder="1" applyAlignment="1">
      <alignment horizontal="right"/>
    </xf>
    <xf numFmtId="0" fontId="71" fillId="29" borderId="17" xfId="0" applyFont="1" applyFill="1" applyBorder="1" applyAlignment="1">
      <alignment horizontal="right"/>
    </xf>
    <xf numFmtId="0" fontId="71" fillId="29" borderId="17" xfId="0" applyFont="1" applyFill="1" applyBorder="1"/>
    <xf numFmtId="0" fontId="80" fillId="29" borderId="18" xfId="0" applyFont="1" applyFill="1" applyBorder="1" applyAlignment="1">
      <alignment horizontal="center"/>
    </xf>
    <xf numFmtId="0" fontId="113" fillId="29" borderId="19" xfId="0" applyFont="1" applyFill="1" applyBorder="1" applyAlignment="1">
      <alignment horizontal="right" indent="1"/>
    </xf>
    <xf numFmtId="0" fontId="57" fillId="29" borderId="0" xfId="0" applyFont="1" applyFill="1"/>
    <xf numFmtId="172" fontId="67" fillId="29" borderId="0" xfId="0" applyNumberFormat="1" applyFont="1" applyFill="1" applyAlignment="1">
      <alignment horizontal="right" vertical="center"/>
    </xf>
    <xf numFmtId="0" fontId="80" fillId="29" borderId="20" xfId="0" applyFont="1" applyFill="1" applyBorder="1" applyAlignment="1">
      <alignment horizontal="center"/>
    </xf>
    <xf numFmtId="172" fontId="56" fillId="29" borderId="0" xfId="0" applyNumberFormat="1" applyFont="1" applyFill="1" applyAlignment="1">
      <alignment horizontal="right" vertical="center"/>
    </xf>
    <xf numFmtId="0" fontId="57" fillId="29" borderId="0" xfId="0" applyFont="1" applyFill="1" applyAlignment="1">
      <alignment horizontal="left"/>
    </xf>
    <xf numFmtId="43" fontId="80" fillId="29" borderId="0" xfId="69" applyFont="1" applyFill="1" applyAlignment="1">
      <alignment horizontal="right" vertical="center"/>
    </xf>
    <xf numFmtId="0" fontId="80" fillId="29" borderId="19" xfId="0" applyFont="1" applyFill="1" applyBorder="1"/>
    <xf numFmtId="9" fontId="114" fillId="29" borderId="0" xfId="101" applyFont="1" applyFill="1" applyBorder="1" applyAlignment="1">
      <alignment horizontal="right" vertical="center"/>
    </xf>
    <xf numFmtId="0" fontId="92" fillId="29" borderId="20" xfId="0" applyFont="1" applyFill="1" applyBorder="1"/>
    <xf numFmtId="2" fontId="80" fillId="29" borderId="21" xfId="0" applyNumberFormat="1" applyFont="1" applyFill="1" applyBorder="1" applyAlignment="1">
      <alignment horizontal="right" indent="1"/>
    </xf>
    <xf numFmtId="0" fontId="67" fillId="29" borderId="22" xfId="0" applyFont="1" applyFill="1" applyBorder="1"/>
    <xf numFmtId="0" fontId="67" fillId="29" borderId="23" xfId="0" applyFont="1" applyFill="1" applyBorder="1"/>
    <xf numFmtId="0" fontId="67" fillId="0" borderId="48" xfId="0" applyFont="1" applyBorder="1"/>
    <xf numFmtId="172" fontId="67" fillId="27" borderId="43" xfId="111" applyNumberFormat="1" applyFont="1" applyFill="1" applyBorder="1">
      <alignment horizontal="right" vertical="center"/>
    </xf>
    <xf numFmtId="173" fontId="92" fillId="0" borderId="26" xfId="101" applyNumberFormat="1" applyFont="1" applyFill="1" applyBorder="1" applyAlignment="1">
      <alignment horizontal="right" vertical="center"/>
    </xf>
    <xf numFmtId="172" fontId="67" fillId="0" borderId="42" xfId="111" applyNumberFormat="1" applyFont="1" applyBorder="1">
      <alignment horizontal="right" vertical="center"/>
    </xf>
    <xf numFmtId="0" fontId="76" fillId="0" borderId="19" xfId="0" applyFont="1" applyBorder="1"/>
    <xf numFmtId="172" fontId="76" fillId="0" borderId="0" xfId="111" applyNumberFormat="1" applyFont="1" applyFill="1" applyBorder="1">
      <alignment horizontal="right" vertical="center"/>
    </xf>
    <xf numFmtId="172" fontId="76" fillId="0" borderId="0" xfId="111" applyNumberFormat="1" applyFont="1" applyBorder="1">
      <alignment horizontal="right" vertical="center"/>
    </xf>
    <xf numFmtId="0" fontId="76" fillId="0" borderId="20" xfId="0" applyFont="1" applyBorder="1"/>
    <xf numFmtId="10" fontId="67" fillId="0" borderId="0" xfId="101" applyNumberFormat="1" applyFont="1" applyBorder="1" applyAlignment="1">
      <alignment horizontal="right" vertical="center"/>
    </xf>
    <xf numFmtId="0" fontId="71" fillId="59" borderId="0" xfId="0" applyFont="1" applyFill="1"/>
    <xf numFmtId="0" fontId="57" fillId="59" borderId="0" xfId="0" applyFont="1" applyFill="1"/>
    <xf numFmtId="0" fontId="57" fillId="59" borderId="0" xfId="0" applyFont="1" applyFill="1" applyAlignment="1">
      <alignment horizontal="right"/>
    </xf>
    <xf numFmtId="9" fontId="67" fillId="29" borderId="8" xfId="112" applyNumberFormat="1" applyFont="1" applyFill="1" applyBorder="1">
      <alignment horizontal="right" vertical="center"/>
    </xf>
    <xf numFmtId="173" fontId="67" fillId="29" borderId="8" xfId="111" applyNumberFormat="1" applyFont="1" applyFill="1" applyBorder="1">
      <alignment horizontal="right" vertical="center"/>
    </xf>
    <xf numFmtId="0" fontId="4" fillId="0" borderId="0" xfId="199"/>
    <xf numFmtId="10" fontId="4" fillId="0" borderId="0" xfId="101" applyNumberFormat="1" applyFont="1" applyProtection="1"/>
    <xf numFmtId="0" fontId="10" fillId="57" borderId="8" xfId="199" applyFont="1" applyFill="1" applyBorder="1" applyAlignment="1">
      <alignment horizontal="center"/>
    </xf>
    <xf numFmtId="0" fontId="10" fillId="0" borderId="0" xfId="199" applyFont="1"/>
    <xf numFmtId="6" fontId="4" fillId="0" borderId="0" xfId="199" applyNumberFormat="1" applyAlignment="1">
      <alignment horizontal="center"/>
    </xf>
    <xf numFmtId="0" fontId="10" fillId="37" borderId="0" xfId="199" applyFont="1" applyFill="1"/>
    <xf numFmtId="0" fontId="44" fillId="0" borderId="0" xfId="199" applyFont="1" applyAlignment="1">
      <alignment horizontal="right"/>
    </xf>
    <xf numFmtId="0" fontId="10" fillId="29" borderId="0" xfId="199" applyFont="1" applyFill="1"/>
    <xf numFmtId="0" fontId="4" fillId="29" borderId="0" xfId="199" applyFill="1"/>
    <xf numFmtId="2" fontId="4" fillId="62" borderId="8" xfId="199" applyNumberFormat="1" applyFill="1" applyBorder="1"/>
    <xf numFmtId="0" fontId="4" fillId="0" borderId="0" xfId="169" applyAlignment="1">
      <alignment horizontal="center" vertical="center"/>
    </xf>
    <xf numFmtId="0" fontId="10" fillId="0" borderId="27" xfId="199" applyFont="1" applyBorder="1"/>
    <xf numFmtId="0" fontId="10" fillId="0" borderId="28" xfId="199" applyFont="1" applyBorder="1"/>
    <xf numFmtId="0" fontId="10" fillId="0" borderId="29" xfId="199" applyFont="1" applyBorder="1"/>
    <xf numFmtId="0" fontId="4" fillId="0" borderId="31" xfId="199" applyBorder="1"/>
    <xf numFmtId="0" fontId="4" fillId="0" borderId="13" xfId="199" applyBorder="1"/>
    <xf numFmtId="0" fontId="4" fillId="0" borderId="15" xfId="199" applyBorder="1"/>
    <xf numFmtId="43" fontId="4" fillId="0" borderId="0" xfId="199" applyNumberFormat="1"/>
    <xf numFmtId="43" fontId="4" fillId="63" borderId="8" xfId="69" applyFill="1" applyBorder="1"/>
    <xf numFmtId="43" fontId="4" fillId="64" borderId="8" xfId="69" applyFill="1" applyBorder="1"/>
    <xf numFmtId="2" fontId="4" fillId="63" borderId="8" xfId="199" applyNumberFormat="1" applyFill="1" applyBorder="1"/>
    <xf numFmtId="2" fontId="4" fillId="64" borderId="8" xfId="199" applyNumberFormat="1" applyFill="1" applyBorder="1"/>
    <xf numFmtId="188" fontId="4" fillId="63" borderId="8" xfId="69" applyNumberFormat="1" applyFill="1" applyBorder="1"/>
    <xf numFmtId="188" fontId="4" fillId="62" borderId="8" xfId="69" applyNumberFormat="1" applyFill="1" applyBorder="1"/>
    <xf numFmtId="0" fontId="10" fillId="28" borderId="0" xfId="169" applyFont="1" applyFill="1" applyAlignment="1">
      <alignment horizontal="center" vertical="center"/>
    </xf>
    <xf numFmtId="172" fontId="67" fillId="34" borderId="25" xfId="111" applyNumberFormat="1" applyFont="1" applyFill="1" applyBorder="1">
      <alignment horizontal="right" vertical="center"/>
    </xf>
    <xf numFmtId="172" fontId="67" fillId="34" borderId="26" xfId="111" applyNumberFormat="1" applyFont="1" applyFill="1" applyBorder="1">
      <alignment horizontal="right" vertical="center"/>
    </xf>
    <xf numFmtId="0" fontId="66" fillId="0" borderId="0" xfId="0" applyFont="1" applyAlignment="1">
      <alignment horizontal="right"/>
    </xf>
    <xf numFmtId="172" fontId="67" fillId="0" borderId="19" xfId="0" applyNumberFormat="1" applyFont="1" applyBorder="1"/>
    <xf numFmtId="172" fontId="67" fillId="29" borderId="0" xfId="0" applyNumberFormat="1" applyFont="1" applyFill="1"/>
    <xf numFmtId="43" fontId="67" fillId="0" borderId="20" xfId="69" applyFont="1" applyBorder="1" applyProtection="1"/>
    <xf numFmtId="172" fontId="67" fillId="34" borderId="32" xfId="111" applyNumberFormat="1" applyFont="1" applyFill="1" applyBorder="1">
      <alignment horizontal="right" vertical="center"/>
    </xf>
    <xf numFmtId="172" fontId="67" fillId="33" borderId="8" xfId="111" applyNumberFormat="1" applyFont="1" applyFill="1" applyBorder="1">
      <alignment horizontal="right" vertical="center"/>
    </xf>
    <xf numFmtId="172" fontId="67" fillId="0" borderId="20" xfId="111" applyNumberFormat="1" applyFont="1" applyFill="1" applyBorder="1">
      <alignment horizontal="right" vertical="center"/>
    </xf>
    <xf numFmtId="172" fontId="67" fillId="27" borderId="20" xfId="111" applyNumberFormat="1" applyFont="1" applyFill="1" applyBorder="1">
      <alignment horizontal="right" vertical="center"/>
    </xf>
    <xf numFmtId="172" fontId="67" fillId="27" borderId="20" xfId="0" applyNumberFormat="1" applyFont="1" applyFill="1" applyBorder="1"/>
    <xf numFmtId="172" fontId="67" fillId="0" borderId="8" xfId="0" applyNumberFormat="1" applyFont="1" applyBorder="1"/>
    <xf numFmtId="0" fontId="67" fillId="0" borderId="0" xfId="78" applyFont="1" applyFill="1" applyBorder="1" applyAlignment="1">
      <alignment horizontal="left" vertical="center" indent="4"/>
    </xf>
    <xf numFmtId="0" fontId="71" fillId="0" borderId="19" xfId="0" applyFont="1" applyBorder="1" applyAlignment="1">
      <alignment horizontal="center"/>
    </xf>
    <xf numFmtId="0" fontId="71" fillId="0" borderId="21" xfId="74" applyFont="1" applyFill="1" applyBorder="1">
      <alignment vertical="center"/>
    </xf>
    <xf numFmtId="0" fontId="71" fillId="0" borderId="22" xfId="74" applyFont="1" applyFill="1" applyBorder="1">
      <alignment vertical="center"/>
    </xf>
    <xf numFmtId="173" fontId="71" fillId="27" borderId="26" xfId="111" applyNumberFormat="1" applyFont="1" applyFill="1" applyBorder="1">
      <alignment horizontal="right" vertical="center"/>
    </xf>
    <xf numFmtId="172" fontId="71" fillId="32" borderId="8" xfId="111" applyNumberFormat="1" applyFont="1" applyFill="1" applyBorder="1" applyProtection="1">
      <alignment horizontal="right" vertical="center"/>
      <protection locked="0"/>
    </xf>
    <xf numFmtId="0" fontId="4" fillId="0" borderId="0" xfId="172" applyFont="1" applyAlignment="1">
      <alignment horizontal="center" vertical="top"/>
    </xf>
    <xf numFmtId="10" fontId="0" fillId="65" borderId="33" xfId="0" applyNumberFormat="1" applyFill="1" applyBorder="1"/>
    <xf numFmtId="10" fontId="0" fillId="65" borderId="34" xfId="0" applyNumberFormat="1" applyFill="1" applyBorder="1"/>
    <xf numFmtId="185" fontId="0" fillId="65" borderId="34" xfId="0" applyNumberFormat="1" applyFill="1" applyBorder="1"/>
    <xf numFmtId="180" fontId="0" fillId="65" borderId="35" xfId="0" applyNumberFormat="1" applyFill="1" applyBorder="1"/>
    <xf numFmtId="2" fontId="0" fillId="65" borderId="35" xfId="0" applyNumberFormat="1" applyFill="1" applyBorder="1"/>
    <xf numFmtId="0" fontId="153" fillId="0" borderId="0" xfId="199" applyFont="1"/>
    <xf numFmtId="10" fontId="67" fillId="29" borderId="35" xfId="0" applyNumberFormat="1" applyFont="1" applyFill="1" applyBorder="1"/>
    <xf numFmtId="188" fontId="4" fillId="28" borderId="13" xfId="69" applyNumberFormat="1" applyFill="1" applyBorder="1" applyAlignment="1">
      <alignment horizontal="right"/>
    </xf>
    <xf numFmtId="1" fontId="4" fillId="28" borderId="13" xfId="169" applyNumberFormat="1" applyFill="1" applyBorder="1" applyAlignment="1">
      <alignment horizontal="right"/>
    </xf>
    <xf numFmtId="198" fontId="4" fillId="28" borderId="13" xfId="69" applyNumberFormat="1" applyFill="1" applyBorder="1" applyAlignment="1">
      <alignment horizontal="right"/>
    </xf>
    <xf numFmtId="0" fontId="71" fillId="27" borderId="13" xfId="0" applyFont="1" applyFill="1" applyBorder="1" applyAlignment="1">
      <alignment horizontal="right"/>
    </xf>
    <xf numFmtId="43" fontId="67" fillId="29" borderId="0" xfId="69" applyFont="1" applyFill="1" applyProtection="1"/>
    <xf numFmtId="43" fontId="67" fillId="29" borderId="0" xfId="0" applyNumberFormat="1" applyFont="1" applyFill="1"/>
    <xf numFmtId="173" fontId="67" fillId="29" borderId="13" xfId="102" applyNumberFormat="1" applyFont="1" applyFill="1" applyBorder="1" applyProtection="1"/>
    <xf numFmtId="9" fontId="67" fillId="29" borderId="0" xfId="102" applyFont="1" applyFill="1" applyProtection="1"/>
    <xf numFmtId="9" fontId="67" fillId="29" borderId="13" xfId="102" applyFont="1" applyFill="1" applyBorder="1" applyProtection="1"/>
    <xf numFmtId="0" fontId="71" fillId="29" borderId="107" xfId="0" applyFont="1" applyFill="1" applyBorder="1" applyAlignment="1">
      <alignment horizontal="right"/>
    </xf>
    <xf numFmtId="171" fontId="67" fillId="29" borderId="0" xfId="0" applyNumberFormat="1" applyFont="1" applyFill="1" applyAlignment="1">
      <alignment horizontal="right"/>
    </xf>
    <xf numFmtId="171" fontId="67" fillId="29" borderId="105" xfId="0" applyNumberFormat="1" applyFont="1" applyFill="1" applyBorder="1" applyAlignment="1">
      <alignment horizontal="right"/>
    </xf>
    <xf numFmtId="171" fontId="67" fillId="29" borderId="13" xfId="0" applyNumberFormat="1" applyFont="1" applyFill="1" applyBorder="1"/>
    <xf numFmtId="171" fontId="67" fillId="29" borderId="108" xfId="0" applyNumberFormat="1" applyFont="1" applyFill="1" applyBorder="1"/>
    <xf numFmtId="171" fontId="71" fillId="27" borderId="25" xfId="0" applyNumberFormat="1" applyFont="1" applyFill="1" applyBorder="1"/>
    <xf numFmtId="171" fontId="71" fillId="27" borderId="106" xfId="0" applyNumberFormat="1" applyFont="1" applyFill="1" applyBorder="1"/>
    <xf numFmtId="171" fontId="71" fillId="27" borderId="0" xfId="0" applyNumberFormat="1" applyFont="1" applyFill="1"/>
    <xf numFmtId="0" fontId="67" fillId="27" borderId="0" xfId="0" applyFont="1" applyFill="1" applyAlignment="1">
      <alignment horizontal="right" indent="1"/>
    </xf>
    <xf numFmtId="173" fontId="67" fillId="29" borderId="0" xfId="102" applyNumberFormat="1" applyFont="1" applyFill="1" applyProtection="1"/>
    <xf numFmtId="173" fontId="71" fillId="27" borderId="25" xfId="102" applyNumberFormat="1" applyFont="1" applyFill="1" applyBorder="1" applyProtection="1"/>
    <xf numFmtId="171" fontId="67" fillId="29" borderId="0" xfId="0" applyNumberFormat="1" applyFont="1" applyFill="1"/>
    <xf numFmtId="171" fontId="67" fillId="29" borderId="107" xfId="0" applyNumberFormat="1" applyFont="1" applyFill="1" applyBorder="1"/>
    <xf numFmtId="171" fontId="67" fillId="29" borderId="28" xfId="0" applyNumberFormat="1" applyFont="1" applyFill="1" applyBorder="1"/>
    <xf numFmtId="171" fontId="67" fillId="29" borderId="105" xfId="0" applyNumberFormat="1" applyFont="1" applyFill="1" applyBorder="1"/>
    <xf numFmtId="0" fontId="67" fillId="29" borderId="0" xfId="0" applyFont="1" applyFill="1" applyAlignment="1">
      <alignment vertical="center"/>
    </xf>
    <xf numFmtId="0" fontId="96" fillId="0" borderId="0" xfId="0" applyFont="1"/>
    <xf numFmtId="0" fontId="10" fillId="30" borderId="13" xfId="169" applyFont="1" applyFill="1" applyBorder="1" applyAlignment="1">
      <alignment horizontal="right"/>
    </xf>
    <xf numFmtId="173" fontId="4" fillId="27" borderId="0" xfId="101" applyNumberFormat="1" applyFill="1"/>
    <xf numFmtId="1" fontId="4" fillId="42" borderId="0" xfId="169" applyNumberFormat="1" applyFill="1" applyAlignment="1">
      <alignment horizontal="center"/>
    </xf>
    <xf numFmtId="9" fontId="4" fillId="27" borderId="0" xfId="101" applyFill="1"/>
    <xf numFmtId="199" fontId="4" fillId="27" borderId="0" xfId="169" applyNumberFormat="1" applyFill="1"/>
    <xf numFmtId="0" fontId="71" fillId="0" borderId="13" xfId="0" applyFont="1" applyBorder="1" applyAlignment="1">
      <alignment horizontal="right"/>
    </xf>
    <xf numFmtId="171" fontId="67" fillId="0" borderId="0" xfId="0" applyNumberFormat="1" applyFont="1" applyAlignment="1">
      <alignment horizontal="right"/>
    </xf>
    <xf numFmtId="171" fontId="67" fillId="0" borderId="13" xfId="0" applyNumberFormat="1" applyFont="1" applyBorder="1"/>
    <xf numFmtId="171" fontId="71" fillId="0" borderId="25" xfId="0" applyNumberFormat="1" applyFont="1" applyBorder="1"/>
    <xf numFmtId="2" fontId="10" fillId="0" borderId="0" xfId="169" applyNumberFormat="1" applyFont="1" applyAlignment="1">
      <alignment horizontal="right"/>
    </xf>
    <xf numFmtId="2" fontId="4" fillId="0" borderId="0" xfId="169" applyNumberFormat="1"/>
    <xf numFmtId="2" fontId="10" fillId="0" borderId="0" xfId="169" applyNumberFormat="1" applyFont="1"/>
    <xf numFmtId="0" fontId="10" fillId="0" borderId="0" xfId="169" applyFont="1" applyAlignment="1">
      <alignment horizontal="right"/>
    </xf>
    <xf numFmtId="2" fontId="151" fillId="27" borderId="0" xfId="169" applyNumberFormat="1" applyFont="1" applyFill="1"/>
    <xf numFmtId="0" fontId="151" fillId="27" borderId="0" xfId="169" applyFont="1" applyFill="1"/>
    <xf numFmtId="6" fontId="4" fillId="27" borderId="0" xfId="169" applyNumberFormat="1" applyFill="1" applyAlignment="1">
      <alignment horizontal="right"/>
    </xf>
    <xf numFmtId="170" fontId="67" fillId="32" borderId="26" xfId="213" applyNumberFormat="1" applyFont="1" applyFill="1" applyBorder="1">
      <alignment horizontal="right" vertical="center"/>
    </xf>
    <xf numFmtId="172" fontId="67" fillId="24" borderId="42" xfId="111" applyNumberFormat="1" applyFont="1" applyFill="1" applyBorder="1">
      <alignment horizontal="right" vertical="center"/>
    </xf>
    <xf numFmtId="2" fontId="71" fillId="27" borderId="14" xfId="0" applyNumberFormat="1" applyFont="1" applyFill="1" applyBorder="1" applyAlignment="1">
      <alignment horizontal="right"/>
    </xf>
    <xf numFmtId="2" fontId="71" fillId="29" borderId="48" xfId="0" applyNumberFormat="1" applyFont="1" applyFill="1" applyBorder="1" applyAlignment="1">
      <alignment horizontal="right"/>
    </xf>
    <xf numFmtId="2" fontId="71" fillId="29" borderId="17" xfId="0" applyNumberFormat="1" applyFont="1" applyFill="1" applyBorder="1" applyAlignment="1">
      <alignment horizontal="right"/>
    </xf>
    <xf numFmtId="9" fontId="67" fillId="0" borderId="0" xfId="101" applyFont="1" applyBorder="1" applyAlignment="1">
      <alignment horizontal="right" vertical="center"/>
    </xf>
    <xf numFmtId="172" fontId="67" fillId="0" borderId="26" xfId="111" applyNumberFormat="1" applyFont="1" applyFill="1" applyBorder="1">
      <alignment horizontal="right" vertical="center"/>
    </xf>
    <xf numFmtId="0" fontId="135" fillId="0" borderId="29" xfId="0" applyFont="1" applyBorder="1" applyAlignment="1">
      <alignment horizontal="right"/>
    </xf>
    <xf numFmtId="0" fontId="65" fillId="0" borderId="0" xfId="169" applyFont="1"/>
    <xf numFmtId="0" fontId="67" fillId="0" borderId="0" xfId="169" applyFont="1" applyAlignment="1">
      <alignment horizontal="left"/>
    </xf>
    <xf numFmtId="0" fontId="73" fillId="0" borderId="0" xfId="169" applyFont="1"/>
    <xf numFmtId="0" fontId="67" fillId="0" borderId="13" xfId="169" applyFont="1" applyBorder="1"/>
    <xf numFmtId="0" fontId="105" fillId="0" borderId="13" xfId="103" applyFont="1" applyBorder="1" applyAlignment="1">
      <alignment horizontal="left" vertical="center"/>
    </xf>
    <xf numFmtId="0" fontId="73" fillId="0" borderId="13" xfId="169" applyFont="1" applyBorder="1"/>
    <xf numFmtId="0" fontId="88" fillId="52" borderId="54" xfId="169" quotePrefix="1" applyFont="1" applyFill="1" applyBorder="1" applyAlignment="1">
      <alignment vertical="center"/>
    </xf>
    <xf numFmtId="0" fontId="67" fillId="52" borderId="55" xfId="169" applyFont="1" applyFill="1" applyBorder="1" applyAlignment="1">
      <alignment horizontal="left" vertical="center"/>
    </xf>
    <xf numFmtId="0" fontId="67" fillId="52" borderId="55" xfId="169" applyFont="1" applyFill="1" applyBorder="1" applyAlignment="1">
      <alignment horizontal="center" vertical="center"/>
    </xf>
    <xf numFmtId="165" fontId="67" fillId="52" borderId="55" xfId="111" applyFont="1" applyFill="1" applyBorder="1" applyAlignment="1">
      <alignment horizontal="center" vertical="center"/>
    </xf>
    <xf numFmtId="0" fontId="67" fillId="0" borderId="16" xfId="169" applyFont="1" applyBorder="1"/>
    <xf numFmtId="0" fontId="67" fillId="0" borderId="17" xfId="169" applyFont="1" applyBorder="1"/>
    <xf numFmtId="0" fontId="67" fillId="0" borderId="18" xfId="169" applyFont="1" applyBorder="1"/>
    <xf numFmtId="0" fontId="67" fillId="0" borderId="19" xfId="37" applyFont="1" applyBorder="1" applyProtection="1">
      <alignment vertical="center"/>
    </xf>
    <xf numFmtId="49" fontId="66" fillId="0" borderId="0" xfId="74" quotePrefix="1" applyNumberFormat="1" applyFont="1" applyFill="1" applyBorder="1">
      <alignment vertical="center"/>
    </xf>
    <xf numFmtId="0" fontId="67" fillId="0" borderId="20" xfId="169" applyFont="1" applyBorder="1"/>
    <xf numFmtId="0" fontId="71" fillId="0" borderId="19" xfId="78" applyFont="1" applyFill="1" applyBorder="1">
      <alignment vertical="center"/>
    </xf>
    <xf numFmtId="0" fontId="67" fillId="0" borderId="19" xfId="169" applyFont="1" applyBorder="1"/>
    <xf numFmtId="172" fontId="71" fillId="0" borderId="0" xfId="111" applyNumberFormat="1" applyFont="1" applyFill="1" applyBorder="1" applyAlignment="1">
      <alignment horizontal="center" vertical="center"/>
    </xf>
    <xf numFmtId="172" fontId="71" fillId="0" borderId="0" xfId="111" applyNumberFormat="1" applyFont="1" applyFill="1" applyBorder="1" applyAlignment="1">
      <alignment horizontal="left" vertical="center"/>
    </xf>
    <xf numFmtId="0" fontId="71" fillId="0" borderId="0" xfId="169" applyFont="1" applyAlignment="1">
      <alignment horizontal="left" vertical="center"/>
    </xf>
    <xf numFmtId="0" fontId="67" fillId="0" borderId="21" xfId="169" applyFont="1" applyBorder="1"/>
    <xf numFmtId="0" fontId="67" fillId="0" borderId="22" xfId="169" applyFont="1" applyBorder="1"/>
    <xf numFmtId="0" fontId="67" fillId="0" borderId="23" xfId="169" applyFont="1" applyBorder="1"/>
    <xf numFmtId="0" fontId="71" fillId="0" borderId="8" xfId="0" applyFont="1" applyBorder="1" applyAlignment="1">
      <alignment horizontal="center"/>
    </xf>
    <xf numFmtId="200" fontId="67" fillId="0" borderId="0" xfId="0" applyNumberFormat="1" applyFont="1"/>
    <xf numFmtId="0" fontId="67" fillId="0" borderId="0" xfId="169" quotePrefix="1" applyFont="1"/>
    <xf numFmtId="201" fontId="71" fillId="0" borderId="0" xfId="111" applyNumberFormat="1" applyFont="1" applyFill="1" applyBorder="1" applyAlignment="1">
      <alignment horizontal="center" vertical="center"/>
    </xf>
    <xf numFmtId="10" fontId="67" fillId="32" borderId="34" xfId="111" applyNumberFormat="1" applyFont="1" applyFill="1" applyBorder="1" applyAlignment="1" applyProtection="1">
      <alignment horizontal="center" vertical="center"/>
      <protection locked="0"/>
    </xf>
    <xf numFmtId="10" fontId="67" fillId="32" borderId="35" xfId="111" applyNumberFormat="1" applyFont="1" applyFill="1" applyBorder="1" applyAlignment="1" applyProtection="1">
      <alignment horizontal="center" vertical="center"/>
      <protection locked="0"/>
    </xf>
    <xf numFmtId="0" fontId="10" fillId="28" borderId="0" xfId="169" applyFont="1" applyFill="1" applyAlignment="1" applyProtection="1">
      <alignment horizontal="center" vertical="center"/>
      <protection locked="0"/>
    </xf>
    <xf numFmtId="0" fontId="10" fillId="28" borderId="0" xfId="169" applyFont="1" applyFill="1" applyAlignment="1" applyProtection="1">
      <alignment horizontal="left" vertical="center"/>
      <protection locked="0"/>
    </xf>
    <xf numFmtId="0" fontId="75" fillId="39" borderId="16" xfId="0" applyFont="1" applyFill="1" applyBorder="1" applyAlignment="1">
      <alignment horizontal="center" vertical="center"/>
    </xf>
    <xf numFmtId="0" fontId="75" fillId="39" borderId="17" xfId="0" applyFont="1" applyFill="1" applyBorder="1" applyAlignment="1">
      <alignment horizontal="center" vertical="center"/>
    </xf>
    <xf numFmtId="0" fontId="75" fillId="39" borderId="18" xfId="0" applyFont="1" applyFill="1" applyBorder="1" applyAlignment="1">
      <alignment horizontal="center" vertical="center"/>
    </xf>
    <xf numFmtId="0" fontId="75" fillId="39" borderId="21" xfId="0" applyFont="1" applyFill="1" applyBorder="1" applyAlignment="1">
      <alignment horizontal="center" vertical="center"/>
    </xf>
    <xf numFmtId="0" fontId="75" fillId="39" borderId="22" xfId="0" applyFont="1" applyFill="1" applyBorder="1" applyAlignment="1">
      <alignment horizontal="center" vertical="center"/>
    </xf>
    <xf numFmtId="0" fontId="75" fillId="39" borderId="23" xfId="0" applyFont="1" applyFill="1" applyBorder="1" applyAlignment="1">
      <alignment horizontal="center" vertical="center"/>
    </xf>
    <xf numFmtId="0" fontId="75" fillId="39" borderId="54" xfId="0" applyFont="1" applyFill="1" applyBorder="1" applyAlignment="1">
      <alignment horizontal="center"/>
    </xf>
    <xf numFmtId="0" fontId="75" fillId="39" borderId="55" xfId="0" applyFont="1" applyFill="1" applyBorder="1" applyAlignment="1">
      <alignment horizontal="center"/>
    </xf>
    <xf numFmtId="0" fontId="75" fillId="39" borderId="56" xfId="0" applyFont="1" applyFill="1" applyBorder="1" applyAlignment="1">
      <alignment horizontal="center"/>
    </xf>
    <xf numFmtId="0" fontId="67" fillId="46" borderId="0" xfId="0" applyFont="1" applyFill="1" applyProtection="1">
      <protection locked="0"/>
    </xf>
    <xf numFmtId="0" fontId="75" fillId="39" borderId="38" xfId="0" applyFont="1" applyFill="1" applyBorder="1" applyAlignment="1">
      <alignment horizontal="center" vertical="center"/>
    </xf>
    <xf numFmtId="0" fontId="67" fillId="59" borderId="0" xfId="137" applyFont="1" applyFill="1" applyAlignment="1">
      <alignment horizontal="left"/>
    </xf>
    <xf numFmtId="0" fontId="67" fillId="59" borderId="0" xfId="0" applyFont="1" applyFill="1"/>
    <xf numFmtId="172" fontId="67" fillId="59" borderId="0" xfId="111" applyNumberFormat="1" applyFont="1" applyFill="1">
      <alignment horizontal="right" vertical="center"/>
    </xf>
    <xf numFmtId="172" fontId="67" fillId="59" borderId="0" xfId="0" applyNumberFormat="1" applyFont="1" applyFill="1"/>
    <xf numFmtId="172" fontId="67" fillId="59" borderId="0" xfId="0" applyNumberFormat="1" applyFont="1" applyFill="1" applyAlignment="1">
      <alignment horizontal="right"/>
    </xf>
    <xf numFmtId="172" fontId="56" fillId="59" borderId="0" xfId="111" applyNumberFormat="1" applyFont="1" applyFill="1" applyBorder="1" applyAlignment="1">
      <alignment horizontal="left" vertical="center"/>
    </xf>
    <xf numFmtId="172" fontId="80" fillId="0" borderId="0" xfId="111" applyNumberFormat="1" applyFont="1" applyAlignment="1">
      <alignment horizontal="center" vertical="center"/>
    </xf>
    <xf numFmtId="165" fontId="67" fillId="0" borderId="25" xfId="111" applyFont="1" applyBorder="1">
      <alignment horizontal="right" vertical="center"/>
    </xf>
    <xf numFmtId="165" fontId="67" fillId="0" borderId="26" xfId="111" applyFont="1" applyBorder="1">
      <alignment horizontal="right" vertical="center"/>
    </xf>
    <xf numFmtId="2" fontId="71" fillId="27" borderId="43" xfId="143" applyNumberFormat="1" applyFont="1" applyFill="1" applyBorder="1"/>
    <xf numFmtId="2" fontId="71" fillId="27" borderId="29" xfId="143" applyNumberFormat="1" applyFont="1" applyFill="1" applyBorder="1"/>
    <xf numFmtId="2" fontId="67" fillId="27" borderId="8" xfId="143" applyNumberFormat="1" applyFont="1" applyFill="1" applyBorder="1"/>
    <xf numFmtId="185" fontId="4" fillId="59" borderId="0" xfId="172" applyNumberFormat="1" applyFont="1" applyFill="1" applyAlignment="1">
      <alignment horizontal="right"/>
    </xf>
    <xf numFmtId="165" fontId="67" fillId="59" borderId="0" xfId="111" applyFont="1" applyFill="1" applyBorder="1">
      <alignment horizontal="right" vertical="center"/>
    </xf>
    <xf numFmtId="2" fontId="71" fillId="27" borderId="0" xfId="143" applyNumberFormat="1" applyFont="1" applyFill="1"/>
    <xf numFmtId="172" fontId="71" fillId="0" borderId="43" xfId="112" applyNumberFormat="1" applyFont="1" applyFill="1" applyBorder="1">
      <alignment horizontal="right" vertical="center"/>
    </xf>
    <xf numFmtId="172" fontId="71" fillId="27" borderId="43" xfId="112" applyNumberFormat="1" applyFont="1" applyFill="1" applyBorder="1">
      <alignment horizontal="right" vertical="center"/>
    </xf>
    <xf numFmtId="172" fontId="67" fillId="34" borderId="43" xfId="111" applyNumberFormat="1" applyFont="1" applyFill="1" applyBorder="1">
      <alignment horizontal="right" vertical="center"/>
    </xf>
    <xf numFmtId="190" fontId="67" fillId="57" borderId="26" xfId="101" applyNumberFormat="1" applyFont="1" applyFill="1" applyBorder="1" applyAlignment="1" applyProtection="1">
      <alignment horizontal="right" vertical="center"/>
    </xf>
    <xf numFmtId="0" fontId="67" fillId="59" borderId="0" xfId="0" applyFont="1" applyFill="1" applyAlignment="1">
      <alignment horizontal="right"/>
    </xf>
    <xf numFmtId="1" fontId="67" fillId="0" borderId="0" xfId="0" applyNumberFormat="1" applyFont="1"/>
    <xf numFmtId="0" fontId="155" fillId="40" borderId="8" xfId="169" applyFont="1" applyFill="1" applyBorder="1" applyAlignment="1">
      <alignment horizontal="center"/>
    </xf>
    <xf numFmtId="14" fontId="155" fillId="40" borderId="8" xfId="169" applyNumberFormat="1" applyFont="1" applyFill="1" applyBorder="1" applyAlignment="1">
      <alignment horizontal="center"/>
    </xf>
    <xf numFmtId="0" fontId="155" fillId="40" borderId="8" xfId="169" applyFont="1" applyFill="1" applyBorder="1"/>
    <xf numFmtId="0" fontId="155" fillId="40" borderId="8" xfId="169" applyFont="1" applyFill="1" applyBorder="1" applyAlignment="1">
      <alignment wrapText="1"/>
    </xf>
    <xf numFmtId="14" fontId="156" fillId="40" borderId="8" xfId="169" applyNumberFormat="1" applyFont="1" applyFill="1" applyBorder="1" applyAlignment="1">
      <alignment horizontal="center"/>
    </xf>
    <xf numFmtId="0" fontId="156" fillId="40" borderId="8" xfId="169" applyFont="1" applyFill="1" applyBorder="1"/>
    <xf numFmtId="0" fontId="156" fillId="40" borderId="8" xfId="169" applyFont="1" applyFill="1" applyBorder="1" applyAlignment="1">
      <alignment wrapText="1"/>
    </xf>
    <xf numFmtId="10" fontId="71" fillId="27" borderId="24" xfId="102" applyNumberFormat="1" applyFont="1" applyFill="1" applyBorder="1" applyProtection="1"/>
    <xf numFmtId="10" fontId="71" fillId="27" borderId="25" xfId="102" applyNumberFormat="1" applyFont="1" applyFill="1" applyBorder="1" applyProtection="1"/>
    <xf numFmtId="10" fontId="71" fillId="27" borderId="26" xfId="102" applyNumberFormat="1" applyFont="1" applyFill="1" applyBorder="1" applyProtection="1"/>
    <xf numFmtId="43" fontId="4" fillId="63" borderId="8" xfId="69" applyFont="1" applyFill="1" applyBorder="1"/>
    <xf numFmtId="0" fontId="67" fillId="24" borderId="0" xfId="0" applyFont="1" applyFill="1" applyAlignment="1">
      <alignment horizontal="right"/>
    </xf>
    <xf numFmtId="9" fontId="67" fillId="24" borderId="0" xfId="0" applyNumberFormat="1" applyFont="1" applyFill="1" applyAlignment="1">
      <alignment horizontal="center"/>
    </xf>
    <xf numFmtId="0" fontId="21" fillId="27" borderId="0" xfId="97" applyFill="1"/>
    <xf numFmtId="0" fontId="21" fillId="27" borderId="0" xfId="97" applyFill="1" applyAlignment="1">
      <alignment horizontal="right" vertical="center"/>
    </xf>
    <xf numFmtId="0" fontId="157" fillId="27" borderId="0" xfId="97" applyFont="1" applyFill="1" applyAlignment="1">
      <alignment vertical="top"/>
    </xf>
    <xf numFmtId="0" fontId="45" fillId="27" borderId="0" xfId="97" applyFont="1" applyFill="1" applyAlignment="1">
      <alignment horizontal="right" vertical="center"/>
    </xf>
    <xf numFmtId="0" fontId="45" fillId="27" borderId="0" xfId="97" applyFont="1" applyFill="1" applyAlignment="1">
      <alignment vertical="top"/>
    </xf>
    <xf numFmtId="0" fontId="45" fillId="27" borderId="0" xfId="97" applyFont="1" applyFill="1" applyAlignment="1">
      <alignment horizontal="right"/>
    </xf>
    <xf numFmtId="0" fontId="45" fillId="27" borderId="0" xfId="97" applyFont="1" applyFill="1" applyAlignment="1">
      <alignment horizontal="left"/>
    </xf>
    <xf numFmtId="0" fontId="45" fillId="27" borderId="0" xfId="97" applyFont="1" applyFill="1"/>
    <xf numFmtId="0" fontId="67" fillId="27" borderId="0" xfId="0" applyFont="1" applyFill="1" applyAlignment="1">
      <alignment vertical="center" wrapText="1"/>
    </xf>
    <xf numFmtId="0" fontId="21" fillId="27" borderId="22" xfId="97" applyFill="1" applyBorder="1"/>
    <xf numFmtId="0" fontId="21" fillId="27" borderId="22" xfId="97" applyFill="1" applyBorder="1" applyAlignment="1">
      <alignment horizontal="right" vertical="center"/>
    </xf>
    <xf numFmtId="0" fontId="119" fillId="66" borderId="0" xfId="97" applyFont="1" applyFill="1" applyAlignment="1">
      <alignment horizontal="left"/>
    </xf>
    <xf numFmtId="0" fontId="119" fillId="66" borderId="0" xfId="221" applyFont="1" applyFill="1" applyAlignment="1">
      <alignment horizontal="left"/>
    </xf>
    <xf numFmtId="0" fontId="119" fillId="66" borderId="0" xfId="221" applyFont="1" applyFill="1" applyAlignment="1">
      <alignment horizontal="center"/>
    </xf>
    <xf numFmtId="0" fontId="119" fillId="66" borderId="0" xfId="221" quotePrefix="1" applyFont="1" applyFill="1" applyAlignment="1">
      <alignment horizontal="center"/>
    </xf>
    <xf numFmtId="0" fontId="5" fillId="0" borderId="0" xfId="122">
      <alignment horizontal="left" vertical="center"/>
    </xf>
    <xf numFmtId="170" fontId="71" fillId="0" borderId="0" xfId="111" applyNumberFormat="1" applyFont="1" applyFill="1" applyBorder="1" applyAlignment="1">
      <alignment horizontal="center" vertical="center"/>
    </xf>
    <xf numFmtId="0" fontId="88" fillId="52" borderId="54" xfId="0" quotePrefix="1" applyFont="1" applyFill="1" applyBorder="1" applyAlignment="1">
      <alignment vertical="center"/>
    </xf>
    <xf numFmtId="0" fontId="67" fillId="52" borderId="55" xfId="0" applyFont="1" applyFill="1" applyBorder="1" applyAlignment="1">
      <alignment horizontal="left" vertical="center"/>
    </xf>
    <xf numFmtId="0" fontId="67" fillId="52" borderId="55" xfId="0" applyFont="1" applyFill="1" applyBorder="1" applyAlignment="1">
      <alignment horizontal="center" vertical="center"/>
    </xf>
    <xf numFmtId="203" fontId="71" fillId="0" borderId="56" xfId="111" applyNumberFormat="1" applyFont="1" applyFill="1" applyBorder="1" applyAlignment="1">
      <alignment horizontal="center" vertical="center"/>
    </xf>
    <xf numFmtId="172" fontId="71" fillId="61" borderId="25" xfId="111" applyNumberFormat="1" applyFont="1" applyFill="1" applyBorder="1">
      <alignment horizontal="right" vertical="center"/>
    </xf>
    <xf numFmtId="172" fontId="71" fillId="61" borderId="26" xfId="111" applyNumberFormat="1" applyFont="1" applyFill="1" applyBorder="1">
      <alignment horizontal="right" vertical="center"/>
    </xf>
    <xf numFmtId="175" fontId="67" fillId="32" borderId="48" xfId="213" applyNumberFormat="1" applyFont="1" applyFill="1" applyBorder="1" applyProtection="1">
      <alignment horizontal="right" vertical="center"/>
      <protection locked="0"/>
    </xf>
    <xf numFmtId="170" fontId="67" fillId="32" borderId="26" xfId="213" applyNumberFormat="1" applyFont="1" applyFill="1" applyBorder="1" applyProtection="1">
      <alignment horizontal="right" vertical="center"/>
      <protection locked="0"/>
    </xf>
    <xf numFmtId="172" fontId="67" fillId="61" borderId="20" xfId="111" applyNumberFormat="1" applyFont="1" applyFill="1" applyBorder="1">
      <alignment horizontal="right" vertical="center"/>
    </xf>
    <xf numFmtId="0" fontId="67" fillId="27" borderId="0" xfId="51" applyFont="1" applyFill="1" applyBorder="1" applyProtection="1"/>
    <xf numFmtId="172" fontId="71" fillId="0" borderId="25" xfId="111" applyNumberFormat="1" applyFont="1" applyFill="1" applyBorder="1" applyAlignment="1">
      <alignment horizontal="left" vertical="center"/>
    </xf>
    <xf numFmtId="0" fontId="162" fillId="0" borderId="17" xfId="76" applyFont="1" applyFill="1" applyBorder="1">
      <alignment vertical="center"/>
    </xf>
    <xf numFmtId="0" fontId="66" fillId="0" borderId="0" xfId="76" applyFont="1" applyFill="1" applyBorder="1">
      <alignment vertical="center"/>
    </xf>
    <xf numFmtId="0" fontId="163" fillId="0" borderId="0" xfId="76" applyFont="1" applyBorder="1">
      <alignment vertical="center"/>
    </xf>
    <xf numFmtId="0" fontId="0" fillId="29" borderId="0" xfId="0" quotePrefix="1" applyFill="1"/>
    <xf numFmtId="0" fontId="119" fillId="27" borderId="0" xfId="97" applyFont="1" applyFill="1" applyAlignment="1">
      <alignment horizontal="left"/>
    </xf>
    <xf numFmtId="0" fontId="119" fillId="27" borderId="0" xfId="221" applyFont="1" applyFill="1" applyAlignment="1">
      <alignment horizontal="left"/>
    </xf>
    <xf numFmtId="0" fontId="119" fillId="27" borderId="0" xfId="221" quotePrefix="1" applyFont="1" applyFill="1" applyAlignment="1">
      <alignment horizontal="center"/>
    </xf>
    <xf numFmtId="0" fontId="119" fillId="27" borderId="0" xfId="221" applyFont="1" applyFill="1" applyAlignment="1">
      <alignment horizontal="center"/>
    </xf>
    <xf numFmtId="0" fontId="1" fillId="27" borderId="0" xfId="222" applyFont="1" applyFill="1" applyAlignment="1" applyProtection="1">
      <alignment vertical="center"/>
      <protection locked="0"/>
    </xf>
    <xf numFmtId="0" fontId="2" fillId="27" borderId="0" xfId="222" applyFill="1" applyAlignment="1">
      <alignment horizontal="center" vertical="justify"/>
    </xf>
    <xf numFmtId="0" fontId="2" fillId="27" borderId="0" xfId="222" applyFill="1" applyAlignment="1">
      <alignment horizontal="right" vertical="center"/>
    </xf>
    <xf numFmtId="10" fontId="1" fillId="32" borderId="8" xfId="101" applyNumberFormat="1" applyFont="1" applyFill="1" applyBorder="1" applyAlignment="1">
      <alignment horizontal="center" vertical="center"/>
    </xf>
    <xf numFmtId="0" fontId="45" fillId="32" borderId="8" xfId="222" applyFont="1" applyFill="1" applyBorder="1" applyAlignment="1" applyProtection="1">
      <alignment horizontal="center" vertical="center" wrapText="1"/>
      <protection locked="0"/>
    </xf>
    <xf numFmtId="202" fontId="160" fillId="32" borderId="8" xfId="222" applyNumberFormat="1" applyFont="1" applyFill="1" applyBorder="1" applyAlignment="1" applyProtection="1">
      <alignment horizontal="right" vertical="center"/>
      <protection locked="0"/>
    </xf>
    <xf numFmtId="0" fontId="67" fillId="27" borderId="0" xfId="0" applyFont="1" applyFill="1" applyAlignment="1" applyProtection="1">
      <alignment vertical="center" wrapText="1"/>
      <protection locked="0"/>
    </xf>
    <xf numFmtId="0" fontId="161" fillId="27" borderId="0" xfId="97" applyFont="1" applyFill="1" applyAlignment="1" applyProtection="1">
      <alignment horizontal="right" vertical="center"/>
      <protection locked="0"/>
    </xf>
    <xf numFmtId="2" fontId="161" fillId="32" borderId="8" xfId="97" applyNumberFormat="1" applyFont="1" applyFill="1" applyBorder="1" applyAlignment="1" applyProtection="1">
      <alignment horizontal="right" vertical="center"/>
      <protection locked="0"/>
    </xf>
    <xf numFmtId="2" fontId="161" fillId="27" borderId="0" xfId="97" applyNumberFormat="1" applyFont="1" applyFill="1" applyAlignment="1" applyProtection="1">
      <alignment horizontal="right" vertical="center"/>
      <protection locked="0"/>
    </xf>
    <xf numFmtId="0" fontId="45" fillId="32" borderId="24" xfId="222" applyFont="1" applyFill="1" applyBorder="1" applyAlignment="1" applyProtection="1">
      <alignment horizontal="center" vertical="center" wrapText="1"/>
      <protection locked="0"/>
    </xf>
    <xf numFmtId="0" fontId="45" fillId="27" borderId="0" xfId="222" applyFont="1" applyFill="1" applyAlignment="1" applyProtection="1">
      <alignment horizontal="center" vertical="center" wrapText="1"/>
      <protection locked="0"/>
    </xf>
    <xf numFmtId="0" fontId="21" fillId="27" borderId="0" xfId="97" applyFill="1" applyAlignment="1" applyProtection="1">
      <alignment horizontal="right" vertical="center"/>
      <protection locked="0"/>
    </xf>
    <xf numFmtId="2" fontId="0" fillId="27" borderId="0" xfId="0" applyNumberFormat="1" applyFill="1" applyAlignment="1" applyProtection="1">
      <alignment horizontal="right" vertical="top"/>
      <protection locked="0"/>
    </xf>
    <xf numFmtId="2" fontId="21" fillId="27" borderId="0" xfId="97" applyNumberFormat="1" applyFill="1" applyAlignment="1" applyProtection="1">
      <alignment horizontal="right" vertical="center"/>
      <protection locked="0"/>
    </xf>
    <xf numFmtId="0" fontId="71" fillId="27" borderId="0" xfId="0" applyFont="1" applyFill="1" applyAlignment="1" applyProtection="1">
      <alignment vertical="center" wrapText="1"/>
      <protection locked="0"/>
    </xf>
    <xf numFmtId="0" fontId="67" fillId="27" borderId="0" xfId="0" applyFont="1" applyFill="1" applyAlignment="1" applyProtection="1">
      <alignment horizontal="left" vertical="center" wrapText="1" indent="1"/>
      <protection locked="0"/>
    </xf>
    <xf numFmtId="0" fontId="158" fillId="27" borderId="0" xfId="0" applyFont="1" applyFill="1" applyAlignment="1" applyProtection="1">
      <alignment horizontal="left" vertical="center" wrapText="1" indent="1"/>
      <protection locked="0"/>
    </xf>
    <xf numFmtId="0" fontId="67" fillId="27" borderId="0" xfId="0" applyFont="1" applyFill="1" applyAlignment="1" applyProtection="1">
      <alignment horizontal="left" vertical="center" wrapText="1" indent="2"/>
      <protection locked="0"/>
    </xf>
    <xf numFmtId="0" fontId="21" fillId="27" borderId="22" xfId="97" applyFill="1" applyBorder="1" applyProtection="1">
      <protection locked="0"/>
    </xf>
    <xf numFmtId="0" fontId="67" fillId="32" borderId="53" xfId="143" applyFont="1" applyFill="1" applyBorder="1" applyAlignment="1" applyProtection="1">
      <alignment horizontal="center"/>
      <protection locked="0"/>
    </xf>
    <xf numFmtId="0" fontId="67" fillId="32" borderId="44" xfId="143" applyFont="1" applyFill="1" applyBorder="1" applyAlignment="1" applyProtection="1">
      <alignment horizontal="center"/>
      <protection locked="0"/>
    </xf>
    <xf numFmtId="0" fontId="57" fillId="0" borderId="18" xfId="143" applyFont="1" applyBorder="1" applyAlignment="1">
      <alignment horizontal="center" vertical="top" wrapText="1"/>
    </xf>
    <xf numFmtId="173" fontId="67" fillId="32" borderId="8" xfId="102" applyNumberFormat="1" applyFont="1" applyFill="1" applyBorder="1" applyProtection="1">
      <protection locked="0"/>
    </xf>
    <xf numFmtId="170" fontId="67" fillId="32" borderId="25" xfId="69" applyNumberFormat="1" applyFont="1" applyFill="1" applyBorder="1" applyProtection="1">
      <protection locked="0"/>
    </xf>
    <xf numFmtId="170" fontId="67" fillId="32" borderId="26" xfId="69" applyNumberFormat="1" applyFont="1" applyFill="1" applyBorder="1" applyProtection="1">
      <protection locked="0"/>
    </xf>
    <xf numFmtId="170" fontId="67" fillId="32" borderId="24" xfId="69" applyNumberFormat="1" applyFont="1" applyFill="1" applyBorder="1" applyProtection="1">
      <protection locked="0"/>
    </xf>
    <xf numFmtId="0" fontId="67" fillId="32" borderId="26" xfId="38" applyFont="1" applyFill="1" applyBorder="1">
      <alignment vertical="center"/>
      <protection locked="0"/>
    </xf>
    <xf numFmtId="172" fontId="67" fillId="32" borderId="48" xfId="213" applyNumberFormat="1" applyFont="1" applyFill="1" applyBorder="1" applyProtection="1">
      <alignment horizontal="right" vertical="center"/>
      <protection locked="0"/>
    </xf>
    <xf numFmtId="172" fontId="67" fillId="32" borderId="48" xfId="114" applyNumberFormat="1" applyFont="1" applyFill="1" applyBorder="1" applyProtection="1">
      <alignment horizontal="right" vertical="center"/>
      <protection locked="0"/>
    </xf>
    <xf numFmtId="172" fontId="67" fillId="24" borderId="0" xfId="0" applyNumberFormat="1" applyFont="1" applyFill="1" applyProtection="1">
      <protection locked="0"/>
    </xf>
    <xf numFmtId="172" fontId="67" fillId="27" borderId="27" xfId="0" applyNumberFormat="1" applyFont="1" applyFill="1" applyBorder="1" applyProtection="1">
      <protection locked="0"/>
    </xf>
    <xf numFmtId="172" fontId="67" fillId="27" borderId="28" xfId="0" applyNumberFormat="1" applyFont="1" applyFill="1" applyBorder="1" applyProtection="1">
      <protection locked="0"/>
    </xf>
    <xf numFmtId="172" fontId="67" fillId="27" borderId="31" xfId="0" applyNumberFormat="1" applyFont="1" applyFill="1" applyBorder="1" applyProtection="1">
      <protection locked="0"/>
    </xf>
    <xf numFmtId="172" fontId="67" fillId="27" borderId="13" xfId="0" applyNumberFormat="1" applyFont="1" applyFill="1" applyBorder="1" applyProtection="1">
      <protection locked="0"/>
    </xf>
    <xf numFmtId="0" fontId="112" fillId="0" borderId="0" xfId="76" applyFont="1" applyBorder="1" applyProtection="1">
      <alignment vertical="center"/>
      <protection locked="0"/>
    </xf>
    <xf numFmtId="202" fontId="160" fillId="27" borderId="0" xfId="222" applyNumberFormat="1" applyFont="1" applyFill="1" applyAlignment="1">
      <alignment horizontal="right" vertical="center"/>
    </xf>
    <xf numFmtId="2" fontId="21" fillId="27" borderId="0" xfId="97" applyNumberFormat="1" applyFill="1" applyAlignment="1">
      <alignment horizontal="right" vertical="center"/>
    </xf>
    <xf numFmtId="172" fontId="67" fillId="27" borderId="0" xfId="0" applyNumberFormat="1" applyFont="1" applyFill="1" applyProtection="1">
      <protection locked="0"/>
    </xf>
    <xf numFmtId="173" fontId="71" fillId="61" borderId="26" xfId="101" applyNumberFormat="1" applyFont="1" applyFill="1" applyBorder="1" applyAlignment="1">
      <alignment horizontal="right" vertical="center"/>
    </xf>
    <xf numFmtId="173" fontId="71" fillId="61" borderId="25" xfId="101" applyNumberFormat="1" applyFont="1" applyFill="1" applyBorder="1" applyAlignment="1">
      <alignment horizontal="right" vertical="center"/>
    </xf>
    <xf numFmtId="172" fontId="67" fillId="27" borderId="0" xfId="0" applyNumberFormat="1" applyFont="1" applyFill="1" applyAlignment="1">
      <alignment horizontal="right"/>
    </xf>
    <xf numFmtId="172" fontId="71" fillId="32" borderId="25" xfId="111" applyNumberFormat="1" applyFont="1" applyFill="1" applyBorder="1" applyProtection="1">
      <alignment horizontal="right" vertical="center"/>
      <protection locked="0"/>
    </xf>
    <xf numFmtId="172" fontId="71" fillId="32" borderId="26" xfId="111" applyNumberFormat="1" applyFont="1" applyFill="1" applyBorder="1" applyProtection="1">
      <alignment horizontal="right" vertical="center"/>
      <protection locked="0"/>
    </xf>
    <xf numFmtId="172" fontId="71" fillId="32" borderId="24" xfId="111" applyNumberFormat="1" applyFont="1" applyFill="1" applyBorder="1" applyProtection="1">
      <alignment horizontal="right" vertical="center"/>
      <protection locked="0"/>
    </xf>
    <xf numFmtId="43" fontId="67" fillId="42" borderId="30" xfId="69" applyFont="1" applyFill="1" applyBorder="1" applyAlignment="1">
      <alignment horizontal="right" vertical="center"/>
    </xf>
    <xf numFmtId="43" fontId="67" fillId="42" borderId="0" xfId="69" applyFont="1" applyFill="1" applyBorder="1" applyAlignment="1">
      <alignment horizontal="right" vertical="center"/>
    </xf>
    <xf numFmtId="43" fontId="67" fillId="42" borderId="14" xfId="69" applyFont="1" applyFill="1" applyBorder="1" applyAlignment="1">
      <alignment horizontal="right"/>
    </xf>
    <xf numFmtId="43" fontId="67" fillId="42" borderId="0" xfId="69" applyFont="1" applyFill="1" applyAlignment="1">
      <alignment horizontal="right"/>
    </xf>
    <xf numFmtId="43" fontId="67" fillId="42" borderId="14" xfId="69" applyFont="1" applyFill="1" applyBorder="1" applyAlignment="1">
      <alignment horizontal="right" vertical="center"/>
    </xf>
    <xf numFmtId="43" fontId="67" fillId="0" borderId="31" xfId="69" applyFont="1" applyBorder="1" applyAlignment="1">
      <alignment horizontal="right" vertical="center"/>
    </xf>
    <xf numFmtId="43" fontId="67" fillId="0" borderId="13" xfId="69" applyFont="1" applyBorder="1" applyAlignment="1">
      <alignment horizontal="right" vertical="center"/>
    </xf>
    <xf numFmtId="43" fontId="67" fillId="0" borderId="15" xfId="69" applyFont="1" applyBorder="1" applyAlignment="1">
      <alignment horizontal="right" vertical="center"/>
    </xf>
    <xf numFmtId="43" fontId="67" fillId="0" borderId="15" xfId="69" applyFont="1" applyBorder="1" applyAlignment="1">
      <alignment horizontal="right"/>
    </xf>
    <xf numFmtId="43" fontId="67" fillId="0" borderId="13" xfId="69" applyFont="1" applyBorder="1" applyAlignment="1">
      <alignment horizontal="right"/>
    </xf>
    <xf numFmtId="43" fontId="67" fillId="0" borderId="0" xfId="69" applyFont="1"/>
    <xf numFmtId="43" fontId="67" fillId="0" borderId="0" xfId="69" applyFont="1" applyFill="1" applyBorder="1" applyAlignment="1">
      <alignment horizontal="right" vertical="center"/>
    </xf>
    <xf numFmtId="43" fontId="67" fillId="0" borderId="27" xfId="69" applyFont="1" applyBorder="1" applyAlignment="1">
      <alignment horizontal="right" vertical="center"/>
    </xf>
    <xf numFmtId="43" fontId="67" fillId="0" borderId="28" xfId="69" applyFont="1" applyBorder="1" applyAlignment="1">
      <alignment horizontal="right" vertical="center"/>
    </xf>
    <xf numFmtId="43" fontId="67" fillId="0" borderId="29" xfId="69" applyFont="1" applyBorder="1" applyAlignment="1">
      <alignment horizontal="right" vertical="center"/>
    </xf>
    <xf numFmtId="43" fontId="67" fillId="0" borderId="29" xfId="69" applyFont="1" applyBorder="1" applyAlignment="1">
      <alignment horizontal="right"/>
    </xf>
    <xf numFmtId="43" fontId="67" fillId="0" borderId="28" xfId="69" applyFont="1" applyBorder="1" applyAlignment="1">
      <alignment horizontal="right"/>
    </xf>
    <xf numFmtId="43" fontId="67" fillId="27" borderId="0" xfId="69" applyFont="1" applyFill="1" applyBorder="1" applyAlignment="1">
      <alignment horizontal="right" vertical="center"/>
    </xf>
    <xf numFmtId="192" fontId="67" fillId="0" borderId="0" xfId="69" applyNumberFormat="1" applyFont="1"/>
    <xf numFmtId="192" fontId="67" fillId="0" borderId="0" xfId="69" applyNumberFormat="1" applyFont="1" applyFill="1" applyBorder="1" applyAlignment="1">
      <alignment horizontal="right" vertical="center"/>
    </xf>
    <xf numFmtId="192" fontId="67" fillId="27" borderId="0" xfId="69" applyNumberFormat="1" applyFont="1" applyFill="1" applyBorder="1" applyAlignment="1">
      <alignment horizontal="right" vertical="center"/>
    </xf>
    <xf numFmtId="170" fontId="67" fillId="42" borderId="30" xfId="69" applyNumberFormat="1" applyFont="1" applyFill="1" applyBorder="1" applyAlignment="1">
      <alignment horizontal="right" vertical="center"/>
    </xf>
    <xf numFmtId="170" fontId="67" fillId="42" borderId="0" xfId="69" applyNumberFormat="1" applyFont="1" applyFill="1" applyBorder="1" applyAlignment="1">
      <alignment horizontal="right" vertical="center"/>
    </xf>
    <xf numFmtId="170" fontId="67" fillId="42" borderId="14" xfId="69" applyNumberFormat="1" applyFont="1" applyFill="1" applyBorder="1" applyAlignment="1">
      <alignment horizontal="right"/>
    </xf>
    <xf numFmtId="170" fontId="67" fillId="42" borderId="0" xfId="69" applyNumberFormat="1" applyFont="1" applyFill="1" applyAlignment="1">
      <alignment horizontal="right"/>
    </xf>
    <xf numFmtId="170" fontId="67" fillId="42" borderId="14" xfId="69" applyNumberFormat="1" applyFont="1" applyFill="1" applyBorder="1" applyAlignment="1">
      <alignment horizontal="right" vertical="center"/>
    </xf>
    <xf numFmtId="170" fontId="67" fillId="0" borderId="31" xfId="69" applyNumberFormat="1" applyFont="1" applyBorder="1" applyAlignment="1">
      <alignment horizontal="right" vertical="center"/>
    </xf>
    <xf numFmtId="170" fontId="67" fillId="0" borderId="13" xfId="69" applyNumberFormat="1" applyFont="1" applyBorder="1" applyAlignment="1">
      <alignment horizontal="right" vertical="center"/>
    </xf>
    <xf numFmtId="170" fontId="67" fillId="0" borderId="15" xfId="69" applyNumberFormat="1" applyFont="1" applyBorder="1" applyAlignment="1">
      <alignment horizontal="right" vertical="center"/>
    </xf>
    <xf numFmtId="170" fontId="67" fillId="0" borderId="15" xfId="69" applyNumberFormat="1" applyFont="1" applyBorder="1" applyAlignment="1">
      <alignment horizontal="right"/>
    </xf>
    <xf numFmtId="170" fontId="67" fillId="0" borderId="13" xfId="69" applyNumberFormat="1" applyFont="1" applyBorder="1" applyAlignment="1">
      <alignment horizontal="right"/>
    </xf>
    <xf numFmtId="172" fontId="67" fillId="27" borderId="8" xfId="0" applyNumberFormat="1" applyFont="1" applyFill="1" applyBorder="1"/>
    <xf numFmtId="172" fontId="67" fillId="32" borderId="16" xfId="213" applyNumberFormat="1" applyFont="1" applyFill="1" applyBorder="1" applyProtection="1">
      <alignment horizontal="right" vertical="center"/>
      <protection locked="0"/>
    </xf>
    <xf numFmtId="170" fontId="67" fillId="32" borderId="77" xfId="213" applyNumberFormat="1" applyFont="1" applyFill="1" applyBorder="1" applyProtection="1">
      <alignment horizontal="right" vertical="center"/>
      <protection locked="0"/>
    </xf>
    <xf numFmtId="170" fontId="67" fillId="32" borderId="26" xfId="114" applyNumberFormat="1" applyFont="1" applyFill="1" applyBorder="1" applyProtection="1">
      <alignment horizontal="right" vertical="center"/>
      <protection locked="0"/>
    </xf>
    <xf numFmtId="172" fontId="71" fillId="61" borderId="24" xfId="111" applyNumberFormat="1" applyFont="1" applyFill="1" applyBorder="1">
      <alignment horizontal="right" vertical="center"/>
    </xf>
    <xf numFmtId="0" fontId="10" fillId="27" borderId="25" xfId="0" applyFont="1" applyFill="1" applyBorder="1" applyAlignment="1">
      <alignment horizontal="right" vertical="center"/>
    </xf>
    <xf numFmtId="0" fontId="4" fillId="27" borderId="0" xfId="0" applyFont="1" applyFill="1" applyAlignment="1">
      <alignment horizontal="right" vertical="center"/>
    </xf>
    <xf numFmtId="0" fontId="164" fillId="0" borderId="0" xfId="169" applyFont="1"/>
    <xf numFmtId="0" fontId="165" fillId="56" borderId="8" xfId="169" applyFont="1" applyFill="1" applyBorder="1"/>
    <xf numFmtId="0" fontId="66" fillId="27" borderId="13" xfId="103" applyFont="1" applyFill="1" applyBorder="1" applyAlignment="1">
      <alignment horizontal="right" vertical="center"/>
    </xf>
    <xf numFmtId="0" fontId="72" fillId="27" borderId="13" xfId="103" applyFont="1" applyFill="1" applyBorder="1" applyAlignment="1">
      <alignment horizontal="right" vertical="center"/>
    </xf>
    <xf numFmtId="0" fontId="97" fillId="24" borderId="0" xfId="0" applyFont="1" applyFill="1"/>
    <xf numFmtId="0" fontId="71" fillId="32" borderId="0" xfId="0" applyFont="1" applyFill="1" applyAlignment="1" applyProtection="1">
      <alignment vertical="center" wrapText="1"/>
      <protection locked="0"/>
    </xf>
    <xf numFmtId="0" fontId="67" fillId="32" borderId="0" xfId="0" applyFont="1" applyFill="1" applyAlignment="1" applyProtection="1">
      <alignment horizontal="left" vertical="center" wrapText="1" indent="1"/>
      <protection locked="0"/>
    </xf>
    <xf numFmtId="0" fontId="158" fillId="32" borderId="0" xfId="0" applyFont="1" applyFill="1" applyAlignment="1" applyProtection="1">
      <alignment horizontal="left" vertical="center" wrapText="1" indent="1"/>
      <protection locked="0"/>
    </xf>
    <xf numFmtId="0" fontId="159" fillId="32" borderId="0" xfId="0" applyFont="1" applyFill="1" applyAlignment="1" applyProtection="1">
      <alignment vertical="center" wrapText="1"/>
      <protection locked="0"/>
    </xf>
    <xf numFmtId="0" fontId="44" fillId="27" borderId="0" xfId="199" applyFont="1" applyFill="1" applyAlignment="1">
      <alignment horizontal="right"/>
    </xf>
    <xf numFmtId="172" fontId="67" fillId="34" borderId="8" xfId="111" applyNumberFormat="1" applyFont="1" applyFill="1" applyBorder="1">
      <alignment horizontal="right" vertical="center"/>
    </xf>
    <xf numFmtId="0" fontId="10" fillId="0" borderId="13" xfId="169" applyFont="1" applyBorder="1" applyAlignment="1">
      <alignment horizontal="right"/>
    </xf>
    <xf numFmtId="0" fontId="4" fillId="30" borderId="0" xfId="199" applyFill="1"/>
    <xf numFmtId="172" fontId="71" fillId="33" borderId="32" xfId="111" applyNumberFormat="1" applyFont="1" applyFill="1" applyBorder="1">
      <alignment horizontal="right" vertical="center"/>
    </xf>
    <xf numFmtId="0" fontId="67" fillId="0" borderId="0" xfId="169" applyFont="1" applyProtection="1">
      <protection locked="0"/>
    </xf>
    <xf numFmtId="0" fontId="71" fillId="0" borderId="0" xfId="169" applyFont="1" applyProtection="1">
      <protection locked="0"/>
    </xf>
    <xf numFmtId="0" fontId="48" fillId="0" borderId="0" xfId="169" applyFont="1" applyProtection="1">
      <protection locked="0"/>
    </xf>
    <xf numFmtId="0" fontId="166" fillId="0" borderId="0" xfId="169" applyFont="1" applyProtection="1">
      <protection locked="0"/>
    </xf>
    <xf numFmtId="0" fontId="45" fillId="56" borderId="8" xfId="169" applyFont="1" applyFill="1" applyBorder="1" applyProtection="1">
      <protection locked="0"/>
    </xf>
    <xf numFmtId="0" fontId="4" fillId="40" borderId="8" xfId="169" applyFill="1" applyBorder="1" applyAlignment="1" applyProtection="1">
      <alignment horizontal="center"/>
      <protection locked="0"/>
    </xf>
    <xf numFmtId="14" fontId="4" fillId="40" borderId="8" xfId="169" applyNumberFormat="1" applyFill="1" applyBorder="1" applyAlignment="1" applyProtection="1">
      <alignment horizontal="center"/>
      <protection locked="0"/>
    </xf>
    <xf numFmtId="0" fontId="4" fillId="40" borderId="8" xfId="169" applyFill="1" applyBorder="1" applyProtection="1">
      <protection locked="0"/>
    </xf>
    <xf numFmtId="0" fontId="4" fillId="40" borderId="8" xfId="169" applyFill="1" applyBorder="1" applyAlignment="1" applyProtection="1">
      <alignment wrapText="1"/>
      <protection locked="0"/>
    </xf>
    <xf numFmtId="14" fontId="143" fillId="40" borderId="8" xfId="169" applyNumberFormat="1" applyFont="1" applyFill="1" applyBorder="1" applyAlignment="1" applyProtection="1">
      <alignment horizontal="center"/>
      <protection locked="0"/>
    </xf>
    <xf numFmtId="0" fontId="143" fillId="40" borderId="8" xfId="169" applyFont="1" applyFill="1" applyBorder="1" applyProtection="1">
      <protection locked="0"/>
    </xf>
    <xf numFmtId="0" fontId="143" fillId="40" borderId="8" xfId="169" applyFont="1" applyFill="1" applyBorder="1" applyAlignment="1" applyProtection="1">
      <alignment wrapText="1"/>
      <protection locked="0"/>
    </xf>
    <xf numFmtId="0" fontId="92" fillId="0" borderId="0" xfId="169" applyFont="1" applyProtection="1">
      <protection locked="0"/>
    </xf>
    <xf numFmtId="172" fontId="71" fillId="0" borderId="0" xfId="169" applyNumberFormat="1" applyFont="1" applyProtection="1">
      <protection locked="0"/>
    </xf>
    <xf numFmtId="43" fontId="71" fillId="0" borderId="0" xfId="69" applyFont="1" applyProtection="1">
      <protection locked="0"/>
    </xf>
    <xf numFmtId="0" fontId="141" fillId="0" borderId="0" xfId="169" applyFont="1" applyProtection="1">
      <protection locked="0"/>
    </xf>
    <xf numFmtId="0" fontId="118" fillId="0" borderId="0" xfId="169" applyFont="1" applyProtection="1">
      <protection locked="0"/>
    </xf>
    <xf numFmtId="0" fontId="67" fillId="59" borderId="0" xfId="0" applyFont="1" applyFill="1" applyAlignment="1" applyProtection="1">
      <alignment horizontal="center"/>
      <protection locked="0"/>
    </xf>
    <xf numFmtId="0" fontId="67" fillId="59" borderId="0" xfId="0" applyFont="1" applyFill="1" applyAlignment="1">
      <alignment horizontal="center"/>
    </xf>
    <xf numFmtId="172" fontId="96" fillId="0" borderId="0" xfId="0" applyNumberFormat="1" applyFont="1"/>
    <xf numFmtId="0" fontId="124" fillId="47" borderId="0" xfId="172" applyFont="1" applyFill="1"/>
    <xf numFmtId="173" fontId="124" fillId="47" borderId="0" xfId="172" applyNumberFormat="1" applyFont="1" applyFill="1"/>
    <xf numFmtId="173" fontId="124" fillId="47" borderId="0" xfId="172" applyNumberFormat="1" applyFont="1" applyFill="1" applyAlignment="1">
      <alignment horizontal="right"/>
    </xf>
    <xf numFmtId="173" fontId="124" fillId="0" borderId="0" xfId="172" applyNumberFormat="1" applyFont="1" applyAlignment="1">
      <alignment horizontal="right"/>
    </xf>
    <xf numFmtId="0" fontId="10" fillId="49" borderId="0" xfId="172" applyFont="1" applyFill="1"/>
    <xf numFmtId="180" fontId="10" fillId="50" borderId="0" xfId="172" applyNumberFormat="1" applyFont="1" applyFill="1"/>
    <xf numFmtId="0" fontId="124" fillId="34" borderId="0" xfId="172" applyFont="1" applyFill="1"/>
    <xf numFmtId="173" fontId="124" fillId="34" borderId="0" xfId="172" applyNumberFormat="1" applyFont="1" applyFill="1"/>
    <xf numFmtId="173" fontId="124" fillId="34" borderId="0" xfId="172" applyNumberFormat="1" applyFont="1" applyFill="1" applyAlignment="1">
      <alignment horizontal="right"/>
    </xf>
    <xf numFmtId="0" fontId="10" fillId="42" borderId="0" xfId="172" applyFont="1" applyFill="1"/>
    <xf numFmtId="180" fontId="10" fillId="42" borderId="0" xfId="172" applyNumberFormat="1" applyFont="1" applyFill="1"/>
    <xf numFmtId="180" fontId="10" fillId="44" borderId="0" xfId="172" applyNumberFormat="1" applyFont="1" applyFill="1"/>
    <xf numFmtId="180" fontId="10" fillId="44" borderId="114" xfId="173" applyNumberFormat="1" applyFont="1" applyFill="1" applyBorder="1"/>
    <xf numFmtId="180" fontId="10" fillId="44" borderId="110" xfId="172" applyNumberFormat="1" applyFont="1" applyFill="1" applyBorder="1"/>
    <xf numFmtId="0" fontId="124" fillId="33" borderId="0" xfId="172" applyFont="1" applyFill="1"/>
    <xf numFmtId="173" fontId="124" fillId="33" borderId="0" xfId="172" applyNumberFormat="1" applyFont="1" applyFill="1"/>
    <xf numFmtId="173" fontId="124" fillId="33" borderId="0" xfId="172" applyNumberFormat="1" applyFont="1" applyFill="1" applyAlignment="1">
      <alignment horizontal="right"/>
    </xf>
    <xf numFmtId="0" fontId="10" fillId="44" borderId="0" xfId="172" applyFont="1" applyFill="1"/>
    <xf numFmtId="195" fontId="10" fillId="44" borderId="0" xfId="172" applyNumberFormat="1" applyFont="1" applyFill="1"/>
    <xf numFmtId="171" fontId="4" fillId="0" borderId="0" xfId="0" applyNumberFormat="1" applyFont="1" applyAlignment="1" applyProtection="1">
      <alignment horizontal="right" vertical="center"/>
      <protection locked="0"/>
    </xf>
    <xf numFmtId="0" fontId="4" fillId="0" borderId="0" xfId="0" applyFont="1"/>
    <xf numFmtId="3" fontId="67" fillId="32" borderId="30" xfId="0" applyNumberFormat="1" applyFont="1" applyFill="1" applyBorder="1" applyProtection="1">
      <protection locked="0"/>
    </xf>
    <xf numFmtId="3" fontId="67" fillId="32" borderId="0" xfId="0" applyNumberFormat="1" applyFont="1" applyFill="1" applyProtection="1">
      <protection locked="0"/>
    </xf>
    <xf numFmtId="3" fontId="67" fillId="32" borderId="14" xfId="0" applyNumberFormat="1" applyFont="1" applyFill="1" applyBorder="1" applyProtection="1">
      <protection locked="0"/>
    </xf>
    <xf numFmtId="9" fontId="67" fillId="32" borderId="30" xfId="0" applyNumberFormat="1" applyFont="1" applyFill="1" applyBorder="1" applyProtection="1">
      <protection locked="0"/>
    </xf>
    <xf numFmtId="9" fontId="67" fillId="32" borderId="0" xfId="0" applyNumberFormat="1" applyFont="1" applyFill="1" applyProtection="1">
      <protection locked="0"/>
    </xf>
    <xf numFmtId="9" fontId="67" fillId="32" borderId="14" xfId="0" applyNumberFormat="1" applyFont="1" applyFill="1" applyBorder="1" applyProtection="1">
      <protection locked="0"/>
    </xf>
    <xf numFmtId="0" fontId="67" fillId="32" borderId="139" xfId="143" applyFont="1" applyFill="1" applyBorder="1" applyProtection="1">
      <protection locked="0"/>
    </xf>
    <xf numFmtId="0" fontId="67" fillId="32" borderId="88" xfId="143" applyFont="1" applyFill="1" applyBorder="1" applyProtection="1">
      <protection locked="0"/>
    </xf>
    <xf numFmtId="0" fontId="67" fillId="32" borderId="138" xfId="143" applyFont="1" applyFill="1" applyBorder="1" applyProtection="1">
      <protection locked="0"/>
    </xf>
    <xf numFmtId="0" fontId="67" fillId="32" borderId="139" xfId="143" applyFont="1" applyFill="1" applyBorder="1" applyAlignment="1" applyProtection="1">
      <alignment horizontal="left"/>
      <protection locked="0"/>
    </xf>
    <xf numFmtId="0" fontId="67" fillId="32" borderId="88" xfId="143" applyFont="1" applyFill="1" applyBorder="1" applyAlignment="1" applyProtection="1">
      <alignment horizontal="left"/>
      <protection locked="0"/>
    </xf>
    <xf numFmtId="0" fontId="67" fillId="32" borderId="88" xfId="143" applyFont="1" applyFill="1" applyBorder="1" applyAlignment="1" applyProtection="1">
      <alignment horizontal="center"/>
      <protection locked="0"/>
    </xf>
    <xf numFmtId="0" fontId="67" fillId="32" borderId="138" xfId="143" applyFont="1" applyFill="1" applyBorder="1" applyAlignment="1" applyProtection="1">
      <alignment horizontal="center"/>
      <protection locked="0"/>
    </xf>
    <xf numFmtId="2" fontId="67" fillId="32" borderId="139" xfId="143" applyNumberFormat="1" applyFont="1" applyFill="1" applyBorder="1" applyProtection="1">
      <protection locked="0"/>
    </xf>
    <xf numFmtId="2" fontId="67" fillId="32" borderId="28" xfId="143" applyNumberFormat="1" applyFont="1" applyFill="1" applyBorder="1" applyProtection="1">
      <protection locked="0"/>
    </xf>
    <xf numFmtId="2" fontId="67" fillId="32" borderId="88" xfId="143" applyNumberFormat="1" applyFont="1" applyFill="1" applyBorder="1" applyProtection="1">
      <protection locked="0"/>
    </xf>
    <xf numFmtId="191" fontId="161" fillId="32" borderId="8" xfId="97" applyNumberFormat="1" applyFont="1" applyFill="1" applyBorder="1" applyAlignment="1" applyProtection="1">
      <alignment horizontal="right" vertical="center"/>
      <protection locked="0"/>
    </xf>
    <xf numFmtId="43" fontId="161" fillId="32" borderId="8" xfId="69" applyFont="1" applyFill="1" applyBorder="1" applyAlignment="1" applyProtection="1">
      <alignment horizontal="right" vertical="center"/>
      <protection locked="0"/>
    </xf>
    <xf numFmtId="43" fontId="161" fillId="27" borderId="0" xfId="69" applyFont="1" applyFill="1" applyAlignment="1" applyProtection="1">
      <alignment horizontal="right" vertical="center"/>
      <protection locked="0"/>
    </xf>
    <xf numFmtId="204" fontId="161" fillId="32" borderId="8" xfId="69" applyNumberFormat="1" applyFont="1" applyFill="1" applyBorder="1" applyAlignment="1" applyProtection="1">
      <alignment horizontal="right" vertical="center"/>
      <protection locked="0"/>
    </xf>
    <xf numFmtId="10" fontId="160" fillId="32" borderId="8" xfId="101" applyNumberFormat="1" applyFont="1" applyFill="1" applyBorder="1" applyAlignment="1" applyProtection="1">
      <alignment horizontal="right" vertical="center"/>
      <protection locked="0"/>
    </xf>
    <xf numFmtId="10" fontId="21" fillId="27" borderId="0" xfId="101" applyNumberFormat="1" applyFont="1" applyFill="1" applyAlignment="1" applyProtection="1">
      <alignment horizontal="right" vertical="center"/>
      <protection locked="0"/>
    </xf>
    <xf numFmtId="10" fontId="0" fillId="27" borderId="0" xfId="101" applyNumberFormat="1" applyFont="1" applyFill="1" applyAlignment="1" applyProtection="1">
      <alignment horizontal="right" vertical="top"/>
      <protection locked="0"/>
    </xf>
    <xf numFmtId="10" fontId="160" fillId="27" borderId="0" xfId="101" applyNumberFormat="1" applyFont="1" applyFill="1" applyAlignment="1" applyProtection="1">
      <alignment horizontal="right" vertical="center"/>
      <protection locked="0"/>
    </xf>
    <xf numFmtId="14" fontId="71" fillId="0" borderId="0" xfId="169" applyNumberFormat="1" applyFont="1" applyProtection="1">
      <protection locked="0"/>
    </xf>
    <xf numFmtId="205" fontId="71" fillId="0" borderId="0" xfId="223" applyNumberFormat="1" applyFont="1" applyProtection="1">
      <protection locked="0"/>
    </xf>
    <xf numFmtId="0" fontId="45" fillId="56" borderId="8" xfId="169" applyFont="1" applyFill="1" applyBorder="1" applyAlignment="1" applyProtection="1">
      <alignment wrapText="1"/>
      <protection locked="0"/>
    </xf>
    <xf numFmtId="43" fontId="4" fillId="30" borderId="0" xfId="224" applyFill="1"/>
    <xf numFmtId="43" fontId="4" fillId="30" borderId="8" xfId="69" applyFill="1" applyBorder="1"/>
    <xf numFmtId="0" fontId="67" fillId="27" borderId="48" xfId="0" applyFont="1" applyFill="1" applyBorder="1"/>
    <xf numFmtId="0" fontId="58" fillId="29" borderId="0" xfId="0" applyFont="1" applyFill="1" applyAlignment="1" applyProtection="1">
      <alignment horizontal="right"/>
      <protection hidden="1"/>
    </xf>
    <xf numFmtId="0" fontId="60" fillId="0" borderId="0" xfId="82" applyFont="1" applyProtection="1">
      <alignment horizontal="left" vertical="center"/>
    </xf>
    <xf numFmtId="0" fontId="57" fillId="0" borderId="0" xfId="140" applyFont="1" applyAlignment="1">
      <alignment horizontal="center" vertical="center"/>
    </xf>
    <xf numFmtId="0" fontId="57" fillId="0" borderId="19" xfId="140" applyFont="1" applyBorder="1" applyAlignment="1">
      <alignment horizontal="center" vertical="center" textRotation="90"/>
    </xf>
    <xf numFmtId="0" fontId="71" fillId="0" borderId="24" xfId="0" applyFont="1" applyBorder="1" applyAlignment="1">
      <alignment horizontal="center"/>
    </xf>
    <xf numFmtId="0" fontId="10" fillId="0" borderId="25" xfId="0" applyFont="1" applyBorder="1" applyAlignment="1">
      <alignment horizontal="center"/>
    </xf>
    <xf numFmtId="0" fontId="0" fillId="0" borderId="26" xfId="0" applyBorder="1"/>
    <xf numFmtId="0" fontId="67" fillId="32" borderId="8" xfId="0" applyFont="1" applyFill="1" applyBorder="1" applyAlignment="1" applyProtection="1">
      <alignment horizontal="left"/>
      <protection locked="0"/>
    </xf>
    <xf numFmtId="0" fontId="136" fillId="33" borderId="0" xfId="171" applyFont="1" applyFill="1" applyAlignment="1">
      <alignment horizontal="center"/>
    </xf>
    <xf numFmtId="0" fontId="137" fillId="54" borderId="71" xfId="171" applyFont="1" applyFill="1" applyBorder="1" applyAlignment="1" applyProtection="1">
      <alignment horizontal="left"/>
      <protection locked="0"/>
    </xf>
    <xf numFmtId="0" fontId="137" fillId="54" borderId="37" xfId="171" applyFont="1" applyFill="1" applyBorder="1" applyAlignment="1" applyProtection="1">
      <alignment horizontal="left"/>
      <protection locked="0"/>
    </xf>
    <xf numFmtId="0" fontId="67" fillId="32" borderId="78" xfId="143" applyFont="1" applyFill="1" applyBorder="1" applyAlignment="1" applyProtection="1">
      <alignment horizontal="left"/>
      <protection locked="0"/>
    </xf>
    <xf numFmtId="0" fontId="67" fillId="32" borderId="52" xfId="143" applyFont="1" applyFill="1" applyBorder="1" applyAlignment="1" applyProtection="1">
      <alignment horizontal="left"/>
      <protection locked="0"/>
    </xf>
    <xf numFmtId="0" fontId="67" fillId="32" borderId="79" xfId="143" applyFont="1" applyFill="1" applyBorder="1" applyAlignment="1" applyProtection="1">
      <alignment horizontal="left"/>
      <protection locked="0"/>
    </xf>
    <xf numFmtId="0" fontId="67" fillId="32" borderId="44" xfId="143" applyFont="1" applyFill="1" applyBorder="1" applyAlignment="1" applyProtection="1">
      <alignment horizontal="left"/>
      <protection locked="0"/>
    </xf>
    <xf numFmtId="0" fontId="137" fillId="54" borderId="77" xfId="171" applyFont="1" applyFill="1" applyBorder="1" applyAlignment="1" applyProtection="1">
      <alignment horizontal="left"/>
      <protection locked="0"/>
    </xf>
    <xf numFmtId="0" fontId="137" fillId="54" borderId="53" xfId="171" applyFont="1" applyFill="1" applyBorder="1" applyAlignment="1" applyProtection="1">
      <alignment horizontal="left"/>
      <protection locked="0"/>
    </xf>
    <xf numFmtId="0" fontId="137" fillId="51" borderId="79" xfId="171" applyFont="1" applyFill="1" applyBorder="1" applyAlignment="1" applyProtection="1">
      <alignment horizontal="left"/>
      <protection locked="0"/>
    </xf>
    <xf numFmtId="0" fontId="137" fillId="51" borderId="44" xfId="171" applyFont="1" applyFill="1" applyBorder="1" applyAlignment="1" applyProtection="1">
      <alignment horizontal="left"/>
      <protection locked="0"/>
    </xf>
    <xf numFmtId="0" fontId="67" fillId="32" borderId="24" xfId="37" applyFont="1" applyFill="1" applyBorder="1" applyAlignment="1">
      <alignment horizontal="left" vertical="center"/>
      <protection locked="0"/>
    </xf>
    <xf numFmtId="0" fontId="67" fillId="32" borderId="25" xfId="37" applyFont="1" applyFill="1" applyBorder="1" applyAlignment="1">
      <alignment horizontal="left" vertical="center"/>
      <protection locked="0"/>
    </xf>
    <xf numFmtId="0" fontId="67" fillId="32" borderId="26" xfId="37" applyFont="1" applyFill="1" applyBorder="1" applyAlignment="1">
      <alignment horizontal="left" vertical="center"/>
      <protection locked="0"/>
    </xf>
    <xf numFmtId="0" fontId="71" fillId="0" borderId="25" xfId="0" applyFont="1" applyBorder="1" applyAlignment="1">
      <alignment horizontal="center"/>
    </xf>
    <xf numFmtId="0" fontId="71" fillId="0" borderId="26" xfId="0" applyFont="1" applyBorder="1" applyAlignment="1">
      <alignment horizontal="center"/>
    </xf>
    <xf numFmtId="0" fontId="75" fillId="39" borderId="54" xfId="0" applyFont="1" applyFill="1" applyBorder="1" applyAlignment="1">
      <alignment horizontal="center"/>
    </xf>
    <xf numFmtId="0" fontId="75" fillId="39" borderId="55" xfId="0" applyFont="1" applyFill="1" applyBorder="1" applyAlignment="1">
      <alignment horizontal="center"/>
    </xf>
    <xf numFmtId="0" fontId="75" fillId="39" borderId="56" xfId="0" applyFont="1" applyFill="1" applyBorder="1" applyAlignment="1">
      <alignment horizontal="center"/>
    </xf>
    <xf numFmtId="0" fontId="71" fillId="37" borderId="21" xfId="0" applyFont="1" applyFill="1" applyBorder="1" applyAlignment="1">
      <alignment horizontal="center"/>
    </xf>
    <xf numFmtId="0" fontId="10" fillId="37" borderId="22" xfId="0" applyFont="1" applyFill="1" applyBorder="1" applyAlignment="1">
      <alignment horizontal="center"/>
    </xf>
    <xf numFmtId="0" fontId="10" fillId="37" borderId="42" xfId="0" applyFont="1" applyFill="1" applyBorder="1" applyAlignment="1">
      <alignment horizontal="center"/>
    </xf>
    <xf numFmtId="0" fontId="85" fillId="39" borderId="19" xfId="0" applyFont="1" applyFill="1" applyBorder="1" applyAlignment="1">
      <alignment horizontal="center"/>
    </xf>
    <xf numFmtId="0" fontId="120" fillId="39" borderId="0" xfId="0" applyFont="1" applyFill="1" applyAlignment="1">
      <alignment horizontal="center"/>
    </xf>
    <xf numFmtId="0" fontId="120" fillId="39" borderId="20" xfId="0" applyFont="1" applyFill="1" applyBorder="1" applyAlignment="1">
      <alignment horizontal="center"/>
    </xf>
    <xf numFmtId="0" fontId="71" fillId="37" borderId="54" xfId="0" applyFont="1" applyFill="1" applyBorder="1" applyAlignment="1">
      <alignment horizontal="center"/>
    </xf>
    <xf numFmtId="0" fontId="10" fillId="37" borderId="55" xfId="0" applyFont="1" applyFill="1" applyBorder="1" applyAlignment="1">
      <alignment horizontal="center"/>
    </xf>
    <xf numFmtId="0" fontId="10" fillId="37" borderId="56" xfId="0" applyFont="1" applyFill="1" applyBorder="1" applyAlignment="1">
      <alignment horizontal="center"/>
    </xf>
    <xf numFmtId="0" fontId="71" fillId="27" borderId="24" xfId="0" applyFont="1" applyFill="1" applyBorder="1" applyAlignment="1">
      <alignment horizontal="center"/>
    </xf>
    <xf numFmtId="0" fontId="71" fillId="27" borderId="25" xfId="0" applyFont="1" applyFill="1" applyBorder="1" applyAlignment="1">
      <alignment horizontal="center"/>
    </xf>
    <xf numFmtId="0" fontId="71" fillId="27" borderId="26" xfId="0" applyFont="1" applyFill="1" applyBorder="1" applyAlignment="1">
      <alignment horizontal="center"/>
    </xf>
    <xf numFmtId="0" fontId="71" fillId="37" borderId="55" xfId="0" applyFont="1" applyFill="1" applyBorder="1" applyAlignment="1">
      <alignment horizontal="center" vertical="center"/>
    </xf>
    <xf numFmtId="0" fontId="71" fillId="37" borderId="90" xfId="0" applyFont="1" applyFill="1" applyBorder="1" applyAlignment="1">
      <alignment horizontal="center" vertical="center"/>
    </xf>
    <xf numFmtId="0" fontId="71" fillId="37" borderId="89" xfId="0" applyFont="1" applyFill="1" applyBorder="1" applyAlignment="1">
      <alignment horizontal="center"/>
    </xf>
    <xf numFmtId="0" fontId="71" fillId="37" borderId="55" xfId="0" applyFont="1" applyFill="1" applyBorder="1" applyAlignment="1">
      <alignment horizontal="center"/>
    </xf>
    <xf numFmtId="0" fontId="71" fillId="37" borderId="56" xfId="0" applyFont="1" applyFill="1" applyBorder="1" applyAlignment="1">
      <alignment horizontal="center"/>
    </xf>
    <xf numFmtId="0" fontId="71" fillId="37" borderId="90" xfId="0" applyFont="1" applyFill="1" applyBorder="1" applyAlignment="1">
      <alignment horizontal="center"/>
    </xf>
    <xf numFmtId="0" fontId="71" fillId="45" borderId="128" xfId="0" applyFont="1" applyFill="1" applyBorder="1" applyAlignment="1">
      <alignment horizontal="center"/>
    </xf>
    <xf numFmtId="0" fontId="71" fillId="45" borderId="55" xfId="0" applyFont="1" applyFill="1" applyBorder="1" applyAlignment="1">
      <alignment horizontal="center"/>
    </xf>
    <xf numFmtId="0" fontId="71" fillId="45" borderId="56" xfId="0" applyFont="1" applyFill="1" applyBorder="1" applyAlignment="1">
      <alignment horizontal="center"/>
    </xf>
    <xf numFmtId="0" fontId="75" fillId="39" borderId="16" xfId="0" applyFont="1" applyFill="1" applyBorder="1" applyAlignment="1">
      <alignment horizontal="center" vertical="center"/>
    </xf>
    <xf numFmtId="0" fontId="75" fillId="39" borderId="17" xfId="0" applyFont="1" applyFill="1" applyBorder="1" applyAlignment="1">
      <alignment horizontal="center" vertical="center"/>
    </xf>
    <xf numFmtId="0" fontId="75" fillId="39" borderId="18" xfId="0" applyFont="1" applyFill="1" applyBorder="1" applyAlignment="1">
      <alignment horizontal="center" vertical="center"/>
    </xf>
    <xf numFmtId="0" fontId="75" fillId="39" borderId="21" xfId="0" applyFont="1" applyFill="1" applyBorder="1" applyAlignment="1">
      <alignment horizontal="center" vertical="center"/>
    </xf>
    <xf numFmtId="0" fontId="75" fillId="39" borderId="22" xfId="0" applyFont="1" applyFill="1" applyBorder="1" applyAlignment="1">
      <alignment horizontal="center" vertical="center"/>
    </xf>
    <xf numFmtId="0" fontId="75" fillId="39" borderId="23" xfId="0" applyFont="1" applyFill="1" applyBorder="1" applyAlignment="1">
      <alignment horizontal="center" vertical="center"/>
    </xf>
    <xf numFmtId="0" fontId="10" fillId="37" borderId="152" xfId="0" applyFont="1" applyFill="1" applyBorder="1" applyAlignment="1">
      <alignment horizontal="center"/>
    </xf>
    <xf numFmtId="10" fontId="85" fillId="39" borderId="16" xfId="101" applyNumberFormat="1" applyFont="1" applyFill="1" applyBorder="1" applyAlignment="1" applyProtection="1">
      <alignment horizontal="center"/>
    </xf>
    <xf numFmtId="0" fontId="120" fillId="39" borderId="17" xfId="0" applyFont="1" applyFill="1" applyBorder="1" applyAlignment="1">
      <alignment horizontal="center"/>
    </xf>
    <xf numFmtId="0" fontId="120" fillId="39" borderId="18" xfId="0" applyFont="1" applyFill="1" applyBorder="1" applyAlignment="1">
      <alignment horizontal="center"/>
    </xf>
    <xf numFmtId="0" fontId="71" fillId="37" borderId="54" xfId="0" applyFont="1" applyFill="1" applyBorder="1" applyAlignment="1">
      <alignment horizontal="center" vertical="center"/>
    </xf>
    <xf numFmtId="0" fontId="71" fillId="37" borderId="56" xfId="0" applyFont="1" applyFill="1" applyBorder="1" applyAlignment="1">
      <alignment horizontal="center" vertical="center"/>
    </xf>
    <xf numFmtId="0" fontId="71" fillId="37" borderId="89" xfId="0" applyFont="1" applyFill="1" applyBorder="1" applyAlignment="1">
      <alignment horizontal="center" vertical="center"/>
    </xf>
    <xf numFmtId="0" fontId="71" fillId="24" borderId="24" xfId="0" applyFont="1" applyFill="1" applyBorder="1" applyAlignment="1">
      <alignment horizontal="center"/>
    </xf>
    <xf numFmtId="0" fontId="71" fillId="24" borderId="25" xfId="0" applyFont="1" applyFill="1" applyBorder="1" applyAlignment="1">
      <alignment horizontal="center"/>
    </xf>
    <xf numFmtId="0" fontId="71" fillId="24" borderId="26" xfId="0" applyFont="1" applyFill="1" applyBorder="1" applyAlignment="1">
      <alignment horizontal="center"/>
    </xf>
    <xf numFmtId="0" fontId="71" fillId="27" borderId="0" xfId="0" applyFont="1" applyFill="1" applyAlignment="1">
      <alignment horizontal="center"/>
    </xf>
    <xf numFmtId="0" fontId="71" fillId="0" borderId="0" xfId="0" applyFont="1" applyAlignment="1">
      <alignment horizontal="center"/>
    </xf>
    <xf numFmtId="0" fontId="71" fillId="28" borderId="54" xfId="0" applyFont="1" applyFill="1" applyBorder="1" applyAlignment="1">
      <alignment horizontal="center"/>
    </xf>
    <xf numFmtId="0" fontId="71" fillId="28" borderId="55" xfId="0" applyFont="1" applyFill="1" applyBorder="1" applyAlignment="1">
      <alignment horizontal="center"/>
    </xf>
    <xf numFmtId="0" fontId="71" fillId="37" borderId="16" xfId="0" applyFont="1" applyFill="1" applyBorder="1" applyAlignment="1">
      <alignment horizontal="center"/>
    </xf>
    <xf numFmtId="0" fontId="71" fillId="37" borderId="17" xfId="0" applyFont="1" applyFill="1" applyBorder="1" applyAlignment="1">
      <alignment horizontal="center"/>
    </xf>
    <xf numFmtId="0" fontId="71" fillId="37" borderId="47" xfId="0" applyFont="1" applyFill="1" applyBorder="1" applyAlignment="1">
      <alignment horizontal="center"/>
    </xf>
    <xf numFmtId="0" fontId="71" fillId="37" borderId="18" xfId="0" applyFont="1" applyFill="1" applyBorder="1" applyAlignment="1">
      <alignment horizontal="center"/>
    </xf>
    <xf numFmtId="0" fontId="67" fillId="32" borderId="24" xfId="37" applyFont="1" applyFill="1" applyBorder="1">
      <alignment vertical="center"/>
      <protection locked="0"/>
    </xf>
    <xf numFmtId="0" fontId="67" fillId="32" borderId="25" xfId="37" applyFont="1" applyFill="1" applyBorder="1">
      <alignment vertical="center"/>
      <protection locked="0"/>
    </xf>
    <xf numFmtId="0" fontId="67" fillId="32" borderId="26" xfId="37" applyFont="1" applyFill="1" applyBorder="1">
      <alignment vertical="center"/>
      <protection locked="0"/>
    </xf>
    <xf numFmtId="0" fontId="67" fillId="29" borderId="77" xfId="143" applyFont="1" applyFill="1" applyBorder="1" applyAlignment="1">
      <alignment horizontal="left"/>
    </xf>
    <xf numFmtId="0" fontId="67" fillId="29" borderId="25" xfId="143" applyFont="1" applyFill="1" applyBorder="1" applyAlignment="1">
      <alignment horizontal="left"/>
    </xf>
    <xf numFmtId="0" fontId="67" fillId="29" borderId="26" xfId="143" applyFont="1" applyFill="1" applyBorder="1" applyAlignment="1">
      <alignment horizontal="left"/>
    </xf>
    <xf numFmtId="0" fontId="67" fillId="29" borderId="71" xfId="143" applyFont="1" applyFill="1" applyBorder="1" applyAlignment="1">
      <alignment horizontal="left"/>
    </xf>
    <xf numFmtId="0" fontId="67" fillId="29" borderId="49" xfId="143" applyFont="1" applyFill="1" applyBorder="1" applyAlignment="1">
      <alignment horizontal="left"/>
    </xf>
    <xf numFmtId="0" fontId="67" fillId="29" borderId="50" xfId="143" applyFont="1" applyFill="1" applyBorder="1" applyAlignment="1">
      <alignment horizontal="left"/>
    </xf>
    <xf numFmtId="0" fontId="67" fillId="29" borderId="79" xfId="143" applyFont="1" applyFill="1" applyBorder="1" applyAlignment="1">
      <alignment horizontal="left"/>
    </xf>
    <xf numFmtId="0" fontId="67" fillId="29" borderId="32" xfId="143" applyFont="1" applyFill="1" applyBorder="1" applyAlignment="1">
      <alignment horizontal="left"/>
    </xf>
    <xf numFmtId="0" fontId="67" fillId="29" borderId="43" xfId="143" applyFont="1" applyFill="1" applyBorder="1" applyAlignment="1">
      <alignment horizontal="left"/>
    </xf>
    <xf numFmtId="0" fontId="67" fillId="32" borderId="27" xfId="0" applyFont="1" applyFill="1" applyBorder="1" applyAlignment="1" applyProtection="1">
      <alignment horizontal="left"/>
      <protection locked="0"/>
    </xf>
    <xf numFmtId="0" fontId="67" fillId="32" borderId="28" xfId="0" applyFont="1" applyFill="1" applyBorder="1" applyAlignment="1" applyProtection="1">
      <alignment horizontal="left"/>
      <protection locked="0"/>
    </xf>
    <xf numFmtId="0" fontId="67" fillId="32" borderId="29" xfId="0" applyFont="1" applyFill="1" applyBorder="1" applyAlignment="1" applyProtection="1">
      <alignment horizontal="left"/>
      <protection locked="0"/>
    </xf>
    <xf numFmtId="0" fontId="67" fillId="32" borderId="30" xfId="0" applyFont="1" applyFill="1" applyBorder="1" applyAlignment="1" applyProtection="1">
      <alignment horizontal="left"/>
      <protection locked="0"/>
    </xf>
    <xf numFmtId="0" fontId="67" fillId="32" borderId="0" xfId="0" applyFont="1" applyFill="1" applyAlignment="1" applyProtection="1">
      <alignment horizontal="left"/>
      <protection locked="0"/>
    </xf>
    <xf numFmtId="0" fontId="67" fillId="32" borderId="14" xfId="0" applyFont="1" applyFill="1" applyBorder="1" applyAlignment="1" applyProtection="1">
      <alignment horizontal="left"/>
      <protection locked="0"/>
    </xf>
    <xf numFmtId="0" fontId="67" fillId="32" borderId="31" xfId="0" applyFont="1" applyFill="1" applyBorder="1" applyAlignment="1" applyProtection="1">
      <alignment horizontal="left"/>
      <protection locked="0"/>
    </xf>
    <xf numFmtId="0" fontId="67" fillId="32" borderId="13" xfId="0" applyFont="1" applyFill="1" applyBorder="1" applyAlignment="1" applyProtection="1">
      <alignment horizontal="left"/>
      <protection locked="0"/>
    </xf>
    <xf numFmtId="0" fontId="67" fillId="32" borderId="15" xfId="0" applyFont="1" applyFill="1" applyBorder="1" applyAlignment="1" applyProtection="1">
      <alignment horizontal="left"/>
      <protection locked="0"/>
    </xf>
    <xf numFmtId="0" fontId="67" fillId="29" borderId="24" xfId="0" applyFont="1" applyFill="1" applyBorder="1" applyAlignment="1">
      <alignment horizontal="center"/>
    </xf>
    <xf numFmtId="0" fontId="67" fillId="29" borderId="25" xfId="0" applyFont="1" applyFill="1" applyBorder="1" applyAlignment="1">
      <alignment horizontal="center"/>
    </xf>
    <xf numFmtId="0" fontId="67" fillId="29" borderId="26" xfId="0" applyFont="1" applyFill="1" applyBorder="1" applyAlignment="1">
      <alignment horizontal="center"/>
    </xf>
    <xf numFmtId="4" fontId="161" fillId="27" borderId="0" xfId="222" applyNumberFormat="1" applyFont="1" applyFill="1" applyAlignment="1">
      <alignment horizontal="left" vertical="center" wrapText="1"/>
    </xf>
    <xf numFmtId="0" fontId="119" fillId="39" borderId="0" xfId="169" applyFont="1" applyFill="1" applyAlignment="1">
      <alignment horizontal="center" vertical="center"/>
    </xf>
    <xf numFmtId="0" fontId="10" fillId="28" borderId="109" xfId="169" applyFont="1" applyFill="1" applyBorder="1" applyAlignment="1">
      <alignment horizontal="center" vertical="center"/>
    </xf>
    <xf numFmtId="0" fontId="10" fillId="28" borderId="0" xfId="169" applyFont="1" applyFill="1" applyAlignment="1">
      <alignment horizontal="center" vertical="center"/>
    </xf>
    <xf numFmtId="0" fontId="10" fillId="28" borderId="110" xfId="169" applyFont="1" applyFill="1" applyBorder="1" applyAlignment="1">
      <alignment horizontal="center" vertical="center"/>
    </xf>
    <xf numFmtId="0" fontId="11" fillId="0" borderId="0" xfId="82" applyProtection="1">
      <alignment horizontal="left" vertical="center"/>
    </xf>
  </cellXfs>
  <cellStyles count="22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Assumption Percentage." xfId="165" xr:uid="{00000000-0005-0000-0000-000018000000}"/>
    <cellStyle name="Assumptions Center Currency" xfId="25" xr:uid="{00000000-0005-0000-0000-000019000000}"/>
    <cellStyle name="Assumptions Center Currency 2" xfId="26" xr:uid="{00000000-0005-0000-0000-00001A000000}"/>
    <cellStyle name="Assumptions Center Currency 2 2" xfId="174" xr:uid="{00000000-0005-0000-0000-00001B000000}"/>
    <cellStyle name="Assumptions Center Date" xfId="27" xr:uid="{00000000-0005-0000-0000-00001C000000}"/>
    <cellStyle name="Assumptions Center Date 2" xfId="28" xr:uid="{00000000-0005-0000-0000-00001D000000}"/>
    <cellStyle name="Assumptions Center Date 2 2" xfId="175" xr:uid="{00000000-0005-0000-0000-00001E000000}"/>
    <cellStyle name="Assumptions Center Multiple" xfId="29" xr:uid="{00000000-0005-0000-0000-00001F000000}"/>
    <cellStyle name="Assumptions Center Multiple 2" xfId="30" xr:uid="{00000000-0005-0000-0000-000020000000}"/>
    <cellStyle name="Assumptions Center Multiple 2 2" xfId="176" xr:uid="{00000000-0005-0000-0000-000021000000}"/>
    <cellStyle name="Assumptions Center Number" xfId="31" xr:uid="{00000000-0005-0000-0000-000022000000}"/>
    <cellStyle name="Assumptions Center Number 2" xfId="32" xr:uid="{00000000-0005-0000-0000-000023000000}"/>
    <cellStyle name="Assumptions Center Number 2 2" xfId="177" xr:uid="{00000000-0005-0000-0000-000024000000}"/>
    <cellStyle name="Assumptions Center Percentage" xfId="33" xr:uid="{00000000-0005-0000-0000-000025000000}"/>
    <cellStyle name="Assumptions Center Percentage 2" xfId="34" xr:uid="{00000000-0005-0000-0000-000026000000}"/>
    <cellStyle name="Assumptions Center Percentage 2 2" xfId="178" xr:uid="{00000000-0005-0000-0000-000027000000}"/>
    <cellStyle name="Assumptions Center Year" xfId="35" xr:uid="{00000000-0005-0000-0000-000028000000}"/>
    <cellStyle name="Assumptions Center Year 2" xfId="36" xr:uid="{00000000-0005-0000-0000-000029000000}"/>
    <cellStyle name="Assumptions Center Year 2 2" xfId="179" xr:uid="{00000000-0005-0000-0000-00002A000000}"/>
    <cellStyle name="Assumptions Heading" xfId="37" xr:uid="{00000000-0005-0000-0000-00002B000000}"/>
    <cellStyle name="Assumptions Heading 2" xfId="38" xr:uid="{00000000-0005-0000-0000-00002C000000}"/>
    <cellStyle name="Assumptions Heading 2 2" xfId="180" xr:uid="{00000000-0005-0000-0000-00002D000000}"/>
    <cellStyle name="Assumptions Heading 4" xfId="145" xr:uid="{00000000-0005-0000-0000-00002E000000}"/>
    <cellStyle name="Assumptions Heading 4 2" xfId="181" xr:uid="{00000000-0005-0000-0000-00002F000000}"/>
    <cellStyle name="Assumptions Right Currency" xfId="39" xr:uid="{00000000-0005-0000-0000-000030000000}"/>
    <cellStyle name="Assumptions Right Currency 2" xfId="40" xr:uid="{00000000-0005-0000-0000-000031000000}"/>
    <cellStyle name="Assumptions Right Currency 2 2" xfId="182" xr:uid="{00000000-0005-0000-0000-000032000000}"/>
    <cellStyle name="Assumptions Right Date" xfId="41" xr:uid="{00000000-0005-0000-0000-000033000000}"/>
    <cellStyle name="Assumptions Right Date 2" xfId="42" xr:uid="{00000000-0005-0000-0000-000034000000}"/>
    <cellStyle name="Assumptions Right Date 2 2" xfId="183" xr:uid="{00000000-0005-0000-0000-000035000000}"/>
    <cellStyle name="Assumptions Right Multiple" xfId="43" xr:uid="{00000000-0005-0000-0000-000036000000}"/>
    <cellStyle name="Assumptions Right Multiple 2" xfId="44" xr:uid="{00000000-0005-0000-0000-000037000000}"/>
    <cellStyle name="Assumptions Right Multiple 2 2" xfId="184" xr:uid="{00000000-0005-0000-0000-000038000000}"/>
    <cellStyle name="Assumptions Right Number" xfId="45" xr:uid="{00000000-0005-0000-0000-000039000000}"/>
    <cellStyle name="Assumptions Right Number 2" xfId="46" xr:uid="{00000000-0005-0000-0000-00003A000000}"/>
    <cellStyle name="Assumptions Right Number 2 2" xfId="185" xr:uid="{00000000-0005-0000-0000-00003B000000}"/>
    <cellStyle name="Assumptions Right Percentage" xfId="47" xr:uid="{00000000-0005-0000-0000-00003C000000}"/>
    <cellStyle name="Assumptions Right Percentage 2" xfId="48" xr:uid="{00000000-0005-0000-0000-00003D000000}"/>
    <cellStyle name="Assumptions Right Percentage 2 2" xfId="186" xr:uid="{00000000-0005-0000-0000-00003E000000}"/>
    <cellStyle name="Assumptions Right Year" xfId="49" xr:uid="{00000000-0005-0000-0000-00003F000000}"/>
    <cellStyle name="Assumptions Right Year 2" xfId="50" xr:uid="{00000000-0005-0000-0000-000040000000}"/>
    <cellStyle name="Assumptions Right Year 2 2" xfId="187" xr:uid="{00000000-0005-0000-0000-000041000000}"/>
    <cellStyle name="Bad" xfId="51" builtinId="27"/>
    <cellStyle name="Bad 2" xfId="52" xr:uid="{00000000-0005-0000-0000-000043000000}"/>
    <cellStyle name="Calculation 2" xfId="53" xr:uid="{00000000-0005-0000-0000-000044000000}"/>
    <cellStyle name="Cell Link" xfId="54" xr:uid="{00000000-0005-0000-0000-000045000000}"/>
    <cellStyle name="Cell Link 2" xfId="55" xr:uid="{00000000-0005-0000-0000-000046000000}"/>
    <cellStyle name="Cell Link 2 2" xfId="188" xr:uid="{00000000-0005-0000-0000-000047000000}"/>
    <cellStyle name="Center Currency" xfId="56" xr:uid="{00000000-0005-0000-0000-000048000000}"/>
    <cellStyle name="Center Currency 2" xfId="57" xr:uid="{00000000-0005-0000-0000-000049000000}"/>
    <cellStyle name="Center Currency 2 2" xfId="189" xr:uid="{00000000-0005-0000-0000-00004A000000}"/>
    <cellStyle name="Center Date" xfId="58" xr:uid="{00000000-0005-0000-0000-00004B000000}"/>
    <cellStyle name="Center Date 2" xfId="59" xr:uid="{00000000-0005-0000-0000-00004C000000}"/>
    <cellStyle name="Center Date 2 2" xfId="190" xr:uid="{00000000-0005-0000-0000-00004D000000}"/>
    <cellStyle name="Center Multiple" xfId="60" xr:uid="{00000000-0005-0000-0000-00004E000000}"/>
    <cellStyle name="Center Multiple 2" xfId="61" xr:uid="{00000000-0005-0000-0000-00004F000000}"/>
    <cellStyle name="Center Multiple 2 2" xfId="191" xr:uid="{00000000-0005-0000-0000-000050000000}"/>
    <cellStyle name="Center Number" xfId="62" xr:uid="{00000000-0005-0000-0000-000051000000}"/>
    <cellStyle name="Center Number 2" xfId="63" xr:uid="{00000000-0005-0000-0000-000052000000}"/>
    <cellStyle name="Center Number 2 2" xfId="192" xr:uid="{00000000-0005-0000-0000-000053000000}"/>
    <cellStyle name="Center Percentage" xfId="64" xr:uid="{00000000-0005-0000-0000-000054000000}"/>
    <cellStyle name="Center Percentage 2" xfId="65" xr:uid="{00000000-0005-0000-0000-000055000000}"/>
    <cellStyle name="Center Percentage 2 2" xfId="193" xr:uid="{00000000-0005-0000-0000-000056000000}"/>
    <cellStyle name="Center Year" xfId="66" xr:uid="{00000000-0005-0000-0000-000057000000}"/>
    <cellStyle name="Center Year 2" xfId="67" xr:uid="{00000000-0005-0000-0000-000058000000}"/>
    <cellStyle name="Center Year 2 2" xfId="194" xr:uid="{00000000-0005-0000-0000-000059000000}"/>
    <cellStyle name="Check Cell 2" xfId="68" xr:uid="{00000000-0005-0000-0000-00005A000000}"/>
    <cellStyle name="Comma" xfId="69" builtinId="3"/>
    <cellStyle name="Comma 10 2" xfId="146" xr:uid="{00000000-0005-0000-0000-00005C000000}"/>
    <cellStyle name="Comma 12" xfId="147" xr:uid="{00000000-0005-0000-0000-00005D000000}"/>
    <cellStyle name="Comma 13" xfId="148" xr:uid="{00000000-0005-0000-0000-00005E000000}"/>
    <cellStyle name="Comma 2" xfId="224" xr:uid="{279498D3-B43D-4B1B-AF82-A81B142032E8}"/>
    <cellStyle name="Comma 3" xfId="149" xr:uid="{00000000-0005-0000-0000-00005F000000}"/>
    <cellStyle name="Comma 3 2" xfId="195" xr:uid="{00000000-0005-0000-0000-000060000000}"/>
    <cellStyle name="Comma 33" xfId="150" xr:uid="{00000000-0005-0000-0000-000061000000}"/>
    <cellStyle name="Comma 43" xfId="151" xr:uid="{00000000-0005-0000-0000-000062000000}"/>
    <cellStyle name="Currency" xfId="223" builtinId="4"/>
    <cellStyle name="Currency 2" xfId="220" xr:uid="{00000000-0005-0000-0000-000063000000}"/>
    <cellStyle name="Explanatory Text 2" xfId="70" xr:uid="{00000000-0005-0000-0000-000064000000}"/>
    <cellStyle name="Good 2" xfId="71" xr:uid="{00000000-0005-0000-0000-000065000000}"/>
    <cellStyle name="Heading 1" xfId="72" builtinId="16" customBuiltin="1"/>
    <cellStyle name="Heading 1 2" xfId="73" xr:uid="{00000000-0005-0000-0000-000067000000}"/>
    <cellStyle name="Heading 1 3" xfId="138" xr:uid="{00000000-0005-0000-0000-000068000000}"/>
    <cellStyle name="Heading 2" xfId="74" builtinId="17" customBuiltin="1"/>
    <cellStyle name="Heading 2 2" xfId="75" xr:uid="{00000000-0005-0000-0000-00006A000000}"/>
    <cellStyle name="Heading 2 6" xfId="152" xr:uid="{00000000-0005-0000-0000-00006B000000}"/>
    <cellStyle name="Heading 3" xfId="76" builtinId="18" customBuiltin="1"/>
    <cellStyle name="Heading 3 2" xfId="77" xr:uid="{00000000-0005-0000-0000-00006D000000}"/>
    <cellStyle name="Heading 3." xfId="168" xr:uid="{00000000-0005-0000-0000-00006E000000}"/>
    <cellStyle name="Heading 4" xfId="78" builtinId="19" customBuiltin="1"/>
    <cellStyle name="Heading 4 2" xfId="79" xr:uid="{00000000-0005-0000-0000-000070000000}"/>
    <cellStyle name="Heading 4 4" xfId="141" xr:uid="{00000000-0005-0000-0000-000071000000}"/>
    <cellStyle name="Heading 4 4 2" xfId="196" xr:uid="{00000000-0005-0000-0000-000072000000}"/>
    <cellStyle name="Heading 4." xfId="167" xr:uid="{00000000-0005-0000-0000-000073000000}"/>
    <cellStyle name="Hyperlink Arrow" xfId="80" xr:uid="{00000000-0005-0000-0000-000074000000}"/>
    <cellStyle name="Hyperlink Check" xfId="81" xr:uid="{00000000-0005-0000-0000-000075000000}"/>
    <cellStyle name="Hyperlink Text" xfId="82" xr:uid="{00000000-0005-0000-0000-000076000000}"/>
    <cellStyle name="Hyperlink Text 2" xfId="83" xr:uid="{00000000-0005-0000-0000-000077000000}"/>
    <cellStyle name="Hyperlink Text 2 2" xfId="84" xr:uid="{00000000-0005-0000-0000-000078000000}"/>
    <cellStyle name="Input 2" xfId="85" xr:uid="{00000000-0005-0000-0000-000079000000}"/>
    <cellStyle name="Linked Cell 2" xfId="86" xr:uid="{00000000-0005-0000-0000-00007A000000}"/>
    <cellStyle name="Lookup Table Heading" xfId="87" xr:uid="{00000000-0005-0000-0000-00007B000000}"/>
    <cellStyle name="Lookup Table Heading 2" xfId="88" xr:uid="{00000000-0005-0000-0000-00007C000000}"/>
    <cellStyle name="Lookup Table Label" xfId="89" xr:uid="{00000000-0005-0000-0000-00007D000000}"/>
    <cellStyle name="Lookup Table Label 2" xfId="90" xr:uid="{00000000-0005-0000-0000-00007E000000}"/>
    <cellStyle name="Lookup Table Label 2 2" xfId="197" xr:uid="{00000000-0005-0000-0000-00007F000000}"/>
    <cellStyle name="Lookup Table Number" xfId="91" xr:uid="{00000000-0005-0000-0000-000080000000}"/>
    <cellStyle name="Lookup Table Number 2" xfId="92" xr:uid="{00000000-0005-0000-0000-000081000000}"/>
    <cellStyle name="Lookup Table Number 2 2" xfId="198" xr:uid="{00000000-0005-0000-0000-000082000000}"/>
    <cellStyle name="Model Name" xfId="93" xr:uid="{00000000-0005-0000-0000-000083000000}"/>
    <cellStyle name="Model Name 2" xfId="94" xr:uid="{00000000-0005-0000-0000-000084000000}"/>
    <cellStyle name="Model Name 2 2" xfId="95" xr:uid="{00000000-0005-0000-0000-000085000000}"/>
    <cellStyle name="Neutral 2" xfId="96" xr:uid="{00000000-0005-0000-0000-000086000000}"/>
    <cellStyle name="Normal" xfId="0" builtinId="0"/>
    <cellStyle name="Normal 10" xfId="169" xr:uid="{00000000-0005-0000-0000-000088000000}"/>
    <cellStyle name="Normal 11" xfId="142" xr:uid="{00000000-0005-0000-0000-000089000000}"/>
    <cellStyle name="Normal 11 2" xfId="199" xr:uid="{00000000-0005-0000-0000-00008A000000}"/>
    <cellStyle name="Normal 12" xfId="143" xr:uid="{00000000-0005-0000-0000-00008B000000}"/>
    <cellStyle name="Normal 12 2" xfId="171" xr:uid="{00000000-0005-0000-0000-00008C000000}"/>
    <cellStyle name="Normal 13" xfId="222" xr:uid="{60EE18D9-DABD-445E-B3F2-A26E0464B1D3}"/>
    <cellStyle name="Normal 14" xfId="153" xr:uid="{00000000-0005-0000-0000-00008D000000}"/>
    <cellStyle name="Normal 14 2" xfId="200" xr:uid="{00000000-0005-0000-0000-00008E000000}"/>
    <cellStyle name="Normal 15" xfId="154" xr:uid="{00000000-0005-0000-0000-00008F000000}"/>
    <cellStyle name="Normal 2" xfId="97" xr:uid="{00000000-0005-0000-0000-000090000000}"/>
    <cellStyle name="Normal 2 2" xfId="155" xr:uid="{00000000-0005-0000-0000-000091000000}"/>
    <cellStyle name="Normal 2 2 2" xfId="156" xr:uid="{00000000-0005-0000-0000-000092000000}"/>
    <cellStyle name="Normal 2 2 2 2" xfId="201" xr:uid="{00000000-0005-0000-0000-000093000000}"/>
    <cellStyle name="Normal 2 2 3" xfId="202" xr:uid="{00000000-0005-0000-0000-000094000000}"/>
    <cellStyle name="Normal 2 3" xfId="203" xr:uid="{00000000-0005-0000-0000-000095000000}"/>
    <cellStyle name="Normal 2 3 2" xfId="221" xr:uid="{AA9C1906-6FB1-4022-83A2-A11DC4EB1CA2}"/>
    <cellStyle name="Normal 3" xfId="144" xr:uid="{00000000-0005-0000-0000-000096000000}"/>
    <cellStyle name="Normal 3 2" xfId="170" xr:uid="{00000000-0005-0000-0000-000097000000}"/>
    <cellStyle name="Normal 4" xfId="98" xr:uid="{00000000-0005-0000-0000-000098000000}"/>
    <cellStyle name="Normal 4 2" xfId="204" xr:uid="{00000000-0005-0000-0000-000099000000}"/>
    <cellStyle name="Normal 5" xfId="157" xr:uid="{00000000-0005-0000-0000-00009A000000}"/>
    <cellStyle name="Normal 6" xfId="158" xr:uid="{00000000-0005-0000-0000-00009B000000}"/>
    <cellStyle name="Normal 7" xfId="159" xr:uid="{00000000-0005-0000-0000-00009C000000}"/>
    <cellStyle name="Normal 8" xfId="137" xr:uid="{00000000-0005-0000-0000-00009D000000}"/>
    <cellStyle name="Normal 8 2" xfId="205" xr:uid="{00000000-0005-0000-0000-00009E000000}"/>
    <cellStyle name="Normal 9" xfId="140" xr:uid="{00000000-0005-0000-0000-00009F000000}"/>
    <cellStyle name="Normal 9 2" xfId="206" xr:uid="{00000000-0005-0000-0000-0000A0000000}"/>
    <cellStyle name="Normal_Book2" xfId="173" xr:uid="{00000000-0005-0000-0000-0000A1000000}"/>
    <cellStyle name="Normal_RevReq AnnBill (MW&amp;Metros)F" xfId="172" xr:uid="{00000000-0005-0000-0000-0000A2000000}"/>
    <cellStyle name="Note 2" xfId="99" xr:uid="{00000000-0005-0000-0000-0000A3000000}"/>
    <cellStyle name="Output 2" xfId="100" xr:uid="{00000000-0005-0000-0000-0000A4000000}"/>
    <cellStyle name="Percent" xfId="101" builtinId="5"/>
    <cellStyle name="Percent 2" xfId="102" xr:uid="{00000000-0005-0000-0000-0000A6000000}"/>
    <cellStyle name="Percent 2 2" xfId="207" xr:uid="{00000000-0005-0000-0000-0000A7000000}"/>
    <cellStyle name="Percent 4" xfId="160" xr:uid="{00000000-0005-0000-0000-0000A8000000}"/>
    <cellStyle name="Percent 6" xfId="161" xr:uid="{00000000-0005-0000-0000-0000A9000000}"/>
    <cellStyle name="Percentage." xfId="166" xr:uid="{00000000-0005-0000-0000-0000AA000000}"/>
    <cellStyle name="Period Title" xfId="103" xr:uid="{00000000-0005-0000-0000-0000AB000000}"/>
    <cellStyle name="Period Title 2" xfId="104" xr:uid="{00000000-0005-0000-0000-0000AC000000}"/>
    <cellStyle name="Right Currency" xfId="105" xr:uid="{00000000-0005-0000-0000-0000AD000000}"/>
    <cellStyle name="Right Currency 2" xfId="106" xr:uid="{00000000-0005-0000-0000-0000AE000000}"/>
    <cellStyle name="Right Currency 2 2" xfId="208" xr:uid="{00000000-0005-0000-0000-0000AF000000}"/>
    <cellStyle name="Right Date" xfId="107" xr:uid="{00000000-0005-0000-0000-0000B0000000}"/>
    <cellStyle name="Right Date 2" xfId="108" xr:uid="{00000000-0005-0000-0000-0000B1000000}"/>
    <cellStyle name="Right Date 2 2" xfId="209" xr:uid="{00000000-0005-0000-0000-0000B2000000}"/>
    <cellStyle name="Right Multiple" xfId="109" xr:uid="{00000000-0005-0000-0000-0000B3000000}"/>
    <cellStyle name="Right Multiple 2" xfId="110" xr:uid="{00000000-0005-0000-0000-0000B4000000}"/>
    <cellStyle name="Right Multiple 2 2" xfId="210" xr:uid="{00000000-0005-0000-0000-0000B5000000}"/>
    <cellStyle name="Right Number" xfId="111" xr:uid="{00000000-0005-0000-0000-0000B6000000}"/>
    <cellStyle name="Right Number 10" xfId="112" xr:uid="{00000000-0005-0000-0000-0000B7000000}"/>
    <cellStyle name="Right Number 10 2" xfId="113" xr:uid="{00000000-0005-0000-0000-0000B8000000}"/>
    <cellStyle name="Right Number 10 2 2" xfId="211" xr:uid="{00000000-0005-0000-0000-0000B9000000}"/>
    <cellStyle name="Right Number 10 3" xfId="212" xr:uid="{00000000-0005-0000-0000-0000BA000000}"/>
    <cellStyle name="Right Number 2" xfId="114" xr:uid="{00000000-0005-0000-0000-0000BB000000}"/>
    <cellStyle name="Right Number 2 2" xfId="162" xr:uid="{00000000-0005-0000-0000-0000BC000000}"/>
    <cellStyle name="Right Number 2 2 2" xfId="163" xr:uid="{00000000-0005-0000-0000-0000BD000000}"/>
    <cellStyle name="Right Number 2 2 2 2" xfId="213" xr:uid="{00000000-0005-0000-0000-0000BE000000}"/>
    <cellStyle name="Right Number 2 2 3" xfId="214" xr:uid="{00000000-0005-0000-0000-0000BF000000}"/>
    <cellStyle name="Right Number 2 3" xfId="215" xr:uid="{00000000-0005-0000-0000-0000C0000000}"/>
    <cellStyle name="Right Number 3" xfId="115" xr:uid="{00000000-0005-0000-0000-0000C1000000}"/>
    <cellStyle name="Right Number 3 2" xfId="216" xr:uid="{00000000-0005-0000-0000-0000C2000000}"/>
    <cellStyle name="Right Number 5" xfId="164" xr:uid="{00000000-0005-0000-0000-0000C3000000}"/>
    <cellStyle name="Right Number 5 2" xfId="217" xr:uid="{00000000-0005-0000-0000-0000C4000000}"/>
    <cellStyle name="Right Percentage" xfId="116" xr:uid="{00000000-0005-0000-0000-0000C5000000}"/>
    <cellStyle name="Right Percentage 2" xfId="117" xr:uid="{00000000-0005-0000-0000-0000C6000000}"/>
    <cellStyle name="Right Percentage 2 2" xfId="218" xr:uid="{00000000-0005-0000-0000-0000C7000000}"/>
    <cellStyle name="Right Year" xfId="118" xr:uid="{00000000-0005-0000-0000-0000C8000000}"/>
    <cellStyle name="Right Year 2" xfId="119" xr:uid="{00000000-0005-0000-0000-0000C9000000}"/>
    <cellStyle name="Right Year 2 2" xfId="219" xr:uid="{00000000-0005-0000-0000-0000CA000000}"/>
    <cellStyle name="Section Number" xfId="120" xr:uid="{00000000-0005-0000-0000-0000CB000000}"/>
    <cellStyle name="Section Number 2" xfId="121" xr:uid="{00000000-0005-0000-0000-0000CC000000}"/>
    <cellStyle name="Sheet Title" xfId="122" xr:uid="{00000000-0005-0000-0000-0000CD000000}"/>
    <cellStyle name="Sheet Title 2" xfId="123" xr:uid="{00000000-0005-0000-0000-0000CE000000}"/>
    <cellStyle name="Sheet Title 2 2" xfId="124" xr:uid="{00000000-0005-0000-0000-0000CF000000}"/>
    <cellStyle name="Style 1" xfId="125" xr:uid="{00000000-0005-0000-0000-0000D0000000}"/>
    <cellStyle name="Title 2" xfId="126" xr:uid="{00000000-0005-0000-0000-0000D1000000}"/>
    <cellStyle name="TOC 1" xfId="127" xr:uid="{00000000-0005-0000-0000-0000D2000000}"/>
    <cellStyle name="TOC 1 2" xfId="128" xr:uid="{00000000-0005-0000-0000-0000D3000000}"/>
    <cellStyle name="TOC 2" xfId="129" xr:uid="{00000000-0005-0000-0000-0000D4000000}"/>
    <cellStyle name="TOC 2 2" xfId="130" xr:uid="{00000000-0005-0000-0000-0000D5000000}"/>
    <cellStyle name="TOC 3" xfId="131" xr:uid="{00000000-0005-0000-0000-0000D6000000}"/>
    <cellStyle name="TOC 3 2" xfId="132" xr:uid="{00000000-0005-0000-0000-0000D7000000}"/>
    <cellStyle name="TOC 4" xfId="133" xr:uid="{00000000-0005-0000-0000-0000D8000000}"/>
    <cellStyle name="TOC 4 2" xfId="134" xr:uid="{00000000-0005-0000-0000-0000D9000000}"/>
    <cellStyle name="Total 2" xfId="135" xr:uid="{00000000-0005-0000-0000-0000DA000000}"/>
    <cellStyle name="Warning Text 2" xfId="136" xr:uid="{00000000-0005-0000-0000-0000DB000000}"/>
    <cellStyle name="Yellow Box" xfId="139" xr:uid="{00000000-0005-0000-0000-0000DC000000}"/>
  </cellStyles>
  <dxfs count="151">
    <dxf>
      <font>
        <color theme="0"/>
      </font>
      <fill>
        <patternFill>
          <bgColor rgb="FFC00000"/>
        </patternFill>
      </fill>
    </dxf>
    <dxf>
      <font>
        <color rgb="FFFF0000"/>
      </font>
    </dxf>
    <dxf>
      <font>
        <color rgb="FFFF0000"/>
      </font>
      <fill>
        <patternFill>
          <bgColor theme="5" tint="0.79998168889431442"/>
        </patternFill>
      </fill>
    </dxf>
    <dxf>
      <font>
        <color rgb="FF006100"/>
      </font>
      <fill>
        <patternFill>
          <bgColor rgb="FFC6EFCE"/>
        </patternFill>
      </fill>
    </dxf>
    <dxf>
      <font>
        <color rgb="FFFF0000"/>
      </font>
      <fill>
        <patternFill>
          <bgColor theme="5" tint="0.79998168889431442"/>
        </patternFill>
      </fill>
    </dxf>
    <dxf>
      <font>
        <color rgb="FF006100"/>
      </font>
      <fill>
        <patternFill>
          <bgColor rgb="FFC6EFCE"/>
        </patternFill>
      </fill>
    </dxf>
    <dxf>
      <font>
        <color rgb="FFFF0000"/>
      </font>
      <fill>
        <patternFill>
          <bgColor theme="5" tint="0.79998168889431442"/>
        </patternFill>
      </fill>
    </dxf>
    <dxf>
      <font>
        <color rgb="FF006100"/>
      </font>
      <fill>
        <patternFill>
          <bgColor rgb="FFC6EFCE"/>
        </patternFill>
      </fill>
    </dxf>
    <dxf>
      <font>
        <color rgb="FFFF0000"/>
      </font>
      <fill>
        <patternFill>
          <bgColor theme="5" tint="0.79998168889431442"/>
        </patternFill>
      </fill>
    </dxf>
    <dxf>
      <font>
        <color rgb="FF006100"/>
      </font>
      <fill>
        <patternFill>
          <bgColor rgb="FFC6EFCE"/>
        </patternFill>
      </fill>
    </dxf>
    <dxf>
      <font>
        <color rgb="FFFF0000"/>
      </font>
      <fill>
        <patternFill>
          <bgColor theme="5" tint="0.79998168889431442"/>
        </patternFill>
      </fill>
    </dxf>
    <dxf>
      <font>
        <color rgb="FF006100"/>
      </font>
      <fill>
        <patternFill>
          <bgColor rgb="FFC6EFCE"/>
        </patternFill>
      </fill>
    </dxf>
    <dxf>
      <font>
        <color rgb="FFFF0000"/>
      </font>
      <fill>
        <patternFill>
          <bgColor theme="5" tint="0.79998168889431442"/>
        </patternFill>
      </fill>
    </dxf>
    <dxf>
      <font>
        <color rgb="FF006100"/>
      </font>
      <fill>
        <patternFill>
          <bgColor rgb="FFC6EFCE"/>
        </patternFill>
      </fill>
    </dxf>
    <dxf>
      <font>
        <color rgb="FFFF0000"/>
      </font>
      <fill>
        <patternFill>
          <bgColor theme="5" tint="0.79998168889431442"/>
        </patternFill>
      </fill>
    </dxf>
    <dxf>
      <font>
        <color rgb="FF006100"/>
      </font>
      <fill>
        <patternFill>
          <bgColor rgb="FFC6EFCE"/>
        </patternFill>
      </fill>
    </dxf>
    <dxf>
      <font>
        <color rgb="FFFF0000"/>
      </font>
      <fill>
        <patternFill>
          <bgColor theme="5" tint="0.79998168889431442"/>
        </patternFill>
      </fill>
    </dxf>
    <dxf>
      <font>
        <color rgb="FF006100"/>
      </font>
      <fill>
        <patternFill>
          <bgColor rgb="FFC6EFCE"/>
        </patternFill>
      </fill>
    </dxf>
    <dxf>
      <font>
        <color rgb="FF9C0006"/>
      </font>
      <fill>
        <patternFill>
          <bgColor rgb="FFFFC7CE"/>
        </patternFill>
      </fill>
    </dxf>
    <dxf>
      <font>
        <color rgb="FF9C0006"/>
      </font>
    </dxf>
    <dxf>
      <font>
        <color rgb="FF006100"/>
      </font>
      <fill>
        <patternFill>
          <bgColor rgb="FFC6EFCE"/>
        </patternFill>
      </fill>
    </dxf>
    <dxf>
      <font>
        <color rgb="FFFF0000"/>
      </font>
    </dxf>
    <dxf>
      <font>
        <color rgb="FF006100"/>
      </font>
      <fill>
        <patternFill>
          <bgColor rgb="FFC6EFCE"/>
        </patternFill>
      </fill>
    </dxf>
    <dxf>
      <font>
        <b/>
        <i val="0"/>
        <condense val="0"/>
        <extend val="0"/>
      </font>
      <fill>
        <patternFill>
          <bgColor indexed="51"/>
        </patternFill>
      </fill>
    </dxf>
    <dxf>
      <font>
        <b/>
        <i val="0"/>
        <condense val="0"/>
        <extend val="0"/>
        <color indexed="9"/>
      </font>
      <fill>
        <patternFill>
          <bgColor indexed="58"/>
        </patternFill>
      </fill>
    </dxf>
    <dxf>
      <font>
        <b/>
        <i val="0"/>
        <condense val="0"/>
        <extend val="0"/>
        <color indexed="9"/>
      </font>
      <fill>
        <patternFill>
          <bgColor indexed="17"/>
        </patternFill>
      </fill>
    </dxf>
    <dxf>
      <font>
        <b/>
        <i val="0"/>
        <condense val="0"/>
        <extend val="0"/>
      </font>
      <fill>
        <patternFill>
          <bgColor indexed="51"/>
        </patternFill>
      </fill>
    </dxf>
    <dxf>
      <font>
        <b/>
        <i val="0"/>
        <condense val="0"/>
        <extend val="0"/>
        <color indexed="9"/>
      </font>
      <fill>
        <patternFill>
          <bgColor indexed="58"/>
        </patternFill>
      </fill>
    </dxf>
    <dxf>
      <font>
        <b/>
        <i val="0"/>
        <condense val="0"/>
        <extend val="0"/>
        <color indexed="9"/>
      </font>
      <fill>
        <patternFill>
          <bgColor indexed="17"/>
        </patternFill>
      </fill>
    </dxf>
    <dxf>
      <font>
        <b/>
        <i val="0"/>
        <condense val="0"/>
        <extend val="0"/>
      </font>
      <fill>
        <patternFill>
          <bgColor indexed="51"/>
        </patternFill>
      </fill>
    </dxf>
    <dxf>
      <font>
        <b/>
        <i val="0"/>
        <condense val="0"/>
        <extend val="0"/>
        <color indexed="9"/>
      </font>
      <fill>
        <patternFill>
          <bgColor indexed="58"/>
        </patternFill>
      </fill>
    </dxf>
    <dxf>
      <font>
        <b/>
        <i val="0"/>
        <condense val="0"/>
        <extend val="0"/>
        <color indexed="9"/>
      </font>
      <fill>
        <patternFill>
          <bgColor indexed="17"/>
        </patternFill>
      </fill>
    </dxf>
    <dxf>
      <font>
        <b/>
        <i val="0"/>
        <condense val="0"/>
        <extend val="0"/>
      </font>
      <fill>
        <patternFill>
          <bgColor indexed="51"/>
        </patternFill>
      </fill>
    </dxf>
    <dxf>
      <font>
        <b/>
        <i val="0"/>
        <condense val="0"/>
        <extend val="0"/>
        <color indexed="9"/>
      </font>
      <fill>
        <patternFill>
          <bgColor indexed="58"/>
        </patternFill>
      </fill>
    </dxf>
    <dxf>
      <font>
        <b/>
        <i val="0"/>
        <condense val="0"/>
        <extend val="0"/>
        <color indexed="9"/>
      </font>
      <fill>
        <patternFill>
          <bgColor indexed="17"/>
        </patternFill>
      </fill>
    </dxf>
    <dxf>
      <font>
        <b/>
        <i val="0"/>
        <condense val="0"/>
        <extend val="0"/>
      </font>
      <fill>
        <patternFill>
          <bgColor indexed="51"/>
        </patternFill>
      </fill>
    </dxf>
    <dxf>
      <font>
        <b/>
        <i val="0"/>
        <condense val="0"/>
        <extend val="0"/>
        <color indexed="9"/>
      </font>
      <fill>
        <patternFill>
          <bgColor indexed="58"/>
        </patternFill>
      </fill>
    </dxf>
    <dxf>
      <font>
        <b/>
        <i val="0"/>
        <condense val="0"/>
        <extend val="0"/>
        <color indexed="9"/>
      </font>
      <fill>
        <patternFill>
          <bgColor indexed="17"/>
        </patternFill>
      </fill>
    </dxf>
    <dxf>
      <font>
        <color rgb="FFFF0000"/>
      </font>
    </dxf>
    <dxf>
      <font>
        <color rgb="FFFF0000"/>
      </font>
    </dxf>
    <dxf>
      <font>
        <color rgb="FF006100"/>
      </font>
      <fill>
        <patternFill>
          <bgColor rgb="FFC6EFCE"/>
        </patternFill>
      </fill>
    </dxf>
    <dxf>
      <font>
        <condense val="0"/>
        <extend val="0"/>
        <color indexed="9"/>
      </font>
      <fill>
        <patternFill>
          <bgColor indexed="58"/>
        </patternFill>
      </fill>
    </dxf>
    <dxf>
      <font>
        <condense val="0"/>
        <extend val="0"/>
        <color indexed="63"/>
      </font>
      <fill>
        <patternFill>
          <bgColor indexed="17"/>
        </patternFill>
      </fill>
    </dxf>
    <dxf>
      <font>
        <b/>
        <i val="0"/>
        <condense val="0"/>
        <extend val="0"/>
      </font>
      <fill>
        <patternFill>
          <bgColor indexed="51"/>
        </patternFill>
      </fill>
    </dxf>
    <dxf>
      <font>
        <b/>
        <i val="0"/>
        <condense val="0"/>
        <extend val="0"/>
        <color indexed="9"/>
      </font>
      <fill>
        <patternFill>
          <bgColor indexed="58"/>
        </patternFill>
      </fill>
    </dxf>
    <dxf>
      <font>
        <b/>
        <i val="0"/>
        <condense val="0"/>
        <extend val="0"/>
        <color indexed="9"/>
      </font>
      <fill>
        <patternFill>
          <bgColor indexed="17"/>
        </patternFill>
      </fill>
    </dxf>
    <dxf>
      <font>
        <b/>
        <i val="0"/>
        <condense val="0"/>
        <extend val="0"/>
      </font>
      <fill>
        <patternFill>
          <bgColor indexed="51"/>
        </patternFill>
      </fill>
    </dxf>
    <dxf>
      <font>
        <b/>
        <i val="0"/>
        <condense val="0"/>
        <extend val="0"/>
        <color indexed="9"/>
      </font>
      <fill>
        <patternFill>
          <bgColor indexed="58"/>
        </patternFill>
      </fill>
    </dxf>
    <dxf>
      <font>
        <b/>
        <i val="0"/>
        <condense val="0"/>
        <extend val="0"/>
        <color indexed="9"/>
      </font>
      <fill>
        <patternFill>
          <bgColor indexed="17"/>
        </patternFill>
      </fill>
    </dxf>
    <dxf>
      <font>
        <b/>
        <i val="0"/>
        <condense val="0"/>
        <extend val="0"/>
      </font>
      <fill>
        <patternFill>
          <bgColor indexed="51"/>
        </patternFill>
      </fill>
    </dxf>
    <dxf>
      <font>
        <b/>
        <i val="0"/>
        <condense val="0"/>
        <extend val="0"/>
        <color indexed="9"/>
      </font>
      <fill>
        <patternFill>
          <bgColor indexed="58"/>
        </patternFill>
      </fill>
    </dxf>
    <dxf>
      <font>
        <b/>
        <i val="0"/>
        <condense val="0"/>
        <extend val="0"/>
        <color indexed="9"/>
      </font>
      <fill>
        <patternFill>
          <bgColor indexed="17"/>
        </patternFill>
      </fill>
    </dxf>
    <dxf>
      <font>
        <b/>
        <i val="0"/>
        <condense val="0"/>
        <extend val="0"/>
      </font>
      <fill>
        <patternFill>
          <bgColor indexed="51"/>
        </patternFill>
      </fill>
    </dxf>
    <dxf>
      <font>
        <b/>
        <i val="0"/>
        <condense val="0"/>
        <extend val="0"/>
        <color indexed="9"/>
      </font>
      <fill>
        <patternFill>
          <bgColor indexed="58"/>
        </patternFill>
      </fill>
    </dxf>
    <dxf>
      <font>
        <b/>
        <i val="0"/>
        <condense val="0"/>
        <extend val="0"/>
        <color indexed="9"/>
      </font>
      <fill>
        <patternFill>
          <bgColor indexed="17"/>
        </patternFill>
      </fill>
    </dxf>
    <dxf>
      <fill>
        <patternFill>
          <bgColor indexed="51"/>
        </patternFill>
      </fill>
    </dxf>
    <dxf>
      <font>
        <condense val="0"/>
        <extend val="0"/>
        <color indexed="9"/>
      </font>
      <fill>
        <patternFill>
          <bgColor indexed="17"/>
        </patternFill>
      </fill>
    </dxf>
    <dxf>
      <font>
        <condense val="0"/>
        <extend val="0"/>
        <color indexed="9"/>
      </font>
      <fill>
        <patternFill>
          <bgColor indexed="58"/>
        </patternFill>
      </fill>
    </dxf>
    <dxf>
      <font>
        <b/>
        <i val="0"/>
        <condense val="0"/>
        <extend val="0"/>
      </font>
      <fill>
        <patternFill>
          <bgColor indexed="41"/>
        </patternFill>
      </fill>
    </dxf>
    <dxf>
      <font>
        <b/>
        <i val="0"/>
        <condense val="0"/>
        <extend val="0"/>
      </font>
      <fill>
        <patternFill>
          <bgColor indexed="10"/>
        </patternFill>
      </fill>
    </dxf>
    <dxf>
      <font>
        <b/>
        <i val="0"/>
        <condense val="0"/>
        <extend val="0"/>
      </font>
      <fill>
        <patternFill>
          <bgColor indexed="42"/>
        </patternFill>
      </fill>
    </dxf>
    <dxf>
      <fill>
        <patternFill>
          <bgColor indexed="51"/>
        </patternFill>
      </fill>
    </dxf>
    <dxf>
      <font>
        <condense val="0"/>
        <extend val="0"/>
        <color indexed="9"/>
      </font>
      <fill>
        <patternFill>
          <bgColor indexed="17"/>
        </patternFill>
      </fill>
    </dxf>
    <dxf>
      <font>
        <condense val="0"/>
        <extend val="0"/>
        <color indexed="9"/>
      </font>
      <fill>
        <patternFill>
          <bgColor indexed="58"/>
        </patternFill>
      </fill>
    </dxf>
    <dxf>
      <font>
        <color rgb="FFFF0000"/>
      </font>
    </dxf>
    <dxf>
      <font>
        <b/>
        <i val="0"/>
        <condense val="0"/>
        <extend val="0"/>
      </font>
      <fill>
        <patternFill>
          <bgColor indexed="41"/>
        </patternFill>
      </fill>
    </dxf>
    <dxf>
      <font>
        <b/>
        <i val="0"/>
        <condense val="0"/>
        <extend val="0"/>
      </font>
      <fill>
        <patternFill>
          <bgColor indexed="10"/>
        </patternFill>
      </fill>
    </dxf>
    <dxf>
      <font>
        <b/>
        <i val="0"/>
        <condense val="0"/>
        <extend val="0"/>
      </font>
      <fill>
        <patternFill>
          <bgColor indexed="42"/>
        </patternFill>
      </fill>
    </dxf>
    <dxf>
      <font>
        <color rgb="FF006100"/>
      </font>
      <fill>
        <patternFill>
          <bgColor rgb="FFC6EFCE"/>
        </patternFill>
      </fill>
    </dxf>
    <dxf>
      <font>
        <color rgb="FFFF0000"/>
      </font>
    </dxf>
    <dxf>
      <font>
        <color rgb="FF9C0006"/>
      </font>
      <fill>
        <patternFill patternType="solid">
          <bgColor theme="0" tint="-4.9989318521683403E-2"/>
        </patternFill>
      </fill>
    </dxf>
    <dxf>
      <font>
        <color rgb="FFFF0000"/>
      </font>
    </dxf>
    <dxf>
      <font>
        <color rgb="FF006100"/>
      </font>
      <fill>
        <patternFill>
          <bgColor rgb="FFC6EFCE"/>
        </patternFill>
      </fill>
    </dxf>
    <dxf>
      <font>
        <color rgb="FF4BACC6"/>
      </font>
    </dxf>
    <dxf>
      <font>
        <color theme="8"/>
      </font>
    </dxf>
    <dxf>
      <font>
        <color rgb="FF4BACC6"/>
      </font>
    </dxf>
    <dxf>
      <font>
        <color theme="8"/>
      </font>
    </dxf>
    <dxf>
      <font>
        <color rgb="FF4BACC6"/>
      </font>
    </dxf>
    <dxf>
      <font>
        <color theme="8"/>
      </font>
    </dxf>
    <dxf>
      <font>
        <color rgb="FF4BACC6"/>
      </font>
    </dxf>
    <dxf>
      <font>
        <color theme="8"/>
      </font>
    </dxf>
    <dxf>
      <font>
        <color rgb="FF4BACC6"/>
      </font>
    </dxf>
    <dxf>
      <font>
        <color theme="8"/>
      </font>
    </dxf>
    <dxf>
      <font>
        <color auto="1"/>
      </font>
      <fill>
        <patternFill>
          <bgColor theme="5" tint="0.79998168889431442"/>
        </patternFill>
      </fill>
    </dxf>
    <dxf>
      <font>
        <color rgb="FFFF0000"/>
      </font>
    </dxf>
    <dxf>
      <font>
        <color rgb="FF006100"/>
      </font>
      <fill>
        <patternFill>
          <bgColor rgb="FFC6EFCE"/>
        </patternFill>
      </fill>
    </dxf>
    <dxf>
      <font>
        <color rgb="FF4BACC6"/>
      </font>
    </dxf>
    <dxf>
      <font>
        <color rgb="FF006100"/>
      </font>
      <fill>
        <patternFill>
          <bgColor rgb="FFC6EFCE"/>
        </patternFill>
      </fill>
    </dxf>
    <dxf>
      <font>
        <color rgb="FF006100"/>
      </font>
      <fill>
        <patternFill>
          <bgColor rgb="FFC6EFCE"/>
        </patternFill>
      </fill>
    </dxf>
    <dxf>
      <font>
        <color theme="8"/>
      </font>
    </dxf>
    <dxf>
      <font>
        <color theme="8"/>
      </font>
    </dxf>
    <dxf>
      <font>
        <color theme="8"/>
      </font>
    </dxf>
    <dxf>
      <font>
        <color rgb="FFFF0000"/>
      </font>
    </dxf>
    <dxf>
      <font>
        <color rgb="FF006100"/>
      </font>
      <fill>
        <patternFill>
          <bgColor rgb="FFC6EFCE"/>
        </patternFill>
      </fill>
    </dxf>
    <dxf>
      <font>
        <color rgb="FF9C0006"/>
      </font>
      <fill>
        <patternFill>
          <bgColor rgb="FFFFC7CE"/>
        </patternFill>
      </fill>
    </dxf>
    <dxf>
      <font>
        <color rgb="FFFF0000"/>
      </font>
    </dxf>
    <dxf>
      <font>
        <color rgb="FF006100"/>
      </font>
      <fill>
        <patternFill>
          <bgColor rgb="FFC6EFCE"/>
        </patternFill>
      </fill>
    </dxf>
    <dxf>
      <font>
        <color theme="8" tint="-0.24994659260841701"/>
      </font>
    </dxf>
    <dxf>
      <font>
        <color theme="0"/>
      </font>
      <fill>
        <patternFill>
          <bgColor theme="0"/>
        </patternFill>
      </fill>
    </dxf>
    <dxf>
      <font>
        <color auto="1"/>
      </font>
    </dxf>
    <dxf>
      <font>
        <color theme="0"/>
      </font>
      <fill>
        <patternFill>
          <bgColor theme="0"/>
        </patternFill>
      </fill>
    </dxf>
    <dxf>
      <font>
        <color auto="1"/>
      </font>
    </dxf>
    <dxf>
      <fill>
        <patternFill patternType="solid">
          <bgColor theme="9" tint="0.39994506668294322"/>
        </patternFill>
      </fill>
    </dxf>
    <dxf>
      <fill>
        <patternFill>
          <bgColor rgb="FFFFFF99"/>
        </patternFill>
      </fill>
    </dxf>
    <dxf>
      <fill>
        <patternFill>
          <bgColor theme="6" tint="0.59996337778862885"/>
        </patternFill>
      </fill>
    </dxf>
    <dxf>
      <fill>
        <patternFill>
          <bgColor theme="4" tint="0.59996337778862885"/>
        </patternFill>
      </fill>
    </dxf>
    <dxf>
      <fill>
        <patternFill patternType="solid">
          <bgColor theme="9" tint="0.39994506668294322"/>
        </patternFill>
      </fill>
    </dxf>
    <dxf>
      <fill>
        <patternFill>
          <bgColor rgb="FFFFFF99"/>
        </patternFill>
      </fill>
    </dxf>
    <dxf>
      <fill>
        <patternFill>
          <bgColor theme="6" tint="0.59996337778862885"/>
        </patternFill>
      </fill>
    </dxf>
    <dxf>
      <fill>
        <patternFill>
          <bgColor theme="4" tint="0.59996337778862885"/>
        </patternFill>
      </fill>
    </dxf>
    <dxf>
      <font>
        <color rgb="FF006100"/>
      </font>
      <fill>
        <patternFill>
          <bgColor rgb="FFC6EFCE"/>
        </patternFill>
      </fill>
    </dxf>
    <dxf>
      <font>
        <color rgb="FF9C0006"/>
      </font>
      <fill>
        <patternFill>
          <bgColor rgb="FFFFC7CE"/>
        </patternFill>
      </fill>
    </dxf>
    <dxf>
      <font>
        <color rgb="FFFF0000"/>
      </font>
    </dxf>
    <dxf>
      <font>
        <color rgb="FF006100"/>
      </font>
      <fill>
        <patternFill>
          <bgColor rgb="FFC6EFCE"/>
        </patternFill>
      </fill>
    </dxf>
    <dxf>
      <font>
        <color rgb="FFFF0000"/>
      </font>
    </dxf>
    <dxf>
      <font>
        <color rgb="FF006100"/>
      </font>
      <fill>
        <patternFill>
          <bgColor rgb="FFC6EFCE"/>
        </patternFill>
      </fill>
    </dxf>
    <dxf>
      <font>
        <color rgb="FFFF0000"/>
      </font>
    </dxf>
    <dxf>
      <font>
        <color rgb="FF006100"/>
      </font>
      <fill>
        <patternFill>
          <bgColor rgb="FFC6EFCE"/>
        </patternFill>
      </fill>
    </dxf>
    <dxf>
      <font>
        <color rgb="FFFF0000"/>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FF0000"/>
      </font>
    </dxf>
    <dxf>
      <font>
        <color rgb="FF006100"/>
      </font>
      <fill>
        <patternFill>
          <bgColor rgb="FFC6EFCE"/>
        </patternFill>
      </fill>
    </dxf>
    <dxf>
      <font>
        <color rgb="FFFF0000"/>
      </font>
    </dxf>
    <dxf>
      <font>
        <color rgb="FF006100"/>
      </font>
      <fill>
        <patternFill>
          <bgColor rgb="FFC6EFCE"/>
        </patternFill>
      </fill>
    </dxf>
    <dxf>
      <font>
        <color rgb="FFFF0000"/>
      </font>
    </dxf>
    <dxf>
      <font>
        <color rgb="FFFF0000"/>
      </font>
    </dxf>
    <dxf>
      <font>
        <color rgb="FF006100"/>
      </font>
      <fill>
        <patternFill>
          <bgColor rgb="FFC6EFCE"/>
        </patternFill>
      </fill>
    </dxf>
    <dxf>
      <font>
        <color rgb="FFFF000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FF0000"/>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FF0000"/>
      </font>
    </dxf>
    <dxf>
      <font>
        <color rgb="FF006100"/>
      </font>
      <fill>
        <patternFill>
          <bgColor rgb="FFC6EFCE"/>
        </patternFill>
      </fill>
    </dxf>
    <dxf>
      <font>
        <color rgb="FFFF0000"/>
      </font>
    </dxf>
    <dxf>
      <font>
        <color rgb="FF006100"/>
      </font>
      <fill>
        <patternFill>
          <bgColor rgb="FFC6EFCE"/>
        </patternFill>
      </fill>
    </dxf>
    <dxf>
      <font>
        <color rgb="FF006100"/>
      </font>
      <fill>
        <patternFill>
          <bgColor rgb="FFC6EFCE"/>
        </patternFill>
      </fill>
    </dxf>
    <dxf>
      <font>
        <color rgb="FFFF0000"/>
      </font>
    </dxf>
    <dxf>
      <font>
        <color rgb="FF006100"/>
      </font>
      <fill>
        <patternFill>
          <bgColor rgb="FFC6EFCE"/>
        </patternFill>
      </fill>
    </dxf>
    <dxf>
      <font>
        <color rgb="FFFF0000"/>
      </font>
    </dxf>
    <dxf>
      <font>
        <color rgb="FF9C0006"/>
      </font>
      <fill>
        <patternFill>
          <bgColor rgb="FFFFC7CE"/>
        </patternFill>
      </fill>
    </dxf>
    <dxf>
      <font>
        <color rgb="FF006100"/>
      </font>
      <fill>
        <patternFill>
          <bgColor rgb="FFC6EF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C0C0C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993366"/>
      <rgbColor rgb="00339966"/>
      <rgbColor rgb="00CB2840"/>
      <rgbColor rgb="00007767"/>
      <rgbColor rgb="000069B3"/>
      <rgbColor rgb="00993366"/>
      <rgbColor rgb="00FFFF78"/>
      <rgbColor rgb="00FFFFFF"/>
    </indexedColors>
    <mruColors>
      <color rgb="FF00FFFF"/>
      <color rgb="FFFFCCFF"/>
      <color rgb="FFBCD3EE"/>
      <color rgb="FF0000FF"/>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AU" sz="1000"/>
              <a:t>Total Household Bill - Maximum</a:t>
            </a:r>
          </a:p>
        </c:rich>
      </c:tx>
      <c:overlay val="0"/>
    </c:title>
    <c:autoTitleDeleted val="0"/>
    <c:plotArea>
      <c:layout>
        <c:manualLayout>
          <c:layoutTarget val="inner"/>
          <c:xMode val="edge"/>
          <c:yMode val="edge"/>
          <c:x val="8.1112742263149309E-2"/>
          <c:y val="0.11557413994632004"/>
          <c:w val="0.84609843261117779"/>
          <c:h val="0.49360237190820511"/>
        </c:manualLayout>
      </c:layout>
      <c:barChart>
        <c:barDir val="col"/>
        <c:grouping val="clustered"/>
        <c:varyColors val="0"/>
        <c:ser>
          <c:idx val="0"/>
          <c:order val="0"/>
          <c:tx>
            <c:strRef>
              <c:f>'Household Bill'!$AJ$23</c:f>
              <c:strCache>
                <c:ptCount val="1"/>
                <c:pt idx="0">
                  <c:v> Owner Occupier Bill </c:v>
                </c:pt>
              </c:strCache>
            </c:strRef>
          </c:tx>
          <c:spPr>
            <a:solidFill>
              <a:schemeClr val="accent1">
                <a:lumMod val="60000"/>
                <a:lumOff val="40000"/>
              </a:schemeClr>
            </a:solidFill>
          </c:spPr>
          <c:invertIfNegative val="0"/>
          <c:cat>
            <c:multiLvlStrRef>
              <c:f>'Household Bill'!$AK$21:$AY$22</c:f>
              <c:multiLvlStrCache>
                <c:ptCount val="15"/>
                <c:lvl>
                  <c:pt idx="0">
                    <c:v>2018-19</c:v>
                  </c:pt>
                  <c:pt idx="1">
                    <c:v>2019-20</c:v>
                  </c:pt>
                  <c:pt idx="2">
                    <c:v>2020-21</c:v>
                  </c:pt>
                  <c:pt idx="3">
                    <c:v>2021-22</c:v>
                  </c:pt>
                  <c:pt idx="4">
                    <c:v>2022-23</c:v>
                  </c:pt>
                  <c:pt idx="5">
                    <c:v>2026-27</c:v>
                  </c:pt>
                  <c:pt idx="6">
                    <c:v>2027-28</c:v>
                  </c:pt>
                  <c:pt idx="7">
                    <c:v>2028-29</c:v>
                  </c:pt>
                  <c:pt idx="8">
                    <c:v>2029-30</c:v>
                  </c:pt>
                  <c:pt idx="9">
                    <c:v>2030-31</c:v>
                  </c:pt>
                  <c:pt idx="10">
                    <c:v>2031-32</c:v>
                  </c:pt>
                  <c:pt idx="11">
                    <c:v>2032-33</c:v>
                  </c:pt>
                  <c:pt idx="12">
                    <c:v>2033-34</c:v>
                  </c:pt>
                  <c:pt idx="13">
                    <c:v>2034-35</c:v>
                  </c:pt>
                  <c:pt idx="14">
                    <c:v>2035-36</c:v>
                  </c:pt>
                </c:lvl>
                <c:lvl>
                  <c:pt idx="0">
                    <c:v>3rd Reg Period</c:v>
                  </c:pt>
                  <c:pt idx="5">
                    <c:v>4th Reg Period</c:v>
                  </c:pt>
                  <c:pt idx="10">
                    <c:v>5th Reg Period</c:v>
                  </c:pt>
                </c:lvl>
              </c:multiLvlStrCache>
            </c:multiLvlStrRef>
          </c:cat>
          <c:val>
            <c:numRef>
              <c:f>'Household Bill'!$AK$23:$AY$23</c:f>
              <c:numCache>
                <c:formatCode>_-* #,##0_-;\-* #,##0_-;_-* "-"??_-;_-@_-</c:formatCode>
                <c:ptCount val="15"/>
                <c:pt idx="0">
                  <c:v>897.22</c:v>
                </c:pt>
                <c:pt idx="1">
                  <c:v>906.79</c:v>
                </c:pt>
                <c:pt idx="2">
                  <c:v>918.25</c:v>
                </c:pt>
                <c:pt idx="3">
                  <c:v>919.22</c:v>
                </c:pt>
                <c:pt idx="4">
                  <c:v>961.33</c:v>
                </c:pt>
                <c:pt idx="5">
                  <c:v>1175.6300000000001</c:v>
                </c:pt>
                <c:pt idx="6">
                  <c:v>1240.3800000000001</c:v>
                </c:pt>
                <c:pt idx="7">
                  <c:v>1308.3799999999999</c:v>
                </c:pt>
                <c:pt idx="8">
                  <c:v>1379.86</c:v>
                </c:pt>
                <c:pt idx="9">
                  <c:v>1454.94</c:v>
                </c:pt>
                <c:pt idx="10">
                  <c:v>1478.22</c:v>
                </c:pt>
                <c:pt idx="11">
                  <c:v>1501.87</c:v>
                </c:pt>
                <c:pt idx="12">
                  <c:v>1525.9</c:v>
                </c:pt>
                <c:pt idx="13">
                  <c:v>1550.31</c:v>
                </c:pt>
                <c:pt idx="14">
                  <c:v>1575.12</c:v>
                </c:pt>
              </c:numCache>
            </c:numRef>
          </c:val>
          <c:extLst>
            <c:ext xmlns:c16="http://schemas.microsoft.com/office/drawing/2014/chart" uri="{C3380CC4-5D6E-409C-BE32-E72D297353CC}">
              <c16:uniqueId val="{00000000-3BA6-4110-ACA2-E4B2B6DF1067}"/>
            </c:ext>
          </c:extLst>
        </c:ser>
        <c:ser>
          <c:idx val="2"/>
          <c:order val="2"/>
          <c:tx>
            <c:strRef>
              <c:f>'Household Bill'!$AJ$25</c:f>
              <c:strCache>
                <c:ptCount val="1"/>
                <c:pt idx="0">
                  <c:v> Tenant Bill </c:v>
                </c:pt>
              </c:strCache>
            </c:strRef>
          </c:tx>
          <c:spPr>
            <a:solidFill>
              <a:schemeClr val="accent3">
                <a:lumMod val="60000"/>
                <a:lumOff val="40000"/>
              </a:schemeClr>
            </a:solidFill>
          </c:spPr>
          <c:invertIfNegative val="0"/>
          <c:cat>
            <c:multiLvlStrRef>
              <c:f>'Household Bill'!$AK$21:$AY$22</c:f>
              <c:multiLvlStrCache>
                <c:ptCount val="15"/>
                <c:lvl>
                  <c:pt idx="0">
                    <c:v>2018-19</c:v>
                  </c:pt>
                  <c:pt idx="1">
                    <c:v>2019-20</c:v>
                  </c:pt>
                  <c:pt idx="2">
                    <c:v>2020-21</c:v>
                  </c:pt>
                  <c:pt idx="3">
                    <c:v>2021-22</c:v>
                  </c:pt>
                  <c:pt idx="4">
                    <c:v>2022-23</c:v>
                  </c:pt>
                  <c:pt idx="5">
                    <c:v>2026-27</c:v>
                  </c:pt>
                  <c:pt idx="6">
                    <c:v>2027-28</c:v>
                  </c:pt>
                  <c:pt idx="7">
                    <c:v>2028-29</c:v>
                  </c:pt>
                  <c:pt idx="8">
                    <c:v>2029-30</c:v>
                  </c:pt>
                  <c:pt idx="9">
                    <c:v>2030-31</c:v>
                  </c:pt>
                  <c:pt idx="10">
                    <c:v>2031-32</c:v>
                  </c:pt>
                  <c:pt idx="11">
                    <c:v>2032-33</c:v>
                  </c:pt>
                  <c:pt idx="12">
                    <c:v>2033-34</c:v>
                  </c:pt>
                  <c:pt idx="13">
                    <c:v>2034-35</c:v>
                  </c:pt>
                  <c:pt idx="14">
                    <c:v>2035-36</c:v>
                  </c:pt>
                </c:lvl>
                <c:lvl>
                  <c:pt idx="0">
                    <c:v>3rd Reg Period</c:v>
                  </c:pt>
                  <c:pt idx="5">
                    <c:v>4th Reg Period</c:v>
                  </c:pt>
                  <c:pt idx="10">
                    <c:v>5th Reg Period</c:v>
                  </c:pt>
                </c:lvl>
              </c:multiLvlStrCache>
            </c:multiLvlStrRef>
          </c:cat>
          <c:val>
            <c:numRef>
              <c:f>'Household Bill'!$AK$25:$AY$25</c:f>
              <c:numCache>
                <c:formatCode>_-* #,##0_-;\-* #,##0_-;_-* "-"??_-;_-@_-</c:formatCode>
                <c:ptCount val="15"/>
                <c:pt idx="0">
                  <c:v>450.94000000000005</c:v>
                </c:pt>
                <c:pt idx="1">
                  <c:v>459</c:v>
                </c:pt>
                <c:pt idx="2">
                  <c:v>471.15999999999997</c:v>
                </c:pt>
                <c:pt idx="3">
                  <c:v>478.54</c:v>
                </c:pt>
                <c:pt idx="4">
                  <c:v>505.14</c:v>
                </c:pt>
                <c:pt idx="5">
                  <c:v>593.54</c:v>
                </c:pt>
                <c:pt idx="6">
                  <c:v>605.98</c:v>
                </c:pt>
                <c:pt idx="7">
                  <c:v>618.64</c:v>
                </c:pt>
                <c:pt idx="8">
                  <c:v>631.6</c:v>
                </c:pt>
                <c:pt idx="9">
                  <c:v>644.81999999999994</c:v>
                </c:pt>
                <c:pt idx="10">
                  <c:v>655.14</c:v>
                </c:pt>
                <c:pt idx="11">
                  <c:v>665.62</c:v>
                </c:pt>
                <c:pt idx="12">
                  <c:v>676.26</c:v>
                </c:pt>
                <c:pt idx="13">
                  <c:v>687.08</c:v>
                </c:pt>
                <c:pt idx="14">
                  <c:v>698.08</c:v>
                </c:pt>
              </c:numCache>
            </c:numRef>
          </c:val>
          <c:extLst>
            <c:ext xmlns:c16="http://schemas.microsoft.com/office/drawing/2014/chart" uri="{C3380CC4-5D6E-409C-BE32-E72D297353CC}">
              <c16:uniqueId val="{00000001-3BA6-4110-ACA2-E4B2B6DF1067}"/>
            </c:ext>
          </c:extLst>
        </c:ser>
        <c:dLbls>
          <c:showLegendKey val="0"/>
          <c:showVal val="0"/>
          <c:showCatName val="0"/>
          <c:showSerName val="0"/>
          <c:showPercent val="0"/>
          <c:showBubbleSize val="0"/>
        </c:dLbls>
        <c:gapWidth val="150"/>
        <c:axId val="197295488"/>
        <c:axId val="197305472"/>
      </c:barChart>
      <c:lineChart>
        <c:grouping val="standard"/>
        <c:varyColors val="0"/>
        <c:ser>
          <c:idx val="1"/>
          <c:order val="1"/>
          <c:tx>
            <c:strRef>
              <c:f>'Household Bill'!$AJ$24</c:f>
              <c:strCache>
                <c:ptCount val="1"/>
                <c:pt idx="0">
                  <c:v>OB - YoY Change</c:v>
                </c:pt>
              </c:strCache>
            </c:strRef>
          </c:tx>
          <c:spPr>
            <a:ln>
              <a:solidFill>
                <a:schemeClr val="accent1">
                  <a:lumMod val="75000"/>
                </a:schemeClr>
              </a:solidFill>
            </a:ln>
          </c:spPr>
          <c:marker>
            <c:symbol val="none"/>
          </c:marker>
          <c:cat>
            <c:multiLvlStrRef>
              <c:f>'Household Bill'!$AK$21:$AY$22</c:f>
              <c:multiLvlStrCache>
                <c:ptCount val="15"/>
                <c:lvl>
                  <c:pt idx="0">
                    <c:v>2018-19</c:v>
                  </c:pt>
                  <c:pt idx="1">
                    <c:v>2019-20</c:v>
                  </c:pt>
                  <c:pt idx="2">
                    <c:v>2020-21</c:v>
                  </c:pt>
                  <c:pt idx="3">
                    <c:v>2021-22</c:v>
                  </c:pt>
                  <c:pt idx="4">
                    <c:v>2022-23</c:v>
                  </c:pt>
                  <c:pt idx="5">
                    <c:v>2026-27</c:v>
                  </c:pt>
                  <c:pt idx="6">
                    <c:v>2027-28</c:v>
                  </c:pt>
                  <c:pt idx="7">
                    <c:v>2028-29</c:v>
                  </c:pt>
                  <c:pt idx="8">
                    <c:v>2029-30</c:v>
                  </c:pt>
                  <c:pt idx="9">
                    <c:v>2030-31</c:v>
                  </c:pt>
                  <c:pt idx="10">
                    <c:v>2031-32</c:v>
                  </c:pt>
                  <c:pt idx="11">
                    <c:v>2032-33</c:v>
                  </c:pt>
                  <c:pt idx="12">
                    <c:v>2033-34</c:v>
                  </c:pt>
                  <c:pt idx="13">
                    <c:v>2034-35</c:v>
                  </c:pt>
                  <c:pt idx="14">
                    <c:v>2035-36</c:v>
                  </c:pt>
                </c:lvl>
                <c:lvl>
                  <c:pt idx="0">
                    <c:v>3rd Reg Period</c:v>
                  </c:pt>
                  <c:pt idx="5">
                    <c:v>4th Reg Period</c:v>
                  </c:pt>
                  <c:pt idx="10">
                    <c:v>5th Reg Period</c:v>
                  </c:pt>
                </c:lvl>
              </c:multiLvlStrCache>
            </c:multiLvlStrRef>
          </c:cat>
          <c:val>
            <c:numRef>
              <c:f>'Household Bill'!$AK$24:$AY$24</c:f>
              <c:numCache>
                <c:formatCode>0.0%</c:formatCode>
                <c:ptCount val="15"/>
                <c:pt idx="1">
                  <c:v>1.0666280288000651E-2</c:v>
                </c:pt>
                <c:pt idx="2">
                  <c:v>1.2637986744450158E-2</c:v>
                </c:pt>
                <c:pt idx="3">
                  <c:v>1.0563572011978994E-3</c:v>
                </c:pt>
                <c:pt idx="4">
                  <c:v>4.5810578533974411E-2</c:v>
                </c:pt>
                <c:pt idx="5">
                  <c:v>5.5266323178285059E-2</c:v>
                </c:pt>
                <c:pt idx="6">
                  <c:v>5.507685241104765E-2</c:v>
                </c:pt>
                <c:pt idx="7">
                  <c:v>5.482190941485654E-2</c:v>
                </c:pt>
                <c:pt idx="8">
                  <c:v>5.4632446231217324E-2</c:v>
                </c:pt>
                <c:pt idx="9">
                  <c:v>5.4411317090139688E-2</c:v>
                </c:pt>
                <c:pt idx="10">
                  <c:v>1.6000659821023611E-2</c:v>
                </c:pt>
                <c:pt idx="11">
                  <c:v>1.5998971736277401E-2</c:v>
                </c:pt>
                <c:pt idx="12">
                  <c:v>1.6000053266927328E-2</c:v>
                </c:pt>
                <c:pt idx="13">
                  <c:v>1.5997116455862104E-2</c:v>
                </c:pt>
                <c:pt idx="14">
                  <c:v>1.6003250962710602E-2</c:v>
                </c:pt>
              </c:numCache>
            </c:numRef>
          </c:val>
          <c:smooth val="1"/>
          <c:extLst>
            <c:ext xmlns:c16="http://schemas.microsoft.com/office/drawing/2014/chart" uri="{C3380CC4-5D6E-409C-BE32-E72D297353CC}">
              <c16:uniqueId val="{00000002-3BA6-4110-ACA2-E4B2B6DF1067}"/>
            </c:ext>
          </c:extLst>
        </c:ser>
        <c:ser>
          <c:idx val="3"/>
          <c:order val="3"/>
          <c:tx>
            <c:strRef>
              <c:f>'Household Bill'!$AJ$26</c:f>
              <c:strCache>
                <c:ptCount val="1"/>
                <c:pt idx="0">
                  <c:v>TB - YoY Change</c:v>
                </c:pt>
              </c:strCache>
            </c:strRef>
          </c:tx>
          <c:spPr>
            <a:ln>
              <a:solidFill>
                <a:schemeClr val="accent3">
                  <a:lumMod val="75000"/>
                </a:schemeClr>
              </a:solidFill>
            </a:ln>
          </c:spPr>
          <c:marker>
            <c:symbol val="none"/>
          </c:marker>
          <c:cat>
            <c:multiLvlStrRef>
              <c:f>'Household Bill'!$AK$21:$AY$22</c:f>
              <c:multiLvlStrCache>
                <c:ptCount val="15"/>
                <c:lvl>
                  <c:pt idx="0">
                    <c:v>2018-19</c:v>
                  </c:pt>
                  <c:pt idx="1">
                    <c:v>2019-20</c:v>
                  </c:pt>
                  <c:pt idx="2">
                    <c:v>2020-21</c:v>
                  </c:pt>
                  <c:pt idx="3">
                    <c:v>2021-22</c:v>
                  </c:pt>
                  <c:pt idx="4">
                    <c:v>2022-23</c:v>
                  </c:pt>
                  <c:pt idx="5">
                    <c:v>2026-27</c:v>
                  </c:pt>
                  <c:pt idx="6">
                    <c:v>2027-28</c:v>
                  </c:pt>
                  <c:pt idx="7">
                    <c:v>2028-29</c:v>
                  </c:pt>
                  <c:pt idx="8">
                    <c:v>2029-30</c:v>
                  </c:pt>
                  <c:pt idx="9">
                    <c:v>2030-31</c:v>
                  </c:pt>
                  <c:pt idx="10">
                    <c:v>2031-32</c:v>
                  </c:pt>
                  <c:pt idx="11">
                    <c:v>2032-33</c:v>
                  </c:pt>
                  <c:pt idx="12">
                    <c:v>2033-34</c:v>
                  </c:pt>
                  <c:pt idx="13">
                    <c:v>2034-35</c:v>
                  </c:pt>
                  <c:pt idx="14">
                    <c:v>2035-36</c:v>
                  </c:pt>
                </c:lvl>
                <c:lvl>
                  <c:pt idx="0">
                    <c:v>3rd Reg Period</c:v>
                  </c:pt>
                  <c:pt idx="5">
                    <c:v>4th Reg Period</c:v>
                  </c:pt>
                  <c:pt idx="10">
                    <c:v>5th Reg Period</c:v>
                  </c:pt>
                </c:lvl>
              </c:multiLvlStrCache>
            </c:multiLvlStrRef>
          </c:cat>
          <c:val>
            <c:numRef>
              <c:f>'Household Bill'!$AK$26:$AY$26</c:f>
              <c:numCache>
                <c:formatCode>0.0%</c:formatCode>
                <c:ptCount val="15"/>
                <c:pt idx="1">
                  <c:v>1.7873774781567375E-2</c:v>
                </c:pt>
                <c:pt idx="2">
                  <c:v>2.6492374727668855E-2</c:v>
                </c:pt>
                <c:pt idx="3">
                  <c:v>1.5663468885304566E-2</c:v>
                </c:pt>
                <c:pt idx="4">
                  <c:v>5.5585739959042035E-2</c:v>
                </c:pt>
                <c:pt idx="5">
                  <c:v>2.0915752175857394E-2</c:v>
                </c:pt>
                <c:pt idx="6">
                  <c:v>2.095899181184091E-2</c:v>
                </c:pt>
                <c:pt idx="7">
                  <c:v>2.0891778606554556E-2</c:v>
                </c:pt>
                <c:pt idx="8">
                  <c:v>2.0949178843915783E-2</c:v>
                </c:pt>
                <c:pt idx="9">
                  <c:v>2.0930968967700858E-2</c:v>
                </c:pt>
                <c:pt idx="10">
                  <c:v>1.6004466362705916E-2</c:v>
                </c:pt>
                <c:pt idx="11">
                  <c:v>1.599658088347522E-2</c:v>
                </c:pt>
                <c:pt idx="12">
                  <c:v>1.5985096601664583E-2</c:v>
                </c:pt>
                <c:pt idx="13">
                  <c:v>1.5999763404607847E-2</c:v>
                </c:pt>
                <c:pt idx="14">
                  <c:v>1.6009780520463313E-2</c:v>
                </c:pt>
              </c:numCache>
            </c:numRef>
          </c:val>
          <c:smooth val="1"/>
          <c:extLst>
            <c:ext xmlns:c16="http://schemas.microsoft.com/office/drawing/2014/chart" uri="{C3380CC4-5D6E-409C-BE32-E72D297353CC}">
              <c16:uniqueId val="{00000003-3BA6-4110-ACA2-E4B2B6DF1067}"/>
            </c:ext>
          </c:extLst>
        </c:ser>
        <c:ser>
          <c:idx val="4"/>
          <c:order val="4"/>
          <c:tx>
            <c:strRef>
              <c:f>'Household Bill'!$AJ$27</c:f>
              <c:strCache>
                <c:ptCount val="1"/>
                <c:pt idx="0">
                  <c:v>Zero Line</c:v>
                </c:pt>
              </c:strCache>
            </c:strRef>
          </c:tx>
          <c:spPr>
            <a:ln w="12700" cmpd="sng">
              <a:solidFill>
                <a:schemeClr val="tx1"/>
              </a:solidFill>
              <a:prstDash val="solid"/>
            </a:ln>
          </c:spPr>
          <c:marker>
            <c:symbol val="none"/>
          </c:marker>
          <c:cat>
            <c:multiLvlStrRef>
              <c:f>'Household Bill'!$AK$21:$AY$22</c:f>
              <c:multiLvlStrCache>
                <c:ptCount val="15"/>
                <c:lvl>
                  <c:pt idx="0">
                    <c:v>2018-19</c:v>
                  </c:pt>
                  <c:pt idx="1">
                    <c:v>2019-20</c:v>
                  </c:pt>
                  <c:pt idx="2">
                    <c:v>2020-21</c:v>
                  </c:pt>
                  <c:pt idx="3">
                    <c:v>2021-22</c:v>
                  </c:pt>
                  <c:pt idx="4">
                    <c:v>2022-23</c:v>
                  </c:pt>
                  <c:pt idx="5">
                    <c:v>2026-27</c:v>
                  </c:pt>
                  <c:pt idx="6">
                    <c:v>2027-28</c:v>
                  </c:pt>
                  <c:pt idx="7">
                    <c:v>2028-29</c:v>
                  </c:pt>
                  <c:pt idx="8">
                    <c:v>2029-30</c:v>
                  </c:pt>
                  <c:pt idx="9">
                    <c:v>2030-31</c:v>
                  </c:pt>
                  <c:pt idx="10">
                    <c:v>2031-32</c:v>
                  </c:pt>
                  <c:pt idx="11">
                    <c:v>2032-33</c:v>
                  </c:pt>
                  <c:pt idx="12">
                    <c:v>2033-34</c:v>
                  </c:pt>
                  <c:pt idx="13">
                    <c:v>2034-35</c:v>
                  </c:pt>
                  <c:pt idx="14">
                    <c:v>2035-36</c:v>
                  </c:pt>
                </c:lvl>
                <c:lvl>
                  <c:pt idx="0">
                    <c:v>3rd Reg Period</c:v>
                  </c:pt>
                  <c:pt idx="5">
                    <c:v>4th Reg Period</c:v>
                  </c:pt>
                  <c:pt idx="10">
                    <c:v>5th Reg Period</c:v>
                  </c:pt>
                </c:lvl>
              </c:multiLvlStrCache>
            </c:multiLvlStrRef>
          </c:cat>
          <c:val>
            <c:numRef>
              <c:f>'Household Bill'!$AK$27:$AY$27</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4-3BA6-4110-ACA2-E4B2B6DF1067}"/>
            </c:ext>
          </c:extLst>
        </c:ser>
        <c:dLbls>
          <c:showLegendKey val="0"/>
          <c:showVal val="0"/>
          <c:showCatName val="0"/>
          <c:showSerName val="0"/>
          <c:showPercent val="0"/>
          <c:showBubbleSize val="0"/>
        </c:dLbls>
        <c:marker val="1"/>
        <c:smooth val="0"/>
        <c:axId val="197308800"/>
        <c:axId val="197307008"/>
      </c:lineChart>
      <c:catAx>
        <c:axId val="197295488"/>
        <c:scaling>
          <c:orientation val="minMax"/>
        </c:scaling>
        <c:delete val="0"/>
        <c:axPos val="b"/>
        <c:numFmt formatCode="General" sourceLinked="0"/>
        <c:majorTickMark val="out"/>
        <c:minorTickMark val="none"/>
        <c:tickLblPos val="nextTo"/>
        <c:crossAx val="197305472"/>
        <c:crossesAt val="0"/>
        <c:auto val="1"/>
        <c:lblAlgn val="ctr"/>
        <c:lblOffset val="100"/>
        <c:noMultiLvlLbl val="0"/>
      </c:catAx>
      <c:valAx>
        <c:axId val="197305472"/>
        <c:scaling>
          <c:orientation val="minMax"/>
        </c:scaling>
        <c:delete val="0"/>
        <c:axPos val="l"/>
        <c:majorGridlines>
          <c:spPr>
            <a:ln>
              <a:prstDash val="dash"/>
            </a:ln>
          </c:spPr>
        </c:majorGridlines>
        <c:numFmt formatCode="_-* #,##0_-;\-* #,##0_-;_-* &quot;-&quot;??_-;_-@_-" sourceLinked="1"/>
        <c:majorTickMark val="out"/>
        <c:minorTickMark val="none"/>
        <c:tickLblPos val="nextTo"/>
        <c:crossAx val="197295488"/>
        <c:crosses val="autoZero"/>
        <c:crossBetween val="between"/>
      </c:valAx>
      <c:valAx>
        <c:axId val="197307008"/>
        <c:scaling>
          <c:orientation val="minMax"/>
        </c:scaling>
        <c:delete val="0"/>
        <c:axPos val="r"/>
        <c:numFmt formatCode="0.0%" sourceLinked="1"/>
        <c:majorTickMark val="out"/>
        <c:minorTickMark val="none"/>
        <c:tickLblPos val="nextTo"/>
        <c:crossAx val="197308800"/>
        <c:crosses val="max"/>
        <c:crossBetween val="between"/>
      </c:valAx>
      <c:catAx>
        <c:axId val="197308800"/>
        <c:scaling>
          <c:orientation val="minMax"/>
        </c:scaling>
        <c:delete val="1"/>
        <c:axPos val="b"/>
        <c:numFmt formatCode="General" sourceLinked="1"/>
        <c:majorTickMark val="out"/>
        <c:minorTickMark val="none"/>
        <c:tickLblPos val="nextTo"/>
        <c:crossAx val="197307008"/>
        <c:crosses val="autoZero"/>
        <c:auto val="1"/>
        <c:lblAlgn val="ctr"/>
        <c:lblOffset val="100"/>
        <c:noMultiLvlLbl val="0"/>
      </c:catAx>
    </c:plotArea>
    <c:legend>
      <c:legendPos val="b"/>
      <c:legendEntry>
        <c:idx val="4"/>
        <c:delete val="1"/>
      </c:legendEntry>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Composition of revenue requirement</a:t>
            </a:r>
            <a:r>
              <a:rPr lang="en-AU" baseline="0"/>
              <a:t> for regulatory period ($m)</a:t>
            </a:r>
            <a:endParaRPr lang="en-AU"/>
          </a:p>
        </c:rich>
      </c:tx>
      <c:overlay val="0"/>
    </c:title>
    <c:autoTitleDeleted val="0"/>
    <c:plotArea>
      <c:layout>
        <c:manualLayout>
          <c:layoutTarget val="inner"/>
          <c:xMode val="edge"/>
          <c:yMode val="edge"/>
          <c:x val="0.20400184328104026"/>
          <c:y val="0.20949489026637627"/>
          <c:w val="0.65961138827112265"/>
          <c:h val="0.47118194002345454"/>
        </c:manualLayout>
      </c:layout>
      <c:barChart>
        <c:barDir val="col"/>
        <c:grouping val="stacked"/>
        <c:varyColors val="0"/>
        <c:ser>
          <c:idx val="0"/>
          <c:order val="0"/>
          <c:tx>
            <c:strRef>
              <c:f>'Dashboard data'!$B$13</c:f>
              <c:strCache>
                <c:ptCount val="1"/>
                <c:pt idx="0">
                  <c:v>Operating expenditure</c:v>
                </c:pt>
              </c:strCache>
            </c:strRef>
          </c:tx>
          <c:invertIfNegative val="0"/>
          <c:cat>
            <c:strRef>
              <c:f>'Dashboard data'!$C$12</c:f>
              <c:strCache>
                <c:ptCount val="1"/>
                <c:pt idx="0">
                  <c:v>5th Reg Period</c:v>
                </c:pt>
              </c:strCache>
            </c:strRef>
          </c:cat>
          <c:val>
            <c:numRef>
              <c:f>'Dashboard data'!$C$13</c:f>
              <c:numCache>
                <c:formatCode>#,##0.00</c:formatCode>
                <c:ptCount val="1"/>
                <c:pt idx="0">
                  <c:v>306.8460557331403</c:v>
                </c:pt>
              </c:numCache>
            </c:numRef>
          </c:val>
          <c:extLst>
            <c:ext xmlns:c16="http://schemas.microsoft.com/office/drawing/2014/chart" uri="{C3380CC4-5D6E-409C-BE32-E72D297353CC}">
              <c16:uniqueId val="{00000000-EC73-4997-9C0A-5E6014BB0E05}"/>
            </c:ext>
          </c:extLst>
        </c:ser>
        <c:ser>
          <c:idx val="1"/>
          <c:order val="1"/>
          <c:tx>
            <c:strRef>
              <c:f>'Dashboard data'!$B$14</c:f>
              <c:strCache>
                <c:ptCount val="1"/>
                <c:pt idx="0">
                  <c:v>Return on assets</c:v>
                </c:pt>
              </c:strCache>
            </c:strRef>
          </c:tx>
          <c:spPr>
            <a:solidFill>
              <a:schemeClr val="accent6">
                <a:lumMod val="60000"/>
                <a:lumOff val="40000"/>
              </a:schemeClr>
            </a:solidFill>
          </c:spPr>
          <c:invertIfNegative val="0"/>
          <c:cat>
            <c:strRef>
              <c:f>'Dashboard data'!$C$12</c:f>
              <c:strCache>
                <c:ptCount val="1"/>
                <c:pt idx="0">
                  <c:v>5th Reg Period</c:v>
                </c:pt>
              </c:strCache>
            </c:strRef>
          </c:cat>
          <c:val>
            <c:numRef>
              <c:f>'Dashboard data'!$C$14</c:f>
              <c:numCache>
                <c:formatCode>#,##0.00</c:formatCode>
                <c:ptCount val="1"/>
                <c:pt idx="0">
                  <c:v>85.685978756075656</c:v>
                </c:pt>
              </c:numCache>
            </c:numRef>
          </c:val>
          <c:extLst>
            <c:ext xmlns:c16="http://schemas.microsoft.com/office/drawing/2014/chart" uri="{C3380CC4-5D6E-409C-BE32-E72D297353CC}">
              <c16:uniqueId val="{00000001-EC73-4997-9C0A-5E6014BB0E05}"/>
            </c:ext>
          </c:extLst>
        </c:ser>
        <c:ser>
          <c:idx val="2"/>
          <c:order val="2"/>
          <c:tx>
            <c:strRef>
              <c:f>'Dashboard data'!$B$15</c:f>
              <c:strCache>
                <c:ptCount val="1"/>
                <c:pt idx="0">
                  <c:v>Regulatory depreciation of assets</c:v>
                </c:pt>
              </c:strCache>
            </c:strRef>
          </c:tx>
          <c:spPr>
            <a:solidFill>
              <a:schemeClr val="accent3">
                <a:lumMod val="40000"/>
                <a:lumOff val="60000"/>
              </a:schemeClr>
            </a:solidFill>
          </c:spPr>
          <c:invertIfNegative val="0"/>
          <c:cat>
            <c:strRef>
              <c:f>'Dashboard data'!$C$12</c:f>
              <c:strCache>
                <c:ptCount val="1"/>
                <c:pt idx="0">
                  <c:v>5th Reg Period</c:v>
                </c:pt>
              </c:strCache>
            </c:strRef>
          </c:cat>
          <c:val>
            <c:numRef>
              <c:f>'Dashboard data'!$C$15</c:f>
              <c:numCache>
                <c:formatCode>0.00</c:formatCode>
                <c:ptCount val="1"/>
                <c:pt idx="0">
                  <c:v>113.922601618908</c:v>
                </c:pt>
              </c:numCache>
            </c:numRef>
          </c:val>
          <c:extLst>
            <c:ext xmlns:c16="http://schemas.microsoft.com/office/drawing/2014/chart" uri="{C3380CC4-5D6E-409C-BE32-E72D297353CC}">
              <c16:uniqueId val="{00000002-EC73-4997-9C0A-5E6014BB0E05}"/>
            </c:ext>
          </c:extLst>
        </c:ser>
        <c:ser>
          <c:idx val="3"/>
          <c:order val="3"/>
          <c:tx>
            <c:strRef>
              <c:f>'Dashboard data'!$B$16</c:f>
              <c:strCache>
                <c:ptCount val="1"/>
                <c:pt idx="0">
                  <c:v>Adjustments from last period</c:v>
                </c:pt>
              </c:strCache>
            </c:strRef>
          </c:tx>
          <c:invertIfNegative val="0"/>
          <c:cat>
            <c:strRef>
              <c:f>'Dashboard data'!$C$12</c:f>
              <c:strCache>
                <c:ptCount val="1"/>
                <c:pt idx="0">
                  <c:v>5th Reg Period</c:v>
                </c:pt>
              </c:strCache>
            </c:strRef>
          </c:cat>
          <c:val>
            <c:numRef>
              <c:f>'Dashboard data'!$C$16</c:f>
              <c:numCache>
                <c:formatCode>0.00</c:formatCode>
                <c:ptCount val="1"/>
                <c:pt idx="0">
                  <c:v>0</c:v>
                </c:pt>
              </c:numCache>
            </c:numRef>
          </c:val>
          <c:extLst>
            <c:ext xmlns:c16="http://schemas.microsoft.com/office/drawing/2014/chart" uri="{C3380CC4-5D6E-409C-BE32-E72D297353CC}">
              <c16:uniqueId val="{00000003-EC73-4997-9C0A-5E6014BB0E05}"/>
            </c:ext>
          </c:extLst>
        </c:ser>
        <c:ser>
          <c:idx val="4"/>
          <c:order val="4"/>
          <c:tx>
            <c:strRef>
              <c:f>'Dashboard data'!$B$17</c:f>
              <c:strCache>
                <c:ptCount val="1"/>
                <c:pt idx="0">
                  <c:v>Non-prescribed revenue offset of revenue requirement</c:v>
                </c:pt>
              </c:strCache>
            </c:strRef>
          </c:tx>
          <c:invertIfNegative val="0"/>
          <c:cat>
            <c:strRef>
              <c:f>'Dashboard data'!$C$12</c:f>
              <c:strCache>
                <c:ptCount val="1"/>
                <c:pt idx="0">
                  <c:v>5th Reg Period</c:v>
                </c:pt>
              </c:strCache>
            </c:strRef>
          </c:cat>
          <c:val>
            <c:numRef>
              <c:f>'Dashboard data'!$C$17</c:f>
              <c:numCache>
                <c:formatCode>0.00</c:formatCode>
                <c:ptCount val="1"/>
                <c:pt idx="0">
                  <c:v>0</c:v>
                </c:pt>
              </c:numCache>
            </c:numRef>
          </c:val>
          <c:extLst>
            <c:ext xmlns:c16="http://schemas.microsoft.com/office/drawing/2014/chart" uri="{C3380CC4-5D6E-409C-BE32-E72D297353CC}">
              <c16:uniqueId val="{00000004-EC73-4997-9C0A-5E6014BB0E05}"/>
            </c:ext>
          </c:extLst>
        </c:ser>
        <c:ser>
          <c:idx val="5"/>
          <c:order val="5"/>
          <c:tx>
            <c:strRef>
              <c:f>'Dashboard data'!$B$18</c:f>
              <c:strCache>
                <c:ptCount val="1"/>
                <c:pt idx="0">
                  <c:v>Tax liability</c:v>
                </c:pt>
              </c:strCache>
            </c:strRef>
          </c:tx>
          <c:invertIfNegative val="0"/>
          <c:cat>
            <c:strRef>
              <c:f>'Dashboard data'!$C$12</c:f>
              <c:strCache>
                <c:ptCount val="1"/>
                <c:pt idx="0">
                  <c:v>5th Reg Period</c:v>
                </c:pt>
              </c:strCache>
            </c:strRef>
          </c:cat>
          <c:val>
            <c:numRef>
              <c:f>'Dashboard data'!$C$18</c:f>
              <c:numCache>
                <c:formatCode>0.00</c:formatCode>
                <c:ptCount val="1"/>
                <c:pt idx="0">
                  <c:v>0</c:v>
                </c:pt>
              </c:numCache>
            </c:numRef>
          </c:val>
          <c:extLst>
            <c:ext xmlns:c16="http://schemas.microsoft.com/office/drawing/2014/chart" uri="{C3380CC4-5D6E-409C-BE32-E72D297353CC}">
              <c16:uniqueId val="{00000005-EC73-4997-9C0A-5E6014BB0E05}"/>
            </c:ext>
          </c:extLst>
        </c:ser>
        <c:dLbls>
          <c:showLegendKey val="0"/>
          <c:showVal val="0"/>
          <c:showCatName val="0"/>
          <c:showSerName val="0"/>
          <c:showPercent val="0"/>
          <c:showBubbleSize val="0"/>
        </c:dLbls>
        <c:gapWidth val="75"/>
        <c:overlap val="100"/>
        <c:axId val="198826240"/>
        <c:axId val="198840320"/>
      </c:barChart>
      <c:catAx>
        <c:axId val="198826240"/>
        <c:scaling>
          <c:orientation val="minMax"/>
        </c:scaling>
        <c:delete val="0"/>
        <c:axPos val="b"/>
        <c:numFmt formatCode="General" sourceLinked="0"/>
        <c:majorTickMark val="none"/>
        <c:minorTickMark val="none"/>
        <c:tickLblPos val="nextTo"/>
        <c:crossAx val="198840320"/>
        <c:crosses val="autoZero"/>
        <c:auto val="1"/>
        <c:lblAlgn val="ctr"/>
        <c:lblOffset val="100"/>
        <c:noMultiLvlLbl val="0"/>
      </c:catAx>
      <c:valAx>
        <c:axId val="198840320"/>
        <c:scaling>
          <c:orientation val="minMax"/>
        </c:scaling>
        <c:delete val="0"/>
        <c:axPos val="l"/>
        <c:majorGridlines/>
        <c:numFmt formatCode="#,##0.0" sourceLinked="0"/>
        <c:majorTickMark val="none"/>
        <c:minorTickMark val="none"/>
        <c:tickLblPos val="nextTo"/>
        <c:spPr>
          <a:ln w="9525">
            <a:noFill/>
          </a:ln>
        </c:spPr>
        <c:crossAx val="198826240"/>
        <c:crosses val="autoZero"/>
        <c:crossBetween val="between"/>
      </c:valAx>
    </c:plotArea>
    <c:legend>
      <c:legendPos val="b"/>
      <c:layout>
        <c:manualLayout>
          <c:xMode val="edge"/>
          <c:yMode val="edge"/>
          <c:x val="0"/>
          <c:y val="0.78132472222222227"/>
          <c:w val="1"/>
          <c:h val="0.19089749999999997"/>
        </c:manualLayout>
      </c:layout>
      <c:overlay val="0"/>
      <c:txPr>
        <a:bodyPr/>
        <a:lstStyle/>
        <a:p>
          <a:pPr>
            <a:defRPr sz="1050"/>
          </a:pPr>
          <a:endParaRPr lang="en-US"/>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Capex vs Regulatory</a:t>
            </a:r>
            <a:r>
              <a:rPr lang="en-AU" baseline="0"/>
              <a:t> depreciation ($m)</a:t>
            </a:r>
            <a:endParaRPr lang="en-AU"/>
          </a:p>
        </c:rich>
      </c:tx>
      <c:overlay val="0"/>
    </c:title>
    <c:autoTitleDeleted val="0"/>
    <c:plotArea>
      <c:layout/>
      <c:barChart>
        <c:barDir val="col"/>
        <c:grouping val="clustered"/>
        <c:varyColors val="0"/>
        <c:ser>
          <c:idx val="0"/>
          <c:order val="0"/>
          <c:tx>
            <c:strRef>
              <c:f>'Dashboard data'!$W$67</c:f>
              <c:strCache>
                <c:ptCount val="1"/>
                <c:pt idx="0">
                  <c:v>Capital expenditure</c:v>
                </c:pt>
              </c:strCache>
            </c:strRef>
          </c:tx>
          <c:spPr>
            <a:solidFill>
              <a:schemeClr val="tx2">
                <a:lumMod val="40000"/>
                <a:lumOff val="60000"/>
              </a:schemeClr>
            </a:solidFill>
          </c:spPr>
          <c:invertIfNegative val="0"/>
          <c:cat>
            <c:strRef>
              <c:f>'Dashboard data'!$X$66:$Y$66</c:f>
              <c:strCache>
                <c:ptCount val="2"/>
                <c:pt idx="0">
                  <c:v>4th regulatory period</c:v>
                </c:pt>
                <c:pt idx="1">
                  <c:v>5th regulatory period</c:v>
                </c:pt>
              </c:strCache>
            </c:strRef>
          </c:cat>
          <c:val>
            <c:numRef>
              <c:f>'Dashboard data'!$X$67:$Y$67</c:f>
              <c:numCache>
                <c:formatCode>0.00</c:formatCode>
                <c:ptCount val="2"/>
                <c:pt idx="0">
                  <c:v>380.22905781858333</c:v>
                </c:pt>
                <c:pt idx="1">
                  <c:v>279.73093</c:v>
                </c:pt>
              </c:numCache>
            </c:numRef>
          </c:val>
          <c:extLst>
            <c:ext xmlns:c16="http://schemas.microsoft.com/office/drawing/2014/chart" uri="{C3380CC4-5D6E-409C-BE32-E72D297353CC}">
              <c16:uniqueId val="{00000000-A0F1-45AF-8A86-BBCC27D5966A}"/>
            </c:ext>
          </c:extLst>
        </c:ser>
        <c:ser>
          <c:idx val="1"/>
          <c:order val="1"/>
          <c:tx>
            <c:strRef>
              <c:f>'Dashboard data'!$W$68</c:f>
              <c:strCache>
                <c:ptCount val="1"/>
                <c:pt idx="0">
                  <c:v>Regulatory depreciation</c:v>
                </c:pt>
              </c:strCache>
            </c:strRef>
          </c:tx>
          <c:spPr>
            <a:solidFill>
              <a:schemeClr val="accent6">
                <a:lumMod val="60000"/>
                <a:lumOff val="40000"/>
              </a:schemeClr>
            </a:solidFill>
          </c:spPr>
          <c:invertIfNegative val="0"/>
          <c:cat>
            <c:strRef>
              <c:f>'Dashboard data'!$X$66:$Y$66</c:f>
              <c:strCache>
                <c:ptCount val="2"/>
                <c:pt idx="0">
                  <c:v>4th regulatory period</c:v>
                </c:pt>
                <c:pt idx="1">
                  <c:v>5th regulatory period</c:v>
                </c:pt>
              </c:strCache>
            </c:strRef>
          </c:cat>
          <c:val>
            <c:numRef>
              <c:f>'Dashboard data'!$X$68:$Y$68</c:f>
              <c:numCache>
                <c:formatCode>0.00</c:formatCode>
                <c:ptCount val="2"/>
                <c:pt idx="0">
                  <c:v>103.47322816905785</c:v>
                </c:pt>
                <c:pt idx="1">
                  <c:v>113.922601618908</c:v>
                </c:pt>
              </c:numCache>
            </c:numRef>
          </c:val>
          <c:extLst>
            <c:ext xmlns:c16="http://schemas.microsoft.com/office/drawing/2014/chart" uri="{C3380CC4-5D6E-409C-BE32-E72D297353CC}">
              <c16:uniqueId val="{00000001-A0F1-45AF-8A86-BBCC27D5966A}"/>
            </c:ext>
          </c:extLst>
        </c:ser>
        <c:dLbls>
          <c:showLegendKey val="0"/>
          <c:showVal val="0"/>
          <c:showCatName val="0"/>
          <c:showSerName val="0"/>
          <c:showPercent val="0"/>
          <c:showBubbleSize val="0"/>
        </c:dLbls>
        <c:gapWidth val="75"/>
        <c:overlap val="-25"/>
        <c:axId val="198873856"/>
        <c:axId val="198875392"/>
      </c:barChart>
      <c:catAx>
        <c:axId val="198873856"/>
        <c:scaling>
          <c:orientation val="minMax"/>
        </c:scaling>
        <c:delete val="0"/>
        <c:axPos val="b"/>
        <c:numFmt formatCode="General" sourceLinked="0"/>
        <c:majorTickMark val="none"/>
        <c:minorTickMark val="none"/>
        <c:tickLblPos val="nextTo"/>
        <c:txPr>
          <a:bodyPr/>
          <a:lstStyle/>
          <a:p>
            <a:pPr>
              <a:defRPr sz="1100"/>
            </a:pPr>
            <a:endParaRPr lang="en-US"/>
          </a:p>
        </c:txPr>
        <c:crossAx val="198875392"/>
        <c:crosses val="autoZero"/>
        <c:auto val="1"/>
        <c:lblAlgn val="ctr"/>
        <c:lblOffset val="100"/>
        <c:noMultiLvlLbl val="0"/>
      </c:catAx>
      <c:valAx>
        <c:axId val="198875392"/>
        <c:scaling>
          <c:orientation val="minMax"/>
        </c:scaling>
        <c:delete val="0"/>
        <c:axPos val="l"/>
        <c:majorGridlines/>
        <c:numFmt formatCode="0.0" sourceLinked="0"/>
        <c:majorTickMark val="none"/>
        <c:minorTickMark val="none"/>
        <c:tickLblPos val="nextTo"/>
        <c:spPr>
          <a:ln w="9525">
            <a:noFill/>
          </a:ln>
        </c:spPr>
        <c:txPr>
          <a:bodyPr/>
          <a:lstStyle/>
          <a:p>
            <a:pPr>
              <a:defRPr sz="1100"/>
            </a:pPr>
            <a:endParaRPr lang="en-US"/>
          </a:p>
        </c:txPr>
        <c:crossAx val="198873856"/>
        <c:crosses val="autoZero"/>
        <c:crossBetween val="between"/>
      </c:valAx>
    </c:plotArea>
    <c:legend>
      <c:legendPos val="b"/>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a:t>
            </a:r>
            <a:r>
              <a:rPr lang="en-AU" baseline="0"/>
              <a:t> prescribed operating expenditure ($m)</a:t>
            </a:r>
            <a:endParaRPr lang="en-AU"/>
          </a:p>
        </c:rich>
      </c:tx>
      <c:overlay val="0"/>
    </c:title>
    <c:autoTitleDeleted val="0"/>
    <c:plotArea>
      <c:layout/>
      <c:barChart>
        <c:barDir val="col"/>
        <c:grouping val="stacked"/>
        <c:varyColors val="0"/>
        <c:ser>
          <c:idx val="0"/>
          <c:order val="0"/>
          <c:tx>
            <c:strRef>
              <c:f>'Dashboard data'!$B$37</c:f>
              <c:strCache>
                <c:ptCount val="1"/>
                <c:pt idx="0">
                  <c:v>Controllable opex</c:v>
                </c:pt>
              </c:strCache>
            </c:strRef>
          </c:tx>
          <c:spPr>
            <a:solidFill>
              <a:schemeClr val="accent6">
                <a:lumMod val="75000"/>
              </a:schemeClr>
            </a:solidFill>
          </c:spPr>
          <c:invertIfNegative val="0"/>
          <c:cat>
            <c:strRef>
              <c:f>'Dashboard data'!$C$36:$T$36</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data'!$C$37:$T$37</c:f>
              <c:numCache>
                <c:formatCode>0.00</c:formatCode>
                <c:ptCount val="18"/>
                <c:pt idx="0">
                  <c:v>48.04167761989342</c:v>
                </c:pt>
                <c:pt idx="1">
                  <c:v>53.262533742331293</c:v>
                </c:pt>
                <c:pt idx="2">
                  <c:v>50.409455403087478</c:v>
                </c:pt>
                <c:pt idx="3">
                  <c:v>52.173564885496177</c:v>
                </c:pt>
                <c:pt idx="4">
                  <c:v>58.135559322033892</c:v>
                </c:pt>
                <c:pt idx="5">
                  <c:v>57.475843891402711</c:v>
                </c:pt>
                <c:pt idx="6">
                  <c:v>57.607126637554572</c:v>
                </c:pt>
                <c:pt idx="7">
                  <c:v>54.994000000000014</c:v>
                </c:pt>
                <c:pt idx="8">
                  <c:v>56.927501659388653</c:v>
                </c:pt>
                <c:pt idx="9">
                  <c:v>57.746535659388655</c:v>
                </c:pt>
                <c:pt idx="10">
                  <c:v>57.222382659388657</c:v>
                </c:pt>
                <c:pt idx="11">
                  <c:v>58.098912659388652</c:v>
                </c:pt>
                <c:pt idx="12">
                  <c:v>58.181688659388655</c:v>
                </c:pt>
                <c:pt idx="13">
                  <c:v>59.036976659388657</c:v>
                </c:pt>
                <c:pt idx="14">
                  <c:v>59.904816659388658</c:v>
                </c:pt>
                <c:pt idx="15">
                  <c:v>60.785214659388657</c:v>
                </c:pt>
                <c:pt idx="16">
                  <c:v>61.678456659388658</c:v>
                </c:pt>
                <c:pt idx="17">
                  <c:v>62.58484665938866</c:v>
                </c:pt>
              </c:numCache>
            </c:numRef>
          </c:val>
          <c:extLst>
            <c:ext xmlns:c16="http://schemas.microsoft.com/office/drawing/2014/chart" uri="{C3380CC4-5D6E-409C-BE32-E72D297353CC}">
              <c16:uniqueId val="{00000000-CB6B-401E-A1E2-30B83A072543}"/>
            </c:ext>
          </c:extLst>
        </c:ser>
        <c:ser>
          <c:idx val="1"/>
          <c:order val="1"/>
          <c:tx>
            <c:strRef>
              <c:f>'Dashboard data'!$B$38</c:f>
              <c:strCache>
                <c:ptCount val="1"/>
                <c:pt idx="0">
                  <c:v>Non-controllable opex</c:v>
                </c:pt>
              </c:strCache>
            </c:strRef>
          </c:tx>
          <c:spPr>
            <a:solidFill>
              <a:schemeClr val="accent6">
                <a:lumMod val="60000"/>
                <a:lumOff val="40000"/>
              </a:schemeClr>
            </a:solidFill>
          </c:spPr>
          <c:invertIfNegative val="0"/>
          <c:cat>
            <c:strRef>
              <c:f>'Dashboard data'!$C$36:$T$36</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data'!$C$38:$T$38</c:f>
              <c:numCache>
                <c:formatCode>0.00</c:formatCode>
                <c:ptCount val="18"/>
                <c:pt idx="0">
                  <c:v>4.6545959147424503</c:v>
                </c:pt>
                <c:pt idx="1">
                  <c:v>4.694521472392637</c:v>
                </c:pt>
                <c:pt idx="2">
                  <c:v>5.1706646655231561</c:v>
                </c:pt>
                <c:pt idx="3">
                  <c:v>5.1446793893129783</c:v>
                </c:pt>
                <c:pt idx="4">
                  <c:v>4.8364915254237282</c:v>
                </c:pt>
                <c:pt idx="5">
                  <c:v>4.5669140271493216</c:v>
                </c:pt>
                <c:pt idx="6">
                  <c:v>4.7309606986899553</c:v>
                </c:pt>
                <c:pt idx="7">
                  <c:v>3.9939999999999998</c:v>
                </c:pt>
                <c:pt idx="8">
                  <c:v>3.9039562682215747</c:v>
                </c:pt>
                <c:pt idx="9">
                  <c:v>3.8164502120715014</c:v>
                </c:pt>
                <c:pt idx="10">
                  <c:v>3.7314103129946563</c:v>
                </c:pt>
                <c:pt idx="11">
                  <c:v>3.6487670680220186</c:v>
                </c:pt>
                <c:pt idx="12">
                  <c:v>3.5684529329660046</c:v>
                </c:pt>
                <c:pt idx="13">
                  <c:v>3.4904022672167194</c:v>
                </c:pt>
                <c:pt idx="14">
                  <c:v>3.4145512800939937</c:v>
                </c:pt>
                <c:pt idx="15">
                  <c:v>3.3408379787113649</c:v>
                </c:pt>
                <c:pt idx="16">
                  <c:v>3.2692021173093924</c:v>
                </c:pt>
                <c:pt idx="17">
                  <c:v>3.1995851480169026</c:v>
                </c:pt>
              </c:numCache>
            </c:numRef>
          </c:val>
          <c:extLst>
            <c:ext xmlns:c16="http://schemas.microsoft.com/office/drawing/2014/chart" uri="{C3380CC4-5D6E-409C-BE32-E72D297353CC}">
              <c16:uniqueId val="{00000001-CB6B-401E-A1E2-30B83A072543}"/>
            </c:ext>
          </c:extLst>
        </c:ser>
        <c:dLbls>
          <c:showLegendKey val="0"/>
          <c:showVal val="0"/>
          <c:showCatName val="0"/>
          <c:showSerName val="0"/>
          <c:showPercent val="0"/>
          <c:showBubbleSize val="0"/>
        </c:dLbls>
        <c:gapWidth val="75"/>
        <c:overlap val="100"/>
        <c:axId val="198422528"/>
        <c:axId val="198424064"/>
      </c:barChart>
      <c:catAx>
        <c:axId val="198422528"/>
        <c:scaling>
          <c:orientation val="minMax"/>
        </c:scaling>
        <c:delete val="0"/>
        <c:axPos val="b"/>
        <c:numFmt formatCode="General" sourceLinked="0"/>
        <c:majorTickMark val="none"/>
        <c:minorTickMark val="none"/>
        <c:tickLblPos val="nextTo"/>
        <c:txPr>
          <a:bodyPr rot="-5400000" vert="horz"/>
          <a:lstStyle/>
          <a:p>
            <a:pPr>
              <a:defRPr sz="1100"/>
            </a:pPr>
            <a:endParaRPr lang="en-US"/>
          </a:p>
        </c:txPr>
        <c:crossAx val="198424064"/>
        <c:crosses val="autoZero"/>
        <c:auto val="1"/>
        <c:lblAlgn val="ctr"/>
        <c:lblOffset val="100"/>
        <c:noMultiLvlLbl val="0"/>
      </c:catAx>
      <c:valAx>
        <c:axId val="198424064"/>
        <c:scaling>
          <c:orientation val="minMax"/>
        </c:scaling>
        <c:delete val="0"/>
        <c:axPos val="l"/>
        <c:majorGridlines/>
        <c:numFmt formatCode="0.0" sourceLinked="0"/>
        <c:majorTickMark val="none"/>
        <c:minorTickMark val="none"/>
        <c:tickLblPos val="nextTo"/>
        <c:spPr>
          <a:ln w="9525">
            <a:noFill/>
          </a:ln>
        </c:spPr>
        <c:crossAx val="198422528"/>
        <c:crosses val="autoZero"/>
        <c:crossBetween val="between"/>
      </c:valAx>
    </c:plotArea>
    <c:legend>
      <c:legendPos val="b"/>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 operating expenditure</a:t>
            </a:r>
            <a:r>
              <a:rPr lang="en-AU" baseline="0"/>
              <a:t> by cost category - Water ($m)</a:t>
            </a:r>
            <a:endParaRPr lang="en-AU"/>
          </a:p>
        </c:rich>
      </c:tx>
      <c:overlay val="0"/>
    </c:title>
    <c:autoTitleDeleted val="0"/>
    <c:plotArea>
      <c:layout>
        <c:manualLayout>
          <c:layoutTarget val="inner"/>
          <c:xMode val="edge"/>
          <c:yMode val="edge"/>
          <c:x val="5.3070983445429612E-2"/>
          <c:y val="0.19006735250708687"/>
          <c:w val="0.94486966556371477"/>
          <c:h val="0.49250410350207013"/>
        </c:manualLayout>
      </c:layout>
      <c:barChart>
        <c:barDir val="col"/>
        <c:grouping val="stacked"/>
        <c:varyColors val="0"/>
        <c:ser>
          <c:idx val="0"/>
          <c:order val="0"/>
          <c:tx>
            <c:strRef>
              <c:f>'Dashboard data'!$B$58</c:f>
              <c:strCache>
                <c:ptCount val="1"/>
                <c:pt idx="0">
                  <c:v>Operations &amp; Maintenance</c:v>
                </c:pt>
              </c:strCache>
            </c:strRef>
          </c:tx>
          <c:invertIfNegative val="0"/>
          <c:cat>
            <c:strRef>
              <c:f>'Dashboard data'!$C$57:$T$57</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data'!$C$58:$T$58</c:f>
              <c:numCache>
                <c:formatCode>0.00</c:formatCode>
                <c:ptCount val="18"/>
                <c:pt idx="0">
                  <c:v>8.3707753108348122</c:v>
                </c:pt>
                <c:pt idx="1">
                  <c:v>8.4358343558282218</c:v>
                </c:pt>
                <c:pt idx="2">
                  <c:v>7.9653576329331042</c:v>
                </c:pt>
                <c:pt idx="3">
                  <c:v>7.9192977099236641</c:v>
                </c:pt>
                <c:pt idx="4">
                  <c:v>9.5310338983050844</c:v>
                </c:pt>
                <c:pt idx="5">
                  <c:v>9.7428914027149318</c:v>
                </c:pt>
                <c:pt idx="6">
                  <c:v>9.4404170305676836</c:v>
                </c:pt>
                <c:pt idx="7">
                  <c:v>8.6349999999999998</c:v>
                </c:pt>
                <c:pt idx="8">
                  <c:v>7.9976816593886459</c:v>
                </c:pt>
                <c:pt idx="9">
                  <c:v>7.9460816593886454</c:v>
                </c:pt>
                <c:pt idx="10">
                  <c:v>8.1293816593886454</c:v>
                </c:pt>
                <c:pt idx="11">
                  <c:v>8.4187616593886467</c:v>
                </c:pt>
                <c:pt idx="12">
                  <c:v>8.7257616593886453</c:v>
                </c:pt>
                <c:pt idx="13">
                  <c:v>8.7257616593886453</c:v>
                </c:pt>
                <c:pt idx="14">
                  <c:v>8.7257616593886453</c:v>
                </c:pt>
                <c:pt idx="15">
                  <c:v>8.7257616593886453</c:v>
                </c:pt>
                <c:pt idx="16">
                  <c:v>8.7257616593886453</c:v>
                </c:pt>
                <c:pt idx="17">
                  <c:v>8.7257616593886453</c:v>
                </c:pt>
              </c:numCache>
            </c:numRef>
          </c:val>
          <c:extLst>
            <c:ext xmlns:c16="http://schemas.microsoft.com/office/drawing/2014/chart" uri="{C3380CC4-5D6E-409C-BE32-E72D297353CC}">
              <c16:uniqueId val="{00000000-E7F5-4213-B5E5-D5C6C2DB5C0B}"/>
            </c:ext>
          </c:extLst>
        </c:ser>
        <c:ser>
          <c:idx val="1"/>
          <c:order val="1"/>
          <c:tx>
            <c:strRef>
              <c:f>'Dashboard data'!$B$59</c:f>
              <c:strCache>
                <c:ptCount val="1"/>
                <c:pt idx="0">
                  <c:v>External bulk charges (excl. temporary purchases)</c:v>
                </c:pt>
              </c:strCache>
            </c:strRef>
          </c:tx>
          <c:spPr>
            <a:solidFill>
              <a:schemeClr val="accent6">
                <a:lumMod val="60000"/>
                <a:lumOff val="40000"/>
              </a:schemeClr>
            </a:solidFill>
          </c:spPr>
          <c:invertIfNegative val="0"/>
          <c:cat>
            <c:strRef>
              <c:f>'Dashboard data'!$C$57:$T$57</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data'!$C$59:$T$59</c:f>
              <c:numCache>
                <c:formatCode>0.00</c:formatCode>
                <c:ptCount val="18"/>
                <c:pt idx="0">
                  <c:v>1.119602131438721</c:v>
                </c:pt>
                <c:pt idx="1">
                  <c:v>1.1838036809815951</c:v>
                </c:pt>
                <c:pt idx="2">
                  <c:v>1.1572152658662092</c:v>
                </c:pt>
                <c:pt idx="3">
                  <c:v>1.1742900763358779</c:v>
                </c:pt>
                <c:pt idx="4">
                  <c:v>1.1378644067796608</c:v>
                </c:pt>
                <c:pt idx="5">
                  <c:v>1.1014072398190045</c:v>
                </c:pt>
                <c:pt idx="6">
                  <c:v>1.092626637554585</c:v>
                </c:pt>
                <c:pt idx="7">
                  <c:v>0.45500000000000002</c:v>
                </c:pt>
                <c:pt idx="8">
                  <c:v>0.45500000000000002</c:v>
                </c:pt>
                <c:pt idx="9">
                  <c:v>0.45500000000000002</c:v>
                </c:pt>
                <c:pt idx="10">
                  <c:v>0.45500000000000002</c:v>
                </c:pt>
                <c:pt idx="11">
                  <c:v>0.45500000000000002</c:v>
                </c:pt>
                <c:pt idx="12">
                  <c:v>0.45500000000000002</c:v>
                </c:pt>
                <c:pt idx="13">
                  <c:v>0.45500000000000002</c:v>
                </c:pt>
                <c:pt idx="14">
                  <c:v>0.45500000000000002</c:v>
                </c:pt>
                <c:pt idx="15">
                  <c:v>0.45500000000000002</c:v>
                </c:pt>
                <c:pt idx="16">
                  <c:v>0.45500000000000002</c:v>
                </c:pt>
                <c:pt idx="17">
                  <c:v>0.45500000000000002</c:v>
                </c:pt>
              </c:numCache>
            </c:numRef>
          </c:val>
          <c:extLst>
            <c:ext xmlns:c16="http://schemas.microsoft.com/office/drawing/2014/chart" uri="{C3380CC4-5D6E-409C-BE32-E72D297353CC}">
              <c16:uniqueId val="{00000001-E7F5-4213-B5E5-D5C6C2DB5C0B}"/>
            </c:ext>
          </c:extLst>
        </c:ser>
        <c:ser>
          <c:idx val="2"/>
          <c:order val="2"/>
          <c:tx>
            <c:strRef>
              <c:f>'Dashboard data'!$B$60</c:f>
              <c:strCache>
                <c:ptCount val="1"/>
                <c:pt idx="0">
                  <c:v>Treatment</c:v>
                </c:pt>
              </c:strCache>
            </c:strRef>
          </c:tx>
          <c:spPr>
            <a:solidFill>
              <a:schemeClr val="accent1">
                <a:lumMod val="40000"/>
                <a:lumOff val="60000"/>
              </a:schemeClr>
            </a:solidFill>
          </c:spPr>
          <c:invertIfNegative val="0"/>
          <c:cat>
            <c:strRef>
              <c:f>'Dashboard data'!$C$57:$T$57</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data'!$C$60:$T$60</c:f>
              <c:numCache>
                <c:formatCode>0.00</c:formatCode>
                <c:ptCount val="18"/>
                <c:pt idx="0">
                  <c:v>6.0640950266429829</c:v>
                </c:pt>
                <c:pt idx="1">
                  <c:v>6.4763926380368098</c:v>
                </c:pt>
                <c:pt idx="2">
                  <c:v>6.4871629502572894</c:v>
                </c:pt>
                <c:pt idx="3">
                  <c:v>6.6889185750636138</c:v>
                </c:pt>
                <c:pt idx="4">
                  <c:v>7.4506271186440669</c:v>
                </c:pt>
                <c:pt idx="5">
                  <c:v>6.7994389140271494</c:v>
                </c:pt>
                <c:pt idx="6">
                  <c:v>7.0913209606986891</c:v>
                </c:pt>
                <c:pt idx="7">
                  <c:v>6.9640000000000004</c:v>
                </c:pt>
                <c:pt idx="8">
                  <c:v>6.9630000000000001</c:v>
                </c:pt>
                <c:pt idx="9">
                  <c:v>6.9770000000000003</c:v>
                </c:pt>
                <c:pt idx="10">
                  <c:v>6.9910000000000005</c:v>
                </c:pt>
                <c:pt idx="11">
                  <c:v>7.0050000000000008</c:v>
                </c:pt>
                <c:pt idx="12">
                  <c:v>7.0200000000000005</c:v>
                </c:pt>
                <c:pt idx="13">
                  <c:v>7.0200000000000005</c:v>
                </c:pt>
                <c:pt idx="14">
                  <c:v>7.0200000000000005</c:v>
                </c:pt>
                <c:pt idx="15">
                  <c:v>7.0200000000000005</c:v>
                </c:pt>
                <c:pt idx="16">
                  <c:v>7.0200000000000005</c:v>
                </c:pt>
                <c:pt idx="17">
                  <c:v>7.0200000000000005</c:v>
                </c:pt>
              </c:numCache>
            </c:numRef>
          </c:val>
          <c:extLst>
            <c:ext xmlns:c16="http://schemas.microsoft.com/office/drawing/2014/chart" uri="{C3380CC4-5D6E-409C-BE32-E72D297353CC}">
              <c16:uniqueId val="{00000002-E7F5-4213-B5E5-D5C6C2DB5C0B}"/>
            </c:ext>
          </c:extLst>
        </c:ser>
        <c:ser>
          <c:idx val="3"/>
          <c:order val="3"/>
          <c:tx>
            <c:strRef>
              <c:f>'Dashboard data'!$B$61</c:f>
              <c:strCache>
                <c:ptCount val="1"/>
                <c:pt idx="0">
                  <c:v>Customer Service and billing</c:v>
                </c:pt>
              </c:strCache>
            </c:strRef>
          </c:tx>
          <c:spPr>
            <a:solidFill>
              <a:schemeClr val="tx2">
                <a:lumMod val="75000"/>
              </a:schemeClr>
            </a:solidFill>
          </c:spPr>
          <c:invertIfNegative val="0"/>
          <c:cat>
            <c:strRef>
              <c:f>'Dashboard data'!$C$57:$T$57</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data'!$C$61:$T$61</c:f>
              <c:numCache>
                <c:formatCode>0.00</c:formatCode>
                <c:ptCount val="18"/>
                <c:pt idx="0">
                  <c:v>2.6440603907637654</c:v>
                </c:pt>
                <c:pt idx="1">
                  <c:v>2.654926380368098</c:v>
                </c:pt>
                <c:pt idx="2">
                  <c:v>2.6993644939965695</c:v>
                </c:pt>
                <c:pt idx="3">
                  <c:v>2.4679185750636128</c:v>
                </c:pt>
                <c:pt idx="4">
                  <c:v>3.0490677966101694</c:v>
                </c:pt>
                <c:pt idx="5">
                  <c:v>3.0219728506787331</c:v>
                </c:pt>
                <c:pt idx="6">
                  <c:v>3.4069061135371177</c:v>
                </c:pt>
                <c:pt idx="7">
                  <c:v>3.0259999999999998</c:v>
                </c:pt>
                <c:pt idx="8">
                  <c:v>3.0259999999999998</c:v>
                </c:pt>
                <c:pt idx="9">
                  <c:v>3.0259999999999998</c:v>
                </c:pt>
                <c:pt idx="10">
                  <c:v>3.0259999999999998</c:v>
                </c:pt>
                <c:pt idx="11">
                  <c:v>3.0259999999999998</c:v>
                </c:pt>
                <c:pt idx="12">
                  <c:v>3.0259999999999998</c:v>
                </c:pt>
                <c:pt idx="13">
                  <c:v>3.0259999999999998</c:v>
                </c:pt>
                <c:pt idx="14">
                  <c:v>3.0259999999999998</c:v>
                </c:pt>
                <c:pt idx="15">
                  <c:v>3.0259999999999998</c:v>
                </c:pt>
                <c:pt idx="16">
                  <c:v>3.0259999999999998</c:v>
                </c:pt>
                <c:pt idx="17">
                  <c:v>3.0259999999999998</c:v>
                </c:pt>
              </c:numCache>
            </c:numRef>
          </c:val>
          <c:extLst>
            <c:ext xmlns:c16="http://schemas.microsoft.com/office/drawing/2014/chart" uri="{C3380CC4-5D6E-409C-BE32-E72D297353CC}">
              <c16:uniqueId val="{00000003-E7F5-4213-B5E5-D5C6C2DB5C0B}"/>
            </c:ext>
          </c:extLst>
        </c:ser>
        <c:ser>
          <c:idx val="4"/>
          <c:order val="4"/>
          <c:tx>
            <c:strRef>
              <c:f>'Dashboard data'!$B$62</c:f>
              <c:strCache>
                <c:ptCount val="1"/>
                <c:pt idx="0">
                  <c:v>GSL Payments</c:v>
                </c:pt>
              </c:strCache>
            </c:strRef>
          </c:tx>
          <c:spPr>
            <a:solidFill>
              <a:schemeClr val="accent5">
                <a:lumMod val="40000"/>
                <a:lumOff val="60000"/>
              </a:schemeClr>
            </a:solidFill>
          </c:spPr>
          <c:invertIfNegative val="0"/>
          <c:cat>
            <c:strRef>
              <c:f>'Dashboard data'!$C$57:$T$57</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data'!$C$62:$T$62</c:f>
              <c:numCache>
                <c:formatCode>0.00</c:formatCode>
                <c:ptCount val="18"/>
                <c:pt idx="0">
                  <c:v>0</c:v>
                </c:pt>
                <c:pt idx="1">
                  <c:v>1.2331288343558281E-3</c:v>
                </c:pt>
                <c:pt idx="2">
                  <c:v>0</c:v>
                </c:pt>
                <c:pt idx="3">
                  <c:v>1.1933842239185751E-3</c:v>
                </c:pt>
                <c:pt idx="4">
                  <c:v>0</c:v>
                </c:pt>
                <c:pt idx="5">
                  <c:v>1.0610859728506787E-3</c:v>
                </c:pt>
                <c:pt idx="6">
                  <c:v>0</c:v>
                </c:pt>
                <c:pt idx="7">
                  <c:v>1E-3</c:v>
                </c:pt>
                <c:pt idx="8">
                  <c:v>1E-3</c:v>
                </c:pt>
                <c:pt idx="9">
                  <c:v>1E-3</c:v>
                </c:pt>
                <c:pt idx="10">
                  <c:v>1E-3</c:v>
                </c:pt>
                <c:pt idx="11">
                  <c:v>1E-3</c:v>
                </c:pt>
                <c:pt idx="12">
                  <c:v>1E-3</c:v>
                </c:pt>
                <c:pt idx="13">
                  <c:v>1E-3</c:v>
                </c:pt>
                <c:pt idx="14">
                  <c:v>1E-3</c:v>
                </c:pt>
                <c:pt idx="15">
                  <c:v>1E-3</c:v>
                </c:pt>
                <c:pt idx="16">
                  <c:v>1E-3</c:v>
                </c:pt>
                <c:pt idx="17">
                  <c:v>1E-3</c:v>
                </c:pt>
              </c:numCache>
            </c:numRef>
          </c:val>
          <c:extLst>
            <c:ext xmlns:c16="http://schemas.microsoft.com/office/drawing/2014/chart" uri="{C3380CC4-5D6E-409C-BE32-E72D297353CC}">
              <c16:uniqueId val="{00000004-E7F5-4213-B5E5-D5C6C2DB5C0B}"/>
            </c:ext>
          </c:extLst>
        </c:ser>
        <c:ser>
          <c:idx val="5"/>
          <c:order val="5"/>
          <c:tx>
            <c:strRef>
              <c:f>'Dashboard data'!$B$63</c:f>
              <c:strCache>
                <c:ptCount val="1"/>
                <c:pt idx="0">
                  <c:v>Licence Fees</c:v>
                </c:pt>
              </c:strCache>
            </c:strRef>
          </c:tx>
          <c:invertIfNegative val="0"/>
          <c:cat>
            <c:strRef>
              <c:f>'Dashboard data'!$C$57:$T$57</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data'!$C$63:$T$63</c:f>
              <c:numCache>
                <c:formatCode>0.00</c:formatCode>
                <c:ptCount val="18"/>
                <c:pt idx="0">
                  <c:v>0.16869005328596803</c:v>
                </c:pt>
                <c:pt idx="1">
                  <c:v>0.15414110429447853</c:v>
                </c:pt>
                <c:pt idx="2">
                  <c:v>0.17255660377358487</c:v>
                </c:pt>
                <c:pt idx="3">
                  <c:v>0.15155979643765902</c:v>
                </c:pt>
                <c:pt idx="4">
                  <c:v>0.14422033898305084</c:v>
                </c:pt>
                <c:pt idx="5">
                  <c:v>0.13581900452488688</c:v>
                </c:pt>
                <c:pt idx="6">
                  <c:v>0.16486681222707422</c:v>
                </c:pt>
                <c:pt idx="7">
                  <c:v>6.2E-2</c:v>
                </c:pt>
                <c:pt idx="8">
                  <c:v>6.2E-2</c:v>
                </c:pt>
                <c:pt idx="9">
                  <c:v>6.2E-2</c:v>
                </c:pt>
                <c:pt idx="10">
                  <c:v>6.2E-2</c:v>
                </c:pt>
                <c:pt idx="11">
                  <c:v>6.2E-2</c:v>
                </c:pt>
                <c:pt idx="12">
                  <c:v>6.2E-2</c:v>
                </c:pt>
                <c:pt idx="13">
                  <c:v>6.2E-2</c:v>
                </c:pt>
                <c:pt idx="14">
                  <c:v>6.2E-2</c:v>
                </c:pt>
                <c:pt idx="15">
                  <c:v>6.2E-2</c:v>
                </c:pt>
                <c:pt idx="16">
                  <c:v>6.2E-2</c:v>
                </c:pt>
                <c:pt idx="17">
                  <c:v>6.2E-2</c:v>
                </c:pt>
              </c:numCache>
            </c:numRef>
          </c:val>
          <c:extLst>
            <c:ext xmlns:c16="http://schemas.microsoft.com/office/drawing/2014/chart" uri="{C3380CC4-5D6E-409C-BE32-E72D297353CC}">
              <c16:uniqueId val="{00000005-E7F5-4213-B5E5-D5C6C2DB5C0B}"/>
            </c:ext>
          </c:extLst>
        </c:ser>
        <c:ser>
          <c:idx val="6"/>
          <c:order val="6"/>
          <c:tx>
            <c:strRef>
              <c:f>'Dashboard data'!$B$64</c:f>
              <c:strCache>
                <c:ptCount val="1"/>
                <c:pt idx="0">
                  <c:v>Corporate</c:v>
                </c:pt>
              </c:strCache>
            </c:strRef>
          </c:tx>
          <c:invertIfNegative val="0"/>
          <c:cat>
            <c:strRef>
              <c:f>'Dashboard data'!$C$57:$T$57</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data'!$C$64:$T$64</c:f>
              <c:numCache>
                <c:formatCode>0.00</c:formatCode>
                <c:ptCount val="18"/>
                <c:pt idx="0">
                  <c:v>11.211015985790407</c:v>
                </c:pt>
                <c:pt idx="1">
                  <c:v>11.470564417177913</c:v>
                </c:pt>
                <c:pt idx="2">
                  <c:v>11.397182675814751</c:v>
                </c:pt>
                <c:pt idx="3">
                  <c:v>12.794272264631044</c:v>
                </c:pt>
                <c:pt idx="4">
                  <c:v>13.502203389830507</c:v>
                </c:pt>
                <c:pt idx="5">
                  <c:v>14.514595022624432</c:v>
                </c:pt>
                <c:pt idx="6">
                  <c:v>14.545656113537115</c:v>
                </c:pt>
                <c:pt idx="7">
                  <c:v>13.679</c:v>
                </c:pt>
                <c:pt idx="8">
                  <c:v>15.493820000000001</c:v>
                </c:pt>
                <c:pt idx="9">
                  <c:v>16.340454000000001</c:v>
                </c:pt>
                <c:pt idx="10">
                  <c:v>15.608001</c:v>
                </c:pt>
                <c:pt idx="11">
                  <c:v>16.170151000000001</c:v>
                </c:pt>
                <c:pt idx="12">
                  <c:v>15.919926999999999</c:v>
                </c:pt>
                <c:pt idx="13">
                  <c:v>16.375215000000001</c:v>
                </c:pt>
                <c:pt idx="14">
                  <c:v>16.843055</c:v>
                </c:pt>
                <c:pt idx="15">
                  <c:v>17.323453000000001</c:v>
                </c:pt>
                <c:pt idx="16">
                  <c:v>17.816694999999999</c:v>
                </c:pt>
                <c:pt idx="17">
                  <c:v>18.323084999999999</c:v>
                </c:pt>
              </c:numCache>
            </c:numRef>
          </c:val>
          <c:extLst>
            <c:ext xmlns:c16="http://schemas.microsoft.com/office/drawing/2014/chart" uri="{C3380CC4-5D6E-409C-BE32-E72D297353CC}">
              <c16:uniqueId val="{00000006-E7F5-4213-B5E5-D5C6C2DB5C0B}"/>
            </c:ext>
          </c:extLst>
        </c:ser>
        <c:ser>
          <c:idx val="7"/>
          <c:order val="7"/>
          <c:tx>
            <c:strRef>
              <c:f>'Dashboard data'!$B$65</c:f>
              <c:strCache>
                <c:ptCount val="1"/>
                <c:pt idx="0">
                  <c:v>Other operating expenditure</c:v>
                </c:pt>
              </c:strCache>
            </c:strRef>
          </c:tx>
          <c:invertIfNegative val="0"/>
          <c:cat>
            <c:strRef>
              <c:f>'Dashboard data'!$C$57:$T$57</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data'!$C$65:$T$65</c:f>
              <c:numCache>
                <c:formatCode>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7-E7F5-4213-B5E5-D5C6C2DB5C0B}"/>
            </c:ext>
          </c:extLst>
        </c:ser>
        <c:dLbls>
          <c:showLegendKey val="0"/>
          <c:showVal val="0"/>
          <c:showCatName val="0"/>
          <c:showSerName val="0"/>
          <c:showPercent val="0"/>
          <c:showBubbleSize val="0"/>
        </c:dLbls>
        <c:gapWidth val="75"/>
        <c:overlap val="100"/>
        <c:axId val="198574080"/>
        <c:axId val="198575616"/>
      </c:barChart>
      <c:catAx>
        <c:axId val="198574080"/>
        <c:scaling>
          <c:orientation val="minMax"/>
        </c:scaling>
        <c:delete val="0"/>
        <c:axPos val="b"/>
        <c:numFmt formatCode="General" sourceLinked="0"/>
        <c:majorTickMark val="none"/>
        <c:minorTickMark val="none"/>
        <c:tickLblPos val="nextTo"/>
        <c:txPr>
          <a:bodyPr rot="-5400000" vert="horz"/>
          <a:lstStyle/>
          <a:p>
            <a:pPr>
              <a:defRPr/>
            </a:pPr>
            <a:endParaRPr lang="en-US"/>
          </a:p>
        </c:txPr>
        <c:crossAx val="198575616"/>
        <c:crosses val="autoZero"/>
        <c:auto val="1"/>
        <c:lblAlgn val="ctr"/>
        <c:lblOffset val="100"/>
        <c:noMultiLvlLbl val="0"/>
      </c:catAx>
      <c:valAx>
        <c:axId val="198575616"/>
        <c:scaling>
          <c:orientation val="minMax"/>
        </c:scaling>
        <c:delete val="0"/>
        <c:axPos val="l"/>
        <c:majorGridlines/>
        <c:numFmt formatCode="0.0" sourceLinked="0"/>
        <c:majorTickMark val="none"/>
        <c:minorTickMark val="none"/>
        <c:tickLblPos val="nextTo"/>
        <c:spPr>
          <a:ln w="9525">
            <a:noFill/>
          </a:ln>
        </c:spPr>
        <c:crossAx val="198574080"/>
        <c:crosses val="autoZero"/>
        <c:crossBetween val="between"/>
      </c:valAx>
    </c:plotArea>
    <c:legend>
      <c:legendPos val="b"/>
      <c:layout>
        <c:manualLayout>
          <c:xMode val="edge"/>
          <c:yMode val="edge"/>
          <c:x val="0"/>
          <c:y val="0.83423429108006164"/>
          <c:w val="1"/>
          <c:h val="0.16225099124724598"/>
        </c:manualLayout>
      </c:layout>
      <c:overlay val="0"/>
      <c:txPr>
        <a:bodyPr/>
        <a:lstStyle/>
        <a:p>
          <a:pPr>
            <a:defRPr sz="1050"/>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a:t>
            </a:r>
            <a:r>
              <a:rPr lang="en-AU" baseline="0"/>
              <a:t> operating expenditure by cost category - Sewerage ($m)</a:t>
            </a:r>
            <a:endParaRPr lang="en-AU"/>
          </a:p>
        </c:rich>
      </c:tx>
      <c:overlay val="0"/>
    </c:title>
    <c:autoTitleDeleted val="0"/>
    <c:plotArea>
      <c:layout>
        <c:manualLayout>
          <c:layoutTarget val="inner"/>
          <c:xMode val="edge"/>
          <c:yMode val="edge"/>
          <c:x val="5.4582280922600569E-2"/>
          <c:y val="0.17245864656178803"/>
          <c:w val="0.92396382046480785"/>
          <c:h val="0.53314264032722658"/>
        </c:manualLayout>
      </c:layout>
      <c:barChart>
        <c:barDir val="col"/>
        <c:grouping val="stacked"/>
        <c:varyColors val="0"/>
        <c:ser>
          <c:idx val="0"/>
          <c:order val="0"/>
          <c:tx>
            <c:strRef>
              <c:f>'Dashboard data'!$B$69</c:f>
              <c:strCache>
                <c:ptCount val="1"/>
                <c:pt idx="0">
                  <c:v>Operations &amp; Maintenance</c:v>
                </c:pt>
              </c:strCache>
            </c:strRef>
          </c:tx>
          <c:invertIfNegative val="0"/>
          <c:cat>
            <c:strRef>
              <c:f>'Dashboard data'!$C$68:$T$68</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data'!$C$69:$T$69</c:f>
              <c:numCache>
                <c:formatCode>0.00</c:formatCode>
                <c:ptCount val="18"/>
                <c:pt idx="0">
                  <c:v>4.0310674955595021</c:v>
                </c:pt>
                <c:pt idx="1">
                  <c:v>3.965742331288344</c:v>
                </c:pt>
                <c:pt idx="2">
                  <c:v>4.2041063464837043</c:v>
                </c:pt>
                <c:pt idx="3">
                  <c:v>4.3105038167938927</c:v>
                </c:pt>
                <c:pt idx="4">
                  <c:v>4.2664237288135594</c:v>
                </c:pt>
                <c:pt idx="5">
                  <c:v>4.3133144796380094</c:v>
                </c:pt>
                <c:pt idx="6">
                  <c:v>3.8666899563318777</c:v>
                </c:pt>
                <c:pt idx="7">
                  <c:v>3.9049999999999998</c:v>
                </c:pt>
                <c:pt idx="8">
                  <c:v>3.9049999999999998</c:v>
                </c:pt>
                <c:pt idx="9">
                  <c:v>3.9049999999999998</c:v>
                </c:pt>
                <c:pt idx="10">
                  <c:v>3.9049999999999998</c:v>
                </c:pt>
                <c:pt idx="11">
                  <c:v>3.9049999999999998</c:v>
                </c:pt>
                <c:pt idx="12">
                  <c:v>3.9049999999999998</c:v>
                </c:pt>
                <c:pt idx="13">
                  <c:v>3.9049999999999998</c:v>
                </c:pt>
                <c:pt idx="14">
                  <c:v>3.9049999999999998</c:v>
                </c:pt>
                <c:pt idx="15">
                  <c:v>3.9049999999999998</c:v>
                </c:pt>
                <c:pt idx="16">
                  <c:v>3.9049999999999998</c:v>
                </c:pt>
                <c:pt idx="17">
                  <c:v>3.9049999999999998</c:v>
                </c:pt>
              </c:numCache>
            </c:numRef>
          </c:val>
          <c:extLst>
            <c:ext xmlns:c16="http://schemas.microsoft.com/office/drawing/2014/chart" uri="{C3380CC4-5D6E-409C-BE32-E72D297353CC}">
              <c16:uniqueId val="{00000000-4001-47A5-8145-6725A6E24A37}"/>
            </c:ext>
          </c:extLst>
        </c:ser>
        <c:ser>
          <c:idx val="1"/>
          <c:order val="1"/>
          <c:tx>
            <c:strRef>
              <c:f>'Dashboard data'!$B$70</c:f>
              <c:strCache>
                <c:ptCount val="1"/>
                <c:pt idx="0">
                  <c:v>External bulk charges (excl. temporary purchases)</c:v>
                </c:pt>
              </c:strCache>
            </c:strRef>
          </c:tx>
          <c:spPr>
            <a:solidFill>
              <a:schemeClr val="accent6">
                <a:lumMod val="60000"/>
                <a:lumOff val="40000"/>
              </a:schemeClr>
            </a:solidFill>
          </c:spPr>
          <c:invertIfNegative val="0"/>
          <c:cat>
            <c:strRef>
              <c:f>'Dashboard data'!$C$68:$T$68</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data'!$C$70:$T$70</c:f>
              <c:numCache>
                <c:formatCode>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4001-47A5-8145-6725A6E24A37}"/>
            </c:ext>
          </c:extLst>
        </c:ser>
        <c:ser>
          <c:idx val="2"/>
          <c:order val="2"/>
          <c:tx>
            <c:strRef>
              <c:f>'Dashboard data'!$B$71</c:f>
              <c:strCache>
                <c:ptCount val="1"/>
                <c:pt idx="0">
                  <c:v>Treatment</c:v>
                </c:pt>
              </c:strCache>
            </c:strRef>
          </c:tx>
          <c:spPr>
            <a:solidFill>
              <a:schemeClr val="tx2">
                <a:lumMod val="40000"/>
                <a:lumOff val="60000"/>
              </a:schemeClr>
            </a:solidFill>
          </c:spPr>
          <c:invertIfNegative val="0"/>
          <c:cat>
            <c:strRef>
              <c:f>'Dashboard data'!$C$68:$T$68</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data'!$C$71:$T$71</c:f>
              <c:numCache>
                <c:formatCode>0.00</c:formatCode>
                <c:ptCount val="18"/>
                <c:pt idx="0">
                  <c:v>5.9816243339253994</c:v>
                </c:pt>
                <c:pt idx="1">
                  <c:v>9.8083067484662578</c:v>
                </c:pt>
                <c:pt idx="2">
                  <c:v>7.5140557461406514</c:v>
                </c:pt>
                <c:pt idx="3">
                  <c:v>7.1185368956742998</c:v>
                </c:pt>
                <c:pt idx="4">
                  <c:v>8.8156101694915243</c:v>
                </c:pt>
                <c:pt idx="5">
                  <c:v>7.3925859728506786</c:v>
                </c:pt>
                <c:pt idx="6">
                  <c:v>7.0431921397379904</c:v>
                </c:pt>
                <c:pt idx="7">
                  <c:v>6.9859999999999998</c:v>
                </c:pt>
                <c:pt idx="8">
                  <c:v>7.7430000000000003</c:v>
                </c:pt>
                <c:pt idx="9">
                  <c:v>7.7530000000000001</c:v>
                </c:pt>
                <c:pt idx="10">
                  <c:v>7.7640000000000002</c:v>
                </c:pt>
                <c:pt idx="11">
                  <c:v>7.7750000000000004</c:v>
                </c:pt>
                <c:pt idx="12">
                  <c:v>7.7860000000000005</c:v>
                </c:pt>
                <c:pt idx="13">
                  <c:v>7.7860000000000005</c:v>
                </c:pt>
                <c:pt idx="14">
                  <c:v>7.7860000000000005</c:v>
                </c:pt>
                <c:pt idx="15">
                  <c:v>7.7860000000000005</c:v>
                </c:pt>
                <c:pt idx="16">
                  <c:v>7.7860000000000005</c:v>
                </c:pt>
                <c:pt idx="17">
                  <c:v>7.7860000000000005</c:v>
                </c:pt>
              </c:numCache>
            </c:numRef>
          </c:val>
          <c:extLst>
            <c:ext xmlns:c16="http://schemas.microsoft.com/office/drawing/2014/chart" uri="{C3380CC4-5D6E-409C-BE32-E72D297353CC}">
              <c16:uniqueId val="{00000002-4001-47A5-8145-6725A6E24A37}"/>
            </c:ext>
          </c:extLst>
        </c:ser>
        <c:ser>
          <c:idx val="3"/>
          <c:order val="3"/>
          <c:tx>
            <c:strRef>
              <c:f>'Dashboard data'!$B$72</c:f>
              <c:strCache>
                <c:ptCount val="1"/>
                <c:pt idx="0">
                  <c:v>Customer Service and billing</c:v>
                </c:pt>
              </c:strCache>
            </c:strRef>
          </c:tx>
          <c:spPr>
            <a:solidFill>
              <a:schemeClr val="tx2">
                <a:lumMod val="75000"/>
              </a:schemeClr>
            </a:solidFill>
          </c:spPr>
          <c:invertIfNegative val="0"/>
          <c:cat>
            <c:strRef>
              <c:f>'Dashboard data'!$C$68:$T$68</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data'!$C$72:$T$72</c:f>
              <c:numCache>
                <c:formatCode>0.00</c:formatCode>
                <c:ptCount val="18"/>
                <c:pt idx="0">
                  <c:v>1.9255657193605682</c:v>
                </c:pt>
                <c:pt idx="1">
                  <c:v>2.4563926380368097</c:v>
                </c:pt>
                <c:pt idx="2">
                  <c:v>2.1985883361921097</c:v>
                </c:pt>
                <c:pt idx="3">
                  <c:v>1.9607302798982185</c:v>
                </c:pt>
                <c:pt idx="4">
                  <c:v>2.4324406779661012</c:v>
                </c:pt>
                <c:pt idx="5">
                  <c:v>2.2484411764705885</c:v>
                </c:pt>
                <c:pt idx="6">
                  <c:v>2.3101834061135365</c:v>
                </c:pt>
                <c:pt idx="7">
                  <c:v>2.3239999999999998</c:v>
                </c:pt>
                <c:pt idx="8">
                  <c:v>2.3239999999999998</c:v>
                </c:pt>
                <c:pt idx="9">
                  <c:v>2.3239999999999998</c:v>
                </c:pt>
                <c:pt idx="10">
                  <c:v>2.3239999999999998</c:v>
                </c:pt>
                <c:pt idx="11">
                  <c:v>2.3239999999999998</c:v>
                </c:pt>
                <c:pt idx="12">
                  <c:v>2.3239999999999998</c:v>
                </c:pt>
                <c:pt idx="13">
                  <c:v>2.3239999999999998</c:v>
                </c:pt>
                <c:pt idx="14">
                  <c:v>2.3239999999999998</c:v>
                </c:pt>
                <c:pt idx="15">
                  <c:v>2.3239999999999998</c:v>
                </c:pt>
                <c:pt idx="16">
                  <c:v>2.3239999999999998</c:v>
                </c:pt>
                <c:pt idx="17">
                  <c:v>2.3239999999999998</c:v>
                </c:pt>
              </c:numCache>
            </c:numRef>
          </c:val>
          <c:extLst>
            <c:ext xmlns:c16="http://schemas.microsoft.com/office/drawing/2014/chart" uri="{C3380CC4-5D6E-409C-BE32-E72D297353CC}">
              <c16:uniqueId val="{00000003-4001-47A5-8145-6725A6E24A37}"/>
            </c:ext>
          </c:extLst>
        </c:ser>
        <c:ser>
          <c:idx val="4"/>
          <c:order val="4"/>
          <c:tx>
            <c:strRef>
              <c:f>'Dashboard data'!$B$73</c:f>
              <c:strCache>
                <c:ptCount val="1"/>
                <c:pt idx="0">
                  <c:v>GSL Payments</c:v>
                </c:pt>
              </c:strCache>
            </c:strRef>
          </c:tx>
          <c:spPr>
            <a:solidFill>
              <a:schemeClr val="accent5">
                <a:lumMod val="40000"/>
                <a:lumOff val="60000"/>
              </a:schemeClr>
            </a:solidFill>
          </c:spPr>
          <c:invertIfNegative val="0"/>
          <c:cat>
            <c:strRef>
              <c:f>'Dashboard data'!$C$68:$T$68</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data'!$C$73:$T$73</c:f>
              <c:numCache>
                <c:formatCode>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4001-47A5-8145-6725A6E24A37}"/>
            </c:ext>
          </c:extLst>
        </c:ser>
        <c:ser>
          <c:idx val="5"/>
          <c:order val="5"/>
          <c:tx>
            <c:strRef>
              <c:f>'Dashboard data'!$B$74</c:f>
              <c:strCache>
                <c:ptCount val="1"/>
                <c:pt idx="0">
                  <c:v>Licence Fees</c:v>
                </c:pt>
              </c:strCache>
            </c:strRef>
          </c:tx>
          <c:invertIfNegative val="0"/>
          <c:cat>
            <c:strRef>
              <c:f>'Dashboard data'!$C$68:$T$68</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data'!$C$74:$T$74</c:f>
              <c:numCache>
                <c:formatCode>0.00</c:formatCode>
                <c:ptCount val="18"/>
                <c:pt idx="0">
                  <c:v>0.21242451154529307</c:v>
                </c:pt>
                <c:pt idx="1">
                  <c:v>0.24415950920245399</c:v>
                </c:pt>
                <c:pt idx="2">
                  <c:v>0.22323756432246997</c:v>
                </c:pt>
                <c:pt idx="3">
                  <c:v>0.24106361323155218</c:v>
                </c:pt>
                <c:pt idx="4">
                  <c:v>0.15671186440677964</c:v>
                </c:pt>
                <c:pt idx="5">
                  <c:v>0.14961312217194569</c:v>
                </c:pt>
                <c:pt idx="6">
                  <c:v>0.23757205240174673</c:v>
                </c:pt>
                <c:pt idx="7">
                  <c:v>0.185</c:v>
                </c:pt>
                <c:pt idx="8">
                  <c:v>0.185</c:v>
                </c:pt>
                <c:pt idx="9">
                  <c:v>0.185</c:v>
                </c:pt>
                <c:pt idx="10">
                  <c:v>0.185</c:v>
                </c:pt>
                <c:pt idx="11">
                  <c:v>0.185</c:v>
                </c:pt>
                <c:pt idx="12">
                  <c:v>0.185</c:v>
                </c:pt>
                <c:pt idx="13">
                  <c:v>0.185</c:v>
                </c:pt>
                <c:pt idx="14">
                  <c:v>0.185</c:v>
                </c:pt>
                <c:pt idx="15">
                  <c:v>0.185</c:v>
                </c:pt>
                <c:pt idx="16">
                  <c:v>0.185</c:v>
                </c:pt>
                <c:pt idx="17">
                  <c:v>0.185</c:v>
                </c:pt>
              </c:numCache>
            </c:numRef>
          </c:val>
          <c:extLst>
            <c:ext xmlns:c16="http://schemas.microsoft.com/office/drawing/2014/chart" uri="{C3380CC4-5D6E-409C-BE32-E72D297353CC}">
              <c16:uniqueId val="{00000005-4001-47A5-8145-6725A6E24A37}"/>
            </c:ext>
          </c:extLst>
        </c:ser>
        <c:ser>
          <c:idx val="6"/>
          <c:order val="6"/>
          <c:tx>
            <c:strRef>
              <c:f>'Dashboard data'!$B$75</c:f>
              <c:strCache>
                <c:ptCount val="1"/>
                <c:pt idx="0">
                  <c:v>Corporate</c:v>
                </c:pt>
              </c:strCache>
            </c:strRef>
          </c:tx>
          <c:invertIfNegative val="0"/>
          <c:cat>
            <c:strRef>
              <c:f>'Dashboard data'!$C$68:$T$68</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data'!$C$75:$T$75</c:f>
              <c:numCache>
                <c:formatCode>0.00</c:formatCode>
                <c:ptCount val="18"/>
                <c:pt idx="0">
                  <c:v>7.8134733570159849</c:v>
                </c:pt>
                <c:pt idx="1">
                  <c:v>7.9931411042944784</c:v>
                </c:pt>
                <c:pt idx="2">
                  <c:v>7.9436372212692961</c:v>
                </c:pt>
                <c:pt idx="3">
                  <c:v>8.9121933842239187</c:v>
                </c:pt>
                <c:pt idx="4">
                  <c:v>9.0881525423728799</c:v>
                </c:pt>
                <c:pt idx="5">
                  <c:v>9.4415429864253397</c:v>
                </c:pt>
                <c:pt idx="6">
                  <c:v>9.9027609170305677</c:v>
                </c:pt>
                <c:pt idx="7">
                  <c:v>9.4740000000000002</c:v>
                </c:pt>
                <c:pt idx="8">
                  <c:v>9.4740000000000002</c:v>
                </c:pt>
                <c:pt idx="9">
                  <c:v>9.4740000000000002</c:v>
                </c:pt>
                <c:pt idx="10">
                  <c:v>9.4740000000000002</c:v>
                </c:pt>
                <c:pt idx="11">
                  <c:v>9.4740000000000002</c:v>
                </c:pt>
                <c:pt idx="12">
                  <c:v>9.4740000000000002</c:v>
                </c:pt>
                <c:pt idx="13">
                  <c:v>9.8740000000000006</c:v>
                </c:pt>
                <c:pt idx="14">
                  <c:v>10.274000000000001</c:v>
                </c:pt>
                <c:pt idx="15">
                  <c:v>10.674000000000001</c:v>
                </c:pt>
                <c:pt idx="16">
                  <c:v>11.074000000000002</c:v>
                </c:pt>
                <c:pt idx="17">
                  <c:v>11.474000000000002</c:v>
                </c:pt>
              </c:numCache>
            </c:numRef>
          </c:val>
          <c:extLst>
            <c:ext xmlns:c16="http://schemas.microsoft.com/office/drawing/2014/chart" uri="{C3380CC4-5D6E-409C-BE32-E72D297353CC}">
              <c16:uniqueId val="{00000006-4001-47A5-8145-6725A6E24A37}"/>
            </c:ext>
          </c:extLst>
        </c:ser>
        <c:ser>
          <c:idx val="7"/>
          <c:order val="7"/>
          <c:tx>
            <c:strRef>
              <c:f>'Dashboard data'!$B$76</c:f>
              <c:strCache>
                <c:ptCount val="1"/>
                <c:pt idx="0">
                  <c:v>Other operating expenditure</c:v>
                </c:pt>
              </c:strCache>
            </c:strRef>
          </c:tx>
          <c:invertIfNegative val="0"/>
          <c:cat>
            <c:strRef>
              <c:f>'Dashboard data'!$C$68:$T$68</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data'!$C$76:$T$76</c:f>
              <c:numCache>
                <c:formatCode>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7-4001-47A5-8145-6725A6E24A37}"/>
            </c:ext>
          </c:extLst>
        </c:ser>
        <c:dLbls>
          <c:showLegendKey val="0"/>
          <c:showVal val="0"/>
          <c:showCatName val="0"/>
          <c:showSerName val="0"/>
          <c:showPercent val="0"/>
          <c:showBubbleSize val="0"/>
        </c:dLbls>
        <c:gapWidth val="75"/>
        <c:overlap val="100"/>
        <c:axId val="198614016"/>
        <c:axId val="198624000"/>
      </c:barChart>
      <c:catAx>
        <c:axId val="198614016"/>
        <c:scaling>
          <c:orientation val="minMax"/>
        </c:scaling>
        <c:delete val="0"/>
        <c:axPos val="b"/>
        <c:numFmt formatCode="General" sourceLinked="0"/>
        <c:majorTickMark val="none"/>
        <c:minorTickMark val="none"/>
        <c:tickLblPos val="nextTo"/>
        <c:txPr>
          <a:bodyPr rot="-5400000" vert="horz"/>
          <a:lstStyle/>
          <a:p>
            <a:pPr>
              <a:defRPr sz="1100"/>
            </a:pPr>
            <a:endParaRPr lang="en-US"/>
          </a:p>
        </c:txPr>
        <c:crossAx val="198624000"/>
        <c:crosses val="autoZero"/>
        <c:auto val="1"/>
        <c:lblAlgn val="ctr"/>
        <c:lblOffset val="100"/>
        <c:noMultiLvlLbl val="0"/>
      </c:catAx>
      <c:valAx>
        <c:axId val="198624000"/>
        <c:scaling>
          <c:orientation val="minMax"/>
        </c:scaling>
        <c:delete val="0"/>
        <c:axPos val="l"/>
        <c:majorGridlines/>
        <c:numFmt formatCode="0.0" sourceLinked="0"/>
        <c:majorTickMark val="none"/>
        <c:minorTickMark val="none"/>
        <c:tickLblPos val="nextTo"/>
        <c:spPr>
          <a:ln w="9525">
            <a:noFill/>
          </a:ln>
        </c:spPr>
        <c:crossAx val="198614016"/>
        <c:crosses val="autoZero"/>
        <c:crossBetween val="between"/>
      </c:valAx>
    </c:plotArea>
    <c:legend>
      <c:legendPos val="b"/>
      <c:layout>
        <c:manualLayout>
          <c:xMode val="edge"/>
          <c:yMode val="edge"/>
          <c:x val="0"/>
          <c:y val="0.84640248378017102"/>
          <c:w val="0.99462347179365185"/>
          <c:h val="0.15359751621982881"/>
        </c:manualLayout>
      </c:layout>
      <c:overlay val="0"/>
      <c:txPr>
        <a:bodyPr/>
        <a:lstStyle/>
        <a:p>
          <a:pPr>
            <a:defRPr sz="1050"/>
          </a:pPr>
          <a:endParaRPr lang="en-US"/>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Controllable opex per water connection</a:t>
            </a:r>
          </a:p>
        </c:rich>
      </c:tx>
      <c:overlay val="0"/>
    </c:title>
    <c:autoTitleDeleted val="0"/>
    <c:plotArea>
      <c:layout/>
      <c:lineChart>
        <c:grouping val="standard"/>
        <c:varyColors val="0"/>
        <c:ser>
          <c:idx val="0"/>
          <c:order val="0"/>
          <c:tx>
            <c:strRef>
              <c:f>'Dashboard data'!$B$80</c:f>
              <c:strCache>
                <c:ptCount val="1"/>
                <c:pt idx="0">
                  <c:v>Controllable opex per water connections</c:v>
                </c:pt>
              </c:strCache>
            </c:strRef>
          </c:tx>
          <c:marker>
            <c:symbol val="none"/>
          </c:marker>
          <c:cat>
            <c:strRef>
              <c:f>'Dashboard data'!$C$79:$T$79</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data'!$C$80:$T$80</c:f>
              <c:numCache>
                <c:formatCode>0.00</c:formatCode>
                <c:ptCount val="18"/>
                <c:pt idx="0">
                  <c:v>925.2484952697921</c:v>
                </c:pt>
                <c:pt idx="1">
                  <c:v>1010.5400372309426</c:v>
                </c:pt>
                <c:pt idx="2">
                  <c:v>937.13549484277064</c:v>
                </c:pt>
                <c:pt idx="3">
                  <c:v>954.19665835429566</c:v>
                </c:pt>
                <c:pt idx="4">
                  <c:v>1051.7894690361277</c:v>
                </c:pt>
                <c:pt idx="5">
                  <c:v>1024.470062053771</c:v>
                </c:pt>
                <c:pt idx="6">
                  <c:v>1011.9829009671422</c:v>
                </c:pt>
                <c:pt idx="7">
                  <c:v>952.17639762930719</c:v>
                </c:pt>
                <c:pt idx="8">
                  <c:v>971.4699456393771</c:v>
                </c:pt>
                <c:pt idx="9">
                  <c:v>971.26630346126524</c:v>
                </c:pt>
                <c:pt idx="10">
                  <c:v>948.60075514939535</c:v>
                </c:pt>
                <c:pt idx="11">
                  <c:v>949.27200943863647</c:v>
                </c:pt>
                <c:pt idx="12">
                  <c:v>936.94507961442503</c:v>
                </c:pt>
                <c:pt idx="13">
                  <c:v>937.03769849660694</c:v>
                </c:pt>
                <c:pt idx="14">
                  <c:v>937.12999823509983</c:v>
                </c:pt>
                <c:pt idx="15">
                  <c:v>937.21923575827589</c:v>
                </c:pt>
                <c:pt idx="16">
                  <c:v>937.30704007028919</c:v>
                </c:pt>
                <c:pt idx="17">
                  <c:v>937.39517854060193</c:v>
                </c:pt>
              </c:numCache>
            </c:numRef>
          </c:val>
          <c:smooth val="1"/>
          <c:extLst>
            <c:ext xmlns:c16="http://schemas.microsoft.com/office/drawing/2014/chart" uri="{C3380CC4-5D6E-409C-BE32-E72D297353CC}">
              <c16:uniqueId val="{00000000-609E-4EF8-84A4-0FF532C94FEC}"/>
            </c:ext>
          </c:extLst>
        </c:ser>
        <c:dLbls>
          <c:showLegendKey val="0"/>
          <c:showVal val="0"/>
          <c:showCatName val="0"/>
          <c:showSerName val="0"/>
          <c:showPercent val="0"/>
          <c:showBubbleSize val="0"/>
        </c:dLbls>
        <c:smooth val="0"/>
        <c:axId val="199296896"/>
        <c:axId val="199298432"/>
      </c:lineChart>
      <c:catAx>
        <c:axId val="199296896"/>
        <c:scaling>
          <c:orientation val="minMax"/>
        </c:scaling>
        <c:delete val="0"/>
        <c:axPos val="b"/>
        <c:numFmt formatCode="General" sourceLinked="0"/>
        <c:majorTickMark val="none"/>
        <c:minorTickMark val="none"/>
        <c:tickLblPos val="nextTo"/>
        <c:txPr>
          <a:bodyPr rot="-5400000" vert="horz"/>
          <a:lstStyle/>
          <a:p>
            <a:pPr>
              <a:defRPr sz="1100"/>
            </a:pPr>
            <a:endParaRPr lang="en-US"/>
          </a:p>
        </c:txPr>
        <c:crossAx val="199298432"/>
        <c:crosses val="autoZero"/>
        <c:auto val="1"/>
        <c:lblAlgn val="ctr"/>
        <c:lblOffset val="100"/>
        <c:noMultiLvlLbl val="0"/>
      </c:catAx>
      <c:valAx>
        <c:axId val="199298432"/>
        <c:scaling>
          <c:orientation val="minMax"/>
          <c:min val="200"/>
        </c:scaling>
        <c:delete val="0"/>
        <c:axPos val="l"/>
        <c:majorGridlines/>
        <c:numFmt formatCode="0.0" sourceLinked="0"/>
        <c:majorTickMark val="none"/>
        <c:minorTickMark val="none"/>
        <c:tickLblPos val="nextTo"/>
        <c:spPr>
          <a:ln w="9525">
            <a:noFill/>
          </a:ln>
        </c:spPr>
        <c:crossAx val="19929689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Controllable water opex per water connection</a:t>
            </a:r>
          </a:p>
        </c:rich>
      </c:tx>
      <c:overlay val="0"/>
    </c:title>
    <c:autoTitleDeleted val="0"/>
    <c:plotArea>
      <c:layout/>
      <c:lineChart>
        <c:grouping val="standard"/>
        <c:varyColors val="0"/>
        <c:ser>
          <c:idx val="0"/>
          <c:order val="0"/>
          <c:tx>
            <c:strRef>
              <c:f>'Dashboard data'!$B$83</c:f>
              <c:strCache>
                <c:ptCount val="1"/>
                <c:pt idx="0">
                  <c:v>Controllable water opex per water connections</c:v>
                </c:pt>
              </c:strCache>
            </c:strRef>
          </c:tx>
          <c:marker>
            <c:symbol val="none"/>
          </c:marker>
          <c:cat>
            <c:strRef>
              <c:f>'Dashboard data'!$C$82:$T$82</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data'!$C$83:$T$83</c:f>
              <c:numCache>
                <c:formatCode>0.00</c:formatCode>
                <c:ptCount val="18"/>
                <c:pt idx="0">
                  <c:v>544.84422537280147</c:v>
                </c:pt>
                <c:pt idx="1">
                  <c:v>550.95055533886216</c:v>
                </c:pt>
                <c:pt idx="2">
                  <c:v>530.74060257295298</c:v>
                </c:pt>
                <c:pt idx="3">
                  <c:v>546.31845548311662</c:v>
                </c:pt>
                <c:pt idx="4">
                  <c:v>606.67834572738639</c:v>
                </c:pt>
                <c:pt idx="5">
                  <c:v>607.45342095820365</c:v>
                </c:pt>
                <c:pt idx="6">
                  <c:v>605.78480840299687</c:v>
                </c:pt>
                <c:pt idx="7">
                  <c:v>559.3348097140555</c:v>
                </c:pt>
                <c:pt idx="8">
                  <c:v>571.36307845694262</c:v>
                </c:pt>
                <c:pt idx="9">
                  <c:v>576.74874229769011</c:v>
                </c:pt>
                <c:pt idx="10">
                  <c:v>559.57791327305381</c:v>
                </c:pt>
                <c:pt idx="11">
                  <c:v>565.66744237452679</c:v>
                </c:pt>
                <c:pt idx="12">
                  <c:v>558.68340515696048</c:v>
                </c:pt>
                <c:pt idx="13">
                  <c:v>557.87035548488495</c:v>
                </c:pt>
                <c:pt idx="14">
                  <c:v>557.16137807298549</c:v>
                </c:pt>
                <c:pt idx="15">
                  <c:v>556.5509130206492</c:v>
                </c:pt>
                <c:pt idx="16">
                  <c:v>556.03783195459152</c:v>
                </c:pt>
                <c:pt idx="17">
                  <c:v>555.62120319065889</c:v>
                </c:pt>
              </c:numCache>
            </c:numRef>
          </c:val>
          <c:smooth val="1"/>
          <c:extLst>
            <c:ext xmlns:c16="http://schemas.microsoft.com/office/drawing/2014/chart" uri="{C3380CC4-5D6E-409C-BE32-E72D297353CC}">
              <c16:uniqueId val="{00000000-B78C-4450-B38E-340A38E8CBE8}"/>
            </c:ext>
          </c:extLst>
        </c:ser>
        <c:dLbls>
          <c:showLegendKey val="0"/>
          <c:showVal val="0"/>
          <c:showCatName val="0"/>
          <c:showSerName val="0"/>
          <c:showPercent val="0"/>
          <c:showBubbleSize val="0"/>
        </c:dLbls>
        <c:smooth val="0"/>
        <c:axId val="199306624"/>
        <c:axId val="199324800"/>
      </c:lineChart>
      <c:catAx>
        <c:axId val="199306624"/>
        <c:scaling>
          <c:orientation val="minMax"/>
        </c:scaling>
        <c:delete val="0"/>
        <c:axPos val="b"/>
        <c:numFmt formatCode="General" sourceLinked="0"/>
        <c:majorTickMark val="none"/>
        <c:minorTickMark val="none"/>
        <c:tickLblPos val="nextTo"/>
        <c:txPr>
          <a:bodyPr rot="-5400000" vert="horz"/>
          <a:lstStyle/>
          <a:p>
            <a:pPr>
              <a:defRPr sz="1100"/>
            </a:pPr>
            <a:endParaRPr lang="en-US"/>
          </a:p>
        </c:txPr>
        <c:crossAx val="199324800"/>
        <c:crosses val="autoZero"/>
        <c:auto val="1"/>
        <c:lblAlgn val="ctr"/>
        <c:lblOffset val="100"/>
        <c:noMultiLvlLbl val="0"/>
      </c:catAx>
      <c:valAx>
        <c:axId val="199324800"/>
        <c:scaling>
          <c:orientation val="minMax"/>
        </c:scaling>
        <c:delete val="0"/>
        <c:axPos val="l"/>
        <c:majorGridlines/>
        <c:numFmt formatCode="0.0" sourceLinked="0"/>
        <c:majorTickMark val="none"/>
        <c:minorTickMark val="none"/>
        <c:tickLblPos val="nextTo"/>
        <c:spPr>
          <a:ln w="9525">
            <a:noFill/>
          </a:ln>
        </c:spPr>
        <c:crossAx val="19930662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Controllable sewerage opex per sewerage connection</a:t>
            </a:r>
          </a:p>
        </c:rich>
      </c:tx>
      <c:overlay val="0"/>
    </c:title>
    <c:autoTitleDeleted val="0"/>
    <c:plotArea>
      <c:layout/>
      <c:lineChart>
        <c:grouping val="standard"/>
        <c:varyColors val="0"/>
        <c:ser>
          <c:idx val="0"/>
          <c:order val="0"/>
          <c:tx>
            <c:strRef>
              <c:f>'Dashboard data'!$B$86</c:f>
              <c:strCache>
                <c:ptCount val="1"/>
                <c:pt idx="0">
                  <c:v>Controllable sewerage opex per sewerage connections</c:v>
                </c:pt>
              </c:strCache>
            </c:strRef>
          </c:tx>
          <c:marker>
            <c:symbol val="none"/>
          </c:marker>
          <c:cat>
            <c:strRef>
              <c:f>'Dashboard data'!$C$85:$T$85</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data'!$C$86:$T$86</c:f>
              <c:numCache>
                <c:formatCode>0.00</c:formatCode>
                <c:ptCount val="18"/>
                <c:pt idx="0">
                  <c:v>419.09929991855233</c:v>
                </c:pt>
                <c:pt idx="1">
                  <c:v>506.21881681195953</c:v>
                </c:pt>
                <c:pt idx="2">
                  <c:v>445.45762827741294</c:v>
                </c:pt>
                <c:pt idx="3">
                  <c:v>446.65567235966284</c:v>
                </c:pt>
                <c:pt idx="4">
                  <c:v>485.36422337477688</c:v>
                </c:pt>
                <c:pt idx="5">
                  <c:v>454.85427745906787</c:v>
                </c:pt>
                <c:pt idx="6">
                  <c:v>441.9415993427873</c:v>
                </c:pt>
                <c:pt idx="7">
                  <c:v>427.40978559422985</c:v>
                </c:pt>
                <c:pt idx="8">
                  <c:v>435.31437499971491</c:v>
                </c:pt>
                <c:pt idx="9">
                  <c:v>429.23323654434188</c:v>
                </c:pt>
                <c:pt idx="10">
                  <c:v>423.25500800463954</c:v>
                </c:pt>
                <c:pt idx="11">
                  <c:v>417.35995069139432</c:v>
                </c:pt>
                <c:pt idx="12">
                  <c:v>411.54690886051816</c:v>
                </c:pt>
                <c:pt idx="13">
                  <c:v>412.53227195470794</c:v>
                </c:pt>
                <c:pt idx="14">
                  <c:v>413.40405769630456</c:v>
                </c:pt>
                <c:pt idx="15">
                  <c:v>414.16533078189252</c:v>
                </c:pt>
                <c:pt idx="16">
                  <c:v>414.81909122505459</c:v>
                </c:pt>
                <c:pt idx="17">
                  <c:v>415.36827558333169</c:v>
                </c:pt>
              </c:numCache>
            </c:numRef>
          </c:val>
          <c:smooth val="1"/>
          <c:extLst>
            <c:ext xmlns:c16="http://schemas.microsoft.com/office/drawing/2014/chart" uri="{C3380CC4-5D6E-409C-BE32-E72D297353CC}">
              <c16:uniqueId val="{00000000-A8B3-47AE-8964-9AA282CDA557}"/>
            </c:ext>
          </c:extLst>
        </c:ser>
        <c:dLbls>
          <c:showLegendKey val="0"/>
          <c:showVal val="0"/>
          <c:showCatName val="0"/>
          <c:showSerName val="0"/>
          <c:showPercent val="0"/>
          <c:showBubbleSize val="0"/>
        </c:dLbls>
        <c:smooth val="0"/>
        <c:axId val="199353472"/>
        <c:axId val="199355008"/>
      </c:lineChart>
      <c:catAx>
        <c:axId val="199353472"/>
        <c:scaling>
          <c:orientation val="minMax"/>
        </c:scaling>
        <c:delete val="0"/>
        <c:axPos val="b"/>
        <c:numFmt formatCode="General" sourceLinked="0"/>
        <c:majorTickMark val="none"/>
        <c:minorTickMark val="none"/>
        <c:tickLblPos val="nextTo"/>
        <c:txPr>
          <a:bodyPr rot="-5400000" vert="horz"/>
          <a:lstStyle/>
          <a:p>
            <a:pPr>
              <a:defRPr sz="1100"/>
            </a:pPr>
            <a:endParaRPr lang="en-US"/>
          </a:p>
        </c:txPr>
        <c:crossAx val="199355008"/>
        <c:crosses val="autoZero"/>
        <c:auto val="1"/>
        <c:lblAlgn val="ctr"/>
        <c:lblOffset val="100"/>
        <c:noMultiLvlLbl val="0"/>
      </c:catAx>
      <c:valAx>
        <c:axId val="199355008"/>
        <c:scaling>
          <c:orientation val="minMax"/>
        </c:scaling>
        <c:delete val="0"/>
        <c:axPos val="l"/>
        <c:majorGridlines/>
        <c:numFmt formatCode="0.0" sourceLinked="0"/>
        <c:majorTickMark val="none"/>
        <c:minorTickMark val="none"/>
        <c:tickLblPos val="nextTo"/>
        <c:spPr>
          <a:ln w="9525">
            <a:noFill/>
          </a:ln>
        </c:spPr>
        <c:crossAx val="19935347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FTE's per water connection</a:t>
            </a:r>
          </a:p>
        </c:rich>
      </c:tx>
      <c:overlay val="0"/>
    </c:title>
    <c:autoTitleDeleted val="0"/>
    <c:plotArea>
      <c:layout/>
      <c:lineChart>
        <c:grouping val="standard"/>
        <c:varyColors val="0"/>
        <c:ser>
          <c:idx val="0"/>
          <c:order val="0"/>
          <c:tx>
            <c:strRef>
              <c:f>'Dashboard data'!$W$76</c:f>
              <c:strCache>
                <c:ptCount val="1"/>
                <c:pt idx="0">
                  <c:v>FTE's per water connections</c:v>
                </c:pt>
              </c:strCache>
            </c:strRef>
          </c:tx>
          <c:marker>
            <c:symbol val="none"/>
          </c:marker>
          <c:cat>
            <c:strRef>
              <c:f>'Dashboard data'!$X$75:$AO$75</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data'!$X$76:$AO$76</c:f>
              <c:numCache>
                <c:formatCode>_-* #,##0.000_-;\-* #,##0.000_-;_-* "-"??_-;_-@_-</c:formatCode>
                <c:ptCount val="18"/>
                <c:pt idx="0">
                  <c:v>3.5866571654180226E-3</c:v>
                </c:pt>
                <c:pt idx="1">
                  <c:v>3.5630940861745121E-3</c:v>
                </c:pt>
                <c:pt idx="2">
                  <c:v>3.5557992972802144E-3</c:v>
                </c:pt>
                <c:pt idx="3">
                  <c:v>3.5862687003913821E-3</c:v>
                </c:pt>
                <c:pt idx="4">
                  <c:v>3.7701952128525681E-3</c:v>
                </c:pt>
                <c:pt idx="5">
                  <c:v>3.8680640963941319E-3</c:v>
                </c:pt>
                <c:pt idx="6">
                  <c:v>3.8146684233640758E-3</c:v>
                </c:pt>
                <c:pt idx="7">
                  <c:v>3.7597756981707824E-3</c:v>
                </c:pt>
                <c:pt idx="8">
                  <c:v>3.961648435400587E-3</c:v>
                </c:pt>
                <c:pt idx="9">
                  <c:v>3.9550991007680208E-3</c:v>
                </c:pt>
                <c:pt idx="10">
                  <c:v>3.8981855911374153E-3</c:v>
                </c:pt>
                <c:pt idx="11">
                  <c:v>3.8584299562224003E-3</c:v>
                </c:pt>
                <c:pt idx="12">
                  <c:v>3.8029075066256658E-3</c:v>
                </c:pt>
                <c:pt idx="13">
                  <c:v>3.7481840199346203E-3</c:v>
                </c:pt>
                <c:pt idx="14">
                  <c:v>3.6942479991470736E-3</c:v>
                </c:pt>
                <c:pt idx="15">
                  <c:v>3.6410881127016295E-3</c:v>
                </c:pt>
                <c:pt idx="16">
                  <c:v>3.5886931920970136E-3</c:v>
                </c:pt>
                <c:pt idx="17">
                  <c:v>3.5370522295456478E-3</c:v>
                </c:pt>
              </c:numCache>
            </c:numRef>
          </c:val>
          <c:smooth val="1"/>
          <c:extLst>
            <c:ext xmlns:c16="http://schemas.microsoft.com/office/drawing/2014/chart" uri="{C3380CC4-5D6E-409C-BE32-E72D297353CC}">
              <c16:uniqueId val="{00000000-46CF-4181-B81D-7678D8159412}"/>
            </c:ext>
          </c:extLst>
        </c:ser>
        <c:dLbls>
          <c:showLegendKey val="0"/>
          <c:showVal val="0"/>
          <c:showCatName val="0"/>
          <c:showSerName val="0"/>
          <c:showPercent val="0"/>
          <c:showBubbleSize val="0"/>
        </c:dLbls>
        <c:smooth val="0"/>
        <c:axId val="199561600"/>
        <c:axId val="199563136"/>
      </c:lineChart>
      <c:catAx>
        <c:axId val="199561600"/>
        <c:scaling>
          <c:orientation val="minMax"/>
        </c:scaling>
        <c:delete val="0"/>
        <c:axPos val="b"/>
        <c:numFmt formatCode="General" sourceLinked="0"/>
        <c:majorTickMark val="none"/>
        <c:minorTickMark val="none"/>
        <c:tickLblPos val="nextTo"/>
        <c:txPr>
          <a:bodyPr rot="-5400000" vert="horz"/>
          <a:lstStyle/>
          <a:p>
            <a:pPr>
              <a:defRPr sz="1100"/>
            </a:pPr>
            <a:endParaRPr lang="en-US"/>
          </a:p>
        </c:txPr>
        <c:crossAx val="199563136"/>
        <c:crosses val="autoZero"/>
        <c:auto val="1"/>
        <c:lblAlgn val="ctr"/>
        <c:lblOffset val="100"/>
        <c:noMultiLvlLbl val="0"/>
      </c:catAx>
      <c:valAx>
        <c:axId val="199563136"/>
        <c:scaling>
          <c:orientation val="minMax"/>
        </c:scaling>
        <c:delete val="0"/>
        <c:axPos val="l"/>
        <c:majorGridlines/>
        <c:numFmt formatCode="_-* #,##0.000_-;\-* #,##0.000_-;_-* &quot;-&quot;??_-;_-@_-" sourceLinked="1"/>
        <c:majorTickMark val="none"/>
        <c:minorTickMark val="none"/>
        <c:tickLblPos val="nextTo"/>
        <c:spPr>
          <a:ln w="9525">
            <a:noFill/>
          </a:ln>
        </c:spPr>
        <c:crossAx val="19956160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AU" sz="1800">
                <a:solidFill>
                  <a:sysClr val="windowText" lastClr="000000"/>
                </a:solidFill>
              </a:rPr>
              <a:t>Forecast variations to baseline operating expenditure ($m)</a:t>
            </a:r>
          </a:p>
        </c:rich>
      </c:tx>
      <c:overlay val="0"/>
    </c:title>
    <c:autoTitleDeleted val="0"/>
    <c:plotArea>
      <c:layout>
        <c:manualLayout>
          <c:layoutTarget val="inner"/>
          <c:xMode val="edge"/>
          <c:yMode val="edge"/>
          <c:x val="6.0665389799248064E-2"/>
          <c:y val="8.470087532678125E-2"/>
          <c:w val="0.91954271718880087"/>
          <c:h val="0.73051813550934297"/>
        </c:manualLayout>
      </c:layout>
      <c:barChart>
        <c:barDir val="col"/>
        <c:grouping val="stacked"/>
        <c:varyColors val="0"/>
        <c:ser>
          <c:idx val="0"/>
          <c:order val="0"/>
          <c:tx>
            <c:strRef>
              <c:f>'Dashboard data'!$J$145</c:f>
              <c:strCache>
                <c:ptCount val="1"/>
                <c:pt idx="0">
                  <c:v>Water</c:v>
                </c:pt>
              </c:strCache>
            </c:strRef>
          </c:tx>
          <c:spPr>
            <a:solidFill>
              <a:schemeClr val="tx2">
                <a:lumMod val="40000"/>
                <a:lumOff val="60000"/>
              </a:schemeClr>
            </a:solidFill>
            <a:ln>
              <a:noFill/>
            </a:ln>
          </c:spPr>
          <c:invertIfNegative val="0"/>
          <c:cat>
            <c:strRef>
              <c:f>'Dashboard data'!$K$144:$T$144</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data'!$K$145:$T$145</c:f>
              <c:numCache>
                <c:formatCode>0.0</c:formatCode>
                <c:ptCount val="10"/>
                <c:pt idx="0">
                  <c:v>7.2310679999999996</c:v>
                </c:pt>
                <c:pt idx="1">
                  <c:v>8.040102000000001</c:v>
                </c:pt>
                <c:pt idx="2">
                  <c:v>7.5049489999999999</c:v>
                </c:pt>
                <c:pt idx="3">
                  <c:v>8.3704789999999996</c:v>
                </c:pt>
                <c:pt idx="4">
                  <c:v>8.4422549999999994</c:v>
                </c:pt>
                <c:pt idx="5">
                  <c:v>9.2975410552270734</c:v>
                </c:pt>
                <c:pt idx="6">
                  <c:v>10.165383110454147</c:v>
                </c:pt>
                <c:pt idx="7">
                  <c:v>11.045781165681223</c:v>
                </c:pt>
                <c:pt idx="8">
                  <c:v>11.939027220908297</c:v>
                </c:pt>
                <c:pt idx="9">
                  <c:v>12.845413276135371</c:v>
                </c:pt>
              </c:numCache>
            </c:numRef>
          </c:val>
          <c:extLst>
            <c:ext xmlns:c16="http://schemas.microsoft.com/office/drawing/2014/chart" uri="{C3380CC4-5D6E-409C-BE32-E72D297353CC}">
              <c16:uniqueId val="{00000000-8968-4E2D-9B81-F9BA860F52F5}"/>
            </c:ext>
          </c:extLst>
        </c:ser>
        <c:ser>
          <c:idx val="1"/>
          <c:order val="1"/>
          <c:tx>
            <c:strRef>
              <c:f>'Dashboard data'!$J$146</c:f>
              <c:strCache>
                <c:ptCount val="1"/>
                <c:pt idx="0">
                  <c:v>Sewerage</c:v>
                </c:pt>
              </c:strCache>
            </c:strRef>
          </c:tx>
          <c:spPr>
            <a:solidFill>
              <a:schemeClr val="accent1">
                <a:lumMod val="40000"/>
                <a:lumOff val="60000"/>
              </a:schemeClr>
            </a:solidFill>
            <a:ln>
              <a:noFill/>
            </a:ln>
          </c:spPr>
          <c:invertIfNegative val="0"/>
          <c:cat>
            <c:strRef>
              <c:f>'Dashboard data'!$K$144:$T$144</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data'!$K$146:$T$146</c:f>
              <c:numCache>
                <c:formatCode>0.0</c:formatCode>
                <c:ptCount val="10"/>
                <c:pt idx="0">
                  <c:v>0.75700000000000001</c:v>
                </c:pt>
                <c:pt idx="1">
                  <c:v>0.76700000000000002</c:v>
                </c:pt>
                <c:pt idx="2">
                  <c:v>0.77800000000000002</c:v>
                </c:pt>
                <c:pt idx="3">
                  <c:v>0.78899999999999992</c:v>
                </c:pt>
                <c:pt idx="4">
                  <c:v>0.8</c:v>
                </c:pt>
                <c:pt idx="5">
                  <c:v>0.8</c:v>
                </c:pt>
                <c:pt idx="6">
                  <c:v>0.8</c:v>
                </c:pt>
                <c:pt idx="7">
                  <c:v>0.8</c:v>
                </c:pt>
                <c:pt idx="8">
                  <c:v>0.8</c:v>
                </c:pt>
                <c:pt idx="9">
                  <c:v>0.8</c:v>
                </c:pt>
              </c:numCache>
            </c:numRef>
          </c:val>
          <c:extLst>
            <c:ext xmlns:c16="http://schemas.microsoft.com/office/drawing/2014/chart" uri="{C3380CC4-5D6E-409C-BE32-E72D297353CC}">
              <c16:uniqueId val="{00000001-8968-4E2D-9B81-F9BA860F52F5}"/>
            </c:ext>
          </c:extLst>
        </c:ser>
        <c:ser>
          <c:idx val="2"/>
          <c:order val="2"/>
          <c:tx>
            <c:strRef>
              <c:f>'Dashboard data'!$J$147</c:f>
              <c:strCache>
                <c:ptCount val="1"/>
                <c:pt idx="0">
                  <c:v>Recycled Water</c:v>
                </c:pt>
              </c:strCache>
            </c:strRef>
          </c:tx>
          <c:spPr>
            <a:solidFill>
              <a:schemeClr val="bg2">
                <a:lumMod val="90000"/>
              </a:schemeClr>
            </a:solidFill>
          </c:spPr>
          <c:invertIfNegative val="0"/>
          <c:cat>
            <c:strRef>
              <c:f>'Dashboard data'!$K$144:$T$144</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data'!$K$147:$T$147</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8968-4E2D-9B81-F9BA860F52F5}"/>
            </c:ext>
          </c:extLst>
        </c:ser>
        <c:ser>
          <c:idx val="3"/>
          <c:order val="3"/>
          <c:tx>
            <c:strRef>
              <c:f>'Dashboard data'!$J$148</c:f>
              <c:strCache>
                <c:ptCount val="1"/>
                <c:pt idx="0">
                  <c:v>Rural water</c:v>
                </c:pt>
              </c:strCache>
            </c:strRef>
          </c:tx>
          <c:spPr>
            <a:solidFill>
              <a:schemeClr val="accent6">
                <a:lumMod val="40000"/>
                <a:lumOff val="60000"/>
              </a:schemeClr>
            </a:solidFill>
          </c:spPr>
          <c:invertIfNegative val="0"/>
          <c:cat>
            <c:strRef>
              <c:f>'Dashboard data'!$K$144:$T$144</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data'!$K$148:$T$148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8968-4E2D-9B81-F9BA860F52F5}"/>
            </c:ext>
          </c:extLst>
        </c:ser>
        <c:ser>
          <c:idx val="4"/>
          <c:order val="4"/>
          <c:tx>
            <c:strRef>
              <c:f>'Dashboard data'!$J$149</c:f>
              <c:strCache>
                <c:ptCount val="1"/>
                <c:pt idx="0">
                  <c:v>Bulk Water</c:v>
                </c:pt>
              </c:strCache>
            </c:strRef>
          </c:tx>
          <c:spPr>
            <a:ln>
              <a:noFill/>
            </a:ln>
          </c:spPr>
          <c:invertIfNegative val="0"/>
          <c:cat>
            <c:strRef>
              <c:f>'Dashboard data'!$K$144:$T$144</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data'!$K$149:$T$149</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8968-4E2D-9B81-F9BA860F52F5}"/>
            </c:ext>
          </c:extLst>
        </c:ser>
        <c:dLbls>
          <c:showLegendKey val="0"/>
          <c:showVal val="0"/>
          <c:showCatName val="0"/>
          <c:showSerName val="0"/>
          <c:showPercent val="0"/>
          <c:showBubbleSize val="0"/>
        </c:dLbls>
        <c:gapWidth val="64"/>
        <c:overlap val="100"/>
        <c:axId val="165360000"/>
        <c:axId val="165361536"/>
      </c:barChart>
      <c:catAx>
        <c:axId val="165360000"/>
        <c:scaling>
          <c:orientation val="minMax"/>
        </c:scaling>
        <c:delete val="0"/>
        <c:axPos val="b"/>
        <c:numFmt formatCode="General" sourceLinked="1"/>
        <c:majorTickMark val="out"/>
        <c:minorTickMark val="none"/>
        <c:tickLblPos val="nextTo"/>
        <c:txPr>
          <a:bodyPr/>
          <a:lstStyle/>
          <a:p>
            <a:pPr>
              <a:defRPr sz="1000"/>
            </a:pPr>
            <a:endParaRPr lang="en-US"/>
          </a:p>
        </c:txPr>
        <c:crossAx val="165361536"/>
        <c:crosses val="autoZero"/>
        <c:auto val="1"/>
        <c:lblAlgn val="ctr"/>
        <c:lblOffset val="100"/>
        <c:noMultiLvlLbl val="0"/>
      </c:catAx>
      <c:valAx>
        <c:axId val="165361536"/>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txPr>
          <a:bodyPr/>
          <a:lstStyle/>
          <a:p>
            <a:pPr>
              <a:defRPr sz="1000"/>
            </a:pPr>
            <a:endParaRPr lang="en-US"/>
          </a:p>
        </c:txPr>
        <c:crossAx val="165360000"/>
        <c:crosses val="autoZero"/>
        <c:crossBetween val="between"/>
      </c:valAx>
    </c:plotArea>
    <c:legend>
      <c:legendPos val="r"/>
      <c:legendEntry>
        <c:idx val="1"/>
        <c:delete val="1"/>
      </c:legendEntry>
      <c:legendEntry>
        <c:idx val="2"/>
        <c:delete val="1"/>
      </c:legendEntry>
      <c:layout>
        <c:manualLayout>
          <c:xMode val="edge"/>
          <c:yMode val="edge"/>
          <c:x val="2.688963310596133E-2"/>
          <c:y val="0.88459176215754176"/>
          <c:w val="0.75770060183200905"/>
          <c:h val="0.112904750605961"/>
        </c:manualLayout>
      </c:layout>
      <c:overlay val="0"/>
      <c:txPr>
        <a:bodyPr/>
        <a:lstStyle/>
        <a:p>
          <a:pPr>
            <a:defRPr sz="105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AU" sz="1000"/>
              <a:t>Total Household Bill - Actual</a:t>
            </a:r>
          </a:p>
        </c:rich>
      </c:tx>
      <c:overlay val="0"/>
    </c:title>
    <c:autoTitleDeleted val="0"/>
    <c:plotArea>
      <c:layout>
        <c:manualLayout>
          <c:layoutTarget val="inner"/>
          <c:xMode val="edge"/>
          <c:yMode val="edge"/>
          <c:x val="8.1112742263149309E-2"/>
          <c:y val="0.11557413994632004"/>
          <c:w val="0.84609843261117779"/>
          <c:h val="0.49360237190820511"/>
        </c:manualLayout>
      </c:layout>
      <c:barChart>
        <c:barDir val="col"/>
        <c:grouping val="clustered"/>
        <c:varyColors val="0"/>
        <c:ser>
          <c:idx val="0"/>
          <c:order val="0"/>
          <c:tx>
            <c:strRef>
              <c:f>'Household Bill'!$AJ$75</c:f>
              <c:strCache>
                <c:ptCount val="1"/>
                <c:pt idx="0">
                  <c:v> Owner Occupier Bill </c:v>
                </c:pt>
              </c:strCache>
            </c:strRef>
          </c:tx>
          <c:spPr>
            <a:solidFill>
              <a:schemeClr val="accent1">
                <a:lumMod val="60000"/>
                <a:lumOff val="40000"/>
              </a:schemeClr>
            </a:solidFill>
          </c:spPr>
          <c:invertIfNegative val="0"/>
          <c:cat>
            <c:multiLvlStrRef>
              <c:f>'Household Bill'!$AK$73:$AY$74</c:f>
              <c:multiLvlStrCache>
                <c:ptCount val="15"/>
                <c:lvl>
                  <c:pt idx="0">
                    <c:v>2018-19</c:v>
                  </c:pt>
                  <c:pt idx="1">
                    <c:v>2019-20</c:v>
                  </c:pt>
                  <c:pt idx="2">
                    <c:v>2020-21</c:v>
                  </c:pt>
                  <c:pt idx="3">
                    <c:v>2021-22</c:v>
                  </c:pt>
                  <c:pt idx="4">
                    <c:v>2022-23</c:v>
                  </c:pt>
                  <c:pt idx="5">
                    <c:v>2026-27</c:v>
                  </c:pt>
                  <c:pt idx="6">
                    <c:v>2027-28</c:v>
                  </c:pt>
                  <c:pt idx="7">
                    <c:v>2028-29</c:v>
                  </c:pt>
                  <c:pt idx="8">
                    <c:v>2029-30</c:v>
                  </c:pt>
                  <c:pt idx="9">
                    <c:v>2030-31</c:v>
                  </c:pt>
                  <c:pt idx="10">
                    <c:v>2031-32</c:v>
                  </c:pt>
                  <c:pt idx="11">
                    <c:v>2032-33</c:v>
                  </c:pt>
                  <c:pt idx="12">
                    <c:v>2033-34</c:v>
                  </c:pt>
                  <c:pt idx="13">
                    <c:v>2034-35</c:v>
                  </c:pt>
                  <c:pt idx="14">
                    <c:v>2035-36</c:v>
                  </c:pt>
                </c:lvl>
                <c:lvl>
                  <c:pt idx="0">
                    <c:v>3rd Reg Period</c:v>
                  </c:pt>
                  <c:pt idx="5">
                    <c:v>4th Reg Period</c:v>
                  </c:pt>
                  <c:pt idx="10">
                    <c:v>5th Reg Period</c:v>
                  </c:pt>
                </c:lvl>
              </c:multiLvlStrCache>
            </c:multiLvlStrRef>
          </c:cat>
          <c:val>
            <c:numRef>
              <c:f>'Household Bill'!$AK$75:$AY$75</c:f>
              <c:numCache>
                <c:formatCode>_-* #,##0_-;\-* #,##0_-;_-* "-"??_-;_-@_-</c:formatCode>
                <c:ptCount val="15"/>
                <c:pt idx="0">
                  <c:v>897.22</c:v>
                </c:pt>
                <c:pt idx="1">
                  <c:v>906.79</c:v>
                </c:pt>
                <c:pt idx="2">
                  <c:v>918.25</c:v>
                </c:pt>
                <c:pt idx="3">
                  <c:v>919.22</c:v>
                </c:pt>
                <c:pt idx="4">
                  <c:v>961.33</c:v>
                </c:pt>
                <c:pt idx="5">
                  <c:v>1175.6300000000001</c:v>
                </c:pt>
                <c:pt idx="6">
                  <c:v>1240.3800000000001</c:v>
                </c:pt>
                <c:pt idx="7">
                  <c:v>1308.3799999999999</c:v>
                </c:pt>
                <c:pt idx="8">
                  <c:v>1379.86</c:v>
                </c:pt>
                <c:pt idx="9">
                  <c:v>1454.94</c:v>
                </c:pt>
                <c:pt idx="10">
                  <c:v>1478.22</c:v>
                </c:pt>
                <c:pt idx="11">
                  <c:v>1501.87</c:v>
                </c:pt>
                <c:pt idx="12">
                  <c:v>1525.9</c:v>
                </c:pt>
                <c:pt idx="13">
                  <c:v>1550.31</c:v>
                </c:pt>
                <c:pt idx="14">
                  <c:v>1575.12</c:v>
                </c:pt>
              </c:numCache>
            </c:numRef>
          </c:val>
          <c:extLst>
            <c:ext xmlns:c16="http://schemas.microsoft.com/office/drawing/2014/chart" uri="{C3380CC4-5D6E-409C-BE32-E72D297353CC}">
              <c16:uniqueId val="{00000000-D03A-45BA-87F7-D5E42F778345}"/>
            </c:ext>
          </c:extLst>
        </c:ser>
        <c:ser>
          <c:idx val="2"/>
          <c:order val="2"/>
          <c:tx>
            <c:strRef>
              <c:f>'Household Bill'!$AJ$77</c:f>
              <c:strCache>
                <c:ptCount val="1"/>
                <c:pt idx="0">
                  <c:v> Tenant Bill </c:v>
                </c:pt>
              </c:strCache>
            </c:strRef>
          </c:tx>
          <c:spPr>
            <a:solidFill>
              <a:schemeClr val="accent3">
                <a:lumMod val="60000"/>
                <a:lumOff val="40000"/>
              </a:schemeClr>
            </a:solidFill>
          </c:spPr>
          <c:invertIfNegative val="0"/>
          <c:cat>
            <c:multiLvlStrRef>
              <c:f>'Household Bill'!$AK$73:$AY$74</c:f>
              <c:multiLvlStrCache>
                <c:ptCount val="15"/>
                <c:lvl>
                  <c:pt idx="0">
                    <c:v>2018-19</c:v>
                  </c:pt>
                  <c:pt idx="1">
                    <c:v>2019-20</c:v>
                  </c:pt>
                  <c:pt idx="2">
                    <c:v>2020-21</c:v>
                  </c:pt>
                  <c:pt idx="3">
                    <c:v>2021-22</c:v>
                  </c:pt>
                  <c:pt idx="4">
                    <c:v>2022-23</c:v>
                  </c:pt>
                  <c:pt idx="5">
                    <c:v>2026-27</c:v>
                  </c:pt>
                  <c:pt idx="6">
                    <c:v>2027-28</c:v>
                  </c:pt>
                  <c:pt idx="7">
                    <c:v>2028-29</c:v>
                  </c:pt>
                  <c:pt idx="8">
                    <c:v>2029-30</c:v>
                  </c:pt>
                  <c:pt idx="9">
                    <c:v>2030-31</c:v>
                  </c:pt>
                  <c:pt idx="10">
                    <c:v>2031-32</c:v>
                  </c:pt>
                  <c:pt idx="11">
                    <c:v>2032-33</c:v>
                  </c:pt>
                  <c:pt idx="12">
                    <c:v>2033-34</c:v>
                  </c:pt>
                  <c:pt idx="13">
                    <c:v>2034-35</c:v>
                  </c:pt>
                  <c:pt idx="14">
                    <c:v>2035-36</c:v>
                  </c:pt>
                </c:lvl>
                <c:lvl>
                  <c:pt idx="0">
                    <c:v>3rd Reg Period</c:v>
                  </c:pt>
                  <c:pt idx="5">
                    <c:v>4th Reg Period</c:v>
                  </c:pt>
                  <c:pt idx="10">
                    <c:v>5th Reg Period</c:v>
                  </c:pt>
                </c:lvl>
              </c:multiLvlStrCache>
            </c:multiLvlStrRef>
          </c:cat>
          <c:val>
            <c:numRef>
              <c:f>'Household Bill'!$AK$77:$AY$77</c:f>
              <c:numCache>
                <c:formatCode>_-* #,##0_-;\-* #,##0_-;_-* "-"??_-;_-@_-</c:formatCode>
                <c:ptCount val="15"/>
                <c:pt idx="0">
                  <c:v>450.94000000000005</c:v>
                </c:pt>
                <c:pt idx="1">
                  <c:v>459</c:v>
                </c:pt>
                <c:pt idx="2">
                  <c:v>471.15999999999997</c:v>
                </c:pt>
                <c:pt idx="3">
                  <c:v>478.54</c:v>
                </c:pt>
                <c:pt idx="4">
                  <c:v>505.14</c:v>
                </c:pt>
                <c:pt idx="5">
                  <c:v>593.54</c:v>
                </c:pt>
                <c:pt idx="6">
                  <c:v>605.98</c:v>
                </c:pt>
                <c:pt idx="7">
                  <c:v>618.64</c:v>
                </c:pt>
                <c:pt idx="8">
                  <c:v>631.6</c:v>
                </c:pt>
                <c:pt idx="9">
                  <c:v>644.81999999999994</c:v>
                </c:pt>
                <c:pt idx="10">
                  <c:v>655.14</c:v>
                </c:pt>
                <c:pt idx="11">
                  <c:v>665.62</c:v>
                </c:pt>
                <c:pt idx="12">
                  <c:v>676.26</c:v>
                </c:pt>
                <c:pt idx="13">
                  <c:v>687.08</c:v>
                </c:pt>
                <c:pt idx="14">
                  <c:v>698.08</c:v>
                </c:pt>
              </c:numCache>
            </c:numRef>
          </c:val>
          <c:extLst>
            <c:ext xmlns:c16="http://schemas.microsoft.com/office/drawing/2014/chart" uri="{C3380CC4-5D6E-409C-BE32-E72D297353CC}">
              <c16:uniqueId val="{00000001-D03A-45BA-87F7-D5E42F778345}"/>
            </c:ext>
          </c:extLst>
        </c:ser>
        <c:dLbls>
          <c:showLegendKey val="0"/>
          <c:showVal val="0"/>
          <c:showCatName val="0"/>
          <c:showSerName val="0"/>
          <c:showPercent val="0"/>
          <c:showBubbleSize val="0"/>
        </c:dLbls>
        <c:gapWidth val="150"/>
        <c:axId val="201004160"/>
        <c:axId val="201005696"/>
      </c:barChart>
      <c:lineChart>
        <c:grouping val="standard"/>
        <c:varyColors val="0"/>
        <c:ser>
          <c:idx val="1"/>
          <c:order val="1"/>
          <c:tx>
            <c:strRef>
              <c:f>'Household Bill'!$AJ$76</c:f>
              <c:strCache>
                <c:ptCount val="1"/>
                <c:pt idx="0">
                  <c:v>OB - YoY Change</c:v>
                </c:pt>
              </c:strCache>
            </c:strRef>
          </c:tx>
          <c:spPr>
            <a:ln>
              <a:solidFill>
                <a:schemeClr val="accent1">
                  <a:lumMod val="75000"/>
                </a:schemeClr>
              </a:solidFill>
            </a:ln>
          </c:spPr>
          <c:marker>
            <c:symbol val="none"/>
          </c:marker>
          <c:cat>
            <c:multiLvlStrRef>
              <c:f>'Household Bill'!$AK$73:$AY$74</c:f>
              <c:multiLvlStrCache>
                <c:ptCount val="15"/>
                <c:lvl>
                  <c:pt idx="0">
                    <c:v>2018-19</c:v>
                  </c:pt>
                  <c:pt idx="1">
                    <c:v>2019-20</c:v>
                  </c:pt>
                  <c:pt idx="2">
                    <c:v>2020-21</c:v>
                  </c:pt>
                  <c:pt idx="3">
                    <c:v>2021-22</c:v>
                  </c:pt>
                  <c:pt idx="4">
                    <c:v>2022-23</c:v>
                  </c:pt>
                  <c:pt idx="5">
                    <c:v>2026-27</c:v>
                  </c:pt>
                  <c:pt idx="6">
                    <c:v>2027-28</c:v>
                  </c:pt>
                  <c:pt idx="7">
                    <c:v>2028-29</c:v>
                  </c:pt>
                  <c:pt idx="8">
                    <c:v>2029-30</c:v>
                  </c:pt>
                  <c:pt idx="9">
                    <c:v>2030-31</c:v>
                  </c:pt>
                  <c:pt idx="10">
                    <c:v>2031-32</c:v>
                  </c:pt>
                  <c:pt idx="11">
                    <c:v>2032-33</c:v>
                  </c:pt>
                  <c:pt idx="12">
                    <c:v>2033-34</c:v>
                  </c:pt>
                  <c:pt idx="13">
                    <c:v>2034-35</c:v>
                  </c:pt>
                  <c:pt idx="14">
                    <c:v>2035-36</c:v>
                  </c:pt>
                </c:lvl>
                <c:lvl>
                  <c:pt idx="0">
                    <c:v>3rd Reg Period</c:v>
                  </c:pt>
                  <c:pt idx="5">
                    <c:v>4th Reg Period</c:v>
                  </c:pt>
                  <c:pt idx="10">
                    <c:v>5th Reg Period</c:v>
                  </c:pt>
                </c:lvl>
              </c:multiLvlStrCache>
            </c:multiLvlStrRef>
          </c:cat>
          <c:val>
            <c:numRef>
              <c:f>'Household Bill'!$AK$76:$AY$76</c:f>
              <c:numCache>
                <c:formatCode>0.0%</c:formatCode>
                <c:ptCount val="15"/>
                <c:pt idx="1">
                  <c:v>1.0666280288000651E-2</c:v>
                </c:pt>
                <c:pt idx="2">
                  <c:v>1.2637986744450158E-2</c:v>
                </c:pt>
                <c:pt idx="3">
                  <c:v>1.0563572011978994E-3</c:v>
                </c:pt>
                <c:pt idx="4">
                  <c:v>4.5810578533974411E-2</c:v>
                </c:pt>
                <c:pt idx="5">
                  <c:v>5.5266323178285059E-2</c:v>
                </c:pt>
                <c:pt idx="6">
                  <c:v>5.507685241104765E-2</c:v>
                </c:pt>
                <c:pt idx="7">
                  <c:v>5.482190941485654E-2</c:v>
                </c:pt>
                <c:pt idx="8">
                  <c:v>5.4632446231217324E-2</c:v>
                </c:pt>
                <c:pt idx="9">
                  <c:v>5.4411317090139688E-2</c:v>
                </c:pt>
                <c:pt idx="10">
                  <c:v>1.6000659821023611E-2</c:v>
                </c:pt>
                <c:pt idx="11">
                  <c:v>1.5998971736277401E-2</c:v>
                </c:pt>
                <c:pt idx="12">
                  <c:v>1.6000053266927328E-2</c:v>
                </c:pt>
                <c:pt idx="13">
                  <c:v>1.5997116455862104E-2</c:v>
                </c:pt>
                <c:pt idx="14">
                  <c:v>1.6003250962710602E-2</c:v>
                </c:pt>
              </c:numCache>
            </c:numRef>
          </c:val>
          <c:smooth val="1"/>
          <c:extLst>
            <c:ext xmlns:c16="http://schemas.microsoft.com/office/drawing/2014/chart" uri="{C3380CC4-5D6E-409C-BE32-E72D297353CC}">
              <c16:uniqueId val="{00000002-D03A-45BA-87F7-D5E42F778345}"/>
            </c:ext>
          </c:extLst>
        </c:ser>
        <c:ser>
          <c:idx val="3"/>
          <c:order val="3"/>
          <c:tx>
            <c:strRef>
              <c:f>'Household Bill'!$AJ$78</c:f>
              <c:strCache>
                <c:ptCount val="1"/>
                <c:pt idx="0">
                  <c:v>TB - YoY Change</c:v>
                </c:pt>
              </c:strCache>
            </c:strRef>
          </c:tx>
          <c:spPr>
            <a:ln>
              <a:solidFill>
                <a:schemeClr val="accent3">
                  <a:lumMod val="75000"/>
                </a:schemeClr>
              </a:solidFill>
            </a:ln>
          </c:spPr>
          <c:marker>
            <c:symbol val="none"/>
          </c:marker>
          <c:cat>
            <c:multiLvlStrRef>
              <c:f>'Household Bill'!$AK$73:$AY$74</c:f>
              <c:multiLvlStrCache>
                <c:ptCount val="15"/>
                <c:lvl>
                  <c:pt idx="0">
                    <c:v>2018-19</c:v>
                  </c:pt>
                  <c:pt idx="1">
                    <c:v>2019-20</c:v>
                  </c:pt>
                  <c:pt idx="2">
                    <c:v>2020-21</c:v>
                  </c:pt>
                  <c:pt idx="3">
                    <c:v>2021-22</c:v>
                  </c:pt>
                  <c:pt idx="4">
                    <c:v>2022-23</c:v>
                  </c:pt>
                  <c:pt idx="5">
                    <c:v>2026-27</c:v>
                  </c:pt>
                  <c:pt idx="6">
                    <c:v>2027-28</c:v>
                  </c:pt>
                  <c:pt idx="7">
                    <c:v>2028-29</c:v>
                  </c:pt>
                  <c:pt idx="8">
                    <c:v>2029-30</c:v>
                  </c:pt>
                  <c:pt idx="9">
                    <c:v>2030-31</c:v>
                  </c:pt>
                  <c:pt idx="10">
                    <c:v>2031-32</c:v>
                  </c:pt>
                  <c:pt idx="11">
                    <c:v>2032-33</c:v>
                  </c:pt>
                  <c:pt idx="12">
                    <c:v>2033-34</c:v>
                  </c:pt>
                  <c:pt idx="13">
                    <c:v>2034-35</c:v>
                  </c:pt>
                  <c:pt idx="14">
                    <c:v>2035-36</c:v>
                  </c:pt>
                </c:lvl>
                <c:lvl>
                  <c:pt idx="0">
                    <c:v>3rd Reg Period</c:v>
                  </c:pt>
                  <c:pt idx="5">
                    <c:v>4th Reg Period</c:v>
                  </c:pt>
                  <c:pt idx="10">
                    <c:v>5th Reg Period</c:v>
                  </c:pt>
                </c:lvl>
              </c:multiLvlStrCache>
            </c:multiLvlStrRef>
          </c:cat>
          <c:val>
            <c:numRef>
              <c:f>'Household Bill'!$AK$78:$AY$78</c:f>
              <c:numCache>
                <c:formatCode>0.0%</c:formatCode>
                <c:ptCount val="15"/>
                <c:pt idx="1">
                  <c:v>1.7873774781567375E-2</c:v>
                </c:pt>
                <c:pt idx="2">
                  <c:v>2.6492374727668855E-2</c:v>
                </c:pt>
                <c:pt idx="3">
                  <c:v>1.5663468885304566E-2</c:v>
                </c:pt>
                <c:pt idx="4">
                  <c:v>5.5585739959042035E-2</c:v>
                </c:pt>
                <c:pt idx="5">
                  <c:v>2.0915752175857394E-2</c:v>
                </c:pt>
                <c:pt idx="6">
                  <c:v>2.095899181184091E-2</c:v>
                </c:pt>
                <c:pt idx="7">
                  <c:v>2.0891778606554556E-2</c:v>
                </c:pt>
                <c:pt idx="8">
                  <c:v>2.0949178843915783E-2</c:v>
                </c:pt>
                <c:pt idx="9">
                  <c:v>2.0930968967700858E-2</c:v>
                </c:pt>
                <c:pt idx="10">
                  <c:v>1.6004466362705916E-2</c:v>
                </c:pt>
                <c:pt idx="11">
                  <c:v>1.599658088347522E-2</c:v>
                </c:pt>
                <c:pt idx="12">
                  <c:v>1.5985096601664583E-2</c:v>
                </c:pt>
                <c:pt idx="13">
                  <c:v>1.5999763404607847E-2</c:v>
                </c:pt>
                <c:pt idx="14">
                  <c:v>1.6009780520463313E-2</c:v>
                </c:pt>
              </c:numCache>
            </c:numRef>
          </c:val>
          <c:smooth val="1"/>
          <c:extLst>
            <c:ext xmlns:c16="http://schemas.microsoft.com/office/drawing/2014/chart" uri="{C3380CC4-5D6E-409C-BE32-E72D297353CC}">
              <c16:uniqueId val="{00000003-D03A-45BA-87F7-D5E42F778345}"/>
            </c:ext>
          </c:extLst>
        </c:ser>
        <c:ser>
          <c:idx val="4"/>
          <c:order val="4"/>
          <c:tx>
            <c:strRef>
              <c:f>'Household Bill'!$AJ$79</c:f>
              <c:strCache>
                <c:ptCount val="1"/>
                <c:pt idx="0">
                  <c:v>Zero Line</c:v>
                </c:pt>
              </c:strCache>
            </c:strRef>
          </c:tx>
          <c:spPr>
            <a:ln w="12700">
              <a:solidFill>
                <a:schemeClr val="tx1"/>
              </a:solidFill>
            </a:ln>
          </c:spPr>
          <c:marker>
            <c:symbol val="none"/>
          </c:marker>
          <c:cat>
            <c:multiLvlStrRef>
              <c:f>'Household Bill'!$AK$73:$AY$74</c:f>
              <c:multiLvlStrCache>
                <c:ptCount val="15"/>
                <c:lvl>
                  <c:pt idx="0">
                    <c:v>2018-19</c:v>
                  </c:pt>
                  <c:pt idx="1">
                    <c:v>2019-20</c:v>
                  </c:pt>
                  <c:pt idx="2">
                    <c:v>2020-21</c:v>
                  </c:pt>
                  <c:pt idx="3">
                    <c:v>2021-22</c:v>
                  </c:pt>
                  <c:pt idx="4">
                    <c:v>2022-23</c:v>
                  </c:pt>
                  <c:pt idx="5">
                    <c:v>2026-27</c:v>
                  </c:pt>
                  <c:pt idx="6">
                    <c:v>2027-28</c:v>
                  </c:pt>
                  <c:pt idx="7">
                    <c:v>2028-29</c:v>
                  </c:pt>
                  <c:pt idx="8">
                    <c:v>2029-30</c:v>
                  </c:pt>
                  <c:pt idx="9">
                    <c:v>2030-31</c:v>
                  </c:pt>
                  <c:pt idx="10">
                    <c:v>2031-32</c:v>
                  </c:pt>
                  <c:pt idx="11">
                    <c:v>2032-33</c:v>
                  </c:pt>
                  <c:pt idx="12">
                    <c:v>2033-34</c:v>
                  </c:pt>
                  <c:pt idx="13">
                    <c:v>2034-35</c:v>
                  </c:pt>
                  <c:pt idx="14">
                    <c:v>2035-36</c:v>
                  </c:pt>
                </c:lvl>
                <c:lvl>
                  <c:pt idx="0">
                    <c:v>3rd Reg Period</c:v>
                  </c:pt>
                  <c:pt idx="5">
                    <c:v>4th Reg Period</c:v>
                  </c:pt>
                  <c:pt idx="10">
                    <c:v>5th Reg Period</c:v>
                  </c:pt>
                </c:lvl>
              </c:multiLvlStrCache>
            </c:multiLvlStrRef>
          </c:cat>
          <c:val>
            <c:numRef>
              <c:f>'Household Bill'!$AK$79:$AY$79</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4-D03A-45BA-87F7-D5E42F778345}"/>
            </c:ext>
          </c:extLst>
        </c:ser>
        <c:dLbls>
          <c:showLegendKey val="0"/>
          <c:showVal val="0"/>
          <c:showCatName val="0"/>
          <c:showSerName val="0"/>
          <c:showPercent val="0"/>
          <c:showBubbleSize val="0"/>
        </c:dLbls>
        <c:marker val="1"/>
        <c:smooth val="0"/>
        <c:axId val="201013120"/>
        <c:axId val="201011584"/>
      </c:lineChart>
      <c:catAx>
        <c:axId val="201004160"/>
        <c:scaling>
          <c:orientation val="minMax"/>
        </c:scaling>
        <c:delete val="0"/>
        <c:axPos val="b"/>
        <c:numFmt formatCode="General" sourceLinked="1"/>
        <c:majorTickMark val="out"/>
        <c:minorTickMark val="none"/>
        <c:tickLblPos val="nextTo"/>
        <c:crossAx val="201005696"/>
        <c:crosses val="autoZero"/>
        <c:auto val="1"/>
        <c:lblAlgn val="ctr"/>
        <c:lblOffset val="100"/>
        <c:noMultiLvlLbl val="0"/>
      </c:catAx>
      <c:valAx>
        <c:axId val="201005696"/>
        <c:scaling>
          <c:orientation val="minMax"/>
        </c:scaling>
        <c:delete val="0"/>
        <c:axPos val="l"/>
        <c:majorGridlines>
          <c:spPr>
            <a:ln>
              <a:prstDash val="dash"/>
            </a:ln>
          </c:spPr>
        </c:majorGridlines>
        <c:numFmt formatCode="_-* #,##0_-;\-* #,##0_-;_-* &quot;-&quot;??_-;_-@_-" sourceLinked="1"/>
        <c:majorTickMark val="out"/>
        <c:minorTickMark val="none"/>
        <c:tickLblPos val="nextTo"/>
        <c:crossAx val="201004160"/>
        <c:crosses val="autoZero"/>
        <c:crossBetween val="between"/>
      </c:valAx>
      <c:valAx>
        <c:axId val="201011584"/>
        <c:scaling>
          <c:orientation val="minMax"/>
        </c:scaling>
        <c:delete val="0"/>
        <c:axPos val="r"/>
        <c:numFmt formatCode="0.0%" sourceLinked="1"/>
        <c:majorTickMark val="out"/>
        <c:minorTickMark val="none"/>
        <c:tickLblPos val="nextTo"/>
        <c:crossAx val="201013120"/>
        <c:crosses val="max"/>
        <c:crossBetween val="between"/>
      </c:valAx>
      <c:catAx>
        <c:axId val="201013120"/>
        <c:scaling>
          <c:orientation val="minMax"/>
        </c:scaling>
        <c:delete val="1"/>
        <c:axPos val="b"/>
        <c:numFmt formatCode="General" sourceLinked="1"/>
        <c:majorTickMark val="out"/>
        <c:minorTickMark val="none"/>
        <c:tickLblPos val="nextTo"/>
        <c:crossAx val="201011584"/>
        <c:crosses val="autoZero"/>
        <c:auto val="1"/>
        <c:lblAlgn val="ctr"/>
        <c:lblOffset val="100"/>
        <c:noMultiLvlLbl val="0"/>
      </c:catAx>
    </c:plotArea>
    <c:legend>
      <c:legendPos val="b"/>
      <c:legendEntry>
        <c:idx val="4"/>
        <c:delete val="1"/>
      </c:legendEntry>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sz="1800">
                <a:solidFill>
                  <a:sysClr val="windowText" lastClr="000000"/>
                </a:solidFill>
              </a:rPr>
              <a:t> Non-controllable operating expenditure ($m)</a:t>
            </a:r>
          </a:p>
        </c:rich>
      </c:tx>
      <c:overlay val="1"/>
    </c:title>
    <c:autoTitleDeleted val="0"/>
    <c:plotArea>
      <c:layout>
        <c:manualLayout>
          <c:layoutTarget val="inner"/>
          <c:xMode val="edge"/>
          <c:yMode val="edge"/>
          <c:x val="6.4301443569553807E-2"/>
          <c:y val="8.1473512167130821E-2"/>
          <c:w val="0.91736522309711288"/>
          <c:h val="0.69901011215236242"/>
        </c:manualLayout>
      </c:layout>
      <c:barChart>
        <c:barDir val="col"/>
        <c:grouping val="stacked"/>
        <c:varyColors val="0"/>
        <c:ser>
          <c:idx val="0"/>
          <c:order val="0"/>
          <c:tx>
            <c:strRef>
              <c:f>'Dashboard data'!$H$153</c:f>
              <c:strCache>
                <c:ptCount val="1"/>
                <c:pt idx="0">
                  <c:v>External bulk water charges (excl. temporary purchases)</c:v>
                </c:pt>
              </c:strCache>
            </c:strRef>
          </c:tx>
          <c:spPr>
            <a:solidFill>
              <a:schemeClr val="accent5">
                <a:lumMod val="75000"/>
              </a:schemeClr>
            </a:solidFill>
          </c:spPr>
          <c:invertIfNegative val="0"/>
          <c:cat>
            <c:strRef>
              <c:f>'Dashboard data'!$I$152:$T$152</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data'!$I$153:$T$153</c:f>
              <c:numCache>
                <c:formatCode>0.0</c:formatCode>
                <c:ptCount val="12"/>
                <c:pt idx="0">
                  <c:v>1.092626637554585</c:v>
                </c:pt>
                <c:pt idx="1">
                  <c:v>0.45500000000000002</c:v>
                </c:pt>
                <c:pt idx="2">
                  <c:v>0.45500000000000002</c:v>
                </c:pt>
                <c:pt idx="3">
                  <c:v>0.45500000000000002</c:v>
                </c:pt>
                <c:pt idx="4">
                  <c:v>0.45500000000000002</c:v>
                </c:pt>
                <c:pt idx="5">
                  <c:v>0.45500000000000002</c:v>
                </c:pt>
                <c:pt idx="6">
                  <c:v>0.45500000000000002</c:v>
                </c:pt>
                <c:pt idx="7">
                  <c:v>0.45500000000000002</c:v>
                </c:pt>
                <c:pt idx="8">
                  <c:v>0.45500000000000002</c:v>
                </c:pt>
                <c:pt idx="9">
                  <c:v>0.45500000000000002</c:v>
                </c:pt>
                <c:pt idx="10">
                  <c:v>0.45500000000000002</c:v>
                </c:pt>
                <c:pt idx="11">
                  <c:v>0.45500000000000002</c:v>
                </c:pt>
              </c:numCache>
            </c:numRef>
          </c:val>
          <c:extLst>
            <c:ext xmlns:c16="http://schemas.microsoft.com/office/drawing/2014/chart" uri="{C3380CC4-5D6E-409C-BE32-E72D297353CC}">
              <c16:uniqueId val="{00000000-84A3-4BD6-B8E0-5EC8C20A3381}"/>
            </c:ext>
          </c:extLst>
        </c:ser>
        <c:ser>
          <c:idx val="1"/>
          <c:order val="1"/>
          <c:tx>
            <c:strRef>
              <c:f>'Dashboard data'!$H$154</c:f>
              <c:strCache>
                <c:ptCount val="1"/>
                <c:pt idx="0">
                  <c:v>External temporary water purchases</c:v>
                </c:pt>
              </c:strCache>
            </c:strRef>
          </c:tx>
          <c:invertIfNegative val="0"/>
          <c:cat>
            <c:strRef>
              <c:f>'Dashboard data'!$I$152:$T$152</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data'!$I$154:$T$154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4A3-4BD6-B8E0-5EC8C20A3381}"/>
            </c:ext>
          </c:extLst>
        </c:ser>
        <c:ser>
          <c:idx val="2"/>
          <c:order val="2"/>
          <c:tx>
            <c:strRef>
              <c:f>'Dashboard data'!$H$155</c:f>
              <c:strCache>
                <c:ptCount val="1"/>
                <c:pt idx="0">
                  <c:v>Licence fees</c:v>
                </c:pt>
              </c:strCache>
            </c:strRef>
          </c:tx>
          <c:spPr>
            <a:solidFill>
              <a:schemeClr val="accent5">
                <a:lumMod val="60000"/>
                <a:lumOff val="40000"/>
              </a:schemeClr>
            </a:solidFill>
          </c:spPr>
          <c:invertIfNegative val="0"/>
          <c:cat>
            <c:strRef>
              <c:f>'Dashboard data'!$I$152:$T$152</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data'!$I$155:$T$155</c:f>
              <c:numCache>
                <c:formatCode>0.0</c:formatCode>
                <c:ptCount val="12"/>
                <c:pt idx="0">
                  <c:v>0.28467685589519648</c:v>
                </c:pt>
                <c:pt idx="1">
                  <c:v>0.26400000000000001</c:v>
                </c:pt>
                <c:pt idx="2">
                  <c:v>0.26400000000000001</c:v>
                </c:pt>
                <c:pt idx="3">
                  <c:v>0.26400000000000001</c:v>
                </c:pt>
                <c:pt idx="4">
                  <c:v>0.26400000000000001</c:v>
                </c:pt>
                <c:pt idx="5">
                  <c:v>0.26400000000000001</c:v>
                </c:pt>
                <c:pt idx="6">
                  <c:v>0.26400000000000001</c:v>
                </c:pt>
                <c:pt idx="7">
                  <c:v>0.26400000000000001</c:v>
                </c:pt>
                <c:pt idx="8">
                  <c:v>0.26400000000000001</c:v>
                </c:pt>
                <c:pt idx="9">
                  <c:v>0.26400000000000001</c:v>
                </c:pt>
                <c:pt idx="10">
                  <c:v>0.26400000000000001</c:v>
                </c:pt>
                <c:pt idx="11">
                  <c:v>0.26400000000000001</c:v>
                </c:pt>
              </c:numCache>
            </c:numRef>
          </c:val>
          <c:extLst>
            <c:ext xmlns:c16="http://schemas.microsoft.com/office/drawing/2014/chart" uri="{C3380CC4-5D6E-409C-BE32-E72D297353CC}">
              <c16:uniqueId val="{00000002-84A3-4BD6-B8E0-5EC8C20A3381}"/>
            </c:ext>
          </c:extLst>
        </c:ser>
        <c:ser>
          <c:idx val="3"/>
          <c:order val="3"/>
          <c:tx>
            <c:strRef>
              <c:f>'Dashboard data'!$H$156</c:f>
              <c:strCache>
                <c:ptCount val="1"/>
                <c:pt idx="0">
                  <c:v>Environment Contribution</c:v>
                </c:pt>
              </c:strCache>
            </c:strRef>
          </c:tx>
          <c:spPr>
            <a:solidFill>
              <a:schemeClr val="accent5">
                <a:lumMod val="40000"/>
                <a:lumOff val="60000"/>
              </a:schemeClr>
            </a:solidFill>
          </c:spPr>
          <c:invertIfNegative val="0"/>
          <c:cat>
            <c:strRef>
              <c:f>'Dashboard data'!$I$152:$T$152</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data'!$I$156:$T$156</c:f>
              <c:numCache>
                <c:formatCode>0.0</c:formatCode>
                <c:ptCount val="12"/>
                <c:pt idx="0">
                  <c:v>3.2717358078602614</c:v>
                </c:pt>
                <c:pt idx="1">
                  <c:v>3.1949999999999998</c:v>
                </c:pt>
                <c:pt idx="2">
                  <c:v>3.1049562682215743</c:v>
                </c:pt>
                <c:pt idx="3">
                  <c:v>3.017450212071501</c:v>
                </c:pt>
                <c:pt idx="4">
                  <c:v>2.9324103129946564</c:v>
                </c:pt>
                <c:pt idx="5">
                  <c:v>2.8497670680220182</c:v>
                </c:pt>
                <c:pt idx="6">
                  <c:v>2.7694529329660043</c:v>
                </c:pt>
                <c:pt idx="7">
                  <c:v>2.6914022672167195</c:v>
                </c:pt>
                <c:pt idx="8">
                  <c:v>2.6155512800939937</c:v>
                </c:pt>
                <c:pt idx="9">
                  <c:v>2.5418379787113645</c:v>
                </c:pt>
                <c:pt idx="10">
                  <c:v>2.4702021173093924</c:v>
                </c:pt>
                <c:pt idx="11">
                  <c:v>2.4005851480169023</c:v>
                </c:pt>
              </c:numCache>
            </c:numRef>
          </c:val>
          <c:extLst>
            <c:ext xmlns:c16="http://schemas.microsoft.com/office/drawing/2014/chart" uri="{C3380CC4-5D6E-409C-BE32-E72D297353CC}">
              <c16:uniqueId val="{00000003-84A3-4BD6-B8E0-5EC8C20A3381}"/>
            </c:ext>
          </c:extLst>
        </c:ser>
        <c:ser>
          <c:idx val="4"/>
          <c:order val="4"/>
          <c:tx>
            <c:strRef>
              <c:f>'Dashboard data'!$H$157</c:f>
              <c:strCache>
                <c:ptCount val="1"/>
                <c:pt idx="0">
                  <c:v>Other non-controllable</c:v>
                </c:pt>
              </c:strCache>
            </c:strRef>
          </c:tx>
          <c:invertIfNegative val="0"/>
          <c:cat>
            <c:strRef>
              <c:f>'Dashboard data'!$I$152:$T$152</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data'!$I$157:$T$157</c:f>
              <c:numCache>
                <c:formatCode>0.0</c:formatCode>
                <c:ptCount val="12"/>
                <c:pt idx="0">
                  <c:v>8.192139737991265E-2</c:v>
                </c:pt>
                <c:pt idx="1">
                  <c:v>0.08</c:v>
                </c:pt>
                <c:pt idx="2">
                  <c:v>0.08</c:v>
                </c:pt>
                <c:pt idx="3">
                  <c:v>0.08</c:v>
                </c:pt>
                <c:pt idx="4">
                  <c:v>0.08</c:v>
                </c:pt>
                <c:pt idx="5">
                  <c:v>0.08</c:v>
                </c:pt>
                <c:pt idx="6">
                  <c:v>0.08</c:v>
                </c:pt>
                <c:pt idx="7">
                  <c:v>0.08</c:v>
                </c:pt>
                <c:pt idx="8">
                  <c:v>0.08</c:v>
                </c:pt>
                <c:pt idx="9">
                  <c:v>0.08</c:v>
                </c:pt>
                <c:pt idx="10">
                  <c:v>0.08</c:v>
                </c:pt>
                <c:pt idx="11">
                  <c:v>0.08</c:v>
                </c:pt>
              </c:numCache>
            </c:numRef>
          </c:val>
          <c:extLst>
            <c:ext xmlns:c16="http://schemas.microsoft.com/office/drawing/2014/chart" uri="{C3380CC4-5D6E-409C-BE32-E72D297353CC}">
              <c16:uniqueId val="{00000004-84A3-4BD6-B8E0-5EC8C20A3381}"/>
            </c:ext>
          </c:extLst>
        </c:ser>
        <c:dLbls>
          <c:showLegendKey val="0"/>
          <c:showVal val="0"/>
          <c:showCatName val="0"/>
          <c:showSerName val="0"/>
          <c:showPercent val="0"/>
          <c:showBubbleSize val="0"/>
        </c:dLbls>
        <c:gapWidth val="96"/>
        <c:overlap val="100"/>
        <c:axId val="165401728"/>
        <c:axId val="165403264"/>
      </c:barChart>
      <c:catAx>
        <c:axId val="165401728"/>
        <c:scaling>
          <c:orientation val="minMax"/>
        </c:scaling>
        <c:delete val="0"/>
        <c:axPos val="b"/>
        <c:numFmt formatCode="General" sourceLinked="0"/>
        <c:majorTickMark val="out"/>
        <c:minorTickMark val="none"/>
        <c:tickLblPos val="nextTo"/>
        <c:crossAx val="165403264"/>
        <c:crosses val="autoZero"/>
        <c:auto val="1"/>
        <c:lblAlgn val="ctr"/>
        <c:lblOffset val="100"/>
        <c:noMultiLvlLbl val="0"/>
      </c:catAx>
      <c:valAx>
        <c:axId val="165403264"/>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165401728"/>
        <c:crosses val="autoZero"/>
        <c:crossBetween val="between"/>
      </c:valAx>
    </c:plotArea>
    <c:legend>
      <c:legendPos val="b"/>
      <c:layout>
        <c:manualLayout>
          <c:xMode val="edge"/>
          <c:yMode val="edge"/>
          <c:x val="0"/>
          <c:y val="0.86968243642107446"/>
          <c:w val="0.96287391975308645"/>
          <c:h val="0.11460047448283145"/>
        </c:manualLayout>
      </c:layout>
      <c:overlay val="0"/>
    </c:legend>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kern="1200" baseline="0">
                <a:solidFill>
                  <a:sysClr val="windowText" lastClr="000000"/>
                </a:solidFill>
                <a:effectLst/>
              </a:rPr>
              <a:t>Total prescribed operating expenditure (baseline categories, $m)</a:t>
            </a:r>
            <a:endParaRPr lang="en-AU" sz="1400" b="1" i="0" u="none" strike="noStrike" kern="1200" baseline="0">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AU"/>
        </a:p>
      </c:txPr>
    </c:title>
    <c:autoTitleDeleted val="0"/>
    <c:plotArea>
      <c:layout>
        <c:manualLayout>
          <c:layoutTarget val="inner"/>
          <c:xMode val="edge"/>
          <c:yMode val="edge"/>
          <c:x val="7.1051315455346861E-2"/>
          <c:y val="0.11526861111111111"/>
          <c:w val="0.89970308493973039"/>
          <c:h val="0.63251944444444441"/>
        </c:manualLayout>
      </c:layout>
      <c:barChart>
        <c:barDir val="col"/>
        <c:grouping val="stacked"/>
        <c:varyColors val="0"/>
        <c:ser>
          <c:idx val="0"/>
          <c:order val="0"/>
          <c:tx>
            <c:strRef>
              <c:f>'Dashboard data'!$H$124</c:f>
              <c:strCache>
                <c:ptCount val="1"/>
                <c:pt idx="0">
                  <c:v>4th Reg period Opex</c:v>
                </c:pt>
              </c:strCache>
            </c:strRef>
          </c:tx>
          <c:spPr>
            <a:solidFill>
              <a:schemeClr val="accent1"/>
            </a:solidFill>
            <a:ln>
              <a:noFill/>
            </a:ln>
            <a:effectLst/>
          </c:spPr>
          <c:invertIfNegative val="0"/>
          <c:cat>
            <c:strRef>
              <c:f>'Dashboard data'!$I$123:$T$123</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data'!$I$124:$T$124</c:f>
              <c:numCache>
                <c:formatCode>General</c:formatCode>
                <c:ptCount val="12"/>
                <c:pt idx="0">
                  <c:v>57.607126637554572</c:v>
                </c:pt>
                <c:pt idx="1">
                  <c:v>54.994000000000014</c:v>
                </c:pt>
              </c:numCache>
            </c:numRef>
          </c:val>
          <c:extLst>
            <c:ext xmlns:c16="http://schemas.microsoft.com/office/drawing/2014/chart" uri="{C3380CC4-5D6E-409C-BE32-E72D297353CC}">
              <c16:uniqueId val="{00000000-2D9F-4A7C-9B42-E2F4B857ADB0}"/>
            </c:ext>
          </c:extLst>
        </c:ser>
        <c:ser>
          <c:idx val="1"/>
          <c:order val="1"/>
          <c:tx>
            <c:strRef>
              <c:f>'Dashboard data'!$H$125</c:f>
              <c:strCache>
                <c:ptCount val="1"/>
                <c:pt idx="0">
                  <c:v>Adjusted baseline opex</c:v>
                </c:pt>
              </c:strCache>
            </c:strRef>
          </c:tx>
          <c:spPr>
            <a:solidFill>
              <a:schemeClr val="tx2">
                <a:lumMod val="40000"/>
                <a:lumOff val="60000"/>
              </a:schemeClr>
            </a:solidFill>
            <a:ln>
              <a:noFill/>
            </a:ln>
            <a:effectLst/>
          </c:spPr>
          <c:invertIfNegative val="0"/>
          <c:cat>
            <c:strRef>
              <c:f>'Dashboard data'!$I$123:$T$123</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data'!$I$125:$T$125</c:f>
              <c:numCache>
                <c:formatCode>0.0</c:formatCode>
                <c:ptCount val="12"/>
                <c:pt idx="2">
                  <c:v>48.939433187772913</c:v>
                </c:pt>
                <c:pt idx="3">
                  <c:v>48.939433187772913</c:v>
                </c:pt>
                <c:pt idx="4">
                  <c:v>48.939433187772913</c:v>
                </c:pt>
                <c:pt idx="5">
                  <c:v>48.939433187772913</c:v>
                </c:pt>
                <c:pt idx="6">
                  <c:v>48.939433187772913</c:v>
                </c:pt>
                <c:pt idx="7">
                  <c:v>48.939433187772913</c:v>
                </c:pt>
                <c:pt idx="8">
                  <c:v>48.939433187772913</c:v>
                </c:pt>
                <c:pt idx="9">
                  <c:v>48.939433187772913</c:v>
                </c:pt>
                <c:pt idx="10">
                  <c:v>48.939433187772913</c:v>
                </c:pt>
                <c:pt idx="11">
                  <c:v>48.939433187772913</c:v>
                </c:pt>
              </c:numCache>
            </c:numRef>
          </c:val>
          <c:extLst>
            <c:ext xmlns:c16="http://schemas.microsoft.com/office/drawing/2014/chart" uri="{C3380CC4-5D6E-409C-BE32-E72D297353CC}">
              <c16:uniqueId val="{00000001-2D9F-4A7C-9B42-E2F4B857ADB0}"/>
            </c:ext>
          </c:extLst>
        </c:ser>
        <c:ser>
          <c:idx val="2"/>
          <c:order val="2"/>
          <c:tx>
            <c:strRef>
              <c:f>'Dashboard data'!$H$126</c:f>
              <c:strCache>
                <c:ptCount val="1"/>
                <c:pt idx="0">
                  <c:v>Forecast variations to baseline operating expenditure</c:v>
                </c:pt>
              </c:strCache>
            </c:strRef>
          </c:tx>
          <c:spPr>
            <a:solidFill>
              <a:schemeClr val="bg2">
                <a:lumMod val="90000"/>
              </a:schemeClr>
            </a:solidFill>
            <a:ln>
              <a:noFill/>
            </a:ln>
            <a:effectLst/>
          </c:spPr>
          <c:invertIfNegative val="0"/>
          <c:cat>
            <c:strRef>
              <c:f>'Dashboard data'!$I$123:$T$123</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data'!$I$126:$T$126</c:f>
              <c:numCache>
                <c:formatCode>0.0</c:formatCode>
                <c:ptCount val="12"/>
                <c:pt idx="2">
                  <c:v>7.9880679999999984</c:v>
                </c:pt>
                <c:pt idx="3">
                  <c:v>8.8071020000000004</c:v>
                </c:pt>
                <c:pt idx="4">
                  <c:v>8.2829489999999968</c:v>
                </c:pt>
                <c:pt idx="5">
                  <c:v>9.1594789999999993</c:v>
                </c:pt>
                <c:pt idx="6">
                  <c:v>9.2422549999999983</c:v>
                </c:pt>
                <c:pt idx="7">
                  <c:v>10.097541055227072</c:v>
                </c:pt>
                <c:pt idx="8">
                  <c:v>10.965383110454148</c:v>
                </c:pt>
                <c:pt idx="9">
                  <c:v>11.84578116568122</c:v>
                </c:pt>
                <c:pt idx="10">
                  <c:v>12.739027220908296</c:v>
                </c:pt>
                <c:pt idx="11">
                  <c:v>13.64541327613537</c:v>
                </c:pt>
              </c:numCache>
            </c:numRef>
          </c:val>
          <c:extLst>
            <c:ext xmlns:c16="http://schemas.microsoft.com/office/drawing/2014/chart" uri="{C3380CC4-5D6E-409C-BE32-E72D297353CC}">
              <c16:uniqueId val="{00000002-2D9F-4A7C-9B42-E2F4B857ADB0}"/>
            </c:ext>
          </c:extLst>
        </c:ser>
        <c:ser>
          <c:idx val="3"/>
          <c:order val="3"/>
          <c:tx>
            <c:strRef>
              <c:f>'Dashboard data'!$H$127</c:f>
              <c:strCache>
                <c:ptCount val="1"/>
                <c:pt idx="0">
                  <c:v>Licence fees</c:v>
                </c:pt>
              </c:strCache>
            </c:strRef>
          </c:tx>
          <c:spPr>
            <a:solidFill>
              <a:schemeClr val="accent4"/>
            </a:solidFill>
            <a:ln>
              <a:noFill/>
            </a:ln>
            <a:effectLst/>
          </c:spPr>
          <c:invertIfNegative val="0"/>
          <c:cat>
            <c:strRef>
              <c:f>'Dashboard data'!$I$123:$T$123</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data'!$I$127:$T$127</c:f>
              <c:numCache>
                <c:formatCode>0.0</c:formatCode>
                <c:ptCount val="12"/>
                <c:pt idx="0">
                  <c:v>0.28467685589519648</c:v>
                </c:pt>
                <c:pt idx="1">
                  <c:v>0.26400000000000001</c:v>
                </c:pt>
                <c:pt idx="2">
                  <c:v>0.26400000000000001</c:v>
                </c:pt>
                <c:pt idx="3">
                  <c:v>0.26400000000000001</c:v>
                </c:pt>
                <c:pt idx="4">
                  <c:v>0.26400000000000001</c:v>
                </c:pt>
                <c:pt idx="5">
                  <c:v>0.26400000000000001</c:v>
                </c:pt>
                <c:pt idx="6">
                  <c:v>0.26400000000000001</c:v>
                </c:pt>
                <c:pt idx="7">
                  <c:v>0.26400000000000001</c:v>
                </c:pt>
                <c:pt idx="8">
                  <c:v>0.26400000000000001</c:v>
                </c:pt>
                <c:pt idx="9">
                  <c:v>0.26400000000000001</c:v>
                </c:pt>
                <c:pt idx="10">
                  <c:v>0.26400000000000001</c:v>
                </c:pt>
                <c:pt idx="11">
                  <c:v>0.26400000000000001</c:v>
                </c:pt>
              </c:numCache>
            </c:numRef>
          </c:val>
          <c:extLst>
            <c:ext xmlns:c16="http://schemas.microsoft.com/office/drawing/2014/chart" uri="{C3380CC4-5D6E-409C-BE32-E72D297353CC}">
              <c16:uniqueId val="{00000003-2D9F-4A7C-9B42-E2F4B857ADB0}"/>
            </c:ext>
          </c:extLst>
        </c:ser>
        <c:ser>
          <c:idx val="4"/>
          <c:order val="4"/>
          <c:tx>
            <c:strRef>
              <c:f>'Dashboard data'!$H$128</c:f>
              <c:strCache>
                <c:ptCount val="1"/>
                <c:pt idx="0">
                  <c:v>Environment Contribution</c:v>
                </c:pt>
              </c:strCache>
            </c:strRef>
          </c:tx>
          <c:spPr>
            <a:solidFill>
              <a:schemeClr val="tx2"/>
            </a:solidFill>
            <a:ln>
              <a:noFill/>
            </a:ln>
            <a:effectLst/>
          </c:spPr>
          <c:invertIfNegative val="0"/>
          <c:cat>
            <c:strRef>
              <c:f>'Dashboard data'!$I$123:$T$123</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data'!$I$128:$T$128</c:f>
              <c:numCache>
                <c:formatCode>0.0</c:formatCode>
                <c:ptCount val="12"/>
                <c:pt idx="0">
                  <c:v>3.2717358078602614</c:v>
                </c:pt>
                <c:pt idx="1">
                  <c:v>3.1949999999999998</c:v>
                </c:pt>
                <c:pt idx="2">
                  <c:v>3.1049562682215743</c:v>
                </c:pt>
                <c:pt idx="3">
                  <c:v>3.017450212071501</c:v>
                </c:pt>
                <c:pt idx="4">
                  <c:v>2.9324103129946564</c:v>
                </c:pt>
                <c:pt idx="5">
                  <c:v>2.8497670680220182</c:v>
                </c:pt>
                <c:pt idx="6">
                  <c:v>2.7694529329660043</c:v>
                </c:pt>
                <c:pt idx="7">
                  <c:v>2.6914022672167195</c:v>
                </c:pt>
                <c:pt idx="8">
                  <c:v>2.6155512800939937</c:v>
                </c:pt>
                <c:pt idx="9">
                  <c:v>2.5418379787113645</c:v>
                </c:pt>
                <c:pt idx="10">
                  <c:v>2.4702021173093924</c:v>
                </c:pt>
                <c:pt idx="11">
                  <c:v>2.4005851480169023</c:v>
                </c:pt>
              </c:numCache>
            </c:numRef>
          </c:val>
          <c:extLst>
            <c:ext xmlns:c16="http://schemas.microsoft.com/office/drawing/2014/chart" uri="{C3380CC4-5D6E-409C-BE32-E72D297353CC}">
              <c16:uniqueId val="{00000004-2D9F-4A7C-9B42-E2F4B857ADB0}"/>
            </c:ext>
          </c:extLst>
        </c:ser>
        <c:ser>
          <c:idx val="5"/>
          <c:order val="5"/>
          <c:tx>
            <c:strRef>
              <c:f>'Dashboard data'!$H$129</c:f>
              <c:strCache>
                <c:ptCount val="1"/>
                <c:pt idx="0">
                  <c:v>External bulk water charges</c:v>
                </c:pt>
              </c:strCache>
            </c:strRef>
          </c:tx>
          <c:spPr>
            <a:solidFill>
              <a:schemeClr val="bg1">
                <a:lumMod val="75000"/>
              </a:schemeClr>
            </a:solidFill>
            <a:ln>
              <a:noFill/>
            </a:ln>
            <a:effectLst/>
          </c:spPr>
          <c:invertIfNegative val="0"/>
          <c:cat>
            <c:strRef>
              <c:f>'Dashboard data'!$I$123:$T$123</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data'!$I$129:$T$129</c:f>
              <c:numCache>
                <c:formatCode>0.0</c:formatCode>
                <c:ptCount val="12"/>
                <c:pt idx="0">
                  <c:v>1.092626637554585</c:v>
                </c:pt>
                <c:pt idx="1">
                  <c:v>0.45500000000000002</c:v>
                </c:pt>
                <c:pt idx="2">
                  <c:v>0.45500000000000002</c:v>
                </c:pt>
                <c:pt idx="3">
                  <c:v>0.45500000000000002</c:v>
                </c:pt>
                <c:pt idx="4">
                  <c:v>0.45500000000000002</c:v>
                </c:pt>
                <c:pt idx="5">
                  <c:v>0.45500000000000002</c:v>
                </c:pt>
                <c:pt idx="6">
                  <c:v>0.45500000000000002</c:v>
                </c:pt>
                <c:pt idx="7">
                  <c:v>0.45500000000000002</c:v>
                </c:pt>
                <c:pt idx="8">
                  <c:v>0.45500000000000002</c:v>
                </c:pt>
                <c:pt idx="9">
                  <c:v>0.45500000000000002</c:v>
                </c:pt>
                <c:pt idx="10">
                  <c:v>0.45500000000000002</c:v>
                </c:pt>
                <c:pt idx="11">
                  <c:v>0.45500000000000002</c:v>
                </c:pt>
              </c:numCache>
            </c:numRef>
          </c:val>
          <c:extLst>
            <c:ext xmlns:c16="http://schemas.microsoft.com/office/drawing/2014/chart" uri="{C3380CC4-5D6E-409C-BE32-E72D297353CC}">
              <c16:uniqueId val="{00000005-2D9F-4A7C-9B42-E2F4B857ADB0}"/>
            </c:ext>
          </c:extLst>
        </c:ser>
        <c:ser>
          <c:idx val="6"/>
          <c:order val="6"/>
          <c:tx>
            <c:strRef>
              <c:f>'Dashboard data'!$H$130</c:f>
              <c:strCache>
                <c:ptCount val="1"/>
                <c:pt idx="0">
                  <c:v>External temporary water purchases</c:v>
                </c:pt>
              </c:strCache>
            </c:strRef>
          </c:tx>
          <c:spPr>
            <a:solidFill>
              <a:schemeClr val="accent1">
                <a:lumMod val="60000"/>
              </a:schemeClr>
            </a:solidFill>
            <a:ln>
              <a:noFill/>
            </a:ln>
            <a:effectLst/>
          </c:spPr>
          <c:invertIfNegative val="0"/>
          <c:cat>
            <c:strRef>
              <c:f>'Dashboard data'!$I$123:$T$123</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data'!$I$130:$T$130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2D9F-4A7C-9B42-E2F4B857ADB0}"/>
            </c:ext>
          </c:extLst>
        </c:ser>
        <c:ser>
          <c:idx val="7"/>
          <c:order val="7"/>
          <c:tx>
            <c:strRef>
              <c:f>'Dashboard data'!$H$131</c:f>
              <c:strCache>
                <c:ptCount val="1"/>
                <c:pt idx="0">
                  <c:v>Other non-controllable</c:v>
                </c:pt>
              </c:strCache>
            </c:strRef>
          </c:tx>
          <c:spPr>
            <a:solidFill>
              <a:schemeClr val="accent2">
                <a:lumMod val="60000"/>
              </a:schemeClr>
            </a:solidFill>
            <a:ln>
              <a:noFill/>
            </a:ln>
            <a:effectLst/>
          </c:spPr>
          <c:invertIfNegative val="0"/>
          <c:cat>
            <c:strRef>
              <c:f>'Dashboard data'!$I$123:$T$123</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data'!$I$131:$T$131</c:f>
              <c:numCache>
                <c:formatCode>0.0</c:formatCode>
                <c:ptCount val="12"/>
                <c:pt idx="0">
                  <c:v>8.192139737991265E-2</c:v>
                </c:pt>
                <c:pt idx="1">
                  <c:v>0.08</c:v>
                </c:pt>
                <c:pt idx="2">
                  <c:v>0.08</c:v>
                </c:pt>
                <c:pt idx="3">
                  <c:v>0.08</c:v>
                </c:pt>
                <c:pt idx="4">
                  <c:v>0.08</c:v>
                </c:pt>
                <c:pt idx="5">
                  <c:v>0.08</c:v>
                </c:pt>
                <c:pt idx="6">
                  <c:v>0.08</c:v>
                </c:pt>
                <c:pt idx="7">
                  <c:v>0.08</c:v>
                </c:pt>
                <c:pt idx="8">
                  <c:v>0.08</c:v>
                </c:pt>
                <c:pt idx="9">
                  <c:v>0.08</c:v>
                </c:pt>
                <c:pt idx="10">
                  <c:v>0.08</c:v>
                </c:pt>
                <c:pt idx="11">
                  <c:v>0.08</c:v>
                </c:pt>
              </c:numCache>
            </c:numRef>
          </c:val>
          <c:extLst>
            <c:ext xmlns:c16="http://schemas.microsoft.com/office/drawing/2014/chart" uri="{C3380CC4-5D6E-409C-BE32-E72D297353CC}">
              <c16:uniqueId val="{00000007-2D9F-4A7C-9B42-E2F4B857ADB0}"/>
            </c:ext>
          </c:extLst>
        </c:ser>
        <c:dLbls>
          <c:showLegendKey val="0"/>
          <c:showVal val="0"/>
          <c:showCatName val="0"/>
          <c:showSerName val="0"/>
          <c:showPercent val="0"/>
          <c:showBubbleSize val="0"/>
        </c:dLbls>
        <c:gapWidth val="79"/>
        <c:overlap val="100"/>
        <c:axId val="1392286560"/>
        <c:axId val="702604319"/>
      </c:barChart>
      <c:catAx>
        <c:axId val="1392286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604319"/>
        <c:crosses val="autoZero"/>
        <c:auto val="1"/>
        <c:lblAlgn val="ctr"/>
        <c:lblOffset val="100"/>
        <c:noMultiLvlLbl val="0"/>
      </c:catAx>
      <c:valAx>
        <c:axId val="702604319"/>
        <c:scaling>
          <c:orientation val="minMax"/>
          <c:max val="45"/>
          <c:min val="-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2286560"/>
        <c:crosses val="autoZero"/>
        <c:crossBetween val="between"/>
        <c:majorUnit val="10"/>
      </c:valAx>
      <c:spPr>
        <a:noFill/>
        <a:ln>
          <a:noFill/>
        </a:ln>
        <a:effectLst/>
      </c:spPr>
    </c:plotArea>
    <c:legend>
      <c:legendPos val="b"/>
      <c:layout>
        <c:manualLayout>
          <c:xMode val="edge"/>
          <c:yMode val="edge"/>
          <c:x val="1.2538580246913572E-2"/>
          <c:y val="0.76563055555555559"/>
          <c:w val="0.98746141975308643"/>
          <c:h val="0.2065916666666666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Labour costs per water connection</a:t>
            </a:r>
          </a:p>
        </c:rich>
      </c:tx>
      <c:overlay val="0"/>
    </c:title>
    <c:autoTitleDeleted val="0"/>
    <c:plotArea>
      <c:layout/>
      <c:lineChart>
        <c:grouping val="standard"/>
        <c:varyColors val="0"/>
        <c:ser>
          <c:idx val="0"/>
          <c:order val="0"/>
          <c:tx>
            <c:strRef>
              <c:f>'Dashboard data'!$W$73</c:f>
              <c:strCache>
                <c:ptCount val="1"/>
                <c:pt idx="0">
                  <c:v>Labour costs per water connections</c:v>
                </c:pt>
              </c:strCache>
            </c:strRef>
          </c:tx>
          <c:marker>
            <c:symbol val="none"/>
          </c:marker>
          <c:cat>
            <c:strRef>
              <c:f>'Dashboard data'!$X$72:$AO$72</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data'!$X$73:$AO$73</c:f>
              <c:numCache>
                <c:formatCode>0</c:formatCode>
                <c:ptCount val="18"/>
                <c:pt idx="0">
                  <c:v>448.29320804967068</c:v>
                </c:pt>
                <c:pt idx="1">
                  <c:v>482.04956652944549</c:v>
                </c:pt>
                <c:pt idx="2">
                  <c:v>461.8490860041403</c:v>
                </c:pt>
                <c:pt idx="3">
                  <c:v>463.59914957120696</c:v>
                </c:pt>
                <c:pt idx="4">
                  <c:v>482.17461125930549</c:v>
                </c:pt>
                <c:pt idx="5">
                  <c:v>495.73328403809313</c:v>
                </c:pt>
                <c:pt idx="6">
                  <c:v>488.05652883496055</c:v>
                </c:pt>
                <c:pt idx="7">
                  <c:v>495.72248682628447</c:v>
                </c:pt>
                <c:pt idx="8">
                  <c:v>513.13818345394145</c:v>
                </c:pt>
                <c:pt idx="9">
                  <c:v>511.50029322934313</c:v>
                </c:pt>
                <c:pt idx="10">
                  <c:v>504.13985139891895</c:v>
                </c:pt>
                <c:pt idx="11">
                  <c:v>498.35979650853358</c:v>
                </c:pt>
                <c:pt idx="12">
                  <c:v>491.18844520848967</c:v>
                </c:pt>
                <c:pt idx="13">
                  <c:v>454.43259231314045</c:v>
                </c:pt>
                <c:pt idx="14">
                  <c:v>447.89334941172922</c:v>
                </c:pt>
                <c:pt idx="15">
                  <c:v>441.44820560982578</c:v>
                </c:pt>
                <c:pt idx="16">
                  <c:v>435.09580683010626</c:v>
                </c:pt>
                <c:pt idx="17">
                  <c:v>428.83481848029402</c:v>
                </c:pt>
              </c:numCache>
            </c:numRef>
          </c:val>
          <c:smooth val="0"/>
          <c:extLst>
            <c:ext xmlns:c16="http://schemas.microsoft.com/office/drawing/2014/chart" uri="{C3380CC4-5D6E-409C-BE32-E72D297353CC}">
              <c16:uniqueId val="{00000000-90B5-4145-9BA6-E5764854C809}"/>
            </c:ext>
          </c:extLst>
        </c:ser>
        <c:dLbls>
          <c:showLegendKey val="0"/>
          <c:showVal val="0"/>
          <c:showCatName val="0"/>
          <c:showSerName val="0"/>
          <c:showPercent val="0"/>
          <c:showBubbleSize val="0"/>
        </c:dLbls>
        <c:smooth val="0"/>
        <c:axId val="199375488"/>
        <c:axId val="199381376"/>
      </c:lineChart>
      <c:catAx>
        <c:axId val="199375488"/>
        <c:scaling>
          <c:orientation val="minMax"/>
        </c:scaling>
        <c:delete val="0"/>
        <c:axPos val="b"/>
        <c:numFmt formatCode="General" sourceLinked="0"/>
        <c:majorTickMark val="none"/>
        <c:minorTickMark val="none"/>
        <c:tickLblPos val="nextTo"/>
        <c:txPr>
          <a:bodyPr rot="-5400000" vert="horz"/>
          <a:lstStyle/>
          <a:p>
            <a:pPr>
              <a:defRPr sz="1100"/>
            </a:pPr>
            <a:endParaRPr lang="en-US"/>
          </a:p>
        </c:txPr>
        <c:crossAx val="199381376"/>
        <c:crosses val="autoZero"/>
        <c:auto val="1"/>
        <c:lblAlgn val="ctr"/>
        <c:lblOffset val="100"/>
        <c:noMultiLvlLbl val="0"/>
      </c:catAx>
      <c:valAx>
        <c:axId val="199381376"/>
        <c:scaling>
          <c:orientation val="minMax"/>
        </c:scaling>
        <c:delete val="0"/>
        <c:axPos val="l"/>
        <c:majorGridlines/>
        <c:numFmt formatCode="0" sourceLinked="1"/>
        <c:majorTickMark val="none"/>
        <c:minorTickMark val="none"/>
        <c:tickLblPos val="nextTo"/>
        <c:spPr>
          <a:ln w="9525">
            <a:noFill/>
          </a:ln>
        </c:spPr>
        <c:crossAx val="19937548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'Dashboard data'!$W$79</c:f>
              <c:strCache>
                <c:ptCount val="1"/>
                <c:pt idx="0">
                  <c:v>Average unit labour cost (labour costs per FTE)</c:v>
                </c:pt>
              </c:strCache>
            </c:strRef>
          </c:tx>
          <c:marker>
            <c:symbol val="none"/>
          </c:marker>
          <c:cat>
            <c:strRef>
              <c:f>'Dashboard data'!$X$78:$AO$78</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data'!$X$79:$AO$79</c:f>
              <c:numCache>
                <c:formatCode>_-* #,##0_-;\-* #,##0_-;_-* "-"??_-;_-@_-</c:formatCode>
                <c:ptCount val="18"/>
                <c:pt idx="0">
                  <c:v>124989.14375537267</c:v>
                </c:pt>
                <c:pt idx="1">
                  <c:v>135289.59799290457</c:v>
                </c:pt>
                <c:pt idx="2">
                  <c:v>129886.15143644434</c:v>
                </c:pt>
                <c:pt idx="3">
                  <c:v>129270.61196519177</c:v>
                </c:pt>
                <c:pt idx="4">
                  <c:v>127891.15258954649</c:v>
                </c:pt>
                <c:pt idx="5">
                  <c:v>128160.56603100843</c:v>
                </c:pt>
                <c:pt idx="6">
                  <c:v>127942.05804250577</c:v>
                </c:pt>
                <c:pt idx="7">
                  <c:v>131848.95233709418</c:v>
                </c:pt>
                <c:pt idx="8">
                  <c:v>129526.43118673272</c:v>
                </c:pt>
                <c:pt idx="9">
                  <c:v>129326.79566234318</c:v>
                </c:pt>
                <c:pt idx="10">
                  <c:v>129326.79566234318</c:v>
                </c:pt>
                <c:pt idx="11">
                  <c:v>129161.29155197967</c:v>
                </c:pt>
                <c:pt idx="12">
                  <c:v>129161.29155197967</c:v>
                </c:pt>
                <c:pt idx="13">
                  <c:v>121240.7368198179</c:v>
                </c:pt>
                <c:pt idx="14">
                  <c:v>121240.7368198179</c:v>
                </c:pt>
                <c:pt idx="15">
                  <c:v>121240.7368198179</c:v>
                </c:pt>
                <c:pt idx="16">
                  <c:v>121240.7368198179</c:v>
                </c:pt>
                <c:pt idx="17">
                  <c:v>121240.7368198179</c:v>
                </c:pt>
              </c:numCache>
            </c:numRef>
          </c:val>
          <c:smooth val="1"/>
          <c:extLst>
            <c:ext xmlns:c16="http://schemas.microsoft.com/office/drawing/2014/chart" uri="{C3380CC4-5D6E-409C-BE32-E72D297353CC}">
              <c16:uniqueId val="{00000000-0233-4105-99DD-8714609315B1}"/>
            </c:ext>
          </c:extLst>
        </c:ser>
        <c:dLbls>
          <c:showLegendKey val="0"/>
          <c:showVal val="0"/>
          <c:showCatName val="0"/>
          <c:showSerName val="0"/>
          <c:showPercent val="0"/>
          <c:showBubbleSize val="0"/>
        </c:dLbls>
        <c:smooth val="0"/>
        <c:axId val="199575424"/>
        <c:axId val="199576960"/>
      </c:lineChart>
      <c:catAx>
        <c:axId val="199575424"/>
        <c:scaling>
          <c:orientation val="minMax"/>
        </c:scaling>
        <c:delete val="0"/>
        <c:axPos val="b"/>
        <c:numFmt formatCode="General" sourceLinked="0"/>
        <c:majorTickMark val="none"/>
        <c:minorTickMark val="none"/>
        <c:tickLblPos val="nextTo"/>
        <c:txPr>
          <a:bodyPr rot="-5400000" vert="horz"/>
          <a:lstStyle/>
          <a:p>
            <a:pPr>
              <a:defRPr sz="1100"/>
            </a:pPr>
            <a:endParaRPr lang="en-US"/>
          </a:p>
        </c:txPr>
        <c:crossAx val="199576960"/>
        <c:crosses val="autoZero"/>
        <c:auto val="1"/>
        <c:lblAlgn val="ctr"/>
        <c:lblOffset val="100"/>
        <c:noMultiLvlLbl val="0"/>
      </c:catAx>
      <c:valAx>
        <c:axId val="199576960"/>
        <c:scaling>
          <c:orientation val="minMax"/>
        </c:scaling>
        <c:delete val="0"/>
        <c:axPos val="l"/>
        <c:majorGridlines/>
        <c:numFmt formatCode="_-* #,##0_-;\-* #,##0_-;_-* &quot;-&quot;??_-;_-@_-" sourceLinked="1"/>
        <c:majorTickMark val="none"/>
        <c:minorTickMark val="none"/>
        <c:tickLblPos val="nextTo"/>
        <c:spPr>
          <a:ln w="9525">
            <a:noFill/>
          </a:ln>
        </c:spPr>
        <c:crossAx val="19957542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'Dashboard data'!$W$89</c:f>
              <c:strCache>
                <c:ptCount val="1"/>
                <c:pt idx="0">
                  <c:v>Energy costs per water volume</c:v>
                </c:pt>
              </c:strCache>
            </c:strRef>
          </c:tx>
          <c:marker>
            <c:symbol val="none"/>
          </c:marker>
          <c:cat>
            <c:strRef>
              <c:f>'Dashboard data'!$X$88:$AO$88</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data'!$X$89:$AO$89</c:f>
              <c:numCache>
                <c:formatCode>0.00</c:formatCode>
                <c:ptCount val="18"/>
                <c:pt idx="0">
                  <c:v>313.97431657863092</c:v>
                </c:pt>
                <c:pt idx="1">
                  <c:v>312.10285479560031</c:v>
                </c:pt>
                <c:pt idx="2">
                  <c:v>303.94703736722994</c:v>
                </c:pt>
                <c:pt idx="3">
                  <c:v>364.84368496948161</c:v>
                </c:pt>
                <c:pt idx="4">
                  <c:v>408.39235804454319</c:v>
                </c:pt>
                <c:pt idx="5">
                  <c:v>301.81547113551864</c:v>
                </c:pt>
                <c:pt idx="6">
                  <c:v>315.17518744335496</c:v>
                </c:pt>
                <c:pt idx="7">
                  <c:v>289.6472911602184</c:v>
                </c:pt>
                <c:pt idx="8">
                  <c:v>269.54315378447694</c:v>
                </c:pt>
                <c:pt idx="9">
                  <c:v>261.93664464877264</c:v>
                </c:pt>
                <c:pt idx="10">
                  <c:v>269.43024225504269</c:v>
                </c:pt>
                <c:pt idx="11">
                  <c:v>283.2976774060138</c:v>
                </c:pt>
                <c:pt idx="12">
                  <c:v>299.822555282986</c:v>
                </c:pt>
                <c:pt idx="13">
                  <c:v>335.39443546846752</c:v>
                </c:pt>
                <c:pt idx="14">
                  <c:v>364.30956016985488</c:v>
                </c:pt>
                <c:pt idx="15">
                  <c:v>368.14709785563684</c:v>
                </c:pt>
                <c:pt idx="16">
                  <c:v>372.02641356189838</c:v>
                </c:pt>
                <c:pt idx="17">
                  <c:v>375.94837673274378</c:v>
                </c:pt>
              </c:numCache>
            </c:numRef>
          </c:val>
          <c:smooth val="1"/>
          <c:extLst>
            <c:ext xmlns:c16="http://schemas.microsoft.com/office/drawing/2014/chart" uri="{C3380CC4-5D6E-409C-BE32-E72D297353CC}">
              <c16:uniqueId val="{00000000-D6C3-4DD0-88F5-161C6C2EDE66}"/>
            </c:ext>
          </c:extLst>
        </c:ser>
        <c:dLbls>
          <c:showLegendKey val="0"/>
          <c:showVal val="0"/>
          <c:showCatName val="0"/>
          <c:showSerName val="0"/>
          <c:showPercent val="0"/>
          <c:showBubbleSize val="0"/>
        </c:dLbls>
        <c:smooth val="0"/>
        <c:axId val="200029696"/>
        <c:axId val="200031232"/>
      </c:lineChart>
      <c:catAx>
        <c:axId val="200029696"/>
        <c:scaling>
          <c:orientation val="minMax"/>
        </c:scaling>
        <c:delete val="0"/>
        <c:axPos val="b"/>
        <c:numFmt formatCode="General" sourceLinked="0"/>
        <c:majorTickMark val="none"/>
        <c:minorTickMark val="none"/>
        <c:tickLblPos val="nextTo"/>
        <c:txPr>
          <a:bodyPr rot="-5400000" vert="horz"/>
          <a:lstStyle/>
          <a:p>
            <a:pPr>
              <a:defRPr sz="1100"/>
            </a:pPr>
            <a:endParaRPr lang="en-US"/>
          </a:p>
        </c:txPr>
        <c:crossAx val="200031232"/>
        <c:crosses val="autoZero"/>
        <c:auto val="1"/>
        <c:lblAlgn val="ctr"/>
        <c:lblOffset val="100"/>
        <c:noMultiLvlLbl val="0"/>
      </c:catAx>
      <c:valAx>
        <c:axId val="200031232"/>
        <c:scaling>
          <c:orientation val="minMax"/>
        </c:scaling>
        <c:delete val="0"/>
        <c:axPos val="l"/>
        <c:majorGridlines/>
        <c:numFmt formatCode="0.0" sourceLinked="0"/>
        <c:majorTickMark val="none"/>
        <c:minorTickMark val="none"/>
        <c:tickLblPos val="nextTo"/>
        <c:spPr>
          <a:ln w="9525">
            <a:noFill/>
          </a:ln>
        </c:spPr>
        <c:crossAx val="20002969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'Dashboard data'!$W$84</c:f>
              <c:strCache>
                <c:ptCount val="1"/>
                <c:pt idx="0">
                  <c:v>Chemical costs per water volume</c:v>
                </c:pt>
              </c:strCache>
            </c:strRef>
          </c:tx>
          <c:marker>
            <c:symbol val="none"/>
          </c:marker>
          <c:cat>
            <c:strRef>
              <c:f>'Dashboard data'!$X$83:$AO$83</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data'!$X$84:$AO$84</c:f>
              <c:numCache>
                <c:formatCode>0.00</c:formatCode>
                <c:ptCount val="18"/>
                <c:pt idx="0">
                  <c:v>114.11488526604188</c:v>
                </c:pt>
                <c:pt idx="1">
                  <c:v>136.8780119446933</c:v>
                </c:pt>
                <c:pt idx="2">
                  <c:v>131.57533048435698</c:v>
                </c:pt>
                <c:pt idx="3">
                  <c:v>147.85235310558721</c:v>
                </c:pt>
                <c:pt idx="4">
                  <c:v>185.21367473249751</c:v>
                </c:pt>
                <c:pt idx="5">
                  <c:v>156.69063709884637</c:v>
                </c:pt>
                <c:pt idx="6">
                  <c:v>130.95052049003047</c:v>
                </c:pt>
                <c:pt idx="7">
                  <c:v>158.32674857864609</c:v>
                </c:pt>
                <c:pt idx="8">
                  <c:v>177.72871748139562</c:v>
                </c:pt>
                <c:pt idx="9">
                  <c:v>177.57480539723983</c:v>
                </c:pt>
                <c:pt idx="10">
                  <c:v>177.46423389665173</c:v>
                </c:pt>
                <c:pt idx="11">
                  <c:v>177.3314967359097</c:v>
                </c:pt>
                <c:pt idx="12">
                  <c:v>177.24015413313433</c:v>
                </c:pt>
                <c:pt idx="13">
                  <c:v>175.4974809894853</c:v>
                </c:pt>
                <c:pt idx="14">
                  <c:v>173.7644285302535</c:v>
                </c:pt>
                <c:pt idx="15">
                  <c:v>172.04105447266679</c:v>
                </c:pt>
                <c:pt idx="16">
                  <c:v>170.32735919547025</c:v>
                </c:pt>
                <c:pt idx="17">
                  <c:v>168.62340302059368</c:v>
                </c:pt>
              </c:numCache>
            </c:numRef>
          </c:val>
          <c:smooth val="1"/>
          <c:extLst>
            <c:ext xmlns:c16="http://schemas.microsoft.com/office/drawing/2014/chart" uri="{C3380CC4-5D6E-409C-BE32-E72D297353CC}">
              <c16:uniqueId val="{00000000-132A-4C68-9033-74ACB98CF416}"/>
            </c:ext>
          </c:extLst>
        </c:ser>
        <c:dLbls>
          <c:showLegendKey val="0"/>
          <c:showVal val="0"/>
          <c:showCatName val="0"/>
          <c:showSerName val="0"/>
          <c:showPercent val="0"/>
          <c:showBubbleSize val="0"/>
        </c:dLbls>
        <c:smooth val="0"/>
        <c:axId val="199593984"/>
        <c:axId val="199595520"/>
      </c:lineChart>
      <c:catAx>
        <c:axId val="199593984"/>
        <c:scaling>
          <c:orientation val="minMax"/>
        </c:scaling>
        <c:delete val="0"/>
        <c:axPos val="b"/>
        <c:numFmt formatCode="General" sourceLinked="0"/>
        <c:majorTickMark val="none"/>
        <c:minorTickMark val="none"/>
        <c:tickLblPos val="nextTo"/>
        <c:txPr>
          <a:bodyPr rot="-5400000" vert="horz"/>
          <a:lstStyle/>
          <a:p>
            <a:pPr>
              <a:defRPr sz="1100"/>
            </a:pPr>
            <a:endParaRPr lang="en-US"/>
          </a:p>
        </c:txPr>
        <c:crossAx val="199595520"/>
        <c:crosses val="autoZero"/>
        <c:auto val="1"/>
        <c:lblAlgn val="ctr"/>
        <c:lblOffset val="100"/>
        <c:noMultiLvlLbl val="0"/>
      </c:catAx>
      <c:valAx>
        <c:axId val="199595520"/>
        <c:scaling>
          <c:orientation val="minMax"/>
        </c:scaling>
        <c:delete val="0"/>
        <c:axPos val="l"/>
        <c:majorGridlines/>
        <c:numFmt formatCode="0.0" sourceLinked="0"/>
        <c:majorTickMark val="none"/>
        <c:minorTickMark val="none"/>
        <c:tickLblPos val="nextTo"/>
        <c:spPr>
          <a:ln w="9525">
            <a:noFill/>
          </a:ln>
        </c:spPr>
        <c:crossAx val="19959398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AU" sz="1800" b="1" i="0" u="none" strike="noStrike" kern="1200" spc="0" baseline="0">
                <a:solidFill>
                  <a:sysClr val="windowText" lastClr="000000">
                    <a:lumMod val="65000"/>
                    <a:lumOff val="35000"/>
                  </a:sysClr>
                </a:solidFill>
              </a:rPr>
              <a:t>Controllable Opex: Current vs Previous Review</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 data'!$B$170</c:f>
              <c:strCache>
                <c:ptCount val="1"/>
                <c:pt idx="0">
                  <c:v>FD 2017/18 Benchmarks</c:v>
                </c:pt>
              </c:strCache>
            </c:strRef>
          </c:tx>
          <c:spPr>
            <a:ln w="38100" cap="rnd">
              <a:solidFill>
                <a:srgbClr val="002060"/>
              </a:solidFill>
              <a:round/>
            </a:ln>
            <a:effectLst/>
          </c:spPr>
          <c:marker>
            <c:symbol val="none"/>
          </c:marker>
          <c:cat>
            <c:strRef>
              <c:f>'Dashboard data'!$C$169:$P$169</c:f>
              <c:strCache>
                <c:ptCount val="14"/>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strCache>
            </c:strRef>
          </c:cat>
          <c:val>
            <c:numRef>
              <c:f>'Dashboard data'!$C$170:$P$170</c:f>
              <c:numCache>
                <c:formatCode>0.00</c:formatCode>
                <c:ptCount val="14"/>
                <c:pt idx="0">
                  <c:v>48.06719457013574</c:v>
                </c:pt>
                <c:pt idx="1">
                  <c:v>47.474655624921169</c:v>
                </c:pt>
                <c:pt idx="2">
                  <c:v>47.445970247283476</c:v>
                </c:pt>
                <c:pt idx="3">
                  <c:v>46.791755686862679</c:v>
                </c:pt>
                <c:pt idx="4">
                  <c:v>46.056549963678044</c:v>
                </c:pt>
                <c:pt idx="5">
                  <c:v>47.113801695436997</c:v>
                </c:pt>
                <c:pt idx="6">
                  <c:v>46.46998133194063</c:v>
                </c:pt>
                <c:pt idx="7">
                  <c:v>46.586375382933639</c:v>
                </c:pt>
                <c:pt idx="8">
                  <c:v>46.670980705822757</c:v>
                </c:pt>
              </c:numCache>
            </c:numRef>
          </c:val>
          <c:smooth val="1"/>
          <c:extLst>
            <c:ext xmlns:c16="http://schemas.microsoft.com/office/drawing/2014/chart" uri="{C3380CC4-5D6E-409C-BE32-E72D297353CC}">
              <c16:uniqueId val="{00000000-6943-4A62-A354-AA5349121A6E}"/>
            </c:ext>
          </c:extLst>
        </c:ser>
        <c:ser>
          <c:idx val="1"/>
          <c:order val="1"/>
          <c:tx>
            <c:strRef>
              <c:f>'Dashboard data'!$B$171</c:f>
              <c:strCache>
                <c:ptCount val="1"/>
                <c:pt idx="0">
                  <c:v>FD 2017/18 Forecast</c:v>
                </c:pt>
              </c:strCache>
            </c:strRef>
          </c:tx>
          <c:spPr>
            <a:ln w="38100" cap="rnd">
              <a:solidFill>
                <a:srgbClr val="00B0F0"/>
              </a:solidFill>
              <a:round/>
            </a:ln>
            <a:effectLst/>
          </c:spPr>
          <c:marker>
            <c:symbol val="none"/>
          </c:marker>
          <c:cat>
            <c:strRef>
              <c:f>'Dashboard data'!$C$169:$P$169</c:f>
              <c:strCache>
                <c:ptCount val="14"/>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strCache>
            </c:strRef>
          </c:cat>
          <c:val>
            <c:numRef>
              <c:f>'Dashboard data'!$C$171:$P$171</c:f>
              <c:numCache>
                <c:formatCode>General</c:formatCode>
                <c:ptCount val="14"/>
                <c:pt idx="8" formatCode="0.00">
                  <c:v>46.670980705822757</c:v>
                </c:pt>
                <c:pt idx="9" formatCode="0.00">
                  <c:v>49.315031674208143</c:v>
                </c:pt>
                <c:pt idx="10" formatCode="0.00">
                  <c:v>49.614257918552035</c:v>
                </c:pt>
              </c:numCache>
            </c:numRef>
          </c:val>
          <c:smooth val="1"/>
          <c:extLst>
            <c:ext xmlns:c16="http://schemas.microsoft.com/office/drawing/2014/chart" uri="{C3380CC4-5D6E-409C-BE32-E72D297353CC}">
              <c16:uniqueId val="{00000001-6943-4A62-A354-AA5349121A6E}"/>
            </c:ext>
          </c:extLst>
        </c:ser>
        <c:ser>
          <c:idx val="2"/>
          <c:order val="2"/>
          <c:tx>
            <c:strRef>
              <c:f>'Dashboard data'!$B$172</c:f>
              <c:strCache>
                <c:ptCount val="1"/>
                <c:pt idx="0">
                  <c:v>PS4 Actual (2018-2026)</c:v>
                </c:pt>
              </c:strCache>
            </c:strRef>
          </c:tx>
          <c:spPr>
            <a:ln w="38100" cap="rnd">
              <a:solidFill>
                <a:srgbClr val="FF0000"/>
              </a:solidFill>
              <a:round/>
            </a:ln>
            <a:effectLst/>
          </c:spPr>
          <c:marker>
            <c:symbol val="none"/>
          </c:marker>
          <c:cat>
            <c:strRef>
              <c:f>'Dashboard data'!$C$169:$P$169</c:f>
              <c:strCache>
                <c:ptCount val="14"/>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strCache>
            </c:strRef>
          </c:cat>
          <c:val>
            <c:numRef>
              <c:f>'Dashboard data'!$C$172:$P$172</c:f>
              <c:numCache>
                <c:formatCode>0.00</c:formatCode>
                <c:ptCount val="14"/>
                <c:pt idx="0">
                  <c:v>49.88419819004524</c:v>
                </c:pt>
                <c:pt idx="1">
                  <c:v>48.04167761989342</c:v>
                </c:pt>
                <c:pt idx="2">
                  <c:v>53.262533742331293</c:v>
                </c:pt>
                <c:pt idx="3">
                  <c:v>50.409455403087478</c:v>
                </c:pt>
                <c:pt idx="4">
                  <c:v>52.173564885496177</c:v>
                </c:pt>
                <c:pt idx="5">
                  <c:v>58.135559322033892</c:v>
                </c:pt>
                <c:pt idx="6">
                  <c:v>57.475843891402711</c:v>
                </c:pt>
                <c:pt idx="7">
                  <c:v>57.607126637554572</c:v>
                </c:pt>
                <c:pt idx="8">
                  <c:v>54.994000000000014</c:v>
                </c:pt>
              </c:numCache>
            </c:numRef>
          </c:val>
          <c:smooth val="1"/>
          <c:extLst>
            <c:ext xmlns:c16="http://schemas.microsoft.com/office/drawing/2014/chart" uri="{C3380CC4-5D6E-409C-BE32-E72D297353CC}">
              <c16:uniqueId val="{00000002-6943-4A62-A354-AA5349121A6E}"/>
            </c:ext>
          </c:extLst>
        </c:ser>
        <c:ser>
          <c:idx val="3"/>
          <c:order val="3"/>
          <c:tx>
            <c:strRef>
              <c:f>'Dashboard data'!$B$173</c:f>
              <c:strCache>
                <c:ptCount val="1"/>
                <c:pt idx="0">
                  <c:v>PS5 Proposed</c:v>
                </c:pt>
              </c:strCache>
            </c:strRef>
          </c:tx>
          <c:spPr>
            <a:ln w="38100" cap="rnd">
              <a:solidFill>
                <a:srgbClr val="92D050"/>
              </a:solidFill>
              <a:round/>
            </a:ln>
            <a:effectLst/>
          </c:spPr>
          <c:marker>
            <c:symbol val="none"/>
          </c:marker>
          <c:cat>
            <c:strRef>
              <c:f>'Dashboard data'!$C$169:$P$169</c:f>
              <c:strCache>
                <c:ptCount val="14"/>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strCache>
            </c:strRef>
          </c:cat>
          <c:val>
            <c:numRef>
              <c:f>'Dashboard data'!$C$173:$P$173</c:f>
              <c:numCache>
                <c:formatCode>General</c:formatCode>
                <c:ptCount val="14"/>
                <c:pt idx="8" formatCode="0.00">
                  <c:v>54.994000000000014</c:v>
                </c:pt>
                <c:pt idx="9" formatCode="0.00">
                  <c:v>56.927501659388653</c:v>
                </c:pt>
                <c:pt idx="10" formatCode="0.00">
                  <c:v>57.746535659388655</c:v>
                </c:pt>
                <c:pt idx="11" formatCode="0.00">
                  <c:v>57.222382659388657</c:v>
                </c:pt>
                <c:pt idx="12" formatCode="0.00">
                  <c:v>58.098912659388652</c:v>
                </c:pt>
                <c:pt idx="13" formatCode="0.00">
                  <c:v>58.181688659388655</c:v>
                </c:pt>
              </c:numCache>
            </c:numRef>
          </c:val>
          <c:smooth val="1"/>
          <c:extLst>
            <c:ext xmlns:c16="http://schemas.microsoft.com/office/drawing/2014/chart" uri="{C3380CC4-5D6E-409C-BE32-E72D297353CC}">
              <c16:uniqueId val="{00000003-6943-4A62-A354-AA5349121A6E}"/>
            </c:ext>
          </c:extLst>
        </c:ser>
        <c:dLbls>
          <c:showLegendKey val="0"/>
          <c:showVal val="0"/>
          <c:showCatName val="0"/>
          <c:showSerName val="0"/>
          <c:showPercent val="0"/>
          <c:showBubbleSize val="0"/>
        </c:dLbls>
        <c:dropLines>
          <c:spPr>
            <a:ln w="25400" cap="flat" cmpd="sng" algn="ctr">
              <a:solidFill>
                <a:schemeClr val="bg1">
                  <a:lumMod val="85000"/>
                </a:schemeClr>
              </a:solidFill>
              <a:round/>
            </a:ln>
            <a:effectLst/>
          </c:spPr>
        </c:dropLines>
        <c:smooth val="0"/>
        <c:axId val="1491290239"/>
        <c:axId val="1515664191"/>
      </c:lineChart>
      <c:catAx>
        <c:axId val="14912902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15664191"/>
        <c:crosses val="autoZero"/>
        <c:auto val="1"/>
        <c:lblAlgn val="ctr"/>
        <c:lblOffset val="100"/>
        <c:noMultiLvlLbl val="0"/>
      </c:catAx>
      <c:valAx>
        <c:axId val="1515664191"/>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4912902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 capex by service category ($m)</a:t>
            </a:r>
          </a:p>
        </c:rich>
      </c:tx>
      <c:overlay val="0"/>
    </c:title>
    <c:autoTitleDeleted val="0"/>
    <c:plotArea>
      <c:layout/>
      <c:barChart>
        <c:barDir val="col"/>
        <c:grouping val="stacked"/>
        <c:varyColors val="0"/>
        <c:ser>
          <c:idx val="0"/>
          <c:order val="0"/>
          <c:tx>
            <c:strRef>
              <c:f>'Dashboard data'!$W$4</c:f>
              <c:strCache>
                <c:ptCount val="1"/>
                <c:pt idx="0">
                  <c:v>Water</c:v>
                </c:pt>
              </c:strCache>
            </c:strRef>
          </c:tx>
          <c:invertIfNegative val="0"/>
          <c:cat>
            <c:strRef>
              <c:f>'Dashboard data'!$X$3:$AO$3</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data'!$X$4:$AO$4</c:f>
              <c:numCache>
                <c:formatCode>0.00</c:formatCode>
                <c:ptCount val="18"/>
                <c:pt idx="0">
                  <c:v>8.8715923374777965</c:v>
                </c:pt>
                <c:pt idx="1">
                  <c:v>14.898155760736197</c:v>
                </c:pt>
                <c:pt idx="2">
                  <c:v>17.851569935145793</c:v>
                </c:pt>
                <c:pt idx="3">
                  <c:v>21.247998458015267</c:v>
                </c:pt>
                <c:pt idx="4">
                  <c:v>15.902484067796607</c:v>
                </c:pt>
                <c:pt idx="5">
                  <c:v>16.848682814479638</c:v>
                </c:pt>
                <c:pt idx="6">
                  <c:v>20.237493280524014</c:v>
                </c:pt>
                <c:pt idx="7">
                  <c:v>24.322946000000005</c:v>
                </c:pt>
                <c:pt idx="8">
                  <c:v>21.345402999999997</c:v>
                </c:pt>
                <c:pt idx="9">
                  <c:v>20.609200000000001</c:v>
                </c:pt>
                <c:pt idx="10">
                  <c:v>27.6389</c:v>
                </c:pt>
                <c:pt idx="11">
                  <c:v>30.192827000000005</c:v>
                </c:pt>
                <c:pt idx="12">
                  <c:v>30.617599999999999</c:v>
                </c:pt>
                <c:pt idx="13">
                  <c:v>16.448999999999998</c:v>
                </c:pt>
                <c:pt idx="14">
                  <c:v>24.348999999999997</c:v>
                </c:pt>
                <c:pt idx="15">
                  <c:v>15.449</c:v>
                </c:pt>
                <c:pt idx="16">
                  <c:v>14.498999999999999</c:v>
                </c:pt>
                <c:pt idx="17">
                  <c:v>14.498999999999999</c:v>
                </c:pt>
              </c:numCache>
            </c:numRef>
          </c:val>
          <c:extLst>
            <c:ext xmlns:c16="http://schemas.microsoft.com/office/drawing/2014/chart" uri="{C3380CC4-5D6E-409C-BE32-E72D297353CC}">
              <c16:uniqueId val="{00000000-D10F-400B-ADDE-B255A83171AC}"/>
            </c:ext>
          </c:extLst>
        </c:ser>
        <c:ser>
          <c:idx val="1"/>
          <c:order val="1"/>
          <c:tx>
            <c:strRef>
              <c:f>'Dashboard data'!$W$5</c:f>
              <c:strCache>
                <c:ptCount val="1"/>
                <c:pt idx="0">
                  <c:v>Sewerage</c:v>
                </c:pt>
              </c:strCache>
            </c:strRef>
          </c:tx>
          <c:spPr>
            <a:solidFill>
              <a:schemeClr val="accent6">
                <a:lumMod val="60000"/>
                <a:lumOff val="40000"/>
              </a:schemeClr>
            </a:solidFill>
          </c:spPr>
          <c:invertIfNegative val="0"/>
          <c:cat>
            <c:strRef>
              <c:f>'Dashboard data'!$X$3:$AO$3</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data'!$X$5:$AO$5</c:f>
              <c:numCache>
                <c:formatCode>0.00</c:formatCode>
                <c:ptCount val="18"/>
                <c:pt idx="0">
                  <c:v>8.9797932615452929</c:v>
                </c:pt>
                <c:pt idx="1">
                  <c:v>14.6659255398773</c:v>
                </c:pt>
                <c:pt idx="2">
                  <c:v>12.901214391509434</c:v>
                </c:pt>
                <c:pt idx="3">
                  <c:v>29.699667256997451</c:v>
                </c:pt>
                <c:pt idx="4">
                  <c:v>22.647424601694912</c:v>
                </c:pt>
                <c:pt idx="5">
                  <c:v>28.685352032805433</c:v>
                </c:pt>
                <c:pt idx="6">
                  <c:v>61.397464079978171</c:v>
                </c:pt>
                <c:pt idx="7">
                  <c:v>61.071293999999995</c:v>
                </c:pt>
                <c:pt idx="8">
                  <c:v>32.777999999999999</c:v>
                </c:pt>
                <c:pt idx="9">
                  <c:v>37.670000000000009</c:v>
                </c:pt>
                <c:pt idx="10">
                  <c:v>16.490000000000002</c:v>
                </c:pt>
                <c:pt idx="11">
                  <c:v>20.840000000000003</c:v>
                </c:pt>
                <c:pt idx="12">
                  <c:v>41.548999999999999</c:v>
                </c:pt>
                <c:pt idx="13">
                  <c:v>47.93</c:v>
                </c:pt>
                <c:pt idx="14">
                  <c:v>37.75</c:v>
                </c:pt>
                <c:pt idx="15">
                  <c:v>37.117000000000004</c:v>
                </c:pt>
                <c:pt idx="16">
                  <c:v>49.75</c:v>
                </c:pt>
                <c:pt idx="17">
                  <c:v>39.75</c:v>
                </c:pt>
              </c:numCache>
            </c:numRef>
          </c:val>
          <c:extLst>
            <c:ext xmlns:c16="http://schemas.microsoft.com/office/drawing/2014/chart" uri="{C3380CC4-5D6E-409C-BE32-E72D297353CC}">
              <c16:uniqueId val="{00000001-D10F-400B-ADDE-B255A83171AC}"/>
            </c:ext>
          </c:extLst>
        </c:ser>
        <c:ser>
          <c:idx val="2"/>
          <c:order val="2"/>
          <c:tx>
            <c:strRef>
              <c:f>'Dashboard data'!$W$6</c:f>
              <c:strCache>
                <c:ptCount val="1"/>
                <c:pt idx="0">
                  <c:v>Recycled Water</c:v>
                </c:pt>
              </c:strCache>
            </c:strRef>
          </c:tx>
          <c:invertIfNegative val="0"/>
          <c:cat>
            <c:strRef>
              <c:f>'Dashboard data'!$X$3:$AO$3</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data'!$X$6:$AO$6</c:f>
              <c:numCache>
                <c:formatCode>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D10F-400B-ADDE-B255A83171AC}"/>
            </c:ext>
          </c:extLst>
        </c:ser>
        <c:ser>
          <c:idx val="3"/>
          <c:order val="3"/>
          <c:tx>
            <c:strRef>
              <c:f>'Dashboard data'!$W$7</c:f>
              <c:strCache>
                <c:ptCount val="1"/>
                <c:pt idx="0">
                  <c:v>Rural water</c:v>
                </c:pt>
              </c:strCache>
            </c:strRef>
          </c:tx>
          <c:invertIfNegative val="0"/>
          <c:cat>
            <c:strRef>
              <c:f>'Dashboard data'!$X$3:$AO$3</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data'!$X$7:$AO$7</c:f>
              <c:numCache>
                <c:formatCode>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D10F-400B-ADDE-B255A83171AC}"/>
            </c:ext>
          </c:extLst>
        </c:ser>
        <c:ser>
          <c:idx val="4"/>
          <c:order val="4"/>
          <c:tx>
            <c:strRef>
              <c:f>'Dashboard data'!$W$8</c:f>
              <c:strCache>
                <c:ptCount val="1"/>
                <c:pt idx="0">
                  <c:v>Bulk Water</c:v>
                </c:pt>
              </c:strCache>
            </c:strRef>
          </c:tx>
          <c:invertIfNegative val="0"/>
          <c:cat>
            <c:strRef>
              <c:f>'Dashboard data'!$X$3:$AO$3</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data'!$X$8:$AO$8</c:f>
              <c:numCache>
                <c:formatCode>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D10F-400B-ADDE-B255A83171AC}"/>
            </c:ext>
          </c:extLst>
        </c:ser>
        <c:dLbls>
          <c:showLegendKey val="0"/>
          <c:showVal val="0"/>
          <c:showCatName val="0"/>
          <c:showSerName val="0"/>
          <c:showPercent val="0"/>
          <c:showBubbleSize val="0"/>
        </c:dLbls>
        <c:gapWidth val="75"/>
        <c:overlap val="100"/>
        <c:axId val="172325888"/>
        <c:axId val="172335872"/>
      </c:barChart>
      <c:catAx>
        <c:axId val="172325888"/>
        <c:scaling>
          <c:orientation val="minMax"/>
        </c:scaling>
        <c:delete val="0"/>
        <c:axPos val="b"/>
        <c:numFmt formatCode="General" sourceLinked="0"/>
        <c:majorTickMark val="none"/>
        <c:minorTickMark val="none"/>
        <c:tickLblPos val="nextTo"/>
        <c:txPr>
          <a:bodyPr rot="-5400000" vert="horz"/>
          <a:lstStyle/>
          <a:p>
            <a:pPr>
              <a:defRPr sz="1100"/>
            </a:pPr>
            <a:endParaRPr lang="en-US"/>
          </a:p>
        </c:txPr>
        <c:crossAx val="172335872"/>
        <c:crosses val="autoZero"/>
        <c:auto val="1"/>
        <c:lblAlgn val="ctr"/>
        <c:lblOffset val="100"/>
        <c:noMultiLvlLbl val="0"/>
      </c:catAx>
      <c:valAx>
        <c:axId val="172335872"/>
        <c:scaling>
          <c:orientation val="minMax"/>
        </c:scaling>
        <c:delete val="0"/>
        <c:axPos val="l"/>
        <c:majorGridlines/>
        <c:numFmt formatCode="0.0" sourceLinked="0"/>
        <c:majorTickMark val="none"/>
        <c:minorTickMark val="none"/>
        <c:tickLblPos val="nextTo"/>
        <c:spPr>
          <a:ln w="9525">
            <a:noFill/>
          </a:ln>
        </c:spPr>
        <c:crossAx val="172325888"/>
        <c:crosses val="autoZero"/>
        <c:crossBetween val="between"/>
      </c:valAx>
    </c:plotArea>
    <c:legend>
      <c:legendPos val="b"/>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a:t>
            </a:r>
            <a:r>
              <a:rPr lang="en-AU" baseline="0"/>
              <a:t> capex by cost driver ($m)</a:t>
            </a:r>
            <a:endParaRPr lang="en-AU"/>
          </a:p>
        </c:rich>
      </c:tx>
      <c:overlay val="0"/>
    </c:title>
    <c:autoTitleDeleted val="0"/>
    <c:plotArea>
      <c:layout>
        <c:manualLayout>
          <c:layoutTarget val="inner"/>
          <c:xMode val="edge"/>
          <c:yMode val="edge"/>
          <c:x val="8.9556341689172911E-2"/>
          <c:y val="0.15224804364034605"/>
          <c:w val="0.90542356118528666"/>
          <c:h val="0.60164765269605402"/>
        </c:manualLayout>
      </c:layout>
      <c:barChart>
        <c:barDir val="col"/>
        <c:grouping val="stacked"/>
        <c:varyColors val="0"/>
        <c:ser>
          <c:idx val="0"/>
          <c:order val="0"/>
          <c:tx>
            <c:strRef>
              <c:f>'Dashboard data'!$W$12</c:f>
              <c:strCache>
                <c:ptCount val="1"/>
                <c:pt idx="0">
                  <c:v>Net capital expenditure - renewals</c:v>
                </c:pt>
              </c:strCache>
            </c:strRef>
          </c:tx>
          <c:invertIfNegative val="0"/>
          <c:cat>
            <c:strRef>
              <c:f>'Dashboard data'!$AF$11:$AO$11</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data'!$AF$12:$AO$12</c:f>
              <c:numCache>
                <c:formatCode>0.00</c:formatCode>
                <c:ptCount val="10"/>
                <c:pt idx="0">
                  <c:v>13.190000000000001</c:v>
                </c:pt>
                <c:pt idx="1">
                  <c:v>11.58</c:v>
                </c:pt>
                <c:pt idx="2">
                  <c:v>10.99</c:v>
                </c:pt>
                <c:pt idx="3">
                  <c:v>10.96</c:v>
                </c:pt>
                <c:pt idx="4">
                  <c:v>11.790000000000001</c:v>
                </c:pt>
                <c:pt idx="5">
                  <c:v>16.3</c:v>
                </c:pt>
                <c:pt idx="6">
                  <c:v>16.3</c:v>
                </c:pt>
                <c:pt idx="7">
                  <c:v>16.3</c:v>
                </c:pt>
                <c:pt idx="8">
                  <c:v>16.3</c:v>
                </c:pt>
                <c:pt idx="9">
                  <c:v>16.3</c:v>
                </c:pt>
              </c:numCache>
            </c:numRef>
          </c:val>
          <c:extLst>
            <c:ext xmlns:c16="http://schemas.microsoft.com/office/drawing/2014/chart" uri="{C3380CC4-5D6E-409C-BE32-E72D297353CC}">
              <c16:uniqueId val="{00000000-7B79-43FB-9FF1-45380CF87F0F}"/>
            </c:ext>
          </c:extLst>
        </c:ser>
        <c:ser>
          <c:idx val="1"/>
          <c:order val="1"/>
          <c:tx>
            <c:strRef>
              <c:f>'Dashboard data'!$W$13</c:f>
              <c:strCache>
                <c:ptCount val="1"/>
                <c:pt idx="0">
                  <c:v>Net capital expenditure - growth</c:v>
                </c:pt>
              </c:strCache>
            </c:strRef>
          </c:tx>
          <c:spPr>
            <a:solidFill>
              <a:schemeClr val="accent6">
                <a:lumMod val="60000"/>
                <a:lumOff val="40000"/>
              </a:schemeClr>
            </a:solidFill>
          </c:spPr>
          <c:invertIfNegative val="0"/>
          <c:cat>
            <c:strRef>
              <c:f>'Dashboard data'!$AF$11:$AO$11</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data'!$AF$13:$AO$13</c:f>
              <c:numCache>
                <c:formatCode>0.00</c:formatCode>
                <c:ptCount val="10"/>
                <c:pt idx="0">
                  <c:v>12.167030000000004</c:v>
                </c:pt>
                <c:pt idx="1">
                  <c:v>8.18</c:v>
                </c:pt>
                <c:pt idx="2">
                  <c:v>5.3060000000000009</c:v>
                </c:pt>
                <c:pt idx="3">
                  <c:v>17.382000000000005</c:v>
                </c:pt>
                <c:pt idx="4">
                  <c:v>36.409999999999997</c:v>
                </c:pt>
                <c:pt idx="5">
                  <c:v>39.213999999999999</c:v>
                </c:pt>
                <c:pt idx="6">
                  <c:v>37.86</c:v>
                </c:pt>
                <c:pt idx="7">
                  <c:v>28.251000000000001</c:v>
                </c:pt>
                <c:pt idx="8">
                  <c:v>39.806999999999995</c:v>
                </c:pt>
                <c:pt idx="9">
                  <c:v>29.725999999999999</c:v>
                </c:pt>
              </c:numCache>
            </c:numRef>
          </c:val>
          <c:extLst>
            <c:ext xmlns:c16="http://schemas.microsoft.com/office/drawing/2014/chart" uri="{C3380CC4-5D6E-409C-BE32-E72D297353CC}">
              <c16:uniqueId val="{00000001-7B79-43FB-9FF1-45380CF87F0F}"/>
            </c:ext>
          </c:extLst>
        </c:ser>
        <c:ser>
          <c:idx val="2"/>
          <c:order val="2"/>
          <c:tx>
            <c:strRef>
              <c:f>'Dashboard data'!$W$14</c:f>
              <c:strCache>
                <c:ptCount val="1"/>
                <c:pt idx="0">
                  <c:v>Net capital expenditure - Improvements / Compliance</c:v>
                </c:pt>
              </c:strCache>
            </c:strRef>
          </c:tx>
          <c:invertIfNegative val="0"/>
          <c:cat>
            <c:strRef>
              <c:f>'Dashboard data'!$AF$11:$AO$11</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data'!$AF$14:$AO$14</c:f>
              <c:numCache>
                <c:formatCode>0.00</c:formatCode>
                <c:ptCount val="10"/>
                <c:pt idx="0">
                  <c:v>23.450372999999999</c:v>
                </c:pt>
                <c:pt idx="1">
                  <c:v>31.0442</c:v>
                </c:pt>
                <c:pt idx="2">
                  <c:v>22.981900000000003</c:v>
                </c:pt>
                <c:pt idx="3">
                  <c:v>18.176827000000003</c:v>
                </c:pt>
                <c:pt idx="4">
                  <c:v>19.3826</c:v>
                </c:pt>
                <c:pt idx="5">
                  <c:v>4.2089999999999996</c:v>
                </c:pt>
                <c:pt idx="6">
                  <c:v>3.2090000000000001</c:v>
                </c:pt>
                <c:pt idx="7">
                  <c:v>3.2090000000000001</c:v>
                </c:pt>
                <c:pt idx="8">
                  <c:v>3.2589999999999999</c:v>
                </c:pt>
                <c:pt idx="9">
                  <c:v>3.2589999999999999</c:v>
                </c:pt>
              </c:numCache>
            </c:numRef>
          </c:val>
          <c:extLst>
            <c:ext xmlns:c16="http://schemas.microsoft.com/office/drawing/2014/chart" uri="{C3380CC4-5D6E-409C-BE32-E72D297353CC}">
              <c16:uniqueId val="{00000002-7B79-43FB-9FF1-45380CF87F0F}"/>
            </c:ext>
          </c:extLst>
        </c:ser>
        <c:ser>
          <c:idx val="3"/>
          <c:order val="3"/>
          <c:tx>
            <c:strRef>
              <c:f>'Dashboard data'!$W$15</c:f>
              <c:strCache>
                <c:ptCount val="1"/>
                <c:pt idx="0">
                  <c:v>Government contributions</c:v>
                </c:pt>
              </c:strCache>
            </c:strRef>
          </c:tx>
          <c:invertIfNegative val="0"/>
          <c:cat>
            <c:strRef>
              <c:f>'Dashboard data'!$AF$11:$AO$11</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data'!$AF$15:$AO$15</c:f>
              <c:numCache>
                <c:formatCode>0.00</c:formatCode>
                <c:ptCount val="10"/>
                <c:pt idx="0">
                  <c:v>1</c:v>
                </c:pt>
                <c:pt idx="1">
                  <c:v>3.0949999999999998</c:v>
                </c:pt>
                <c:pt idx="2">
                  <c:v>0.40500000000000003</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7B79-43FB-9FF1-45380CF87F0F}"/>
            </c:ext>
          </c:extLst>
        </c:ser>
        <c:ser>
          <c:idx val="4"/>
          <c:order val="4"/>
          <c:tx>
            <c:strRef>
              <c:f>'Dashboard data'!$W$16</c:f>
              <c:strCache>
                <c:ptCount val="1"/>
                <c:pt idx="0">
                  <c:v>Customer contributions</c:v>
                </c:pt>
              </c:strCache>
            </c:strRef>
          </c:tx>
          <c:invertIfNegative val="0"/>
          <c:cat>
            <c:strRef>
              <c:f>'Dashboard data'!$AF$11:$AO$11</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data'!$AF$16:$AO$16</c:f>
              <c:numCache>
                <c:formatCode>0.00</c:formatCode>
                <c:ptCount val="10"/>
                <c:pt idx="0">
                  <c:v>4.3159999999999998</c:v>
                </c:pt>
                <c:pt idx="1">
                  <c:v>4.38</c:v>
                </c:pt>
                <c:pt idx="2">
                  <c:v>4.4459999999999997</c:v>
                </c:pt>
                <c:pt idx="3">
                  <c:v>4.5140000000000002</c:v>
                </c:pt>
                <c:pt idx="4">
                  <c:v>4.5839999999999996</c:v>
                </c:pt>
                <c:pt idx="5">
                  <c:v>4.6559999999999997</c:v>
                </c:pt>
                <c:pt idx="6">
                  <c:v>4.7300000000000004</c:v>
                </c:pt>
                <c:pt idx="7">
                  <c:v>4.806</c:v>
                </c:pt>
                <c:pt idx="8">
                  <c:v>4.883</c:v>
                </c:pt>
                <c:pt idx="9">
                  <c:v>4.9640000000000004</c:v>
                </c:pt>
              </c:numCache>
            </c:numRef>
          </c:val>
          <c:extLst>
            <c:ext xmlns:c16="http://schemas.microsoft.com/office/drawing/2014/chart" uri="{C3380CC4-5D6E-409C-BE32-E72D297353CC}">
              <c16:uniqueId val="{00000004-7B79-43FB-9FF1-45380CF87F0F}"/>
            </c:ext>
          </c:extLst>
        </c:ser>
        <c:dLbls>
          <c:showLegendKey val="0"/>
          <c:showVal val="0"/>
          <c:showCatName val="0"/>
          <c:showSerName val="0"/>
          <c:showPercent val="0"/>
          <c:showBubbleSize val="0"/>
        </c:dLbls>
        <c:gapWidth val="75"/>
        <c:overlap val="100"/>
        <c:axId val="199053312"/>
        <c:axId val="199054848"/>
      </c:barChart>
      <c:catAx>
        <c:axId val="199053312"/>
        <c:scaling>
          <c:orientation val="minMax"/>
        </c:scaling>
        <c:delete val="0"/>
        <c:axPos val="b"/>
        <c:numFmt formatCode="General" sourceLinked="0"/>
        <c:majorTickMark val="none"/>
        <c:minorTickMark val="none"/>
        <c:tickLblPos val="nextTo"/>
        <c:txPr>
          <a:bodyPr/>
          <a:lstStyle/>
          <a:p>
            <a:pPr>
              <a:defRPr sz="1100"/>
            </a:pPr>
            <a:endParaRPr lang="en-US"/>
          </a:p>
        </c:txPr>
        <c:crossAx val="199054848"/>
        <c:crosses val="autoZero"/>
        <c:auto val="1"/>
        <c:lblAlgn val="ctr"/>
        <c:lblOffset val="100"/>
        <c:noMultiLvlLbl val="0"/>
      </c:catAx>
      <c:valAx>
        <c:axId val="199054848"/>
        <c:scaling>
          <c:orientation val="minMax"/>
        </c:scaling>
        <c:delete val="0"/>
        <c:axPos val="l"/>
        <c:majorGridlines/>
        <c:numFmt formatCode="0.0" sourceLinked="0"/>
        <c:majorTickMark val="none"/>
        <c:minorTickMark val="none"/>
        <c:tickLblPos val="nextTo"/>
        <c:spPr>
          <a:ln w="9525">
            <a:noFill/>
          </a:ln>
        </c:spPr>
        <c:crossAx val="199053312"/>
        <c:crosses val="autoZero"/>
        <c:crossBetween val="between"/>
      </c:valAx>
    </c:plotArea>
    <c:legend>
      <c:legendPos val="b"/>
      <c:layout>
        <c:manualLayout>
          <c:xMode val="edge"/>
          <c:yMode val="edge"/>
          <c:x val="0"/>
          <c:y val="0.83025034736833403"/>
          <c:w val="1"/>
          <c:h val="0.1697496526316659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 capex</a:t>
            </a:r>
            <a:r>
              <a:rPr lang="en-AU" baseline="0"/>
              <a:t> by cost driver - Water ($m) </a:t>
            </a:r>
            <a:endParaRPr lang="en-AU"/>
          </a:p>
        </c:rich>
      </c:tx>
      <c:overlay val="0"/>
    </c:title>
    <c:autoTitleDeleted val="0"/>
    <c:plotArea>
      <c:layout>
        <c:manualLayout>
          <c:layoutTarget val="inner"/>
          <c:xMode val="edge"/>
          <c:yMode val="edge"/>
          <c:x val="9.0479540134762906E-2"/>
          <c:y val="0.13216349855306089"/>
          <c:w val="0.90646545534203893"/>
          <c:h val="0.63052949439468964"/>
        </c:manualLayout>
      </c:layout>
      <c:barChart>
        <c:barDir val="col"/>
        <c:grouping val="stacked"/>
        <c:varyColors val="0"/>
        <c:ser>
          <c:idx val="0"/>
          <c:order val="0"/>
          <c:tx>
            <c:strRef>
              <c:f>'Dashboard data'!$W$20</c:f>
              <c:strCache>
                <c:ptCount val="1"/>
                <c:pt idx="0">
                  <c:v>Net capital expenditure - renewals</c:v>
                </c:pt>
              </c:strCache>
            </c:strRef>
          </c:tx>
          <c:invertIfNegative val="0"/>
          <c:cat>
            <c:strRef>
              <c:f>'Dashboard data'!$AF$19:$AO$19</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data'!$AF$20:$AO$20</c:f>
              <c:numCache>
                <c:formatCode>0.00</c:formatCode>
                <c:ptCount val="10"/>
                <c:pt idx="0">
                  <c:v>7.2399999999999993</c:v>
                </c:pt>
                <c:pt idx="1">
                  <c:v>7.14</c:v>
                </c:pt>
                <c:pt idx="2">
                  <c:v>6.4899999999999993</c:v>
                </c:pt>
                <c:pt idx="3">
                  <c:v>5.77</c:v>
                </c:pt>
                <c:pt idx="4">
                  <c:v>5.9399999999999995</c:v>
                </c:pt>
                <c:pt idx="5">
                  <c:v>10.3</c:v>
                </c:pt>
                <c:pt idx="6">
                  <c:v>10.3</c:v>
                </c:pt>
                <c:pt idx="7">
                  <c:v>10.3</c:v>
                </c:pt>
                <c:pt idx="8">
                  <c:v>10.3</c:v>
                </c:pt>
                <c:pt idx="9">
                  <c:v>10.3</c:v>
                </c:pt>
              </c:numCache>
            </c:numRef>
          </c:val>
          <c:extLst>
            <c:ext xmlns:c16="http://schemas.microsoft.com/office/drawing/2014/chart" uri="{C3380CC4-5D6E-409C-BE32-E72D297353CC}">
              <c16:uniqueId val="{00000000-195C-4DEB-BE72-CEAD9A6A541D}"/>
            </c:ext>
          </c:extLst>
        </c:ser>
        <c:ser>
          <c:idx val="1"/>
          <c:order val="1"/>
          <c:tx>
            <c:strRef>
              <c:f>'Dashboard data'!$W$21</c:f>
              <c:strCache>
                <c:ptCount val="1"/>
                <c:pt idx="0">
                  <c:v>Net capital expenditure - growth</c:v>
                </c:pt>
              </c:strCache>
            </c:strRef>
          </c:tx>
          <c:spPr>
            <a:solidFill>
              <a:schemeClr val="accent6">
                <a:lumMod val="60000"/>
                <a:lumOff val="40000"/>
              </a:schemeClr>
            </a:solidFill>
          </c:spPr>
          <c:invertIfNegative val="0"/>
          <c:cat>
            <c:strRef>
              <c:f>'Dashboard data'!$AF$19:$AO$19</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data'!$AF$21:$AO$21</c:f>
              <c:numCache>
                <c:formatCode>0.00</c:formatCode>
                <c:ptCount val="10"/>
                <c:pt idx="0">
                  <c:v>5.2830300000000001</c:v>
                </c:pt>
                <c:pt idx="1">
                  <c:v>6.5999999999999988</c:v>
                </c:pt>
                <c:pt idx="2">
                  <c:v>9.6020000000000003</c:v>
                </c:pt>
                <c:pt idx="3">
                  <c:v>9.6559999999999988</c:v>
                </c:pt>
                <c:pt idx="4">
                  <c:v>8.8949999999999996</c:v>
                </c:pt>
                <c:pt idx="5">
                  <c:v>2.04</c:v>
                </c:pt>
                <c:pt idx="6">
                  <c:v>10.94</c:v>
                </c:pt>
                <c:pt idx="7">
                  <c:v>2.04</c:v>
                </c:pt>
                <c:pt idx="8">
                  <c:v>1.04</c:v>
                </c:pt>
                <c:pt idx="9">
                  <c:v>1.04</c:v>
                </c:pt>
              </c:numCache>
            </c:numRef>
          </c:val>
          <c:extLst>
            <c:ext xmlns:c16="http://schemas.microsoft.com/office/drawing/2014/chart" uri="{C3380CC4-5D6E-409C-BE32-E72D297353CC}">
              <c16:uniqueId val="{00000001-195C-4DEB-BE72-CEAD9A6A541D}"/>
            </c:ext>
          </c:extLst>
        </c:ser>
        <c:ser>
          <c:idx val="2"/>
          <c:order val="2"/>
          <c:tx>
            <c:strRef>
              <c:f>'Dashboard data'!$W$22</c:f>
              <c:strCache>
                <c:ptCount val="1"/>
                <c:pt idx="0">
                  <c:v>Net capital expenditure - Improvements / Compliance</c:v>
                </c:pt>
              </c:strCache>
            </c:strRef>
          </c:tx>
          <c:invertIfNegative val="0"/>
          <c:cat>
            <c:strRef>
              <c:f>'Dashboard data'!$AF$19:$AO$19</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data'!$AF$22:$AO$22</c:f>
              <c:numCache>
                <c:formatCode>0.00</c:formatCode>
                <c:ptCount val="10"/>
                <c:pt idx="0">
                  <c:v>8.8223730000000007</c:v>
                </c:pt>
                <c:pt idx="1">
                  <c:v>6.8692000000000002</c:v>
                </c:pt>
                <c:pt idx="2">
                  <c:v>11.546899999999997</c:v>
                </c:pt>
                <c:pt idx="3">
                  <c:v>14.766827000000001</c:v>
                </c:pt>
                <c:pt idx="4">
                  <c:v>15.7826</c:v>
                </c:pt>
                <c:pt idx="5">
                  <c:v>4.109</c:v>
                </c:pt>
                <c:pt idx="6">
                  <c:v>3.109</c:v>
                </c:pt>
                <c:pt idx="7">
                  <c:v>3.109</c:v>
                </c:pt>
                <c:pt idx="8">
                  <c:v>3.1589999999999998</c:v>
                </c:pt>
                <c:pt idx="9">
                  <c:v>3.1589999999999998</c:v>
                </c:pt>
              </c:numCache>
            </c:numRef>
          </c:val>
          <c:extLst>
            <c:ext xmlns:c16="http://schemas.microsoft.com/office/drawing/2014/chart" uri="{C3380CC4-5D6E-409C-BE32-E72D297353CC}">
              <c16:uniqueId val="{00000002-195C-4DEB-BE72-CEAD9A6A541D}"/>
            </c:ext>
          </c:extLst>
        </c:ser>
        <c:ser>
          <c:idx val="3"/>
          <c:order val="3"/>
          <c:tx>
            <c:strRef>
              <c:f>'Dashboard data'!$W$23</c:f>
              <c:strCache>
                <c:ptCount val="1"/>
                <c:pt idx="0">
                  <c:v>Government contributions</c:v>
                </c:pt>
              </c:strCache>
            </c:strRef>
          </c:tx>
          <c:invertIfNegative val="0"/>
          <c:cat>
            <c:strRef>
              <c:f>'Dashboard data'!$AF$19:$AO$19</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data'!$AF$23:$AO$23</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195C-4DEB-BE72-CEAD9A6A541D}"/>
            </c:ext>
          </c:extLst>
        </c:ser>
        <c:ser>
          <c:idx val="4"/>
          <c:order val="4"/>
          <c:tx>
            <c:strRef>
              <c:f>'Dashboard data'!$W$24</c:f>
              <c:strCache>
                <c:ptCount val="1"/>
                <c:pt idx="0">
                  <c:v>Customer contributions</c:v>
                </c:pt>
              </c:strCache>
            </c:strRef>
          </c:tx>
          <c:invertIfNegative val="0"/>
          <c:cat>
            <c:strRef>
              <c:f>'Dashboard data'!$AF$19:$AO$19</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data'!$AF$24:$AO$24</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195C-4DEB-BE72-CEAD9A6A541D}"/>
            </c:ext>
          </c:extLst>
        </c:ser>
        <c:dLbls>
          <c:showLegendKey val="0"/>
          <c:showVal val="0"/>
          <c:showCatName val="0"/>
          <c:showSerName val="0"/>
          <c:showPercent val="0"/>
          <c:showBubbleSize val="0"/>
        </c:dLbls>
        <c:gapWidth val="75"/>
        <c:overlap val="100"/>
        <c:axId val="199106560"/>
        <c:axId val="199108096"/>
      </c:barChart>
      <c:catAx>
        <c:axId val="199106560"/>
        <c:scaling>
          <c:orientation val="minMax"/>
        </c:scaling>
        <c:delete val="0"/>
        <c:axPos val="b"/>
        <c:numFmt formatCode="General" sourceLinked="0"/>
        <c:majorTickMark val="none"/>
        <c:minorTickMark val="none"/>
        <c:tickLblPos val="nextTo"/>
        <c:txPr>
          <a:bodyPr/>
          <a:lstStyle/>
          <a:p>
            <a:pPr>
              <a:defRPr sz="1100"/>
            </a:pPr>
            <a:endParaRPr lang="en-US"/>
          </a:p>
        </c:txPr>
        <c:crossAx val="199108096"/>
        <c:crosses val="autoZero"/>
        <c:auto val="1"/>
        <c:lblAlgn val="ctr"/>
        <c:lblOffset val="100"/>
        <c:noMultiLvlLbl val="0"/>
      </c:catAx>
      <c:valAx>
        <c:axId val="199108096"/>
        <c:scaling>
          <c:orientation val="minMax"/>
        </c:scaling>
        <c:delete val="0"/>
        <c:axPos val="l"/>
        <c:majorGridlines/>
        <c:numFmt formatCode="0.0" sourceLinked="0"/>
        <c:majorTickMark val="none"/>
        <c:minorTickMark val="none"/>
        <c:tickLblPos val="nextTo"/>
        <c:spPr>
          <a:ln w="9525">
            <a:noFill/>
          </a:ln>
        </c:spPr>
        <c:crossAx val="199106560"/>
        <c:crosses val="autoZero"/>
        <c:crossBetween val="between"/>
      </c:valAx>
    </c:plotArea>
    <c:legend>
      <c:legendPos val="b"/>
      <c:layout>
        <c:manualLayout>
          <c:xMode val="edge"/>
          <c:yMode val="edge"/>
          <c:x val="0"/>
          <c:y val="0.84585170955202615"/>
          <c:w val="1"/>
          <c:h val="0.1353025199094492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Revenue</a:t>
            </a:r>
            <a:r>
              <a:rPr lang="en-AU" baseline="0"/>
              <a:t> requirement ($m)</a:t>
            </a:r>
            <a:endParaRPr lang="en-AU"/>
          </a:p>
        </c:rich>
      </c:tx>
      <c:overlay val="0"/>
    </c:title>
    <c:autoTitleDeleted val="0"/>
    <c:plotArea>
      <c:layout/>
      <c:barChart>
        <c:barDir val="col"/>
        <c:grouping val="clustered"/>
        <c:varyColors val="0"/>
        <c:ser>
          <c:idx val="0"/>
          <c:order val="0"/>
          <c:tx>
            <c:strRef>
              <c:f>'Dashboard data'!$B$5</c:f>
              <c:strCache>
                <c:ptCount val="1"/>
                <c:pt idx="0">
                  <c:v>Values</c:v>
                </c:pt>
              </c:strCache>
            </c:strRef>
          </c:tx>
          <c:spPr>
            <a:solidFill>
              <a:schemeClr val="tx2">
                <a:lumMod val="40000"/>
                <a:lumOff val="60000"/>
              </a:schemeClr>
            </a:solidFill>
          </c:spPr>
          <c:invertIfNegative val="0"/>
          <c:cat>
            <c:multiLvlStrRef>
              <c:f>'Dashboard data'!$C$3:$T$4</c:f>
              <c:multiLvlStrCache>
                <c:ptCount val="18"/>
                <c:lvl>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lvl>
                <c:lvl>
                  <c:pt idx="0">
                    <c:v>4th Reg Period</c:v>
                  </c:pt>
                  <c:pt idx="8">
                    <c:v>5th Reg Period</c:v>
                  </c:pt>
                  <c:pt idx="13">
                    <c:v>6th Reg Period</c:v>
                  </c:pt>
                </c:lvl>
              </c:multiLvlStrCache>
            </c:multiLvlStrRef>
          </c:cat>
          <c:val>
            <c:numRef>
              <c:f>'Dashboard data'!$C$5:$T$5</c:f>
              <c:numCache>
                <c:formatCode>#,##0.00</c:formatCode>
                <c:ptCount val="18"/>
                <c:pt idx="0">
                  <c:v>76.300229249037315</c:v>
                </c:pt>
                <c:pt idx="1">
                  <c:v>77.19710351339441</c:v>
                </c:pt>
                <c:pt idx="2">
                  <c:v>78.087524443058456</c:v>
                </c:pt>
                <c:pt idx="3">
                  <c:v>79.057372806261341</c:v>
                </c:pt>
                <c:pt idx="4">
                  <c:v>79.866330737243501</c:v>
                </c:pt>
                <c:pt idx="5">
                  <c:v>80.836000390929527</c:v>
                </c:pt>
                <c:pt idx="6">
                  <c:v>81.862206277186004</c:v>
                </c:pt>
                <c:pt idx="7">
                  <c:v>82.806383491758865</c:v>
                </c:pt>
                <c:pt idx="8">
                  <c:v>95.543523619444471</c:v>
                </c:pt>
                <c:pt idx="9">
                  <c:v>98.81722300083382</c:v>
                </c:pt>
                <c:pt idx="10">
                  <c:v>100.84620293056062</c:v>
                </c:pt>
                <c:pt idx="11">
                  <c:v>103.76813997982296</c:v>
                </c:pt>
                <c:pt idx="12">
                  <c:v>107.4795465774621</c:v>
                </c:pt>
                <c:pt idx="13">
                  <c:v>116.55071571731521</c:v>
                </c:pt>
                <c:pt idx="14">
                  <c:v>120.74904604951693</c:v>
                </c:pt>
                <c:pt idx="15">
                  <c:v>123.35941277533935</c:v>
                </c:pt>
                <c:pt idx="16">
                  <c:v>125.65524824369251</c:v>
                </c:pt>
                <c:pt idx="17">
                  <c:v>128.77114564191498</c:v>
                </c:pt>
              </c:numCache>
            </c:numRef>
          </c:val>
          <c:extLst>
            <c:ext xmlns:c16="http://schemas.microsoft.com/office/drawing/2014/chart" uri="{C3380CC4-5D6E-409C-BE32-E72D297353CC}">
              <c16:uniqueId val="{00000000-3520-4E0D-8C02-9875ECC78541}"/>
            </c:ext>
          </c:extLst>
        </c:ser>
        <c:dLbls>
          <c:showLegendKey val="0"/>
          <c:showVal val="0"/>
          <c:showCatName val="0"/>
          <c:showSerName val="0"/>
          <c:showPercent val="0"/>
          <c:showBubbleSize val="0"/>
        </c:dLbls>
        <c:gapWidth val="75"/>
        <c:overlap val="-25"/>
        <c:axId val="198043136"/>
        <c:axId val="198044672"/>
      </c:barChart>
      <c:lineChart>
        <c:grouping val="standard"/>
        <c:varyColors val="0"/>
        <c:ser>
          <c:idx val="1"/>
          <c:order val="1"/>
          <c:tx>
            <c:strRef>
              <c:f>'Dashboard data'!$B$6</c:f>
              <c:strCache>
                <c:ptCount val="1"/>
                <c:pt idx="0">
                  <c:v>Reg period average</c:v>
                </c:pt>
              </c:strCache>
            </c:strRef>
          </c:tx>
          <c:spPr>
            <a:ln>
              <a:solidFill>
                <a:schemeClr val="tx1"/>
              </a:solidFill>
            </a:ln>
          </c:spPr>
          <c:marker>
            <c:symbol val="none"/>
          </c:marker>
          <c:cat>
            <c:multiLvlStrRef>
              <c:f>'Dashboard data'!$C$3:$T$4</c:f>
              <c:multiLvlStrCache>
                <c:ptCount val="18"/>
                <c:lvl>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lvl>
                <c:lvl>
                  <c:pt idx="0">
                    <c:v>4th Reg Period</c:v>
                  </c:pt>
                  <c:pt idx="8">
                    <c:v>5th Reg Period</c:v>
                  </c:pt>
                  <c:pt idx="13">
                    <c:v>6th Reg Period</c:v>
                  </c:pt>
                </c:lvl>
              </c:multiLvlStrCache>
            </c:multiLvlStrRef>
          </c:cat>
          <c:val>
            <c:numRef>
              <c:f>'Dashboard data'!$C$6:$T$6</c:f>
              <c:numCache>
                <c:formatCode>#,##0.00</c:formatCode>
                <c:ptCount val="18"/>
                <c:pt idx="0">
                  <c:v>79.501643863608678</c:v>
                </c:pt>
                <c:pt idx="1">
                  <c:v>79.501643863608678</c:v>
                </c:pt>
                <c:pt idx="2">
                  <c:v>79.501643863608678</c:v>
                </c:pt>
                <c:pt idx="3">
                  <c:v>79.501643863608678</c:v>
                </c:pt>
                <c:pt idx="4">
                  <c:v>79.501643863608678</c:v>
                </c:pt>
                <c:pt idx="5">
                  <c:v>79.501643863608678</c:v>
                </c:pt>
                <c:pt idx="6">
                  <c:v>79.501643863608678</c:v>
                </c:pt>
                <c:pt idx="7">
                  <c:v>79.501643863608678</c:v>
                </c:pt>
              </c:numCache>
            </c:numRef>
          </c:val>
          <c:smooth val="0"/>
          <c:extLst>
            <c:ext xmlns:c16="http://schemas.microsoft.com/office/drawing/2014/chart" uri="{C3380CC4-5D6E-409C-BE32-E72D297353CC}">
              <c16:uniqueId val="{00000001-3520-4E0D-8C02-9875ECC78541}"/>
            </c:ext>
          </c:extLst>
        </c:ser>
        <c:ser>
          <c:idx val="2"/>
          <c:order val="2"/>
          <c:tx>
            <c:strRef>
              <c:f>'Dashboard data'!$B$7</c:f>
              <c:strCache>
                <c:ptCount val="1"/>
                <c:pt idx="0">
                  <c:v>Reg period average</c:v>
                </c:pt>
              </c:strCache>
            </c:strRef>
          </c:tx>
          <c:spPr>
            <a:ln>
              <a:solidFill>
                <a:schemeClr val="tx1"/>
              </a:solidFill>
            </a:ln>
          </c:spPr>
          <c:marker>
            <c:symbol val="none"/>
          </c:marker>
          <c:cat>
            <c:multiLvlStrRef>
              <c:f>'Dashboard data'!$C$3:$T$4</c:f>
              <c:multiLvlStrCache>
                <c:ptCount val="18"/>
                <c:lvl>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lvl>
                <c:lvl>
                  <c:pt idx="0">
                    <c:v>4th Reg Period</c:v>
                  </c:pt>
                  <c:pt idx="8">
                    <c:v>5th Reg Period</c:v>
                  </c:pt>
                  <c:pt idx="13">
                    <c:v>6th Reg Period</c:v>
                  </c:pt>
                </c:lvl>
              </c:multiLvlStrCache>
            </c:multiLvlStrRef>
          </c:cat>
          <c:val>
            <c:numRef>
              <c:f>'Dashboard data'!$C$7:$T$7</c:f>
              <c:numCache>
                <c:formatCode>General</c:formatCode>
                <c:ptCount val="18"/>
                <c:pt idx="8" formatCode="#,##0.00">
                  <c:v>101.2909272216248</c:v>
                </c:pt>
                <c:pt idx="9" formatCode="#,##0.00">
                  <c:v>101.2909272216248</c:v>
                </c:pt>
                <c:pt idx="10" formatCode="#,##0.00">
                  <c:v>101.2909272216248</c:v>
                </c:pt>
                <c:pt idx="11" formatCode="#,##0.00">
                  <c:v>101.2909272216248</c:v>
                </c:pt>
                <c:pt idx="12" formatCode="#,##0.00">
                  <c:v>101.2909272216248</c:v>
                </c:pt>
              </c:numCache>
            </c:numRef>
          </c:val>
          <c:smooth val="0"/>
          <c:extLst>
            <c:ext xmlns:c16="http://schemas.microsoft.com/office/drawing/2014/chart" uri="{C3380CC4-5D6E-409C-BE32-E72D297353CC}">
              <c16:uniqueId val="{00000002-3520-4E0D-8C02-9875ECC78541}"/>
            </c:ext>
          </c:extLst>
        </c:ser>
        <c:ser>
          <c:idx val="3"/>
          <c:order val="3"/>
          <c:tx>
            <c:strRef>
              <c:f>'Dashboard data'!$B$8</c:f>
              <c:strCache>
                <c:ptCount val="1"/>
                <c:pt idx="0">
                  <c:v>Reg period average</c:v>
                </c:pt>
              </c:strCache>
            </c:strRef>
          </c:tx>
          <c:spPr>
            <a:ln>
              <a:solidFill>
                <a:schemeClr val="tx1"/>
              </a:solidFill>
            </a:ln>
          </c:spPr>
          <c:marker>
            <c:symbol val="none"/>
          </c:marker>
          <c:cat>
            <c:multiLvlStrRef>
              <c:f>'Dashboard data'!$C$3:$T$4</c:f>
              <c:multiLvlStrCache>
                <c:ptCount val="18"/>
                <c:lvl>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lvl>
                <c:lvl>
                  <c:pt idx="0">
                    <c:v>4th Reg Period</c:v>
                  </c:pt>
                  <c:pt idx="8">
                    <c:v>5th Reg Period</c:v>
                  </c:pt>
                  <c:pt idx="13">
                    <c:v>6th Reg Period</c:v>
                  </c:pt>
                </c:lvl>
              </c:multiLvlStrCache>
            </c:multiLvlStrRef>
          </c:cat>
          <c:val>
            <c:numRef>
              <c:f>'Dashboard data'!$C$8:$T$8</c:f>
              <c:numCache>
                <c:formatCode>General</c:formatCode>
                <c:ptCount val="18"/>
                <c:pt idx="13" formatCode="#,##0.00">
                  <c:v>123.0171136855558</c:v>
                </c:pt>
                <c:pt idx="14" formatCode="#,##0.00">
                  <c:v>123.0171136855558</c:v>
                </c:pt>
                <c:pt idx="15" formatCode="#,##0.00">
                  <c:v>123.0171136855558</c:v>
                </c:pt>
                <c:pt idx="16" formatCode="#,##0.00">
                  <c:v>123.0171136855558</c:v>
                </c:pt>
                <c:pt idx="17" formatCode="#,##0.00">
                  <c:v>123.0171136855558</c:v>
                </c:pt>
              </c:numCache>
            </c:numRef>
          </c:val>
          <c:smooth val="0"/>
          <c:extLst>
            <c:ext xmlns:c16="http://schemas.microsoft.com/office/drawing/2014/chart" uri="{C3380CC4-5D6E-409C-BE32-E72D297353CC}">
              <c16:uniqueId val="{00000003-3520-4E0D-8C02-9875ECC78541}"/>
            </c:ext>
          </c:extLst>
        </c:ser>
        <c:dLbls>
          <c:showLegendKey val="0"/>
          <c:showVal val="0"/>
          <c:showCatName val="0"/>
          <c:showSerName val="0"/>
          <c:showPercent val="0"/>
          <c:showBubbleSize val="0"/>
        </c:dLbls>
        <c:marker val="1"/>
        <c:smooth val="0"/>
        <c:axId val="198043136"/>
        <c:axId val="198044672"/>
      </c:lineChart>
      <c:catAx>
        <c:axId val="198043136"/>
        <c:scaling>
          <c:orientation val="minMax"/>
        </c:scaling>
        <c:delete val="0"/>
        <c:axPos val="b"/>
        <c:numFmt formatCode="General" sourceLinked="0"/>
        <c:majorTickMark val="none"/>
        <c:minorTickMark val="none"/>
        <c:tickLblPos val="nextTo"/>
        <c:spPr>
          <a:ln>
            <a:solidFill>
              <a:schemeClr val="accent1"/>
            </a:solidFill>
          </a:ln>
        </c:spPr>
        <c:crossAx val="198044672"/>
        <c:crosses val="autoZero"/>
        <c:auto val="1"/>
        <c:lblAlgn val="ctr"/>
        <c:lblOffset val="100"/>
        <c:noMultiLvlLbl val="0"/>
      </c:catAx>
      <c:valAx>
        <c:axId val="198044672"/>
        <c:scaling>
          <c:orientation val="minMax"/>
        </c:scaling>
        <c:delete val="0"/>
        <c:axPos val="l"/>
        <c:majorGridlines/>
        <c:numFmt formatCode="#,##0.0" sourceLinked="0"/>
        <c:majorTickMark val="none"/>
        <c:minorTickMark val="none"/>
        <c:tickLblPos val="nextTo"/>
        <c:spPr>
          <a:ln w="9525">
            <a:noFill/>
          </a:ln>
        </c:spPr>
        <c:crossAx val="198043136"/>
        <c:crosses val="autoZero"/>
        <c:crossBetween val="between"/>
      </c:valAx>
    </c:plotArea>
    <c:legend>
      <c:legendPos val="b"/>
      <c:legendEntry>
        <c:idx val="0"/>
        <c:delete val="1"/>
      </c:legendEntry>
      <c:legendEntry>
        <c:idx val="1"/>
        <c:delete val="1"/>
      </c:legendEntry>
      <c:legendEntry>
        <c:idx val="2"/>
        <c:delete val="1"/>
      </c:legendEntry>
      <c:layout>
        <c:manualLayout>
          <c:xMode val="edge"/>
          <c:yMode val="edge"/>
          <c:x val="0.37434906526254769"/>
          <c:y val="0.91425755225584382"/>
          <c:w val="0.31274434976998694"/>
          <c:h val="6.4380634984089372E-2"/>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 capex</a:t>
            </a:r>
            <a:r>
              <a:rPr lang="en-AU" baseline="0"/>
              <a:t> by cost driver - Sewerage ($m)</a:t>
            </a:r>
            <a:endParaRPr lang="en-AU"/>
          </a:p>
        </c:rich>
      </c:tx>
      <c:overlay val="0"/>
    </c:title>
    <c:autoTitleDeleted val="0"/>
    <c:plotArea>
      <c:layout>
        <c:manualLayout>
          <c:layoutTarget val="inner"/>
          <c:xMode val="edge"/>
          <c:yMode val="edge"/>
          <c:x val="8.8852006172839504E-2"/>
          <c:y val="0.13216349855306089"/>
          <c:w val="0.90640787037037041"/>
          <c:h val="0.65849972222222219"/>
        </c:manualLayout>
      </c:layout>
      <c:barChart>
        <c:barDir val="col"/>
        <c:grouping val="stacked"/>
        <c:varyColors val="0"/>
        <c:ser>
          <c:idx val="0"/>
          <c:order val="0"/>
          <c:tx>
            <c:strRef>
              <c:f>'Dashboard data'!$W$28</c:f>
              <c:strCache>
                <c:ptCount val="1"/>
                <c:pt idx="0">
                  <c:v>Net capital expenditure - renewals</c:v>
                </c:pt>
              </c:strCache>
            </c:strRef>
          </c:tx>
          <c:invertIfNegative val="0"/>
          <c:cat>
            <c:strRef>
              <c:f>'Dashboard data'!$AF$27:$AO$27</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data'!$AF$28:$AO$28</c:f>
              <c:numCache>
                <c:formatCode>0.00</c:formatCode>
                <c:ptCount val="10"/>
                <c:pt idx="0">
                  <c:v>5.95</c:v>
                </c:pt>
                <c:pt idx="1">
                  <c:v>4.4399999999999995</c:v>
                </c:pt>
                <c:pt idx="2">
                  <c:v>4.5</c:v>
                </c:pt>
                <c:pt idx="3">
                  <c:v>5.1899999999999995</c:v>
                </c:pt>
                <c:pt idx="4">
                  <c:v>5.85</c:v>
                </c:pt>
                <c:pt idx="5">
                  <c:v>6</c:v>
                </c:pt>
                <c:pt idx="6">
                  <c:v>6</c:v>
                </c:pt>
                <c:pt idx="7">
                  <c:v>6</c:v>
                </c:pt>
                <c:pt idx="8">
                  <c:v>6</c:v>
                </c:pt>
                <c:pt idx="9">
                  <c:v>6</c:v>
                </c:pt>
              </c:numCache>
            </c:numRef>
          </c:val>
          <c:extLst>
            <c:ext xmlns:c16="http://schemas.microsoft.com/office/drawing/2014/chart" uri="{C3380CC4-5D6E-409C-BE32-E72D297353CC}">
              <c16:uniqueId val="{00000000-EC24-4705-A706-5AAC93277047}"/>
            </c:ext>
          </c:extLst>
        </c:ser>
        <c:ser>
          <c:idx val="1"/>
          <c:order val="1"/>
          <c:tx>
            <c:strRef>
              <c:f>'Dashboard data'!$W$29</c:f>
              <c:strCache>
                <c:ptCount val="1"/>
                <c:pt idx="0">
                  <c:v>Net capital expenditure - growth</c:v>
                </c:pt>
              </c:strCache>
            </c:strRef>
          </c:tx>
          <c:spPr>
            <a:solidFill>
              <a:schemeClr val="accent6">
                <a:lumMod val="60000"/>
                <a:lumOff val="40000"/>
              </a:schemeClr>
            </a:solidFill>
          </c:spPr>
          <c:invertIfNegative val="0"/>
          <c:cat>
            <c:strRef>
              <c:f>'Dashboard data'!$AF$27:$AO$27</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data'!$AF$29:$AO$29</c:f>
              <c:numCache>
                <c:formatCode>0.00</c:formatCode>
                <c:ptCount val="10"/>
                <c:pt idx="0">
                  <c:v>6.8840000000000012</c:v>
                </c:pt>
                <c:pt idx="1">
                  <c:v>1.580000000000001</c:v>
                </c:pt>
                <c:pt idx="2">
                  <c:v>-4.2959999999999994</c:v>
                </c:pt>
                <c:pt idx="3">
                  <c:v>7.726</c:v>
                </c:pt>
                <c:pt idx="4">
                  <c:v>27.515000000000004</c:v>
                </c:pt>
                <c:pt idx="5">
                  <c:v>37.173999999999999</c:v>
                </c:pt>
                <c:pt idx="6">
                  <c:v>26.919999999999998</c:v>
                </c:pt>
                <c:pt idx="7">
                  <c:v>26.210999999999999</c:v>
                </c:pt>
                <c:pt idx="8">
                  <c:v>38.766999999999996</c:v>
                </c:pt>
                <c:pt idx="9">
                  <c:v>28.686</c:v>
                </c:pt>
              </c:numCache>
            </c:numRef>
          </c:val>
          <c:extLst>
            <c:ext xmlns:c16="http://schemas.microsoft.com/office/drawing/2014/chart" uri="{C3380CC4-5D6E-409C-BE32-E72D297353CC}">
              <c16:uniqueId val="{00000001-EC24-4705-A706-5AAC93277047}"/>
            </c:ext>
          </c:extLst>
        </c:ser>
        <c:ser>
          <c:idx val="2"/>
          <c:order val="2"/>
          <c:tx>
            <c:strRef>
              <c:f>'Dashboard data'!$W$30</c:f>
              <c:strCache>
                <c:ptCount val="1"/>
                <c:pt idx="0">
                  <c:v>Net capital expenditure - Improvements / Compliance</c:v>
                </c:pt>
              </c:strCache>
            </c:strRef>
          </c:tx>
          <c:invertIfNegative val="0"/>
          <c:cat>
            <c:strRef>
              <c:f>'Dashboard data'!$AF$27:$AO$27</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data'!$AF$30:$AO$30</c:f>
              <c:numCache>
                <c:formatCode>0.00</c:formatCode>
                <c:ptCount val="10"/>
                <c:pt idx="0">
                  <c:v>14.627999999999998</c:v>
                </c:pt>
                <c:pt idx="1">
                  <c:v>24.175000000000001</c:v>
                </c:pt>
                <c:pt idx="2">
                  <c:v>11.434999999999999</c:v>
                </c:pt>
                <c:pt idx="3">
                  <c:v>3.41</c:v>
                </c:pt>
                <c:pt idx="4">
                  <c:v>3.6</c:v>
                </c:pt>
                <c:pt idx="5">
                  <c:v>0.1</c:v>
                </c:pt>
                <c:pt idx="6">
                  <c:v>0.1</c:v>
                </c:pt>
                <c:pt idx="7">
                  <c:v>0.1</c:v>
                </c:pt>
                <c:pt idx="8">
                  <c:v>0.1</c:v>
                </c:pt>
                <c:pt idx="9">
                  <c:v>0.1</c:v>
                </c:pt>
              </c:numCache>
            </c:numRef>
          </c:val>
          <c:extLst>
            <c:ext xmlns:c16="http://schemas.microsoft.com/office/drawing/2014/chart" uri="{C3380CC4-5D6E-409C-BE32-E72D297353CC}">
              <c16:uniqueId val="{00000002-EC24-4705-A706-5AAC93277047}"/>
            </c:ext>
          </c:extLst>
        </c:ser>
        <c:ser>
          <c:idx val="3"/>
          <c:order val="3"/>
          <c:tx>
            <c:strRef>
              <c:f>'Dashboard data'!$W$31</c:f>
              <c:strCache>
                <c:ptCount val="1"/>
                <c:pt idx="0">
                  <c:v>Government contributions</c:v>
                </c:pt>
              </c:strCache>
            </c:strRef>
          </c:tx>
          <c:invertIfNegative val="0"/>
          <c:cat>
            <c:strRef>
              <c:f>'Dashboard data'!$AF$27:$AO$27</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data'!$AF$31:$AO$31</c:f>
              <c:numCache>
                <c:formatCode>0.00</c:formatCode>
                <c:ptCount val="10"/>
                <c:pt idx="0">
                  <c:v>1</c:v>
                </c:pt>
                <c:pt idx="1">
                  <c:v>3.0949999999999998</c:v>
                </c:pt>
                <c:pt idx="2">
                  <c:v>0.40500000000000003</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EC24-4705-A706-5AAC93277047}"/>
            </c:ext>
          </c:extLst>
        </c:ser>
        <c:ser>
          <c:idx val="4"/>
          <c:order val="4"/>
          <c:tx>
            <c:strRef>
              <c:f>'Dashboard data'!$W$32</c:f>
              <c:strCache>
                <c:ptCount val="1"/>
                <c:pt idx="0">
                  <c:v>Customer contributions</c:v>
                </c:pt>
              </c:strCache>
            </c:strRef>
          </c:tx>
          <c:invertIfNegative val="0"/>
          <c:cat>
            <c:strRef>
              <c:f>'Dashboard data'!$AF$27:$AO$27</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data'!$AF$32:$AO$32</c:f>
              <c:numCache>
                <c:formatCode>0.00</c:formatCode>
                <c:ptCount val="10"/>
                <c:pt idx="0">
                  <c:v>4.3159999999999998</c:v>
                </c:pt>
                <c:pt idx="1">
                  <c:v>4.38</c:v>
                </c:pt>
                <c:pt idx="2">
                  <c:v>4.4459999999999997</c:v>
                </c:pt>
                <c:pt idx="3">
                  <c:v>4.5140000000000002</c:v>
                </c:pt>
                <c:pt idx="4">
                  <c:v>4.5839999999999996</c:v>
                </c:pt>
                <c:pt idx="5">
                  <c:v>4.6559999999999997</c:v>
                </c:pt>
                <c:pt idx="6">
                  <c:v>4.7300000000000004</c:v>
                </c:pt>
                <c:pt idx="7">
                  <c:v>4.806</c:v>
                </c:pt>
                <c:pt idx="8">
                  <c:v>4.883</c:v>
                </c:pt>
                <c:pt idx="9">
                  <c:v>4.9640000000000004</c:v>
                </c:pt>
              </c:numCache>
            </c:numRef>
          </c:val>
          <c:extLst>
            <c:ext xmlns:c16="http://schemas.microsoft.com/office/drawing/2014/chart" uri="{C3380CC4-5D6E-409C-BE32-E72D297353CC}">
              <c16:uniqueId val="{00000004-EC24-4705-A706-5AAC93277047}"/>
            </c:ext>
          </c:extLst>
        </c:ser>
        <c:dLbls>
          <c:showLegendKey val="0"/>
          <c:showVal val="0"/>
          <c:showCatName val="0"/>
          <c:showSerName val="0"/>
          <c:showPercent val="0"/>
          <c:showBubbleSize val="0"/>
        </c:dLbls>
        <c:gapWidth val="75"/>
        <c:overlap val="100"/>
        <c:axId val="199140096"/>
        <c:axId val="199141632"/>
      </c:barChart>
      <c:catAx>
        <c:axId val="199140096"/>
        <c:scaling>
          <c:orientation val="minMax"/>
        </c:scaling>
        <c:delete val="0"/>
        <c:axPos val="b"/>
        <c:numFmt formatCode="General" sourceLinked="0"/>
        <c:majorTickMark val="none"/>
        <c:minorTickMark val="none"/>
        <c:tickLblPos val="nextTo"/>
        <c:txPr>
          <a:bodyPr/>
          <a:lstStyle/>
          <a:p>
            <a:pPr>
              <a:defRPr sz="1100"/>
            </a:pPr>
            <a:endParaRPr lang="en-US"/>
          </a:p>
        </c:txPr>
        <c:crossAx val="199141632"/>
        <c:crosses val="autoZero"/>
        <c:auto val="1"/>
        <c:lblAlgn val="ctr"/>
        <c:lblOffset val="100"/>
        <c:noMultiLvlLbl val="0"/>
      </c:catAx>
      <c:valAx>
        <c:axId val="199141632"/>
        <c:scaling>
          <c:orientation val="minMax"/>
        </c:scaling>
        <c:delete val="0"/>
        <c:axPos val="l"/>
        <c:majorGridlines/>
        <c:numFmt formatCode="0.0" sourceLinked="0"/>
        <c:majorTickMark val="none"/>
        <c:minorTickMark val="none"/>
        <c:tickLblPos val="nextTo"/>
        <c:spPr>
          <a:ln w="9525">
            <a:noFill/>
          </a:ln>
        </c:spPr>
        <c:crossAx val="199140096"/>
        <c:crosses val="autoZero"/>
        <c:crossBetween val="between"/>
      </c:valAx>
    </c:plotArea>
    <c:legend>
      <c:legendPos val="b"/>
      <c:layout>
        <c:manualLayout>
          <c:xMode val="edge"/>
          <c:yMode val="edge"/>
          <c:x val="0"/>
          <c:y val="0.84984333333333328"/>
          <c:w val="1"/>
          <c:h val="0.131311111111111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 capex by capital type ($m)</a:t>
            </a:r>
          </a:p>
        </c:rich>
      </c:tx>
      <c:overlay val="0"/>
    </c:title>
    <c:autoTitleDeleted val="0"/>
    <c:plotArea>
      <c:layout>
        <c:manualLayout>
          <c:layoutTarget val="inner"/>
          <c:xMode val="edge"/>
          <c:yMode val="edge"/>
          <c:x val="7.5613734567901228E-2"/>
          <c:y val="0.14844027777777777"/>
          <c:w val="0.90282762345679013"/>
          <c:h val="0.64294611111111111"/>
        </c:manualLayout>
      </c:layout>
      <c:barChart>
        <c:barDir val="col"/>
        <c:grouping val="stacked"/>
        <c:varyColors val="0"/>
        <c:ser>
          <c:idx val="0"/>
          <c:order val="0"/>
          <c:tx>
            <c:strRef>
              <c:f>'Dashboard data'!$W$36</c:f>
              <c:strCache>
                <c:ptCount val="1"/>
                <c:pt idx="0">
                  <c:v>Top 10 Major Projects</c:v>
                </c:pt>
              </c:strCache>
            </c:strRef>
          </c:tx>
          <c:invertIfNegative val="0"/>
          <c:cat>
            <c:strRef>
              <c:f>'Dashboard data'!$AF$35:$AO$35</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data'!$AF$36:$AO$36</c:f>
              <c:numCache>
                <c:formatCode>0.00</c:formatCode>
                <c:ptCount val="10"/>
                <c:pt idx="0">
                  <c:v>23.668000000000003</c:v>
                </c:pt>
                <c:pt idx="1">
                  <c:v>38.370000000000005</c:v>
                </c:pt>
                <c:pt idx="2">
                  <c:v>29.401999999999997</c:v>
                </c:pt>
                <c:pt idx="3">
                  <c:v>29.835999999999999</c:v>
                </c:pt>
                <c:pt idx="4">
                  <c:v>43.954000000000008</c:v>
                </c:pt>
                <c:pt idx="5">
                  <c:v>42.68</c:v>
                </c:pt>
                <c:pt idx="6">
                  <c:v>41.4</c:v>
                </c:pt>
                <c:pt idx="7">
                  <c:v>31.867000000000001</c:v>
                </c:pt>
                <c:pt idx="8">
                  <c:v>43.5</c:v>
                </c:pt>
                <c:pt idx="9">
                  <c:v>33.5</c:v>
                </c:pt>
              </c:numCache>
            </c:numRef>
          </c:val>
          <c:extLst>
            <c:ext xmlns:c16="http://schemas.microsoft.com/office/drawing/2014/chart" uri="{C3380CC4-5D6E-409C-BE32-E72D297353CC}">
              <c16:uniqueId val="{00000000-9112-413B-BD96-3E03D2A574C6}"/>
            </c:ext>
          </c:extLst>
        </c:ser>
        <c:ser>
          <c:idx val="1"/>
          <c:order val="1"/>
          <c:tx>
            <c:strRef>
              <c:f>'Dashboard data'!$W$37</c:f>
              <c:strCache>
                <c:ptCount val="1"/>
                <c:pt idx="0">
                  <c:v>Significant projects</c:v>
                </c:pt>
              </c:strCache>
            </c:strRef>
          </c:tx>
          <c:spPr>
            <a:solidFill>
              <a:schemeClr val="accent6">
                <a:lumMod val="60000"/>
                <a:lumOff val="40000"/>
              </a:schemeClr>
            </a:solidFill>
          </c:spPr>
          <c:invertIfNegative val="0"/>
          <c:cat>
            <c:strRef>
              <c:f>'Dashboard data'!$AF$35:$AO$35</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data'!$AF$37:$AO$37</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9112-413B-BD96-3E03D2A574C6}"/>
            </c:ext>
          </c:extLst>
        </c:ser>
        <c:ser>
          <c:idx val="2"/>
          <c:order val="2"/>
          <c:tx>
            <c:strRef>
              <c:f>'Dashboard data'!$W$38</c:f>
              <c:strCache>
                <c:ptCount val="1"/>
                <c:pt idx="0">
                  <c:v>Capital Programs / Allocation</c:v>
                </c:pt>
              </c:strCache>
            </c:strRef>
          </c:tx>
          <c:invertIfNegative val="0"/>
          <c:cat>
            <c:strRef>
              <c:f>'Dashboard data'!$AF$35:$AO$35</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data'!$AF$38:$AO$38</c:f>
              <c:numCache>
                <c:formatCode>0.00</c:formatCode>
                <c:ptCount val="10"/>
                <c:pt idx="0">
                  <c:v>17.045403000000004</c:v>
                </c:pt>
                <c:pt idx="1">
                  <c:v>14.857200000000001</c:v>
                </c:pt>
                <c:pt idx="2">
                  <c:v>14.226899999999999</c:v>
                </c:pt>
                <c:pt idx="3">
                  <c:v>14.756499999999999</c:v>
                </c:pt>
                <c:pt idx="4">
                  <c:v>15.912599999999999</c:v>
                </c:pt>
                <c:pt idx="5">
                  <c:v>20.699000000000005</c:v>
                </c:pt>
                <c:pt idx="6">
                  <c:v>20.699000000000005</c:v>
                </c:pt>
                <c:pt idx="7">
                  <c:v>20.699000000000005</c:v>
                </c:pt>
                <c:pt idx="8">
                  <c:v>20.699000000000005</c:v>
                </c:pt>
                <c:pt idx="9">
                  <c:v>20.699000000000005</c:v>
                </c:pt>
              </c:numCache>
            </c:numRef>
          </c:val>
          <c:extLst>
            <c:ext xmlns:c16="http://schemas.microsoft.com/office/drawing/2014/chart" uri="{C3380CC4-5D6E-409C-BE32-E72D297353CC}">
              <c16:uniqueId val="{00000002-9112-413B-BD96-3E03D2A574C6}"/>
            </c:ext>
          </c:extLst>
        </c:ser>
        <c:ser>
          <c:idx val="3"/>
          <c:order val="3"/>
          <c:tx>
            <c:strRef>
              <c:f>'Dashboard data'!$W$39</c:f>
              <c:strCache>
                <c:ptCount val="1"/>
                <c:pt idx="0">
                  <c:v>Other Capital expenditure</c:v>
                </c:pt>
              </c:strCache>
            </c:strRef>
          </c:tx>
          <c:invertIfNegative val="0"/>
          <c:cat>
            <c:strRef>
              <c:f>'Dashboard data'!$AF$35:$AO$35</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data'!$AF$39:$AO$39</c:f>
              <c:numCache>
                <c:formatCode>0.00</c:formatCode>
                <c:ptCount val="10"/>
                <c:pt idx="0">
                  <c:v>13.409999999999998</c:v>
                </c:pt>
                <c:pt idx="1">
                  <c:v>5.0519999999999996</c:v>
                </c:pt>
                <c:pt idx="2">
                  <c:v>0.5</c:v>
                </c:pt>
                <c:pt idx="3">
                  <c:v>6.4403269999999999</c:v>
                </c:pt>
                <c:pt idx="4">
                  <c:v>12.3</c:v>
                </c:pt>
                <c:pt idx="5">
                  <c:v>1</c:v>
                </c:pt>
                <c:pt idx="6">
                  <c:v>0</c:v>
                </c:pt>
                <c:pt idx="7">
                  <c:v>0</c:v>
                </c:pt>
                <c:pt idx="8">
                  <c:v>0.05</c:v>
                </c:pt>
                <c:pt idx="9">
                  <c:v>0.05</c:v>
                </c:pt>
              </c:numCache>
            </c:numRef>
          </c:val>
          <c:extLst>
            <c:ext xmlns:c16="http://schemas.microsoft.com/office/drawing/2014/chart" uri="{C3380CC4-5D6E-409C-BE32-E72D297353CC}">
              <c16:uniqueId val="{00000003-9112-413B-BD96-3E03D2A574C6}"/>
            </c:ext>
          </c:extLst>
        </c:ser>
        <c:dLbls>
          <c:showLegendKey val="0"/>
          <c:showVal val="0"/>
          <c:showCatName val="0"/>
          <c:showSerName val="0"/>
          <c:showPercent val="0"/>
          <c:showBubbleSize val="0"/>
        </c:dLbls>
        <c:gapWidth val="75"/>
        <c:overlap val="100"/>
        <c:axId val="200110848"/>
        <c:axId val="200112384"/>
      </c:barChart>
      <c:catAx>
        <c:axId val="200110848"/>
        <c:scaling>
          <c:orientation val="minMax"/>
        </c:scaling>
        <c:delete val="0"/>
        <c:axPos val="b"/>
        <c:numFmt formatCode="General" sourceLinked="0"/>
        <c:majorTickMark val="none"/>
        <c:minorTickMark val="none"/>
        <c:tickLblPos val="nextTo"/>
        <c:txPr>
          <a:bodyPr/>
          <a:lstStyle/>
          <a:p>
            <a:pPr>
              <a:defRPr sz="1100"/>
            </a:pPr>
            <a:endParaRPr lang="en-US"/>
          </a:p>
        </c:txPr>
        <c:crossAx val="200112384"/>
        <c:crosses val="autoZero"/>
        <c:auto val="1"/>
        <c:lblAlgn val="ctr"/>
        <c:lblOffset val="100"/>
        <c:noMultiLvlLbl val="0"/>
      </c:catAx>
      <c:valAx>
        <c:axId val="200112384"/>
        <c:scaling>
          <c:orientation val="minMax"/>
        </c:scaling>
        <c:delete val="0"/>
        <c:axPos val="l"/>
        <c:majorGridlines/>
        <c:numFmt formatCode="0.0" sourceLinked="0"/>
        <c:majorTickMark val="none"/>
        <c:minorTickMark val="none"/>
        <c:tickLblPos val="nextTo"/>
        <c:spPr>
          <a:ln w="9525">
            <a:noFill/>
          </a:ln>
        </c:spPr>
        <c:crossAx val="200110848"/>
        <c:crosses val="autoZero"/>
        <c:crossBetween val="between"/>
      </c:valAx>
    </c:plotArea>
    <c:legend>
      <c:legendPos val="b"/>
      <c:layout>
        <c:manualLayout>
          <c:xMode val="edge"/>
          <c:yMode val="edge"/>
          <c:x val="0"/>
          <c:y val="0.86325070571560136"/>
          <c:w val="0.99735076384682686"/>
          <c:h val="0.1165727521889032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 capex by capital type - Water ($m)</a:t>
            </a:r>
          </a:p>
        </c:rich>
      </c:tx>
      <c:overlay val="0"/>
    </c:title>
    <c:autoTitleDeleted val="0"/>
    <c:plotArea>
      <c:layout>
        <c:manualLayout>
          <c:layoutTarget val="inner"/>
          <c:xMode val="edge"/>
          <c:yMode val="edge"/>
          <c:x val="7.5613734567901228E-2"/>
          <c:y val="0.14844027777777777"/>
          <c:w val="0.90282762345679013"/>
          <c:h val="0.6500016666666667"/>
        </c:manualLayout>
      </c:layout>
      <c:barChart>
        <c:barDir val="col"/>
        <c:grouping val="stacked"/>
        <c:varyColors val="0"/>
        <c:ser>
          <c:idx val="0"/>
          <c:order val="0"/>
          <c:tx>
            <c:strRef>
              <c:f>'Dashboard data'!$W$43</c:f>
              <c:strCache>
                <c:ptCount val="1"/>
                <c:pt idx="0">
                  <c:v>Top 10 Major Projects</c:v>
                </c:pt>
              </c:strCache>
            </c:strRef>
          </c:tx>
          <c:invertIfNegative val="0"/>
          <c:cat>
            <c:strRef>
              <c:f>'Dashboard data'!$AF$42:$AO$42</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data'!$AF$43:$AO$43</c:f>
              <c:numCache>
                <c:formatCode>0.00</c:formatCode>
                <c:ptCount val="10"/>
                <c:pt idx="0">
                  <c:v>4.0999999999999996</c:v>
                </c:pt>
                <c:pt idx="1">
                  <c:v>6.39</c:v>
                </c:pt>
                <c:pt idx="2">
                  <c:v>17.661999999999999</c:v>
                </c:pt>
                <c:pt idx="3">
                  <c:v>18.515999999999998</c:v>
                </c:pt>
                <c:pt idx="4">
                  <c:v>12.504999999999999</c:v>
                </c:pt>
                <c:pt idx="5">
                  <c:v>1</c:v>
                </c:pt>
                <c:pt idx="6">
                  <c:v>9.9</c:v>
                </c:pt>
                <c:pt idx="7">
                  <c:v>1</c:v>
                </c:pt>
                <c:pt idx="8">
                  <c:v>0</c:v>
                </c:pt>
                <c:pt idx="9">
                  <c:v>0</c:v>
                </c:pt>
              </c:numCache>
            </c:numRef>
          </c:val>
          <c:extLst>
            <c:ext xmlns:c16="http://schemas.microsoft.com/office/drawing/2014/chart" uri="{C3380CC4-5D6E-409C-BE32-E72D297353CC}">
              <c16:uniqueId val="{00000000-DDE3-4825-BA39-6384525EEF52}"/>
            </c:ext>
          </c:extLst>
        </c:ser>
        <c:ser>
          <c:idx val="1"/>
          <c:order val="1"/>
          <c:tx>
            <c:strRef>
              <c:f>'Dashboard data'!$W$44</c:f>
              <c:strCache>
                <c:ptCount val="1"/>
                <c:pt idx="0">
                  <c:v>Significant projects</c:v>
                </c:pt>
              </c:strCache>
            </c:strRef>
          </c:tx>
          <c:spPr>
            <a:solidFill>
              <a:schemeClr val="accent6">
                <a:lumMod val="60000"/>
                <a:lumOff val="40000"/>
              </a:schemeClr>
            </a:solidFill>
          </c:spPr>
          <c:invertIfNegative val="0"/>
          <c:cat>
            <c:strRef>
              <c:f>'Dashboard data'!$AF$42:$AO$42</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data'!$AF$44:$AO$44</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DDE3-4825-BA39-6384525EEF52}"/>
            </c:ext>
          </c:extLst>
        </c:ser>
        <c:ser>
          <c:idx val="2"/>
          <c:order val="2"/>
          <c:tx>
            <c:strRef>
              <c:f>'Dashboard data'!$W$45</c:f>
              <c:strCache>
                <c:ptCount val="1"/>
                <c:pt idx="0">
                  <c:v>Capital Programs / Allocation</c:v>
                </c:pt>
              </c:strCache>
            </c:strRef>
          </c:tx>
          <c:invertIfNegative val="0"/>
          <c:cat>
            <c:strRef>
              <c:f>'Dashboard data'!$AF$42:$AO$42</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data'!$AF$45:$AO$45</c:f>
              <c:numCache>
                <c:formatCode>0.00</c:formatCode>
                <c:ptCount val="10"/>
                <c:pt idx="0">
                  <c:v>10.845403000000001</c:v>
                </c:pt>
                <c:pt idx="1">
                  <c:v>10.167200000000001</c:v>
                </c:pt>
                <c:pt idx="2">
                  <c:v>9.4769000000000005</c:v>
                </c:pt>
                <c:pt idx="3">
                  <c:v>9.3165000000000013</c:v>
                </c:pt>
                <c:pt idx="4">
                  <c:v>9.8125999999999998</c:v>
                </c:pt>
                <c:pt idx="5">
                  <c:v>14.449</c:v>
                </c:pt>
                <c:pt idx="6">
                  <c:v>14.449</c:v>
                </c:pt>
                <c:pt idx="7">
                  <c:v>14.449</c:v>
                </c:pt>
                <c:pt idx="8">
                  <c:v>14.449</c:v>
                </c:pt>
                <c:pt idx="9">
                  <c:v>14.449</c:v>
                </c:pt>
              </c:numCache>
            </c:numRef>
          </c:val>
          <c:extLst>
            <c:ext xmlns:c16="http://schemas.microsoft.com/office/drawing/2014/chart" uri="{C3380CC4-5D6E-409C-BE32-E72D297353CC}">
              <c16:uniqueId val="{00000002-DDE3-4825-BA39-6384525EEF52}"/>
            </c:ext>
          </c:extLst>
        </c:ser>
        <c:ser>
          <c:idx val="3"/>
          <c:order val="3"/>
          <c:tx>
            <c:strRef>
              <c:f>'Dashboard data'!$W$46</c:f>
              <c:strCache>
                <c:ptCount val="1"/>
                <c:pt idx="0">
                  <c:v>Other Capital expenditure</c:v>
                </c:pt>
              </c:strCache>
            </c:strRef>
          </c:tx>
          <c:invertIfNegative val="0"/>
          <c:cat>
            <c:strRef>
              <c:f>'Dashboard data'!$AF$42:$AO$42</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data'!$AF$46:$AO$46</c:f>
              <c:numCache>
                <c:formatCode>0.00</c:formatCode>
                <c:ptCount val="10"/>
                <c:pt idx="0">
                  <c:v>6.4</c:v>
                </c:pt>
                <c:pt idx="1">
                  <c:v>4.0519999999999996</c:v>
                </c:pt>
                <c:pt idx="2">
                  <c:v>0.5</c:v>
                </c:pt>
                <c:pt idx="3">
                  <c:v>2.3603269999999998</c:v>
                </c:pt>
                <c:pt idx="4">
                  <c:v>8.3000000000000007</c:v>
                </c:pt>
                <c:pt idx="5">
                  <c:v>1</c:v>
                </c:pt>
                <c:pt idx="6">
                  <c:v>0</c:v>
                </c:pt>
                <c:pt idx="7">
                  <c:v>0</c:v>
                </c:pt>
                <c:pt idx="8">
                  <c:v>0.05</c:v>
                </c:pt>
                <c:pt idx="9">
                  <c:v>0.05</c:v>
                </c:pt>
              </c:numCache>
            </c:numRef>
          </c:val>
          <c:extLst>
            <c:ext xmlns:c16="http://schemas.microsoft.com/office/drawing/2014/chart" uri="{C3380CC4-5D6E-409C-BE32-E72D297353CC}">
              <c16:uniqueId val="{00000003-DDE3-4825-BA39-6384525EEF52}"/>
            </c:ext>
          </c:extLst>
        </c:ser>
        <c:dLbls>
          <c:showLegendKey val="0"/>
          <c:showVal val="0"/>
          <c:showCatName val="0"/>
          <c:showSerName val="0"/>
          <c:showPercent val="0"/>
          <c:showBubbleSize val="0"/>
        </c:dLbls>
        <c:gapWidth val="75"/>
        <c:overlap val="100"/>
        <c:axId val="200164096"/>
        <c:axId val="200165632"/>
      </c:barChart>
      <c:catAx>
        <c:axId val="200164096"/>
        <c:scaling>
          <c:orientation val="minMax"/>
        </c:scaling>
        <c:delete val="0"/>
        <c:axPos val="b"/>
        <c:numFmt formatCode="General" sourceLinked="0"/>
        <c:majorTickMark val="none"/>
        <c:minorTickMark val="none"/>
        <c:tickLblPos val="nextTo"/>
        <c:txPr>
          <a:bodyPr/>
          <a:lstStyle/>
          <a:p>
            <a:pPr>
              <a:defRPr sz="1100"/>
            </a:pPr>
            <a:endParaRPr lang="en-US"/>
          </a:p>
        </c:txPr>
        <c:crossAx val="200165632"/>
        <c:crosses val="autoZero"/>
        <c:auto val="1"/>
        <c:lblAlgn val="ctr"/>
        <c:lblOffset val="100"/>
        <c:noMultiLvlLbl val="0"/>
      </c:catAx>
      <c:valAx>
        <c:axId val="200165632"/>
        <c:scaling>
          <c:orientation val="minMax"/>
        </c:scaling>
        <c:delete val="0"/>
        <c:axPos val="l"/>
        <c:majorGridlines/>
        <c:numFmt formatCode="0.0" sourceLinked="0"/>
        <c:majorTickMark val="none"/>
        <c:minorTickMark val="none"/>
        <c:tickLblPos val="nextTo"/>
        <c:spPr>
          <a:ln w="9525">
            <a:noFill/>
          </a:ln>
        </c:spPr>
        <c:crossAx val="200164096"/>
        <c:crosses val="autoZero"/>
        <c:crossBetween val="between"/>
      </c:valAx>
    </c:plotArea>
    <c:legend>
      <c:legendPos val="b"/>
      <c:layout>
        <c:manualLayout>
          <c:xMode val="edge"/>
          <c:yMode val="edge"/>
          <c:x val="0"/>
          <c:y val="0.86325070571560136"/>
          <c:w val="1"/>
          <c:h val="0.1165727521889032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 capex by capital type -</a:t>
            </a:r>
            <a:r>
              <a:rPr lang="en-AU" baseline="0"/>
              <a:t> Sewerage ($m)</a:t>
            </a:r>
            <a:endParaRPr lang="en-AU"/>
          </a:p>
        </c:rich>
      </c:tx>
      <c:overlay val="0"/>
    </c:title>
    <c:autoTitleDeleted val="0"/>
    <c:plotArea>
      <c:layout/>
      <c:barChart>
        <c:barDir val="col"/>
        <c:grouping val="stacked"/>
        <c:varyColors val="0"/>
        <c:ser>
          <c:idx val="0"/>
          <c:order val="0"/>
          <c:tx>
            <c:strRef>
              <c:f>'Dashboard data'!$W$50</c:f>
              <c:strCache>
                <c:ptCount val="1"/>
                <c:pt idx="0">
                  <c:v>Top 10 Major Projects</c:v>
                </c:pt>
              </c:strCache>
            </c:strRef>
          </c:tx>
          <c:invertIfNegative val="0"/>
          <c:cat>
            <c:strRef>
              <c:f>'Dashboard data'!$AF$49:$AO$49</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data'!$AF$50:$AO$50</c:f>
              <c:numCache>
                <c:formatCode>0.00</c:formatCode>
                <c:ptCount val="10"/>
                <c:pt idx="0">
                  <c:v>19.568000000000001</c:v>
                </c:pt>
                <c:pt idx="1">
                  <c:v>31.979999999999997</c:v>
                </c:pt>
                <c:pt idx="2">
                  <c:v>11.739999999999998</c:v>
                </c:pt>
                <c:pt idx="3">
                  <c:v>11.32</c:v>
                </c:pt>
                <c:pt idx="4">
                  <c:v>31.449000000000002</c:v>
                </c:pt>
                <c:pt idx="5">
                  <c:v>41.68</c:v>
                </c:pt>
                <c:pt idx="6">
                  <c:v>31.5</c:v>
                </c:pt>
                <c:pt idx="7">
                  <c:v>30.867000000000001</c:v>
                </c:pt>
                <c:pt idx="8">
                  <c:v>43.5</c:v>
                </c:pt>
                <c:pt idx="9">
                  <c:v>33.5</c:v>
                </c:pt>
              </c:numCache>
            </c:numRef>
          </c:val>
          <c:extLst>
            <c:ext xmlns:c16="http://schemas.microsoft.com/office/drawing/2014/chart" uri="{C3380CC4-5D6E-409C-BE32-E72D297353CC}">
              <c16:uniqueId val="{00000000-815C-4531-898C-4C0B6D2D54B6}"/>
            </c:ext>
          </c:extLst>
        </c:ser>
        <c:ser>
          <c:idx val="1"/>
          <c:order val="1"/>
          <c:tx>
            <c:strRef>
              <c:f>'Dashboard data'!$W$51</c:f>
              <c:strCache>
                <c:ptCount val="1"/>
                <c:pt idx="0">
                  <c:v>Significant projects</c:v>
                </c:pt>
              </c:strCache>
            </c:strRef>
          </c:tx>
          <c:spPr>
            <a:solidFill>
              <a:schemeClr val="accent6">
                <a:lumMod val="60000"/>
                <a:lumOff val="40000"/>
              </a:schemeClr>
            </a:solidFill>
          </c:spPr>
          <c:invertIfNegative val="0"/>
          <c:cat>
            <c:strRef>
              <c:f>'Dashboard data'!$AF$49:$AO$49</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data'!$AF$51:$AO$51</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815C-4531-898C-4C0B6D2D54B6}"/>
            </c:ext>
          </c:extLst>
        </c:ser>
        <c:ser>
          <c:idx val="2"/>
          <c:order val="2"/>
          <c:tx>
            <c:strRef>
              <c:f>'Dashboard data'!$W$52</c:f>
              <c:strCache>
                <c:ptCount val="1"/>
                <c:pt idx="0">
                  <c:v>Capital Programs / Allocation</c:v>
                </c:pt>
              </c:strCache>
            </c:strRef>
          </c:tx>
          <c:invertIfNegative val="0"/>
          <c:cat>
            <c:strRef>
              <c:f>'Dashboard data'!$AF$49:$AO$49</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data'!$AF$52:$AO$52</c:f>
              <c:numCache>
                <c:formatCode>0.00</c:formatCode>
                <c:ptCount val="10"/>
                <c:pt idx="0">
                  <c:v>6.2</c:v>
                </c:pt>
                <c:pt idx="1">
                  <c:v>4.6899999999999995</c:v>
                </c:pt>
                <c:pt idx="2">
                  <c:v>4.75</c:v>
                </c:pt>
                <c:pt idx="3">
                  <c:v>5.4399999999999995</c:v>
                </c:pt>
                <c:pt idx="4">
                  <c:v>6.1</c:v>
                </c:pt>
                <c:pt idx="5">
                  <c:v>6.25</c:v>
                </c:pt>
                <c:pt idx="6">
                  <c:v>6.25</c:v>
                </c:pt>
                <c:pt idx="7">
                  <c:v>6.25</c:v>
                </c:pt>
                <c:pt idx="8">
                  <c:v>6.25</c:v>
                </c:pt>
                <c:pt idx="9">
                  <c:v>6.25</c:v>
                </c:pt>
              </c:numCache>
            </c:numRef>
          </c:val>
          <c:extLst>
            <c:ext xmlns:c16="http://schemas.microsoft.com/office/drawing/2014/chart" uri="{C3380CC4-5D6E-409C-BE32-E72D297353CC}">
              <c16:uniqueId val="{00000002-815C-4531-898C-4C0B6D2D54B6}"/>
            </c:ext>
          </c:extLst>
        </c:ser>
        <c:ser>
          <c:idx val="3"/>
          <c:order val="3"/>
          <c:tx>
            <c:strRef>
              <c:f>'Dashboard data'!$W$53</c:f>
              <c:strCache>
                <c:ptCount val="1"/>
                <c:pt idx="0">
                  <c:v>Other Capital expenditure</c:v>
                </c:pt>
              </c:strCache>
            </c:strRef>
          </c:tx>
          <c:invertIfNegative val="0"/>
          <c:cat>
            <c:strRef>
              <c:f>'Dashboard data'!$AF$49:$AO$49</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data'!$AF$53:$AO$53</c:f>
              <c:numCache>
                <c:formatCode>0.00</c:formatCode>
                <c:ptCount val="10"/>
                <c:pt idx="0">
                  <c:v>7.01</c:v>
                </c:pt>
                <c:pt idx="1">
                  <c:v>1</c:v>
                </c:pt>
                <c:pt idx="2">
                  <c:v>0</c:v>
                </c:pt>
                <c:pt idx="3">
                  <c:v>4.08</c:v>
                </c:pt>
                <c:pt idx="4">
                  <c:v>4</c:v>
                </c:pt>
                <c:pt idx="5">
                  <c:v>0</c:v>
                </c:pt>
                <c:pt idx="6">
                  <c:v>0</c:v>
                </c:pt>
                <c:pt idx="7">
                  <c:v>0</c:v>
                </c:pt>
                <c:pt idx="8">
                  <c:v>0</c:v>
                </c:pt>
                <c:pt idx="9">
                  <c:v>0</c:v>
                </c:pt>
              </c:numCache>
            </c:numRef>
          </c:val>
          <c:extLst>
            <c:ext xmlns:c16="http://schemas.microsoft.com/office/drawing/2014/chart" uri="{C3380CC4-5D6E-409C-BE32-E72D297353CC}">
              <c16:uniqueId val="{00000003-815C-4531-898C-4C0B6D2D54B6}"/>
            </c:ext>
          </c:extLst>
        </c:ser>
        <c:dLbls>
          <c:showLegendKey val="0"/>
          <c:showVal val="0"/>
          <c:showCatName val="0"/>
          <c:showSerName val="0"/>
          <c:showPercent val="0"/>
          <c:showBubbleSize val="0"/>
        </c:dLbls>
        <c:gapWidth val="75"/>
        <c:overlap val="100"/>
        <c:axId val="200205056"/>
        <c:axId val="200206592"/>
      </c:barChart>
      <c:catAx>
        <c:axId val="200205056"/>
        <c:scaling>
          <c:orientation val="minMax"/>
        </c:scaling>
        <c:delete val="0"/>
        <c:axPos val="b"/>
        <c:numFmt formatCode="General" sourceLinked="0"/>
        <c:majorTickMark val="none"/>
        <c:minorTickMark val="none"/>
        <c:tickLblPos val="nextTo"/>
        <c:txPr>
          <a:bodyPr/>
          <a:lstStyle/>
          <a:p>
            <a:pPr>
              <a:defRPr sz="1100"/>
            </a:pPr>
            <a:endParaRPr lang="en-US"/>
          </a:p>
        </c:txPr>
        <c:crossAx val="200206592"/>
        <c:crosses val="autoZero"/>
        <c:auto val="1"/>
        <c:lblAlgn val="ctr"/>
        <c:lblOffset val="100"/>
        <c:noMultiLvlLbl val="0"/>
      </c:catAx>
      <c:valAx>
        <c:axId val="200206592"/>
        <c:scaling>
          <c:orientation val="minMax"/>
        </c:scaling>
        <c:delete val="0"/>
        <c:axPos val="l"/>
        <c:majorGridlines/>
        <c:numFmt formatCode="0.0" sourceLinked="0"/>
        <c:majorTickMark val="none"/>
        <c:minorTickMark val="none"/>
        <c:tickLblPos val="nextTo"/>
        <c:spPr>
          <a:ln w="9525">
            <a:noFill/>
          </a:ln>
        </c:spPr>
        <c:crossAx val="200205056"/>
        <c:crosses val="autoZero"/>
        <c:crossBetween val="between"/>
      </c:valAx>
    </c:plotArea>
    <c:legend>
      <c:legendPos val="b"/>
      <c:layout>
        <c:manualLayout>
          <c:xMode val="edge"/>
          <c:yMode val="edge"/>
          <c:x val="0"/>
          <c:y val="0.86759195259670074"/>
          <c:w val="1"/>
          <c:h val="0.11287203037158428"/>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Capital programs / Allocations and other capital</a:t>
            </a:r>
            <a:r>
              <a:rPr lang="en-AU" baseline="0"/>
              <a:t> expenditure by service category ($m)</a:t>
            </a:r>
            <a:endParaRPr lang="en-AU"/>
          </a:p>
        </c:rich>
      </c:tx>
      <c:overlay val="0"/>
    </c:title>
    <c:autoTitleDeleted val="0"/>
    <c:plotArea>
      <c:layout/>
      <c:barChart>
        <c:barDir val="col"/>
        <c:grouping val="stacked"/>
        <c:varyColors val="0"/>
        <c:ser>
          <c:idx val="0"/>
          <c:order val="0"/>
          <c:tx>
            <c:strRef>
              <c:f>'Dashboard data'!$W$57</c:f>
              <c:strCache>
                <c:ptCount val="1"/>
                <c:pt idx="0">
                  <c:v>Water</c:v>
                </c:pt>
              </c:strCache>
            </c:strRef>
          </c:tx>
          <c:invertIfNegative val="0"/>
          <c:cat>
            <c:strRef>
              <c:f>'Dashboard data'!$AF$56:$AO$56</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data'!$AF$57:$AO$57</c:f>
              <c:numCache>
                <c:formatCode>0.00</c:formatCode>
                <c:ptCount val="10"/>
                <c:pt idx="0">
                  <c:v>17.245403000000003</c:v>
                </c:pt>
                <c:pt idx="1">
                  <c:v>14.219200000000001</c:v>
                </c:pt>
                <c:pt idx="2">
                  <c:v>9.9769000000000005</c:v>
                </c:pt>
                <c:pt idx="3">
                  <c:v>11.676827000000001</c:v>
                </c:pt>
                <c:pt idx="4">
                  <c:v>18.1126</c:v>
                </c:pt>
                <c:pt idx="5">
                  <c:v>15.449</c:v>
                </c:pt>
                <c:pt idx="6">
                  <c:v>14.449</c:v>
                </c:pt>
                <c:pt idx="7">
                  <c:v>14.449</c:v>
                </c:pt>
                <c:pt idx="8">
                  <c:v>14.499000000000001</c:v>
                </c:pt>
                <c:pt idx="9">
                  <c:v>14.499000000000001</c:v>
                </c:pt>
              </c:numCache>
            </c:numRef>
          </c:val>
          <c:extLst>
            <c:ext xmlns:c16="http://schemas.microsoft.com/office/drawing/2014/chart" uri="{C3380CC4-5D6E-409C-BE32-E72D297353CC}">
              <c16:uniqueId val="{00000000-D1DF-4002-AAB3-D9A2D15380B1}"/>
            </c:ext>
          </c:extLst>
        </c:ser>
        <c:ser>
          <c:idx val="1"/>
          <c:order val="1"/>
          <c:tx>
            <c:strRef>
              <c:f>'Dashboard data'!$W$58</c:f>
              <c:strCache>
                <c:ptCount val="1"/>
                <c:pt idx="0">
                  <c:v>Sewerage</c:v>
                </c:pt>
              </c:strCache>
            </c:strRef>
          </c:tx>
          <c:spPr>
            <a:solidFill>
              <a:schemeClr val="accent6">
                <a:lumMod val="60000"/>
                <a:lumOff val="40000"/>
              </a:schemeClr>
            </a:solidFill>
          </c:spPr>
          <c:invertIfNegative val="0"/>
          <c:cat>
            <c:strRef>
              <c:f>'Dashboard data'!$AF$56:$AO$56</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data'!$AF$58:$AO$58</c:f>
              <c:numCache>
                <c:formatCode>0.00</c:formatCode>
                <c:ptCount val="10"/>
                <c:pt idx="0">
                  <c:v>13.21</c:v>
                </c:pt>
                <c:pt idx="1">
                  <c:v>5.6899999999999995</c:v>
                </c:pt>
                <c:pt idx="2">
                  <c:v>4.75</c:v>
                </c:pt>
                <c:pt idx="3">
                  <c:v>9.52</c:v>
                </c:pt>
                <c:pt idx="4">
                  <c:v>10.1</c:v>
                </c:pt>
                <c:pt idx="5">
                  <c:v>6.25</c:v>
                </c:pt>
                <c:pt idx="6">
                  <c:v>6.25</c:v>
                </c:pt>
                <c:pt idx="7">
                  <c:v>6.25</c:v>
                </c:pt>
                <c:pt idx="8">
                  <c:v>6.25</c:v>
                </c:pt>
                <c:pt idx="9">
                  <c:v>6.25</c:v>
                </c:pt>
              </c:numCache>
            </c:numRef>
          </c:val>
          <c:extLst>
            <c:ext xmlns:c16="http://schemas.microsoft.com/office/drawing/2014/chart" uri="{C3380CC4-5D6E-409C-BE32-E72D297353CC}">
              <c16:uniqueId val="{00000001-D1DF-4002-AAB3-D9A2D15380B1}"/>
            </c:ext>
          </c:extLst>
        </c:ser>
        <c:ser>
          <c:idx val="2"/>
          <c:order val="2"/>
          <c:tx>
            <c:strRef>
              <c:f>'Dashboard data'!$W$59</c:f>
              <c:strCache>
                <c:ptCount val="1"/>
                <c:pt idx="0">
                  <c:v>Recycled Water</c:v>
                </c:pt>
              </c:strCache>
            </c:strRef>
          </c:tx>
          <c:invertIfNegative val="0"/>
          <c:cat>
            <c:strRef>
              <c:f>'Dashboard data'!$AF$56:$AO$56</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data'!$AF$59:$AO$59</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D1DF-4002-AAB3-D9A2D15380B1}"/>
            </c:ext>
          </c:extLst>
        </c:ser>
        <c:ser>
          <c:idx val="3"/>
          <c:order val="3"/>
          <c:tx>
            <c:strRef>
              <c:f>'Dashboard data'!$W$60</c:f>
              <c:strCache>
                <c:ptCount val="1"/>
                <c:pt idx="0">
                  <c:v>Rural water</c:v>
                </c:pt>
              </c:strCache>
            </c:strRef>
          </c:tx>
          <c:invertIfNegative val="0"/>
          <c:cat>
            <c:strRef>
              <c:f>'Dashboard data'!$AF$56:$AO$56</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data'!$AF$60:$AO$60</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D1DF-4002-AAB3-D9A2D15380B1}"/>
            </c:ext>
          </c:extLst>
        </c:ser>
        <c:ser>
          <c:idx val="4"/>
          <c:order val="4"/>
          <c:tx>
            <c:strRef>
              <c:f>'Dashboard data'!$W$61</c:f>
              <c:strCache>
                <c:ptCount val="1"/>
                <c:pt idx="0">
                  <c:v>Bulk Water</c:v>
                </c:pt>
              </c:strCache>
            </c:strRef>
          </c:tx>
          <c:invertIfNegative val="0"/>
          <c:cat>
            <c:strRef>
              <c:f>'Dashboard data'!$AF$56:$AO$56</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data'!$AF$61:$AO$61</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D1DF-4002-AAB3-D9A2D15380B1}"/>
            </c:ext>
          </c:extLst>
        </c:ser>
        <c:dLbls>
          <c:showLegendKey val="0"/>
          <c:showVal val="0"/>
          <c:showCatName val="0"/>
          <c:showSerName val="0"/>
          <c:showPercent val="0"/>
          <c:showBubbleSize val="0"/>
        </c:dLbls>
        <c:gapWidth val="75"/>
        <c:overlap val="100"/>
        <c:axId val="200242688"/>
        <c:axId val="200244224"/>
      </c:barChart>
      <c:catAx>
        <c:axId val="200242688"/>
        <c:scaling>
          <c:orientation val="minMax"/>
        </c:scaling>
        <c:delete val="0"/>
        <c:axPos val="b"/>
        <c:numFmt formatCode="General" sourceLinked="0"/>
        <c:majorTickMark val="none"/>
        <c:minorTickMark val="none"/>
        <c:tickLblPos val="nextTo"/>
        <c:txPr>
          <a:bodyPr/>
          <a:lstStyle/>
          <a:p>
            <a:pPr>
              <a:defRPr sz="1100"/>
            </a:pPr>
            <a:endParaRPr lang="en-US"/>
          </a:p>
        </c:txPr>
        <c:crossAx val="200244224"/>
        <c:crosses val="autoZero"/>
        <c:auto val="1"/>
        <c:lblAlgn val="ctr"/>
        <c:lblOffset val="100"/>
        <c:noMultiLvlLbl val="0"/>
      </c:catAx>
      <c:valAx>
        <c:axId val="200244224"/>
        <c:scaling>
          <c:orientation val="minMax"/>
        </c:scaling>
        <c:delete val="0"/>
        <c:axPos val="l"/>
        <c:majorGridlines/>
        <c:numFmt formatCode="0.0" sourceLinked="0"/>
        <c:majorTickMark val="none"/>
        <c:minorTickMark val="none"/>
        <c:tickLblPos val="nextTo"/>
        <c:spPr>
          <a:ln w="9525">
            <a:noFill/>
          </a:ln>
        </c:spPr>
        <c:crossAx val="20024268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AU" sz="1800" b="1"/>
              <a:t>Prescribed Capex: Current vs Previous Review</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 data'!$W$102</c:f>
              <c:strCache>
                <c:ptCount val="1"/>
                <c:pt idx="0">
                  <c:v>FD 2017/18 Benchmarks</c:v>
                </c:pt>
              </c:strCache>
            </c:strRef>
          </c:tx>
          <c:spPr>
            <a:ln w="38100" cap="rnd">
              <a:solidFill>
                <a:schemeClr val="accent1">
                  <a:lumMod val="75000"/>
                </a:schemeClr>
              </a:solidFill>
              <a:round/>
            </a:ln>
            <a:effectLst/>
          </c:spPr>
          <c:marker>
            <c:symbol val="none"/>
          </c:marker>
          <c:cat>
            <c:strRef>
              <c:f>'Dashboard data'!$X$101:$AK$101</c:f>
              <c:strCache>
                <c:ptCount val="14"/>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strCache>
            </c:strRef>
          </c:cat>
          <c:val>
            <c:numRef>
              <c:f>'Dashboard data'!$X$102:$AF$102</c:f>
              <c:numCache>
                <c:formatCode>0.00</c:formatCode>
                <c:ptCount val="9"/>
                <c:pt idx="0">
                  <c:v>15.419255255255255</c:v>
                </c:pt>
                <c:pt idx="1">
                  <c:v>20.358994593665155</c:v>
                </c:pt>
                <c:pt idx="2">
                  <c:v>26.414381348416285</c:v>
                </c:pt>
                <c:pt idx="3">
                  <c:v>28.49783766244343</c:v>
                </c:pt>
                <c:pt idx="4">
                  <c:v>32.284592896832571</c:v>
                </c:pt>
                <c:pt idx="5">
                  <c:v>20.546128140271492</c:v>
                </c:pt>
                <c:pt idx="6">
                  <c:v>19.68022596108597</c:v>
                </c:pt>
                <c:pt idx="7">
                  <c:v>18.160792018099542</c:v>
                </c:pt>
                <c:pt idx="8">
                  <c:v>13.967881085972849</c:v>
                </c:pt>
              </c:numCache>
            </c:numRef>
          </c:val>
          <c:smooth val="1"/>
          <c:extLst>
            <c:ext xmlns:c16="http://schemas.microsoft.com/office/drawing/2014/chart" uri="{C3380CC4-5D6E-409C-BE32-E72D297353CC}">
              <c16:uniqueId val="{00000000-2D0A-4B5E-9C6A-A109DDD1DBCB}"/>
            </c:ext>
          </c:extLst>
        </c:ser>
        <c:ser>
          <c:idx val="1"/>
          <c:order val="1"/>
          <c:tx>
            <c:strRef>
              <c:f>'Dashboard data'!$W$103</c:f>
              <c:strCache>
                <c:ptCount val="1"/>
                <c:pt idx="0">
                  <c:v>FD 2017/18 Forecast</c:v>
                </c:pt>
              </c:strCache>
            </c:strRef>
          </c:tx>
          <c:spPr>
            <a:ln w="38100" cap="rnd">
              <a:solidFill>
                <a:schemeClr val="accent5"/>
              </a:solidFill>
              <a:round/>
            </a:ln>
            <a:effectLst/>
          </c:spPr>
          <c:marker>
            <c:symbol val="none"/>
          </c:marker>
          <c:cat>
            <c:strRef>
              <c:f>'Dashboard data'!$X$101:$AK$101</c:f>
              <c:strCache>
                <c:ptCount val="14"/>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strCache>
            </c:strRef>
          </c:cat>
          <c:val>
            <c:numRef>
              <c:f>'Dashboard data'!$X$103:$AK$103</c:f>
              <c:numCache>
                <c:formatCode>General</c:formatCode>
                <c:ptCount val="14"/>
                <c:pt idx="8" formatCode="0.00">
                  <c:v>13.967881085972849</c:v>
                </c:pt>
                <c:pt idx="9" formatCode="0.00">
                  <c:v>24.840871493212667</c:v>
                </c:pt>
                <c:pt idx="10" formatCode="0.00">
                  <c:v>25.755103167420813</c:v>
                </c:pt>
              </c:numCache>
            </c:numRef>
          </c:val>
          <c:smooth val="1"/>
          <c:extLst>
            <c:ext xmlns:c16="http://schemas.microsoft.com/office/drawing/2014/chart" uri="{C3380CC4-5D6E-409C-BE32-E72D297353CC}">
              <c16:uniqueId val="{00000001-2D0A-4B5E-9C6A-A109DDD1DBCB}"/>
            </c:ext>
          </c:extLst>
        </c:ser>
        <c:ser>
          <c:idx val="2"/>
          <c:order val="2"/>
          <c:tx>
            <c:strRef>
              <c:f>'Dashboard data'!$W$104</c:f>
              <c:strCache>
                <c:ptCount val="1"/>
                <c:pt idx="0">
                  <c:v>PS4 Actual (2018-2026)</c:v>
                </c:pt>
              </c:strCache>
            </c:strRef>
          </c:tx>
          <c:spPr>
            <a:ln w="38100" cap="rnd">
              <a:solidFill>
                <a:srgbClr val="FF0000"/>
              </a:solidFill>
              <a:round/>
            </a:ln>
            <a:effectLst/>
          </c:spPr>
          <c:marker>
            <c:symbol val="none"/>
          </c:marker>
          <c:cat>
            <c:strRef>
              <c:f>'Dashboard data'!$X$101:$AK$101</c:f>
              <c:strCache>
                <c:ptCount val="14"/>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strCache>
            </c:strRef>
          </c:cat>
          <c:val>
            <c:numRef>
              <c:f>'Dashboard data'!$X$104:$AF$104</c:f>
              <c:numCache>
                <c:formatCode>0.00</c:formatCode>
                <c:ptCount val="9"/>
                <c:pt idx="0">
                  <c:v>23.432855397285067</c:v>
                </c:pt>
                <c:pt idx="1">
                  <c:v>17.851385599023089</c:v>
                </c:pt>
                <c:pt idx="2">
                  <c:v>29.564081300613495</c:v>
                </c:pt>
                <c:pt idx="3">
                  <c:v>30.752784326655227</c:v>
                </c:pt>
                <c:pt idx="4">
                  <c:v>50.947665715012718</c:v>
                </c:pt>
                <c:pt idx="5">
                  <c:v>38.549908669491515</c:v>
                </c:pt>
                <c:pt idx="6">
                  <c:v>45.534034847285071</c:v>
                </c:pt>
                <c:pt idx="7">
                  <c:v>81.634957360502185</c:v>
                </c:pt>
                <c:pt idx="8">
                  <c:v>13.967881085972849</c:v>
                </c:pt>
              </c:numCache>
            </c:numRef>
          </c:val>
          <c:smooth val="1"/>
          <c:extLst>
            <c:ext xmlns:c16="http://schemas.microsoft.com/office/drawing/2014/chart" uri="{C3380CC4-5D6E-409C-BE32-E72D297353CC}">
              <c16:uniqueId val="{00000002-2D0A-4B5E-9C6A-A109DDD1DBCB}"/>
            </c:ext>
          </c:extLst>
        </c:ser>
        <c:ser>
          <c:idx val="3"/>
          <c:order val="3"/>
          <c:tx>
            <c:strRef>
              <c:f>'Dashboard data'!$W$105</c:f>
              <c:strCache>
                <c:ptCount val="1"/>
                <c:pt idx="0">
                  <c:v>PS5 Proposed</c:v>
                </c:pt>
              </c:strCache>
            </c:strRef>
          </c:tx>
          <c:spPr>
            <a:ln w="38100" cap="rnd">
              <a:solidFill>
                <a:srgbClr val="92D050"/>
              </a:solidFill>
              <a:round/>
            </a:ln>
            <a:effectLst/>
          </c:spPr>
          <c:marker>
            <c:symbol val="none"/>
          </c:marker>
          <c:cat>
            <c:strRef>
              <c:f>'Dashboard data'!$X$101:$AK$101</c:f>
              <c:strCache>
                <c:ptCount val="14"/>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strCache>
            </c:strRef>
          </c:cat>
          <c:val>
            <c:numRef>
              <c:f>'Dashboard data'!$X$105:$AK$105</c:f>
              <c:numCache>
                <c:formatCode>General</c:formatCode>
                <c:ptCount val="14"/>
                <c:pt idx="8" formatCode="0.00">
                  <c:v>13.967881085972849</c:v>
                </c:pt>
                <c:pt idx="9" formatCode="0.00">
                  <c:v>54.123402999999996</c:v>
                </c:pt>
                <c:pt idx="10" formatCode="0.00">
                  <c:v>58.27920000000001</c:v>
                </c:pt>
                <c:pt idx="11" formatCode="0.00">
                  <c:v>44.128900000000002</c:v>
                </c:pt>
                <c:pt idx="12" formatCode="0.00">
                  <c:v>51.032827000000012</c:v>
                </c:pt>
                <c:pt idx="13" formatCode="0.00">
                  <c:v>72.166600000000003</c:v>
                </c:pt>
              </c:numCache>
            </c:numRef>
          </c:val>
          <c:smooth val="1"/>
          <c:extLst>
            <c:ext xmlns:c16="http://schemas.microsoft.com/office/drawing/2014/chart" uri="{C3380CC4-5D6E-409C-BE32-E72D297353CC}">
              <c16:uniqueId val="{00000003-2D0A-4B5E-9C6A-A109DDD1DBCB}"/>
            </c:ext>
          </c:extLst>
        </c:ser>
        <c:dLbls>
          <c:showLegendKey val="0"/>
          <c:showVal val="0"/>
          <c:showCatName val="0"/>
          <c:showSerName val="0"/>
          <c:showPercent val="0"/>
          <c:showBubbleSize val="0"/>
        </c:dLbls>
        <c:dropLines>
          <c:spPr>
            <a:ln w="31750" cap="flat" cmpd="sng" algn="ctr">
              <a:solidFill>
                <a:schemeClr val="bg1">
                  <a:lumMod val="85000"/>
                </a:schemeClr>
              </a:solidFill>
              <a:round/>
            </a:ln>
            <a:effectLst/>
          </c:spPr>
        </c:dropLines>
        <c:smooth val="0"/>
        <c:axId val="1465778816"/>
        <c:axId val="1124664976"/>
      </c:lineChart>
      <c:catAx>
        <c:axId val="1465778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24664976"/>
        <c:crosses val="autoZero"/>
        <c:auto val="1"/>
        <c:lblAlgn val="ctr"/>
        <c:lblOffset val="100"/>
        <c:noMultiLvlLbl val="0"/>
      </c:catAx>
      <c:valAx>
        <c:axId val="1124664976"/>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465778816"/>
        <c:crosses val="autoZero"/>
        <c:crossBetween val="between"/>
      </c:valAx>
      <c:spPr>
        <a:noFill/>
        <a:ln>
          <a:noFill/>
        </a:ln>
        <a:effectLst/>
      </c:spPr>
    </c:plotArea>
    <c:legend>
      <c:legendPos val="b"/>
      <c:layout>
        <c:manualLayout>
          <c:xMode val="edge"/>
          <c:yMode val="edge"/>
          <c:x val="2.3091026266966103E-2"/>
          <c:y val="0.85337160115017796"/>
          <c:w val="0.97690897373303387"/>
          <c:h val="0.1262119898443101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Differences between regulatory period 3 and regulatory period 4 ($m)</a:t>
            </a:r>
          </a:p>
        </c:rich>
      </c:tx>
      <c:overlay val="0"/>
    </c:title>
    <c:autoTitleDeleted val="0"/>
    <c:plotArea>
      <c:layout/>
      <c:barChart>
        <c:barDir val="col"/>
        <c:grouping val="clustered"/>
        <c:varyColors val="0"/>
        <c:ser>
          <c:idx val="0"/>
          <c:order val="0"/>
          <c:tx>
            <c:strRef>
              <c:f>'Dashboard data'!$B$31</c:f>
              <c:strCache>
                <c:ptCount val="1"/>
                <c:pt idx="0">
                  <c:v>4th regulatory period</c:v>
                </c:pt>
              </c:strCache>
            </c:strRef>
          </c:tx>
          <c:spPr>
            <a:solidFill>
              <a:schemeClr val="tx2">
                <a:lumMod val="40000"/>
                <a:lumOff val="60000"/>
              </a:schemeClr>
            </a:solidFill>
          </c:spPr>
          <c:invertIfNegative val="0"/>
          <c:cat>
            <c:strRef>
              <c:f>'Dashboard data'!$C$30:$E$30</c:f>
              <c:strCache>
                <c:ptCount val="3"/>
                <c:pt idx="0">
                  <c:v>Total revenue requirement </c:v>
                </c:pt>
                <c:pt idx="1">
                  <c:v>Total operating expenditure</c:v>
                </c:pt>
                <c:pt idx="2">
                  <c:v>Total capital expenditure</c:v>
                </c:pt>
              </c:strCache>
            </c:strRef>
          </c:cat>
          <c:val>
            <c:numRef>
              <c:f>'Dashboard data'!$C$31:$E$31</c:f>
              <c:numCache>
                <c:formatCode>_(* #,##0.00_);_(* \(#,##0.00\);_(* "-"??_);_(@_)</c:formatCode>
                <c:ptCount val="3"/>
                <c:pt idx="0">
                  <c:v>636.01315090886942</c:v>
                </c:pt>
                <c:pt idx="1">
                  <c:v>469.89258919503379</c:v>
                </c:pt>
                <c:pt idx="2" formatCode="0.00">
                  <c:v>380.22905781858333</c:v>
                </c:pt>
              </c:numCache>
            </c:numRef>
          </c:val>
          <c:extLst>
            <c:ext xmlns:c16="http://schemas.microsoft.com/office/drawing/2014/chart" uri="{C3380CC4-5D6E-409C-BE32-E72D297353CC}">
              <c16:uniqueId val="{00000000-FA8F-472C-AC15-6B8922EE9F31}"/>
            </c:ext>
          </c:extLst>
        </c:ser>
        <c:ser>
          <c:idx val="1"/>
          <c:order val="1"/>
          <c:tx>
            <c:strRef>
              <c:f>'Dashboard data'!$B$32</c:f>
              <c:strCache>
                <c:ptCount val="1"/>
                <c:pt idx="0">
                  <c:v>5th regulatory period</c:v>
                </c:pt>
              </c:strCache>
            </c:strRef>
          </c:tx>
          <c:spPr>
            <a:solidFill>
              <a:schemeClr val="accent6">
                <a:lumMod val="40000"/>
                <a:lumOff val="60000"/>
              </a:schemeClr>
            </a:solidFill>
          </c:spPr>
          <c:invertIfNegative val="0"/>
          <c:cat>
            <c:strRef>
              <c:f>'Dashboard data'!$C$30:$E$30</c:f>
              <c:strCache>
                <c:ptCount val="3"/>
                <c:pt idx="0">
                  <c:v>Total revenue requirement </c:v>
                </c:pt>
                <c:pt idx="1">
                  <c:v>Total operating expenditure</c:v>
                </c:pt>
                <c:pt idx="2">
                  <c:v>Total capital expenditure</c:v>
                </c:pt>
              </c:strCache>
            </c:strRef>
          </c:cat>
          <c:val>
            <c:numRef>
              <c:f>'Dashboard data'!$C$32:$E$32</c:f>
              <c:numCache>
                <c:formatCode>_(* #,##0.00_);_(* \(#,##0.00\);_(* "-"??_);_(@_)</c:formatCode>
                <c:ptCount val="3"/>
                <c:pt idx="0">
                  <c:v>506.45463610812396</c:v>
                </c:pt>
                <c:pt idx="1">
                  <c:v>306.84605809121905</c:v>
                </c:pt>
                <c:pt idx="2" formatCode="0.00">
                  <c:v>279.73093</c:v>
                </c:pt>
              </c:numCache>
            </c:numRef>
          </c:val>
          <c:extLst>
            <c:ext xmlns:c16="http://schemas.microsoft.com/office/drawing/2014/chart" uri="{C3380CC4-5D6E-409C-BE32-E72D297353CC}">
              <c16:uniqueId val="{00000001-FA8F-472C-AC15-6B8922EE9F31}"/>
            </c:ext>
          </c:extLst>
        </c:ser>
        <c:dLbls>
          <c:showLegendKey val="0"/>
          <c:showVal val="0"/>
          <c:showCatName val="0"/>
          <c:showSerName val="0"/>
          <c:showPercent val="0"/>
          <c:showBubbleSize val="0"/>
        </c:dLbls>
        <c:gapWidth val="75"/>
        <c:overlap val="-25"/>
        <c:axId val="198157824"/>
        <c:axId val="198159360"/>
      </c:barChart>
      <c:catAx>
        <c:axId val="198157824"/>
        <c:scaling>
          <c:orientation val="minMax"/>
        </c:scaling>
        <c:delete val="0"/>
        <c:axPos val="b"/>
        <c:numFmt formatCode="General" sourceLinked="0"/>
        <c:majorTickMark val="none"/>
        <c:minorTickMark val="none"/>
        <c:tickLblPos val="nextTo"/>
        <c:txPr>
          <a:bodyPr/>
          <a:lstStyle/>
          <a:p>
            <a:pPr>
              <a:defRPr sz="1200"/>
            </a:pPr>
            <a:endParaRPr lang="en-US"/>
          </a:p>
        </c:txPr>
        <c:crossAx val="198159360"/>
        <c:crosses val="autoZero"/>
        <c:auto val="1"/>
        <c:lblAlgn val="ctr"/>
        <c:lblOffset val="100"/>
        <c:noMultiLvlLbl val="0"/>
      </c:catAx>
      <c:valAx>
        <c:axId val="198159360"/>
        <c:scaling>
          <c:orientation val="minMax"/>
        </c:scaling>
        <c:delete val="0"/>
        <c:axPos val="l"/>
        <c:majorGridlines/>
        <c:numFmt formatCode="_-* #,##0.0_-;\-* #,##0.0_-;_-* &quot;-&quot;?_-;_-@_-" sourceLinked="0"/>
        <c:majorTickMark val="none"/>
        <c:minorTickMark val="none"/>
        <c:tickLblPos val="nextTo"/>
        <c:spPr>
          <a:ln w="9525">
            <a:noFill/>
          </a:ln>
        </c:spPr>
        <c:crossAx val="198157824"/>
        <c:crosses val="autoZero"/>
        <c:crossBetween val="between"/>
      </c:valAx>
    </c:plotArea>
    <c:legend>
      <c:legendPos val="b"/>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a:t>
            </a:r>
            <a:r>
              <a:rPr lang="en-AU" baseline="0"/>
              <a:t> tariff revenue - Fixed vs Variable ($m)</a:t>
            </a:r>
            <a:endParaRPr lang="en-AU"/>
          </a:p>
        </c:rich>
      </c:tx>
      <c:overlay val="0"/>
    </c:title>
    <c:autoTitleDeleted val="0"/>
    <c:plotArea>
      <c:layout/>
      <c:barChart>
        <c:barDir val="col"/>
        <c:grouping val="stacked"/>
        <c:varyColors val="0"/>
        <c:ser>
          <c:idx val="0"/>
          <c:order val="0"/>
          <c:tx>
            <c:strRef>
              <c:f>'Dashboard data'!$B$24</c:f>
              <c:strCache>
                <c:ptCount val="1"/>
                <c:pt idx="0">
                  <c:v>Fixed </c:v>
                </c:pt>
              </c:strCache>
            </c:strRef>
          </c:tx>
          <c:invertIfNegative val="0"/>
          <c:cat>
            <c:strRef>
              <c:f>'Dashboard data'!$C$23:$T$23</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data'!$C$24:$T$24</c:f>
              <c:numCache>
                <c:formatCode>0.00</c:formatCode>
                <c:ptCount val="18"/>
                <c:pt idx="0">
                  <c:v>31.485013759869492</c:v>
                </c:pt>
                <c:pt idx="1">
                  <c:v>31.451468024927806</c:v>
                </c:pt>
                <c:pt idx="2">
                  <c:v>31.47076177365787</c:v>
                </c:pt>
                <c:pt idx="3">
                  <c:v>31.244175553663617</c:v>
                </c:pt>
                <c:pt idx="4">
                  <c:v>31.389056009760299</c:v>
                </c:pt>
                <c:pt idx="5">
                  <c:v>32.239024534977361</c:v>
                </c:pt>
                <c:pt idx="6">
                  <c:v>32.609186146207328</c:v>
                </c:pt>
                <c:pt idx="7">
                  <c:v>33.938833749540905</c:v>
                </c:pt>
                <c:pt idx="8">
                  <c:v>37.469760831387802</c:v>
                </c:pt>
                <c:pt idx="9">
                  <c:v>41.269520329340594</c:v>
                </c:pt>
                <c:pt idx="10">
                  <c:v>45.362697949634644</c:v>
                </c:pt>
                <c:pt idx="11">
                  <c:v>49.786147626585951</c:v>
                </c:pt>
                <c:pt idx="12">
                  <c:v>54.525079605962475</c:v>
                </c:pt>
                <c:pt idx="13">
                  <c:v>56.190578890344554</c:v>
                </c:pt>
                <c:pt idx="14">
                  <c:v>57.933189874058272</c:v>
                </c:pt>
                <c:pt idx="15">
                  <c:v>59.711748439096667</c:v>
                </c:pt>
                <c:pt idx="16">
                  <c:v>61.601498725350197</c:v>
                </c:pt>
                <c:pt idx="17">
                  <c:v>63.501490306232327</c:v>
                </c:pt>
              </c:numCache>
            </c:numRef>
          </c:val>
          <c:extLst>
            <c:ext xmlns:c16="http://schemas.microsoft.com/office/drawing/2014/chart" uri="{C3380CC4-5D6E-409C-BE32-E72D297353CC}">
              <c16:uniqueId val="{00000000-31F6-45E0-9571-9FC1400B570F}"/>
            </c:ext>
          </c:extLst>
        </c:ser>
        <c:ser>
          <c:idx val="1"/>
          <c:order val="1"/>
          <c:tx>
            <c:strRef>
              <c:f>'Dashboard data'!$B$25</c:f>
              <c:strCache>
                <c:ptCount val="1"/>
                <c:pt idx="0">
                  <c:v>Variable</c:v>
                </c:pt>
              </c:strCache>
            </c:strRef>
          </c:tx>
          <c:spPr>
            <a:solidFill>
              <a:schemeClr val="accent6">
                <a:lumMod val="75000"/>
              </a:schemeClr>
            </a:solidFill>
          </c:spPr>
          <c:invertIfNegative val="0"/>
          <c:cat>
            <c:strRef>
              <c:f>'Dashboard data'!$C$23:$T$23</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data'!$C$25:$T$25</c:f>
              <c:numCache>
                <c:formatCode>0.00</c:formatCode>
                <c:ptCount val="18"/>
                <c:pt idx="0">
                  <c:v>45.874068791880937</c:v>
                </c:pt>
                <c:pt idx="1">
                  <c:v>44.536292521635474</c:v>
                </c:pt>
                <c:pt idx="2">
                  <c:v>43.133260341231306</c:v>
                </c:pt>
                <c:pt idx="3">
                  <c:v>40.836249572430731</c:v>
                </c:pt>
                <c:pt idx="4">
                  <c:v>43.248810026520019</c:v>
                </c:pt>
                <c:pt idx="5">
                  <c:v>46.176636522192659</c:v>
                </c:pt>
                <c:pt idx="6">
                  <c:v>49.536342322451958</c:v>
                </c:pt>
                <c:pt idx="7">
                  <c:v>46.734081490363145</c:v>
                </c:pt>
                <c:pt idx="8">
                  <c:v>49.313063676829941</c:v>
                </c:pt>
                <c:pt idx="9">
                  <c:v>51.055269379745461</c:v>
                </c:pt>
                <c:pt idx="10">
                  <c:v>52.862162349167818</c:v>
                </c:pt>
                <c:pt idx="11">
                  <c:v>54.739006408822092</c:v>
                </c:pt>
                <c:pt idx="12">
                  <c:v>56.688281832895619</c:v>
                </c:pt>
                <c:pt idx="13">
                  <c:v>58.100277249471098</c:v>
                </c:pt>
                <c:pt idx="14">
                  <c:v>59.550504433330005</c:v>
                </c:pt>
                <c:pt idx="15">
                  <c:v>61.040066963298003</c:v>
                </c:pt>
                <c:pt idx="16">
                  <c:v>62.570118532682514</c:v>
                </c:pt>
                <c:pt idx="17">
                  <c:v>64.14183437597616</c:v>
                </c:pt>
              </c:numCache>
            </c:numRef>
          </c:val>
          <c:extLst>
            <c:ext xmlns:c16="http://schemas.microsoft.com/office/drawing/2014/chart" uri="{C3380CC4-5D6E-409C-BE32-E72D297353CC}">
              <c16:uniqueId val="{00000001-31F6-45E0-9571-9FC1400B570F}"/>
            </c:ext>
          </c:extLst>
        </c:ser>
        <c:dLbls>
          <c:showLegendKey val="0"/>
          <c:showVal val="0"/>
          <c:showCatName val="0"/>
          <c:showSerName val="0"/>
          <c:showPercent val="0"/>
          <c:showBubbleSize val="0"/>
        </c:dLbls>
        <c:gapWidth val="75"/>
        <c:overlap val="100"/>
        <c:axId val="198172032"/>
        <c:axId val="198190208"/>
      </c:barChart>
      <c:catAx>
        <c:axId val="198172032"/>
        <c:scaling>
          <c:orientation val="minMax"/>
        </c:scaling>
        <c:delete val="0"/>
        <c:axPos val="b"/>
        <c:numFmt formatCode="General" sourceLinked="0"/>
        <c:majorTickMark val="none"/>
        <c:minorTickMark val="none"/>
        <c:tickLblPos val="nextTo"/>
        <c:txPr>
          <a:bodyPr rot="-5400000" vert="horz"/>
          <a:lstStyle/>
          <a:p>
            <a:pPr>
              <a:defRPr/>
            </a:pPr>
            <a:endParaRPr lang="en-US"/>
          </a:p>
        </c:txPr>
        <c:crossAx val="198190208"/>
        <c:crosses val="autoZero"/>
        <c:auto val="1"/>
        <c:lblAlgn val="ctr"/>
        <c:lblOffset val="100"/>
        <c:noMultiLvlLbl val="0"/>
      </c:catAx>
      <c:valAx>
        <c:axId val="198190208"/>
        <c:scaling>
          <c:orientation val="minMax"/>
        </c:scaling>
        <c:delete val="0"/>
        <c:axPos val="l"/>
        <c:majorGridlines/>
        <c:numFmt formatCode="0.0" sourceLinked="0"/>
        <c:majorTickMark val="none"/>
        <c:minorTickMark val="none"/>
        <c:tickLblPos val="nextTo"/>
        <c:spPr>
          <a:ln w="9525">
            <a:noFill/>
          </a:ln>
        </c:spPr>
        <c:crossAx val="198172032"/>
        <c:crosses val="autoZero"/>
        <c:crossBetween val="between"/>
      </c:valAx>
    </c:plotArea>
    <c:legend>
      <c:legendPos val="b"/>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Totex per water connections</a:t>
            </a:r>
          </a:p>
        </c:rich>
      </c:tx>
      <c:overlay val="0"/>
    </c:title>
    <c:autoTitleDeleted val="0"/>
    <c:plotArea>
      <c:layout/>
      <c:lineChart>
        <c:grouping val="standard"/>
        <c:varyColors val="0"/>
        <c:ser>
          <c:idx val="0"/>
          <c:order val="0"/>
          <c:tx>
            <c:strRef>
              <c:f>'Dashboard data'!$B$91</c:f>
              <c:strCache>
                <c:ptCount val="1"/>
                <c:pt idx="0">
                  <c:v>Total prescribed expenditure per water connections</c:v>
                </c:pt>
              </c:strCache>
            </c:strRef>
          </c:tx>
          <c:marker>
            <c:symbol val="none"/>
          </c:marker>
          <c:cat>
            <c:strRef>
              <c:f>'Dashboard data'!$C$90:$T$90</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data'!$C$91:$T$91</c:f>
              <c:numCache>
                <c:formatCode>0.00</c:formatCode>
                <c:ptCount val="18"/>
                <c:pt idx="0">
                  <c:v>1358.6976702744248</c:v>
                </c:pt>
                <c:pt idx="1">
                  <c:v>1660.5220656713041</c:v>
                </c:pt>
                <c:pt idx="2">
                  <c:v>1604.9693144813418</c:v>
                </c:pt>
                <c:pt idx="3">
                  <c:v>1980.0634622667594</c:v>
                </c:pt>
                <c:pt idx="4">
                  <c:v>1836.7369152560768</c:v>
                </c:pt>
                <c:pt idx="5">
                  <c:v>1917.4873494436501</c:v>
                </c:pt>
                <c:pt idx="6">
                  <c:v>2529.1707456608997</c:v>
                </c:pt>
                <c:pt idx="7">
                  <c:v>2499.8610969351212</c:v>
                </c:pt>
                <c:pt idx="8">
                  <c:v>1961.7090025223313</c:v>
                </c:pt>
                <c:pt idx="9">
                  <c:v>2015.6824221742977</c:v>
                </c:pt>
                <c:pt idx="10">
                  <c:v>1742.0022948027283</c:v>
                </c:pt>
                <c:pt idx="11">
                  <c:v>1842.70881064994</c:v>
                </c:pt>
                <c:pt idx="12">
                  <c:v>2156.5656653161764</c:v>
                </c:pt>
                <c:pt idx="13">
                  <c:v>2014.264075885962</c:v>
                </c:pt>
                <c:pt idx="14">
                  <c:v>1962.0010790460522</c:v>
                </c:pt>
                <c:pt idx="15">
                  <c:v>1799.2210277676852</c:v>
                </c:pt>
                <c:pt idx="16">
                  <c:v>1963.3587541546351</c:v>
                </c:pt>
                <c:pt idx="17">
                  <c:v>1797.8594858962495</c:v>
                </c:pt>
              </c:numCache>
            </c:numRef>
          </c:val>
          <c:smooth val="1"/>
          <c:extLst>
            <c:ext xmlns:c16="http://schemas.microsoft.com/office/drawing/2014/chart" uri="{C3380CC4-5D6E-409C-BE32-E72D297353CC}">
              <c16:uniqueId val="{00000000-2D07-4CC9-A455-BEBBCCDF4D92}"/>
            </c:ext>
          </c:extLst>
        </c:ser>
        <c:dLbls>
          <c:showLegendKey val="0"/>
          <c:showVal val="0"/>
          <c:showCatName val="0"/>
          <c:showSerName val="0"/>
          <c:showPercent val="0"/>
          <c:showBubbleSize val="0"/>
        </c:dLbls>
        <c:smooth val="0"/>
        <c:axId val="198212608"/>
        <c:axId val="198230784"/>
      </c:lineChart>
      <c:catAx>
        <c:axId val="198212608"/>
        <c:scaling>
          <c:orientation val="minMax"/>
        </c:scaling>
        <c:delete val="0"/>
        <c:axPos val="b"/>
        <c:numFmt formatCode="General" sourceLinked="0"/>
        <c:majorTickMark val="none"/>
        <c:minorTickMark val="none"/>
        <c:tickLblPos val="nextTo"/>
        <c:txPr>
          <a:bodyPr rot="-5400000" vert="horz"/>
          <a:lstStyle/>
          <a:p>
            <a:pPr>
              <a:defRPr sz="1100"/>
            </a:pPr>
            <a:endParaRPr lang="en-US"/>
          </a:p>
        </c:txPr>
        <c:crossAx val="198230784"/>
        <c:crosses val="autoZero"/>
        <c:auto val="1"/>
        <c:lblAlgn val="ctr"/>
        <c:lblOffset val="100"/>
        <c:noMultiLvlLbl val="0"/>
      </c:catAx>
      <c:valAx>
        <c:axId val="198230784"/>
        <c:scaling>
          <c:orientation val="minMax"/>
        </c:scaling>
        <c:delete val="0"/>
        <c:axPos val="l"/>
        <c:majorGridlines/>
        <c:numFmt formatCode="0.0" sourceLinked="0"/>
        <c:majorTickMark val="none"/>
        <c:minorTickMark val="none"/>
        <c:tickLblPos val="nextTo"/>
        <c:spPr>
          <a:ln w="9525">
            <a:noFill/>
          </a:ln>
        </c:spPr>
        <c:crossAx val="198212608"/>
        <c:crosses val="autoZero"/>
        <c:crossBetween val="between"/>
      </c:valAx>
    </c:plotArea>
    <c:legend>
      <c:legendPos val="b"/>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Interest cover (times)</a:t>
            </a:r>
          </a:p>
        </c:rich>
      </c:tx>
      <c:overlay val="0"/>
    </c:title>
    <c:autoTitleDeleted val="0"/>
    <c:plotArea>
      <c:layout/>
      <c:barChart>
        <c:barDir val="col"/>
        <c:grouping val="clustered"/>
        <c:varyColors val="0"/>
        <c:ser>
          <c:idx val="0"/>
          <c:order val="0"/>
          <c:tx>
            <c:strRef>
              <c:f>'Dashboard data'!$B$95</c:f>
              <c:strCache>
                <c:ptCount val="1"/>
                <c:pt idx="0">
                  <c:v>Interest cover</c:v>
                </c:pt>
              </c:strCache>
            </c:strRef>
          </c:tx>
          <c:spPr>
            <a:solidFill>
              <a:schemeClr val="accent5">
                <a:lumMod val="60000"/>
                <a:lumOff val="40000"/>
              </a:schemeClr>
            </a:solidFill>
          </c:spPr>
          <c:invertIfNegative val="0"/>
          <c:cat>
            <c:strRef>
              <c:f>'Dashboard data'!$C$94:$T$94</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data'!$C$95:$T$95</c:f>
              <c:numCache>
                <c:formatCode>0.00</c:formatCode>
                <c:ptCount val="18"/>
                <c:pt idx="0">
                  <c:v>17.171183685523058</c:v>
                </c:pt>
                <c:pt idx="1">
                  <c:v>18.647434693378653</c:v>
                </c:pt>
                <c:pt idx="2">
                  <c:v>14.434358209998218</c:v>
                </c:pt>
                <c:pt idx="3">
                  <c:v>8.4065275590933926</c:v>
                </c:pt>
                <c:pt idx="4">
                  <c:v>3.197799901696575</c:v>
                </c:pt>
                <c:pt idx="5">
                  <c:v>3.5206751401817842</c:v>
                </c:pt>
                <c:pt idx="6">
                  <c:v>3.036048160262717</c:v>
                </c:pt>
                <c:pt idx="7">
                  <c:v>2.1867082221445666</c:v>
                </c:pt>
                <c:pt idx="8">
                  <c:v>4.2934739290126176</c:v>
                </c:pt>
                <c:pt idx="9">
                  <c:v>4.7940514434776613</c:v>
                </c:pt>
                <c:pt idx="10">
                  <c:v>27.472557179204074</c:v>
                </c:pt>
                <c:pt idx="11">
                  <c:v>89.205123671080415</c:v>
                </c:pt>
                <c:pt idx="12">
                  <c:v>8.953957144527168</c:v>
                </c:pt>
                <c:pt idx="13">
                  <c:v>7.6518146726448615</c:v>
                </c:pt>
                <c:pt idx="14">
                  <c:v>5.3255545725844984</c:v>
                </c:pt>
                <c:pt idx="15">
                  <c:v>5.2351454151593932</c:v>
                </c:pt>
                <c:pt idx="16">
                  <c:v>5.3756087716235204</c:v>
                </c:pt>
                <c:pt idx="17">
                  <c:v>5.3203456691909521</c:v>
                </c:pt>
              </c:numCache>
            </c:numRef>
          </c:val>
          <c:extLst>
            <c:ext xmlns:c16="http://schemas.microsoft.com/office/drawing/2014/chart" uri="{C3380CC4-5D6E-409C-BE32-E72D297353CC}">
              <c16:uniqueId val="{00000000-355E-473F-99A4-CE33B55C475E}"/>
            </c:ext>
          </c:extLst>
        </c:ser>
        <c:dLbls>
          <c:showLegendKey val="0"/>
          <c:showVal val="0"/>
          <c:showCatName val="0"/>
          <c:showSerName val="0"/>
          <c:showPercent val="0"/>
          <c:showBubbleSize val="0"/>
        </c:dLbls>
        <c:gapWidth val="75"/>
        <c:overlap val="-25"/>
        <c:axId val="198652672"/>
        <c:axId val="198654208"/>
      </c:barChart>
      <c:catAx>
        <c:axId val="198652672"/>
        <c:scaling>
          <c:orientation val="minMax"/>
        </c:scaling>
        <c:delete val="0"/>
        <c:axPos val="b"/>
        <c:numFmt formatCode="General" sourceLinked="0"/>
        <c:majorTickMark val="none"/>
        <c:minorTickMark val="none"/>
        <c:tickLblPos val="nextTo"/>
        <c:txPr>
          <a:bodyPr rot="-5400000" vert="horz"/>
          <a:lstStyle/>
          <a:p>
            <a:pPr>
              <a:defRPr sz="1100"/>
            </a:pPr>
            <a:endParaRPr lang="en-US"/>
          </a:p>
        </c:txPr>
        <c:crossAx val="198654208"/>
        <c:crosses val="autoZero"/>
        <c:auto val="1"/>
        <c:lblAlgn val="ctr"/>
        <c:lblOffset val="100"/>
        <c:noMultiLvlLbl val="0"/>
      </c:catAx>
      <c:valAx>
        <c:axId val="198654208"/>
        <c:scaling>
          <c:orientation val="minMax"/>
        </c:scaling>
        <c:delete val="0"/>
        <c:axPos val="l"/>
        <c:majorGridlines/>
        <c:numFmt formatCode="0.0" sourceLinked="0"/>
        <c:majorTickMark val="none"/>
        <c:minorTickMark val="none"/>
        <c:tickLblPos val="nextTo"/>
        <c:spPr>
          <a:ln w="9525">
            <a:noFill/>
          </a:ln>
        </c:spPr>
        <c:txPr>
          <a:bodyPr/>
          <a:lstStyle/>
          <a:p>
            <a:pPr>
              <a:defRPr sz="1100"/>
            </a:pPr>
            <a:endParaRPr lang="en-US"/>
          </a:p>
        </c:txPr>
        <c:crossAx val="198652672"/>
        <c:crosses val="autoZero"/>
        <c:crossBetween val="between"/>
      </c:valAx>
    </c:plotArea>
    <c:legend>
      <c:legendPos val="b"/>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Internal financing ratio (%)</a:t>
            </a:r>
          </a:p>
        </c:rich>
      </c:tx>
      <c:overlay val="0"/>
    </c:title>
    <c:autoTitleDeleted val="0"/>
    <c:plotArea>
      <c:layout/>
      <c:barChart>
        <c:barDir val="col"/>
        <c:grouping val="clustered"/>
        <c:varyColors val="0"/>
        <c:ser>
          <c:idx val="0"/>
          <c:order val="0"/>
          <c:tx>
            <c:strRef>
              <c:f>'Dashboard data'!$B$99</c:f>
              <c:strCache>
                <c:ptCount val="1"/>
                <c:pt idx="0">
                  <c:v>Internal financing ratio</c:v>
                </c:pt>
              </c:strCache>
            </c:strRef>
          </c:tx>
          <c:spPr>
            <a:solidFill>
              <a:schemeClr val="tx2">
                <a:lumMod val="40000"/>
                <a:lumOff val="60000"/>
              </a:schemeClr>
            </a:solidFill>
          </c:spPr>
          <c:invertIfNegative val="0"/>
          <c:cat>
            <c:strRef>
              <c:f>'Dashboard data'!$C$98:$T$98</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data'!$C$99:$T$99</c:f>
              <c:numCache>
                <c:formatCode>0.00%</c:formatCode>
                <c:ptCount val="18"/>
                <c:pt idx="0">
                  <c:v>1.9974438089061919</c:v>
                </c:pt>
                <c:pt idx="1">
                  <c:v>0.74484273420668712</c:v>
                </c:pt>
                <c:pt idx="2">
                  <c:v>0.71572145413892774</c:v>
                </c:pt>
                <c:pt idx="3">
                  <c:v>0.29398222217883929</c:v>
                </c:pt>
                <c:pt idx="4">
                  <c:v>0.26540722483291002</c:v>
                </c:pt>
                <c:pt idx="5">
                  <c:v>0.31353920293786319</c:v>
                </c:pt>
                <c:pt idx="6">
                  <c:v>0.18745037555697183</c:v>
                </c:pt>
                <c:pt idx="7">
                  <c:v>1.1608650105109808</c:v>
                </c:pt>
                <c:pt idx="8">
                  <c:v>0.51004216366831945</c:v>
                </c:pt>
                <c:pt idx="9">
                  <c:v>0.58146250915794429</c:v>
                </c:pt>
                <c:pt idx="10">
                  <c:v>1.0770441968174693</c:v>
                </c:pt>
                <c:pt idx="11">
                  <c:v>1.0516567332693616</c:v>
                </c:pt>
                <c:pt idx="12">
                  <c:v>0.73912615635553736</c:v>
                </c:pt>
                <c:pt idx="13">
                  <c:v>0.66653019375632339</c:v>
                </c:pt>
                <c:pt idx="14">
                  <c:v>0.69061789658134909</c:v>
                </c:pt>
                <c:pt idx="15">
                  <c:v>0.86328327350234146</c:v>
                </c:pt>
                <c:pt idx="16">
                  <c:v>0.7284292803960839</c:v>
                </c:pt>
                <c:pt idx="17">
                  <c:v>0.91388992570941929</c:v>
                </c:pt>
              </c:numCache>
            </c:numRef>
          </c:val>
          <c:extLst>
            <c:ext xmlns:c16="http://schemas.microsoft.com/office/drawing/2014/chart" uri="{C3380CC4-5D6E-409C-BE32-E72D297353CC}">
              <c16:uniqueId val="{00000000-2215-49F8-94D2-6B181C9B1F2A}"/>
            </c:ext>
          </c:extLst>
        </c:ser>
        <c:dLbls>
          <c:showLegendKey val="0"/>
          <c:showVal val="0"/>
          <c:showCatName val="0"/>
          <c:showSerName val="0"/>
          <c:showPercent val="0"/>
          <c:showBubbleSize val="0"/>
        </c:dLbls>
        <c:gapWidth val="75"/>
        <c:overlap val="-25"/>
        <c:axId val="198674688"/>
        <c:axId val="198680576"/>
      </c:barChart>
      <c:catAx>
        <c:axId val="198674688"/>
        <c:scaling>
          <c:orientation val="minMax"/>
        </c:scaling>
        <c:delete val="0"/>
        <c:axPos val="b"/>
        <c:numFmt formatCode="General" sourceLinked="0"/>
        <c:majorTickMark val="none"/>
        <c:minorTickMark val="none"/>
        <c:tickLblPos val="nextTo"/>
        <c:txPr>
          <a:bodyPr rot="-5400000" vert="horz"/>
          <a:lstStyle/>
          <a:p>
            <a:pPr>
              <a:defRPr sz="1100"/>
            </a:pPr>
            <a:endParaRPr lang="en-US"/>
          </a:p>
        </c:txPr>
        <c:crossAx val="198680576"/>
        <c:crosses val="autoZero"/>
        <c:auto val="1"/>
        <c:lblAlgn val="ctr"/>
        <c:lblOffset val="100"/>
        <c:noMultiLvlLbl val="0"/>
      </c:catAx>
      <c:valAx>
        <c:axId val="198680576"/>
        <c:scaling>
          <c:orientation val="minMax"/>
        </c:scaling>
        <c:delete val="0"/>
        <c:axPos val="l"/>
        <c:majorGridlines/>
        <c:numFmt formatCode="0.0%" sourceLinked="0"/>
        <c:majorTickMark val="none"/>
        <c:minorTickMark val="none"/>
        <c:tickLblPos val="nextTo"/>
        <c:spPr>
          <a:ln w="9525">
            <a:noFill/>
          </a:ln>
        </c:spPr>
        <c:txPr>
          <a:bodyPr/>
          <a:lstStyle/>
          <a:p>
            <a:pPr>
              <a:defRPr sz="1100"/>
            </a:pPr>
            <a:endParaRPr lang="en-US"/>
          </a:p>
        </c:txPr>
        <c:crossAx val="198674688"/>
        <c:crosses val="autoZero"/>
        <c:crossBetween val="between"/>
      </c:valAx>
    </c:plotArea>
    <c:legend>
      <c:legendPos val="b"/>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Composition of RAV ($)</a:t>
            </a:r>
          </a:p>
        </c:rich>
      </c:tx>
      <c:overlay val="0"/>
    </c:title>
    <c:autoTitleDeleted val="0"/>
    <c:plotArea>
      <c:layout/>
      <c:areaChart>
        <c:grouping val="stacked"/>
        <c:varyColors val="0"/>
        <c:ser>
          <c:idx val="0"/>
          <c:order val="0"/>
          <c:tx>
            <c:strRef>
              <c:f>'Dashboard data'!$W$94</c:f>
              <c:strCache>
                <c:ptCount val="1"/>
                <c:pt idx="0">
                  <c:v>Existing assets </c:v>
                </c:pt>
              </c:strCache>
            </c:strRef>
          </c:tx>
          <c:cat>
            <c:strRef>
              <c:f>'Dashboard data'!$X$93:$AO$93</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data'!$X$94:$AO$94</c:f>
              <c:numCache>
                <c:formatCode>0.00</c:formatCode>
                <c:ptCount val="18"/>
                <c:pt idx="0">
                  <c:v>344.71089538050893</c:v>
                </c:pt>
                <c:pt idx="1">
                  <c:v>346.67654130320284</c:v>
                </c:pt>
                <c:pt idx="2">
                  <c:v>360.42824661396583</c:v>
                </c:pt>
                <c:pt idx="3">
                  <c:v>373.43126920151866</c:v>
                </c:pt>
                <c:pt idx="4">
                  <c:v>407.60440691158357</c:v>
                </c:pt>
                <c:pt idx="5">
                  <c:v>427.91464625980456</c:v>
                </c:pt>
                <c:pt idx="6">
                  <c:v>454.19275262699648</c:v>
                </c:pt>
                <c:pt idx="7">
                  <c:v>516.37143299877437</c:v>
                </c:pt>
                <c:pt idx="8">
                  <c:v>512.60235118726871</c:v>
                </c:pt>
                <c:pt idx="9">
                  <c:v>492.81265003693949</c:v>
                </c:pt>
                <c:pt idx="10">
                  <c:v>473.02294888661027</c:v>
                </c:pt>
                <c:pt idx="11">
                  <c:v>453.23324773628104</c:v>
                </c:pt>
                <c:pt idx="12">
                  <c:v>433.44354658595182</c:v>
                </c:pt>
                <c:pt idx="13">
                  <c:v>413.6538454356226</c:v>
                </c:pt>
                <c:pt idx="14">
                  <c:v>393.86414428529338</c:v>
                </c:pt>
                <c:pt idx="15">
                  <c:v>374.07444313496416</c:v>
                </c:pt>
                <c:pt idx="16">
                  <c:v>354.28474198463493</c:v>
                </c:pt>
                <c:pt idx="17">
                  <c:v>334.49504083430571</c:v>
                </c:pt>
              </c:numCache>
            </c:numRef>
          </c:val>
          <c:extLst>
            <c:ext xmlns:c16="http://schemas.microsoft.com/office/drawing/2014/chart" uri="{C3380CC4-5D6E-409C-BE32-E72D297353CC}">
              <c16:uniqueId val="{00000000-CE7B-40A4-BD50-3170801B1592}"/>
            </c:ext>
          </c:extLst>
        </c:ser>
        <c:ser>
          <c:idx val="1"/>
          <c:order val="1"/>
          <c:tx>
            <c:strRef>
              <c:f>'Dashboard data'!$W$95</c:f>
              <c:strCache>
                <c:ptCount val="1"/>
                <c:pt idx="0">
                  <c:v>New assets</c:v>
                </c:pt>
              </c:strCache>
            </c:strRef>
          </c:tx>
          <c:spPr>
            <a:solidFill>
              <a:schemeClr val="accent6">
                <a:lumMod val="75000"/>
              </a:schemeClr>
            </a:solidFill>
            <a:ln w="25400">
              <a:noFill/>
            </a:ln>
          </c:spPr>
          <c:cat>
            <c:strRef>
              <c:f>'Dashboard data'!$X$93:$AO$93</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Ref>
              <c:f>'Dashboard data'!$X$95:$AO$95</c:f>
              <c:numCache>
                <c:formatCode>0.00</c:formatCode>
                <c:ptCount val="18"/>
                <c:pt idx="0">
                  <c:v>0</c:v>
                </c:pt>
                <c:pt idx="1">
                  <c:v>0</c:v>
                </c:pt>
                <c:pt idx="2">
                  <c:v>0</c:v>
                </c:pt>
                <c:pt idx="3">
                  <c:v>0</c:v>
                </c:pt>
                <c:pt idx="4">
                  <c:v>0</c:v>
                </c:pt>
                <c:pt idx="5">
                  <c:v>0</c:v>
                </c:pt>
                <c:pt idx="6">
                  <c:v>0</c:v>
                </c:pt>
                <c:pt idx="7">
                  <c:v>0</c:v>
                </c:pt>
                <c:pt idx="8">
                  <c:v>0</c:v>
                </c:pt>
                <c:pt idx="9">
                  <c:v>48.188162436309518</c:v>
                </c:pt>
                <c:pt idx="10">
                  <c:v>96.970594999404767</c:v>
                </c:pt>
                <c:pt idx="11">
                  <c:v>132.69564161011908</c:v>
                </c:pt>
                <c:pt idx="12">
                  <c:v>174.51135426845241</c:v>
                </c:pt>
                <c:pt idx="13">
                  <c:v>235.51683413273815</c:v>
                </c:pt>
                <c:pt idx="14">
                  <c:v>286.41496653630958</c:v>
                </c:pt>
                <c:pt idx="15">
                  <c:v>333.4447763208334</c:v>
                </c:pt>
                <c:pt idx="16">
                  <c:v>369.56032687916678</c:v>
                </c:pt>
                <c:pt idx="17">
                  <c:v>416.28947535416677</c:v>
                </c:pt>
              </c:numCache>
            </c:numRef>
          </c:val>
          <c:extLst>
            <c:ext xmlns:c16="http://schemas.microsoft.com/office/drawing/2014/chart" uri="{C3380CC4-5D6E-409C-BE32-E72D297353CC}">
              <c16:uniqueId val="{00000001-CE7B-40A4-BD50-3170801B1592}"/>
            </c:ext>
          </c:extLst>
        </c:ser>
        <c:dLbls>
          <c:showLegendKey val="0"/>
          <c:showVal val="0"/>
          <c:showCatName val="0"/>
          <c:showSerName val="0"/>
          <c:showPercent val="0"/>
          <c:showBubbleSize val="0"/>
        </c:dLbls>
        <c:axId val="198779648"/>
        <c:axId val="198781184"/>
      </c:areaChart>
      <c:catAx>
        <c:axId val="198779648"/>
        <c:scaling>
          <c:orientation val="minMax"/>
        </c:scaling>
        <c:delete val="0"/>
        <c:axPos val="b"/>
        <c:numFmt formatCode="General" sourceLinked="0"/>
        <c:majorTickMark val="none"/>
        <c:minorTickMark val="none"/>
        <c:tickLblPos val="nextTo"/>
        <c:txPr>
          <a:bodyPr rot="-5400000" vert="horz"/>
          <a:lstStyle/>
          <a:p>
            <a:pPr>
              <a:defRPr sz="1100"/>
            </a:pPr>
            <a:endParaRPr lang="en-US"/>
          </a:p>
        </c:txPr>
        <c:crossAx val="198781184"/>
        <c:crosses val="autoZero"/>
        <c:auto val="1"/>
        <c:lblAlgn val="ctr"/>
        <c:lblOffset val="100"/>
        <c:noMultiLvlLbl val="0"/>
      </c:catAx>
      <c:valAx>
        <c:axId val="198781184"/>
        <c:scaling>
          <c:orientation val="minMax"/>
        </c:scaling>
        <c:delete val="0"/>
        <c:axPos val="l"/>
        <c:majorGridlines/>
        <c:numFmt formatCode="0.0" sourceLinked="0"/>
        <c:majorTickMark val="none"/>
        <c:minorTickMark val="none"/>
        <c:tickLblPos val="nextTo"/>
        <c:txPr>
          <a:bodyPr/>
          <a:lstStyle/>
          <a:p>
            <a:pPr>
              <a:defRPr sz="1100"/>
            </a:pPr>
            <a:endParaRPr lang="en-US"/>
          </a:p>
        </c:txPr>
        <c:crossAx val="198779648"/>
        <c:crosses val="autoZero"/>
        <c:crossBetween val="midCat"/>
      </c:valAx>
    </c:plotArea>
    <c:legend>
      <c:legendPos val="b"/>
      <c:overlay val="0"/>
      <c:txPr>
        <a:bodyPr/>
        <a:lstStyle/>
        <a:p>
          <a:pPr>
            <a:defRPr sz="1200"/>
          </a:pPr>
          <a:endParaRPr lang="en-US"/>
        </a:p>
      </c:txPr>
    </c:legend>
    <c:plotVisOnly val="1"/>
    <c:dispBlanksAs val="zero"/>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checked="Checked" firstButton="1" fmlaLink="$V$32" lockText="1"/>
</file>

<file path=xl/ctrlProps/ctrlProp2.xml><?xml version="1.0" encoding="utf-8"?>
<formControlPr xmlns="http://schemas.microsoft.com/office/spreadsheetml/2009/9/main" objectType="Radio" lockText="1"/>
</file>

<file path=xl/ctrlProps/ctrlProp3.xml><?xml version="1.0" encoding="utf-8"?>
<formControlPr xmlns="http://schemas.microsoft.com/office/spreadsheetml/2009/9/main" objectType="Radio" firstButton="1" fmlaLink="$AZ$10" lockText="1" noThreeD="1"/>
</file>

<file path=xl/ctrlProps/ctrlProp4.xml><?xml version="1.0" encoding="utf-8"?>
<formControlPr xmlns="http://schemas.microsoft.com/office/spreadsheetml/2009/9/main" objectType="Radio" checked="Checked"/>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 Id="rId9"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3" Type="http://schemas.openxmlformats.org/officeDocument/2006/relationships/chart" Target="../charts/chart14.xml"/><Relationship Id="rId7" Type="http://schemas.openxmlformats.org/officeDocument/2006/relationships/chart" Target="../charts/chart18.xml"/><Relationship Id="rId12" Type="http://schemas.openxmlformats.org/officeDocument/2006/relationships/chart" Target="../charts/chart23.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5" Type="http://schemas.openxmlformats.org/officeDocument/2006/relationships/chart" Target="../charts/chart2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4.xml"/><Relationship Id="rId3" Type="http://schemas.openxmlformats.org/officeDocument/2006/relationships/chart" Target="../charts/chart29.xml"/><Relationship Id="rId7" Type="http://schemas.openxmlformats.org/officeDocument/2006/relationships/chart" Target="../charts/chart33.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 Id="rId9" Type="http://schemas.openxmlformats.org/officeDocument/2006/relationships/chart" Target="../charts/chart35.xml"/></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0</xdr:row>
      <xdr:rowOff>152400</xdr:rowOff>
    </xdr:from>
    <xdr:to>
      <xdr:col>2</xdr:col>
      <xdr:colOff>504825</xdr:colOff>
      <xdr:row>4</xdr:row>
      <xdr:rowOff>0</xdr:rowOff>
    </xdr:to>
    <xdr:pic>
      <xdr:nvPicPr>
        <xdr:cNvPr id="4" name="Picture 76">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152400"/>
          <a:ext cx="628650" cy="60960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2066924</xdr:colOff>
      <xdr:row>0</xdr:row>
      <xdr:rowOff>59391</xdr:rowOff>
    </xdr:from>
    <xdr:to>
      <xdr:col>8</xdr:col>
      <xdr:colOff>476249</xdr:colOff>
      <xdr:row>4</xdr:row>
      <xdr:rowOff>38101</xdr:rowOff>
    </xdr:to>
    <xdr:pic>
      <xdr:nvPicPr>
        <xdr:cNvPr id="5" name="Picture 4" descr="Corporate Plan 2023-24">
          <a:extLst>
            <a:ext uri="{FF2B5EF4-FFF2-40B4-BE49-F238E27FC236}">
              <a16:creationId xmlns:a16="http://schemas.microsoft.com/office/drawing/2014/main" id="{5AA63D19-6CFD-7255-1036-CDCF544FE6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48774" y="59391"/>
          <a:ext cx="923925" cy="740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38100</xdr:colOff>
          <xdr:row>31</xdr:row>
          <xdr:rowOff>0</xdr:rowOff>
        </xdr:from>
        <xdr:to>
          <xdr:col>22</xdr:col>
          <xdr:colOff>9525</xdr:colOff>
          <xdr:row>32</xdr:row>
          <xdr:rowOff>47625</xdr:rowOff>
        </xdr:to>
        <xdr:sp macro="" textlink="">
          <xdr:nvSpPr>
            <xdr:cNvPr id="22717" name="Option Button 189" hidden="1">
              <a:extLst>
                <a:ext uri="{63B3BB69-23CF-44E3-9099-C40C66FF867C}">
                  <a14:compatExt spid="_x0000_s22717"/>
                </a:ext>
                <a:ext uri="{FF2B5EF4-FFF2-40B4-BE49-F238E27FC236}">
                  <a16:creationId xmlns:a16="http://schemas.microsoft.com/office/drawing/2014/main" id="{00000000-0008-0000-0400-0000BD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32</xdr:row>
          <xdr:rowOff>85725</xdr:rowOff>
        </xdr:from>
        <xdr:to>
          <xdr:col>22</xdr:col>
          <xdr:colOff>9525</xdr:colOff>
          <xdr:row>34</xdr:row>
          <xdr:rowOff>28575</xdr:rowOff>
        </xdr:to>
        <xdr:sp macro="" textlink="">
          <xdr:nvSpPr>
            <xdr:cNvPr id="22718" name="Option Button 190" hidden="1">
              <a:extLst>
                <a:ext uri="{63B3BB69-23CF-44E3-9099-C40C66FF867C}">
                  <a14:compatExt spid="_x0000_s22718"/>
                </a:ext>
                <a:ext uri="{FF2B5EF4-FFF2-40B4-BE49-F238E27FC236}">
                  <a16:creationId xmlns:a16="http://schemas.microsoft.com/office/drawing/2014/main" id="{00000000-0008-0000-0400-0000BE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 </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37</xdr:col>
          <xdr:colOff>209550</xdr:colOff>
          <xdr:row>10</xdr:row>
          <xdr:rowOff>76200</xdr:rowOff>
        </xdr:from>
        <xdr:to>
          <xdr:col>39</xdr:col>
          <xdr:colOff>142875</xdr:colOff>
          <xdr:row>13</xdr:row>
          <xdr:rowOff>9525</xdr:rowOff>
        </xdr:to>
        <xdr:sp macro="" textlink="">
          <xdr:nvSpPr>
            <xdr:cNvPr id="50178" name="Option Button 2" hidden="1">
              <a:extLst>
                <a:ext uri="{63B3BB69-23CF-44E3-9099-C40C66FF867C}">
                  <a14:compatExt spid="_x0000_s50178"/>
                </a:ext>
                <a:ext uri="{FF2B5EF4-FFF2-40B4-BE49-F238E27FC236}">
                  <a16:creationId xmlns:a16="http://schemas.microsoft.com/office/drawing/2014/main" id="{00000000-0008-0000-0A00-00000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Segoe UI"/>
                  <a:cs typeface="Segoe UI"/>
                </a:rPr>
                <a:t>2025/26 Updated Forecast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10</xdr:row>
          <xdr:rowOff>85725</xdr:rowOff>
        </xdr:from>
        <xdr:to>
          <xdr:col>37</xdr:col>
          <xdr:colOff>123825</xdr:colOff>
          <xdr:row>13</xdr:row>
          <xdr:rowOff>9525</xdr:rowOff>
        </xdr:to>
        <xdr:sp macro="" textlink="">
          <xdr:nvSpPr>
            <xdr:cNvPr id="50180" name="Option Button 4" descr="2018's 25-26 Outlook" hidden="1">
              <a:extLst>
                <a:ext uri="{63B3BB69-23CF-44E3-9099-C40C66FF867C}">
                  <a14:compatExt spid="_x0000_s50180"/>
                </a:ext>
                <a:ext uri="{FF2B5EF4-FFF2-40B4-BE49-F238E27FC236}">
                  <a16:creationId xmlns:a16="http://schemas.microsoft.com/office/drawing/2014/main" id="{00000000-0008-0000-0A00-00000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Segoe UI"/>
                  <a:cs typeface="Segoe UI"/>
                </a:rPr>
                <a:t>2017/18's 25-26 Outlook</a:t>
              </a: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20</xdr:col>
      <xdr:colOff>171450</xdr:colOff>
      <xdr:row>6</xdr:row>
      <xdr:rowOff>133350</xdr:rowOff>
    </xdr:from>
    <xdr:to>
      <xdr:col>32</xdr:col>
      <xdr:colOff>514350</xdr:colOff>
      <xdr:row>26</xdr:row>
      <xdr:rowOff>147637</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38100</xdr:colOff>
      <xdr:row>6</xdr:row>
      <xdr:rowOff>133350</xdr:rowOff>
    </xdr:from>
    <xdr:to>
      <xdr:col>45</xdr:col>
      <xdr:colOff>381000</xdr:colOff>
      <xdr:row>26</xdr:row>
      <xdr:rowOff>147637</xdr:rowOff>
    </xdr:to>
    <xdr:graphicFrame macro="">
      <xdr:nvGraphicFramePr>
        <xdr:cNvPr id="3" name="Chart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50625</xdr:colOff>
      <xdr:row>25</xdr:row>
      <xdr:rowOff>28125</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57150</xdr:rowOff>
    </xdr:from>
    <xdr:to>
      <xdr:col>12</xdr:col>
      <xdr:colOff>50625</xdr:colOff>
      <xdr:row>50</xdr:row>
      <xdr:rowOff>85275</xdr:rowOff>
    </xdr:to>
    <xdr:graphicFrame macro="">
      <xdr:nvGraphicFramePr>
        <xdr:cNvPr id="3" name="Chart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211928</xdr:colOff>
      <xdr:row>0</xdr:row>
      <xdr:rowOff>23813</xdr:rowOff>
    </xdr:from>
    <xdr:to>
      <xdr:col>36</xdr:col>
      <xdr:colOff>262553</xdr:colOff>
      <xdr:row>25</xdr:row>
      <xdr:rowOff>51938</xdr:rowOff>
    </xdr:to>
    <xdr:graphicFrame macro="">
      <xdr:nvGraphicFramePr>
        <xdr:cNvPr id="4" name="Chart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121443</xdr:colOff>
      <xdr:row>25</xdr:row>
      <xdr:rowOff>95249</xdr:rowOff>
    </xdr:from>
    <xdr:to>
      <xdr:col>24</xdr:col>
      <xdr:colOff>172068</xdr:colOff>
      <xdr:row>50</xdr:row>
      <xdr:rowOff>123374</xdr:rowOff>
    </xdr:to>
    <xdr:graphicFrame macro="">
      <xdr:nvGraphicFramePr>
        <xdr:cNvPr id="5" name="Chart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226218</xdr:colOff>
      <xdr:row>25</xdr:row>
      <xdr:rowOff>107156</xdr:rowOff>
    </xdr:from>
    <xdr:to>
      <xdr:col>36</xdr:col>
      <xdr:colOff>276843</xdr:colOff>
      <xdr:row>50</xdr:row>
      <xdr:rowOff>135281</xdr:rowOff>
    </xdr:to>
    <xdr:graphicFrame macro="">
      <xdr:nvGraphicFramePr>
        <xdr:cNvPr id="6" name="Chart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51</xdr:row>
      <xdr:rowOff>11906</xdr:rowOff>
    </xdr:from>
    <xdr:to>
      <xdr:col>12</xdr:col>
      <xdr:colOff>50625</xdr:colOff>
      <xdr:row>76</xdr:row>
      <xdr:rowOff>40031</xdr:rowOff>
    </xdr:to>
    <xdr:graphicFrame macro="">
      <xdr:nvGraphicFramePr>
        <xdr:cNvPr id="7" name="Chart 6">
          <a:extLst>
            <a:ext uri="{FF2B5EF4-FFF2-40B4-BE49-F238E27FC236}">
              <a16:creationId xmlns:a16="http://schemas.microsoft.com/office/drawing/2014/main" id="{00000000-0008-0000-1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126205</xdr:colOff>
      <xdr:row>51</xdr:row>
      <xdr:rowOff>30955</xdr:rowOff>
    </xdr:from>
    <xdr:to>
      <xdr:col>24</xdr:col>
      <xdr:colOff>176830</xdr:colOff>
      <xdr:row>76</xdr:row>
      <xdr:rowOff>59080</xdr:rowOff>
    </xdr:to>
    <xdr:graphicFrame macro="">
      <xdr:nvGraphicFramePr>
        <xdr:cNvPr id="8" name="Chart 7">
          <a:extLst>
            <a:ext uri="{FF2B5EF4-FFF2-40B4-BE49-F238E27FC236}">
              <a16:creationId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102393</xdr:colOff>
      <xdr:row>0</xdr:row>
      <xdr:rowOff>40481</xdr:rowOff>
    </xdr:from>
    <xdr:to>
      <xdr:col>24</xdr:col>
      <xdr:colOff>153018</xdr:colOff>
      <xdr:row>25</xdr:row>
      <xdr:rowOff>68606</xdr:rowOff>
    </xdr:to>
    <xdr:graphicFrame macro="">
      <xdr:nvGraphicFramePr>
        <xdr:cNvPr id="9" name="Chart 8">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238123</xdr:colOff>
      <xdr:row>51</xdr:row>
      <xdr:rowOff>35718</xdr:rowOff>
    </xdr:from>
    <xdr:to>
      <xdr:col>36</xdr:col>
      <xdr:colOff>288748</xdr:colOff>
      <xdr:row>76</xdr:row>
      <xdr:rowOff>63843</xdr:rowOff>
    </xdr:to>
    <xdr:graphicFrame macro="">
      <xdr:nvGraphicFramePr>
        <xdr:cNvPr id="10" name="Chart 9">
          <a:extLst>
            <a:ext uri="{FF2B5EF4-FFF2-40B4-BE49-F238E27FC236}">
              <a16:creationId xmlns:a16="http://schemas.microsoft.com/office/drawing/2014/main" id="{00000000-0008-0000-1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50625</xdr:colOff>
      <xdr:row>25</xdr:row>
      <xdr:rowOff>28125</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88107</xdr:rowOff>
    </xdr:from>
    <xdr:to>
      <xdr:col>12</xdr:col>
      <xdr:colOff>50625</xdr:colOff>
      <xdr:row>50</xdr:row>
      <xdr:rowOff>116232</xdr:rowOff>
    </xdr:to>
    <xdr:graphicFrame macro="">
      <xdr:nvGraphicFramePr>
        <xdr:cNvPr id="4" name="Chart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66675</xdr:colOff>
      <xdr:row>25</xdr:row>
      <xdr:rowOff>76200</xdr:rowOff>
    </xdr:from>
    <xdr:to>
      <xdr:col>24</xdr:col>
      <xdr:colOff>117300</xdr:colOff>
      <xdr:row>50</xdr:row>
      <xdr:rowOff>104325</xdr:rowOff>
    </xdr:to>
    <xdr:graphicFrame macro="">
      <xdr:nvGraphicFramePr>
        <xdr:cNvPr id="5" name="Chart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11906</xdr:colOff>
      <xdr:row>51</xdr:row>
      <xdr:rowOff>33337</xdr:rowOff>
    </xdr:from>
    <xdr:to>
      <xdr:col>12</xdr:col>
      <xdr:colOff>62531</xdr:colOff>
      <xdr:row>76</xdr:row>
      <xdr:rowOff>61462</xdr:rowOff>
    </xdr:to>
    <xdr:graphicFrame macro="">
      <xdr:nvGraphicFramePr>
        <xdr:cNvPr id="7" name="Chart 6">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95224</xdr:colOff>
      <xdr:row>51</xdr:row>
      <xdr:rowOff>47623</xdr:rowOff>
    </xdr:from>
    <xdr:to>
      <xdr:col>24</xdr:col>
      <xdr:colOff>145849</xdr:colOff>
      <xdr:row>76</xdr:row>
      <xdr:rowOff>75748</xdr:rowOff>
    </xdr:to>
    <xdr:graphicFrame macro="">
      <xdr:nvGraphicFramePr>
        <xdr:cNvPr id="8" name="Chart 7">
          <a:extLst>
            <a:ext uri="{FF2B5EF4-FFF2-40B4-BE49-F238E27FC236}">
              <a16:creationId xmlns:a16="http://schemas.microsoft.com/office/drawing/2014/main"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216693</xdr:colOff>
      <xdr:row>51</xdr:row>
      <xdr:rowOff>35721</xdr:rowOff>
    </xdr:from>
    <xdr:to>
      <xdr:col>36</xdr:col>
      <xdr:colOff>267318</xdr:colOff>
      <xdr:row>76</xdr:row>
      <xdr:rowOff>63846</xdr:rowOff>
    </xdr:to>
    <xdr:graphicFrame macro="">
      <xdr:nvGraphicFramePr>
        <xdr:cNvPr id="9" name="Chart 8">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77</xdr:row>
      <xdr:rowOff>11907</xdr:rowOff>
    </xdr:from>
    <xdr:to>
      <xdr:col>12</xdr:col>
      <xdr:colOff>50625</xdr:colOff>
      <xdr:row>102</xdr:row>
      <xdr:rowOff>40032</xdr:rowOff>
    </xdr:to>
    <xdr:graphicFrame macro="">
      <xdr:nvGraphicFramePr>
        <xdr:cNvPr id="11" name="Chart 10">
          <a:extLst>
            <a:ext uri="{FF2B5EF4-FFF2-40B4-BE49-F238E27FC236}">
              <a16:creationId xmlns:a16="http://schemas.microsoft.com/office/drawing/2014/main" id="{00000000-0008-0000-1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95248</xdr:colOff>
      <xdr:row>0</xdr:row>
      <xdr:rowOff>0</xdr:rowOff>
    </xdr:from>
    <xdr:to>
      <xdr:col>24</xdr:col>
      <xdr:colOff>145873</xdr:colOff>
      <xdr:row>25</xdr:row>
      <xdr:rowOff>28125</xdr:rowOff>
    </xdr:to>
    <xdr:grpSp>
      <xdr:nvGrpSpPr>
        <xdr:cNvPr id="26" name="Group 25">
          <a:extLst>
            <a:ext uri="{FF2B5EF4-FFF2-40B4-BE49-F238E27FC236}">
              <a16:creationId xmlns:a16="http://schemas.microsoft.com/office/drawing/2014/main" id="{D3441EFD-BAF0-441D-8E29-B018A1DE5D0E}"/>
            </a:ext>
          </a:extLst>
        </xdr:cNvPr>
        <xdr:cNvGrpSpPr/>
      </xdr:nvGrpSpPr>
      <xdr:grpSpPr>
        <a:xfrm>
          <a:off x="6524623" y="0"/>
          <a:ext cx="6480000" cy="3600000"/>
          <a:chOff x="11576242" y="1778357"/>
          <a:chExt cx="7389166" cy="5553116"/>
        </a:xfrm>
      </xdr:grpSpPr>
      <xdr:graphicFrame macro="">
        <xdr:nvGraphicFramePr>
          <xdr:cNvPr id="27" name="Chart 26">
            <a:extLst>
              <a:ext uri="{FF2B5EF4-FFF2-40B4-BE49-F238E27FC236}">
                <a16:creationId xmlns:a16="http://schemas.microsoft.com/office/drawing/2014/main" id="{A68BC3CB-17FF-EBBB-8608-B3A7996638DF}"/>
              </a:ext>
            </a:extLst>
          </xdr:cNvPr>
          <xdr:cNvGraphicFramePr>
            <a:graphicFrameLocks/>
          </xdr:cNvGraphicFramePr>
        </xdr:nvGraphicFramePr>
        <xdr:xfrm>
          <a:off x="11576242" y="1778357"/>
          <a:ext cx="7389166" cy="5553116"/>
        </xdr:xfrm>
        <a:graphic>
          <a:graphicData uri="http://schemas.openxmlformats.org/drawingml/2006/chart">
            <c:chart xmlns:c="http://schemas.openxmlformats.org/drawingml/2006/chart" xmlns:r="http://schemas.openxmlformats.org/officeDocument/2006/relationships" r:id="rId8"/>
          </a:graphicData>
        </a:graphic>
      </xdr:graphicFrame>
      <xdr:sp macro="" textlink="">
        <xdr:nvSpPr>
          <xdr:cNvPr id="28" name="Rectangle 27">
            <a:extLst>
              <a:ext uri="{FF2B5EF4-FFF2-40B4-BE49-F238E27FC236}">
                <a16:creationId xmlns:a16="http://schemas.microsoft.com/office/drawing/2014/main" id="{75F949AF-D12D-4E20-206F-FEDFEE07355B}"/>
              </a:ext>
            </a:extLst>
          </xdr:cNvPr>
          <xdr:cNvSpPr/>
        </xdr:nvSpPr>
        <xdr:spPr>
          <a:xfrm>
            <a:off x="11994345" y="6417515"/>
            <a:ext cx="3421403" cy="249929"/>
          </a:xfrm>
          <a:prstGeom prst="rect">
            <a:avLst/>
          </a:prstGeom>
          <a:noFill/>
          <a:ln w="25400" cmpd="sng">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24</xdr:col>
      <xdr:colOff>178595</xdr:colOff>
      <xdr:row>0</xdr:row>
      <xdr:rowOff>0</xdr:rowOff>
    </xdr:from>
    <xdr:to>
      <xdr:col>36</xdr:col>
      <xdr:colOff>229220</xdr:colOff>
      <xdr:row>25</xdr:row>
      <xdr:rowOff>28125</xdr:rowOff>
    </xdr:to>
    <xdr:graphicFrame macro="">
      <xdr:nvGraphicFramePr>
        <xdr:cNvPr id="29" name="Chart 28">
          <a:extLst>
            <a:ext uri="{FF2B5EF4-FFF2-40B4-BE49-F238E27FC236}">
              <a16:creationId xmlns:a16="http://schemas.microsoft.com/office/drawing/2014/main" id="{77693538-936C-4D68-933D-91386A7E5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214310</xdr:colOff>
      <xdr:row>25</xdr:row>
      <xdr:rowOff>71439</xdr:rowOff>
    </xdr:from>
    <xdr:to>
      <xdr:col>36</xdr:col>
      <xdr:colOff>264935</xdr:colOff>
      <xdr:row>50</xdr:row>
      <xdr:rowOff>99564</xdr:rowOff>
    </xdr:to>
    <xdr:grpSp>
      <xdr:nvGrpSpPr>
        <xdr:cNvPr id="30" name="Group 29">
          <a:extLst>
            <a:ext uri="{FF2B5EF4-FFF2-40B4-BE49-F238E27FC236}">
              <a16:creationId xmlns:a16="http://schemas.microsoft.com/office/drawing/2014/main" id="{EA85AAC5-CE99-4CE7-A880-510C576283C0}"/>
            </a:ext>
          </a:extLst>
        </xdr:cNvPr>
        <xdr:cNvGrpSpPr/>
      </xdr:nvGrpSpPr>
      <xdr:grpSpPr>
        <a:xfrm>
          <a:off x="13073060" y="3643314"/>
          <a:ext cx="6480000" cy="3600000"/>
          <a:chOff x="8658223" y="25460325"/>
          <a:chExt cx="6480000" cy="3600000"/>
        </a:xfrm>
      </xdr:grpSpPr>
      <xdr:graphicFrame macro="">
        <xdr:nvGraphicFramePr>
          <xdr:cNvPr id="31" name="Chart 30">
            <a:extLst>
              <a:ext uri="{FF2B5EF4-FFF2-40B4-BE49-F238E27FC236}">
                <a16:creationId xmlns:a16="http://schemas.microsoft.com/office/drawing/2014/main" id="{FDCB64FB-C0FF-3C64-D0D8-A3A6CA3BFA1F}"/>
              </a:ext>
            </a:extLst>
          </xdr:cNvPr>
          <xdr:cNvGraphicFramePr/>
        </xdr:nvGraphicFramePr>
        <xdr:xfrm>
          <a:off x="8658223" y="25460325"/>
          <a:ext cx="6480000" cy="3600000"/>
        </xdr:xfrm>
        <a:graphic>
          <a:graphicData uri="http://schemas.openxmlformats.org/drawingml/2006/chart">
            <c:chart xmlns:c="http://schemas.openxmlformats.org/drawingml/2006/chart" xmlns:r="http://schemas.openxmlformats.org/officeDocument/2006/relationships" r:id="rId10"/>
          </a:graphicData>
        </a:graphic>
      </xdr:graphicFrame>
      <xdr:sp macro="" textlink="">
        <xdr:nvSpPr>
          <xdr:cNvPr id="32" name="Rectangle 31">
            <a:extLst>
              <a:ext uri="{FF2B5EF4-FFF2-40B4-BE49-F238E27FC236}">
                <a16:creationId xmlns:a16="http://schemas.microsoft.com/office/drawing/2014/main" id="{25B54D40-4507-7DAC-54CA-4F5BB2E21E0B}"/>
              </a:ext>
            </a:extLst>
          </xdr:cNvPr>
          <xdr:cNvSpPr/>
        </xdr:nvSpPr>
        <xdr:spPr>
          <a:xfrm>
            <a:off x="10115550" y="27974925"/>
            <a:ext cx="2390775" cy="171450"/>
          </a:xfrm>
          <a:prstGeom prst="rect">
            <a:avLst/>
          </a:prstGeom>
          <a:noFill/>
          <a:ln>
            <a:solidFill>
              <a:schemeClr val="accent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12</xdr:col>
      <xdr:colOff>130966</xdr:colOff>
      <xdr:row>77</xdr:row>
      <xdr:rowOff>0</xdr:rowOff>
    </xdr:from>
    <xdr:to>
      <xdr:col>24</xdr:col>
      <xdr:colOff>181591</xdr:colOff>
      <xdr:row>102</xdr:row>
      <xdr:rowOff>28125</xdr:rowOff>
    </xdr:to>
    <xdr:graphicFrame macro="">
      <xdr:nvGraphicFramePr>
        <xdr:cNvPr id="3" name="Chart 2">
          <a:extLst>
            <a:ext uri="{FF2B5EF4-FFF2-40B4-BE49-F238E27FC236}">
              <a16:creationId xmlns:a16="http://schemas.microsoft.com/office/drawing/2014/main" id="{E71EEAD0-9BAB-403A-BEB8-D0068B06D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250030</xdr:colOff>
      <xdr:row>77</xdr:row>
      <xdr:rowOff>0</xdr:rowOff>
    </xdr:from>
    <xdr:to>
      <xdr:col>36</xdr:col>
      <xdr:colOff>300655</xdr:colOff>
      <xdr:row>102</xdr:row>
      <xdr:rowOff>28125</xdr:rowOff>
    </xdr:to>
    <xdr:graphicFrame macro="">
      <xdr:nvGraphicFramePr>
        <xdr:cNvPr id="6" name="Chart 5">
          <a:extLst>
            <a:ext uri="{FF2B5EF4-FFF2-40B4-BE49-F238E27FC236}">
              <a16:creationId xmlns:a16="http://schemas.microsoft.com/office/drawing/2014/main" id="{5E4FDFA0-0B52-43CF-BBF2-710D2F4FA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103</xdr:row>
      <xdr:rowOff>0</xdr:rowOff>
    </xdr:from>
    <xdr:to>
      <xdr:col>12</xdr:col>
      <xdr:colOff>50625</xdr:colOff>
      <xdr:row>128</xdr:row>
      <xdr:rowOff>28125</xdr:rowOff>
    </xdr:to>
    <xdr:graphicFrame macro="">
      <xdr:nvGraphicFramePr>
        <xdr:cNvPr id="15" name="Chart 14">
          <a:extLst>
            <a:ext uri="{FF2B5EF4-FFF2-40B4-BE49-F238E27FC236}">
              <a16:creationId xmlns:a16="http://schemas.microsoft.com/office/drawing/2014/main" id="{B64BE21B-A270-4D50-A714-8C698661E8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142872</xdr:colOff>
      <xdr:row>103</xdr:row>
      <xdr:rowOff>0</xdr:rowOff>
    </xdr:from>
    <xdr:to>
      <xdr:col>24</xdr:col>
      <xdr:colOff>193497</xdr:colOff>
      <xdr:row>128</xdr:row>
      <xdr:rowOff>28125</xdr:rowOff>
    </xdr:to>
    <xdr:graphicFrame macro="">
      <xdr:nvGraphicFramePr>
        <xdr:cNvPr id="16" name="Chart 15">
          <a:extLst>
            <a:ext uri="{FF2B5EF4-FFF2-40B4-BE49-F238E27FC236}">
              <a16:creationId xmlns:a16="http://schemas.microsoft.com/office/drawing/2014/main" id="{F59D8A85-15DF-4D4C-8FEA-AFFCE5ECB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297656</xdr:colOff>
      <xdr:row>103</xdr:row>
      <xdr:rowOff>11906</xdr:rowOff>
    </xdr:from>
    <xdr:to>
      <xdr:col>36</xdr:col>
      <xdr:colOff>348281</xdr:colOff>
      <xdr:row>128</xdr:row>
      <xdr:rowOff>40031</xdr:rowOff>
    </xdr:to>
    <xdr:graphicFrame macro="">
      <xdr:nvGraphicFramePr>
        <xdr:cNvPr id="17" name="Chart 16">
          <a:extLst>
            <a:ext uri="{FF2B5EF4-FFF2-40B4-BE49-F238E27FC236}">
              <a16:creationId xmlns:a16="http://schemas.microsoft.com/office/drawing/2014/main" id="{9DC246A8-75AB-491D-897D-E6547DF22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0.21651</cdr:x>
      <cdr:y>0.80233</cdr:y>
    </cdr:from>
    <cdr:to>
      <cdr:x>0.59607</cdr:x>
      <cdr:y>0.84997</cdr:y>
    </cdr:to>
    <cdr:sp macro="" textlink="">
      <cdr:nvSpPr>
        <cdr:cNvPr id="3" name="Rectangle 2"/>
        <cdr:cNvSpPr/>
      </cdr:nvSpPr>
      <cdr:spPr>
        <a:xfrm xmlns:a="http://schemas.openxmlformats.org/drawingml/2006/main">
          <a:off x="1297780" y="2697332"/>
          <a:ext cx="2275198" cy="160167"/>
        </a:xfrm>
        <a:prstGeom xmlns:a="http://schemas.openxmlformats.org/drawingml/2006/main" prst="rect">
          <a:avLst/>
        </a:prstGeom>
        <a:noFill xmlns:a="http://schemas.openxmlformats.org/drawingml/2006/main"/>
        <a:ln xmlns:a="http://schemas.openxmlformats.org/drawingml/2006/main" w="25400" cmpd="sng">
          <a:solidFill>
            <a:srgbClr val="00B0F0"/>
          </a:solid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50625</xdr:colOff>
      <xdr:row>25</xdr:row>
      <xdr:rowOff>28125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130970</xdr:colOff>
      <xdr:row>0</xdr:row>
      <xdr:rowOff>4</xdr:rowOff>
    </xdr:from>
    <xdr:to>
      <xdr:col>24</xdr:col>
      <xdr:colOff>181595</xdr:colOff>
      <xdr:row>25</xdr:row>
      <xdr:rowOff>28129</xdr:rowOff>
    </xdr:to>
    <xdr:graphicFrame macro="">
      <xdr:nvGraphicFramePr>
        <xdr:cNvPr id="10" name="Chart 9">
          <a:extLst>
            <a:ext uri="{FF2B5EF4-FFF2-40B4-BE49-F238E27FC236}">
              <a16:creationId xmlns:a16="http://schemas.microsoft.com/office/drawing/2014/main" id="{B1395FEC-30DD-45DE-A245-E2C6826175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250034</xdr:colOff>
      <xdr:row>0</xdr:row>
      <xdr:rowOff>0</xdr:rowOff>
    </xdr:from>
    <xdr:to>
      <xdr:col>36</xdr:col>
      <xdr:colOff>300659</xdr:colOff>
      <xdr:row>25</xdr:row>
      <xdr:rowOff>28125</xdr:rowOff>
    </xdr:to>
    <xdr:graphicFrame macro="">
      <xdr:nvGraphicFramePr>
        <xdr:cNvPr id="11" name="Chart 10">
          <a:extLst>
            <a:ext uri="{FF2B5EF4-FFF2-40B4-BE49-F238E27FC236}">
              <a16:creationId xmlns:a16="http://schemas.microsoft.com/office/drawing/2014/main" id="{7517B97C-7F91-40DC-925B-648E529FF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xdr:colOff>
      <xdr:row>25</xdr:row>
      <xdr:rowOff>59535</xdr:rowOff>
    </xdr:from>
    <xdr:to>
      <xdr:col>12</xdr:col>
      <xdr:colOff>50632</xdr:colOff>
      <xdr:row>50</xdr:row>
      <xdr:rowOff>87660</xdr:rowOff>
    </xdr:to>
    <xdr:graphicFrame macro="">
      <xdr:nvGraphicFramePr>
        <xdr:cNvPr id="12" name="Chart 11">
          <a:extLst>
            <a:ext uri="{FF2B5EF4-FFF2-40B4-BE49-F238E27FC236}">
              <a16:creationId xmlns:a16="http://schemas.microsoft.com/office/drawing/2014/main" id="{62BD5965-ED22-4FE4-AE83-EADB46D53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130966</xdr:colOff>
      <xdr:row>25</xdr:row>
      <xdr:rowOff>71439</xdr:rowOff>
    </xdr:from>
    <xdr:to>
      <xdr:col>24</xdr:col>
      <xdr:colOff>181591</xdr:colOff>
      <xdr:row>50</xdr:row>
      <xdr:rowOff>99564</xdr:rowOff>
    </xdr:to>
    <xdr:graphicFrame macro="">
      <xdr:nvGraphicFramePr>
        <xdr:cNvPr id="3" name="Chart 2">
          <a:extLst>
            <a:ext uri="{FF2B5EF4-FFF2-40B4-BE49-F238E27FC236}">
              <a16:creationId xmlns:a16="http://schemas.microsoft.com/office/drawing/2014/main" id="{7C417006-6961-4D17-8CAE-E23851608B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250031</xdr:colOff>
      <xdr:row>25</xdr:row>
      <xdr:rowOff>71439</xdr:rowOff>
    </xdr:from>
    <xdr:to>
      <xdr:col>36</xdr:col>
      <xdr:colOff>300656</xdr:colOff>
      <xdr:row>50</xdr:row>
      <xdr:rowOff>99564</xdr:rowOff>
    </xdr:to>
    <xdr:graphicFrame macro="">
      <xdr:nvGraphicFramePr>
        <xdr:cNvPr id="4" name="Chart 3">
          <a:extLst>
            <a:ext uri="{FF2B5EF4-FFF2-40B4-BE49-F238E27FC236}">
              <a16:creationId xmlns:a16="http://schemas.microsoft.com/office/drawing/2014/main" id="{BE27A3B3-B22A-4F01-94EC-E449818069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51</xdr:row>
      <xdr:rowOff>35718</xdr:rowOff>
    </xdr:from>
    <xdr:to>
      <xdr:col>12</xdr:col>
      <xdr:colOff>74437</xdr:colOff>
      <xdr:row>76</xdr:row>
      <xdr:rowOff>63843</xdr:rowOff>
    </xdr:to>
    <xdr:graphicFrame macro="">
      <xdr:nvGraphicFramePr>
        <xdr:cNvPr id="5" name="Chart 4">
          <a:extLst>
            <a:ext uri="{FF2B5EF4-FFF2-40B4-BE49-F238E27FC236}">
              <a16:creationId xmlns:a16="http://schemas.microsoft.com/office/drawing/2014/main" id="{E19F023F-9A9A-47A6-B396-0340D07EEF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142875</xdr:colOff>
      <xdr:row>51</xdr:row>
      <xdr:rowOff>35721</xdr:rowOff>
    </xdr:from>
    <xdr:to>
      <xdr:col>24</xdr:col>
      <xdr:colOff>193500</xdr:colOff>
      <xdr:row>76</xdr:row>
      <xdr:rowOff>63846</xdr:rowOff>
    </xdr:to>
    <xdr:graphicFrame macro="">
      <xdr:nvGraphicFramePr>
        <xdr:cNvPr id="13" name="Chart 12">
          <a:extLst>
            <a:ext uri="{FF2B5EF4-FFF2-40B4-BE49-F238E27FC236}">
              <a16:creationId xmlns:a16="http://schemas.microsoft.com/office/drawing/2014/main" id="{4CF424D8-F34E-4CBA-B144-F3E72DD51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264581</xdr:colOff>
      <xdr:row>51</xdr:row>
      <xdr:rowOff>42332</xdr:rowOff>
    </xdr:from>
    <xdr:to>
      <xdr:col>36</xdr:col>
      <xdr:colOff>315206</xdr:colOff>
      <xdr:row>76</xdr:row>
      <xdr:rowOff>70457</xdr:rowOff>
    </xdr:to>
    <xdr:graphicFrame macro="">
      <xdr:nvGraphicFramePr>
        <xdr:cNvPr id="16" name="Chart 15">
          <a:extLst>
            <a:ext uri="{FF2B5EF4-FFF2-40B4-BE49-F238E27FC236}">
              <a16:creationId xmlns:a16="http://schemas.microsoft.com/office/drawing/2014/main" id="{26453660-5A02-477A-BE43-7835004BF2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Kean Chan (ESC)" id="{7A57EA50-4837-45ED-9140-38869678C047}" userId="S::Kean.Chan@esc.vic.gov.au::01ac8037-e9f1-4739-8932-33f2b106671d"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34" dT="2024-02-05T03:15:16.37" personId="{7A57EA50-4837-45ED-9140-38869678C047}" id="{6BBD2D0F-97A0-4770-A11C-A703642D0D71}">
    <text>FD_NEW 2018 Price Review Model</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11.bin"/><Relationship Id="rId6" Type="http://schemas.openxmlformats.org/officeDocument/2006/relationships/comments" Target="../comments4.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22.bin"/><Relationship Id="rId4"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28.bin"/><Relationship Id="rId4" Type="http://schemas.microsoft.com/office/2017/10/relationships/threadedComment" Target="../threadedComments/threadedComment1.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IV42"/>
  <sheetViews>
    <sheetView showGridLines="0" workbookViewId="0">
      <pane ySplit="5" topLeftCell="A6" activePane="bottomLeft" state="frozen"/>
      <selection pane="bottomLeft" activeCell="G29" sqref="G29"/>
    </sheetView>
  </sheetViews>
  <sheetFormatPr defaultColWidth="10.83203125" defaultRowHeight="12.75" outlineLevelCol="1"/>
  <cols>
    <col min="1" max="1" width="3.5" style="3" customWidth="1"/>
    <col min="2" max="2" width="6.1640625" style="3" customWidth="1"/>
    <col min="3" max="3" width="12" style="3" customWidth="1"/>
    <col min="4" max="4" width="72.83203125" style="3" customWidth="1"/>
    <col min="5" max="5" width="10" style="3" customWidth="1"/>
    <col min="6" max="6" width="4.33203125" style="3" customWidth="1"/>
    <col min="7" max="7" width="16.83203125" style="3" customWidth="1"/>
    <col min="8" max="8" width="44" style="3" customWidth="1"/>
    <col min="9" max="9" width="10.83203125" style="3" customWidth="1"/>
    <col min="10" max="10" width="4.33203125" style="3" customWidth="1"/>
    <col min="11" max="12" width="10" style="3" customWidth="1"/>
    <col min="13" max="13" width="16.5" style="8" hidden="1" customWidth="1" outlineLevel="1"/>
    <col min="14" max="14" width="24.33203125" style="9" hidden="1" customWidth="1" outlineLevel="1"/>
    <col min="15" max="15" width="8.5" style="10" hidden="1" customWidth="1" outlineLevel="1"/>
    <col min="16" max="18" width="10.83203125" style="10" hidden="1" customWidth="1" outlineLevel="1"/>
    <col min="19" max="19" width="10" style="3" customWidth="1" collapsed="1"/>
    <col min="20" max="256" width="10" style="3" customWidth="1"/>
    <col min="257" max="16384" width="10.83203125" style="3"/>
  </cols>
  <sheetData>
    <row r="1" spans="1:256" s="1" customFormat="1" ht="15">
      <c r="A1" s="5">
        <v>80</v>
      </c>
      <c r="B1" s="6"/>
      <c r="C1" s="7"/>
      <c r="D1" s="7"/>
      <c r="E1" s="7"/>
      <c r="F1" s="7"/>
      <c r="G1" s="7"/>
      <c r="H1" s="6"/>
      <c r="I1" s="6"/>
      <c r="J1" s="6"/>
      <c r="K1" s="6"/>
      <c r="L1" s="6"/>
      <c r="M1" s="8" t="s">
        <v>444</v>
      </c>
      <c r="N1" s="9"/>
      <c r="O1" s="10"/>
      <c r="P1" s="10"/>
      <c r="Q1" s="10"/>
      <c r="R1" s="10"/>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6" s="1" customFormat="1" ht="15">
      <c r="A2" s="5"/>
      <c r="B2" s="11"/>
      <c r="C2" s="7"/>
      <c r="D2" s="12" t="s">
        <v>592</v>
      </c>
      <c r="E2" s="12"/>
      <c r="F2" s="12"/>
      <c r="G2" s="12"/>
      <c r="H2" s="6"/>
      <c r="I2" s="6"/>
      <c r="J2" s="6"/>
      <c r="K2" s="6"/>
      <c r="L2" s="6"/>
      <c r="M2" s="8"/>
      <c r="N2" s="9"/>
      <c r="O2" s="10"/>
      <c r="P2" s="10"/>
      <c r="Q2" s="10"/>
      <c r="R2" s="10"/>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row>
    <row r="3" spans="1:256" s="1" customFormat="1" ht="15">
      <c r="A3" s="5"/>
      <c r="B3" s="11"/>
      <c r="C3" s="6"/>
      <c r="D3" s="13" t="s">
        <v>373</v>
      </c>
      <c r="E3" s="13"/>
      <c r="F3" s="13"/>
      <c r="G3" s="13"/>
      <c r="H3" s="6"/>
      <c r="I3" s="6"/>
      <c r="J3" s="6"/>
      <c r="K3" s="6"/>
      <c r="L3" s="6"/>
      <c r="M3" s="8"/>
      <c r="N3" s="14"/>
      <c r="O3" s="14"/>
      <c r="P3" s="14"/>
      <c r="Q3" s="14"/>
      <c r="R3" s="10"/>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pans="1:256" s="1" customFormat="1" ht="15">
      <c r="A4" s="5"/>
      <c r="B4" s="11"/>
      <c r="C4" s="6"/>
      <c r="D4" s="13" t="s">
        <v>387</v>
      </c>
      <c r="E4" s="13"/>
      <c r="F4" s="13"/>
      <c r="G4" s="13"/>
      <c r="H4" s="6"/>
      <c r="I4" s="6"/>
      <c r="J4" s="6"/>
      <c r="K4" s="6"/>
      <c r="L4" s="6"/>
      <c r="M4" s="8"/>
      <c r="N4" s="9"/>
      <c r="O4" s="10"/>
      <c r="P4" s="10"/>
      <c r="Q4" s="10"/>
      <c r="R4" s="10"/>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6" s="1" customFormat="1" ht="15">
      <c r="A5" s="5"/>
      <c r="B5" s="11"/>
      <c r="C5" s="6"/>
      <c r="D5" s="6"/>
      <c r="E5" s="6"/>
      <c r="F5" s="6"/>
      <c r="G5" s="6"/>
      <c r="H5" s="6"/>
      <c r="I5" s="6"/>
      <c r="J5" s="6"/>
      <c r="K5" s="6"/>
      <c r="L5" s="6"/>
      <c r="M5" s="8"/>
      <c r="N5" s="9"/>
      <c r="O5" s="10"/>
      <c r="P5" s="10"/>
      <c r="Q5" s="10"/>
      <c r="R5" s="10"/>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6" ht="15">
      <c r="B6" s="15"/>
      <c r="C6" s="16"/>
      <c r="D6" s="16"/>
      <c r="E6" s="16"/>
      <c r="F6" s="16"/>
      <c r="G6" s="16"/>
      <c r="H6" s="16"/>
      <c r="M6" s="17"/>
    </row>
    <row r="7" spans="1:256" ht="15">
      <c r="B7" s="18" t="s">
        <v>1</v>
      </c>
      <c r="F7" s="19" t="s">
        <v>401</v>
      </c>
      <c r="H7" s="20" t="str">
        <f>+N24</f>
        <v>North East Water</v>
      </c>
      <c r="I7" s="2211" t="str">
        <f>+O24</f>
        <v>NEW</v>
      </c>
      <c r="J7" s="2211"/>
      <c r="M7" s="17"/>
    </row>
    <row r="8" spans="1:256" ht="15">
      <c r="A8" s="21"/>
      <c r="B8" s="22" t="s">
        <v>2</v>
      </c>
      <c r="F8" s="19" t="s">
        <v>402</v>
      </c>
      <c r="H8" s="20" t="s">
        <v>1108</v>
      </c>
      <c r="I8" s="23"/>
      <c r="J8" s="23"/>
      <c r="M8" s="17"/>
      <c r="N8" s="24" t="s">
        <v>441</v>
      </c>
      <c r="O8" s="25" t="s">
        <v>414</v>
      </c>
      <c r="P8" s="24" t="s">
        <v>415</v>
      </c>
      <c r="Q8" s="24" t="s">
        <v>416</v>
      </c>
    </row>
    <row r="9" spans="1:256" ht="15">
      <c r="B9" s="26"/>
      <c r="E9" s="27"/>
      <c r="F9" s="19" t="s">
        <v>403</v>
      </c>
      <c r="G9" s="27"/>
      <c r="H9" s="20" t="str">
        <f>I7&amp;"_Price Review Template_"&amp;O9&amp;P9&amp;Q9</f>
        <v>NEW_Price Review Template_Jun2026 - v1</v>
      </c>
      <c r="I9" s="28"/>
      <c r="J9" s="28"/>
      <c r="L9" s="27"/>
      <c r="M9" s="17"/>
      <c r="N9" s="29" t="s">
        <v>443</v>
      </c>
      <c r="O9" s="30" t="s">
        <v>417</v>
      </c>
      <c r="P9" s="29">
        <v>2026</v>
      </c>
      <c r="Q9" s="31" t="s">
        <v>418</v>
      </c>
      <c r="R9" s="10" t="s">
        <v>419</v>
      </c>
    </row>
    <row r="10" spans="1:256" ht="17.25" customHeight="1">
      <c r="B10" s="39">
        <v>1</v>
      </c>
      <c r="C10" s="40" t="s">
        <v>1225</v>
      </c>
      <c r="E10" s="32"/>
      <c r="F10" s="19" t="s">
        <v>464</v>
      </c>
      <c r="G10" s="32"/>
      <c r="H10" s="20" t="str">
        <f>+N9&amp;" Decision"</f>
        <v>Final Decision</v>
      </c>
      <c r="I10" s="33"/>
      <c r="J10" s="33"/>
      <c r="K10" s="2"/>
      <c r="L10" s="32"/>
      <c r="M10" s="17"/>
      <c r="N10" s="34" t="s">
        <v>442</v>
      </c>
      <c r="O10" s="35" t="s">
        <v>420</v>
      </c>
      <c r="P10" s="34">
        <v>2025</v>
      </c>
      <c r="Q10" s="36" t="s">
        <v>418</v>
      </c>
    </row>
    <row r="11" spans="1:256" ht="17.25" customHeight="1">
      <c r="B11" s="39">
        <v>2</v>
      </c>
      <c r="C11" s="40" t="s">
        <v>1226</v>
      </c>
      <c r="E11" s="37"/>
      <c r="G11" s="32"/>
      <c r="H11" s="2"/>
      <c r="I11" s="2"/>
      <c r="J11" s="2"/>
      <c r="K11" s="2"/>
      <c r="L11" s="32"/>
      <c r="M11" s="17"/>
      <c r="N11" s="34" t="s">
        <v>443</v>
      </c>
      <c r="O11" s="35" t="s">
        <v>421</v>
      </c>
      <c r="P11" s="34">
        <f>P10+1</f>
        <v>2026</v>
      </c>
      <c r="Q11" s="38" t="s">
        <v>480</v>
      </c>
    </row>
    <row r="12" spans="1:256" ht="17.25" customHeight="1">
      <c r="B12" s="39">
        <v>3</v>
      </c>
      <c r="C12" s="40" t="s">
        <v>1054</v>
      </c>
      <c r="D12" s="40"/>
      <c r="E12" s="37"/>
      <c r="F12" s="16" t="s">
        <v>404</v>
      </c>
      <c r="L12" s="37"/>
      <c r="M12" s="17"/>
      <c r="N12" s="34"/>
      <c r="O12" s="35" t="s">
        <v>422</v>
      </c>
      <c r="P12" s="34">
        <f>P11+1</f>
        <v>2027</v>
      </c>
      <c r="Q12" s="36" t="s">
        <v>423</v>
      </c>
    </row>
    <row r="13" spans="1:256" ht="17.25" customHeight="1">
      <c r="B13" s="39">
        <v>4</v>
      </c>
      <c r="C13" s="40" t="str">
        <f>+KeyAssumptionsPriceControl_FO!B1</f>
        <v>Key Assumptions Price Control</v>
      </c>
      <c r="D13" s="40"/>
      <c r="E13" s="37"/>
      <c r="F13" s="41"/>
      <c r="G13" s="42"/>
      <c r="H13" s="42"/>
      <c r="I13" s="42"/>
      <c r="J13" s="43"/>
      <c r="K13" s="2"/>
      <c r="L13" s="32"/>
      <c r="M13" s="17"/>
      <c r="N13" s="34"/>
      <c r="O13" s="35" t="s">
        <v>424</v>
      </c>
      <c r="P13" s="34">
        <f>P12+1</f>
        <v>2028</v>
      </c>
      <c r="Q13" s="36" t="s">
        <v>425</v>
      </c>
    </row>
    <row r="14" spans="1:256" ht="17.25" customHeight="1">
      <c r="B14" s="39">
        <v>5</v>
      </c>
      <c r="C14" s="40" t="s">
        <v>1228</v>
      </c>
      <c r="D14" s="40"/>
      <c r="E14" s="37"/>
      <c r="F14" s="44"/>
      <c r="G14" s="45" t="s">
        <v>405</v>
      </c>
      <c r="H14" s="46" t="str">
        <f>+I7&amp;" - DATA INPUT CELL"</f>
        <v>NEW - DATA INPUT CELL</v>
      </c>
      <c r="J14" s="47"/>
      <c r="L14" s="37"/>
      <c r="M14" s="17"/>
      <c r="N14" s="34"/>
      <c r="O14" s="35" t="s">
        <v>426</v>
      </c>
      <c r="P14" s="34">
        <f>P13+1</f>
        <v>2029</v>
      </c>
      <c r="Q14" s="36" t="s">
        <v>427</v>
      </c>
    </row>
    <row r="15" spans="1:256" ht="17.25" customHeight="1">
      <c r="B15" s="39">
        <v>6</v>
      </c>
      <c r="C15" s="40" t="str">
        <f>+Expenditure_Detail!B1</f>
        <v>Expenditure - Detail</v>
      </c>
      <c r="D15" s="40"/>
      <c r="E15" s="37"/>
      <c r="F15" s="44"/>
      <c r="G15" s="49"/>
      <c r="H15" s="50"/>
      <c r="J15" s="47"/>
      <c r="K15" s="2"/>
      <c r="L15" s="32"/>
      <c r="M15" s="17"/>
      <c r="N15" s="34"/>
      <c r="O15" s="35" t="s">
        <v>417</v>
      </c>
      <c r="P15" s="34">
        <f>P14+1</f>
        <v>2030</v>
      </c>
      <c r="Q15" s="36" t="s">
        <v>437</v>
      </c>
    </row>
    <row r="16" spans="1:256" ht="17.25" customHeight="1">
      <c r="B16" s="39">
        <v>7</v>
      </c>
      <c r="C16" s="40" t="str">
        <f>Opex_FO!B1</f>
        <v>Operating Expenditure - Forecast</v>
      </c>
      <c r="D16" s="40"/>
      <c r="E16" s="37"/>
      <c r="F16" s="44"/>
      <c r="G16" s="1729" t="s">
        <v>979</v>
      </c>
      <c r="H16" s="46" t="s">
        <v>406</v>
      </c>
      <c r="J16" s="47"/>
      <c r="L16" s="37"/>
      <c r="M16" s="17"/>
      <c r="N16" s="34"/>
      <c r="O16" s="35" t="s">
        <v>429</v>
      </c>
      <c r="P16" s="34"/>
      <c r="Q16" s="36" t="s">
        <v>428</v>
      </c>
    </row>
    <row r="17" spans="2:17" ht="17.25" customHeight="1">
      <c r="B17" s="39">
        <v>8</v>
      </c>
      <c r="C17" s="40" t="str">
        <f>Opex_Breakdown!B1</f>
        <v>Operating Expenditure - Breakdown</v>
      </c>
      <c r="D17" s="40"/>
      <c r="E17" s="37"/>
      <c r="F17" s="44"/>
      <c r="H17" s="50"/>
      <c r="J17" s="47"/>
      <c r="L17" s="37"/>
      <c r="M17" s="17"/>
      <c r="N17" s="34"/>
      <c r="O17" s="35" t="s">
        <v>431</v>
      </c>
      <c r="P17" s="34"/>
      <c r="Q17" s="36" t="s">
        <v>438</v>
      </c>
    </row>
    <row r="18" spans="2:17" ht="17.25" customHeight="1">
      <c r="B18" s="39">
        <v>9</v>
      </c>
      <c r="C18" s="40" t="str">
        <f>+'Capex_FO input'!B1</f>
        <v>Capital Expenditure - Forecast Input</v>
      </c>
      <c r="D18" s="48"/>
      <c r="E18" s="37"/>
      <c r="F18" s="44"/>
      <c r="G18" s="51" t="s">
        <v>407</v>
      </c>
      <c r="H18" s="46" t="s">
        <v>573</v>
      </c>
      <c r="J18" s="47"/>
      <c r="K18" s="2"/>
      <c r="L18" s="32"/>
      <c r="M18" s="17"/>
      <c r="N18" s="34"/>
      <c r="O18" s="35" t="s">
        <v>433</v>
      </c>
      <c r="P18" s="34"/>
      <c r="Q18" s="36" t="s">
        <v>430</v>
      </c>
    </row>
    <row r="19" spans="2:17" ht="17.25" customHeight="1">
      <c r="B19" s="39">
        <v>10</v>
      </c>
      <c r="C19" s="40" t="str">
        <f>Capex_FO_AC!B1</f>
        <v>Capital Expenditure - Asset Category Breakdown</v>
      </c>
      <c r="D19" s="40"/>
      <c r="E19" s="37"/>
      <c r="F19" s="44"/>
      <c r="H19" s="50"/>
      <c r="J19" s="47"/>
      <c r="L19" s="37"/>
      <c r="M19" s="17"/>
      <c r="N19" s="34"/>
      <c r="O19" s="35" t="s">
        <v>434</v>
      </c>
      <c r="P19" s="34"/>
      <c r="Q19" s="36" t="s">
        <v>439</v>
      </c>
    </row>
    <row r="20" spans="2:17" ht="17.25" customHeight="1">
      <c r="B20" s="39">
        <v>11</v>
      </c>
      <c r="C20" s="40" t="str">
        <f>RollForward_FO!B1</f>
        <v>Rolled forward regulatory asset base (RAB)</v>
      </c>
      <c r="D20" s="40"/>
      <c r="E20" s="37"/>
      <c r="F20" s="44"/>
      <c r="G20" s="52" t="s">
        <v>408</v>
      </c>
      <c r="H20" s="46" t="s">
        <v>409</v>
      </c>
      <c r="J20" s="47"/>
      <c r="L20" s="37"/>
      <c r="M20" s="17"/>
      <c r="N20" s="34"/>
      <c r="O20" s="35" t="s">
        <v>435</v>
      </c>
      <c r="P20" s="34"/>
      <c r="Q20" s="36" t="s">
        <v>432</v>
      </c>
    </row>
    <row r="21" spans="2:17" ht="17.25" customHeight="1">
      <c r="B21" s="39">
        <v>12</v>
      </c>
      <c r="C21" s="40" t="str">
        <f>PrevPerAdj_FO!B1</f>
        <v>Previous period adjustments</v>
      </c>
      <c r="D21" s="40"/>
      <c r="E21" s="37"/>
      <c r="F21" s="44"/>
      <c r="G21" s="49"/>
      <c r="H21" s="50"/>
      <c r="J21" s="47"/>
      <c r="L21" s="37"/>
      <c r="M21" s="17"/>
      <c r="N21" s="34"/>
      <c r="O21" s="35" t="s">
        <v>436</v>
      </c>
      <c r="P21" s="34"/>
      <c r="Q21" s="36" t="s">
        <v>440</v>
      </c>
    </row>
    <row r="22" spans="2:17" ht="17.25" customHeight="1">
      <c r="B22" s="39">
        <v>13</v>
      </c>
      <c r="C22" s="40" t="str">
        <f>RevenuePriceCap_FO!C1</f>
        <v>Revenue forecast (price caps)</v>
      </c>
      <c r="D22" s="40"/>
      <c r="E22" s="37"/>
      <c r="F22" s="44"/>
      <c r="G22" s="133" t="s">
        <v>410</v>
      </c>
      <c r="H22" s="46" t="s">
        <v>411</v>
      </c>
      <c r="J22" s="47"/>
      <c r="L22" s="37"/>
      <c r="M22" s="17"/>
    </row>
    <row r="23" spans="2:17" ht="17.25" customHeight="1">
      <c r="B23" s="39">
        <v>14</v>
      </c>
      <c r="C23" s="40" t="s">
        <v>235</v>
      </c>
      <c r="D23" s="40"/>
      <c r="E23" s="37"/>
      <c r="F23" s="44"/>
      <c r="H23" s="50"/>
      <c r="J23" s="47"/>
      <c r="L23" s="37"/>
      <c r="M23" s="17"/>
      <c r="N23" s="24" t="s">
        <v>463</v>
      </c>
      <c r="O23" s="9"/>
    </row>
    <row r="24" spans="2:17" ht="17.25" customHeight="1">
      <c r="B24" s="39">
        <v>15</v>
      </c>
      <c r="C24" s="40" t="s">
        <v>84</v>
      </c>
      <c r="D24" s="40"/>
      <c r="E24" s="37"/>
      <c r="F24" s="44"/>
      <c r="G24" s="53" t="s">
        <v>542</v>
      </c>
      <c r="H24" s="46" t="s">
        <v>1097</v>
      </c>
      <c r="J24" s="47"/>
      <c r="K24" s="2"/>
      <c r="L24" s="32"/>
      <c r="M24" s="17"/>
      <c r="N24" s="29" t="s">
        <v>382</v>
      </c>
      <c r="O24" s="54" t="str">
        <f>+VLOOKUP(N24,N25:O42,2,FALSE)</f>
        <v>NEW</v>
      </c>
    </row>
    <row r="25" spans="2:17" ht="17.25" customHeight="1">
      <c r="B25" s="39">
        <v>16</v>
      </c>
      <c r="C25" s="40" t="s">
        <v>347</v>
      </c>
      <c r="D25" s="40"/>
      <c r="E25" s="37"/>
      <c r="F25" s="44"/>
      <c r="J25" s="47"/>
      <c r="L25" s="37"/>
      <c r="M25" s="17"/>
      <c r="N25" s="55" t="s">
        <v>375</v>
      </c>
      <c r="O25" s="36" t="s">
        <v>448</v>
      </c>
    </row>
    <row r="26" spans="2:17" ht="17.25" customHeight="1">
      <c r="B26" s="39">
        <v>17</v>
      </c>
      <c r="C26" s="40" t="s">
        <v>123</v>
      </c>
      <c r="D26" s="40"/>
      <c r="E26" s="37"/>
      <c r="F26" s="44"/>
      <c r="G26" s="56" t="s">
        <v>412</v>
      </c>
      <c r="H26" s="46" t="s">
        <v>1198</v>
      </c>
      <c r="J26" s="47"/>
      <c r="L26" s="32"/>
      <c r="M26" s="17"/>
      <c r="N26" s="55" t="s">
        <v>378</v>
      </c>
      <c r="O26" s="36" t="s">
        <v>450</v>
      </c>
    </row>
    <row r="27" spans="2:17" ht="15">
      <c r="B27" s="39">
        <v>18</v>
      </c>
      <c r="C27" s="40" t="s">
        <v>121</v>
      </c>
      <c r="D27" s="40"/>
      <c r="F27" s="57"/>
      <c r="G27" s="58"/>
      <c r="H27" s="58"/>
      <c r="I27" s="58"/>
      <c r="J27" s="59"/>
      <c r="M27" s="17"/>
      <c r="N27" s="55" t="s">
        <v>244</v>
      </c>
      <c r="O27" s="36" t="s">
        <v>445</v>
      </c>
    </row>
    <row r="28" spans="2:17" ht="15">
      <c r="B28" s="39">
        <v>19</v>
      </c>
      <c r="C28" s="40" t="s">
        <v>477</v>
      </c>
      <c r="D28" s="40"/>
      <c r="M28" s="17"/>
      <c r="N28" s="55" t="s">
        <v>376</v>
      </c>
      <c r="O28" s="36" t="s">
        <v>451</v>
      </c>
    </row>
    <row r="29" spans="2:17" ht="15">
      <c r="B29" s="39">
        <v>20</v>
      </c>
      <c r="C29" s="40" t="s">
        <v>1203</v>
      </c>
      <c r="D29" s="2038"/>
      <c r="M29" s="17"/>
      <c r="N29" s="55" t="s">
        <v>379</v>
      </c>
      <c r="O29" s="36" t="s">
        <v>452</v>
      </c>
    </row>
    <row r="30" spans="2:17" ht="15">
      <c r="B30" s="39">
        <v>21</v>
      </c>
      <c r="C30" s="40" t="s">
        <v>1229</v>
      </c>
      <c r="D30" s="40"/>
      <c r="M30" s="17"/>
      <c r="N30" s="55" t="s">
        <v>380</v>
      </c>
      <c r="O30" s="36" t="s">
        <v>449</v>
      </c>
    </row>
    <row r="31" spans="2:17" ht="15">
      <c r="B31" s="39">
        <v>22</v>
      </c>
      <c r="C31" s="40" t="s">
        <v>622</v>
      </c>
      <c r="D31" s="40"/>
      <c r="M31" s="17"/>
      <c r="N31" s="55" t="s">
        <v>381</v>
      </c>
      <c r="O31" s="36" t="s">
        <v>453</v>
      </c>
    </row>
    <row r="32" spans="2:17" ht="15">
      <c r="B32" s="39">
        <v>23</v>
      </c>
      <c r="C32" s="40" t="s">
        <v>1104</v>
      </c>
      <c r="D32" s="40"/>
      <c r="M32" s="17"/>
      <c r="N32" s="131" t="s">
        <v>455</v>
      </c>
      <c r="O32" s="132" t="s">
        <v>454</v>
      </c>
      <c r="P32" s="10" t="s">
        <v>607</v>
      </c>
    </row>
    <row r="33" spans="2:16" ht="15">
      <c r="B33" s="39">
        <v>24</v>
      </c>
      <c r="C33" s="40" t="s">
        <v>1105</v>
      </c>
      <c r="D33" s="40"/>
      <c r="N33" s="131" t="s">
        <v>565</v>
      </c>
      <c r="O33" s="132" t="s">
        <v>566</v>
      </c>
      <c r="P33" s="10" t="s">
        <v>607</v>
      </c>
    </row>
    <row r="34" spans="2:16" ht="15">
      <c r="B34" s="39">
        <v>25</v>
      </c>
      <c r="C34" s="40" t="s">
        <v>1106</v>
      </c>
      <c r="N34" s="55" t="s">
        <v>567</v>
      </c>
      <c r="O34" s="36" t="s">
        <v>569</v>
      </c>
    </row>
    <row r="35" spans="2:16" ht="15">
      <c r="B35" s="39">
        <v>26</v>
      </c>
      <c r="C35" s="40" t="s">
        <v>1107</v>
      </c>
      <c r="N35" s="55" t="s">
        <v>382</v>
      </c>
      <c r="O35" s="36" t="s">
        <v>456</v>
      </c>
    </row>
    <row r="36" spans="2:16" ht="15">
      <c r="B36" s="39"/>
      <c r="N36" s="55" t="s">
        <v>245</v>
      </c>
      <c r="O36" s="36" t="s">
        <v>446</v>
      </c>
    </row>
    <row r="37" spans="2:16">
      <c r="N37" s="55" t="s">
        <v>383</v>
      </c>
      <c r="O37" s="36" t="s">
        <v>457</v>
      </c>
    </row>
    <row r="38" spans="2:16">
      <c r="N38" s="131" t="s">
        <v>568</v>
      </c>
      <c r="O38" s="132" t="s">
        <v>462</v>
      </c>
      <c r="P38" s="10" t="s">
        <v>607</v>
      </c>
    </row>
    <row r="39" spans="2:16">
      <c r="N39" s="55" t="s">
        <v>384</v>
      </c>
      <c r="O39" s="36" t="s">
        <v>458</v>
      </c>
    </row>
    <row r="40" spans="2:16">
      <c r="N40" s="55" t="s">
        <v>385</v>
      </c>
      <c r="O40" s="36" t="s">
        <v>461</v>
      </c>
    </row>
    <row r="41" spans="2:16">
      <c r="N41" s="55" t="s">
        <v>460</v>
      </c>
      <c r="O41" s="36" t="s">
        <v>459</v>
      </c>
    </row>
    <row r="42" spans="2:16">
      <c r="N42" s="55" t="s">
        <v>246</v>
      </c>
      <c r="O42" s="36" t="s">
        <v>447</v>
      </c>
    </row>
  </sheetData>
  <sheetProtection algorithmName="SHA-512" hashValue="Sk+/CbkDvGPV/3qCtrSwRHq/le5fo7BnIgDWIqlNvhGAewS3t14qIKeHNpQW5HPhoZ0qQzuzzc+Dg5QZKxObuQ==" saltValue="a/ZeXJowLsBqbkCD1m/k9A==" spinCount="100000" sheet="1" objects="1" scenarios="1"/>
  <sortState xmlns:xlrd2="http://schemas.microsoft.com/office/spreadsheetml/2017/richdata2" ref="N25:O41">
    <sortCondition ref="N25:N41"/>
  </sortState>
  <mergeCells count="1">
    <mergeCell ref="I7:J7"/>
  </mergeCells>
  <phoneticPr fontId="0" type="noConversion"/>
  <dataValidations disablePrompts="1" count="5">
    <dataValidation type="list" allowBlank="1" showInputMessage="1" showErrorMessage="1" sqref="Q9" xr:uid="{00000000-0002-0000-0000-000000000000}">
      <formula1>$Q$10:$Q$21</formula1>
    </dataValidation>
    <dataValidation type="list" allowBlank="1" showInputMessage="1" showErrorMessage="1" sqref="P9" xr:uid="{00000000-0002-0000-0000-000001000000}">
      <formula1>$P$10:$P$21</formula1>
    </dataValidation>
    <dataValidation type="list" allowBlank="1" showInputMessage="1" showErrorMessage="1" sqref="O9" xr:uid="{00000000-0002-0000-0000-000002000000}">
      <formula1>$O$10:$O$21</formula1>
    </dataValidation>
    <dataValidation type="list" allowBlank="1" showInputMessage="1" showErrorMessage="1" sqref="N9" xr:uid="{00000000-0002-0000-0000-000003000000}">
      <formula1>$N$10:$N$21</formula1>
    </dataValidation>
    <dataValidation type="list" allowBlank="1" showInputMessage="1" showErrorMessage="1" sqref="N24" xr:uid="{00000000-0002-0000-0000-000004000000}">
      <formula1>$N$25:$N$42</formula1>
    </dataValidation>
  </dataValidations>
  <hyperlinks>
    <hyperlink ref="C17" location="'BAUOpex_FO'!A1" tooltip="Go to Operating Expenditure forecast" display="'BAUOpex_FO'!A1" xr:uid="{00000000-0004-0000-0000-000000000000}"/>
    <hyperlink ref="C19" location="Capex_FO_AC!A1" tooltip="Go to Capital Expenditure forecast by Asset Category" display="Capex_FO_AC!A1" xr:uid="{00000000-0004-0000-0000-000001000000}"/>
    <hyperlink ref="C20" location="'RollForward_FO'!A1" tooltip="Go to Rolled forward regulatory asset base" display="'RollForward_FO'!A1" xr:uid="{00000000-0004-0000-0000-000003000000}"/>
    <hyperlink ref="C21" location="'1stPerAdj_FO'!A1" tooltip="Go to Adjustments required from first period" display="'1stPerAdj_FO'!A1" xr:uid="{00000000-0004-0000-0000-000004000000}"/>
    <hyperlink ref="C22" location="'RevenuePriceCap_FO'!A1" tooltip="Go to Revenue forecast (price caps)" display="'RevenuePriceCap_FO'!A1" xr:uid="{00000000-0004-0000-0000-000005000000}"/>
    <hyperlink ref="C25" location="'NotPres_FO'!A1" tooltip="Go to Services not prescribed" display="'NotPres_FO'!A1" xr:uid="{00000000-0004-0000-0000-000006000000}"/>
    <hyperlink ref="C26" location="'Finance&amp;Tax_FO'!A1" tooltip="Go to Cash, debt and tax assumptions" display="'Finance&amp;Tax_FO'!A1" xr:uid="{00000000-0004-0000-0000-000007000000}"/>
    <hyperlink ref="C24" location="'Rev&amp;RAV_FO'!A1" tooltip="Go to Revenue requirement detail" display="'Rev&amp;RAV_FO'!A1" xr:uid="{00000000-0004-0000-0000-000008000000}"/>
    <hyperlink ref="C27" location="'Indicators_FO'!A1" tooltip="Go to Financial indicators" display="'Indicators_FO'!A1" xr:uid="{00000000-0004-0000-0000-000009000000}"/>
    <hyperlink ref="C16" location="BAUOpexProd_FO!A1" display="Adjusted BAU expenditure and productivity test" xr:uid="{00000000-0004-0000-0000-00000A000000}"/>
    <hyperlink ref="C23" location="RevenueTariffBasket_FO!A1" display="Revenue forecast (tariff basket)" xr:uid="{00000000-0004-0000-0000-00000B000000}"/>
    <hyperlink ref="C13" location="KeyAssumptionsPriceControl_FO!B1" display="KeyAssumptionsPriceControl_FO!B1" xr:uid="{00000000-0004-0000-0000-00000C000000}"/>
    <hyperlink ref="C15:D15" location="Opex_FO!A1" display="Opex_FO!A1" xr:uid="{00000000-0004-0000-0000-00000D000000}"/>
    <hyperlink ref="C16:D16" location="Opex_Breakdown!A1" tooltip="Go to Operating Expenditure forecast" display="Opex_Breakdown!A1" xr:uid="{00000000-0004-0000-0000-00000E000000}"/>
    <hyperlink ref="C21:D21" location="PrevPerAdj_FO!A1" tooltip="Go to Adjustments required from first period" display="PrevPerAdj_FO!A1" xr:uid="{00000000-0004-0000-0000-00000F000000}"/>
    <hyperlink ref="C18" location="'CAPEX_FO input'!A1" display="'CAPEX_FO input'!A1" xr:uid="{00000000-0004-0000-0000-000010000000}"/>
    <hyperlink ref="C15" location="Expenditure_Detail!A1" display="Expenditure_Detail!A1" xr:uid="{00000000-0004-0000-0000-000011000000}"/>
    <hyperlink ref="C28:D28" location="Outcomes!A1" display="Outcomes" xr:uid="{00000000-0004-0000-0000-000013000000}"/>
    <hyperlink ref="C12:D12" location="'Model Quality Check'!A1" display="Model Quality Check" xr:uid="{A6B4FBB6-6358-4B69-AFC8-FAD9CAFAC403}"/>
    <hyperlink ref="C29" location="'Schedule 2'!A1" display="Schedule2" xr:uid="{DA6C6435-F210-4631-A3F8-97AD2E5A1E7B}"/>
    <hyperlink ref="C10" location="'ESC Adjustments log'!A1" display="ESC Adjustment log" xr:uid="{B1C81C87-4386-4F36-B547-726AE0C2F437}"/>
    <hyperlink ref="C11" location="'NEW Adjustments log'!A1" display="NEW Adjustment log" xr:uid="{01912D49-FA98-4753-B3DC-D97EBB2A49AB}"/>
    <hyperlink ref="C14" location="Summary_FO!A1" display="Summary_FO" xr:uid="{9ECB35A9-300F-4365-9640-5E38B2F61F42}"/>
    <hyperlink ref="C30" location="'Household Bill'!A1" display="Household Bills" xr:uid="{11298762-96C5-424D-B292-3ACC6B7351AD}"/>
  </hyperlinks>
  <pageMargins left="0.39370078740157499" right="0.39370078740157499" top="0.59055118110236249" bottom="0.98425196850393748" header="0" footer="0.31496062992125973"/>
  <pageSetup paperSize="9" orientation="landscape" r:id="rId1"/>
  <headerFooter alignWithMargins="0">
    <oddHeader>&amp;C&amp;"Calibri"&amp;12&amp;KFF0000 OFFICIAL&amp;1#_x000D_&amp;"Arial"&amp;8&amp;K000000&amp;B&amp;"Arial"&amp;12&amp;Kff0000​‌OFFICIAL‌​</oddHeader>
  </headerFooter>
  <ignoredErrors>
    <ignoredError sqref="L21:L24 L11 L13:L19 L26 C13:C23" unlocked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autoPageBreaks="0"/>
  </sheetPr>
  <dimension ref="A1:CX166"/>
  <sheetViews>
    <sheetView showGridLines="0" topLeftCell="BM1" zoomScale="90" zoomScaleNormal="90" workbookViewId="0">
      <selection activeCell="CN42" sqref="CN42:CW42"/>
    </sheetView>
  </sheetViews>
  <sheetFormatPr defaultColWidth="9.33203125" defaultRowHeight="12"/>
  <cols>
    <col min="1" max="2" width="3.5" style="70" customWidth="1"/>
    <col min="3" max="3" width="50.6640625" style="70" customWidth="1"/>
    <col min="4" max="6" width="17.5" style="70" customWidth="1"/>
    <col min="7" max="7" width="18.33203125" style="70" bestFit="1" customWidth="1"/>
    <col min="8" max="9" width="11.83203125" style="70" customWidth="1"/>
    <col min="10" max="10" width="15.6640625" style="70" customWidth="1"/>
    <col min="11" max="11" width="17.1640625" style="70" bestFit="1" customWidth="1"/>
    <col min="12" max="12" width="11.5" style="70" bestFit="1" customWidth="1"/>
    <col min="13" max="13" width="13.83203125" style="70" bestFit="1" customWidth="1"/>
    <col min="14" max="14" width="3.6640625" style="70" customWidth="1"/>
    <col min="15" max="24" width="9.33203125" style="70"/>
    <col min="25" max="25" width="3.6640625" style="70" customWidth="1"/>
    <col min="26" max="35" width="9.33203125" style="70"/>
    <col min="36" max="36" width="3.6640625" style="70" customWidth="1"/>
    <col min="37" max="46" width="9.33203125" style="70"/>
    <col min="47" max="47" width="3.6640625" style="70" customWidth="1"/>
    <col min="48" max="57" width="9.33203125" style="70"/>
    <col min="58" max="58" width="3.6640625" style="70" customWidth="1"/>
    <col min="59" max="68" width="9.33203125" style="70"/>
    <col min="69" max="69" width="3.6640625" style="70" customWidth="1"/>
    <col min="70" max="79" width="9.33203125" style="70"/>
    <col min="80" max="80" width="3.6640625" style="70" customWidth="1"/>
    <col min="81" max="90" width="9.33203125" style="70"/>
    <col min="91" max="91" width="3.6640625" style="70" customWidth="1"/>
    <col min="92" max="16384" width="9.33203125" style="70"/>
  </cols>
  <sheetData>
    <row r="1" spans="2:102" ht="15">
      <c r="B1" s="153" t="s">
        <v>534</v>
      </c>
      <c r="G1" s="467"/>
      <c r="H1" s="467"/>
      <c r="I1" s="467"/>
      <c r="J1" s="467"/>
      <c r="K1" s="467"/>
      <c r="L1" s="467"/>
      <c r="M1" s="467"/>
      <c r="N1" s="467"/>
      <c r="O1" s="467"/>
      <c r="P1" s="467"/>
      <c r="Q1" s="467"/>
      <c r="R1" s="467"/>
      <c r="S1" s="467"/>
      <c r="T1" s="467"/>
      <c r="U1" s="467"/>
      <c r="V1" s="467"/>
      <c r="W1" s="467"/>
      <c r="X1" s="467"/>
      <c r="Y1" s="467"/>
      <c r="Z1" s="467"/>
      <c r="AA1" s="467"/>
      <c r="AB1" s="467"/>
      <c r="AC1" s="467"/>
      <c r="AD1" s="467"/>
      <c r="AE1" s="467"/>
      <c r="AF1" s="467"/>
      <c r="AG1" s="467"/>
      <c r="AH1" s="467"/>
      <c r="AI1" s="467"/>
      <c r="AJ1" s="467"/>
      <c r="AK1" s="467"/>
      <c r="AL1" s="467"/>
      <c r="AM1" s="467"/>
      <c r="AN1" s="467"/>
      <c r="AO1" s="467"/>
      <c r="AP1" s="467"/>
      <c r="AQ1" s="467"/>
      <c r="AR1" s="467"/>
      <c r="AS1" s="467"/>
      <c r="AT1" s="467"/>
      <c r="AU1" s="467"/>
      <c r="AV1" s="467"/>
      <c r="AW1" s="467"/>
      <c r="AX1" s="467"/>
      <c r="AY1" s="467"/>
      <c r="AZ1" s="467"/>
      <c r="BA1" s="467"/>
      <c r="BB1" s="467"/>
      <c r="BC1" s="467"/>
      <c r="BD1" s="467"/>
      <c r="BE1" s="467"/>
      <c r="BF1" s="467"/>
      <c r="BG1" s="467"/>
      <c r="BH1" s="467"/>
      <c r="BI1" s="467"/>
      <c r="BJ1" s="467"/>
      <c r="BK1" s="467"/>
      <c r="BL1" s="467"/>
      <c r="BM1" s="467"/>
      <c r="BN1" s="467"/>
      <c r="BO1" s="467"/>
      <c r="BP1" s="467"/>
      <c r="BQ1" s="467"/>
      <c r="BR1" s="467"/>
      <c r="BS1" s="467"/>
      <c r="BT1" s="467"/>
      <c r="BU1" s="467"/>
      <c r="BV1" s="467"/>
      <c r="BW1" s="467"/>
      <c r="BX1" s="467"/>
      <c r="BY1" s="467"/>
      <c r="BZ1" s="467"/>
      <c r="CA1" s="467"/>
      <c r="CB1" s="467"/>
      <c r="CC1" s="467"/>
      <c r="CD1" s="467"/>
      <c r="CE1" s="467"/>
      <c r="CF1" s="467"/>
      <c r="CG1" s="467"/>
      <c r="CH1" s="467"/>
      <c r="CI1" s="467"/>
      <c r="CJ1" s="467"/>
      <c r="CK1" s="467"/>
      <c r="CL1" s="467"/>
      <c r="CM1" s="467"/>
      <c r="CN1" s="467"/>
      <c r="CO1" s="467"/>
      <c r="CP1" s="467"/>
      <c r="CQ1" s="467"/>
      <c r="CR1" s="467"/>
      <c r="CS1" s="467"/>
      <c r="CT1" s="467"/>
      <c r="CU1" s="467"/>
      <c r="CV1" s="467"/>
      <c r="CW1" s="467"/>
      <c r="CX1" s="467"/>
    </row>
    <row r="2" spans="2:102" ht="12.75">
      <c r="B2" s="155" t="str">
        <f>+Contents!H7</f>
        <v>North East Water</v>
      </c>
      <c r="G2" s="467"/>
      <c r="H2" s="467"/>
      <c r="I2" s="467"/>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c r="BT2" s="467"/>
      <c r="BU2" s="467"/>
      <c r="BV2" s="467"/>
      <c r="BW2" s="467"/>
      <c r="BX2" s="467"/>
      <c r="BY2" s="467"/>
      <c r="BZ2" s="467"/>
      <c r="CA2" s="467"/>
      <c r="CB2" s="467"/>
      <c r="CC2" s="467"/>
      <c r="CD2" s="467"/>
      <c r="CE2" s="467"/>
      <c r="CF2" s="467"/>
      <c r="CG2" s="467"/>
      <c r="CH2" s="467"/>
      <c r="CI2" s="467"/>
      <c r="CJ2" s="467"/>
      <c r="CK2" s="467"/>
      <c r="CL2" s="467"/>
      <c r="CM2" s="467"/>
      <c r="CN2" s="467"/>
      <c r="CO2" s="467"/>
      <c r="CP2" s="467"/>
      <c r="CQ2" s="467"/>
      <c r="CR2" s="467"/>
      <c r="CS2" s="467"/>
      <c r="CT2" s="467"/>
      <c r="CU2" s="467"/>
      <c r="CV2" s="467"/>
      <c r="CW2" s="467"/>
      <c r="CX2" s="467"/>
    </row>
    <row r="3" spans="2:102">
      <c r="B3" s="468" t="s">
        <v>0</v>
      </c>
      <c r="C3" s="468"/>
      <c r="D3" s="468"/>
      <c r="E3" s="468"/>
      <c r="F3" s="468"/>
      <c r="G3" s="467"/>
      <c r="H3" s="467"/>
      <c r="I3" s="467"/>
      <c r="J3" s="467"/>
      <c r="K3" s="467"/>
      <c r="L3" s="467"/>
      <c r="M3" s="467"/>
      <c r="N3" s="467"/>
      <c r="O3" s="467"/>
      <c r="P3" s="467"/>
      <c r="Q3" s="467"/>
      <c r="R3" s="467"/>
      <c r="S3" s="467"/>
      <c r="T3" s="467"/>
      <c r="U3" s="467"/>
      <c r="V3" s="467"/>
      <c r="W3" s="467"/>
      <c r="X3" s="467"/>
      <c r="Y3" s="467"/>
      <c r="Z3" s="467"/>
      <c r="AA3" s="467"/>
      <c r="AB3" s="467"/>
      <c r="AC3" s="467"/>
      <c r="AD3" s="467"/>
      <c r="AE3" s="467"/>
      <c r="AF3" s="467"/>
      <c r="AG3" s="467"/>
      <c r="AH3" s="467"/>
      <c r="AI3" s="467"/>
      <c r="AJ3" s="467"/>
      <c r="AK3" s="467"/>
      <c r="AL3" s="467"/>
      <c r="AM3" s="467"/>
      <c r="AN3" s="467"/>
      <c r="AO3" s="467"/>
      <c r="AP3" s="467"/>
      <c r="AQ3" s="467"/>
      <c r="AR3" s="467"/>
      <c r="AS3" s="467"/>
      <c r="AT3" s="467"/>
      <c r="AU3" s="467"/>
      <c r="AV3" s="467"/>
      <c r="AW3" s="467"/>
      <c r="AX3" s="467"/>
      <c r="AY3" s="467"/>
      <c r="AZ3" s="467"/>
      <c r="BA3" s="467"/>
      <c r="BB3" s="467"/>
      <c r="BC3" s="467"/>
      <c r="BD3" s="467"/>
      <c r="BE3" s="467"/>
      <c r="BF3" s="467"/>
      <c r="BG3" s="467"/>
      <c r="BH3" s="467"/>
      <c r="BI3" s="467"/>
      <c r="BJ3" s="467"/>
      <c r="BK3" s="467"/>
      <c r="BL3" s="467"/>
      <c r="BM3" s="467"/>
      <c r="BN3" s="467"/>
      <c r="BO3" s="467"/>
      <c r="BP3" s="467"/>
      <c r="BQ3" s="467"/>
      <c r="BR3" s="467"/>
      <c r="BS3" s="467"/>
      <c r="BT3" s="467"/>
      <c r="BU3" s="467"/>
      <c r="BV3" s="467"/>
      <c r="BW3" s="467"/>
      <c r="BX3" s="467"/>
      <c r="BY3" s="467"/>
      <c r="BZ3" s="467"/>
      <c r="CA3" s="467"/>
      <c r="CB3" s="467"/>
      <c r="CC3" s="467"/>
      <c r="CD3" s="467"/>
      <c r="CE3" s="467"/>
      <c r="CF3" s="467"/>
      <c r="CG3" s="467"/>
      <c r="CH3" s="467"/>
      <c r="CI3" s="467"/>
      <c r="CJ3" s="467"/>
      <c r="CK3" s="467"/>
      <c r="CL3" s="467"/>
      <c r="CM3" s="467"/>
      <c r="CN3" s="467"/>
      <c r="CO3" s="467"/>
      <c r="CP3" s="467"/>
      <c r="CQ3" s="467"/>
      <c r="CR3" s="467"/>
      <c r="CS3" s="467"/>
      <c r="CT3" s="467"/>
      <c r="CU3" s="467"/>
      <c r="CV3" s="467"/>
      <c r="CW3" s="467"/>
      <c r="CX3" s="467"/>
    </row>
    <row r="4" spans="2:102">
      <c r="B4" s="467"/>
      <c r="C4" s="467"/>
      <c r="D4" s="467"/>
      <c r="E4" s="467"/>
      <c r="F4" s="467"/>
      <c r="G4" s="467"/>
      <c r="H4" s="467"/>
      <c r="I4" s="467"/>
      <c r="J4" s="467"/>
      <c r="K4" s="467"/>
      <c r="L4" s="467"/>
      <c r="M4" s="467"/>
      <c r="N4" s="467"/>
      <c r="O4" s="467"/>
      <c r="P4" s="467"/>
      <c r="Q4" s="467"/>
      <c r="R4" s="467"/>
      <c r="S4" s="467"/>
      <c r="T4" s="467"/>
      <c r="U4" s="467"/>
      <c r="V4" s="467"/>
      <c r="W4" s="467"/>
      <c r="X4" s="467"/>
      <c r="Y4" s="467"/>
      <c r="Z4" s="467"/>
      <c r="AA4" s="467"/>
      <c r="AB4" s="467"/>
      <c r="AC4" s="467"/>
      <c r="AD4" s="467"/>
      <c r="AE4" s="467"/>
      <c r="AF4" s="467"/>
      <c r="AG4" s="467"/>
      <c r="AH4" s="467"/>
      <c r="AI4" s="467"/>
      <c r="AJ4" s="467"/>
      <c r="AK4" s="467"/>
      <c r="AL4" s="467"/>
      <c r="AM4" s="467"/>
      <c r="AN4" s="467"/>
      <c r="AO4" s="467"/>
      <c r="AP4" s="467"/>
      <c r="AQ4" s="467"/>
      <c r="AR4" s="467"/>
      <c r="AS4" s="467"/>
      <c r="AT4" s="467"/>
      <c r="AU4" s="467"/>
      <c r="AV4" s="467"/>
      <c r="AW4" s="467"/>
      <c r="AX4" s="467"/>
      <c r="AY4" s="467"/>
      <c r="AZ4" s="467"/>
      <c r="BA4" s="467"/>
      <c r="BB4" s="467"/>
      <c r="BC4" s="467"/>
      <c r="BD4" s="467"/>
      <c r="BE4" s="467"/>
      <c r="BF4" s="467"/>
      <c r="BG4" s="467"/>
      <c r="BH4" s="467"/>
      <c r="BI4" s="467"/>
      <c r="BJ4" s="467"/>
      <c r="BK4" s="467"/>
      <c r="BL4" s="467"/>
      <c r="BM4" s="467"/>
      <c r="BN4" s="467"/>
      <c r="BO4" s="467"/>
      <c r="BP4" s="467"/>
      <c r="BQ4" s="467"/>
      <c r="BR4" s="467"/>
      <c r="BS4" s="467"/>
      <c r="BT4" s="467"/>
      <c r="BU4" s="467"/>
      <c r="BV4" s="467"/>
      <c r="BW4" s="467"/>
      <c r="BX4" s="467"/>
      <c r="BY4" s="467"/>
      <c r="BZ4" s="467"/>
      <c r="CA4" s="467"/>
      <c r="CB4" s="467"/>
      <c r="CC4" s="467"/>
      <c r="CD4" s="467"/>
      <c r="CE4" s="467"/>
      <c r="CF4" s="467"/>
      <c r="CG4" s="467"/>
      <c r="CH4" s="467"/>
      <c r="CI4" s="467"/>
      <c r="CJ4" s="467"/>
      <c r="CK4" s="467"/>
      <c r="CL4" s="467"/>
      <c r="CM4" s="467"/>
      <c r="CN4" s="467"/>
      <c r="CO4" s="467"/>
      <c r="CP4" s="467"/>
      <c r="CQ4" s="467"/>
      <c r="CR4" s="467"/>
      <c r="CS4" s="467"/>
      <c r="CT4" s="467"/>
      <c r="CU4" s="467"/>
      <c r="CV4" s="467"/>
      <c r="CW4" s="467"/>
      <c r="CX4" s="467"/>
    </row>
    <row r="5" spans="2:102" ht="12.75" thickBot="1">
      <c r="B5" s="467"/>
      <c r="C5" s="467"/>
      <c r="D5" s="467"/>
      <c r="E5" s="467"/>
      <c r="F5" s="467"/>
      <c r="G5" s="467"/>
      <c r="H5" s="467"/>
      <c r="I5" s="467"/>
      <c r="J5" s="467"/>
      <c r="K5" s="467"/>
      <c r="L5" s="467"/>
      <c r="M5" s="467"/>
      <c r="N5" s="467"/>
      <c r="O5" s="467"/>
      <c r="P5" s="467"/>
      <c r="Q5" s="467"/>
      <c r="R5" s="467"/>
      <c r="S5" s="467"/>
      <c r="T5" s="467"/>
      <c r="U5" s="467"/>
      <c r="V5" s="467"/>
      <c r="W5" s="467"/>
      <c r="X5" s="467"/>
      <c r="Y5" s="467"/>
      <c r="Z5" s="467"/>
      <c r="AA5" s="467"/>
      <c r="AB5" s="467"/>
      <c r="AC5" s="467"/>
      <c r="AD5" s="467"/>
      <c r="AE5" s="467"/>
      <c r="AF5" s="467"/>
      <c r="AG5" s="467"/>
      <c r="AH5" s="467"/>
      <c r="AI5" s="467"/>
      <c r="AJ5" s="467"/>
      <c r="AK5" s="467"/>
      <c r="AL5" s="467"/>
      <c r="AM5" s="467"/>
      <c r="AN5" s="467"/>
      <c r="AO5" s="467"/>
      <c r="AP5" s="467"/>
      <c r="AQ5" s="467"/>
      <c r="AR5" s="467"/>
      <c r="AS5" s="467"/>
      <c r="AT5" s="467"/>
      <c r="AU5" s="467"/>
      <c r="AV5" s="467"/>
      <c r="AW5" s="467"/>
      <c r="AX5" s="467"/>
      <c r="AY5" s="467"/>
      <c r="AZ5" s="467"/>
      <c r="BA5" s="467"/>
      <c r="BB5" s="467"/>
      <c r="BC5" s="467"/>
      <c r="BD5" s="467"/>
      <c r="BE5" s="467"/>
      <c r="BF5" s="467"/>
      <c r="BG5" s="467"/>
      <c r="BH5" s="467"/>
      <c r="BI5" s="467"/>
      <c r="BJ5" s="467"/>
      <c r="BK5" s="467"/>
      <c r="BL5" s="467"/>
      <c r="BM5" s="467"/>
      <c r="BN5" s="467"/>
      <c r="BO5" s="467"/>
      <c r="BP5" s="467"/>
      <c r="BQ5" s="467"/>
      <c r="BR5" s="467"/>
      <c r="BS5" s="467"/>
      <c r="BT5" s="467"/>
      <c r="BU5" s="467"/>
      <c r="BV5" s="467"/>
      <c r="BW5" s="467"/>
      <c r="BX5" s="467"/>
      <c r="BY5" s="467"/>
      <c r="BZ5" s="467"/>
      <c r="CA5" s="467"/>
      <c r="CB5" s="467"/>
      <c r="CC5" s="467"/>
      <c r="CD5" s="467"/>
      <c r="CE5" s="467"/>
      <c r="CF5" s="467"/>
      <c r="CG5" s="467"/>
      <c r="CH5" s="467"/>
      <c r="CI5" s="467"/>
      <c r="CJ5" s="467"/>
      <c r="CK5" s="467"/>
      <c r="CL5" s="467"/>
      <c r="CM5" s="467"/>
      <c r="CN5" s="467"/>
      <c r="CO5" s="467"/>
      <c r="CP5" s="467"/>
      <c r="CQ5" s="467"/>
      <c r="CR5" s="467"/>
      <c r="CS5" s="467"/>
      <c r="CT5" s="467"/>
      <c r="CU5" s="467"/>
      <c r="CV5" s="467"/>
      <c r="CW5" s="467"/>
      <c r="CX5" s="467"/>
    </row>
    <row r="6" spans="2:102">
      <c r="B6" s="469"/>
      <c r="C6" s="470"/>
      <c r="D6" s="470"/>
      <c r="E6" s="470"/>
      <c r="F6" s="470"/>
      <c r="G6" s="470"/>
      <c r="H6" s="470"/>
      <c r="I6" s="470"/>
      <c r="J6" s="470"/>
      <c r="K6" s="470"/>
      <c r="L6" s="470"/>
      <c r="M6" s="470"/>
      <c r="N6" s="471"/>
      <c r="O6" s="467"/>
      <c r="P6" s="467"/>
      <c r="Q6" s="467"/>
      <c r="R6" s="467"/>
      <c r="S6" s="467"/>
      <c r="T6" s="467"/>
      <c r="U6" s="467"/>
      <c r="V6" s="467"/>
      <c r="W6" s="467"/>
      <c r="X6" s="467"/>
      <c r="Y6" s="467"/>
      <c r="Z6" s="467"/>
      <c r="AA6" s="467"/>
      <c r="AB6" s="467"/>
      <c r="AC6" s="467"/>
      <c r="AD6" s="467"/>
      <c r="AE6" s="467"/>
      <c r="AF6" s="467"/>
      <c r="AG6" s="467"/>
      <c r="AH6" s="467"/>
      <c r="AI6" s="467"/>
      <c r="AJ6" s="467"/>
      <c r="AK6" s="467"/>
      <c r="AL6" s="467"/>
      <c r="AM6" s="467"/>
      <c r="AN6" s="467"/>
      <c r="AO6" s="467"/>
      <c r="AP6" s="467"/>
      <c r="AQ6" s="467"/>
      <c r="AR6" s="467"/>
      <c r="AS6" s="467"/>
      <c r="AT6" s="467"/>
      <c r="AU6" s="467"/>
      <c r="AV6" s="467"/>
      <c r="AW6" s="467"/>
      <c r="AX6" s="467"/>
      <c r="AY6" s="467"/>
      <c r="AZ6" s="467"/>
      <c r="BA6" s="467"/>
      <c r="BB6" s="467"/>
      <c r="BC6" s="467"/>
      <c r="BD6" s="467"/>
      <c r="BE6" s="467"/>
      <c r="BF6" s="467"/>
      <c r="BG6" s="467"/>
      <c r="BH6" s="467"/>
      <c r="BI6" s="467"/>
      <c r="BJ6" s="467"/>
      <c r="BK6" s="467"/>
      <c r="BL6" s="467"/>
      <c r="BM6" s="467"/>
      <c r="BN6" s="467"/>
      <c r="BO6" s="467"/>
      <c r="BP6" s="467"/>
      <c r="BQ6" s="467"/>
      <c r="BR6" s="467"/>
      <c r="BS6" s="467"/>
      <c r="BT6" s="467"/>
      <c r="BU6" s="467"/>
      <c r="BV6" s="467"/>
      <c r="BW6" s="467"/>
      <c r="BX6" s="467"/>
      <c r="BY6" s="467"/>
      <c r="BZ6" s="467"/>
      <c r="CA6" s="467"/>
      <c r="CB6" s="467"/>
      <c r="CC6" s="467"/>
      <c r="CD6" s="467"/>
      <c r="CE6" s="467"/>
      <c r="CF6" s="467"/>
      <c r="CG6" s="467"/>
      <c r="CH6" s="467"/>
      <c r="CI6" s="467"/>
      <c r="CJ6" s="467"/>
      <c r="CK6" s="467"/>
      <c r="CL6" s="467"/>
      <c r="CM6" s="467"/>
      <c r="CN6" s="467"/>
      <c r="CO6" s="467"/>
      <c r="CP6" s="467"/>
      <c r="CQ6" s="467"/>
      <c r="CR6" s="467"/>
      <c r="CS6" s="467"/>
      <c r="CT6" s="467"/>
      <c r="CU6" s="467"/>
      <c r="CV6" s="467"/>
      <c r="CW6" s="467"/>
      <c r="CX6" s="467"/>
    </row>
    <row r="7" spans="2:102">
      <c r="B7" s="472"/>
      <c r="C7" s="345" t="s">
        <v>557</v>
      </c>
      <c r="D7" s="61"/>
      <c r="E7" s="473"/>
      <c r="F7" s="476" t="s">
        <v>465</v>
      </c>
      <c r="G7" s="473"/>
      <c r="H7" s="474"/>
      <c r="I7" s="475"/>
      <c r="J7" s="476"/>
      <c r="K7" s="476" t="s">
        <v>949</v>
      </c>
      <c r="L7" s="476"/>
      <c r="M7" s="477"/>
      <c r="N7" s="478"/>
      <c r="O7" s="467"/>
      <c r="P7" s="467"/>
      <c r="Q7" s="467"/>
      <c r="R7" s="467"/>
      <c r="S7" s="467"/>
      <c r="T7" s="467"/>
      <c r="U7" s="467"/>
      <c r="V7" s="467"/>
      <c r="W7" s="467"/>
      <c r="X7" s="467"/>
      <c r="Y7" s="467"/>
      <c r="Z7" s="467"/>
      <c r="AA7" s="467"/>
      <c r="AB7" s="467"/>
      <c r="AC7" s="467"/>
      <c r="AD7" s="467"/>
      <c r="AE7" s="467"/>
      <c r="AF7" s="467"/>
      <c r="AG7" s="467"/>
      <c r="AH7" s="467"/>
      <c r="AI7" s="467"/>
      <c r="AJ7" s="467"/>
      <c r="AK7" s="467"/>
      <c r="AL7" s="467"/>
      <c r="AM7" s="467"/>
      <c r="AN7" s="467"/>
      <c r="AO7" s="467"/>
      <c r="AP7" s="467"/>
      <c r="AQ7" s="467"/>
      <c r="AR7" s="467"/>
      <c r="AS7" s="467"/>
      <c r="AT7" s="467"/>
      <c r="AU7" s="467"/>
      <c r="AV7" s="467"/>
      <c r="AW7" s="467"/>
      <c r="AX7" s="467"/>
      <c r="AY7" s="467"/>
      <c r="AZ7" s="467"/>
      <c r="BA7" s="467"/>
      <c r="BB7" s="467"/>
      <c r="BC7" s="467"/>
      <c r="BD7" s="467"/>
      <c r="BE7" s="467"/>
      <c r="BF7" s="467"/>
      <c r="BG7" s="467"/>
      <c r="BH7" s="467"/>
      <c r="BI7" s="467"/>
      <c r="BJ7" s="467"/>
      <c r="BK7" s="467"/>
      <c r="BL7" s="467"/>
      <c r="BM7" s="467"/>
      <c r="BN7" s="467"/>
      <c r="BO7" s="467"/>
      <c r="BP7" s="467"/>
      <c r="BQ7" s="467"/>
      <c r="BR7" s="467"/>
      <c r="BS7" s="467"/>
      <c r="BT7" s="467"/>
      <c r="BU7" s="467"/>
      <c r="BV7" s="467"/>
      <c r="BW7" s="467"/>
      <c r="BX7" s="467"/>
      <c r="BY7" s="467"/>
      <c r="BZ7" s="467"/>
      <c r="CA7" s="467"/>
      <c r="CB7" s="467"/>
      <c r="CC7" s="467"/>
      <c r="CD7" s="467"/>
      <c r="CE7" s="467"/>
      <c r="CF7" s="467"/>
      <c r="CG7" s="467"/>
      <c r="CH7" s="467"/>
      <c r="CI7" s="467"/>
      <c r="CJ7" s="467"/>
      <c r="CK7" s="467"/>
      <c r="CL7" s="467"/>
      <c r="CM7" s="467"/>
      <c r="CN7" s="467"/>
      <c r="CO7" s="467"/>
      <c r="CP7" s="467"/>
      <c r="CQ7" s="467"/>
      <c r="CR7" s="467"/>
      <c r="CS7" s="467"/>
      <c r="CT7" s="467"/>
      <c r="CU7" s="467"/>
      <c r="CV7" s="467"/>
      <c r="CW7" s="467"/>
      <c r="CX7" s="467"/>
    </row>
    <row r="8" spans="2:102">
      <c r="B8" s="472"/>
      <c r="C8" s="479"/>
      <c r="D8" s="79"/>
      <c r="E8" s="79"/>
      <c r="F8" s="480"/>
      <c r="G8" s="79"/>
      <c r="H8" s="79"/>
      <c r="I8" s="481"/>
      <c r="J8" s="481"/>
      <c r="K8" s="481"/>
      <c r="L8" s="481"/>
      <c r="M8" s="481"/>
      <c r="N8" s="478"/>
      <c r="O8" s="467"/>
      <c r="P8" s="467"/>
      <c r="Q8" s="467"/>
      <c r="R8" s="467"/>
      <c r="S8" s="467"/>
      <c r="T8" s="467"/>
      <c r="U8" s="467"/>
      <c r="V8" s="467"/>
      <c r="W8" s="467"/>
      <c r="X8" s="467"/>
      <c r="Y8" s="467"/>
      <c r="Z8" s="467"/>
      <c r="AA8" s="467"/>
      <c r="AB8" s="467"/>
      <c r="AC8" s="467"/>
      <c r="AD8" s="467"/>
      <c r="AE8" s="467"/>
      <c r="AF8" s="467"/>
      <c r="AG8" s="467"/>
      <c r="AH8" s="467"/>
      <c r="AI8" s="467"/>
      <c r="AJ8" s="467"/>
      <c r="AK8" s="467"/>
      <c r="AL8" s="467"/>
      <c r="AM8" s="467"/>
      <c r="AN8" s="467"/>
      <c r="AO8" s="467"/>
      <c r="AP8" s="467"/>
      <c r="AQ8" s="467"/>
      <c r="AR8" s="467"/>
      <c r="AS8" s="467"/>
      <c r="AT8" s="467"/>
      <c r="AU8" s="467"/>
      <c r="AV8" s="467"/>
      <c r="AW8" s="467"/>
      <c r="AX8" s="467"/>
      <c r="AY8" s="467"/>
      <c r="AZ8" s="467"/>
      <c r="BA8" s="467"/>
      <c r="BB8" s="467"/>
      <c r="BC8" s="467"/>
      <c r="BD8" s="467"/>
      <c r="BE8" s="467"/>
      <c r="BF8" s="467"/>
      <c r="BG8" s="467"/>
      <c r="BH8" s="467"/>
      <c r="BI8" s="467"/>
      <c r="BJ8" s="467"/>
      <c r="BK8" s="467"/>
      <c r="BL8" s="467"/>
      <c r="BM8" s="467"/>
      <c r="BN8" s="467"/>
      <c r="BO8" s="467"/>
      <c r="BP8" s="467"/>
      <c r="BQ8" s="467"/>
      <c r="BR8" s="467"/>
      <c r="BS8" s="467"/>
      <c r="BT8" s="467"/>
      <c r="BU8" s="467"/>
      <c r="BV8" s="467"/>
      <c r="BW8" s="467"/>
      <c r="BX8" s="467"/>
      <c r="BY8" s="467"/>
      <c r="BZ8" s="467"/>
      <c r="CA8" s="467"/>
      <c r="CB8" s="467"/>
      <c r="CC8" s="467"/>
      <c r="CD8" s="467"/>
      <c r="CE8" s="467"/>
      <c r="CF8" s="467"/>
      <c r="CG8" s="467"/>
      <c r="CH8" s="467"/>
      <c r="CI8" s="467"/>
      <c r="CJ8" s="467"/>
      <c r="CK8" s="467"/>
      <c r="CL8" s="467"/>
      <c r="CM8" s="467"/>
      <c r="CN8" s="467"/>
      <c r="CO8" s="467"/>
      <c r="CP8" s="467"/>
      <c r="CQ8" s="467"/>
      <c r="CR8" s="467"/>
      <c r="CS8" s="467"/>
      <c r="CT8" s="467"/>
      <c r="CU8" s="467"/>
      <c r="CV8" s="467"/>
      <c r="CW8" s="467"/>
      <c r="CX8" s="467"/>
    </row>
    <row r="9" spans="2:102">
      <c r="B9" s="472"/>
      <c r="C9" s="479"/>
      <c r="D9" s="482" t="str">
        <f t="shared" ref="D9:M9" si="0">+O40</f>
        <v>2026-27</v>
      </c>
      <c r="E9" s="482" t="str">
        <f t="shared" si="0"/>
        <v>2027-28</v>
      </c>
      <c r="F9" s="482" t="str">
        <f t="shared" si="0"/>
        <v>2028-29</v>
      </c>
      <c r="G9" s="482" t="str">
        <f t="shared" si="0"/>
        <v>2029-30</v>
      </c>
      <c r="H9" s="482" t="str">
        <f t="shared" si="0"/>
        <v>2030-31</v>
      </c>
      <c r="I9" s="482" t="str">
        <f t="shared" si="0"/>
        <v>2031-32</v>
      </c>
      <c r="J9" s="482" t="str">
        <f t="shared" si="0"/>
        <v>2032-33</v>
      </c>
      <c r="K9" s="482" t="str">
        <f t="shared" si="0"/>
        <v>2033-34</v>
      </c>
      <c r="L9" s="482" t="str">
        <f t="shared" si="0"/>
        <v>2034-35</v>
      </c>
      <c r="M9" s="482" t="str">
        <f t="shared" si="0"/>
        <v>2035-36</v>
      </c>
      <c r="N9" s="478"/>
      <c r="O9" s="467"/>
      <c r="P9" s="2219" t="s">
        <v>728</v>
      </c>
      <c r="Q9" s="2219"/>
      <c r="R9" s="1515"/>
      <c r="S9" s="2219" t="s">
        <v>1038</v>
      </c>
      <c r="T9" s="2219"/>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c r="AU9" s="467"/>
      <c r="AV9" s="467"/>
      <c r="AW9" s="467"/>
      <c r="AX9" s="467"/>
      <c r="AY9" s="467"/>
      <c r="AZ9" s="467"/>
      <c r="BA9" s="467"/>
      <c r="BB9" s="467"/>
      <c r="BC9" s="467"/>
      <c r="BD9" s="467"/>
      <c r="BE9" s="467"/>
      <c r="BF9" s="467"/>
      <c r="BG9" s="467"/>
      <c r="BH9" s="467"/>
      <c r="BI9" s="467"/>
      <c r="BJ9" s="467"/>
      <c r="BK9" s="467"/>
      <c r="BL9" s="467"/>
      <c r="BM9" s="467"/>
      <c r="BN9" s="467"/>
      <c r="BO9" s="467"/>
      <c r="BP9" s="467"/>
      <c r="BQ9" s="467"/>
      <c r="BR9" s="467"/>
      <c r="BS9" s="467"/>
      <c r="BT9" s="467"/>
      <c r="BU9" s="467"/>
      <c r="BV9" s="467"/>
      <c r="BW9" s="467"/>
      <c r="BX9" s="467"/>
      <c r="BY9" s="467"/>
      <c r="BZ9" s="467"/>
      <c r="CA9" s="467"/>
      <c r="CB9" s="467"/>
      <c r="CC9" s="467"/>
      <c r="CD9" s="467"/>
      <c r="CE9" s="467"/>
      <c r="CF9" s="467"/>
      <c r="CG9" s="467"/>
      <c r="CH9" s="467"/>
      <c r="CI9" s="467"/>
      <c r="CJ9" s="467"/>
      <c r="CK9" s="467"/>
      <c r="CL9" s="467"/>
      <c r="CM9" s="467"/>
      <c r="CN9" s="467"/>
      <c r="CO9" s="467"/>
      <c r="CP9" s="467"/>
      <c r="CQ9" s="467"/>
      <c r="CR9" s="467"/>
      <c r="CS9" s="467"/>
      <c r="CT9" s="467"/>
      <c r="CU9" s="467"/>
      <c r="CV9" s="467"/>
      <c r="CW9" s="467"/>
      <c r="CX9" s="467"/>
    </row>
    <row r="10" spans="2:102" ht="12" customHeight="1">
      <c r="B10" s="472"/>
      <c r="C10" s="483" t="s">
        <v>515</v>
      </c>
      <c r="D10" s="479"/>
      <c r="E10" s="479"/>
      <c r="F10" s="479"/>
      <c r="G10" s="479"/>
      <c r="H10" s="479"/>
      <c r="I10" s="479"/>
      <c r="J10" s="479"/>
      <c r="K10" s="479"/>
      <c r="L10" s="479"/>
      <c r="M10" s="479"/>
      <c r="N10" s="478"/>
      <c r="O10" s="467"/>
      <c r="P10" s="1516" t="s">
        <v>690</v>
      </c>
      <c r="Q10" s="1517" t="s">
        <v>862</v>
      </c>
      <c r="R10" s="1518"/>
      <c r="S10" s="1516" t="s">
        <v>690</v>
      </c>
      <c r="T10" s="1517" t="s">
        <v>862</v>
      </c>
      <c r="U10" s="467"/>
      <c r="V10" s="467"/>
      <c r="W10" s="467"/>
      <c r="X10" s="467"/>
      <c r="Y10" s="467"/>
      <c r="Z10" s="467"/>
      <c r="AA10" s="467"/>
      <c r="AB10" s="467"/>
      <c r="AC10" s="467"/>
      <c r="AD10" s="467"/>
      <c r="AE10" s="467"/>
      <c r="AF10" s="467"/>
      <c r="AG10" s="467"/>
      <c r="AH10" s="467"/>
      <c r="AI10" s="467"/>
      <c r="AJ10" s="467"/>
      <c r="AK10" s="467"/>
      <c r="AL10" s="467"/>
      <c r="AM10" s="467"/>
      <c r="AN10" s="467"/>
      <c r="AO10" s="467"/>
      <c r="AP10" s="467"/>
      <c r="AQ10" s="467"/>
      <c r="AR10" s="467"/>
      <c r="AS10" s="467"/>
      <c r="AT10" s="467"/>
      <c r="AU10" s="467"/>
      <c r="AV10" s="467"/>
      <c r="AW10" s="467"/>
      <c r="AX10" s="467"/>
      <c r="AY10" s="467"/>
      <c r="AZ10" s="467"/>
      <c r="BA10" s="467"/>
      <c r="BB10" s="467"/>
      <c r="BC10" s="467"/>
      <c r="BD10" s="467"/>
      <c r="BE10" s="467"/>
      <c r="BF10" s="467"/>
      <c r="BG10" s="467"/>
      <c r="BH10" s="467"/>
      <c r="BI10" s="467"/>
      <c r="BJ10" s="467"/>
      <c r="BK10" s="467"/>
      <c r="BL10" s="467"/>
      <c r="BM10" s="467"/>
      <c r="BN10" s="467"/>
      <c r="BO10" s="467"/>
      <c r="BP10" s="467"/>
      <c r="BQ10" s="467"/>
      <c r="BR10" s="467"/>
      <c r="BS10" s="467"/>
      <c r="BT10" s="467"/>
      <c r="BU10" s="467"/>
      <c r="BV10" s="467"/>
      <c r="BW10" s="467"/>
      <c r="BX10" s="467"/>
      <c r="BY10" s="467"/>
      <c r="BZ10" s="467"/>
      <c r="CA10" s="467"/>
      <c r="CB10" s="467"/>
      <c r="CC10" s="467"/>
      <c r="CD10" s="467"/>
      <c r="CE10" s="467"/>
      <c r="CF10" s="467"/>
      <c r="CG10" s="467"/>
      <c r="CH10" s="467"/>
      <c r="CI10" s="467"/>
      <c r="CJ10" s="467"/>
      <c r="CK10" s="467"/>
      <c r="CL10" s="467"/>
      <c r="CM10" s="467"/>
      <c r="CN10" s="467"/>
      <c r="CO10" s="467"/>
      <c r="CP10" s="467"/>
      <c r="CQ10" s="467"/>
      <c r="CR10" s="467"/>
      <c r="CS10" s="467"/>
      <c r="CT10" s="467"/>
      <c r="CU10" s="467"/>
      <c r="CV10" s="467"/>
      <c r="CW10" s="467"/>
      <c r="CX10" s="467"/>
    </row>
    <row r="11" spans="2:102">
      <c r="B11" s="472"/>
      <c r="C11" s="484" t="s">
        <v>705</v>
      </c>
      <c r="D11" s="485">
        <f t="shared" ref="D11:M11" si="1">+SUMIF($F$43:$F$1023,"Renewals",AV$43:AV$1023)</f>
        <v>13.190000000000001</v>
      </c>
      <c r="E11" s="485">
        <f t="shared" si="1"/>
        <v>11.58</v>
      </c>
      <c r="F11" s="485">
        <f t="shared" si="1"/>
        <v>10.99</v>
      </c>
      <c r="G11" s="485">
        <f t="shared" si="1"/>
        <v>10.96</v>
      </c>
      <c r="H11" s="485">
        <f t="shared" si="1"/>
        <v>11.790000000000001</v>
      </c>
      <c r="I11" s="485">
        <f t="shared" si="1"/>
        <v>16.3</v>
      </c>
      <c r="J11" s="485">
        <f t="shared" si="1"/>
        <v>16.3</v>
      </c>
      <c r="K11" s="485">
        <f t="shared" si="1"/>
        <v>16.3</v>
      </c>
      <c r="L11" s="485">
        <f t="shared" si="1"/>
        <v>16.3</v>
      </c>
      <c r="M11" s="485">
        <f t="shared" si="1"/>
        <v>16.3</v>
      </c>
      <c r="N11" s="478"/>
      <c r="O11" s="467" t="s">
        <v>1053</v>
      </c>
      <c r="P11" s="1519">
        <f t="shared" ref="P11:P16" si="2">SUM(D11:H11)</f>
        <v>58.510000000000005</v>
      </c>
      <c r="Q11" s="1520">
        <f t="shared" ref="Q11:Q16" si="3">IFERROR(P11/$P$16,"-")</f>
        <v>0.20916528608402368</v>
      </c>
      <c r="R11" s="1515"/>
      <c r="S11" s="1519">
        <f t="shared" ref="S11:S16" si="4">SUM(I11:M11)</f>
        <v>81.5</v>
      </c>
      <c r="T11" s="1520">
        <f t="shared" ref="T11:T16" si="5">IFERROR(S11/$S$16,"-")</f>
        <v>0.2739109100563954</v>
      </c>
      <c r="U11" s="467"/>
      <c r="V11" s="467"/>
      <c r="W11" s="467"/>
      <c r="X11" s="467"/>
      <c r="Y11" s="467"/>
      <c r="Z11" s="467"/>
      <c r="AA11" s="467"/>
      <c r="AB11" s="467"/>
      <c r="AC11" s="467"/>
      <c r="AD11" s="467"/>
      <c r="AE11" s="467"/>
      <c r="AF11" s="467"/>
      <c r="AG11" s="467"/>
      <c r="AH11" s="467"/>
      <c r="AI11" s="467"/>
      <c r="AJ11" s="467"/>
      <c r="AK11" s="467"/>
      <c r="AL11" s="467"/>
      <c r="AM11" s="467"/>
      <c r="AN11" s="467"/>
      <c r="AO11" s="467"/>
      <c r="AP11" s="467"/>
      <c r="AQ11" s="467"/>
      <c r="AR11" s="467"/>
      <c r="AS11" s="467"/>
      <c r="AT11" s="467"/>
      <c r="AU11" s="467"/>
      <c r="AV11" s="467"/>
      <c r="AW11" s="467"/>
      <c r="AX11" s="467"/>
      <c r="AY11" s="467"/>
      <c r="AZ11" s="467"/>
      <c r="BA11" s="467"/>
      <c r="BB11" s="467"/>
      <c r="BC11" s="467"/>
      <c r="BD11" s="467"/>
      <c r="BE11" s="467"/>
      <c r="BF11" s="467"/>
      <c r="BG11" s="467"/>
      <c r="BH11" s="467"/>
      <c r="BI11" s="467"/>
      <c r="BJ11" s="467"/>
      <c r="BK11" s="467"/>
      <c r="BL11" s="467"/>
      <c r="BM11" s="467"/>
      <c r="BN11" s="467"/>
      <c r="BO11" s="467"/>
      <c r="BP11" s="467"/>
      <c r="BQ11" s="467"/>
      <c r="BR11" s="467"/>
      <c r="BS11" s="467"/>
      <c r="BT11" s="467"/>
      <c r="BU11" s="467"/>
      <c r="BV11" s="467"/>
      <c r="BW11" s="467"/>
      <c r="BX11" s="467"/>
      <c r="BY11" s="467"/>
      <c r="BZ11" s="467"/>
      <c r="CA11" s="467"/>
      <c r="CB11" s="467"/>
      <c r="CC11" s="467"/>
      <c r="CD11" s="467"/>
      <c r="CE11" s="467"/>
      <c r="CF11" s="467"/>
      <c r="CG11" s="467"/>
      <c r="CH11" s="467"/>
      <c r="CI11" s="467"/>
      <c r="CJ11" s="467"/>
      <c r="CK11" s="467"/>
      <c r="CL11" s="467"/>
      <c r="CM11" s="467"/>
      <c r="CN11" s="467"/>
      <c r="CO11" s="467"/>
      <c r="CP11" s="467"/>
      <c r="CQ11" s="467"/>
      <c r="CR11" s="467"/>
      <c r="CS11" s="467"/>
      <c r="CT11" s="467"/>
      <c r="CU11" s="467"/>
      <c r="CV11" s="467"/>
      <c r="CW11" s="467"/>
      <c r="CX11" s="467"/>
    </row>
    <row r="12" spans="2:102">
      <c r="B12" s="472"/>
      <c r="C12" s="484" t="s">
        <v>706</v>
      </c>
      <c r="D12" s="485">
        <f t="shared" ref="D12:M12" si="6">+SUMIF($F$43:$F$1023,"Growth",AV$43:AV$1023)</f>
        <v>12.167030000000004</v>
      </c>
      <c r="E12" s="485">
        <f t="shared" si="6"/>
        <v>8.18</v>
      </c>
      <c r="F12" s="485">
        <f t="shared" si="6"/>
        <v>5.3060000000000009</v>
      </c>
      <c r="G12" s="485">
        <f t="shared" si="6"/>
        <v>17.382000000000005</v>
      </c>
      <c r="H12" s="485">
        <f t="shared" si="6"/>
        <v>36.409999999999997</v>
      </c>
      <c r="I12" s="485">
        <f t="shared" si="6"/>
        <v>39.213999999999999</v>
      </c>
      <c r="J12" s="485">
        <f t="shared" si="6"/>
        <v>37.86</v>
      </c>
      <c r="K12" s="485">
        <f t="shared" si="6"/>
        <v>28.251000000000001</v>
      </c>
      <c r="L12" s="485">
        <f t="shared" si="6"/>
        <v>39.806999999999995</v>
      </c>
      <c r="M12" s="485">
        <f t="shared" si="6"/>
        <v>29.725999999999999</v>
      </c>
      <c r="N12" s="478"/>
      <c r="O12" s="467" t="s">
        <v>1053</v>
      </c>
      <c r="P12" s="1521">
        <f t="shared" si="2"/>
        <v>79.445030000000003</v>
      </c>
      <c r="Q12" s="1522">
        <f t="shared" si="3"/>
        <v>0.2840051688241983</v>
      </c>
      <c r="R12" s="1515"/>
      <c r="S12" s="1521">
        <f t="shared" si="4"/>
        <v>174.858</v>
      </c>
      <c r="T12" s="1522">
        <f t="shared" si="5"/>
        <v>0.58767501730848082</v>
      </c>
      <c r="U12" s="467"/>
      <c r="V12" s="467"/>
      <c r="W12" s="467"/>
      <c r="X12" s="467"/>
      <c r="Y12" s="467"/>
      <c r="Z12" s="467"/>
      <c r="AA12" s="467"/>
      <c r="AB12" s="467"/>
      <c r="AC12" s="467"/>
      <c r="AD12" s="467"/>
      <c r="AE12" s="467"/>
      <c r="AF12" s="467"/>
      <c r="AG12" s="467"/>
      <c r="AH12" s="467"/>
      <c r="AI12" s="467"/>
      <c r="AJ12" s="467"/>
      <c r="AK12" s="467"/>
      <c r="AL12" s="467"/>
      <c r="AM12" s="467"/>
      <c r="AN12" s="467"/>
      <c r="AO12" s="467"/>
      <c r="AP12" s="467"/>
      <c r="AQ12" s="467"/>
      <c r="AR12" s="467"/>
      <c r="AS12" s="467"/>
      <c r="AT12" s="467"/>
      <c r="AU12" s="467"/>
      <c r="AV12" s="467"/>
      <c r="AW12" s="467"/>
      <c r="AX12" s="467"/>
      <c r="AY12" s="467"/>
      <c r="AZ12" s="467"/>
      <c r="BA12" s="467"/>
      <c r="BB12" s="467"/>
      <c r="BC12" s="467"/>
      <c r="BD12" s="467"/>
      <c r="BE12" s="467"/>
      <c r="BF12" s="467"/>
      <c r="BG12" s="467"/>
      <c r="BH12" s="467"/>
      <c r="BI12" s="467"/>
      <c r="BJ12" s="467"/>
      <c r="BK12" s="467"/>
      <c r="BL12" s="467"/>
      <c r="BM12" s="467"/>
      <c r="BN12" s="467"/>
      <c r="BO12" s="467"/>
      <c r="BP12" s="467"/>
      <c r="BQ12" s="467"/>
      <c r="BR12" s="467"/>
      <c r="BS12" s="467"/>
      <c r="BT12" s="467"/>
      <c r="BU12" s="467"/>
      <c r="BV12" s="467"/>
      <c r="BW12" s="467"/>
      <c r="BX12" s="467"/>
      <c r="BY12" s="467"/>
      <c r="BZ12" s="467"/>
      <c r="CA12" s="467"/>
      <c r="CB12" s="467"/>
      <c r="CC12" s="467"/>
      <c r="CD12" s="467"/>
      <c r="CE12" s="467"/>
      <c r="CF12" s="467"/>
      <c r="CG12" s="467"/>
      <c r="CH12" s="467"/>
      <c r="CI12" s="467"/>
      <c r="CJ12" s="467"/>
      <c r="CK12" s="467"/>
      <c r="CL12" s="467"/>
      <c r="CM12" s="467"/>
      <c r="CN12" s="467"/>
      <c r="CO12" s="467"/>
      <c r="CP12" s="467"/>
      <c r="CQ12" s="467"/>
      <c r="CR12" s="467"/>
      <c r="CS12" s="467"/>
      <c r="CT12" s="467"/>
      <c r="CU12" s="467"/>
      <c r="CV12" s="467"/>
      <c r="CW12" s="467"/>
      <c r="CX12" s="467"/>
    </row>
    <row r="13" spans="2:102">
      <c r="B13" s="472"/>
      <c r="C13" s="484" t="s">
        <v>541</v>
      </c>
      <c r="D13" s="485">
        <f t="shared" ref="D13:M13" si="7">+SUMIF($F$43:$F$1023,"Improvements / Compliance",AV$43:AV$1023)</f>
        <v>23.450372999999999</v>
      </c>
      <c r="E13" s="485">
        <f t="shared" si="7"/>
        <v>31.0442</v>
      </c>
      <c r="F13" s="485">
        <f t="shared" si="7"/>
        <v>22.981900000000003</v>
      </c>
      <c r="G13" s="485">
        <f t="shared" si="7"/>
        <v>18.176827000000003</v>
      </c>
      <c r="H13" s="485">
        <f t="shared" si="7"/>
        <v>19.3826</v>
      </c>
      <c r="I13" s="485">
        <f t="shared" si="7"/>
        <v>4.2089999999999996</v>
      </c>
      <c r="J13" s="485">
        <f t="shared" si="7"/>
        <v>3.2090000000000001</v>
      </c>
      <c r="K13" s="485">
        <f t="shared" si="7"/>
        <v>3.2090000000000001</v>
      </c>
      <c r="L13" s="485">
        <f t="shared" si="7"/>
        <v>3.2589999999999999</v>
      </c>
      <c r="M13" s="485">
        <f t="shared" si="7"/>
        <v>3.2589999999999999</v>
      </c>
      <c r="N13" s="478"/>
      <c r="O13" s="467" t="s">
        <v>1053</v>
      </c>
      <c r="P13" s="1521">
        <f t="shared" si="2"/>
        <v>115.0359</v>
      </c>
      <c r="Q13" s="1522">
        <f t="shared" si="3"/>
        <v>0.4112376847279634</v>
      </c>
      <c r="R13" s="1515"/>
      <c r="S13" s="1521">
        <f t="shared" si="4"/>
        <v>17.145</v>
      </c>
      <c r="T13" s="1522">
        <f t="shared" si="5"/>
        <v>5.7622117213704277E-2</v>
      </c>
      <c r="U13" s="467"/>
      <c r="V13" s="467"/>
      <c r="W13" s="467"/>
      <c r="X13" s="467"/>
      <c r="Y13" s="467"/>
      <c r="Z13" s="467"/>
      <c r="AA13" s="467"/>
      <c r="AB13" s="467"/>
      <c r="AC13" s="467"/>
      <c r="AD13" s="467"/>
      <c r="AE13" s="467"/>
      <c r="AF13" s="467"/>
      <c r="AG13" s="467"/>
      <c r="AH13" s="467"/>
      <c r="AI13" s="467"/>
      <c r="AJ13" s="467"/>
      <c r="AK13" s="467"/>
      <c r="AL13" s="467"/>
      <c r="AM13" s="467"/>
      <c r="AN13" s="467"/>
      <c r="AO13" s="467"/>
      <c r="AP13" s="467"/>
      <c r="AQ13" s="467"/>
      <c r="AR13" s="467"/>
      <c r="AS13" s="467"/>
      <c r="AT13" s="467"/>
      <c r="AU13" s="467"/>
      <c r="AV13" s="467"/>
      <c r="AW13" s="467"/>
      <c r="AX13" s="467"/>
      <c r="AY13" s="467"/>
      <c r="AZ13" s="467"/>
      <c r="BA13" s="467"/>
      <c r="BB13" s="467"/>
      <c r="BC13" s="467"/>
      <c r="BD13" s="467"/>
      <c r="BE13" s="467"/>
      <c r="BF13" s="467"/>
      <c r="BG13" s="467"/>
      <c r="BH13" s="467"/>
      <c r="BI13" s="467"/>
      <c r="BJ13" s="467"/>
      <c r="BK13" s="467"/>
      <c r="BL13" s="467"/>
      <c r="BM13" s="467"/>
      <c r="BN13" s="467"/>
      <c r="BO13" s="467"/>
      <c r="BP13" s="467"/>
      <c r="BQ13" s="467"/>
      <c r="BR13" s="467"/>
      <c r="BS13" s="467"/>
      <c r="BT13" s="467"/>
      <c r="BU13" s="467"/>
      <c r="BV13" s="467"/>
      <c r="BW13" s="467"/>
      <c r="BX13" s="467"/>
      <c r="BY13" s="467"/>
      <c r="BZ13" s="467"/>
      <c r="CA13" s="467"/>
      <c r="CB13" s="467"/>
      <c r="CC13" s="467"/>
      <c r="CD13" s="467"/>
      <c r="CE13" s="467"/>
      <c r="CF13" s="467"/>
      <c r="CG13" s="467"/>
      <c r="CH13" s="467"/>
      <c r="CI13" s="467"/>
      <c r="CJ13" s="467"/>
      <c r="CK13" s="467"/>
      <c r="CL13" s="467"/>
      <c r="CM13" s="467"/>
      <c r="CN13" s="467"/>
      <c r="CO13" s="467"/>
      <c r="CP13" s="467"/>
      <c r="CQ13" s="467"/>
      <c r="CR13" s="467"/>
      <c r="CS13" s="467"/>
      <c r="CT13" s="467"/>
      <c r="CU13" s="467"/>
      <c r="CV13" s="467"/>
      <c r="CW13" s="467"/>
      <c r="CX13" s="467"/>
    </row>
    <row r="14" spans="2:102">
      <c r="B14" s="472"/>
      <c r="C14" s="484" t="s">
        <v>707</v>
      </c>
      <c r="D14" s="485">
        <f>+Z42</f>
        <v>1</v>
      </c>
      <c r="E14" s="485">
        <f t="shared" ref="E14:M14" si="8">+AA42</f>
        <v>3.0949999999999998</v>
      </c>
      <c r="F14" s="485">
        <f t="shared" si="8"/>
        <v>0.40500000000000003</v>
      </c>
      <c r="G14" s="485">
        <f t="shared" si="8"/>
        <v>0</v>
      </c>
      <c r="H14" s="485">
        <f t="shared" si="8"/>
        <v>0</v>
      </c>
      <c r="I14" s="485">
        <f t="shared" si="8"/>
        <v>0</v>
      </c>
      <c r="J14" s="485">
        <f t="shared" si="8"/>
        <v>0</v>
      </c>
      <c r="K14" s="485">
        <f t="shared" si="8"/>
        <v>0</v>
      </c>
      <c r="L14" s="485">
        <f t="shared" si="8"/>
        <v>0</v>
      </c>
      <c r="M14" s="485">
        <f t="shared" si="8"/>
        <v>0</v>
      </c>
      <c r="N14" s="478"/>
      <c r="O14" s="467" t="s">
        <v>1053</v>
      </c>
      <c r="P14" s="1521">
        <f t="shared" si="2"/>
        <v>4.5</v>
      </c>
      <c r="Q14" s="1522">
        <f t="shared" si="3"/>
        <v>1.6086887495780321E-2</v>
      </c>
      <c r="R14" s="1515"/>
      <c r="S14" s="1521">
        <f t="shared" si="4"/>
        <v>0</v>
      </c>
      <c r="T14" s="1522">
        <f t="shared" si="5"/>
        <v>0</v>
      </c>
      <c r="U14" s="467"/>
      <c r="V14" s="467"/>
      <c r="W14" s="467"/>
      <c r="X14" s="467"/>
      <c r="Y14" s="467"/>
      <c r="Z14" s="467"/>
      <c r="AA14" s="467"/>
      <c r="AB14" s="467"/>
      <c r="AC14" s="467"/>
      <c r="AD14" s="467"/>
      <c r="AE14" s="467"/>
      <c r="AF14" s="467"/>
      <c r="AG14" s="467"/>
      <c r="AH14" s="467"/>
      <c r="AI14" s="467"/>
      <c r="AJ14" s="467"/>
      <c r="AK14" s="467"/>
      <c r="AL14" s="467"/>
      <c r="AM14" s="467"/>
      <c r="AN14" s="467"/>
      <c r="AO14" s="467"/>
      <c r="AP14" s="467"/>
      <c r="AQ14" s="467"/>
      <c r="AR14" s="467"/>
      <c r="AS14" s="467"/>
      <c r="AT14" s="467"/>
      <c r="AU14" s="467"/>
      <c r="AV14" s="467"/>
      <c r="AW14" s="467"/>
      <c r="AX14" s="467"/>
      <c r="AY14" s="467"/>
      <c r="AZ14" s="467"/>
      <c r="BA14" s="467"/>
      <c r="BB14" s="467"/>
      <c r="BC14" s="467"/>
      <c r="BD14" s="467"/>
      <c r="BE14" s="467"/>
      <c r="BF14" s="467"/>
      <c r="BG14" s="467"/>
      <c r="BH14" s="467"/>
      <c r="BI14" s="467"/>
      <c r="BJ14" s="467"/>
      <c r="BK14" s="467"/>
      <c r="BL14" s="467"/>
      <c r="BM14" s="467"/>
      <c r="BN14" s="467"/>
      <c r="BO14" s="467"/>
      <c r="BP14" s="467"/>
      <c r="BQ14" s="467"/>
      <c r="BR14" s="467"/>
      <c r="BS14" s="467"/>
      <c r="BT14" s="467"/>
      <c r="BU14" s="467"/>
      <c r="BV14" s="467"/>
      <c r="BW14" s="467"/>
      <c r="BX14" s="467"/>
      <c r="BY14" s="467"/>
      <c r="BZ14" s="467"/>
      <c r="CA14" s="467"/>
      <c r="CB14" s="467"/>
      <c r="CC14" s="467"/>
      <c r="CD14" s="467"/>
      <c r="CE14" s="467"/>
      <c r="CF14" s="467"/>
      <c r="CG14" s="467"/>
      <c r="CH14" s="467"/>
      <c r="CI14" s="467"/>
      <c r="CJ14" s="467"/>
      <c r="CK14" s="467"/>
      <c r="CL14" s="467"/>
      <c r="CM14" s="467"/>
      <c r="CN14" s="467"/>
      <c r="CO14" s="467"/>
      <c r="CP14" s="467"/>
      <c r="CQ14" s="467"/>
      <c r="CR14" s="467"/>
      <c r="CS14" s="467"/>
      <c r="CT14" s="467"/>
      <c r="CU14" s="467"/>
      <c r="CV14" s="467"/>
      <c r="CW14" s="467"/>
      <c r="CX14" s="467"/>
    </row>
    <row r="15" spans="2:102">
      <c r="B15" s="472"/>
      <c r="C15" s="484" t="s">
        <v>708</v>
      </c>
      <c r="D15" s="485">
        <f>+AK42</f>
        <v>4.3159999999999998</v>
      </c>
      <c r="E15" s="485">
        <f t="shared" ref="E15:M15" si="9">+AL42</f>
        <v>4.38</v>
      </c>
      <c r="F15" s="485">
        <f t="shared" si="9"/>
        <v>4.4459999999999997</v>
      </c>
      <c r="G15" s="485">
        <f t="shared" si="9"/>
        <v>4.5140000000000002</v>
      </c>
      <c r="H15" s="485">
        <f t="shared" si="9"/>
        <v>4.5839999999999996</v>
      </c>
      <c r="I15" s="485">
        <f t="shared" si="9"/>
        <v>4.6559999999999997</v>
      </c>
      <c r="J15" s="485">
        <f t="shared" si="9"/>
        <v>4.7300000000000004</v>
      </c>
      <c r="K15" s="485">
        <f t="shared" si="9"/>
        <v>4.806</v>
      </c>
      <c r="L15" s="485">
        <f t="shared" si="9"/>
        <v>4.883</v>
      </c>
      <c r="M15" s="485">
        <f t="shared" si="9"/>
        <v>4.9640000000000004</v>
      </c>
      <c r="N15" s="478"/>
      <c r="O15" s="467" t="s">
        <v>1053</v>
      </c>
      <c r="P15" s="1521">
        <f t="shared" si="2"/>
        <v>22.24</v>
      </c>
      <c r="Q15" s="1522">
        <f t="shared" si="3"/>
        <v>7.950497286803429E-2</v>
      </c>
      <c r="R15" s="1515"/>
      <c r="S15" s="1521">
        <f t="shared" si="4"/>
        <v>24.039000000000001</v>
      </c>
      <c r="T15" s="1522">
        <f t="shared" si="5"/>
        <v>8.0791955421419495E-2</v>
      </c>
      <c r="U15" s="467"/>
      <c r="V15" s="467"/>
      <c r="W15" s="467"/>
      <c r="X15" s="467"/>
      <c r="Y15" s="467"/>
      <c r="Z15" s="467"/>
      <c r="AA15" s="467"/>
      <c r="AB15" s="467"/>
      <c r="AC15" s="467"/>
      <c r="AD15" s="467"/>
      <c r="AE15" s="467"/>
      <c r="AF15" s="467"/>
      <c r="AG15" s="467"/>
      <c r="AH15" s="467"/>
      <c r="AI15" s="467"/>
      <c r="AJ15" s="467"/>
      <c r="AK15" s="467"/>
      <c r="AL15" s="467"/>
      <c r="AM15" s="467"/>
      <c r="AN15" s="467"/>
      <c r="AO15" s="467"/>
      <c r="AP15" s="467"/>
      <c r="AQ15" s="467"/>
      <c r="AR15" s="467"/>
      <c r="AS15" s="467"/>
      <c r="AT15" s="467"/>
      <c r="AU15" s="467"/>
      <c r="AV15" s="467"/>
      <c r="AW15" s="467"/>
      <c r="AX15" s="467"/>
      <c r="AY15" s="467"/>
      <c r="AZ15" s="467"/>
      <c r="BA15" s="467"/>
      <c r="BB15" s="467"/>
      <c r="BC15" s="467"/>
      <c r="BD15" s="467"/>
      <c r="BE15" s="467"/>
      <c r="BF15" s="467"/>
      <c r="BG15" s="467"/>
      <c r="BH15" s="467"/>
      <c r="BI15" s="467"/>
      <c r="BJ15" s="467"/>
      <c r="BK15" s="467"/>
      <c r="BL15" s="467"/>
      <c r="BM15" s="467"/>
      <c r="BN15" s="467"/>
      <c r="BO15" s="467"/>
      <c r="BP15" s="467"/>
      <c r="BQ15" s="467"/>
      <c r="BR15" s="467"/>
      <c r="BS15" s="467"/>
      <c r="BT15" s="467"/>
      <c r="BU15" s="467"/>
      <c r="BV15" s="467"/>
      <c r="BW15" s="467"/>
      <c r="BX15" s="467"/>
      <c r="BY15" s="467"/>
      <c r="BZ15" s="467"/>
      <c r="CA15" s="467"/>
      <c r="CB15" s="467"/>
      <c r="CC15" s="467"/>
      <c r="CD15" s="467"/>
      <c r="CE15" s="467"/>
      <c r="CF15" s="467"/>
      <c r="CG15" s="467"/>
      <c r="CH15" s="467"/>
      <c r="CI15" s="467"/>
      <c r="CJ15" s="467"/>
      <c r="CK15" s="467"/>
      <c r="CL15" s="467"/>
      <c r="CM15" s="467"/>
      <c r="CN15" s="467"/>
      <c r="CO15" s="467"/>
      <c r="CP15" s="467"/>
      <c r="CQ15" s="467"/>
      <c r="CR15" s="467"/>
      <c r="CS15" s="467"/>
      <c r="CT15" s="467"/>
      <c r="CU15" s="467"/>
      <c r="CV15" s="467"/>
      <c r="CW15" s="467"/>
      <c r="CX15" s="467"/>
    </row>
    <row r="16" spans="2:102" ht="12.75" thickBot="1">
      <c r="B16" s="472"/>
      <c r="C16" s="486" t="s">
        <v>517</v>
      </c>
      <c r="D16" s="487">
        <f>SUM(D11:D15)</f>
        <v>54.12340300000001</v>
      </c>
      <c r="E16" s="487">
        <f t="shared" ref="E16:M16" si="10">SUM(E11:E15)</f>
        <v>58.279199999999996</v>
      </c>
      <c r="F16" s="487">
        <f t="shared" si="10"/>
        <v>44.128900000000002</v>
      </c>
      <c r="G16" s="487">
        <f t="shared" si="10"/>
        <v>51.032827000000012</v>
      </c>
      <c r="H16" s="1982">
        <f t="shared" si="10"/>
        <v>72.166600000000003</v>
      </c>
      <c r="I16" s="487">
        <f t="shared" si="10"/>
        <v>64.379000000000005</v>
      </c>
      <c r="J16" s="487">
        <f t="shared" si="10"/>
        <v>62.099000000000004</v>
      </c>
      <c r="K16" s="487">
        <f t="shared" si="10"/>
        <v>52.566000000000003</v>
      </c>
      <c r="L16" s="487">
        <f t="shared" si="10"/>
        <v>64.248999999999995</v>
      </c>
      <c r="M16" s="487">
        <f t="shared" si="10"/>
        <v>54.248999999999995</v>
      </c>
      <c r="N16" s="478"/>
      <c r="O16" s="467" t="s">
        <v>1053</v>
      </c>
      <c r="P16" s="1521">
        <f t="shared" si="2"/>
        <v>279.73093</v>
      </c>
      <c r="Q16" s="1522">
        <f t="shared" si="3"/>
        <v>1</v>
      </c>
      <c r="R16" s="1515"/>
      <c r="S16" s="1521">
        <f t="shared" si="4"/>
        <v>297.54200000000003</v>
      </c>
      <c r="T16" s="1522">
        <f t="shared" si="5"/>
        <v>1</v>
      </c>
      <c r="U16" s="467"/>
      <c r="V16" s="467"/>
      <c r="W16" s="467"/>
      <c r="X16" s="467"/>
      <c r="Y16" s="467"/>
      <c r="Z16" s="467"/>
      <c r="AA16" s="467"/>
      <c r="AB16" s="467"/>
      <c r="AC16" s="467"/>
      <c r="AD16" s="467"/>
      <c r="AE16" s="467"/>
      <c r="AF16" s="467"/>
      <c r="AG16" s="467"/>
      <c r="AH16" s="467"/>
      <c r="AI16" s="467"/>
      <c r="AJ16" s="467"/>
      <c r="AK16" s="467"/>
      <c r="AL16" s="467"/>
      <c r="AM16" s="467"/>
      <c r="AN16" s="467"/>
      <c r="AO16" s="467"/>
      <c r="AP16" s="467"/>
      <c r="AQ16" s="467"/>
      <c r="AR16" s="467"/>
      <c r="AS16" s="467"/>
      <c r="AT16" s="467"/>
      <c r="AU16" s="467"/>
      <c r="AV16" s="467"/>
      <c r="AW16" s="467"/>
      <c r="AX16" s="467"/>
      <c r="AY16" s="467"/>
      <c r="AZ16" s="467"/>
      <c r="BA16" s="467"/>
      <c r="BB16" s="467"/>
      <c r="BC16" s="467"/>
      <c r="BD16" s="467"/>
      <c r="BE16" s="467"/>
      <c r="BF16" s="467"/>
      <c r="BG16" s="467"/>
      <c r="BH16" s="467"/>
      <c r="BI16" s="467"/>
      <c r="BJ16" s="467"/>
      <c r="BK16" s="467"/>
      <c r="BL16" s="467"/>
      <c r="BM16" s="467"/>
      <c r="BN16" s="467"/>
      <c r="BO16" s="467"/>
      <c r="BP16" s="467"/>
      <c r="BQ16" s="467"/>
      <c r="BR16" s="467"/>
      <c r="BS16" s="467"/>
      <c r="BT16" s="467"/>
      <c r="BU16" s="467"/>
      <c r="BV16" s="467"/>
      <c r="BW16" s="467"/>
      <c r="BX16" s="467"/>
      <c r="BY16" s="467"/>
      <c r="BZ16" s="467"/>
      <c r="CA16" s="467"/>
      <c r="CB16" s="467"/>
      <c r="CC16" s="467"/>
      <c r="CD16" s="467"/>
      <c r="CE16" s="467"/>
      <c r="CF16" s="467"/>
      <c r="CG16" s="467"/>
      <c r="CH16" s="467"/>
      <c r="CI16" s="467"/>
      <c r="CJ16" s="467"/>
      <c r="CK16" s="467"/>
      <c r="CL16" s="467"/>
      <c r="CM16" s="467"/>
      <c r="CN16" s="467"/>
      <c r="CO16" s="467"/>
      <c r="CP16" s="467"/>
      <c r="CQ16" s="467"/>
      <c r="CR16" s="467"/>
      <c r="CS16" s="467"/>
      <c r="CT16" s="467"/>
      <c r="CU16" s="467"/>
      <c r="CV16" s="467"/>
      <c r="CW16" s="467"/>
      <c r="CX16" s="467"/>
    </row>
    <row r="17" spans="2:102">
      <c r="B17" s="472"/>
      <c r="C17" s="486"/>
      <c r="D17" s="1987"/>
      <c r="E17" s="1987"/>
      <c r="F17" s="1987"/>
      <c r="G17" s="1987"/>
      <c r="H17" s="1984">
        <f>SUM(D16:H16)</f>
        <v>279.73093</v>
      </c>
      <c r="I17" s="479"/>
      <c r="J17" s="479"/>
      <c r="K17" s="479"/>
      <c r="L17" s="479"/>
      <c r="M17" s="1984">
        <f>SUM(I16:M16)</f>
        <v>297.54200000000003</v>
      </c>
      <c r="N17" s="478"/>
      <c r="O17" s="467" t="s">
        <v>1053</v>
      </c>
      <c r="P17" s="1515"/>
      <c r="Q17" s="1515"/>
      <c r="R17" s="1515"/>
      <c r="S17" s="1515"/>
      <c r="T17" s="1515"/>
      <c r="U17" s="467"/>
      <c r="V17" s="467"/>
      <c r="W17" s="467"/>
      <c r="X17" s="467"/>
      <c r="Y17" s="467"/>
      <c r="Z17" s="467"/>
      <c r="AA17" s="467"/>
      <c r="AB17" s="467"/>
      <c r="AC17" s="467"/>
      <c r="AD17" s="467"/>
      <c r="AE17" s="467"/>
      <c r="AF17" s="467"/>
      <c r="AG17" s="467"/>
      <c r="AH17" s="467"/>
      <c r="AI17" s="467"/>
      <c r="AJ17" s="467"/>
      <c r="AK17" s="467"/>
      <c r="AL17" s="467"/>
      <c r="AM17" s="467"/>
      <c r="AN17" s="467"/>
      <c r="AO17" s="467"/>
      <c r="AP17" s="467"/>
      <c r="AQ17" s="467"/>
      <c r="AR17" s="467"/>
      <c r="AS17" s="467"/>
      <c r="AT17" s="467"/>
      <c r="AU17" s="467"/>
      <c r="AV17" s="467"/>
      <c r="AW17" s="467"/>
      <c r="AX17" s="467"/>
      <c r="AY17" s="467"/>
      <c r="AZ17" s="467"/>
      <c r="BA17" s="467"/>
      <c r="BB17" s="467"/>
      <c r="BC17" s="467"/>
      <c r="BD17" s="467"/>
      <c r="BE17" s="467"/>
      <c r="BF17" s="467"/>
      <c r="BG17" s="467"/>
      <c r="BH17" s="467"/>
      <c r="BI17" s="467"/>
      <c r="BJ17" s="467"/>
      <c r="BK17" s="467"/>
      <c r="BL17" s="467"/>
      <c r="BM17" s="467"/>
      <c r="BN17" s="467"/>
      <c r="BO17" s="467"/>
      <c r="BP17" s="467"/>
      <c r="BQ17" s="467"/>
      <c r="BR17" s="467"/>
      <c r="BS17" s="467"/>
      <c r="BT17" s="467"/>
      <c r="BU17" s="467"/>
      <c r="BV17" s="467"/>
      <c r="BW17" s="467"/>
      <c r="BX17" s="467"/>
      <c r="BY17" s="467"/>
      <c r="BZ17" s="467"/>
      <c r="CA17" s="467"/>
      <c r="CB17" s="467"/>
      <c r="CC17" s="467"/>
      <c r="CD17" s="467"/>
      <c r="CE17" s="467"/>
      <c r="CF17" s="467"/>
      <c r="CG17" s="467"/>
      <c r="CH17" s="467"/>
      <c r="CI17" s="467"/>
      <c r="CJ17" s="467"/>
      <c r="CK17" s="467"/>
      <c r="CL17" s="467"/>
      <c r="CM17" s="467"/>
      <c r="CN17" s="467"/>
      <c r="CO17" s="467"/>
      <c r="CP17" s="467"/>
      <c r="CQ17" s="467"/>
      <c r="CR17" s="467"/>
      <c r="CS17" s="467"/>
      <c r="CT17" s="467"/>
      <c r="CU17" s="467"/>
      <c r="CV17" s="467"/>
      <c r="CW17" s="467"/>
      <c r="CX17" s="467"/>
    </row>
    <row r="18" spans="2:102">
      <c r="B18" s="472"/>
      <c r="C18" s="483" t="s">
        <v>548</v>
      </c>
      <c r="D18" s="479"/>
      <c r="E18" s="479"/>
      <c r="F18" s="479"/>
      <c r="G18" s="479"/>
      <c r="H18" s="479"/>
      <c r="I18" s="479"/>
      <c r="J18" s="479"/>
      <c r="K18" s="479"/>
      <c r="L18" s="479"/>
      <c r="M18" s="479"/>
      <c r="N18" s="478"/>
      <c r="O18" s="467"/>
      <c r="P18" s="1515"/>
      <c r="Q18" s="1515"/>
      <c r="R18" s="1515"/>
      <c r="S18" s="1515"/>
      <c r="T18" s="1515"/>
      <c r="U18" s="467"/>
      <c r="V18" s="467"/>
      <c r="W18" s="467"/>
      <c r="X18" s="467"/>
      <c r="Y18" s="467"/>
      <c r="Z18" s="467"/>
      <c r="AA18" s="467"/>
      <c r="AB18" s="467"/>
      <c r="AC18" s="467"/>
      <c r="AD18" s="467"/>
      <c r="AE18" s="467"/>
      <c r="AF18" s="467"/>
      <c r="AG18" s="467"/>
      <c r="AH18" s="467"/>
      <c r="AI18" s="467"/>
      <c r="AJ18" s="467"/>
      <c r="AK18" s="467"/>
      <c r="AL18" s="467"/>
      <c r="AM18" s="467"/>
      <c r="AN18" s="467"/>
      <c r="AO18" s="467"/>
      <c r="AP18" s="467"/>
      <c r="AQ18" s="467"/>
      <c r="AR18" s="467"/>
      <c r="AS18" s="467"/>
      <c r="AT18" s="467"/>
      <c r="AU18" s="467"/>
      <c r="AV18" s="467"/>
      <c r="AW18" s="467"/>
      <c r="AX18" s="467"/>
      <c r="AY18" s="467"/>
      <c r="AZ18" s="467"/>
      <c r="BA18" s="467"/>
      <c r="BB18" s="467"/>
      <c r="BC18" s="467"/>
      <c r="BD18" s="467"/>
      <c r="BE18" s="467"/>
      <c r="BF18" s="467"/>
      <c r="BG18" s="467"/>
      <c r="BH18" s="467"/>
      <c r="BI18" s="467"/>
      <c r="BJ18" s="467"/>
      <c r="BK18" s="467"/>
      <c r="BL18" s="467"/>
      <c r="BM18" s="467"/>
      <c r="BN18" s="467"/>
      <c r="BO18" s="467"/>
      <c r="BP18" s="467"/>
      <c r="BQ18" s="467"/>
      <c r="BR18" s="467"/>
      <c r="BS18" s="467"/>
      <c r="BT18" s="467"/>
      <c r="BU18" s="467"/>
      <c r="BV18" s="467"/>
      <c r="BW18" s="467"/>
      <c r="BX18" s="467"/>
      <c r="BY18" s="467"/>
      <c r="BZ18" s="467"/>
      <c r="CA18" s="467"/>
      <c r="CB18" s="467"/>
      <c r="CC18" s="467"/>
      <c r="CD18" s="467"/>
      <c r="CE18" s="467"/>
      <c r="CF18" s="467"/>
      <c r="CG18" s="467"/>
      <c r="CH18" s="467"/>
      <c r="CI18" s="467"/>
      <c r="CJ18" s="467"/>
      <c r="CK18" s="467"/>
      <c r="CL18" s="467"/>
      <c r="CM18" s="467"/>
      <c r="CN18" s="467"/>
      <c r="CO18" s="467"/>
      <c r="CP18" s="467"/>
      <c r="CQ18" s="467"/>
      <c r="CR18" s="467"/>
      <c r="CS18" s="467"/>
      <c r="CT18" s="467"/>
      <c r="CU18" s="467"/>
      <c r="CV18" s="467"/>
      <c r="CW18" s="467"/>
      <c r="CX18" s="467"/>
    </row>
    <row r="19" spans="2:102">
      <c r="B19" s="472"/>
      <c r="C19" s="484" t="s">
        <v>518</v>
      </c>
      <c r="D19" s="485">
        <f t="shared" ref="D19:M19" si="11">+SUMIF($H$43:$H$1023,$C$19,O$43:O$1023)</f>
        <v>23.668000000000003</v>
      </c>
      <c r="E19" s="485">
        <f t="shared" si="11"/>
        <v>38.370000000000005</v>
      </c>
      <c r="F19" s="485">
        <f t="shared" si="11"/>
        <v>29.401999999999997</v>
      </c>
      <c r="G19" s="485">
        <f t="shared" si="11"/>
        <v>29.835999999999999</v>
      </c>
      <c r="H19" s="485">
        <f t="shared" si="11"/>
        <v>43.954000000000008</v>
      </c>
      <c r="I19" s="485">
        <f t="shared" si="11"/>
        <v>42.68</v>
      </c>
      <c r="J19" s="485">
        <f t="shared" si="11"/>
        <v>41.4</v>
      </c>
      <c r="K19" s="485">
        <f t="shared" si="11"/>
        <v>31.867000000000001</v>
      </c>
      <c r="L19" s="485">
        <f t="shared" si="11"/>
        <v>43.5</v>
      </c>
      <c r="M19" s="485">
        <f t="shared" si="11"/>
        <v>33.5</v>
      </c>
      <c r="N19" s="478"/>
      <c r="O19" s="467" t="s">
        <v>1053</v>
      </c>
      <c r="P19" s="1521">
        <f>SUM(D19:H19)</f>
        <v>165.23000000000002</v>
      </c>
      <c r="Q19" s="1522">
        <f>IFERROR(P19/$P$23,"-")</f>
        <v>0.59067476020617393</v>
      </c>
      <c r="R19" s="1515"/>
      <c r="S19" s="1521">
        <f>SUM(I19:M19)</f>
        <v>192.947</v>
      </c>
      <c r="T19" s="1522">
        <f>IFERROR(S19/$S$23,"-")</f>
        <v>0.64846979586075237</v>
      </c>
      <c r="U19" s="467"/>
      <c r="V19" s="467"/>
      <c r="W19" s="467"/>
      <c r="X19" s="467"/>
      <c r="Y19" s="467"/>
      <c r="Z19" s="467"/>
      <c r="AA19" s="467"/>
      <c r="AB19" s="467"/>
      <c r="AC19" s="467"/>
      <c r="AD19" s="467"/>
      <c r="AE19" s="467"/>
      <c r="AF19" s="467"/>
      <c r="AG19" s="467"/>
      <c r="AH19" s="467"/>
      <c r="AI19" s="467"/>
      <c r="AJ19" s="467"/>
      <c r="AK19" s="467"/>
      <c r="AL19" s="467"/>
      <c r="AM19" s="467"/>
      <c r="AN19" s="467"/>
      <c r="AO19" s="467"/>
      <c r="AP19" s="467"/>
      <c r="AQ19" s="467"/>
      <c r="AR19" s="467"/>
      <c r="AS19" s="467"/>
      <c r="AT19" s="467"/>
      <c r="AU19" s="467"/>
      <c r="AV19" s="467"/>
      <c r="AW19" s="467"/>
      <c r="AX19" s="467"/>
      <c r="AY19" s="467"/>
      <c r="AZ19" s="467"/>
      <c r="BA19" s="467"/>
      <c r="BB19" s="467"/>
      <c r="BC19" s="467"/>
      <c r="BD19" s="467"/>
      <c r="BE19" s="467"/>
      <c r="BF19" s="467"/>
      <c r="BG19" s="467"/>
      <c r="BH19" s="467"/>
      <c r="BI19" s="467"/>
      <c r="BJ19" s="467"/>
      <c r="BK19" s="467"/>
      <c r="BL19" s="467"/>
      <c r="BM19" s="467"/>
      <c r="BN19" s="467"/>
      <c r="BO19" s="467"/>
      <c r="BP19" s="467"/>
      <c r="BQ19" s="467"/>
      <c r="BR19" s="467"/>
      <c r="BS19" s="467"/>
      <c r="BT19" s="467"/>
      <c r="BU19" s="467"/>
      <c r="BV19" s="467"/>
      <c r="BW19" s="467"/>
      <c r="BX19" s="467"/>
      <c r="BY19" s="467"/>
      <c r="BZ19" s="467"/>
      <c r="CA19" s="467"/>
      <c r="CB19" s="467"/>
      <c r="CC19" s="467"/>
      <c r="CD19" s="467"/>
      <c r="CE19" s="467"/>
      <c r="CF19" s="467"/>
      <c r="CG19" s="467"/>
      <c r="CH19" s="467"/>
      <c r="CI19" s="467"/>
      <c r="CJ19" s="467"/>
      <c r="CK19" s="467"/>
      <c r="CL19" s="467"/>
      <c r="CM19" s="467"/>
      <c r="CN19" s="467"/>
      <c r="CO19" s="467"/>
      <c r="CP19" s="467"/>
      <c r="CQ19" s="467"/>
      <c r="CR19" s="467"/>
      <c r="CS19" s="467"/>
      <c r="CT19" s="467"/>
      <c r="CU19" s="467"/>
      <c r="CV19" s="467"/>
      <c r="CW19" s="467"/>
      <c r="CX19" s="467"/>
    </row>
    <row r="20" spans="2:102">
      <c r="B20" s="472"/>
      <c r="C20" s="484" t="s">
        <v>519</v>
      </c>
      <c r="D20" s="485">
        <f t="shared" ref="D20:M20" si="12">+SUMIF($H$43:$H$1023,$C$20,O$43:O$1023)</f>
        <v>0</v>
      </c>
      <c r="E20" s="485">
        <f t="shared" si="12"/>
        <v>0</v>
      </c>
      <c r="F20" s="485">
        <f t="shared" si="12"/>
        <v>0</v>
      </c>
      <c r="G20" s="485">
        <f t="shared" si="12"/>
        <v>0</v>
      </c>
      <c r="H20" s="485">
        <f t="shared" si="12"/>
        <v>0</v>
      </c>
      <c r="I20" s="485">
        <f t="shared" si="12"/>
        <v>0</v>
      </c>
      <c r="J20" s="485">
        <f t="shared" si="12"/>
        <v>0</v>
      </c>
      <c r="K20" s="485">
        <f t="shared" si="12"/>
        <v>0</v>
      </c>
      <c r="L20" s="485">
        <f t="shared" si="12"/>
        <v>0</v>
      </c>
      <c r="M20" s="485">
        <f t="shared" si="12"/>
        <v>0</v>
      </c>
      <c r="N20" s="478"/>
      <c r="O20" s="467" t="s">
        <v>1053</v>
      </c>
      <c r="P20" s="1521">
        <f>SUM(D20:H20)</f>
        <v>0</v>
      </c>
      <c r="Q20" s="1522">
        <f>IFERROR(P20/$P$23,"-")</f>
        <v>0</v>
      </c>
      <c r="R20" s="1515"/>
      <c r="S20" s="1521">
        <f>SUM(I20:M20)</f>
        <v>0</v>
      </c>
      <c r="T20" s="1522">
        <f>IFERROR(S20/$S$23,"-")</f>
        <v>0</v>
      </c>
      <c r="U20" s="467"/>
      <c r="V20" s="467"/>
      <c r="W20" s="467"/>
      <c r="X20" s="467"/>
      <c r="Y20" s="467"/>
      <c r="Z20" s="467"/>
      <c r="AA20" s="467"/>
      <c r="AB20" s="467"/>
      <c r="AC20" s="467"/>
      <c r="AD20" s="467"/>
      <c r="AE20" s="467"/>
      <c r="AF20" s="467"/>
      <c r="AG20" s="467"/>
      <c r="AH20" s="467"/>
      <c r="AI20" s="467"/>
      <c r="AJ20" s="467"/>
      <c r="AK20" s="467"/>
      <c r="AL20" s="467"/>
      <c r="AM20" s="467"/>
      <c r="AN20" s="467"/>
      <c r="AO20" s="467"/>
      <c r="AP20" s="467"/>
      <c r="AQ20" s="467"/>
      <c r="AR20" s="467"/>
      <c r="AS20" s="467"/>
      <c r="AT20" s="467"/>
      <c r="AU20" s="467"/>
      <c r="AV20" s="467"/>
      <c r="AW20" s="467"/>
      <c r="AX20" s="467"/>
      <c r="AY20" s="467"/>
      <c r="AZ20" s="467"/>
      <c r="BA20" s="467"/>
      <c r="BB20" s="467"/>
      <c r="BC20" s="467"/>
      <c r="BD20" s="467"/>
      <c r="BE20" s="467"/>
      <c r="BF20" s="467"/>
      <c r="BG20" s="467"/>
      <c r="BH20" s="467"/>
      <c r="BI20" s="467"/>
      <c r="BJ20" s="467"/>
      <c r="BK20" s="467"/>
      <c r="BL20" s="467"/>
      <c r="BM20" s="467"/>
      <c r="BN20" s="467"/>
      <c r="BO20" s="467"/>
      <c r="BP20" s="467"/>
      <c r="BQ20" s="467"/>
      <c r="BR20" s="467"/>
      <c r="BS20" s="467"/>
      <c r="BT20" s="467"/>
      <c r="BU20" s="467"/>
      <c r="BV20" s="467"/>
      <c r="BW20" s="467"/>
      <c r="BX20" s="467"/>
      <c r="BY20" s="467"/>
      <c r="BZ20" s="467"/>
      <c r="CA20" s="467"/>
      <c r="CB20" s="467"/>
      <c r="CC20" s="467"/>
      <c r="CD20" s="467"/>
      <c r="CE20" s="467"/>
      <c r="CF20" s="467"/>
      <c r="CG20" s="467"/>
      <c r="CH20" s="467"/>
      <c r="CI20" s="467"/>
      <c r="CJ20" s="467"/>
      <c r="CK20" s="467"/>
      <c r="CL20" s="467"/>
      <c r="CM20" s="467"/>
      <c r="CN20" s="467"/>
      <c r="CO20" s="467"/>
      <c r="CP20" s="467"/>
      <c r="CQ20" s="467"/>
      <c r="CR20" s="467"/>
      <c r="CS20" s="467"/>
      <c r="CT20" s="467"/>
      <c r="CU20" s="467"/>
      <c r="CV20" s="467"/>
      <c r="CW20" s="467"/>
      <c r="CX20" s="467"/>
    </row>
    <row r="21" spans="2:102">
      <c r="B21" s="472"/>
      <c r="C21" s="488" t="s">
        <v>520</v>
      </c>
      <c r="D21" s="485">
        <f t="shared" ref="D21:M21" si="13">+SUMIF($H$43:$H$1023,$C$21,O$43:O$1023)</f>
        <v>17.045403000000004</v>
      </c>
      <c r="E21" s="485">
        <f t="shared" si="13"/>
        <v>14.857200000000001</v>
      </c>
      <c r="F21" s="485">
        <f t="shared" si="13"/>
        <v>14.226899999999999</v>
      </c>
      <c r="G21" s="485">
        <f t="shared" si="13"/>
        <v>14.756499999999999</v>
      </c>
      <c r="H21" s="485">
        <f t="shared" si="13"/>
        <v>15.912599999999999</v>
      </c>
      <c r="I21" s="485">
        <f t="shared" si="13"/>
        <v>20.699000000000005</v>
      </c>
      <c r="J21" s="485">
        <f t="shared" si="13"/>
        <v>20.699000000000005</v>
      </c>
      <c r="K21" s="485">
        <f t="shared" si="13"/>
        <v>20.699000000000005</v>
      </c>
      <c r="L21" s="485">
        <f t="shared" si="13"/>
        <v>20.699000000000005</v>
      </c>
      <c r="M21" s="485">
        <f t="shared" si="13"/>
        <v>20.699000000000005</v>
      </c>
      <c r="N21" s="478"/>
      <c r="O21" s="467" t="s">
        <v>1053</v>
      </c>
      <c r="P21" s="1521">
        <f>SUM(D21:H21)</f>
        <v>76.798603</v>
      </c>
      <c r="Q21" s="1522">
        <f>IFERROR(P21/$P$23,"-")</f>
        <v>0.27454455250979931</v>
      </c>
      <c r="R21" s="1515"/>
      <c r="S21" s="1521">
        <f>SUM(I21:M21)</f>
        <v>103.49500000000003</v>
      </c>
      <c r="T21" s="1522">
        <f>IFERROR(S21/$S$23,"-")</f>
        <v>0.34783324707100183</v>
      </c>
      <c r="U21" s="467"/>
      <c r="V21" s="467"/>
      <c r="W21" s="467"/>
      <c r="X21" s="467"/>
      <c r="Y21" s="467"/>
      <c r="Z21" s="467"/>
      <c r="AA21" s="467"/>
      <c r="AB21" s="467"/>
      <c r="AC21" s="467"/>
      <c r="AD21" s="467"/>
      <c r="AE21" s="467"/>
      <c r="AF21" s="467"/>
      <c r="AG21" s="467"/>
      <c r="AH21" s="467"/>
      <c r="AI21" s="467"/>
      <c r="AJ21" s="467"/>
      <c r="AK21" s="467"/>
      <c r="AL21" s="467"/>
      <c r="AM21" s="467"/>
      <c r="AN21" s="467"/>
      <c r="AO21" s="467"/>
      <c r="AP21" s="467"/>
      <c r="AQ21" s="467"/>
      <c r="AR21" s="467"/>
      <c r="AS21" s="467"/>
      <c r="AT21" s="467"/>
      <c r="AU21" s="467"/>
      <c r="AV21" s="467"/>
      <c r="AW21" s="467"/>
      <c r="AX21" s="467"/>
      <c r="AY21" s="467"/>
      <c r="AZ21" s="467"/>
      <c r="BA21" s="467"/>
      <c r="BB21" s="467"/>
      <c r="BC21" s="467"/>
      <c r="BD21" s="467"/>
      <c r="BE21" s="467"/>
      <c r="BF21" s="467"/>
      <c r="BG21" s="467"/>
      <c r="BH21" s="467"/>
      <c r="BI21" s="467"/>
      <c r="BJ21" s="467"/>
      <c r="BK21" s="467"/>
      <c r="BL21" s="467"/>
      <c r="BM21" s="467"/>
      <c r="BN21" s="467"/>
      <c r="BO21" s="467"/>
      <c r="BP21" s="467"/>
      <c r="BQ21" s="467"/>
      <c r="BR21" s="467"/>
      <c r="BS21" s="467"/>
      <c r="BT21" s="467"/>
      <c r="BU21" s="467"/>
      <c r="BV21" s="467"/>
      <c r="BW21" s="467"/>
      <c r="BX21" s="467"/>
      <c r="BY21" s="467"/>
      <c r="BZ21" s="467"/>
      <c r="CA21" s="467"/>
      <c r="CB21" s="467"/>
      <c r="CC21" s="467"/>
      <c r="CD21" s="467"/>
      <c r="CE21" s="467"/>
      <c r="CF21" s="467"/>
      <c r="CG21" s="467"/>
      <c r="CH21" s="467"/>
      <c r="CI21" s="467"/>
      <c r="CJ21" s="467"/>
      <c r="CK21" s="467"/>
      <c r="CL21" s="467"/>
      <c r="CM21" s="467"/>
      <c r="CN21" s="467"/>
      <c r="CO21" s="467"/>
      <c r="CP21" s="467"/>
      <c r="CQ21" s="467"/>
      <c r="CR21" s="467"/>
      <c r="CS21" s="467"/>
      <c r="CT21" s="467"/>
      <c r="CU21" s="467"/>
      <c r="CV21" s="467"/>
      <c r="CW21" s="467"/>
      <c r="CX21" s="467"/>
    </row>
    <row r="22" spans="2:102">
      <c r="B22" s="472"/>
      <c r="C22" s="484" t="s">
        <v>521</v>
      </c>
      <c r="D22" s="485">
        <f t="shared" ref="D22:M22" si="14">+SUMIF($H$43:$H$1023,$C$22,O$43:O$1023)</f>
        <v>13.409999999999998</v>
      </c>
      <c r="E22" s="485">
        <f t="shared" si="14"/>
        <v>5.0519999999999996</v>
      </c>
      <c r="F22" s="485">
        <f t="shared" si="14"/>
        <v>0.5</v>
      </c>
      <c r="G22" s="485">
        <f t="shared" si="14"/>
        <v>6.4403269999999999</v>
      </c>
      <c r="H22" s="485">
        <f t="shared" si="14"/>
        <v>12.3</v>
      </c>
      <c r="I22" s="485">
        <f t="shared" si="14"/>
        <v>1</v>
      </c>
      <c r="J22" s="485">
        <f t="shared" si="14"/>
        <v>0</v>
      </c>
      <c r="K22" s="485">
        <f t="shared" si="14"/>
        <v>0</v>
      </c>
      <c r="L22" s="485">
        <f t="shared" si="14"/>
        <v>0.05</v>
      </c>
      <c r="M22" s="485">
        <f t="shared" si="14"/>
        <v>0.05</v>
      </c>
      <c r="N22" s="478"/>
      <c r="O22" s="467" t="s">
        <v>1053</v>
      </c>
      <c r="P22" s="1521">
        <f>SUM(D22:H22)</f>
        <v>37.702326999999997</v>
      </c>
      <c r="Q22" s="1522">
        <f>IFERROR(P22/$P$23,"-")</f>
        <v>0.13478068728402681</v>
      </c>
      <c r="R22" s="1515"/>
      <c r="S22" s="1521">
        <f>SUM(I22:M22)</f>
        <v>1.1000000000000001</v>
      </c>
      <c r="T22" s="1522">
        <f>IFERROR(S22/$S$23,"-")</f>
        <v>3.6969570682458272E-3</v>
      </c>
      <c r="U22" s="467"/>
      <c r="V22" s="467"/>
      <c r="W22" s="467"/>
      <c r="X22" s="467"/>
      <c r="Y22" s="467"/>
      <c r="Z22" s="467"/>
      <c r="AA22" s="467"/>
      <c r="AB22" s="467"/>
      <c r="AC22" s="467"/>
      <c r="AD22" s="467"/>
      <c r="AE22" s="467"/>
      <c r="AF22" s="467"/>
      <c r="AG22" s="467"/>
      <c r="AH22" s="467"/>
      <c r="AI22" s="467"/>
      <c r="AJ22" s="467"/>
      <c r="AK22" s="467"/>
      <c r="AL22" s="467"/>
      <c r="AM22" s="467"/>
      <c r="AN22" s="467"/>
      <c r="AO22" s="467"/>
      <c r="AP22" s="467"/>
      <c r="AQ22" s="467"/>
      <c r="AR22" s="467"/>
      <c r="AS22" s="467"/>
      <c r="AT22" s="467"/>
      <c r="AU22" s="467"/>
      <c r="AV22" s="467"/>
      <c r="AW22" s="467"/>
      <c r="AX22" s="467"/>
      <c r="AY22" s="467"/>
      <c r="AZ22" s="467"/>
      <c r="BA22" s="467"/>
      <c r="BB22" s="467"/>
      <c r="BC22" s="467"/>
      <c r="BD22" s="467"/>
      <c r="BE22" s="467"/>
      <c r="BF22" s="467"/>
      <c r="BG22" s="467"/>
      <c r="BH22" s="467"/>
      <c r="BI22" s="467"/>
      <c r="BJ22" s="467"/>
      <c r="BK22" s="467"/>
      <c r="BL22" s="467"/>
      <c r="BM22" s="467"/>
      <c r="BN22" s="467"/>
      <c r="BO22" s="467"/>
      <c r="BP22" s="467"/>
      <c r="BQ22" s="467"/>
      <c r="BR22" s="467"/>
      <c r="BS22" s="467"/>
      <c r="BT22" s="467"/>
      <c r="BU22" s="467"/>
      <c r="BV22" s="467"/>
      <c r="BW22" s="467"/>
      <c r="BX22" s="467"/>
      <c r="BY22" s="467"/>
      <c r="BZ22" s="467"/>
      <c r="CA22" s="467"/>
      <c r="CB22" s="467"/>
      <c r="CC22" s="467"/>
      <c r="CD22" s="467"/>
      <c r="CE22" s="467"/>
      <c r="CF22" s="467"/>
      <c r="CG22" s="467"/>
      <c r="CH22" s="467"/>
      <c r="CI22" s="467"/>
      <c r="CJ22" s="467"/>
      <c r="CK22" s="467"/>
      <c r="CL22" s="467"/>
      <c r="CM22" s="467"/>
      <c r="CN22" s="467"/>
      <c r="CO22" s="467"/>
      <c r="CP22" s="467"/>
      <c r="CQ22" s="467"/>
      <c r="CR22" s="467"/>
      <c r="CS22" s="467"/>
      <c r="CT22" s="467"/>
      <c r="CU22" s="467"/>
      <c r="CV22" s="467"/>
      <c r="CW22" s="467"/>
      <c r="CX22" s="467"/>
    </row>
    <row r="23" spans="2:102" ht="12.75" thickBot="1">
      <c r="B23" s="472"/>
      <c r="C23" s="486" t="s">
        <v>517</v>
      </c>
      <c r="D23" s="487">
        <f>SUM(D19:D22)</f>
        <v>54.123403000000003</v>
      </c>
      <c r="E23" s="487">
        <f t="shared" ref="E23:M23" si="15">SUM(E19:E22)</f>
        <v>58.279200000000003</v>
      </c>
      <c r="F23" s="487">
        <f t="shared" si="15"/>
        <v>44.128899999999994</v>
      </c>
      <c r="G23" s="487">
        <f t="shared" si="15"/>
        <v>51.032826999999997</v>
      </c>
      <c r="H23" s="1982">
        <f t="shared" si="15"/>
        <v>72.166600000000003</v>
      </c>
      <c r="I23" s="487">
        <f t="shared" si="15"/>
        <v>64.379000000000005</v>
      </c>
      <c r="J23" s="487">
        <f t="shared" si="15"/>
        <v>62.099000000000004</v>
      </c>
      <c r="K23" s="487">
        <f t="shared" si="15"/>
        <v>52.566000000000003</v>
      </c>
      <c r="L23" s="487">
        <f t="shared" si="15"/>
        <v>64.249000000000009</v>
      </c>
      <c r="M23" s="487">
        <f t="shared" si="15"/>
        <v>54.249000000000002</v>
      </c>
      <c r="N23" s="478"/>
      <c r="O23" s="467" t="s">
        <v>1053</v>
      </c>
      <c r="P23" s="1521">
        <f>SUM(D23:H23)</f>
        <v>279.73093</v>
      </c>
      <c r="Q23" s="1522">
        <f>IFERROR(P23/$P$23,"-")</f>
        <v>1</v>
      </c>
      <c r="R23" s="1515"/>
      <c r="S23" s="1521">
        <f>SUM(I23:M23)</f>
        <v>297.54200000000003</v>
      </c>
      <c r="T23" s="1522">
        <f>IFERROR(S23/$S$23,"-")</f>
        <v>1</v>
      </c>
      <c r="U23" s="467"/>
      <c r="V23" s="467"/>
      <c r="W23" s="467"/>
      <c r="X23" s="467"/>
      <c r="Y23" s="467"/>
      <c r="Z23" s="467"/>
      <c r="AA23" s="467"/>
      <c r="AB23" s="467"/>
      <c r="AC23" s="467"/>
      <c r="AD23" s="467"/>
      <c r="AE23" s="467"/>
      <c r="AF23" s="467"/>
      <c r="AG23" s="467"/>
      <c r="AH23" s="467"/>
      <c r="AI23" s="467"/>
      <c r="AJ23" s="467"/>
      <c r="AK23" s="467"/>
      <c r="AL23" s="467"/>
      <c r="AM23" s="467"/>
      <c r="AN23" s="467"/>
      <c r="AO23" s="467"/>
      <c r="AP23" s="467"/>
      <c r="AQ23" s="467"/>
      <c r="AR23" s="467"/>
      <c r="AS23" s="467"/>
      <c r="AT23" s="467"/>
      <c r="AU23" s="467"/>
      <c r="AV23" s="467"/>
      <c r="AW23" s="467"/>
      <c r="AX23" s="467"/>
      <c r="AY23" s="467"/>
      <c r="AZ23" s="467"/>
      <c r="BA23" s="467"/>
      <c r="BB23" s="467"/>
      <c r="BC23" s="467"/>
      <c r="BD23" s="467"/>
      <c r="BE23" s="467"/>
      <c r="BF23" s="467"/>
      <c r="BG23" s="467"/>
      <c r="BH23" s="467"/>
      <c r="BI23" s="467"/>
      <c r="BJ23" s="467"/>
      <c r="BK23" s="467"/>
      <c r="BL23" s="467"/>
      <c r="BM23" s="467"/>
      <c r="BN23" s="467"/>
      <c r="BO23" s="467"/>
      <c r="BP23" s="467"/>
      <c r="BQ23" s="467"/>
      <c r="BR23" s="467"/>
      <c r="BS23" s="467"/>
      <c r="BT23" s="467"/>
      <c r="BU23" s="467"/>
      <c r="BV23" s="467"/>
      <c r="BW23" s="467"/>
      <c r="BX23" s="467"/>
      <c r="BY23" s="467"/>
      <c r="BZ23" s="467"/>
      <c r="CA23" s="467"/>
      <c r="CB23" s="467"/>
      <c r="CC23" s="467"/>
      <c r="CD23" s="467"/>
      <c r="CE23" s="467"/>
      <c r="CF23" s="467"/>
      <c r="CG23" s="467"/>
      <c r="CH23" s="467"/>
      <c r="CI23" s="467"/>
      <c r="CJ23" s="467"/>
      <c r="CK23" s="467"/>
      <c r="CL23" s="467"/>
      <c r="CM23" s="467"/>
      <c r="CN23" s="467"/>
      <c r="CO23" s="467"/>
      <c r="CP23" s="467"/>
      <c r="CQ23" s="467"/>
      <c r="CR23" s="467"/>
      <c r="CS23" s="467"/>
      <c r="CT23" s="467"/>
      <c r="CU23" s="467"/>
      <c r="CV23" s="467"/>
      <c r="CW23" s="467"/>
      <c r="CX23" s="467"/>
    </row>
    <row r="24" spans="2:102">
      <c r="B24" s="472"/>
      <c r="C24" s="486"/>
      <c r="D24" s="1987"/>
      <c r="E24" s="1987"/>
      <c r="F24" s="1987"/>
      <c r="G24" s="1987"/>
      <c r="H24" s="1984">
        <f>SUM(D23:H23)</f>
        <v>279.73093</v>
      </c>
      <c r="I24" s="479"/>
      <c r="J24" s="479"/>
      <c r="K24" s="479"/>
      <c r="L24" s="479"/>
      <c r="M24" s="1984">
        <f>SUM(I23:M23)</f>
        <v>297.54200000000003</v>
      </c>
      <c r="N24" s="478"/>
      <c r="O24" s="467" t="s">
        <v>1053</v>
      </c>
      <c r="P24" s="467"/>
      <c r="Q24" s="467"/>
      <c r="R24" s="1515"/>
      <c r="S24" s="1515"/>
      <c r="T24" s="1515"/>
      <c r="U24" s="467"/>
      <c r="V24" s="467"/>
      <c r="W24" s="467"/>
      <c r="X24" s="467"/>
      <c r="Y24" s="467"/>
      <c r="Z24" s="467"/>
      <c r="AA24" s="467"/>
      <c r="AB24" s="467"/>
      <c r="AC24" s="467"/>
      <c r="AD24" s="467"/>
      <c r="AE24" s="467"/>
      <c r="AF24" s="467"/>
      <c r="AG24" s="467"/>
      <c r="AH24" s="467"/>
      <c r="AI24" s="467"/>
      <c r="AJ24" s="467"/>
      <c r="AK24" s="467"/>
      <c r="AL24" s="467"/>
      <c r="AM24" s="467"/>
      <c r="AN24" s="467"/>
      <c r="AO24" s="467"/>
      <c r="AP24" s="467"/>
      <c r="AQ24" s="467"/>
      <c r="AR24" s="467"/>
      <c r="AS24" s="467"/>
      <c r="AT24" s="467"/>
      <c r="AU24" s="467"/>
      <c r="AV24" s="467"/>
      <c r="AW24" s="467"/>
      <c r="AX24" s="467"/>
      <c r="AY24" s="467"/>
      <c r="AZ24" s="467"/>
      <c r="BA24" s="467"/>
      <c r="BB24" s="467"/>
      <c r="BC24" s="467"/>
      <c r="BD24" s="467"/>
      <c r="BE24" s="467"/>
      <c r="BF24" s="467"/>
      <c r="BG24" s="467"/>
      <c r="BH24" s="467"/>
      <c r="BI24" s="467"/>
      <c r="BJ24" s="467"/>
      <c r="BK24" s="467"/>
      <c r="BL24" s="467"/>
      <c r="BM24" s="467"/>
      <c r="BN24" s="467"/>
      <c r="BO24" s="467"/>
      <c r="BP24" s="467"/>
      <c r="BQ24" s="467"/>
      <c r="BR24" s="467"/>
      <c r="BS24" s="467"/>
      <c r="BT24" s="467"/>
      <c r="BU24" s="467"/>
      <c r="BV24" s="467"/>
      <c r="BW24" s="467"/>
      <c r="BX24" s="467"/>
      <c r="BY24" s="467"/>
      <c r="BZ24" s="467"/>
      <c r="CA24" s="467"/>
      <c r="CB24" s="467"/>
      <c r="CC24" s="467"/>
      <c r="CD24" s="467"/>
      <c r="CE24" s="467"/>
      <c r="CF24" s="467"/>
      <c r="CG24" s="467"/>
      <c r="CH24" s="467"/>
      <c r="CI24" s="467"/>
      <c r="CJ24" s="467"/>
      <c r="CK24" s="467"/>
      <c r="CL24" s="467"/>
      <c r="CM24" s="467"/>
      <c r="CN24" s="467"/>
      <c r="CO24" s="467"/>
      <c r="CP24" s="467"/>
      <c r="CQ24" s="467"/>
      <c r="CR24" s="467"/>
      <c r="CS24" s="467"/>
      <c r="CT24" s="467"/>
      <c r="CU24" s="467"/>
      <c r="CV24" s="467"/>
      <c r="CW24" s="467"/>
      <c r="CX24" s="467"/>
    </row>
    <row r="25" spans="2:102">
      <c r="B25" s="472"/>
      <c r="C25" s="479"/>
      <c r="D25" s="479"/>
      <c r="E25" s="479"/>
      <c r="F25" s="479"/>
      <c r="G25" s="479"/>
      <c r="H25" s="479"/>
      <c r="I25" s="479"/>
      <c r="J25" s="479"/>
      <c r="K25" s="479"/>
      <c r="L25" s="479"/>
      <c r="M25" s="479"/>
      <c r="N25" s="478"/>
      <c r="O25" s="467"/>
      <c r="P25" s="467"/>
      <c r="Q25" s="467"/>
      <c r="R25" s="467"/>
      <c r="S25" s="467"/>
      <c r="T25" s="467"/>
      <c r="U25" s="467"/>
      <c r="V25" s="467"/>
      <c r="W25" s="467"/>
      <c r="X25" s="467"/>
      <c r="Y25" s="467"/>
      <c r="Z25" s="467"/>
      <c r="AA25" s="467"/>
      <c r="AB25" s="467"/>
      <c r="AC25" s="467"/>
      <c r="AD25" s="467"/>
      <c r="AE25" s="467"/>
      <c r="AF25" s="467"/>
      <c r="AG25" s="467"/>
      <c r="AH25" s="467"/>
      <c r="AI25" s="467"/>
      <c r="AJ25" s="467"/>
      <c r="AK25" s="467"/>
      <c r="AL25" s="467"/>
      <c r="AM25" s="467"/>
      <c r="AN25" s="467"/>
      <c r="AO25" s="467"/>
      <c r="AP25" s="467"/>
      <c r="AQ25" s="467"/>
      <c r="AR25" s="467"/>
      <c r="AS25" s="467"/>
      <c r="AT25" s="467"/>
      <c r="AU25" s="467"/>
      <c r="AV25" s="467"/>
      <c r="AW25" s="467"/>
      <c r="AX25" s="467"/>
      <c r="AY25" s="467"/>
      <c r="AZ25" s="467"/>
      <c r="BA25" s="467"/>
      <c r="BB25" s="467"/>
      <c r="BC25" s="467"/>
      <c r="BD25" s="467"/>
      <c r="BE25" s="467"/>
      <c r="BF25" s="467"/>
      <c r="BG25" s="467"/>
      <c r="BH25" s="467"/>
      <c r="BI25" s="467"/>
      <c r="BJ25" s="467"/>
      <c r="BK25" s="467"/>
      <c r="BL25" s="467"/>
      <c r="BM25" s="467"/>
      <c r="BN25" s="467"/>
      <c r="BO25" s="467"/>
      <c r="BP25" s="467"/>
      <c r="BQ25" s="467"/>
      <c r="BR25" s="467"/>
      <c r="BS25" s="467"/>
      <c r="BT25" s="467"/>
      <c r="BU25" s="467"/>
      <c r="BV25" s="467"/>
      <c r="BW25" s="467"/>
      <c r="BX25" s="467"/>
      <c r="BY25" s="467"/>
      <c r="BZ25" s="467"/>
      <c r="CA25" s="467"/>
      <c r="CB25" s="467"/>
      <c r="CC25" s="467"/>
      <c r="CD25" s="467"/>
      <c r="CE25" s="467"/>
      <c r="CF25" s="467"/>
      <c r="CG25" s="467"/>
      <c r="CH25" s="467"/>
      <c r="CI25" s="467"/>
      <c r="CJ25" s="467"/>
      <c r="CK25" s="467"/>
      <c r="CL25" s="467"/>
      <c r="CM25" s="467"/>
      <c r="CN25" s="467"/>
      <c r="CO25" s="467"/>
      <c r="CP25" s="467"/>
      <c r="CQ25" s="467"/>
      <c r="CR25" s="467"/>
      <c r="CS25" s="467"/>
      <c r="CT25" s="467"/>
      <c r="CU25" s="467"/>
      <c r="CV25" s="467"/>
      <c r="CW25" s="467"/>
      <c r="CX25" s="467"/>
    </row>
    <row r="26" spans="2:102">
      <c r="B26" s="472"/>
      <c r="C26" s="358" t="s">
        <v>469</v>
      </c>
      <c r="D26" s="489">
        <f>+D23-D16</f>
        <v>0</v>
      </c>
      <c r="E26" s="490">
        <f t="shared" ref="E26:M26" si="16">+E23-E16</f>
        <v>0</v>
      </c>
      <c r="F26" s="490">
        <f t="shared" si="16"/>
        <v>0</v>
      </c>
      <c r="G26" s="490">
        <f t="shared" si="16"/>
        <v>0</v>
      </c>
      <c r="H26" s="490">
        <f t="shared" si="16"/>
        <v>0</v>
      </c>
      <c r="I26" s="490">
        <f t="shared" si="16"/>
        <v>0</v>
      </c>
      <c r="J26" s="490">
        <f t="shared" si="16"/>
        <v>0</v>
      </c>
      <c r="K26" s="490">
        <f t="shared" si="16"/>
        <v>0</v>
      </c>
      <c r="L26" s="490">
        <f t="shared" si="16"/>
        <v>0</v>
      </c>
      <c r="M26" s="491">
        <f t="shared" si="16"/>
        <v>0</v>
      </c>
      <c r="N26" s="478"/>
      <c r="O26" s="467"/>
      <c r="P26" s="467"/>
      <c r="Q26" s="467"/>
      <c r="R26" s="467"/>
      <c r="S26" s="467"/>
      <c r="T26" s="467"/>
      <c r="U26" s="467"/>
      <c r="V26" s="467"/>
      <c r="W26" s="467"/>
      <c r="X26" s="467"/>
      <c r="Y26" s="467"/>
      <c r="Z26" s="467"/>
      <c r="AA26" s="467"/>
      <c r="AB26" s="467"/>
      <c r="AC26" s="467"/>
      <c r="AD26" s="467"/>
      <c r="AE26" s="467"/>
      <c r="AF26" s="467"/>
      <c r="AG26" s="467"/>
      <c r="AH26" s="467"/>
      <c r="AI26" s="467"/>
      <c r="AJ26" s="467"/>
      <c r="AK26" s="467"/>
      <c r="AL26" s="467"/>
      <c r="AM26" s="467"/>
      <c r="AN26" s="467"/>
      <c r="AO26" s="467"/>
      <c r="AP26" s="467"/>
      <c r="AQ26" s="467"/>
      <c r="AR26" s="467"/>
      <c r="AS26" s="467"/>
      <c r="AT26" s="467"/>
      <c r="AU26" s="467"/>
      <c r="AV26" s="467"/>
      <c r="AW26" s="467"/>
      <c r="AX26" s="467"/>
      <c r="AY26" s="467"/>
      <c r="AZ26" s="467"/>
      <c r="BA26" s="467"/>
      <c r="BB26" s="467"/>
      <c r="BC26" s="467"/>
      <c r="BD26" s="467"/>
      <c r="BE26" s="467"/>
      <c r="BF26" s="467"/>
      <c r="BG26" s="467"/>
      <c r="BH26" s="467"/>
      <c r="BI26" s="467"/>
      <c r="BJ26" s="467"/>
      <c r="BK26" s="467"/>
      <c r="BL26" s="467"/>
      <c r="BM26" s="467"/>
      <c r="BN26" s="467"/>
      <c r="BO26" s="467"/>
      <c r="BP26" s="467"/>
      <c r="BQ26" s="467"/>
      <c r="BR26" s="467"/>
      <c r="BS26" s="467"/>
      <c r="BT26" s="467"/>
      <c r="BU26" s="467"/>
      <c r="BV26" s="467"/>
      <c r="BW26" s="467"/>
      <c r="BX26" s="467"/>
      <c r="BY26" s="467"/>
      <c r="BZ26" s="467"/>
      <c r="CA26" s="467"/>
      <c r="CB26" s="467"/>
      <c r="CC26" s="467"/>
      <c r="CD26" s="467"/>
      <c r="CE26" s="467"/>
      <c r="CF26" s="467"/>
      <c r="CG26" s="467"/>
      <c r="CH26" s="467"/>
      <c r="CI26" s="467"/>
      <c r="CJ26" s="467"/>
      <c r="CK26" s="467"/>
      <c r="CL26" s="467"/>
      <c r="CM26" s="467"/>
      <c r="CN26" s="467"/>
      <c r="CO26" s="467"/>
      <c r="CP26" s="467"/>
      <c r="CQ26" s="467"/>
      <c r="CR26" s="467"/>
      <c r="CS26" s="467"/>
      <c r="CT26" s="467"/>
      <c r="CU26" s="467"/>
      <c r="CV26" s="467"/>
      <c r="CW26" s="467"/>
      <c r="CX26" s="467"/>
    </row>
    <row r="27" spans="2:102">
      <c r="B27" s="472"/>
      <c r="C27" s="370" t="s">
        <v>481</v>
      </c>
      <c r="D27" s="1781">
        <f>IF(ROUND(D23,5)=ROUND(D16,5),0,1)</f>
        <v>0</v>
      </c>
      <c r="E27" s="1781">
        <f>IF(ROUND(E23,5)=ROUND(E16,5),0,1)</f>
        <v>0</v>
      </c>
      <c r="F27" s="1781">
        <f t="shared" ref="F27:M27" si="17">IF(ROUND(F23,5)=ROUND(F16,5),0,1)</f>
        <v>0</v>
      </c>
      <c r="G27" s="1781">
        <f t="shared" si="17"/>
        <v>0</v>
      </c>
      <c r="H27" s="1781">
        <f t="shared" si="17"/>
        <v>0</v>
      </c>
      <c r="I27" s="1781">
        <f t="shared" si="17"/>
        <v>0</v>
      </c>
      <c r="J27" s="1781">
        <f t="shared" si="17"/>
        <v>0</v>
      </c>
      <c r="K27" s="1781">
        <f t="shared" si="17"/>
        <v>0</v>
      </c>
      <c r="L27" s="1781">
        <f t="shared" si="17"/>
        <v>0</v>
      </c>
      <c r="M27" s="1781">
        <f t="shared" si="17"/>
        <v>0</v>
      </c>
      <c r="N27" s="478"/>
      <c r="O27" s="467"/>
      <c r="P27" s="467"/>
      <c r="Q27" s="467"/>
      <c r="R27" s="467"/>
      <c r="S27" s="467"/>
      <c r="T27" s="467"/>
      <c r="U27" s="467"/>
      <c r="V27" s="467"/>
      <c r="W27" s="467"/>
      <c r="X27" s="467"/>
      <c r="Y27" s="467"/>
      <c r="Z27" s="467"/>
      <c r="AA27" s="467"/>
      <c r="AB27" s="467"/>
      <c r="AC27" s="467"/>
      <c r="AD27" s="467"/>
      <c r="AE27" s="467"/>
      <c r="AF27" s="467"/>
      <c r="AG27" s="467"/>
      <c r="AH27" s="467"/>
      <c r="AI27" s="467"/>
      <c r="AJ27" s="467"/>
      <c r="AK27" s="467"/>
      <c r="AL27" s="467"/>
      <c r="AM27" s="467"/>
      <c r="AN27" s="467"/>
      <c r="AO27" s="467"/>
      <c r="AP27" s="467"/>
      <c r="AQ27" s="467"/>
      <c r="AR27" s="467"/>
      <c r="AS27" s="467"/>
      <c r="AT27" s="467"/>
      <c r="AU27" s="467"/>
      <c r="AV27" s="467"/>
      <c r="AW27" s="467"/>
      <c r="AX27" s="467"/>
      <c r="AY27" s="467"/>
      <c r="AZ27" s="467"/>
      <c r="BA27" s="467"/>
      <c r="BB27" s="467"/>
      <c r="BC27" s="467"/>
      <c r="BD27" s="467"/>
      <c r="BE27" s="467"/>
      <c r="BF27" s="467"/>
      <c r="BG27" s="467"/>
      <c r="BH27" s="467"/>
      <c r="BI27" s="467"/>
      <c r="BJ27" s="467"/>
      <c r="BK27" s="467"/>
      <c r="BL27" s="467"/>
      <c r="BM27" s="467"/>
      <c r="BN27" s="467"/>
      <c r="BO27" s="467"/>
      <c r="BP27" s="467"/>
      <c r="BQ27" s="467"/>
      <c r="BR27" s="467"/>
      <c r="BS27" s="467"/>
      <c r="BT27" s="467"/>
      <c r="BU27" s="467"/>
      <c r="BV27" s="467"/>
      <c r="BW27" s="467"/>
      <c r="BX27" s="467"/>
      <c r="BY27" s="467"/>
      <c r="BZ27" s="467"/>
      <c r="CA27" s="467"/>
      <c r="CB27" s="467"/>
      <c r="CC27" s="467"/>
      <c r="CD27" s="467"/>
      <c r="CE27" s="467"/>
      <c r="CF27" s="467"/>
      <c r="CG27" s="467"/>
      <c r="CH27" s="467"/>
      <c r="CI27" s="467"/>
      <c r="CJ27" s="467"/>
      <c r="CK27" s="467"/>
      <c r="CL27" s="467"/>
      <c r="CM27" s="467"/>
      <c r="CN27" s="467"/>
      <c r="CO27" s="467"/>
      <c r="CP27" s="467"/>
      <c r="CQ27" s="467"/>
      <c r="CR27" s="467"/>
      <c r="CS27" s="467"/>
      <c r="CT27" s="467"/>
      <c r="CU27" s="467"/>
      <c r="CV27" s="467"/>
      <c r="CW27" s="467"/>
      <c r="CX27" s="467"/>
    </row>
    <row r="28" spans="2:102">
      <c r="B28" s="472"/>
      <c r="C28" s="479"/>
      <c r="D28" s="492"/>
      <c r="E28" s="492"/>
      <c r="F28" s="492"/>
      <c r="G28" s="492"/>
      <c r="H28" s="492"/>
      <c r="I28" s="492"/>
      <c r="J28" s="492"/>
      <c r="K28" s="492"/>
      <c r="L28" s="492"/>
      <c r="M28" s="492"/>
      <c r="N28" s="478"/>
      <c r="O28" s="467"/>
      <c r="P28" s="467"/>
      <c r="Q28" s="467"/>
      <c r="R28" s="467"/>
      <c r="S28" s="467"/>
      <c r="T28" s="467"/>
      <c r="U28" s="467"/>
      <c r="V28" s="467"/>
      <c r="W28" s="467"/>
      <c r="X28" s="467"/>
      <c r="Y28" s="467"/>
      <c r="Z28" s="467"/>
      <c r="AA28" s="467"/>
      <c r="AB28" s="467"/>
      <c r="AC28" s="467"/>
      <c r="AD28" s="467"/>
      <c r="AE28" s="467"/>
      <c r="AF28" s="467"/>
      <c r="AG28" s="467"/>
      <c r="AH28" s="467"/>
      <c r="AI28" s="467"/>
      <c r="AJ28" s="467"/>
      <c r="AK28" s="467"/>
      <c r="AL28" s="467"/>
      <c r="AM28" s="467"/>
      <c r="AN28" s="467"/>
      <c r="AO28" s="467"/>
      <c r="AP28" s="467"/>
      <c r="AQ28" s="467"/>
      <c r="AR28" s="467"/>
      <c r="AS28" s="467"/>
      <c r="AT28" s="467"/>
      <c r="AU28" s="467"/>
      <c r="AV28" s="467"/>
      <c r="AW28" s="467"/>
      <c r="AX28" s="467"/>
      <c r="AY28" s="467"/>
      <c r="AZ28" s="467"/>
      <c r="BA28" s="467"/>
      <c r="BB28" s="467"/>
      <c r="BC28" s="467"/>
      <c r="BD28" s="467"/>
      <c r="BE28" s="467"/>
      <c r="BF28" s="467"/>
      <c r="BG28" s="467"/>
      <c r="BH28" s="467"/>
      <c r="BI28" s="467"/>
      <c r="BJ28" s="467"/>
      <c r="BK28" s="467"/>
      <c r="BL28" s="467"/>
      <c r="BM28" s="467"/>
      <c r="BN28" s="467"/>
      <c r="BO28" s="467"/>
      <c r="BP28" s="467"/>
      <c r="BQ28" s="467"/>
      <c r="BR28" s="467"/>
      <c r="BS28" s="467"/>
      <c r="BT28" s="467"/>
      <c r="BU28" s="467"/>
      <c r="BV28" s="467"/>
      <c r="BW28" s="467"/>
      <c r="BX28" s="467"/>
      <c r="BY28" s="467"/>
      <c r="BZ28" s="467"/>
      <c r="CA28" s="467"/>
      <c r="CB28" s="467"/>
      <c r="CC28" s="467"/>
      <c r="CD28" s="467"/>
      <c r="CE28" s="467"/>
      <c r="CF28" s="467"/>
      <c r="CG28" s="467"/>
      <c r="CH28" s="467"/>
      <c r="CI28" s="467"/>
      <c r="CJ28" s="467"/>
      <c r="CK28" s="467"/>
      <c r="CL28" s="467"/>
      <c r="CM28" s="467"/>
      <c r="CN28" s="467"/>
      <c r="CO28" s="467"/>
      <c r="CP28" s="467"/>
      <c r="CQ28" s="467"/>
      <c r="CR28" s="467"/>
      <c r="CS28" s="467"/>
      <c r="CT28" s="467"/>
      <c r="CU28" s="467"/>
      <c r="CV28" s="467"/>
      <c r="CW28" s="467"/>
      <c r="CX28" s="467"/>
    </row>
    <row r="29" spans="2:102">
      <c r="B29" s="472"/>
      <c r="C29" s="479"/>
      <c r="D29" s="492"/>
      <c r="E29" s="492"/>
      <c r="F29" s="492"/>
      <c r="G29" s="492"/>
      <c r="H29" s="492"/>
      <c r="I29" s="492"/>
      <c r="J29" s="492"/>
      <c r="K29" s="492"/>
      <c r="L29" s="492"/>
      <c r="M29" s="492"/>
      <c r="N29" s="478"/>
      <c r="O29" s="467"/>
      <c r="P29" s="467"/>
      <c r="Q29" s="467"/>
      <c r="R29" s="467"/>
      <c r="S29" s="467"/>
      <c r="T29" s="467"/>
      <c r="U29" s="467"/>
      <c r="V29" s="467"/>
      <c r="W29" s="467"/>
      <c r="X29" s="467"/>
      <c r="Y29" s="467"/>
      <c r="Z29" s="467"/>
      <c r="AA29" s="467"/>
      <c r="AB29" s="467"/>
      <c r="AC29" s="467"/>
      <c r="AD29" s="467"/>
      <c r="AE29" s="467"/>
      <c r="AF29" s="467"/>
      <c r="AG29" s="467"/>
      <c r="AH29" s="467"/>
      <c r="AI29" s="467"/>
      <c r="AJ29" s="467"/>
      <c r="AK29" s="467"/>
      <c r="AL29" s="467"/>
      <c r="AM29" s="467"/>
      <c r="AN29" s="467"/>
      <c r="AO29" s="467"/>
      <c r="AP29" s="467"/>
      <c r="AQ29" s="467"/>
      <c r="AR29" s="467"/>
      <c r="AS29" s="467"/>
      <c r="AT29" s="467"/>
      <c r="AU29" s="467"/>
      <c r="AV29" s="467"/>
      <c r="AW29" s="467"/>
      <c r="AX29" s="467"/>
      <c r="AY29" s="467"/>
      <c r="AZ29" s="467"/>
      <c r="BA29" s="467"/>
      <c r="BB29" s="467"/>
      <c r="BC29" s="467"/>
      <c r="BD29" s="467"/>
      <c r="BE29" s="467"/>
      <c r="BF29" s="467"/>
      <c r="BG29" s="467"/>
      <c r="BH29" s="467"/>
      <c r="BI29" s="467"/>
      <c r="BJ29" s="467"/>
      <c r="BK29" s="467"/>
      <c r="BL29" s="467"/>
      <c r="BM29" s="467"/>
      <c r="BN29" s="467"/>
      <c r="BO29" s="467"/>
      <c r="BP29" s="467"/>
      <c r="BQ29" s="467"/>
      <c r="BR29" s="467"/>
      <c r="BS29" s="467"/>
      <c r="BT29" s="467"/>
      <c r="BU29" s="467"/>
      <c r="BV29" s="467"/>
      <c r="BW29" s="467"/>
      <c r="BX29" s="467"/>
      <c r="BY29" s="467"/>
      <c r="BZ29" s="467"/>
      <c r="CA29" s="467"/>
      <c r="CB29" s="467"/>
      <c r="CC29" s="467"/>
      <c r="CD29" s="467"/>
      <c r="CE29" s="467"/>
      <c r="CF29" s="467"/>
      <c r="CG29" s="467"/>
      <c r="CH29" s="467"/>
      <c r="CI29" s="467"/>
      <c r="CJ29" s="467"/>
      <c r="CK29" s="467"/>
      <c r="CL29" s="467"/>
      <c r="CM29" s="467"/>
      <c r="CN29" s="467"/>
      <c r="CO29" s="467"/>
      <c r="CP29" s="467"/>
      <c r="CQ29" s="467"/>
      <c r="CR29" s="467"/>
      <c r="CS29" s="467"/>
      <c r="CT29" s="467"/>
      <c r="CU29" s="467"/>
      <c r="CV29" s="467"/>
      <c r="CW29" s="467"/>
      <c r="CX29" s="467"/>
    </row>
    <row r="30" spans="2:102" ht="12.75" thickBot="1">
      <c r="B30" s="472"/>
      <c r="C30" s="483" t="s">
        <v>517</v>
      </c>
      <c r="D30" s="487">
        <f>+D23</f>
        <v>54.123403000000003</v>
      </c>
      <c r="E30" s="487">
        <f t="shared" ref="E30:M30" si="18">+E23</f>
        <v>58.279200000000003</v>
      </c>
      <c r="F30" s="487">
        <f t="shared" si="18"/>
        <v>44.128899999999994</v>
      </c>
      <c r="G30" s="487">
        <f t="shared" si="18"/>
        <v>51.032826999999997</v>
      </c>
      <c r="H30" s="1983">
        <f t="shared" si="18"/>
        <v>72.166600000000003</v>
      </c>
      <c r="I30" s="487">
        <f t="shared" si="18"/>
        <v>64.379000000000005</v>
      </c>
      <c r="J30" s="487">
        <f t="shared" si="18"/>
        <v>62.099000000000004</v>
      </c>
      <c r="K30" s="487">
        <f t="shared" si="18"/>
        <v>52.566000000000003</v>
      </c>
      <c r="L30" s="487">
        <f t="shared" si="18"/>
        <v>64.249000000000009</v>
      </c>
      <c r="M30" s="487">
        <f t="shared" si="18"/>
        <v>54.249000000000002</v>
      </c>
      <c r="N30" s="478"/>
      <c r="O30" s="467" t="s">
        <v>1053</v>
      </c>
      <c r="P30" s="1577"/>
      <c r="Q30" s="1577"/>
      <c r="R30" s="1577"/>
      <c r="S30" s="1577"/>
      <c r="T30" s="1577"/>
      <c r="U30" s="1577"/>
      <c r="V30" s="1577"/>
      <c r="W30" s="467"/>
      <c r="X30" s="467"/>
      <c r="Y30" s="467"/>
      <c r="Z30" s="467"/>
      <c r="AA30" s="467"/>
      <c r="AB30" s="467"/>
      <c r="AC30" s="467"/>
      <c r="AD30" s="467"/>
      <c r="AE30" s="467"/>
      <c r="AF30" s="467"/>
      <c r="AG30" s="467"/>
      <c r="AH30" s="467"/>
      <c r="AI30" s="467"/>
      <c r="AJ30" s="467"/>
      <c r="AK30" s="467"/>
      <c r="AL30" s="467"/>
      <c r="AM30" s="467"/>
      <c r="AN30" s="467"/>
      <c r="AO30" s="467"/>
      <c r="AP30" s="467"/>
      <c r="AQ30" s="467"/>
      <c r="AR30" s="467"/>
      <c r="AS30" s="467"/>
      <c r="AT30" s="467"/>
      <c r="AU30" s="467"/>
      <c r="AV30" s="467"/>
      <c r="AW30" s="467"/>
      <c r="AX30" s="467"/>
      <c r="AY30" s="467"/>
      <c r="AZ30" s="467"/>
      <c r="BA30" s="467"/>
      <c r="BB30" s="467"/>
      <c r="BC30" s="467"/>
      <c r="BD30" s="467"/>
      <c r="BE30" s="467"/>
      <c r="BF30" s="467"/>
      <c r="BG30" s="467"/>
      <c r="BH30" s="467"/>
      <c r="BI30" s="467"/>
      <c r="BJ30" s="467"/>
      <c r="BK30" s="467"/>
      <c r="BL30" s="467"/>
      <c r="BM30" s="467"/>
      <c r="BN30" s="467"/>
      <c r="BO30" s="467"/>
      <c r="BP30" s="467"/>
      <c r="BQ30" s="467"/>
      <c r="BR30" s="467"/>
      <c r="BS30" s="467"/>
      <c r="BT30" s="467"/>
      <c r="BU30" s="467"/>
      <c r="BV30" s="467"/>
      <c r="BW30" s="467"/>
      <c r="BX30" s="467"/>
      <c r="BY30" s="467"/>
      <c r="BZ30" s="467"/>
      <c r="CA30" s="467"/>
      <c r="CB30" s="467"/>
      <c r="CC30" s="467"/>
      <c r="CD30" s="467"/>
      <c r="CE30" s="467"/>
      <c r="CF30" s="467"/>
      <c r="CG30" s="467"/>
      <c r="CH30" s="467"/>
      <c r="CI30" s="467"/>
      <c r="CJ30" s="467"/>
      <c r="CK30" s="467"/>
      <c r="CL30" s="467"/>
      <c r="CM30" s="467"/>
      <c r="CN30" s="467"/>
      <c r="CO30" s="467"/>
      <c r="CP30" s="467"/>
      <c r="CQ30" s="467"/>
      <c r="CR30" s="467"/>
      <c r="CS30" s="467"/>
      <c r="CT30" s="467"/>
      <c r="CU30" s="467"/>
      <c r="CV30" s="467"/>
      <c r="CW30" s="467"/>
      <c r="CX30" s="467"/>
    </row>
    <row r="31" spans="2:102">
      <c r="B31" s="472"/>
      <c r="C31" s="479"/>
      <c r="D31" s="479"/>
      <c r="E31" s="479"/>
      <c r="F31" s="479"/>
      <c r="G31" s="479"/>
      <c r="H31" s="1984">
        <f>SUM(D30:H30)</f>
        <v>279.73093</v>
      </c>
      <c r="I31" s="479"/>
      <c r="J31" s="479"/>
      <c r="K31" s="479"/>
      <c r="L31" s="479"/>
      <c r="M31" s="1984">
        <f>SUM(I30:M30)</f>
        <v>297.54200000000003</v>
      </c>
      <c r="N31" s="478"/>
      <c r="O31" s="467" t="s">
        <v>1053</v>
      </c>
      <c r="P31" s="1577"/>
      <c r="Q31" s="1577"/>
      <c r="R31" s="1577"/>
      <c r="S31" s="1577"/>
      <c r="T31" s="1577"/>
      <c r="U31" s="1577"/>
      <c r="V31" s="1577"/>
      <c r="W31" s="467"/>
      <c r="X31" s="467"/>
      <c r="Y31" s="467"/>
      <c r="Z31" s="467"/>
      <c r="AA31" s="467"/>
      <c r="AB31" s="467"/>
      <c r="AC31" s="467"/>
      <c r="AD31" s="467"/>
      <c r="AE31" s="467"/>
      <c r="AF31" s="467"/>
      <c r="AG31" s="467"/>
      <c r="AH31" s="467"/>
      <c r="AI31" s="467"/>
      <c r="AJ31" s="467"/>
      <c r="AK31" s="467"/>
      <c r="AL31" s="467"/>
      <c r="AM31" s="467"/>
      <c r="AN31" s="467"/>
      <c r="AO31" s="467"/>
      <c r="AP31" s="467"/>
      <c r="AQ31" s="467"/>
      <c r="AR31" s="467"/>
      <c r="AS31" s="467"/>
      <c r="AT31" s="467"/>
      <c r="AU31" s="467"/>
      <c r="AV31" s="467"/>
      <c r="AW31" s="467"/>
      <c r="AX31" s="467"/>
      <c r="AY31" s="467"/>
      <c r="AZ31" s="467"/>
      <c r="BA31" s="467"/>
      <c r="BB31" s="467"/>
      <c r="BC31" s="467"/>
      <c r="BD31" s="467"/>
      <c r="BE31" s="467"/>
      <c r="BF31" s="467"/>
      <c r="BG31" s="467"/>
      <c r="BH31" s="467"/>
      <c r="BI31" s="467"/>
      <c r="BJ31" s="467"/>
      <c r="BK31" s="467"/>
      <c r="BL31" s="467"/>
      <c r="BM31" s="467"/>
      <c r="BN31" s="467"/>
      <c r="BO31" s="467"/>
      <c r="BP31" s="467"/>
      <c r="BQ31" s="467"/>
      <c r="BR31" s="467"/>
      <c r="BS31" s="467"/>
      <c r="BT31" s="467"/>
      <c r="BU31" s="467"/>
      <c r="BV31" s="467"/>
      <c r="BW31" s="467"/>
      <c r="BX31" s="467"/>
      <c r="BY31" s="467"/>
      <c r="BZ31" s="467"/>
      <c r="CA31" s="467"/>
      <c r="CB31" s="467"/>
      <c r="CC31" s="467"/>
      <c r="CD31" s="467"/>
      <c r="CE31" s="467"/>
      <c r="CF31" s="467"/>
      <c r="CG31" s="467"/>
      <c r="CH31" s="467"/>
      <c r="CI31" s="467"/>
      <c r="CJ31" s="467"/>
      <c r="CK31" s="467"/>
      <c r="CL31" s="467"/>
      <c r="CM31" s="467"/>
      <c r="CN31" s="467"/>
      <c r="CO31" s="467"/>
      <c r="CP31" s="467"/>
      <c r="CQ31" s="467"/>
      <c r="CR31" s="467"/>
      <c r="CS31" s="467"/>
      <c r="CT31" s="467"/>
      <c r="CU31" s="467"/>
      <c r="CV31" s="467"/>
      <c r="CW31" s="467"/>
      <c r="CX31" s="467"/>
    </row>
    <row r="32" spans="2:102">
      <c r="B32" s="472"/>
      <c r="C32" s="479"/>
      <c r="D32" s="479"/>
      <c r="E32" s="479"/>
      <c r="F32" s="479"/>
      <c r="G32" s="479"/>
      <c r="H32" s="479"/>
      <c r="I32" s="479"/>
      <c r="J32" s="479"/>
      <c r="K32" s="479"/>
      <c r="L32" s="479"/>
      <c r="M32" s="479"/>
      <c r="N32" s="478"/>
      <c r="O32" s="1577"/>
      <c r="P32" s="1577"/>
      <c r="Q32" s="1577"/>
      <c r="R32" s="1577"/>
      <c r="S32" s="1577"/>
      <c r="T32" s="1577"/>
      <c r="U32" s="1577"/>
      <c r="V32" s="1577"/>
      <c r="W32" s="467"/>
      <c r="X32" s="467"/>
      <c r="Y32" s="467"/>
      <c r="Z32" s="467"/>
      <c r="AA32" s="467"/>
      <c r="AB32" s="467"/>
      <c r="AC32" s="467"/>
      <c r="AD32" s="467"/>
      <c r="AE32" s="467"/>
      <c r="AF32" s="467"/>
      <c r="AG32" s="467"/>
      <c r="AH32" s="467"/>
      <c r="AI32" s="467"/>
      <c r="AJ32" s="467"/>
      <c r="AK32" s="467"/>
      <c r="AL32" s="467"/>
      <c r="AM32" s="467"/>
      <c r="AN32" s="467"/>
      <c r="AO32" s="467"/>
      <c r="AP32" s="467"/>
      <c r="AQ32" s="467"/>
      <c r="AR32" s="467"/>
      <c r="AS32" s="467"/>
      <c r="AT32" s="467"/>
      <c r="AU32" s="467"/>
      <c r="AV32" s="467"/>
      <c r="AW32" s="467"/>
      <c r="AX32" s="467"/>
      <c r="AY32" s="467"/>
      <c r="AZ32" s="467"/>
      <c r="BA32" s="467"/>
      <c r="BB32" s="467"/>
      <c r="BC32" s="467"/>
      <c r="BD32" s="467"/>
      <c r="BE32" s="467"/>
      <c r="BF32" s="467"/>
      <c r="BG32" s="467"/>
      <c r="BH32" s="467"/>
      <c r="BI32" s="467"/>
      <c r="BJ32" s="467"/>
      <c r="BK32" s="467"/>
      <c r="BL32" s="467"/>
      <c r="BM32" s="467"/>
      <c r="BN32" s="467"/>
      <c r="BO32" s="467"/>
      <c r="BP32" s="467"/>
      <c r="BQ32" s="467"/>
      <c r="BR32" s="467"/>
      <c r="BS32" s="467"/>
      <c r="BT32" s="467"/>
      <c r="BU32" s="467"/>
      <c r="BV32" s="467"/>
      <c r="BW32" s="467"/>
      <c r="BX32" s="467"/>
      <c r="BY32" s="467"/>
      <c r="BZ32" s="467"/>
      <c r="CA32" s="467"/>
      <c r="CB32" s="467"/>
      <c r="CC32" s="467"/>
      <c r="CD32" s="467"/>
      <c r="CE32" s="467"/>
      <c r="CF32" s="467"/>
      <c r="CG32" s="467"/>
      <c r="CH32" s="467"/>
      <c r="CI32" s="467"/>
      <c r="CJ32" s="467"/>
      <c r="CK32" s="467"/>
      <c r="CL32" s="467"/>
      <c r="CM32" s="467"/>
      <c r="CN32" s="467"/>
      <c r="CO32" s="467"/>
      <c r="CP32" s="467"/>
      <c r="CQ32" s="467"/>
      <c r="CR32" s="467"/>
      <c r="CS32" s="467"/>
      <c r="CT32" s="467"/>
      <c r="CU32" s="467"/>
      <c r="CV32" s="467"/>
      <c r="CW32" s="467"/>
      <c r="CX32" s="467"/>
    </row>
    <row r="33" spans="1:102" ht="12.75" thickBot="1">
      <c r="A33" s="70" t="s">
        <v>1199</v>
      </c>
      <c r="B33" s="472"/>
      <c r="C33" s="483" t="s">
        <v>64</v>
      </c>
      <c r="D33" s="487">
        <f ca="1">+BG42</f>
        <v>0.6192405636904762</v>
      </c>
      <c r="E33" s="487">
        <f t="shared" ref="E33:M33" ca="1" si="19">+BH42</f>
        <v>2.0217674369047618</v>
      </c>
      <c r="F33" s="487">
        <f t="shared" ca="1" si="19"/>
        <v>3.5528533892857141</v>
      </c>
      <c r="G33" s="487">
        <f t="shared" ca="1" si="19"/>
        <v>4.7031143416666641</v>
      </c>
      <c r="H33" s="1982">
        <f t="shared" ca="1" si="19"/>
        <v>6.5771201357142832</v>
      </c>
      <c r="I33" s="487">
        <f t="shared" ca="1" si="19"/>
        <v>8.8248675964285717</v>
      </c>
      <c r="J33" s="487">
        <f t="shared" ca="1" si="19"/>
        <v>10.33919021547619</v>
      </c>
      <c r="K33" s="487">
        <f t="shared" ca="1" si="19"/>
        <v>11.644449441666668</v>
      </c>
      <c r="L33" s="487">
        <f t="shared" ca="1" si="19"/>
        <v>12.636851525000001</v>
      </c>
      <c r="M33" s="487">
        <f t="shared" ca="1" si="19"/>
        <v>14.099876525000004</v>
      </c>
      <c r="N33" s="478"/>
      <c r="O33" s="467" t="s">
        <v>1053</v>
      </c>
      <c r="P33" s="1577"/>
      <c r="Q33" s="1577"/>
      <c r="R33" s="1577"/>
      <c r="S33" s="1577"/>
      <c r="T33" s="1577"/>
      <c r="U33" s="1577"/>
      <c r="V33" s="1577"/>
      <c r="W33" s="467"/>
      <c r="X33" s="467"/>
      <c r="Y33" s="467"/>
      <c r="Z33" s="467"/>
      <c r="AA33" s="467"/>
      <c r="AB33" s="467"/>
      <c r="AC33" s="467"/>
      <c r="AD33" s="467"/>
      <c r="AE33" s="467"/>
      <c r="AF33" s="467"/>
      <c r="AG33" s="467"/>
      <c r="AH33" s="467"/>
      <c r="AI33" s="467"/>
      <c r="AJ33" s="467"/>
      <c r="AK33" s="467"/>
      <c r="AL33" s="467"/>
      <c r="AM33" s="467"/>
      <c r="AN33" s="467"/>
      <c r="AO33" s="467"/>
      <c r="AP33" s="467"/>
      <c r="AQ33" s="467"/>
      <c r="AR33" s="467"/>
      <c r="AS33" s="467"/>
      <c r="AT33" s="467"/>
      <c r="AU33" s="467"/>
      <c r="AV33" s="467"/>
      <c r="AW33" s="467"/>
      <c r="AX33" s="467"/>
      <c r="AY33" s="467"/>
      <c r="AZ33" s="467"/>
      <c r="BA33" s="467"/>
      <c r="BB33" s="467"/>
      <c r="BC33" s="467"/>
      <c r="BD33" s="467"/>
      <c r="BE33" s="467"/>
      <c r="BF33" s="467"/>
      <c r="BG33" s="467"/>
      <c r="BH33" s="467"/>
      <c r="BI33" s="467"/>
      <c r="BJ33" s="467"/>
      <c r="BK33" s="467"/>
      <c r="BL33" s="467"/>
      <c r="BM33" s="467"/>
      <c r="BN33" s="467"/>
      <c r="BO33" s="467"/>
      <c r="BP33" s="467"/>
      <c r="BQ33" s="467"/>
      <c r="BR33" s="467"/>
      <c r="BS33" s="467"/>
      <c r="BT33" s="467"/>
      <c r="BU33" s="467"/>
      <c r="BV33" s="467"/>
      <c r="BW33" s="467"/>
      <c r="BX33" s="467"/>
      <c r="BY33" s="467"/>
      <c r="BZ33" s="467"/>
      <c r="CA33" s="467"/>
      <c r="CB33" s="467"/>
      <c r="CC33" s="467"/>
      <c r="CD33" s="467"/>
      <c r="CE33" s="467"/>
      <c r="CF33" s="467"/>
      <c r="CG33" s="467"/>
      <c r="CH33" s="467"/>
      <c r="CI33" s="467"/>
      <c r="CJ33" s="467"/>
      <c r="CK33" s="467"/>
      <c r="CL33" s="467"/>
      <c r="CM33" s="467"/>
      <c r="CN33" s="467"/>
      <c r="CO33" s="467"/>
      <c r="CP33" s="467"/>
      <c r="CQ33" s="467"/>
      <c r="CR33" s="467"/>
      <c r="CS33" s="467"/>
      <c r="CT33" s="467"/>
      <c r="CU33" s="467"/>
      <c r="CV33" s="467"/>
      <c r="CW33" s="467"/>
      <c r="CX33" s="467"/>
    </row>
    <row r="34" spans="1:102">
      <c r="B34" s="472"/>
      <c r="C34" s="112"/>
      <c r="D34" s="479"/>
      <c r="E34" s="479"/>
      <c r="F34" s="479"/>
      <c r="G34" s="485"/>
      <c r="H34" s="1984">
        <f ca="1">SUM(D33:H33)</f>
        <v>17.474095867261902</v>
      </c>
      <c r="I34" s="479"/>
      <c r="J34" s="479"/>
      <c r="K34" s="479"/>
      <c r="L34" s="479"/>
      <c r="M34" s="1984">
        <f ca="1">SUM(I33:M33)</f>
        <v>57.545235303571438</v>
      </c>
      <c r="N34" s="493"/>
      <c r="O34" s="467" t="s">
        <v>1053</v>
      </c>
      <c r="P34" s="494"/>
      <c r="Q34" s="494"/>
      <c r="R34" s="494"/>
      <c r="S34" s="494"/>
      <c r="T34" s="494"/>
      <c r="U34" s="494"/>
      <c r="V34" s="494"/>
      <c r="W34" s="494"/>
      <c r="X34" s="494"/>
      <c r="Y34" s="467"/>
      <c r="Z34" s="467"/>
      <c r="AA34" s="467"/>
      <c r="AB34" s="467"/>
      <c r="AC34" s="467"/>
      <c r="AD34" s="467"/>
      <c r="AE34" s="467"/>
      <c r="AF34" s="467"/>
      <c r="AG34" s="467"/>
      <c r="AH34" s="467"/>
      <c r="AI34" s="467"/>
      <c r="AJ34" s="467"/>
      <c r="AK34" s="467"/>
      <c r="AL34" s="467"/>
      <c r="AM34" s="467"/>
      <c r="AN34" s="467"/>
      <c r="AO34" s="467"/>
      <c r="AP34" s="467"/>
      <c r="AQ34" s="467"/>
      <c r="AR34" s="467"/>
      <c r="AS34" s="467"/>
      <c r="AT34" s="467"/>
      <c r="AU34" s="467"/>
      <c r="AV34" s="467"/>
      <c r="AW34" s="467"/>
      <c r="AX34" s="467"/>
      <c r="AY34" s="467"/>
      <c r="AZ34" s="467"/>
      <c r="BA34" s="467"/>
      <c r="BB34" s="467"/>
      <c r="BC34" s="467"/>
      <c r="BD34" s="467"/>
      <c r="BE34" s="467"/>
      <c r="BF34" s="467"/>
      <c r="BG34" s="467"/>
      <c r="BH34" s="467"/>
      <c r="BI34" s="467"/>
      <c r="BJ34" s="467"/>
      <c r="BK34" s="467"/>
      <c r="BL34" s="467"/>
      <c r="BM34" s="467"/>
      <c r="BN34" s="467"/>
      <c r="BO34" s="467"/>
      <c r="BP34" s="467"/>
      <c r="BQ34" s="467"/>
      <c r="BR34" s="467"/>
      <c r="BS34" s="467"/>
      <c r="BT34" s="467"/>
      <c r="BU34" s="467"/>
      <c r="BV34" s="467"/>
      <c r="BW34" s="467"/>
      <c r="BX34" s="467"/>
      <c r="BY34" s="467"/>
      <c r="BZ34" s="467"/>
      <c r="CA34" s="467"/>
      <c r="CB34" s="467"/>
      <c r="CC34" s="467"/>
      <c r="CD34" s="467"/>
      <c r="CE34" s="467"/>
      <c r="CF34" s="467"/>
      <c r="CG34" s="467"/>
      <c r="CH34" s="467"/>
      <c r="CI34" s="467"/>
      <c r="CJ34" s="467"/>
      <c r="CK34" s="467"/>
      <c r="CL34" s="467"/>
      <c r="CM34" s="467"/>
      <c r="CN34" s="467"/>
      <c r="CO34" s="467"/>
      <c r="CP34" s="467"/>
      <c r="CQ34" s="467"/>
      <c r="CR34" s="467"/>
      <c r="CS34" s="467"/>
      <c r="CT34" s="467"/>
      <c r="CU34" s="467"/>
      <c r="CV34" s="467"/>
      <c r="CW34" s="467"/>
      <c r="CX34" s="467"/>
    </row>
    <row r="35" spans="1:102" ht="12.75" thickBot="1">
      <c r="B35" s="495"/>
      <c r="C35" s="496"/>
      <c r="D35" s="497"/>
      <c r="E35" s="497"/>
      <c r="F35" s="497"/>
      <c r="G35" s="498"/>
      <c r="H35" s="498"/>
      <c r="I35" s="498"/>
      <c r="J35" s="498"/>
      <c r="K35" s="498"/>
      <c r="L35" s="498"/>
      <c r="M35" s="498"/>
      <c r="N35" s="499"/>
      <c r="O35" s="500"/>
      <c r="P35" s="500"/>
      <c r="Q35" s="500"/>
      <c r="R35" s="500"/>
      <c r="S35" s="500"/>
      <c r="T35" s="500"/>
      <c r="U35" s="500"/>
      <c r="V35" s="500"/>
      <c r="W35" s="500"/>
      <c r="X35" s="500"/>
      <c r="Y35" s="467"/>
      <c r="Z35" s="467"/>
      <c r="AA35" s="467"/>
      <c r="AB35" s="467"/>
      <c r="AC35" s="467"/>
      <c r="AD35" s="467"/>
      <c r="AE35" s="467"/>
      <c r="AF35" s="467"/>
      <c r="AG35" s="467"/>
      <c r="AH35" s="467"/>
      <c r="AI35" s="467"/>
      <c r="AJ35" s="467"/>
      <c r="AK35" s="467"/>
      <c r="AL35" s="467"/>
      <c r="AM35" s="467"/>
      <c r="AN35" s="467"/>
      <c r="AO35" s="467"/>
      <c r="AP35" s="467"/>
      <c r="AQ35" s="467"/>
      <c r="AR35" s="467"/>
      <c r="AS35" s="467"/>
      <c r="AT35" s="467"/>
      <c r="AU35" s="467"/>
      <c r="AV35" s="467"/>
      <c r="AW35" s="467"/>
      <c r="AX35" s="467"/>
      <c r="AY35" s="467"/>
      <c r="AZ35" s="467"/>
      <c r="BA35" s="467"/>
      <c r="BB35" s="467"/>
      <c r="BC35" s="467"/>
      <c r="BD35" s="467"/>
      <c r="BE35" s="467"/>
      <c r="BF35" s="467"/>
      <c r="BG35" s="467"/>
      <c r="BH35" s="467"/>
      <c r="BI35" s="467"/>
      <c r="BJ35" s="467"/>
      <c r="BK35" s="467"/>
      <c r="BL35" s="467"/>
      <c r="BM35" s="467"/>
      <c r="BN35" s="467"/>
      <c r="BO35" s="467"/>
      <c r="BP35" s="467"/>
      <c r="BQ35" s="467"/>
      <c r="BR35" s="467"/>
      <c r="BS35" s="467"/>
      <c r="BT35" s="467"/>
      <c r="BU35" s="467"/>
      <c r="BV35" s="467"/>
      <c r="BW35" s="467"/>
      <c r="BX35" s="467"/>
      <c r="BY35" s="467"/>
      <c r="BZ35" s="467"/>
      <c r="CA35" s="467"/>
      <c r="CB35" s="467"/>
      <c r="CC35" s="467"/>
      <c r="CD35" s="467"/>
      <c r="CE35" s="467"/>
      <c r="CF35" s="467"/>
      <c r="CG35" s="467"/>
      <c r="CH35" s="467"/>
      <c r="CI35" s="467"/>
      <c r="CJ35" s="467"/>
      <c r="CK35" s="467"/>
      <c r="CL35" s="467"/>
      <c r="CM35" s="467"/>
      <c r="CN35" s="467"/>
      <c r="CO35" s="467"/>
      <c r="CP35" s="467"/>
      <c r="CQ35" s="467"/>
      <c r="CR35" s="467"/>
      <c r="CS35" s="467"/>
      <c r="CT35" s="467"/>
      <c r="CU35" s="467"/>
      <c r="CV35" s="467"/>
      <c r="CW35" s="467"/>
      <c r="CX35" s="467"/>
    </row>
    <row r="36" spans="1:102">
      <c r="B36" s="74" t="str">
        <f>Opex_FO!B6</f>
        <v>$m, 01/01/26</v>
      </c>
      <c r="C36" s="112"/>
      <c r="D36" s="479"/>
      <c r="E36" s="479"/>
      <c r="F36" s="479"/>
      <c r="G36" s="485"/>
      <c r="H36" s="485"/>
      <c r="I36" s="485"/>
      <c r="J36" s="485"/>
      <c r="K36" s="485"/>
      <c r="L36" s="485"/>
      <c r="M36" s="485"/>
      <c r="N36" s="485"/>
      <c r="O36" s="467"/>
      <c r="P36" s="485"/>
      <c r="Q36" s="467"/>
      <c r="R36" s="467"/>
      <c r="S36" s="467"/>
      <c r="T36" s="467"/>
      <c r="U36" s="467"/>
      <c r="V36" s="467"/>
      <c r="W36" s="467"/>
      <c r="X36" s="467"/>
      <c r="Y36" s="467"/>
      <c r="Z36" s="467"/>
      <c r="AA36" s="467"/>
      <c r="AB36" s="467"/>
      <c r="AC36" s="467"/>
      <c r="AD36" s="467"/>
      <c r="AE36" s="467"/>
      <c r="AF36" s="467"/>
      <c r="AG36" s="467"/>
      <c r="AH36" s="467"/>
      <c r="AI36" s="467"/>
      <c r="AJ36" s="467"/>
      <c r="AK36" s="467"/>
      <c r="AL36" s="467"/>
      <c r="AM36" s="467"/>
      <c r="AN36" s="467"/>
      <c r="AO36" s="467"/>
      <c r="AP36" s="467"/>
      <c r="AQ36" s="467"/>
      <c r="AR36" s="467"/>
      <c r="AS36" s="467"/>
      <c r="AT36" s="467"/>
      <c r="AU36" s="467"/>
      <c r="AV36" s="467"/>
      <c r="AW36" s="467"/>
      <c r="AX36" s="467"/>
      <c r="AY36" s="467"/>
      <c r="AZ36" s="467"/>
      <c r="BA36" s="467"/>
      <c r="BB36" s="467"/>
      <c r="BC36" s="467"/>
      <c r="BD36" s="467"/>
      <c r="BE36" s="467"/>
      <c r="BF36" s="467"/>
      <c r="BG36" s="467"/>
      <c r="BH36" s="467"/>
      <c r="BI36" s="467"/>
      <c r="BJ36" s="467"/>
      <c r="BK36" s="467"/>
      <c r="BL36" s="467"/>
      <c r="BM36" s="467"/>
      <c r="BN36" s="467"/>
      <c r="BO36" s="467"/>
      <c r="BP36" s="467"/>
      <c r="BQ36" s="467"/>
      <c r="BR36" s="467"/>
      <c r="BS36" s="467"/>
      <c r="BT36" s="467"/>
      <c r="BU36" s="467"/>
      <c r="BV36" s="467"/>
      <c r="BW36" s="467"/>
      <c r="BX36" s="467"/>
      <c r="BY36" s="467"/>
      <c r="BZ36" s="467"/>
      <c r="CA36" s="467"/>
      <c r="CB36" s="467"/>
      <c r="CC36" s="467"/>
      <c r="CD36" s="467"/>
      <c r="CE36" s="467"/>
      <c r="CF36" s="467"/>
      <c r="CG36" s="467"/>
      <c r="CH36" s="467"/>
      <c r="CI36" s="467"/>
      <c r="CJ36" s="467"/>
      <c r="CK36" s="467"/>
      <c r="CL36" s="467"/>
      <c r="CM36" s="467"/>
      <c r="CN36" s="467"/>
      <c r="CO36" s="467"/>
      <c r="CP36" s="467"/>
      <c r="CQ36" s="467"/>
      <c r="CR36" s="467"/>
      <c r="CS36" s="467"/>
      <c r="CT36" s="467"/>
      <c r="CU36" s="467"/>
      <c r="CV36" s="467"/>
      <c r="CW36" s="467"/>
      <c r="CX36" s="467"/>
    </row>
    <row r="37" spans="1:102">
      <c r="B37" s="467"/>
      <c r="C37" s="467"/>
      <c r="D37" s="467"/>
      <c r="E37" s="467"/>
      <c r="F37" s="467"/>
      <c r="G37" s="467"/>
      <c r="H37" s="467"/>
      <c r="I37" s="467"/>
      <c r="J37" s="467"/>
      <c r="K37" s="467"/>
      <c r="L37" s="467"/>
      <c r="M37" s="467"/>
      <c r="N37" s="467"/>
      <c r="O37" s="501" t="s">
        <v>23</v>
      </c>
      <c r="P37" s="467"/>
      <c r="Q37" s="467"/>
      <c r="R37" s="467"/>
      <c r="S37" s="467"/>
      <c r="T37" s="467"/>
      <c r="U37" s="467"/>
      <c r="V37" s="467"/>
      <c r="W37" s="467"/>
      <c r="X37" s="467"/>
      <c r="Y37" s="467"/>
      <c r="Z37" s="501" t="s">
        <v>19</v>
      </c>
      <c r="AA37" s="467"/>
      <c r="AB37" s="467"/>
      <c r="AC37" s="467"/>
      <c r="AD37" s="467"/>
      <c r="AE37" s="467"/>
      <c r="AF37" s="467"/>
      <c r="AG37" s="467"/>
      <c r="AH37" s="467"/>
      <c r="AI37" s="467"/>
      <c r="AJ37" s="467"/>
      <c r="AK37" s="501" t="s">
        <v>22</v>
      </c>
      <c r="AL37" s="467"/>
      <c r="AM37" s="467"/>
      <c r="AN37" s="467"/>
      <c r="AO37" s="467"/>
      <c r="AP37" s="467"/>
      <c r="AQ37" s="467"/>
      <c r="AR37" s="467"/>
      <c r="AS37" s="467"/>
      <c r="AT37" s="467"/>
      <c r="AU37" s="467"/>
      <c r="AV37" s="501" t="s">
        <v>24</v>
      </c>
      <c r="AW37" s="467"/>
      <c r="AX37" s="467"/>
      <c r="AY37" s="467"/>
      <c r="AZ37" s="467"/>
      <c r="BA37" s="467"/>
      <c r="BB37" s="467"/>
      <c r="BC37" s="467"/>
      <c r="BD37" s="467"/>
      <c r="BE37" s="467"/>
      <c r="BF37" s="467"/>
      <c r="BG37" s="501" t="s">
        <v>64</v>
      </c>
      <c r="BH37" s="467"/>
      <c r="BI37" s="467"/>
      <c r="BJ37" s="467"/>
      <c r="BK37" s="467"/>
      <c r="BL37" s="467"/>
      <c r="BM37" s="467"/>
      <c r="BN37" s="467"/>
      <c r="BO37" s="467"/>
      <c r="BP37" s="467"/>
      <c r="BQ37" s="467"/>
      <c r="BR37" s="501" t="s">
        <v>293</v>
      </c>
      <c r="BS37" s="467"/>
      <c r="BT37" s="467"/>
      <c r="BU37" s="467"/>
      <c r="BV37" s="467"/>
      <c r="BW37" s="467"/>
      <c r="BX37" s="467"/>
      <c r="BY37" s="467"/>
      <c r="BZ37" s="467"/>
      <c r="CA37" s="467"/>
      <c r="CB37" s="467"/>
      <c r="CC37" s="501" t="s">
        <v>23</v>
      </c>
      <c r="CD37" s="467"/>
      <c r="CE37" s="467"/>
      <c r="CF37" s="467"/>
      <c r="CG37" s="467"/>
      <c r="CH37" s="467"/>
      <c r="CI37" s="467"/>
      <c r="CJ37" s="467"/>
      <c r="CK37" s="467"/>
      <c r="CL37" s="467"/>
      <c r="CM37" s="467"/>
      <c r="CN37" s="501" t="s">
        <v>522</v>
      </c>
      <c r="CO37" s="467"/>
      <c r="CP37" s="467"/>
      <c r="CQ37" s="467"/>
      <c r="CR37" s="467"/>
      <c r="CS37" s="467"/>
      <c r="CT37" s="467"/>
      <c r="CU37" s="467"/>
      <c r="CV37" s="467"/>
      <c r="CW37" s="467"/>
      <c r="CX37" s="467"/>
    </row>
    <row r="38" spans="1:102">
      <c r="B38" s="502"/>
      <c r="C38" s="467"/>
      <c r="D38" s="467"/>
      <c r="E38" s="467"/>
      <c r="F38" s="467"/>
      <c r="G38" s="467"/>
      <c r="H38" s="467"/>
      <c r="I38" s="467"/>
      <c r="J38" s="467"/>
      <c r="K38" s="467"/>
      <c r="L38" s="467"/>
      <c r="M38" s="467"/>
      <c r="N38" s="467"/>
      <c r="O38" s="74" t="str">
        <f>Opex_FO!$B$6</f>
        <v>$m, 01/01/26</v>
      </c>
      <c r="P38" s="467"/>
      <c r="Q38" s="467"/>
      <c r="R38" s="467"/>
      <c r="S38" s="467"/>
      <c r="T38" s="467"/>
      <c r="U38" s="467"/>
      <c r="V38" s="467"/>
      <c r="W38" s="467"/>
      <c r="X38" s="467"/>
      <c r="Y38" s="467"/>
      <c r="Z38" s="74" t="str">
        <f>O38</f>
        <v>$m, 01/01/26</v>
      </c>
      <c r="AA38" s="467"/>
      <c r="AB38" s="467"/>
      <c r="AC38" s="467"/>
      <c r="AD38" s="467"/>
      <c r="AE38" s="467"/>
      <c r="AF38" s="467"/>
      <c r="AG38" s="467"/>
      <c r="AH38" s="467"/>
      <c r="AI38" s="467"/>
      <c r="AJ38" s="467"/>
      <c r="AK38" s="74" t="str">
        <f>Z38</f>
        <v>$m, 01/01/26</v>
      </c>
      <c r="AL38" s="467"/>
      <c r="AM38" s="467"/>
      <c r="AN38" s="467"/>
      <c r="AO38" s="467"/>
      <c r="AP38" s="467"/>
      <c r="AQ38" s="467"/>
      <c r="AR38" s="467"/>
      <c r="AS38" s="467"/>
      <c r="AT38" s="467"/>
      <c r="AU38" s="467"/>
      <c r="AV38" s="74" t="str">
        <f>AK38</f>
        <v>$m, 01/01/26</v>
      </c>
      <c r="AW38" s="467"/>
      <c r="AX38" s="467"/>
      <c r="AY38" s="467"/>
      <c r="AZ38" s="467"/>
      <c r="BA38" s="467"/>
      <c r="BB38" s="467"/>
      <c r="BC38" s="467"/>
      <c r="BD38" s="467"/>
      <c r="BE38" s="467"/>
      <c r="BF38" s="467"/>
      <c r="BG38" s="74" t="str">
        <f>AV38</f>
        <v>$m, 01/01/26</v>
      </c>
      <c r="BH38" s="467"/>
      <c r="BI38" s="467"/>
      <c r="BJ38" s="467"/>
      <c r="BK38" s="467"/>
      <c r="BL38" s="467"/>
      <c r="BM38" s="467"/>
      <c r="BN38" s="467"/>
      <c r="BO38" s="467"/>
      <c r="BP38" s="467"/>
      <c r="BQ38" s="467"/>
      <c r="BR38" s="74" t="str">
        <f>BG38</f>
        <v>$m, 01/01/26</v>
      </c>
      <c r="BS38" s="467"/>
      <c r="BT38" s="467"/>
      <c r="BU38" s="467"/>
      <c r="BV38" s="467"/>
      <c r="BW38" s="467"/>
      <c r="BX38" s="467"/>
      <c r="BY38" s="467"/>
      <c r="BZ38" s="467"/>
      <c r="CA38" s="467"/>
      <c r="CB38" s="467"/>
      <c r="CC38" s="74" t="s">
        <v>523</v>
      </c>
      <c r="CD38" s="467"/>
      <c r="CE38" s="467"/>
      <c r="CF38" s="467"/>
      <c r="CG38" s="467"/>
      <c r="CH38" s="467"/>
      <c r="CI38" s="467"/>
      <c r="CJ38" s="467"/>
      <c r="CK38" s="467"/>
      <c r="CL38" s="467"/>
      <c r="CM38" s="467"/>
      <c r="CN38" s="74" t="s">
        <v>523</v>
      </c>
      <c r="CO38" s="467"/>
      <c r="CP38" s="467"/>
      <c r="CQ38" s="467"/>
      <c r="CR38" s="467"/>
      <c r="CS38" s="467"/>
      <c r="CT38" s="467"/>
      <c r="CU38" s="467"/>
      <c r="CV38" s="467"/>
      <c r="CW38" s="467"/>
      <c r="CX38" s="467"/>
    </row>
    <row r="39" spans="1:102">
      <c r="B39" s="502"/>
      <c r="C39" s="467"/>
      <c r="D39" s="467"/>
      <c r="E39" s="467"/>
      <c r="F39" s="467"/>
      <c r="G39" s="467"/>
      <c r="H39" s="467"/>
      <c r="I39" s="467"/>
      <c r="J39" s="467"/>
      <c r="K39" s="467"/>
      <c r="L39" s="467"/>
      <c r="M39" s="467"/>
      <c r="N39" s="467"/>
      <c r="O39" s="467"/>
      <c r="P39" s="467"/>
      <c r="Q39" s="467"/>
      <c r="R39" s="467"/>
      <c r="S39" s="467"/>
      <c r="T39" s="467"/>
      <c r="U39" s="467"/>
      <c r="V39" s="467"/>
      <c r="W39" s="467"/>
      <c r="X39" s="467"/>
      <c r="Y39" s="467"/>
      <c r="Z39" s="74"/>
      <c r="AA39" s="467"/>
      <c r="AB39" s="467"/>
      <c r="AC39" s="467"/>
      <c r="AD39" s="467"/>
      <c r="AE39" s="467"/>
      <c r="AF39" s="467"/>
      <c r="AG39" s="467"/>
      <c r="AH39" s="467"/>
      <c r="AI39" s="467"/>
      <c r="AJ39" s="467"/>
      <c r="AK39" s="74"/>
      <c r="AL39" s="467"/>
      <c r="AM39" s="467"/>
      <c r="AN39" s="467"/>
      <c r="AO39" s="467"/>
      <c r="AP39" s="467"/>
      <c r="AQ39" s="467"/>
      <c r="AR39" s="467"/>
      <c r="AS39" s="467"/>
      <c r="AT39" s="467"/>
      <c r="AU39" s="467"/>
      <c r="AV39" s="467"/>
      <c r="AW39" s="467"/>
      <c r="AX39" s="467"/>
      <c r="AY39" s="467"/>
      <c r="AZ39" s="467"/>
      <c r="BA39" s="467"/>
      <c r="BB39" s="467"/>
      <c r="BC39" s="467"/>
      <c r="BD39" s="467"/>
      <c r="BE39" s="467"/>
      <c r="BF39" s="467"/>
      <c r="BG39" s="1612"/>
      <c r="BH39" s="467"/>
      <c r="BI39" s="467"/>
      <c r="BJ39" s="467"/>
      <c r="BK39" s="467"/>
      <c r="BL39" s="467"/>
      <c r="BM39" s="467"/>
      <c r="BN39" s="467"/>
      <c r="BO39" s="467"/>
      <c r="BP39" s="467"/>
      <c r="BQ39" s="467"/>
      <c r="BR39" s="467"/>
      <c r="BS39" s="467"/>
      <c r="BT39" s="467"/>
      <c r="BU39" s="467"/>
      <c r="BV39" s="467"/>
      <c r="BW39" s="467"/>
      <c r="BX39" s="467"/>
      <c r="BY39" s="467"/>
      <c r="BZ39" s="467"/>
      <c r="CA39" s="467"/>
      <c r="CB39" s="467"/>
      <c r="CC39" s="467"/>
      <c r="CD39" s="467"/>
      <c r="CE39" s="467"/>
      <c r="CF39" s="467"/>
      <c r="CG39" s="467"/>
      <c r="CH39" s="467"/>
      <c r="CI39" s="467"/>
      <c r="CJ39" s="467"/>
      <c r="CK39" s="467"/>
      <c r="CL39" s="467"/>
      <c r="CM39" s="467"/>
      <c r="CN39" s="467"/>
      <c r="CO39" s="467"/>
      <c r="CP39" s="467"/>
      <c r="CQ39" s="467"/>
      <c r="CR39" s="467"/>
      <c r="CS39" s="467"/>
      <c r="CT39" s="467"/>
      <c r="CU39" s="467"/>
      <c r="CV39" s="467"/>
      <c r="CW39" s="467"/>
      <c r="CX39" s="467"/>
    </row>
    <row r="40" spans="1:102">
      <c r="B40" s="502"/>
      <c r="C40" s="467"/>
      <c r="D40" s="467"/>
      <c r="E40" s="467"/>
      <c r="G40" s="467"/>
      <c r="H40" s="467"/>
      <c r="I40" s="467"/>
      <c r="K40" s="467"/>
      <c r="L40" s="467"/>
      <c r="M40" s="467"/>
      <c r="N40" s="467"/>
      <c r="O40" s="503" t="s">
        <v>527</v>
      </c>
      <c r="P40" s="503" t="s">
        <v>528</v>
      </c>
      <c r="Q40" s="503" t="s">
        <v>963</v>
      </c>
      <c r="R40" s="503" t="s">
        <v>964</v>
      </c>
      <c r="S40" s="503" t="s">
        <v>965</v>
      </c>
      <c r="T40" s="503" t="s">
        <v>966</v>
      </c>
      <c r="U40" s="503" t="s">
        <v>967</v>
      </c>
      <c r="V40" s="503" t="s">
        <v>968</v>
      </c>
      <c r="W40" s="503" t="s">
        <v>969</v>
      </c>
      <c r="X40" s="503" t="s">
        <v>970</v>
      </c>
      <c r="Y40" s="504"/>
      <c r="Z40" s="503" t="str">
        <f t="shared" ref="Z40:AI40" si="20">O$40</f>
        <v>2026-27</v>
      </c>
      <c r="AA40" s="503" t="str">
        <f t="shared" si="20"/>
        <v>2027-28</v>
      </c>
      <c r="AB40" s="503" t="str">
        <f t="shared" si="20"/>
        <v>2028-29</v>
      </c>
      <c r="AC40" s="503" t="str">
        <f t="shared" si="20"/>
        <v>2029-30</v>
      </c>
      <c r="AD40" s="503" t="str">
        <f t="shared" si="20"/>
        <v>2030-31</v>
      </c>
      <c r="AE40" s="503" t="str">
        <f t="shared" si="20"/>
        <v>2031-32</v>
      </c>
      <c r="AF40" s="503" t="str">
        <f t="shared" si="20"/>
        <v>2032-33</v>
      </c>
      <c r="AG40" s="503" t="str">
        <f t="shared" si="20"/>
        <v>2033-34</v>
      </c>
      <c r="AH40" s="503" t="str">
        <f t="shared" si="20"/>
        <v>2034-35</v>
      </c>
      <c r="AI40" s="503" t="str">
        <f t="shared" si="20"/>
        <v>2035-36</v>
      </c>
      <c r="AJ40" s="504"/>
      <c r="AK40" s="503" t="str">
        <f>Z$40</f>
        <v>2026-27</v>
      </c>
      <c r="AL40" s="503" t="str">
        <f t="shared" ref="AL40:AT40" si="21">AA$40</f>
        <v>2027-28</v>
      </c>
      <c r="AM40" s="503" t="str">
        <f t="shared" si="21"/>
        <v>2028-29</v>
      </c>
      <c r="AN40" s="503" t="str">
        <f t="shared" si="21"/>
        <v>2029-30</v>
      </c>
      <c r="AO40" s="503" t="str">
        <f t="shared" si="21"/>
        <v>2030-31</v>
      </c>
      <c r="AP40" s="503" t="str">
        <f t="shared" si="21"/>
        <v>2031-32</v>
      </c>
      <c r="AQ40" s="503" t="str">
        <f t="shared" si="21"/>
        <v>2032-33</v>
      </c>
      <c r="AR40" s="503" t="str">
        <f t="shared" si="21"/>
        <v>2033-34</v>
      </c>
      <c r="AS40" s="503" t="str">
        <f t="shared" si="21"/>
        <v>2034-35</v>
      </c>
      <c r="AT40" s="503" t="str">
        <f t="shared" si="21"/>
        <v>2035-36</v>
      </c>
      <c r="AU40" s="504"/>
      <c r="AV40" s="503" t="str">
        <f t="shared" ref="AV40:BE40" si="22">AK$40</f>
        <v>2026-27</v>
      </c>
      <c r="AW40" s="503" t="str">
        <f t="shared" si="22"/>
        <v>2027-28</v>
      </c>
      <c r="AX40" s="503" t="str">
        <f t="shared" si="22"/>
        <v>2028-29</v>
      </c>
      <c r="AY40" s="503" t="str">
        <f t="shared" si="22"/>
        <v>2029-30</v>
      </c>
      <c r="AZ40" s="503" t="str">
        <f t="shared" si="22"/>
        <v>2030-31</v>
      </c>
      <c r="BA40" s="503" t="str">
        <f t="shared" si="22"/>
        <v>2031-32</v>
      </c>
      <c r="BB40" s="503" t="str">
        <f t="shared" si="22"/>
        <v>2032-33</v>
      </c>
      <c r="BC40" s="503" t="str">
        <f t="shared" si="22"/>
        <v>2033-34</v>
      </c>
      <c r="BD40" s="503" t="str">
        <f t="shared" si="22"/>
        <v>2034-35</v>
      </c>
      <c r="BE40" s="503" t="str">
        <f t="shared" si="22"/>
        <v>2035-36</v>
      </c>
      <c r="BF40" s="504"/>
      <c r="BG40" s="503" t="str">
        <f t="shared" ref="BG40:BP40" si="23">AV$40</f>
        <v>2026-27</v>
      </c>
      <c r="BH40" s="503" t="str">
        <f t="shared" si="23"/>
        <v>2027-28</v>
      </c>
      <c r="BI40" s="503" t="str">
        <f t="shared" si="23"/>
        <v>2028-29</v>
      </c>
      <c r="BJ40" s="503" t="str">
        <f t="shared" si="23"/>
        <v>2029-30</v>
      </c>
      <c r="BK40" s="503" t="str">
        <f t="shared" si="23"/>
        <v>2030-31</v>
      </c>
      <c r="BL40" s="503" t="str">
        <f t="shared" si="23"/>
        <v>2031-32</v>
      </c>
      <c r="BM40" s="503" t="str">
        <f t="shared" si="23"/>
        <v>2032-33</v>
      </c>
      <c r="BN40" s="503" t="str">
        <f t="shared" si="23"/>
        <v>2033-34</v>
      </c>
      <c r="BO40" s="503" t="str">
        <f t="shared" si="23"/>
        <v>2034-35</v>
      </c>
      <c r="BP40" s="503" t="str">
        <f t="shared" si="23"/>
        <v>2035-36</v>
      </c>
      <c r="BQ40" s="504"/>
      <c r="BR40" s="503" t="str">
        <f t="shared" ref="BR40:CA40" si="24">BG$40</f>
        <v>2026-27</v>
      </c>
      <c r="BS40" s="503" t="str">
        <f t="shared" si="24"/>
        <v>2027-28</v>
      </c>
      <c r="BT40" s="503" t="str">
        <f t="shared" si="24"/>
        <v>2028-29</v>
      </c>
      <c r="BU40" s="503" t="str">
        <f t="shared" si="24"/>
        <v>2029-30</v>
      </c>
      <c r="BV40" s="503" t="str">
        <f t="shared" si="24"/>
        <v>2030-31</v>
      </c>
      <c r="BW40" s="503" t="str">
        <f t="shared" si="24"/>
        <v>2031-32</v>
      </c>
      <c r="BX40" s="503" t="str">
        <f t="shared" si="24"/>
        <v>2032-33</v>
      </c>
      <c r="BY40" s="503" t="str">
        <f t="shared" si="24"/>
        <v>2033-34</v>
      </c>
      <c r="BZ40" s="503" t="str">
        <f t="shared" si="24"/>
        <v>2034-35</v>
      </c>
      <c r="CA40" s="503" t="str">
        <f t="shared" si="24"/>
        <v>2035-36</v>
      </c>
      <c r="CB40" s="504"/>
      <c r="CC40" s="503" t="str">
        <f t="shared" ref="CC40:CL40" si="25">BR$40</f>
        <v>2026-27</v>
      </c>
      <c r="CD40" s="503" t="str">
        <f t="shared" si="25"/>
        <v>2027-28</v>
      </c>
      <c r="CE40" s="503" t="str">
        <f t="shared" si="25"/>
        <v>2028-29</v>
      </c>
      <c r="CF40" s="503" t="str">
        <f t="shared" si="25"/>
        <v>2029-30</v>
      </c>
      <c r="CG40" s="503" t="str">
        <f t="shared" si="25"/>
        <v>2030-31</v>
      </c>
      <c r="CH40" s="503" t="str">
        <f t="shared" si="25"/>
        <v>2031-32</v>
      </c>
      <c r="CI40" s="503" t="str">
        <f t="shared" si="25"/>
        <v>2032-33</v>
      </c>
      <c r="CJ40" s="503" t="str">
        <f t="shared" si="25"/>
        <v>2033-34</v>
      </c>
      <c r="CK40" s="503" t="str">
        <f t="shared" si="25"/>
        <v>2034-35</v>
      </c>
      <c r="CL40" s="503" t="str">
        <f t="shared" si="25"/>
        <v>2035-36</v>
      </c>
      <c r="CM40" s="504"/>
      <c r="CN40" s="503" t="str">
        <f t="shared" ref="CN40:CW40" si="26">CC$40</f>
        <v>2026-27</v>
      </c>
      <c r="CO40" s="503" t="str">
        <f t="shared" si="26"/>
        <v>2027-28</v>
      </c>
      <c r="CP40" s="503" t="str">
        <f t="shared" si="26"/>
        <v>2028-29</v>
      </c>
      <c r="CQ40" s="503" t="str">
        <f t="shared" si="26"/>
        <v>2029-30</v>
      </c>
      <c r="CR40" s="503" t="str">
        <f t="shared" si="26"/>
        <v>2030-31</v>
      </c>
      <c r="CS40" s="503" t="str">
        <f t="shared" si="26"/>
        <v>2031-32</v>
      </c>
      <c r="CT40" s="503" t="str">
        <f t="shared" si="26"/>
        <v>2032-33</v>
      </c>
      <c r="CU40" s="503" t="str">
        <f t="shared" si="26"/>
        <v>2033-34</v>
      </c>
      <c r="CV40" s="503" t="str">
        <f t="shared" si="26"/>
        <v>2034-35</v>
      </c>
      <c r="CW40" s="503" t="str">
        <f t="shared" si="26"/>
        <v>2035-36</v>
      </c>
      <c r="CX40" s="467"/>
    </row>
    <row r="41" spans="1:102" ht="12.75" thickBot="1">
      <c r="B41" s="502"/>
      <c r="C41" s="467"/>
      <c r="D41" s="467"/>
      <c r="E41" s="467"/>
      <c r="F41" s="467"/>
      <c r="G41" s="467"/>
      <c r="H41" s="467"/>
      <c r="I41" s="467"/>
      <c r="J41" s="467"/>
      <c r="K41" s="467"/>
      <c r="L41" s="467"/>
      <c r="M41" s="467"/>
      <c r="N41" s="467"/>
      <c r="O41" s="74"/>
      <c r="P41" s="467"/>
      <c r="Q41" s="467"/>
      <c r="R41" s="467"/>
      <c r="S41" s="467"/>
      <c r="T41" s="467"/>
      <c r="U41" s="467"/>
      <c r="V41" s="467"/>
      <c r="W41" s="467"/>
      <c r="X41" s="467"/>
      <c r="Y41" s="467"/>
      <c r="Z41" s="74"/>
      <c r="AA41" s="467"/>
      <c r="AB41" s="467"/>
      <c r="AC41" s="467"/>
      <c r="AD41" s="467"/>
      <c r="AE41" s="467"/>
      <c r="AF41" s="467"/>
      <c r="AG41" s="467"/>
      <c r="AH41" s="467"/>
      <c r="AI41" s="467"/>
      <c r="AJ41" s="467"/>
      <c r="AK41" s="74"/>
      <c r="AL41" s="467"/>
      <c r="AM41" s="467"/>
      <c r="AN41" s="467"/>
      <c r="AO41" s="467"/>
      <c r="AP41" s="467"/>
      <c r="AQ41" s="467"/>
      <c r="AR41" s="467"/>
      <c r="AS41" s="467"/>
      <c r="AT41" s="467"/>
      <c r="AU41" s="467"/>
      <c r="AV41" s="74"/>
      <c r="AW41" s="467"/>
      <c r="AX41" s="467"/>
      <c r="AY41" s="467"/>
      <c r="AZ41" s="467"/>
      <c r="BA41" s="467"/>
      <c r="BB41" s="467"/>
      <c r="BC41" s="467"/>
      <c r="BD41" s="467"/>
      <c r="BE41" s="467"/>
      <c r="BF41" s="467"/>
      <c r="BG41" s="505">
        <v>1</v>
      </c>
      <c r="BH41" s="506">
        <v>2</v>
      </c>
      <c r="BI41" s="506">
        <v>3</v>
      </c>
      <c r="BJ41" s="506">
        <v>4</v>
      </c>
      <c r="BK41" s="506">
        <v>5</v>
      </c>
      <c r="BL41" s="506">
        <v>6</v>
      </c>
      <c r="BM41" s="506">
        <v>7</v>
      </c>
      <c r="BN41" s="506">
        <v>8</v>
      </c>
      <c r="BO41" s="506">
        <v>9</v>
      </c>
      <c r="BP41" s="506">
        <v>10</v>
      </c>
      <c r="BQ41" s="467"/>
      <c r="BR41" s="74"/>
      <c r="BS41" s="467"/>
      <c r="BT41" s="467"/>
      <c r="BU41" s="467"/>
      <c r="BV41" s="467"/>
      <c r="BW41" s="467"/>
      <c r="BX41" s="467"/>
      <c r="BY41" s="467"/>
      <c r="BZ41" s="467"/>
      <c r="CA41" s="467"/>
      <c r="CB41" s="467"/>
      <c r="CC41" s="74"/>
      <c r="CD41" s="467"/>
      <c r="CE41" s="467"/>
      <c r="CF41" s="467"/>
      <c r="CG41" s="467"/>
      <c r="CH41" s="467"/>
      <c r="CI41" s="467"/>
      <c r="CJ41" s="467"/>
      <c r="CK41" s="467"/>
      <c r="CL41" s="467"/>
      <c r="CM41" s="467"/>
      <c r="CN41" s="505">
        <v>1</v>
      </c>
      <c r="CO41" s="506">
        <v>2</v>
      </c>
      <c r="CP41" s="506">
        <v>3</v>
      </c>
      <c r="CQ41" s="506">
        <v>4</v>
      </c>
      <c r="CR41" s="506">
        <v>5</v>
      </c>
      <c r="CS41" s="506">
        <v>6</v>
      </c>
      <c r="CT41" s="506">
        <v>7</v>
      </c>
      <c r="CU41" s="506">
        <v>8</v>
      </c>
      <c r="CV41" s="506">
        <v>9</v>
      </c>
      <c r="CW41" s="506">
        <v>10</v>
      </c>
      <c r="CX41" s="467"/>
    </row>
    <row r="42" spans="1:102" ht="24.75" thickBot="1">
      <c r="B42" s="507"/>
      <c r="C42" s="508" t="s">
        <v>529</v>
      </c>
      <c r="D42" s="509"/>
      <c r="E42" s="509" t="s">
        <v>40</v>
      </c>
      <c r="F42" s="510" t="s">
        <v>575</v>
      </c>
      <c r="G42" s="508" t="s">
        <v>530</v>
      </c>
      <c r="H42" s="508" t="s">
        <v>531</v>
      </c>
      <c r="I42" s="509"/>
      <c r="J42" s="2065" t="s">
        <v>278</v>
      </c>
      <c r="K42" s="512" t="s">
        <v>532</v>
      </c>
      <c r="L42" s="513" t="s">
        <v>549</v>
      </c>
      <c r="M42" s="514" t="s">
        <v>550</v>
      </c>
      <c r="N42" s="515"/>
      <c r="O42" s="516">
        <f t="shared" ref="O42:X42" si="27">SUM(O43:O146)</f>
        <v>54.123403000000003</v>
      </c>
      <c r="P42" s="517">
        <f t="shared" si="27"/>
        <v>58.279199999999996</v>
      </c>
      <c r="Q42" s="517">
        <f t="shared" si="27"/>
        <v>44.128899999999994</v>
      </c>
      <c r="R42" s="517">
        <f t="shared" si="27"/>
        <v>51.032826999999997</v>
      </c>
      <c r="S42" s="518">
        <f t="shared" si="27"/>
        <v>72.166600000000003</v>
      </c>
      <c r="T42" s="517">
        <f t="shared" si="27"/>
        <v>64.378999999999991</v>
      </c>
      <c r="U42" s="517">
        <f t="shared" si="27"/>
        <v>62.098999999999997</v>
      </c>
      <c r="V42" s="517">
        <f t="shared" si="27"/>
        <v>52.566000000000003</v>
      </c>
      <c r="W42" s="517">
        <f t="shared" si="27"/>
        <v>64.249000000000009</v>
      </c>
      <c r="X42" s="518">
        <f t="shared" si="27"/>
        <v>54.249000000000002</v>
      </c>
      <c r="Y42" s="519"/>
      <c r="Z42" s="516">
        <f t="shared" ref="Z42:AI42" si="28">SUM(Z43:Z1023)</f>
        <v>1</v>
      </c>
      <c r="AA42" s="517">
        <f t="shared" si="28"/>
        <v>3.0949999999999998</v>
      </c>
      <c r="AB42" s="517">
        <f t="shared" si="28"/>
        <v>0.40500000000000003</v>
      </c>
      <c r="AC42" s="517">
        <f t="shared" si="28"/>
        <v>0</v>
      </c>
      <c r="AD42" s="518">
        <f t="shared" si="28"/>
        <v>0</v>
      </c>
      <c r="AE42" s="517">
        <f t="shared" si="28"/>
        <v>0</v>
      </c>
      <c r="AF42" s="517">
        <f t="shared" si="28"/>
        <v>0</v>
      </c>
      <c r="AG42" s="517">
        <f t="shared" si="28"/>
        <v>0</v>
      </c>
      <c r="AH42" s="517">
        <f t="shared" si="28"/>
        <v>0</v>
      </c>
      <c r="AI42" s="518">
        <f t="shared" si="28"/>
        <v>0</v>
      </c>
      <c r="AJ42" s="520"/>
      <c r="AK42" s="516">
        <f t="shared" ref="AK42:AT42" si="29">SUM(AK43:AK1023)</f>
        <v>4.3159999999999998</v>
      </c>
      <c r="AL42" s="517">
        <f t="shared" si="29"/>
        <v>4.38</v>
      </c>
      <c r="AM42" s="517">
        <f t="shared" si="29"/>
        <v>4.4459999999999997</v>
      </c>
      <c r="AN42" s="517">
        <f t="shared" si="29"/>
        <v>4.5140000000000002</v>
      </c>
      <c r="AO42" s="518">
        <f t="shared" si="29"/>
        <v>4.5839999999999996</v>
      </c>
      <c r="AP42" s="517">
        <f t="shared" si="29"/>
        <v>4.6559999999999997</v>
      </c>
      <c r="AQ42" s="517">
        <f t="shared" si="29"/>
        <v>4.7300000000000004</v>
      </c>
      <c r="AR42" s="517">
        <f t="shared" si="29"/>
        <v>4.806</v>
      </c>
      <c r="AS42" s="517">
        <f t="shared" si="29"/>
        <v>4.883</v>
      </c>
      <c r="AT42" s="518">
        <f t="shared" si="29"/>
        <v>4.9640000000000004</v>
      </c>
      <c r="AU42" s="520"/>
      <c r="AV42" s="516">
        <f t="shared" ref="AV42:BE42" si="30">SUM(AV43:AV1023)</f>
        <v>48.807403000000001</v>
      </c>
      <c r="AW42" s="517">
        <f t="shared" si="30"/>
        <v>50.804199999999994</v>
      </c>
      <c r="AX42" s="517">
        <f t="shared" si="30"/>
        <v>39.277900000000002</v>
      </c>
      <c r="AY42" s="517">
        <f t="shared" si="30"/>
        <v>46.518826999999995</v>
      </c>
      <c r="AZ42" s="518">
        <f t="shared" si="30"/>
        <v>67.582599999999999</v>
      </c>
      <c r="BA42" s="517">
        <f t="shared" si="30"/>
        <v>59.722999999999992</v>
      </c>
      <c r="BB42" s="517">
        <f t="shared" si="30"/>
        <v>57.369</v>
      </c>
      <c r="BC42" s="517">
        <f t="shared" si="30"/>
        <v>47.760000000000005</v>
      </c>
      <c r="BD42" s="517">
        <f t="shared" si="30"/>
        <v>59.366000000000007</v>
      </c>
      <c r="BE42" s="518">
        <f t="shared" si="30"/>
        <v>49.285000000000004</v>
      </c>
      <c r="BF42" s="520"/>
      <c r="BG42" s="516">
        <f t="shared" ref="BG42:BP42" ca="1" si="31">SUM(BG43:BG1023)</f>
        <v>0.6192405636904762</v>
      </c>
      <c r="BH42" s="517">
        <f t="shared" ca="1" si="31"/>
        <v>2.0217674369047618</v>
      </c>
      <c r="BI42" s="517">
        <f t="shared" ca="1" si="31"/>
        <v>3.5528533892857141</v>
      </c>
      <c r="BJ42" s="517">
        <f t="shared" ca="1" si="31"/>
        <v>4.7031143416666641</v>
      </c>
      <c r="BK42" s="518">
        <f t="shared" ca="1" si="31"/>
        <v>6.5771201357142832</v>
      </c>
      <c r="BL42" s="517">
        <f t="shared" ca="1" si="31"/>
        <v>8.8248675964285717</v>
      </c>
      <c r="BM42" s="517">
        <f t="shared" ca="1" si="31"/>
        <v>10.33919021547619</v>
      </c>
      <c r="BN42" s="517">
        <f t="shared" ca="1" si="31"/>
        <v>11.644449441666668</v>
      </c>
      <c r="BO42" s="517">
        <f t="shared" ca="1" si="31"/>
        <v>12.636851525000001</v>
      </c>
      <c r="BP42" s="518">
        <f t="shared" ca="1" si="31"/>
        <v>14.099876525000004</v>
      </c>
      <c r="BQ42" s="519"/>
      <c r="BR42" s="516">
        <f t="shared" ref="BR42:CA42" si="32">SUM(BR43:BR1023)</f>
        <v>33.84840299999999</v>
      </c>
      <c r="BS42" s="517">
        <f t="shared" si="32"/>
        <v>49.485499999999995</v>
      </c>
      <c r="BT42" s="517">
        <f t="shared" si="32"/>
        <v>41.163600000000002</v>
      </c>
      <c r="BU42" s="517">
        <f t="shared" si="32"/>
        <v>16.802500000000002</v>
      </c>
      <c r="BV42" s="518">
        <f t="shared" si="32"/>
        <v>111.69092699999999</v>
      </c>
      <c r="BW42" s="517">
        <f t="shared" si="32"/>
        <v>59.722999999999992</v>
      </c>
      <c r="BX42" s="517">
        <f t="shared" si="32"/>
        <v>57.369</v>
      </c>
      <c r="BY42" s="517">
        <f t="shared" si="32"/>
        <v>47.760000000000005</v>
      </c>
      <c r="BZ42" s="517">
        <f t="shared" si="32"/>
        <v>25.816000000000006</v>
      </c>
      <c r="CA42" s="518">
        <f t="shared" si="32"/>
        <v>82.835000000000008</v>
      </c>
      <c r="CB42" s="519"/>
      <c r="CC42" s="516">
        <f t="shared" ref="CC42:CL42" si="33">SUM(CC43:CC1023)</f>
        <v>55.692981687000007</v>
      </c>
      <c r="CD42" s="517">
        <f t="shared" si="33"/>
        <v>61.708406407199988</v>
      </c>
      <c r="CE42" s="517">
        <f t="shared" si="33"/>
        <v>48.08052777444211</v>
      </c>
      <c r="CF42" s="517">
        <f t="shared" si="33"/>
        <v>57.215161230061703</v>
      </c>
      <c r="CG42" s="518">
        <f t="shared" si="33"/>
        <v>83.255535508618919</v>
      </c>
      <c r="CH42" s="517">
        <f t="shared" si="33"/>
        <v>76.425180845490146</v>
      </c>
      <c r="CI42" s="517">
        <f t="shared" si="33"/>
        <v>75.856400335179046</v>
      </c>
      <c r="CJ42" s="517">
        <f t="shared" si="33"/>
        <v>66.073593756414326</v>
      </c>
      <c r="CK42" s="517">
        <f t="shared" si="33"/>
        <v>83.100712108364405</v>
      </c>
      <c r="CL42" s="518">
        <f t="shared" si="33"/>
        <v>72.2013777112561</v>
      </c>
      <c r="CM42" s="519"/>
      <c r="CN42" s="516">
        <f t="shared" ref="CN42:CW42" ca="1" si="34">SUM(CN43:CN1023)</f>
        <v>0.86499341503749982</v>
      </c>
      <c r="CO42" s="517">
        <f t="shared" ca="1" si="34"/>
        <v>2.6440715340724998</v>
      </c>
      <c r="CP42" s="517">
        <f t="shared" ca="1" si="34"/>
        <v>4.3514026414196971</v>
      </c>
      <c r="CQ42" s="517">
        <f t="shared" ca="1" si="34"/>
        <v>6.0001198454919509</v>
      </c>
      <c r="CR42" s="518">
        <f t="shared" ca="1" si="34"/>
        <v>7.9000953431513778</v>
      </c>
      <c r="CS42" s="517">
        <f t="shared" ca="1" si="34"/>
        <v>9.8660410818590858</v>
      </c>
      <c r="CT42" s="517">
        <f t="shared" ca="1" si="34"/>
        <v>11.689124648047882</v>
      </c>
      <c r="CU42" s="517">
        <f t="shared" ca="1" si="34"/>
        <v>13.32480960040164</v>
      </c>
      <c r="CV42" s="517">
        <f t="shared" ca="1" si="34"/>
        <v>15.067203580871832</v>
      </c>
      <c r="CW42" s="518">
        <f t="shared" ca="1" si="34"/>
        <v>17.02996603691258</v>
      </c>
      <c r="CX42" s="515"/>
    </row>
    <row r="43" spans="1:102">
      <c r="B43" s="502"/>
      <c r="C43" s="535" t="s">
        <v>1335</v>
      </c>
      <c r="D43" s="536"/>
      <c r="E43" s="537" t="s">
        <v>21</v>
      </c>
      <c r="F43" s="535" t="s">
        <v>12</v>
      </c>
      <c r="G43" s="535" t="s">
        <v>14</v>
      </c>
      <c r="H43" s="2222" t="s">
        <v>518</v>
      </c>
      <c r="I43" s="2223"/>
      <c r="J43" s="2063" t="s">
        <v>279</v>
      </c>
      <c r="K43" s="538" t="s">
        <v>965</v>
      </c>
      <c r="L43" s="538">
        <v>80</v>
      </c>
      <c r="M43" s="538">
        <v>80</v>
      </c>
      <c r="N43" s="467"/>
      <c r="O43" s="551">
        <v>0.5</v>
      </c>
      <c r="P43" s="552">
        <v>0</v>
      </c>
      <c r="Q43" s="552">
        <v>0</v>
      </c>
      <c r="R43" s="552">
        <v>7.21</v>
      </c>
      <c r="S43" s="553">
        <v>25.85</v>
      </c>
      <c r="T43" s="551">
        <v>26.44</v>
      </c>
      <c r="U43" s="552">
        <v>30</v>
      </c>
      <c r="V43" s="552">
        <v>29.367000000000001</v>
      </c>
      <c r="W43" s="552">
        <v>10</v>
      </c>
      <c r="X43" s="553">
        <v>0</v>
      </c>
      <c r="Y43" s="547"/>
      <c r="Z43" s="551"/>
      <c r="AA43" s="552"/>
      <c r="AB43" s="552"/>
      <c r="AC43" s="552"/>
      <c r="AD43" s="553"/>
      <c r="AE43" s="551"/>
      <c r="AF43" s="552"/>
      <c r="AG43" s="552"/>
      <c r="AH43" s="552"/>
      <c r="AI43" s="553"/>
      <c r="AJ43" s="547"/>
      <c r="AK43" s="551"/>
      <c r="AL43" s="552"/>
      <c r="AM43" s="552"/>
      <c r="AN43" s="552"/>
      <c r="AO43" s="553"/>
      <c r="AP43" s="551"/>
      <c r="AQ43" s="552"/>
      <c r="AR43" s="552"/>
      <c r="AS43" s="552"/>
      <c r="AT43" s="553"/>
      <c r="AU43" s="467"/>
      <c r="AV43" s="524">
        <f>+O43-Z43-AK43</f>
        <v>0.5</v>
      </c>
      <c r="AW43" s="525">
        <f t="shared" ref="AW43:BE61" si="35">+P43-AA43-AL43</f>
        <v>0</v>
      </c>
      <c r="AX43" s="525">
        <f t="shared" si="35"/>
        <v>0</v>
      </c>
      <c r="AY43" s="525">
        <f t="shared" si="35"/>
        <v>7.21</v>
      </c>
      <c r="AZ43" s="526">
        <f t="shared" si="35"/>
        <v>25.85</v>
      </c>
      <c r="BA43" s="524">
        <f t="shared" si="35"/>
        <v>26.44</v>
      </c>
      <c r="BB43" s="525">
        <f t="shared" si="35"/>
        <v>30</v>
      </c>
      <c r="BC43" s="525">
        <f t="shared" si="35"/>
        <v>29.367000000000001</v>
      </c>
      <c r="BD43" s="525">
        <f t="shared" si="35"/>
        <v>10</v>
      </c>
      <c r="BE43" s="526">
        <f t="shared" si="35"/>
        <v>0</v>
      </c>
      <c r="BF43" s="467"/>
      <c r="BG43" s="524">
        <f ca="1">IF($L43=0,0,
IF($L43&lt;=0.5,BR43,
IF($J43="straight line",
IF((LEFT(BG$40,4)*1)-INT($L43)&lt;LEFT($BG$40,4)*1,0,((OFFSET(BR43,0,-INT($L43+0.5),1,1))/$L43)*(IF($L43-INT($L43)&gt;0.5,$L43-0.5-INT($L43),IF($L43-INT($L43)&lt;=0.5,$L43-0.5-INT($L43)+1,0))))
+BR43/$L43*0.5,
IF($J43="Declining Balance",-$BG$39,0))))</f>
        <v>0</v>
      </c>
      <c r="BH43" s="525">
        <f ca="1">IF($L43=0,0,
IF($L43&lt;=0.5,BS43,
IF(AND($J43="straight line",$L43&lt;1.51),(BR43-((BR43/$L43)*0.5))+BS43/$L43*0.5,
IF($J43="straight line",
IF((LEFT(BH$40,4)*1)-INT($L43)&lt;LEFT($BG$40,4)*1,0,((OFFSET(BS43,0,-INT($L43+0.5),1,1))/$L43)*(IF($L43-INT($L43)&gt;0.5,$L43-0.5-INT($L43),IF($L43-INT($L43)&lt;=0.5,$L43-0.5-INT($L43)+1,0))))
+BS43/$L43*0.5
+SUM(OFFSET(BS43,0,MAX(-INT($L43+(0.5-(10^-12))),-BH$41)+1,1,MIN(INT($L43+(0.5-(10^-12))),BH$41)-1))*1/$L43,
IF($J43="Declining Balance",-$BG$39,0)))))</f>
        <v>0</v>
      </c>
      <c r="BI43" s="525">
        <f t="shared" ref="BI43:BP61" ca="1" si="36">IF($L43=0,0,
IF($L43&lt;=0.5,BT43,
IF(AND($J43="straight line",$L43&lt;1.51),(BS43-((BS43/$L43)*0.5))+BT43/$L43*0.5,
IF($J43="straight line",
IF((LEFT(BI$40,4)*1)-INT($L43)&lt;LEFT($BG$40,4)*1,0,((OFFSET(BT43,0,-INT($L43+0.5),1,1))/$L43)*(IF($L43-INT($L43)&gt;0.5,$L43-0.5-INT($L43),IF($L43-INT($L43)&lt;=0.5,$L43-0.5-INT($L43)+1,0))))
+BT43/$L43*0.5
+SUM(OFFSET(BT43,0,MAX(-INT($L43+(0.5-(10^-12))),-BI$41)+1,1,MIN(INT($L43+(0.5-(10^-12))),BI$41)-1))*1/$L43,
IF($J43="Declining Balance",-$BG$39,0)))))</f>
        <v>0</v>
      </c>
      <c r="BJ43" s="525">
        <f t="shared" ca="1" si="36"/>
        <v>0</v>
      </c>
      <c r="BK43" s="526">
        <f t="shared" ca="1" si="36"/>
        <v>0.20975000000000002</v>
      </c>
      <c r="BL43" s="524">
        <f t="shared" ca="1" si="36"/>
        <v>0.5847500000000001</v>
      </c>
      <c r="BM43" s="525">
        <f t="shared" ca="1" si="36"/>
        <v>0.9375</v>
      </c>
      <c r="BN43" s="525">
        <f t="shared" ca="1" si="36"/>
        <v>1.3085437500000001</v>
      </c>
      <c r="BO43" s="525">
        <f t="shared" ca="1" si="36"/>
        <v>1.5545875</v>
      </c>
      <c r="BP43" s="526">
        <f t="shared" ca="1" si="36"/>
        <v>1.6170875000000002</v>
      </c>
      <c r="BQ43" s="467"/>
      <c r="BR43" s="524">
        <f>+IF($K43="Ongoing",AV43,IF(RIGHT($K43,2)=RIGHT(BR$40,2),SUM($AV43:AV43),0)+IF(RIGHT(BR$40,2)&gt;RIGHT($K43,2),AV43,0))</f>
        <v>0</v>
      </c>
      <c r="BS43" s="525">
        <f>+IF($K43="Ongoing",AW43,IF(RIGHT($K43,2)=RIGHT(BS$40,2),SUM($AV43:AW43),0)+IF(RIGHT(BS$40,2)&gt;RIGHT($K43,2),AW43,0))</f>
        <v>0</v>
      </c>
      <c r="BT43" s="525">
        <f>+IF($K43="Ongoing",AX43,IF(RIGHT($K43,2)=RIGHT(BT$40,2),SUM($AV43:AX43),0)+IF(RIGHT(BT$40,2)&gt;RIGHT($K43,2),AX43,0))</f>
        <v>0</v>
      </c>
      <c r="BU43" s="525">
        <f>+IF($K43="Ongoing",AY43,IF(RIGHT($K43,2)=RIGHT(BU$40,2),SUM($AV43:AY43),0)+IF(RIGHT(BU$40,2)&gt;RIGHT($K43,2),AY43,0))</f>
        <v>0</v>
      </c>
      <c r="BV43" s="526">
        <f>+IF($K43="Ongoing",AZ43,IF(RIGHT($K43,2)=RIGHT(BV$40,2),SUM($AV43:AZ43),0)+IF(RIGHT(BV$40,2)&gt;RIGHT($K43,2),AZ43,0))</f>
        <v>33.56</v>
      </c>
      <c r="BW43" s="524">
        <f>+IF($K43="Ongoing",BA43,IF(RIGHT($K43,2)=RIGHT(BW$40,2),SUM($AV43:BA43),0)+IF(RIGHT(BW$40,2)&gt;RIGHT($K43,2),BA43,0))</f>
        <v>26.44</v>
      </c>
      <c r="BX43" s="525">
        <f>+IF($K43="Ongoing",BB43,IF(RIGHT($K43,2)=RIGHT(BX$40,2),SUM($AV43:BB43),0)+IF(RIGHT(BX$40,2)&gt;RIGHT($K43,2),BB43,0))</f>
        <v>30</v>
      </c>
      <c r="BY43" s="525">
        <f>+IF($K43="Ongoing",BC43,IF(RIGHT($K43,2)=RIGHT(BY$40,2),SUM($AV43:BC43),0)+IF(RIGHT(BY$40,2)&gt;RIGHT($K43,2),BC43,0))</f>
        <v>29.367000000000001</v>
      </c>
      <c r="BZ43" s="525">
        <f>+IF($K43="Ongoing",BD43,IF(RIGHT($K43,2)=RIGHT(BZ$40,2),SUM($AV43:BD43),0)+IF(RIGHT(BZ$40,2)&gt;RIGHT($K43,2),BD43,0))</f>
        <v>10</v>
      </c>
      <c r="CA43" s="526">
        <f>+IF($K43="Ongoing",BE43,IF(RIGHT($K43,2)=RIGHT(CA$40,2),SUM($AV43:BE43),0)+IF(RIGHT(CA$40,2)&gt;RIGHT($K43,2),BE43,0))</f>
        <v>0</v>
      </c>
      <c r="CB43" s="467"/>
      <c r="CC43" s="524">
        <f>+O43*KeyAssumptionsPriceControl_FO!AF$15</f>
        <v>0.51449999999999996</v>
      </c>
      <c r="CD43" s="525">
        <f>+P43*KeyAssumptionsPriceControl_FO!AG$15</f>
        <v>0</v>
      </c>
      <c r="CE43" s="525">
        <f>+Q43*KeyAssumptionsPriceControl_FO!AH$15</f>
        <v>0</v>
      </c>
      <c r="CF43" s="525">
        <f>+R43*KeyAssumptionsPriceControl_FO!AI$15</f>
        <v>8.0834501382560084</v>
      </c>
      <c r="CG43" s="526">
        <f>+S43*KeyAssumptionsPriceControl_FO!AJ$15</f>
        <v>29.822045002782446</v>
      </c>
      <c r="CH43" s="524">
        <f>+T43*KeyAssumptionsPriceControl_FO!AK$15</f>
        <v>31.3872812804604</v>
      </c>
      <c r="CI43" s="525">
        <f>+U43*KeyAssumptionsPriceControl_FO!AL$15</f>
        <v>36.64619414250425</v>
      </c>
      <c r="CJ43" s="525">
        <f>+V43*KeyAssumptionsPriceControl_FO!AM$15</f>
        <v>36.913275270034234</v>
      </c>
      <c r="CK43" s="525">
        <f>+W43*KeyAssumptionsPriceControl_FO!AN$15</f>
        <v>12.934164284014445</v>
      </c>
      <c r="CL43" s="526">
        <f>+X43*KeyAssumptionsPriceControl_FO!AO$15</f>
        <v>0</v>
      </c>
      <c r="CM43" s="467"/>
      <c r="CN43" s="524">
        <f ca="1">IF($M43=0,0,
IF($M43&lt;=0.5,CC43,
IF($J43="straight line",
IF((LEFT(CN$40,4)*1)-INT($M43)&lt;LEFT($CN$40,4)*1,0,((OFFSET(CC43,0,-INT($M43+0.5),1,1))/$M43)*(IF($M43-INT($M43)&gt;0.5,$M43-0.5-INT($M43),IF($M43-INT($M43)&lt;=0.5,$M43-0.5-INT($M43)+1,0))))
+CC43/$M43*0.5,
IF($J43="Declining Balance",-$CN$39,0))))</f>
        <v>3.2156249999999997E-3</v>
      </c>
      <c r="CO43" s="525">
        <f ca="1">IF($M43=0,0,
IF($M43&lt;=0.5,CD43,
IF(AND($J43="straight line",$M43&lt;1.51),(CC43-((CC43/$M43)*0.5))+CD43/$M43*0.5,
IF($J43="straight line",
IF((LEFT(CO$40,4)*1)-INT($M43)&lt;LEFT($CN$40,4)*1,0,((OFFSET(CD43,0,-INT($M43+0.5),1,1))/$M43)*(IF($M43-INT($M43)&gt;0.5,$M43-0.5-INT($M43),IF($M43-INT($M43)&lt;=0.5,$M43-0.5-INT($M43)+1,0))))
+CD43/$M43*0.5
+SUM(OFFSET(CD43,0,MAX(-INT($M43+(0.5-(10^-12))),-CO$41)+1,1,MIN(INT($M43+(0.5-(10^-12))),CO$41)-1))*1/$M43,
IF($J43="Declining Balance",-$CN$39,0)))))</f>
        <v>6.4312499999999995E-3</v>
      </c>
      <c r="CP43" s="525">
        <f t="shared" ref="CP43:CW61" ca="1" si="37">IF($M43=0,0,
IF($M43&lt;=0.5,CE43,
IF(AND($J43="straight line",$M43&lt;1.51),(CD43-((CD43/$M43)*0.5))+CE43/$M43*0.5,
IF($J43="straight line",
IF((LEFT(CP$40,4)*1)-INT($M43)&lt;LEFT($CN$40,4)*1,0,((OFFSET(CE43,0,-INT($M43+0.5),1,1))/$M43)*(IF($M43-INT($M43)&gt;0.5,$M43-0.5-INT($M43),IF($M43-INT($M43)&lt;=0.5,$M43-0.5-INT($M43)+1,0))))
+CE43/$M43*0.5
+SUM(OFFSET(CE43,0,MAX(-INT($M43+(0.5-(10^-12))),-CP$41)+1,1,MIN(INT($M43+(0.5-(10^-12))),CP$41)-1))*1/$M43,
IF($J43="Declining Balance",-$CN$39,0)))))</f>
        <v>6.4312499999999995E-3</v>
      </c>
      <c r="CQ43" s="525">
        <f t="shared" ca="1" si="37"/>
        <v>5.6952813364100054E-2</v>
      </c>
      <c r="CR43" s="526">
        <f ca="1">IF($M43=0,0,
IF($M43&lt;=0.5,CG43,
IF(AND($J43="straight line",$M43&lt;1.51),(CF43-((CF43/$M43)*0.5))+CG43/$M43*0.5,
IF($J43="straight line",
IF((LEFT(CR$40,4)*1)-INT($M43)&lt;LEFT($CN$40,4)*1,0,((OFFSET(CG43,0,-INT($M43+0.5),1,1))/$M43)*(IF($M43-INT($M43)&gt;0.5,$M43-0.5-INT($M43),IF($M43-INT($M43)&lt;=0.5,$M43-0.5-INT($M43)+1,0))))
+CG43/$M43*0.5
+SUM(OFFSET(CG43,0,MAX(-INT($M43+(0.5-(10^-12))),-CR$41)+1,1,MIN(INT($M43+(0.5-(10^-12))),CR$41)-1))*1/$M43,
IF($J43="Declining Balance",-$CN$39,0)))))</f>
        <v>0.2938621579955904</v>
      </c>
      <c r="CS43" s="524">
        <f t="shared" ca="1" si="37"/>
        <v>0.67642044726585815</v>
      </c>
      <c r="CT43" s="525">
        <f t="shared" ca="1" si="37"/>
        <v>1.1016296686593872</v>
      </c>
      <c r="CU43" s="525">
        <f t="shared" ca="1" si="37"/>
        <v>1.5613763524877529</v>
      </c>
      <c r="CV43" s="525">
        <f t="shared" ca="1" si="37"/>
        <v>1.872922849700557</v>
      </c>
      <c r="CW43" s="526">
        <f t="shared" ca="1" si="37"/>
        <v>1.9537613764756476</v>
      </c>
      <c r="CX43" s="467"/>
    </row>
    <row r="44" spans="1:102">
      <c r="B44" s="502"/>
      <c r="C44" s="535" t="s">
        <v>1336</v>
      </c>
      <c r="D44" s="536"/>
      <c r="E44" s="537" t="s">
        <v>21</v>
      </c>
      <c r="F44" s="535" t="s">
        <v>516</v>
      </c>
      <c r="G44" s="535" t="s">
        <v>6</v>
      </c>
      <c r="H44" s="2222" t="s">
        <v>518</v>
      </c>
      <c r="I44" s="2223"/>
      <c r="J44" s="2063" t="s">
        <v>279</v>
      </c>
      <c r="K44" s="538" t="s">
        <v>528</v>
      </c>
      <c r="L44" s="538">
        <v>30</v>
      </c>
      <c r="M44" s="538">
        <v>30</v>
      </c>
      <c r="N44" s="467"/>
      <c r="O44" s="551">
        <v>5.7779999999999996</v>
      </c>
      <c r="P44" s="552">
        <v>5</v>
      </c>
      <c r="Q44" s="552">
        <v>0</v>
      </c>
      <c r="R44" s="552">
        <v>0</v>
      </c>
      <c r="S44" s="553">
        <v>0</v>
      </c>
      <c r="T44" s="551">
        <v>0</v>
      </c>
      <c r="U44" s="552">
        <v>0</v>
      </c>
      <c r="V44" s="552">
        <v>0</v>
      </c>
      <c r="W44" s="552">
        <v>0</v>
      </c>
      <c r="X44" s="553">
        <v>0</v>
      </c>
      <c r="Y44" s="547"/>
      <c r="Z44" s="551">
        <v>1</v>
      </c>
      <c r="AA44" s="552">
        <v>3.0949999999999998</v>
      </c>
      <c r="AB44" s="552">
        <v>0.40500000000000003</v>
      </c>
      <c r="AC44" s="552"/>
      <c r="AD44" s="553"/>
      <c r="AE44" s="551"/>
      <c r="AF44" s="552"/>
      <c r="AG44" s="552"/>
      <c r="AH44" s="552"/>
      <c r="AI44" s="553"/>
      <c r="AJ44" s="547"/>
      <c r="AK44" s="551"/>
      <c r="AL44" s="552"/>
      <c r="AM44" s="552"/>
      <c r="AN44" s="552"/>
      <c r="AO44" s="553"/>
      <c r="AP44" s="551"/>
      <c r="AQ44" s="552"/>
      <c r="AR44" s="552"/>
      <c r="AS44" s="552"/>
      <c r="AT44" s="553"/>
      <c r="AU44" s="467"/>
      <c r="AV44" s="524">
        <f t="shared" ref="AV44:BE86" si="38">+O44-Z44-AK44</f>
        <v>4.7779999999999996</v>
      </c>
      <c r="AW44" s="525">
        <f t="shared" si="35"/>
        <v>1.9050000000000002</v>
      </c>
      <c r="AX44" s="525">
        <f t="shared" si="35"/>
        <v>-0.40500000000000003</v>
      </c>
      <c r="AY44" s="525">
        <f t="shared" si="35"/>
        <v>0</v>
      </c>
      <c r="AZ44" s="526">
        <f t="shared" si="35"/>
        <v>0</v>
      </c>
      <c r="BA44" s="524">
        <f t="shared" si="35"/>
        <v>0</v>
      </c>
      <c r="BB44" s="525">
        <f t="shared" si="35"/>
        <v>0</v>
      </c>
      <c r="BC44" s="525">
        <f t="shared" si="35"/>
        <v>0</v>
      </c>
      <c r="BD44" s="525">
        <f t="shared" si="35"/>
        <v>0</v>
      </c>
      <c r="BE44" s="526">
        <f t="shared" si="35"/>
        <v>0</v>
      </c>
      <c r="BF44" s="467"/>
      <c r="BG44" s="524">
        <f t="shared" ref="BG44:BG110" ca="1" si="39">IF($L44=0,0,
IF($L44&lt;=0.5,BR44,
IF($J44="straight line",
IF((LEFT(BG$40,4)*1)-INT($L44)&lt;LEFT($BG$40,4)*1,0,((OFFSET(BR44,0,-INT($L44+0.5),1,1))/$L44)*(IF($L44-INT($L44)&gt;0.5,$L44-0.5-INT($L44),IF($L44-INT($L44)&lt;=0.5,$L44-0.5-INT($L44)+1,0))))
+BR44/$L44*0.5,
IF($J44="Declining Balance",-$BG$39,0))))</f>
        <v>0</v>
      </c>
      <c r="BH44" s="525">
        <f t="shared" ref="BH44:BP88" ca="1" si="40">IF($L44=0,0,
IF($L44&lt;=0.5,BS44,
IF(AND($J44="straight line",$L44&lt;1.51),(BR44-((BR44/$L44)*0.5))+BS44/$L44*0.5,
IF($J44="straight line",
IF((LEFT(BH$40,4)*1)-INT($L44)&lt;LEFT($BG$40,4)*1,0,((OFFSET(BS44,0,-INT($L44+0.5),1,1))/$L44)*(IF($L44-INT($L44)&gt;0.5,$L44-0.5-INT($L44),IF($L44-INT($L44)&lt;=0.5,$L44-0.5-INT($L44)+1,0))))
+BS44/$L44*0.5
+SUM(OFFSET(BS44,0,MAX(-INT($L44+(0.5-(10^-12))),-BH$41)+1,1,MIN(INT($L44+(0.5-(10^-12))),BH$41)-1))*1/$L44,
IF($J44="Declining Balance",-$BG$39,0)))))</f>
        <v>0.11138333333333333</v>
      </c>
      <c r="BI44" s="525">
        <f t="shared" ca="1" si="36"/>
        <v>0.21601666666666666</v>
      </c>
      <c r="BJ44" s="525">
        <f t="shared" ca="1" si="36"/>
        <v>0.20926666666666666</v>
      </c>
      <c r="BK44" s="526">
        <f t="shared" ca="1" si="36"/>
        <v>0.20926666666666666</v>
      </c>
      <c r="BL44" s="524">
        <f t="shared" ca="1" si="36"/>
        <v>0.20926666666666666</v>
      </c>
      <c r="BM44" s="525">
        <f t="shared" ca="1" si="36"/>
        <v>0.20926666666666666</v>
      </c>
      <c r="BN44" s="525">
        <f t="shared" ca="1" si="36"/>
        <v>0.20926666666666666</v>
      </c>
      <c r="BO44" s="525">
        <f t="shared" ca="1" si="36"/>
        <v>0.20926666666666666</v>
      </c>
      <c r="BP44" s="526">
        <f t="shared" ca="1" si="36"/>
        <v>0.20926666666666666</v>
      </c>
      <c r="BQ44" s="467"/>
      <c r="BR44" s="524">
        <f>+IF($K44="Ongoing",AV44,IF(RIGHT($K44,2)=RIGHT(BR$40,2),SUM($AV44:AV44),0)+IF(RIGHT(BR$40,2)&gt;RIGHT($K44,2),AV44,0))</f>
        <v>0</v>
      </c>
      <c r="BS44" s="525">
        <f>+IF($K44="Ongoing",AW44,IF(RIGHT($K44,2)=RIGHT(BS$40,2),SUM($AV44:AW44),0)+IF(RIGHT(BS$40,2)&gt;RIGHT($K44,2),AW44,0))</f>
        <v>6.6829999999999998</v>
      </c>
      <c r="BT44" s="525">
        <f>+IF($K44="Ongoing",AX44,IF(RIGHT($K44,2)=RIGHT(BT$40,2),SUM($AV44:AX44),0)+IF(RIGHT(BT$40,2)&gt;RIGHT($K44,2),AX44,0))</f>
        <v>-0.40500000000000003</v>
      </c>
      <c r="BU44" s="525">
        <f>+IF($K44="Ongoing",AY44,IF(RIGHT($K44,2)=RIGHT(BU$40,2),SUM($AV44:AY44),0)+IF(RIGHT(BU$40,2)&gt;RIGHT($K44,2),AY44,0))</f>
        <v>0</v>
      </c>
      <c r="BV44" s="526">
        <f>+IF($K44="Ongoing",AZ44,IF(RIGHT($K44,2)=RIGHT(BV$40,2),SUM($AV44:AZ44),0)+IF(RIGHT(BV$40,2)&gt;RIGHT($K44,2),AZ44,0))</f>
        <v>0</v>
      </c>
      <c r="BW44" s="524">
        <f>+IF($K44="Ongoing",BA44,IF(RIGHT($K44,2)=RIGHT(BW$40,2),SUM($AV44:BA44),0)+IF(RIGHT(BW$40,2)&gt;RIGHT($K44,2),BA44,0))</f>
        <v>0</v>
      </c>
      <c r="BX44" s="525">
        <f>+IF($K44="Ongoing",BB44,IF(RIGHT($K44,2)=RIGHT(BX$40,2),SUM($AV44:BB44),0)+IF(RIGHT(BX$40,2)&gt;RIGHT($K44,2),BB44,0))</f>
        <v>0</v>
      </c>
      <c r="BY44" s="525">
        <f>+IF($K44="Ongoing",BC44,IF(RIGHT($K44,2)=RIGHT(BY$40,2),SUM($AV44:BC44),0)+IF(RIGHT(BY$40,2)&gt;RIGHT($K44,2),BC44,0))</f>
        <v>0</v>
      </c>
      <c r="BZ44" s="525">
        <f>+IF($K44="Ongoing",BD44,IF(RIGHT($K44,2)=RIGHT(BZ$40,2),SUM($AV44:BD44),0)+IF(RIGHT(BZ$40,2)&gt;RIGHT($K44,2),BD44,0))</f>
        <v>0</v>
      </c>
      <c r="CA44" s="526">
        <f>+IF($K44="Ongoing",BE44,IF(RIGHT($K44,2)=RIGHT(CA$40,2),SUM($AV44:BE44),0)+IF(RIGHT(CA$40,2)&gt;RIGHT($K44,2),BE44,0))</f>
        <v>0</v>
      </c>
      <c r="CB44" s="467"/>
      <c r="CC44" s="524">
        <f>+O44*KeyAssumptionsPriceControl_FO!AF$15</f>
        <v>5.9455619999999989</v>
      </c>
      <c r="CD44" s="525">
        <f>+P44*KeyAssumptionsPriceControl_FO!AG$15</f>
        <v>5.2942049999999998</v>
      </c>
      <c r="CE44" s="525">
        <f>+Q44*KeyAssumptionsPriceControl_FO!AH$15</f>
        <v>0</v>
      </c>
      <c r="CF44" s="525">
        <f>+R44*KeyAssumptionsPriceControl_FO!AI$15</f>
        <v>0</v>
      </c>
      <c r="CG44" s="526">
        <f>+S44*KeyAssumptionsPriceControl_FO!AJ$15</f>
        <v>0</v>
      </c>
      <c r="CH44" s="524">
        <f>+T44*KeyAssumptionsPriceControl_FO!AK$15</f>
        <v>0</v>
      </c>
      <c r="CI44" s="525">
        <f>+U44*KeyAssumptionsPriceControl_FO!AL$15</f>
        <v>0</v>
      </c>
      <c r="CJ44" s="525">
        <f>+V44*KeyAssumptionsPriceControl_FO!AM$15</f>
        <v>0</v>
      </c>
      <c r="CK44" s="525">
        <f>+W44*KeyAssumptionsPriceControl_FO!AN$15</f>
        <v>0</v>
      </c>
      <c r="CL44" s="526">
        <f>+X44*KeyAssumptionsPriceControl_FO!AO$15</f>
        <v>0</v>
      </c>
      <c r="CM44" s="467"/>
      <c r="CN44" s="524">
        <f t="shared" ref="CN44:CN110" ca="1" si="41">IF($M44=0,0,
IF($M44&lt;=0.5,CC44,
IF($J44="straight line",
IF((LEFT(CN$40,4)*1)-INT($M44)&lt;LEFT($CN$40,4)*1,0,((OFFSET(CC44,0,-INT($M44+0.5),1,1))/$M44)*(IF($M44-INT($M44)&gt;0.5,$M44-0.5-INT($M44),IF($M44-INT($M44)&lt;=0.5,$M44-0.5-INT($M44)+1,0))))
+CC44/$M44*0.5,
IF($J44="Declining Balance",-$CN$39,0))))</f>
        <v>9.9092699999999978E-2</v>
      </c>
      <c r="CO44" s="525">
        <f t="shared" ref="CO44:CW88" ca="1" si="42">IF($M44=0,0,
IF($M44&lt;=0.5,CD44,
IF(AND($J44="straight line",$M44&lt;1.51),(CC44-((CC44/$M44)*0.5))+CD44/$M44*0.5,
IF($J44="straight line",
IF((LEFT(CO$40,4)*1)-INT($M44)&lt;LEFT($CN$40,4)*1,0,((OFFSET(CD44,0,-INT($M44+0.5),1,1))/$M44)*(IF($M44-INT($M44)&gt;0.5,$M44-0.5-INT($M44),IF($M44-INT($M44)&lt;=0.5,$M44-0.5-INT($M44)+1,0))))
+CD44/$M44*0.5
+SUM(OFFSET(CD44,0,MAX(-INT($M44+(0.5-(10^-12))),-CO$41)+1,1,MIN(INT($M44+(0.5-(10^-12))),CO$41)-1))*1/$M44,
IF($J44="Declining Balance",-$CN$39,0)))))</f>
        <v>0.28642214999999993</v>
      </c>
      <c r="CP44" s="525">
        <f t="shared" ca="1" si="37"/>
        <v>0.37465889999999996</v>
      </c>
      <c r="CQ44" s="525">
        <f t="shared" ca="1" si="37"/>
        <v>0.37465889999999996</v>
      </c>
      <c r="CR44" s="526">
        <f t="shared" ca="1" si="37"/>
        <v>0.37465889999999996</v>
      </c>
      <c r="CS44" s="524">
        <f t="shared" ca="1" si="37"/>
        <v>0.37465889999999996</v>
      </c>
      <c r="CT44" s="525">
        <f t="shared" ca="1" si="37"/>
        <v>0.37465889999999996</v>
      </c>
      <c r="CU44" s="525">
        <f t="shared" ca="1" si="37"/>
        <v>0.37465889999999996</v>
      </c>
      <c r="CV44" s="525">
        <f t="shared" ca="1" si="37"/>
        <v>0.37465889999999996</v>
      </c>
      <c r="CW44" s="526">
        <f t="shared" ca="1" si="37"/>
        <v>0.37465889999999996</v>
      </c>
      <c r="CX44" s="467"/>
    </row>
    <row r="45" spans="1:102">
      <c r="B45" s="502"/>
      <c r="C45" s="535" t="s">
        <v>1337</v>
      </c>
      <c r="D45" s="536"/>
      <c r="E45" s="537" t="s">
        <v>20</v>
      </c>
      <c r="F45" s="535" t="s">
        <v>516</v>
      </c>
      <c r="G45" s="535" t="s">
        <v>6</v>
      </c>
      <c r="H45" s="2222" t="s">
        <v>518</v>
      </c>
      <c r="I45" s="2223"/>
      <c r="J45" s="2063" t="s">
        <v>279</v>
      </c>
      <c r="K45" s="538" t="s">
        <v>965</v>
      </c>
      <c r="L45" s="538">
        <v>30</v>
      </c>
      <c r="M45" s="538">
        <v>30</v>
      </c>
      <c r="N45" s="467"/>
      <c r="O45" s="551">
        <v>0.15</v>
      </c>
      <c r="P45" s="552">
        <v>0.1</v>
      </c>
      <c r="Q45" s="552">
        <v>3.4</v>
      </c>
      <c r="R45" s="552">
        <v>10.1</v>
      </c>
      <c r="S45" s="553">
        <v>5.6</v>
      </c>
      <c r="T45" s="551">
        <v>0</v>
      </c>
      <c r="U45" s="552">
        <v>0</v>
      </c>
      <c r="V45" s="552">
        <v>0</v>
      </c>
      <c r="W45" s="552">
        <v>0</v>
      </c>
      <c r="X45" s="553">
        <v>0</v>
      </c>
      <c r="Y45" s="547"/>
      <c r="Z45" s="551"/>
      <c r="AA45" s="552"/>
      <c r="AB45" s="552"/>
      <c r="AC45" s="552"/>
      <c r="AD45" s="553"/>
      <c r="AE45" s="551"/>
      <c r="AF45" s="552"/>
      <c r="AG45" s="552"/>
      <c r="AH45" s="552"/>
      <c r="AI45" s="553"/>
      <c r="AJ45" s="547"/>
      <c r="AK45" s="551"/>
      <c r="AL45" s="552"/>
      <c r="AM45" s="552"/>
      <c r="AN45" s="552"/>
      <c r="AO45" s="553"/>
      <c r="AP45" s="551"/>
      <c r="AQ45" s="552"/>
      <c r="AR45" s="552"/>
      <c r="AS45" s="552"/>
      <c r="AT45" s="553"/>
      <c r="AU45" s="467"/>
      <c r="AV45" s="524">
        <f t="shared" si="38"/>
        <v>0.15</v>
      </c>
      <c r="AW45" s="525">
        <f t="shared" si="35"/>
        <v>0.1</v>
      </c>
      <c r="AX45" s="525">
        <f t="shared" si="35"/>
        <v>3.4</v>
      </c>
      <c r="AY45" s="525">
        <f t="shared" si="35"/>
        <v>10.1</v>
      </c>
      <c r="AZ45" s="526">
        <f t="shared" si="35"/>
        <v>5.6</v>
      </c>
      <c r="BA45" s="524">
        <f t="shared" si="35"/>
        <v>0</v>
      </c>
      <c r="BB45" s="525">
        <f t="shared" si="35"/>
        <v>0</v>
      </c>
      <c r="BC45" s="525">
        <f t="shared" si="35"/>
        <v>0</v>
      </c>
      <c r="BD45" s="525">
        <f t="shared" si="35"/>
        <v>0</v>
      </c>
      <c r="BE45" s="526">
        <f t="shared" si="35"/>
        <v>0</v>
      </c>
      <c r="BF45" s="467"/>
      <c r="BG45" s="524">
        <f t="shared" ca="1" si="39"/>
        <v>0</v>
      </c>
      <c r="BH45" s="525">
        <f t="shared" ca="1" si="40"/>
        <v>0</v>
      </c>
      <c r="BI45" s="525">
        <f t="shared" ca="1" si="36"/>
        <v>0</v>
      </c>
      <c r="BJ45" s="525">
        <f t="shared" ca="1" si="36"/>
        <v>0</v>
      </c>
      <c r="BK45" s="526">
        <f t="shared" ca="1" si="36"/>
        <v>0.32250000000000001</v>
      </c>
      <c r="BL45" s="524">
        <f t="shared" ca="1" si="36"/>
        <v>0.64500000000000002</v>
      </c>
      <c r="BM45" s="525">
        <f t="shared" ca="1" si="36"/>
        <v>0.64500000000000002</v>
      </c>
      <c r="BN45" s="525">
        <f t="shared" ca="1" si="36"/>
        <v>0.64500000000000002</v>
      </c>
      <c r="BO45" s="525">
        <f t="shared" ca="1" si="36"/>
        <v>0.64500000000000002</v>
      </c>
      <c r="BP45" s="526">
        <f t="shared" ca="1" si="36"/>
        <v>0.64500000000000002</v>
      </c>
      <c r="BQ45" s="467"/>
      <c r="BR45" s="524">
        <f>+IF($K45="Ongoing",AV45,IF(RIGHT($K45,2)=RIGHT(BR$40,2),SUM($AV45:AV45),0)+IF(RIGHT(BR$40,2)&gt;RIGHT($K45,2),AV45,0))</f>
        <v>0</v>
      </c>
      <c r="BS45" s="525">
        <f>+IF($K45="Ongoing",AW45,IF(RIGHT($K45,2)=RIGHT(BS$40,2),SUM($AV45:AW45),0)+IF(RIGHT(BS$40,2)&gt;RIGHT($K45,2),AW45,0))</f>
        <v>0</v>
      </c>
      <c r="BT45" s="525">
        <f>+IF($K45="Ongoing",AX45,IF(RIGHT($K45,2)=RIGHT(BT$40,2),SUM($AV45:AX45),0)+IF(RIGHT(BT$40,2)&gt;RIGHT($K45,2),AX45,0))</f>
        <v>0</v>
      </c>
      <c r="BU45" s="525">
        <f>+IF($K45="Ongoing",AY45,IF(RIGHT($K45,2)=RIGHT(BU$40,2),SUM($AV45:AY45),0)+IF(RIGHT(BU$40,2)&gt;RIGHT($K45,2),AY45,0))</f>
        <v>0</v>
      </c>
      <c r="BV45" s="526">
        <f>+IF($K45="Ongoing",AZ45,IF(RIGHT($K45,2)=RIGHT(BV$40,2),SUM($AV45:AZ45),0)+IF(RIGHT(BV$40,2)&gt;RIGHT($K45,2),AZ45,0))</f>
        <v>19.350000000000001</v>
      </c>
      <c r="BW45" s="524">
        <f>+IF($K45="Ongoing",BA45,IF(RIGHT($K45,2)=RIGHT(BW$40,2),SUM($AV45:BA45),0)+IF(RIGHT(BW$40,2)&gt;RIGHT($K45,2),BA45,0))</f>
        <v>0</v>
      </c>
      <c r="BX45" s="525">
        <f>+IF($K45="Ongoing",BB45,IF(RIGHT($K45,2)=RIGHT(BX$40,2),SUM($AV45:BB45),0)+IF(RIGHT(BX$40,2)&gt;RIGHT($K45,2),BB45,0))</f>
        <v>0</v>
      </c>
      <c r="BY45" s="525">
        <f>+IF($K45="Ongoing",BC45,IF(RIGHT($K45,2)=RIGHT(BY$40,2),SUM($AV45:BC45),0)+IF(RIGHT(BY$40,2)&gt;RIGHT($K45,2),BC45,0))</f>
        <v>0</v>
      </c>
      <c r="BZ45" s="525">
        <f>+IF($K45="Ongoing",BD45,IF(RIGHT($K45,2)=RIGHT(BZ$40,2),SUM($AV45:BD45),0)+IF(RIGHT(BZ$40,2)&gt;RIGHT($K45,2),BD45,0))</f>
        <v>0</v>
      </c>
      <c r="CA45" s="526">
        <f>+IF($K45="Ongoing",BE45,IF(RIGHT($K45,2)=RIGHT(CA$40,2),SUM($AV45:BE45),0)+IF(RIGHT(CA$40,2)&gt;RIGHT($K45,2),BE45,0))</f>
        <v>0</v>
      </c>
      <c r="CB45" s="467"/>
      <c r="CC45" s="524">
        <f>+O45*KeyAssumptionsPriceControl_FO!AF$15</f>
        <v>0.15434999999999999</v>
      </c>
      <c r="CD45" s="525">
        <f>+P45*KeyAssumptionsPriceControl_FO!AG$15</f>
        <v>0.10588409999999999</v>
      </c>
      <c r="CE45" s="525">
        <f>+Q45*KeyAssumptionsPriceControl_FO!AH$15</f>
        <v>3.7044611225999993</v>
      </c>
      <c r="CF45" s="525">
        <f>+R45*KeyAssumptionsPriceControl_FO!AI$15</f>
        <v>11.323557059138098</v>
      </c>
      <c r="CG45" s="526">
        <f>+S45*KeyAssumptionsPriceControl_FO!AJ$15</f>
        <v>6.4604817027304327</v>
      </c>
      <c r="CH45" s="524">
        <f>+T45*KeyAssumptionsPriceControl_FO!AK$15</f>
        <v>0</v>
      </c>
      <c r="CI45" s="525">
        <f>+U45*KeyAssumptionsPriceControl_FO!AL$15</f>
        <v>0</v>
      </c>
      <c r="CJ45" s="525">
        <f>+V45*KeyAssumptionsPriceControl_FO!AM$15</f>
        <v>0</v>
      </c>
      <c r="CK45" s="525">
        <f>+W45*KeyAssumptionsPriceControl_FO!AN$15</f>
        <v>0</v>
      </c>
      <c r="CL45" s="526">
        <f>+X45*KeyAssumptionsPriceControl_FO!AO$15</f>
        <v>0</v>
      </c>
      <c r="CM45" s="467"/>
      <c r="CN45" s="524">
        <f t="shared" ca="1" si="41"/>
        <v>2.5724999999999997E-3</v>
      </c>
      <c r="CO45" s="525">
        <f t="shared" ca="1" si="42"/>
        <v>6.9097349999999993E-3</v>
      </c>
      <c r="CP45" s="525">
        <f t="shared" ca="1" si="37"/>
        <v>7.0415488709999988E-2</v>
      </c>
      <c r="CQ45" s="525">
        <f t="shared" ca="1" si="37"/>
        <v>0.32088245840563495</v>
      </c>
      <c r="CR45" s="526">
        <f ca="1">IF($M45=0,0,
IF($M45&lt;=0.5,CG45,
IF(AND($J45="straight line",$M45&lt;1.51),(CF45-((CF45/$M45)*0.5))+CG45/$M45*0.5,
IF($J45="straight line",
IF((LEFT(CR$40,4)*1)-INT($M45)&lt;LEFT($CN$40,4)*1,0,((OFFSET(CG45,0,-INT($M45+0.5),1,1))/$M45)*(IF($M45-INT($M45)&gt;0.5,$M45-0.5-INT($M45),IF($M45-INT($M45)&lt;=0.5,$M45-0.5-INT($M45)+1,0))))
+CG45/$M45*0.5
+SUM(OFFSET(CG45,0,MAX(-INT($M45+(0.5-(10^-12))),-CR$41)+1,1,MIN(INT($M45+(0.5-(10^-12))),CR$41)-1))*1/$M45,
IF($J45="Declining Balance",-$CN$39,0)))))</f>
        <v>0.61728310443677714</v>
      </c>
      <c r="CS45" s="524">
        <f t="shared" ca="1" si="37"/>
        <v>0.72495779948228434</v>
      </c>
      <c r="CT45" s="525">
        <f t="shared" ca="1" si="37"/>
        <v>0.72495779948228434</v>
      </c>
      <c r="CU45" s="525">
        <f t="shared" ca="1" si="37"/>
        <v>0.72495779948228434</v>
      </c>
      <c r="CV45" s="525">
        <f t="shared" ca="1" si="37"/>
        <v>0.72495779948228434</v>
      </c>
      <c r="CW45" s="526">
        <f t="shared" ca="1" si="37"/>
        <v>0.72495779948228434</v>
      </c>
      <c r="CX45" s="467"/>
    </row>
    <row r="46" spans="1:102">
      <c r="B46" s="502"/>
      <c r="C46" s="535" t="s">
        <v>1338</v>
      </c>
      <c r="D46" s="536"/>
      <c r="E46" s="537" t="s">
        <v>20</v>
      </c>
      <c r="F46" s="535" t="s">
        <v>12</v>
      </c>
      <c r="G46" s="535" t="s">
        <v>13</v>
      </c>
      <c r="H46" s="2222" t="s">
        <v>518</v>
      </c>
      <c r="I46" s="2223"/>
      <c r="J46" s="2063" t="s">
        <v>279</v>
      </c>
      <c r="K46" s="538" t="s">
        <v>965</v>
      </c>
      <c r="L46" s="538">
        <v>50</v>
      </c>
      <c r="M46" s="538">
        <v>50</v>
      </c>
      <c r="N46" s="467"/>
      <c r="O46" s="551">
        <v>0.45</v>
      </c>
      <c r="P46" s="552">
        <v>1.97</v>
      </c>
      <c r="Q46" s="552">
        <v>0</v>
      </c>
      <c r="R46" s="552">
        <v>0</v>
      </c>
      <c r="S46" s="553">
        <v>0</v>
      </c>
      <c r="T46" s="551">
        <v>0</v>
      </c>
      <c r="U46" s="552">
        <v>0</v>
      </c>
      <c r="V46" s="552">
        <v>0</v>
      </c>
      <c r="W46" s="552">
        <v>0</v>
      </c>
      <c r="X46" s="553">
        <v>0</v>
      </c>
      <c r="Y46" s="547"/>
      <c r="Z46" s="551"/>
      <c r="AA46" s="552"/>
      <c r="AB46" s="552"/>
      <c r="AC46" s="552"/>
      <c r="AD46" s="553"/>
      <c r="AE46" s="551"/>
      <c r="AF46" s="552"/>
      <c r="AG46" s="552"/>
      <c r="AH46" s="552"/>
      <c r="AI46" s="553"/>
      <c r="AJ46" s="547"/>
      <c r="AK46" s="551"/>
      <c r="AL46" s="552"/>
      <c r="AM46" s="552"/>
      <c r="AN46" s="552"/>
      <c r="AO46" s="553"/>
      <c r="AP46" s="551"/>
      <c r="AQ46" s="552"/>
      <c r="AR46" s="552"/>
      <c r="AS46" s="552"/>
      <c r="AT46" s="553"/>
      <c r="AU46" s="467"/>
      <c r="AV46" s="524">
        <f t="shared" si="38"/>
        <v>0.45</v>
      </c>
      <c r="AW46" s="525">
        <f t="shared" si="35"/>
        <v>1.97</v>
      </c>
      <c r="AX46" s="525">
        <f t="shared" si="35"/>
        <v>0</v>
      </c>
      <c r="AY46" s="525">
        <f t="shared" si="35"/>
        <v>0</v>
      </c>
      <c r="AZ46" s="526">
        <f t="shared" si="35"/>
        <v>0</v>
      </c>
      <c r="BA46" s="524">
        <f t="shared" si="35"/>
        <v>0</v>
      </c>
      <c r="BB46" s="525">
        <f t="shared" si="35"/>
        <v>0</v>
      </c>
      <c r="BC46" s="525">
        <f t="shared" si="35"/>
        <v>0</v>
      </c>
      <c r="BD46" s="525">
        <f t="shared" si="35"/>
        <v>0</v>
      </c>
      <c r="BE46" s="526">
        <f t="shared" si="35"/>
        <v>0</v>
      </c>
      <c r="BF46" s="467"/>
      <c r="BG46" s="524">
        <f t="shared" ca="1" si="39"/>
        <v>0</v>
      </c>
      <c r="BH46" s="525">
        <f t="shared" ca="1" si="40"/>
        <v>0</v>
      </c>
      <c r="BI46" s="525">
        <f t="shared" ca="1" si="36"/>
        <v>0</v>
      </c>
      <c r="BJ46" s="525">
        <f t="shared" ca="1" si="36"/>
        <v>0</v>
      </c>
      <c r="BK46" s="526">
        <f t="shared" ca="1" si="36"/>
        <v>2.4199999999999999E-2</v>
      </c>
      <c r="BL46" s="524">
        <f t="shared" ca="1" si="36"/>
        <v>4.8399999999999999E-2</v>
      </c>
      <c r="BM46" s="525">
        <f t="shared" ca="1" si="36"/>
        <v>4.8399999999999999E-2</v>
      </c>
      <c r="BN46" s="525">
        <f t="shared" ca="1" si="36"/>
        <v>4.8399999999999999E-2</v>
      </c>
      <c r="BO46" s="525">
        <f t="shared" ca="1" si="36"/>
        <v>4.8399999999999999E-2</v>
      </c>
      <c r="BP46" s="526">
        <f t="shared" ca="1" si="36"/>
        <v>4.8399999999999999E-2</v>
      </c>
      <c r="BQ46" s="467"/>
      <c r="BR46" s="524">
        <f>+IF($K46="Ongoing",AV46,IF(RIGHT($K46,2)=RIGHT(BR$40,2),SUM($AV46:AV46),0)+IF(RIGHT(BR$40,2)&gt;RIGHT($K46,2),AV46,0))</f>
        <v>0</v>
      </c>
      <c r="BS46" s="525">
        <f>+IF($K46="Ongoing",AW46,IF(RIGHT($K46,2)=RIGHT(BS$40,2),SUM($AV46:AW46),0)+IF(RIGHT(BS$40,2)&gt;RIGHT($K46,2),AW46,0))</f>
        <v>0</v>
      </c>
      <c r="BT46" s="525">
        <f>+IF($K46="Ongoing",AX46,IF(RIGHT($K46,2)=RIGHT(BT$40,2),SUM($AV46:AX46),0)+IF(RIGHT(BT$40,2)&gt;RIGHT($K46,2),AX46,0))</f>
        <v>0</v>
      </c>
      <c r="BU46" s="525">
        <f>+IF($K46="Ongoing",AY46,IF(RIGHT($K46,2)=RIGHT(BU$40,2),SUM($AV46:AY46),0)+IF(RIGHT(BU$40,2)&gt;RIGHT($K46,2),AY46,0))</f>
        <v>0</v>
      </c>
      <c r="BV46" s="526">
        <f>+IF($K46="Ongoing",AZ46,IF(RIGHT($K46,2)=RIGHT(BV$40,2),SUM($AV46:AZ46),0)+IF(RIGHT(BV$40,2)&gt;RIGHT($K46,2),AZ46,0))</f>
        <v>2.42</v>
      </c>
      <c r="BW46" s="524">
        <f>+IF($K46="Ongoing",BA46,IF(RIGHT($K46,2)=RIGHT(BW$40,2),SUM($AV46:BA46),0)+IF(RIGHT(BW$40,2)&gt;RIGHT($K46,2),BA46,0))</f>
        <v>0</v>
      </c>
      <c r="BX46" s="525">
        <f>+IF($K46="Ongoing",BB46,IF(RIGHT($K46,2)=RIGHT(BX$40,2),SUM($AV46:BB46),0)+IF(RIGHT(BX$40,2)&gt;RIGHT($K46,2),BB46,0))</f>
        <v>0</v>
      </c>
      <c r="BY46" s="525">
        <f>+IF($K46="Ongoing",BC46,IF(RIGHT($K46,2)=RIGHT(BY$40,2),SUM($AV46:BC46),0)+IF(RIGHT(BY$40,2)&gt;RIGHT($K46,2),BC46,0))</f>
        <v>0</v>
      </c>
      <c r="BZ46" s="525">
        <f>+IF($K46="Ongoing",BD46,IF(RIGHT($K46,2)=RIGHT(BZ$40,2),SUM($AV46:BD46),0)+IF(RIGHT(BZ$40,2)&gt;RIGHT($K46,2),BD46,0))</f>
        <v>0</v>
      </c>
      <c r="CA46" s="526">
        <f>+IF($K46="Ongoing",BE46,IF(RIGHT($K46,2)=RIGHT(CA$40,2),SUM($AV46:BE46),0)+IF(RIGHT(CA$40,2)&gt;RIGHT($K46,2),BE46,0))</f>
        <v>0</v>
      </c>
      <c r="CB46" s="467"/>
      <c r="CC46" s="524">
        <f>+O46*KeyAssumptionsPriceControl_FO!AF$15</f>
        <v>0.46304999999999996</v>
      </c>
      <c r="CD46" s="525">
        <f>+P46*KeyAssumptionsPriceControl_FO!AG$15</f>
        <v>2.0859167699999999</v>
      </c>
      <c r="CE46" s="525">
        <f>+Q46*KeyAssumptionsPriceControl_FO!AH$15</f>
        <v>0</v>
      </c>
      <c r="CF46" s="525">
        <f>+R46*KeyAssumptionsPriceControl_FO!AI$15</f>
        <v>0</v>
      </c>
      <c r="CG46" s="526">
        <f>+S46*KeyAssumptionsPriceControl_FO!AJ$15</f>
        <v>0</v>
      </c>
      <c r="CH46" s="524">
        <f>+T46*KeyAssumptionsPriceControl_FO!AK$15</f>
        <v>0</v>
      </c>
      <c r="CI46" s="525">
        <f>+U46*KeyAssumptionsPriceControl_FO!AL$15</f>
        <v>0</v>
      </c>
      <c r="CJ46" s="525">
        <f>+V46*KeyAssumptionsPriceControl_FO!AM$15</f>
        <v>0</v>
      </c>
      <c r="CK46" s="525">
        <f>+W46*KeyAssumptionsPriceControl_FO!AN$15</f>
        <v>0</v>
      </c>
      <c r="CL46" s="526">
        <f>+X46*KeyAssumptionsPriceControl_FO!AO$15</f>
        <v>0</v>
      </c>
      <c r="CM46" s="467"/>
      <c r="CN46" s="524">
        <f t="shared" ca="1" si="41"/>
        <v>4.6304999999999992E-3</v>
      </c>
      <c r="CO46" s="525">
        <f t="shared" ca="1" si="42"/>
        <v>3.0120167699999999E-2</v>
      </c>
      <c r="CP46" s="525">
        <f t="shared" ca="1" si="37"/>
        <v>5.0979335399999999E-2</v>
      </c>
      <c r="CQ46" s="525">
        <f t="shared" ca="1" si="37"/>
        <v>5.0979335399999999E-2</v>
      </c>
      <c r="CR46" s="526">
        <f ca="1">IF($M46=0,0,
IF($M46&lt;=0.5,CG46,
IF(AND($J46="straight line",$M46&lt;1.51),(CF46-((CF46/$M46)*0.5))+CG46/$M46*0.5,
IF($J46="straight line",
IF((LEFT(CR$40,4)*1)-INT($M46)&lt;LEFT($CN$40,4)*1,0,((OFFSET(CG46,0,-INT($M46+0.5),1,1))/$M46)*(IF($M46-INT($M46)&gt;0.5,$M46-0.5-INT($M46),IF($M46-INT($M46)&lt;=0.5,$M46-0.5-INT($M46)+1,0))))
+CG46/$M46*0.5
+SUM(OFFSET(CG46,0,MAX(-INT($M46+(0.5-(10^-12))),-CR$41)+1,1,MIN(INT($M46+(0.5-(10^-12))),CR$41)-1))*1/$M46,
IF($J46="Declining Balance",-$CN$39,0)))))</f>
        <v>5.0979335399999999E-2</v>
      </c>
      <c r="CS46" s="524">
        <f t="shared" ca="1" si="37"/>
        <v>5.0979335399999999E-2</v>
      </c>
      <c r="CT46" s="525">
        <f t="shared" ca="1" si="37"/>
        <v>5.0979335399999999E-2</v>
      </c>
      <c r="CU46" s="525">
        <f t="shared" ca="1" si="37"/>
        <v>5.0979335399999999E-2</v>
      </c>
      <c r="CV46" s="525">
        <f t="shared" ca="1" si="37"/>
        <v>5.0979335399999999E-2</v>
      </c>
      <c r="CW46" s="526">
        <f t="shared" ca="1" si="37"/>
        <v>5.0979335399999999E-2</v>
      </c>
      <c r="CX46" s="467"/>
    </row>
    <row r="47" spans="1:102">
      <c r="B47" s="502"/>
      <c r="C47" s="535" t="s">
        <v>1339</v>
      </c>
      <c r="D47" s="536"/>
      <c r="E47" s="537" t="s">
        <v>20</v>
      </c>
      <c r="F47" s="535" t="s">
        <v>516</v>
      </c>
      <c r="G47" s="535" t="s">
        <v>6</v>
      </c>
      <c r="H47" s="2222" t="s">
        <v>518</v>
      </c>
      <c r="I47" s="2223"/>
      <c r="J47" s="2063" t="s">
        <v>279</v>
      </c>
      <c r="K47" s="538" t="s">
        <v>528</v>
      </c>
      <c r="L47" s="538">
        <v>25</v>
      </c>
      <c r="M47" s="538">
        <v>25</v>
      </c>
      <c r="N47" s="467"/>
      <c r="O47" s="551">
        <v>0.5</v>
      </c>
      <c r="P47" s="552">
        <v>1.03</v>
      </c>
      <c r="Q47" s="552">
        <v>6</v>
      </c>
      <c r="R47" s="552">
        <v>0.1</v>
      </c>
      <c r="S47" s="553">
        <v>0.1</v>
      </c>
      <c r="T47" s="551">
        <v>0</v>
      </c>
      <c r="U47" s="552">
        <v>0</v>
      </c>
      <c r="V47" s="552">
        <v>0</v>
      </c>
      <c r="W47" s="552">
        <v>0</v>
      </c>
      <c r="X47" s="553">
        <v>0</v>
      </c>
      <c r="Y47" s="547"/>
      <c r="Z47" s="551"/>
      <c r="AA47" s="552"/>
      <c r="AB47" s="552"/>
      <c r="AC47" s="552"/>
      <c r="AD47" s="553"/>
      <c r="AE47" s="551"/>
      <c r="AF47" s="552"/>
      <c r="AG47" s="552"/>
      <c r="AH47" s="552"/>
      <c r="AI47" s="553"/>
      <c r="AJ47" s="547"/>
      <c r="AK47" s="551"/>
      <c r="AL47" s="552"/>
      <c r="AM47" s="552"/>
      <c r="AN47" s="552"/>
      <c r="AO47" s="553"/>
      <c r="AP47" s="551"/>
      <c r="AQ47" s="552"/>
      <c r="AR47" s="552"/>
      <c r="AS47" s="552"/>
      <c r="AT47" s="553"/>
      <c r="AU47" s="467"/>
      <c r="AV47" s="524">
        <f t="shared" si="38"/>
        <v>0.5</v>
      </c>
      <c r="AW47" s="525">
        <f t="shared" si="35"/>
        <v>1.03</v>
      </c>
      <c r="AX47" s="525">
        <f t="shared" si="35"/>
        <v>6</v>
      </c>
      <c r="AY47" s="525">
        <f t="shared" si="35"/>
        <v>0.1</v>
      </c>
      <c r="AZ47" s="526">
        <f t="shared" si="35"/>
        <v>0.1</v>
      </c>
      <c r="BA47" s="524">
        <f t="shared" si="35"/>
        <v>0</v>
      </c>
      <c r="BB47" s="525">
        <f t="shared" si="35"/>
        <v>0</v>
      </c>
      <c r="BC47" s="525">
        <f t="shared" si="35"/>
        <v>0</v>
      </c>
      <c r="BD47" s="525">
        <f t="shared" si="35"/>
        <v>0</v>
      </c>
      <c r="BE47" s="526">
        <f t="shared" si="35"/>
        <v>0</v>
      </c>
      <c r="BF47" s="467"/>
      <c r="BG47" s="524">
        <f t="shared" ca="1" si="39"/>
        <v>0</v>
      </c>
      <c r="BH47" s="525">
        <f t="shared" ca="1" si="40"/>
        <v>3.0600000000000002E-2</v>
      </c>
      <c r="BI47" s="525">
        <f t="shared" ca="1" si="36"/>
        <v>0.1812</v>
      </c>
      <c r="BJ47" s="525">
        <f t="shared" ca="1" si="36"/>
        <v>0.30320000000000003</v>
      </c>
      <c r="BK47" s="526">
        <f t="shared" ca="1" si="36"/>
        <v>0.30719999999999997</v>
      </c>
      <c r="BL47" s="524">
        <f t="shared" ca="1" si="36"/>
        <v>0.30919999999999997</v>
      </c>
      <c r="BM47" s="525">
        <f t="shared" ca="1" si="36"/>
        <v>0.30919999999999997</v>
      </c>
      <c r="BN47" s="525">
        <f t="shared" ca="1" si="36"/>
        <v>0.30919999999999997</v>
      </c>
      <c r="BO47" s="525">
        <f t="shared" ca="1" si="36"/>
        <v>0.30919999999999997</v>
      </c>
      <c r="BP47" s="526">
        <f t="shared" ca="1" si="36"/>
        <v>0.30919999999999997</v>
      </c>
      <c r="BQ47" s="467"/>
      <c r="BR47" s="524">
        <f>+IF($K47="Ongoing",AV47,IF(RIGHT($K47,2)=RIGHT(BR$40,2),SUM($AV47:AV47),0)+IF(RIGHT(BR$40,2)&gt;RIGHT($K47,2),AV47,0))</f>
        <v>0</v>
      </c>
      <c r="BS47" s="525">
        <f>+IF($K47="Ongoing",AW47,IF(RIGHT($K47,2)=RIGHT(BS$40,2),SUM($AV47:AW47),0)+IF(RIGHT(BS$40,2)&gt;RIGHT($K47,2),AW47,0))</f>
        <v>1.53</v>
      </c>
      <c r="BT47" s="525">
        <f>+IF($K47="Ongoing",AX47,IF(RIGHT($K47,2)=RIGHT(BT$40,2),SUM($AV47:AX47),0)+IF(RIGHT(BT$40,2)&gt;RIGHT($K47,2),AX47,0))</f>
        <v>6</v>
      </c>
      <c r="BU47" s="525">
        <f>+IF($K47="Ongoing",AY47,IF(RIGHT($K47,2)=RIGHT(BU$40,2),SUM($AV47:AY47),0)+IF(RIGHT(BU$40,2)&gt;RIGHT($K47,2),AY47,0))</f>
        <v>0.1</v>
      </c>
      <c r="BV47" s="526">
        <f>+IF($K47="Ongoing",AZ47,IF(RIGHT($K47,2)=RIGHT(BV$40,2),SUM($AV47:AZ47),0)+IF(RIGHT(BV$40,2)&gt;RIGHT($K47,2),AZ47,0))</f>
        <v>0.1</v>
      </c>
      <c r="BW47" s="524">
        <f>+IF($K47="Ongoing",BA47,IF(RIGHT($K47,2)=RIGHT(BW$40,2),SUM($AV47:BA47),0)+IF(RIGHT(BW$40,2)&gt;RIGHT($K47,2),BA47,0))</f>
        <v>0</v>
      </c>
      <c r="BX47" s="525">
        <f>+IF($K47="Ongoing",BB47,IF(RIGHT($K47,2)=RIGHT(BX$40,2),SUM($AV47:BB47),0)+IF(RIGHT(BX$40,2)&gt;RIGHT($K47,2),BB47,0))</f>
        <v>0</v>
      </c>
      <c r="BY47" s="525">
        <f>+IF($K47="Ongoing",BC47,IF(RIGHT($K47,2)=RIGHT(BY$40,2),SUM($AV47:BC47),0)+IF(RIGHT(BY$40,2)&gt;RIGHT($K47,2),BC47,0))</f>
        <v>0</v>
      </c>
      <c r="BZ47" s="525">
        <f>+IF($K47="Ongoing",BD47,IF(RIGHT($K47,2)=RIGHT(BZ$40,2),SUM($AV47:BD47),0)+IF(RIGHT(BZ$40,2)&gt;RIGHT($K47,2),BD47,0))</f>
        <v>0</v>
      </c>
      <c r="CA47" s="526">
        <f>+IF($K47="Ongoing",BE47,IF(RIGHT($K47,2)=RIGHT(CA$40,2),SUM($AV47:BE47),0)+IF(RIGHT(CA$40,2)&gt;RIGHT($K47,2),BE47,0))</f>
        <v>0</v>
      </c>
      <c r="CB47" s="467"/>
      <c r="CC47" s="524">
        <f>+O47*KeyAssumptionsPriceControl_FO!AF$15</f>
        <v>0.51449999999999996</v>
      </c>
      <c r="CD47" s="525">
        <f>+P47*KeyAssumptionsPriceControl_FO!AG$15</f>
        <v>1.0906062299999999</v>
      </c>
      <c r="CE47" s="525">
        <f>+Q47*KeyAssumptionsPriceControl_FO!AH$15</f>
        <v>6.5372843339999989</v>
      </c>
      <c r="CF47" s="525">
        <f>+R47*KeyAssumptionsPriceControl_FO!AI$15</f>
        <v>0.11211442632809998</v>
      </c>
      <c r="CG47" s="526">
        <f>+S47*KeyAssumptionsPriceControl_FO!AJ$15</f>
        <v>0.11536574469161487</v>
      </c>
      <c r="CH47" s="524">
        <f>+T47*KeyAssumptionsPriceControl_FO!AK$15</f>
        <v>0</v>
      </c>
      <c r="CI47" s="525">
        <f>+U47*KeyAssumptionsPriceControl_FO!AL$15</f>
        <v>0</v>
      </c>
      <c r="CJ47" s="525">
        <f>+V47*KeyAssumptionsPriceControl_FO!AM$15</f>
        <v>0</v>
      </c>
      <c r="CK47" s="525">
        <f>+W47*KeyAssumptionsPriceControl_FO!AN$15</f>
        <v>0</v>
      </c>
      <c r="CL47" s="526">
        <f>+X47*KeyAssumptionsPriceControl_FO!AO$15</f>
        <v>0</v>
      </c>
      <c r="CM47" s="467"/>
      <c r="CN47" s="524">
        <f t="shared" ca="1" si="41"/>
        <v>1.0289999999999999E-2</v>
      </c>
      <c r="CO47" s="525">
        <f t="shared" ca="1" si="42"/>
        <v>4.2392124599999997E-2</v>
      </c>
      <c r="CP47" s="525">
        <f t="shared" ca="1" si="37"/>
        <v>0.19494993587999998</v>
      </c>
      <c r="CQ47" s="525">
        <f t="shared" ca="1" si="37"/>
        <v>0.32793791108656195</v>
      </c>
      <c r="CR47" s="526">
        <f ca="1">IF($M47=0,0,
IF($M47&lt;=0.5,CG47,
IF(AND($J47="straight line",$M47&lt;1.51),(CF47-((CF47/$M47)*0.5))+CG47/$M47*0.5,
IF($J47="straight line",
IF((LEFT(CR$40,4)*1)-INT($M47)&lt;LEFT($CN$40,4)*1,0,((OFFSET(CG47,0,-INT($M47+0.5),1,1))/$M47)*(IF($M47-INT($M47)&gt;0.5,$M47-0.5-INT($M47),IF($M47-INT($M47)&lt;=0.5,$M47-0.5-INT($M47)+1,0))))
+CG47/$M47*0.5
+SUM(OFFSET(CG47,0,MAX(-INT($M47+(0.5-(10^-12))),-CR$41)+1,1,MIN(INT($M47+(0.5-(10^-12))),CR$41)-1))*1/$M47,
IF($J47="Declining Balance",-$CN$39,0)))))</f>
        <v>0.33248751450695624</v>
      </c>
      <c r="CS47" s="524">
        <f t="shared" ca="1" si="37"/>
        <v>0.33479482940078858</v>
      </c>
      <c r="CT47" s="525">
        <f t="shared" ca="1" si="37"/>
        <v>0.33479482940078858</v>
      </c>
      <c r="CU47" s="525">
        <f t="shared" ca="1" si="37"/>
        <v>0.33479482940078858</v>
      </c>
      <c r="CV47" s="525">
        <f t="shared" ca="1" si="37"/>
        <v>0.33479482940078858</v>
      </c>
      <c r="CW47" s="526">
        <f t="shared" ca="1" si="37"/>
        <v>0.33479482940078858</v>
      </c>
      <c r="CX47" s="467"/>
    </row>
    <row r="48" spans="1:102">
      <c r="B48" s="502"/>
      <c r="C48" s="535" t="s">
        <v>1340</v>
      </c>
      <c r="D48" s="536"/>
      <c r="E48" s="537" t="s">
        <v>20</v>
      </c>
      <c r="F48" s="535" t="s">
        <v>12</v>
      </c>
      <c r="G48" s="535" t="s">
        <v>14</v>
      </c>
      <c r="H48" s="2222" t="s">
        <v>518</v>
      </c>
      <c r="I48" s="2223"/>
      <c r="J48" s="2063" t="s">
        <v>279</v>
      </c>
      <c r="K48" s="538" t="s">
        <v>965</v>
      </c>
      <c r="L48" s="538">
        <v>50</v>
      </c>
      <c r="M48" s="538">
        <v>50</v>
      </c>
      <c r="N48" s="467"/>
      <c r="O48" s="551">
        <v>0</v>
      </c>
      <c r="P48" s="552">
        <v>0</v>
      </c>
      <c r="Q48" s="552">
        <v>4.7220000000000004</v>
      </c>
      <c r="R48" s="552">
        <v>3.7759999999999998</v>
      </c>
      <c r="S48" s="553">
        <v>1.8049999999999999</v>
      </c>
      <c r="T48" s="551">
        <v>0</v>
      </c>
      <c r="U48" s="552">
        <v>0</v>
      </c>
      <c r="V48" s="552">
        <v>0</v>
      </c>
      <c r="W48" s="552">
        <v>0</v>
      </c>
      <c r="X48" s="553">
        <v>0</v>
      </c>
      <c r="Y48" s="547"/>
      <c r="Z48" s="551"/>
      <c r="AA48" s="552"/>
      <c r="AB48" s="552"/>
      <c r="AC48" s="552"/>
      <c r="AD48" s="553"/>
      <c r="AE48" s="551"/>
      <c r="AF48" s="552"/>
      <c r="AG48" s="552"/>
      <c r="AH48" s="552"/>
      <c r="AI48" s="553"/>
      <c r="AJ48" s="547"/>
      <c r="AK48" s="551"/>
      <c r="AL48" s="552"/>
      <c r="AM48" s="552"/>
      <c r="AN48" s="552"/>
      <c r="AO48" s="553"/>
      <c r="AP48" s="551"/>
      <c r="AQ48" s="552"/>
      <c r="AR48" s="552"/>
      <c r="AS48" s="552"/>
      <c r="AT48" s="553"/>
      <c r="AU48" s="467"/>
      <c r="AV48" s="524">
        <f t="shared" si="38"/>
        <v>0</v>
      </c>
      <c r="AW48" s="525">
        <f t="shared" si="35"/>
        <v>0</v>
      </c>
      <c r="AX48" s="525">
        <f t="shared" si="35"/>
        <v>4.7220000000000004</v>
      </c>
      <c r="AY48" s="525">
        <f t="shared" si="35"/>
        <v>3.7759999999999998</v>
      </c>
      <c r="AZ48" s="526">
        <f t="shared" si="35"/>
        <v>1.8049999999999999</v>
      </c>
      <c r="BA48" s="524">
        <f t="shared" si="35"/>
        <v>0</v>
      </c>
      <c r="BB48" s="525">
        <f t="shared" si="35"/>
        <v>0</v>
      </c>
      <c r="BC48" s="525">
        <f t="shared" si="35"/>
        <v>0</v>
      </c>
      <c r="BD48" s="525">
        <f t="shared" si="35"/>
        <v>0</v>
      </c>
      <c r="BE48" s="526">
        <f t="shared" si="35"/>
        <v>0</v>
      </c>
      <c r="BF48" s="467"/>
      <c r="BG48" s="524">
        <f t="shared" ca="1" si="39"/>
        <v>0</v>
      </c>
      <c r="BH48" s="525">
        <f t="shared" ca="1" si="40"/>
        <v>0</v>
      </c>
      <c r="BI48" s="525">
        <f t="shared" ca="1" si="36"/>
        <v>0</v>
      </c>
      <c r="BJ48" s="525">
        <f t="shared" ca="1" si="36"/>
        <v>0</v>
      </c>
      <c r="BK48" s="526">
        <f t="shared" ca="1" si="36"/>
        <v>0.10303000000000001</v>
      </c>
      <c r="BL48" s="524">
        <f t="shared" ca="1" si="36"/>
        <v>0.20606000000000002</v>
      </c>
      <c r="BM48" s="525">
        <f t="shared" ca="1" si="36"/>
        <v>0.20606000000000002</v>
      </c>
      <c r="BN48" s="525">
        <f t="shared" ca="1" si="36"/>
        <v>0.20606000000000002</v>
      </c>
      <c r="BO48" s="525">
        <f t="shared" ca="1" si="36"/>
        <v>0.20606000000000002</v>
      </c>
      <c r="BP48" s="526">
        <f t="shared" ca="1" si="36"/>
        <v>0.20606000000000002</v>
      </c>
      <c r="BQ48" s="467"/>
      <c r="BR48" s="524">
        <f>+IF($K48="Ongoing",AV48,IF(RIGHT($K48,2)=RIGHT(BR$40,2),SUM($AV48:AV48),0)+IF(RIGHT(BR$40,2)&gt;RIGHT($K48,2),AV48,0))</f>
        <v>0</v>
      </c>
      <c r="BS48" s="525">
        <f>+IF($K48="Ongoing",AW48,IF(RIGHT($K48,2)=RIGHT(BS$40,2),SUM($AV48:AW48),0)+IF(RIGHT(BS$40,2)&gt;RIGHT($K48,2),AW48,0))</f>
        <v>0</v>
      </c>
      <c r="BT48" s="525">
        <f>+IF($K48="Ongoing",AX48,IF(RIGHT($K48,2)=RIGHT(BT$40,2),SUM($AV48:AX48),0)+IF(RIGHT(BT$40,2)&gt;RIGHT($K48,2),AX48,0))</f>
        <v>0</v>
      </c>
      <c r="BU48" s="525">
        <f>+IF($K48="Ongoing",AY48,IF(RIGHT($K48,2)=RIGHT(BU$40,2),SUM($AV48:AY48),0)+IF(RIGHT(BU$40,2)&gt;RIGHT($K48,2),AY48,0))</f>
        <v>0</v>
      </c>
      <c r="BV48" s="526">
        <f>+IF($K48="Ongoing",AZ48,IF(RIGHT($K48,2)=RIGHT(BV$40,2),SUM($AV48:AZ48),0)+IF(RIGHT(BV$40,2)&gt;RIGHT($K48,2),AZ48,0))</f>
        <v>10.303000000000001</v>
      </c>
      <c r="BW48" s="524">
        <f>+IF($K48="Ongoing",BA48,IF(RIGHT($K48,2)=RIGHT(BW$40,2),SUM($AV48:BA48),0)+IF(RIGHT(BW$40,2)&gt;RIGHT($K48,2),BA48,0))</f>
        <v>0</v>
      </c>
      <c r="BX48" s="525">
        <f>+IF($K48="Ongoing",BB48,IF(RIGHT($K48,2)=RIGHT(BX$40,2),SUM($AV48:BB48),0)+IF(RIGHT(BX$40,2)&gt;RIGHT($K48,2),BB48,0))</f>
        <v>0</v>
      </c>
      <c r="BY48" s="525">
        <f>+IF($K48="Ongoing",BC48,IF(RIGHT($K48,2)=RIGHT(BY$40,2),SUM($AV48:BC48),0)+IF(RIGHT(BY$40,2)&gt;RIGHT($K48,2),BC48,0))</f>
        <v>0</v>
      </c>
      <c r="BZ48" s="525">
        <f>+IF($K48="Ongoing",BD48,IF(RIGHT($K48,2)=RIGHT(BZ$40,2),SUM($AV48:BD48),0)+IF(RIGHT(BZ$40,2)&gt;RIGHT($K48,2),BD48,0))</f>
        <v>0</v>
      </c>
      <c r="CA48" s="526">
        <f>+IF($K48="Ongoing",BE48,IF(RIGHT($K48,2)=RIGHT(CA$40,2),SUM($AV48:BE48),0)+IF(RIGHT(CA$40,2)&gt;RIGHT($K48,2),BE48,0))</f>
        <v>0</v>
      </c>
      <c r="CB48" s="467"/>
      <c r="CC48" s="524">
        <f>+O48*KeyAssumptionsPriceControl_FO!AF$15</f>
        <v>0</v>
      </c>
      <c r="CD48" s="525">
        <f>+P48*KeyAssumptionsPriceControl_FO!AG$15</f>
        <v>0</v>
      </c>
      <c r="CE48" s="525">
        <f>+Q48*KeyAssumptionsPriceControl_FO!AH$15</f>
        <v>5.1448427708579993</v>
      </c>
      <c r="CF48" s="525">
        <f>+R48*KeyAssumptionsPriceControl_FO!AI$15</f>
        <v>4.2334407381490546</v>
      </c>
      <c r="CG48" s="526">
        <f>+S48*KeyAssumptionsPriceControl_FO!AJ$15</f>
        <v>2.0823516916836482</v>
      </c>
      <c r="CH48" s="524">
        <f>+T48*KeyAssumptionsPriceControl_FO!AK$15</f>
        <v>0</v>
      </c>
      <c r="CI48" s="525">
        <f>+U48*KeyAssumptionsPriceControl_FO!AL$15</f>
        <v>0</v>
      </c>
      <c r="CJ48" s="525">
        <f>+V48*KeyAssumptionsPriceControl_FO!AM$15</f>
        <v>0</v>
      </c>
      <c r="CK48" s="525">
        <f>+W48*KeyAssumptionsPriceControl_FO!AN$15</f>
        <v>0</v>
      </c>
      <c r="CL48" s="526">
        <f>+X48*KeyAssumptionsPriceControl_FO!AO$15</f>
        <v>0</v>
      </c>
      <c r="CM48" s="467"/>
      <c r="CN48" s="524">
        <f t="shared" ca="1" si="41"/>
        <v>0</v>
      </c>
      <c r="CO48" s="525">
        <f t="shared" ca="1" si="42"/>
        <v>0</v>
      </c>
      <c r="CP48" s="525">
        <f t="shared" ca="1" si="37"/>
        <v>5.1448427708579991E-2</v>
      </c>
      <c r="CQ48" s="525">
        <f t="shared" ca="1" si="37"/>
        <v>0.14523126279865053</v>
      </c>
      <c r="CR48" s="526">
        <f t="shared" ca="1" si="37"/>
        <v>0.20838918709697757</v>
      </c>
      <c r="CS48" s="524">
        <f t="shared" ca="1" si="37"/>
        <v>0.22921270401381405</v>
      </c>
      <c r="CT48" s="525">
        <f t="shared" ca="1" si="37"/>
        <v>0.22921270401381405</v>
      </c>
      <c r="CU48" s="525">
        <f t="shared" ca="1" si="37"/>
        <v>0.22921270401381405</v>
      </c>
      <c r="CV48" s="525">
        <f t="shared" ca="1" si="37"/>
        <v>0.22921270401381405</v>
      </c>
      <c r="CW48" s="526">
        <f t="shared" ca="1" si="37"/>
        <v>0.22921270401381405</v>
      </c>
      <c r="CX48" s="467"/>
    </row>
    <row r="49" spans="2:102">
      <c r="B49" s="502"/>
      <c r="C49" s="535" t="s">
        <v>1341</v>
      </c>
      <c r="D49" s="536"/>
      <c r="E49" s="537" t="s">
        <v>21</v>
      </c>
      <c r="F49" s="535" t="s">
        <v>12</v>
      </c>
      <c r="G49" s="535" t="s">
        <v>14</v>
      </c>
      <c r="H49" s="2222" t="s">
        <v>518</v>
      </c>
      <c r="I49" s="2223"/>
      <c r="J49" s="2063" t="s">
        <v>279</v>
      </c>
      <c r="K49" s="538" t="s">
        <v>965</v>
      </c>
      <c r="L49" s="538">
        <v>50</v>
      </c>
      <c r="M49" s="538">
        <v>50</v>
      </c>
      <c r="N49" s="467"/>
      <c r="O49" s="551">
        <v>0</v>
      </c>
      <c r="P49" s="552">
        <v>0</v>
      </c>
      <c r="Q49" s="552">
        <v>0</v>
      </c>
      <c r="R49" s="552">
        <v>2.4700000000000002</v>
      </c>
      <c r="S49" s="553">
        <v>3.0990000000000002</v>
      </c>
      <c r="T49" s="551">
        <v>0</v>
      </c>
      <c r="U49" s="552">
        <v>0</v>
      </c>
      <c r="V49" s="552">
        <v>0</v>
      </c>
      <c r="W49" s="552">
        <v>0</v>
      </c>
      <c r="X49" s="553">
        <v>0</v>
      </c>
      <c r="Y49" s="547"/>
      <c r="Z49" s="551"/>
      <c r="AA49" s="552"/>
      <c r="AB49" s="552"/>
      <c r="AC49" s="552"/>
      <c r="AD49" s="553"/>
      <c r="AE49" s="551"/>
      <c r="AF49" s="552"/>
      <c r="AG49" s="552"/>
      <c r="AH49" s="552"/>
      <c r="AI49" s="553"/>
      <c r="AJ49" s="547"/>
      <c r="AK49" s="551"/>
      <c r="AL49" s="552"/>
      <c r="AM49" s="552"/>
      <c r="AN49" s="552"/>
      <c r="AO49" s="553"/>
      <c r="AP49" s="551"/>
      <c r="AQ49" s="552"/>
      <c r="AR49" s="552"/>
      <c r="AS49" s="552"/>
      <c r="AT49" s="553"/>
      <c r="AU49" s="467"/>
      <c r="AV49" s="524">
        <f t="shared" si="38"/>
        <v>0</v>
      </c>
      <c r="AW49" s="525">
        <f t="shared" si="35"/>
        <v>0</v>
      </c>
      <c r="AX49" s="525">
        <f t="shared" si="35"/>
        <v>0</v>
      </c>
      <c r="AY49" s="525">
        <f t="shared" si="35"/>
        <v>2.4700000000000002</v>
      </c>
      <c r="AZ49" s="526">
        <f t="shared" si="35"/>
        <v>3.0990000000000002</v>
      </c>
      <c r="BA49" s="524">
        <f t="shared" si="35"/>
        <v>0</v>
      </c>
      <c r="BB49" s="525">
        <f t="shared" si="35"/>
        <v>0</v>
      </c>
      <c r="BC49" s="525">
        <f t="shared" si="35"/>
        <v>0</v>
      </c>
      <c r="BD49" s="525">
        <f t="shared" si="35"/>
        <v>0</v>
      </c>
      <c r="BE49" s="526">
        <f t="shared" si="35"/>
        <v>0</v>
      </c>
      <c r="BF49" s="467"/>
      <c r="BG49" s="524">
        <f t="shared" ca="1" si="39"/>
        <v>0</v>
      </c>
      <c r="BH49" s="525">
        <f t="shared" ca="1" si="40"/>
        <v>0</v>
      </c>
      <c r="BI49" s="525">
        <f t="shared" ca="1" si="36"/>
        <v>0</v>
      </c>
      <c r="BJ49" s="525">
        <f t="shared" ca="1" si="36"/>
        <v>0</v>
      </c>
      <c r="BK49" s="526">
        <f t="shared" ca="1" si="36"/>
        <v>5.569000000000001E-2</v>
      </c>
      <c r="BL49" s="524">
        <f t="shared" ca="1" si="36"/>
        <v>0.11138000000000002</v>
      </c>
      <c r="BM49" s="525">
        <f t="shared" ca="1" si="36"/>
        <v>0.11138000000000002</v>
      </c>
      <c r="BN49" s="525">
        <f t="shared" ca="1" si="36"/>
        <v>0.11138000000000002</v>
      </c>
      <c r="BO49" s="525">
        <f t="shared" ca="1" si="36"/>
        <v>0.11138000000000002</v>
      </c>
      <c r="BP49" s="526">
        <f t="shared" ca="1" si="36"/>
        <v>0.11138000000000002</v>
      </c>
      <c r="BQ49" s="467"/>
      <c r="BR49" s="524">
        <f>+IF($K49="Ongoing",AV49,IF(RIGHT($K49,2)=RIGHT(BR$40,2),SUM($AV49:AV49),0)+IF(RIGHT(BR$40,2)&gt;RIGHT($K49,2),AV49,0))</f>
        <v>0</v>
      </c>
      <c r="BS49" s="525">
        <f>+IF($K49="Ongoing",AW49,IF(RIGHT($K49,2)=RIGHT(BS$40,2),SUM($AV49:AW49),0)+IF(RIGHT(BS$40,2)&gt;RIGHT($K49,2),AW49,0))</f>
        <v>0</v>
      </c>
      <c r="BT49" s="525">
        <f>+IF($K49="Ongoing",AX49,IF(RIGHT($K49,2)=RIGHT(BT$40,2),SUM($AV49:AX49),0)+IF(RIGHT(BT$40,2)&gt;RIGHT($K49,2),AX49,0))</f>
        <v>0</v>
      </c>
      <c r="BU49" s="525">
        <f>+IF($K49="Ongoing",AY49,IF(RIGHT($K49,2)=RIGHT(BU$40,2),SUM($AV49:AY49),0)+IF(RIGHT(BU$40,2)&gt;RIGHT($K49,2),AY49,0))</f>
        <v>0</v>
      </c>
      <c r="BV49" s="526">
        <f>+IF($K49="Ongoing",AZ49,IF(RIGHT($K49,2)=RIGHT(BV$40,2),SUM($AV49:AZ49),0)+IF(RIGHT(BV$40,2)&gt;RIGHT($K49,2),AZ49,0))</f>
        <v>5.5690000000000008</v>
      </c>
      <c r="BW49" s="524">
        <f>+IF($K49="Ongoing",BA49,IF(RIGHT($K49,2)=RIGHT(BW$40,2),SUM($AV49:BA49),0)+IF(RIGHT(BW$40,2)&gt;RIGHT($K49,2),BA49,0))</f>
        <v>0</v>
      </c>
      <c r="BX49" s="525">
        <f>+IF($K49="Ongoing",BB49,IF(RIGHT($K49,2)=RIGHT(BX$40,2),SUM($AV49:BB49),0)+IF(RIGHT(BX$40,2)&gt;RIGHT($K49,2),BB49,0))</f>
        <v>0</v>
      </c>
      <c r="BY49" s="525">
        <f>+IF($K49="Ongoing",BC49,IF(RIGHT($K49,2)=RIGHT(BY$40,2),SUM($AV49:BC49),0)+IF(RIGHT(BY$40,2)&gt;RIGHT($K49,2),BC49,0))</f>
        <v>0</v>
      </c>
      <c r="BZ49" s="525">
        <f>+IF($K49="Ongoing",BD49,IF(RIGHT($K49,2)=RIGHT(BZ$40,2),SUM($AV49:BD49),0)+IF(RIGHT(BZ$40,2)&gt;RIGHT($K49,2),BD49,0))</f>
        <v>0</v>
      </c>
      <c r="CA49" s="526">
        <f>+IF($K49="Ongoing",BE49,IF(RIGHT($K49,2)=RIGHT(CA$40,2),SUM($AV49:BE49),0)+IF(RIGHT(CA$40,2)&gt;RIGHT($K49,2),BE49,0))</f>
        <v>0</v>
      </c>
      <c r="CB49" s="467"/>
      <c r="CC49" s="524">
        <f>+O49*KeyAssumptionsPriceControl_FO!AF$15</f>
        <v>0</v>
      </c>
      <c r="CD49" s="525">
        <f>+P49*KeyAssumptionsPriceControl_FO!AG$15</f>
        <v>0</v>
      </c>
      <c r="CE49" s="525">
        <f>+Q49*KeyAssumptionsPriceControl_FO!AH$15</f>
        <v>0</v>
      </c>
      <c r="CF49" s="525">
        <f>+R49*KeyAssumptionsPriceControl_FO!AI$15</f>
        <v>2.7692263303040696</v>
      </c>
      <c r="CG49" s="526">
        <f>+S49*KeyAssumptionsPriceControl_FO!AJ$15</f>
        <v>3.5751844279931451</v>
      </c>
      <c r="CH49" s="524">
        <f>+T49*KeyAssumptionsPriceControl_FO!AK$15</f>
        <v>0</v>
      </c>
      <c r="CI49" s="525">
        <f>+U49*KeyAssumptionsPriceControl_FO!AL$15</f>
        <v>0</v>
      </c>
      <c r="CJ49" s="525">
        <f>+V49*KeyAssumptionsPriceControl_FO!AM$15</f>
        <v>0</v>
      </c>
      <c r="CK49" s="525">
        <f>+W49*KeyAssumptionsPriceControl_FO!AN$15</f>
        <v>0</v>
      </c>
      <c r="CL49" s="526">
        <f>+X49*KeyAssumptionsPriceControl_FO!AO$15</f>
        <v>0</v>
      </c>
      <c r="CM49" s="467"/>
      <c r="CN49" s="524">
        <f t="shared" ca="1" si="41"/>
        <v>0</v>
      </c>
      <c r="CO49" s="525">
        <f t="shared" ca="1" si="42"/>
        <v>0</v>
      </c>
      <c r="CP49" s="525">
        <f t="shared" ca="1" si="37"/>
        <v>0</v>
      </c>
      <c r="CQ49" s="525">
        <f t="shared" ca="1" si="37"/>
        <v>2.7692263303040695E-2</v>
      </c>
      <c r="CR49" s="526">
        <f t="shared" ca="1" si="37"/>
        <v>9.1136370886012841E-2</v>
      </c>
      <c r="CS49" s="524">
        <f t="shared" ca="1" si="37"/>
        <v>0.12688821516594431</v>
      </c>
      <c r="CT49" s="525">
        <f t="shared" ca="1" si="37"/>
        <v>0.12688821516594431</v>
      </c>
      <c r="CU49" s="525">
        <f t="shared" ca="1" si="37"/>
        <v>0.12688821516594431</v>
      </c>
      <c r="CV49" s="525">
        <f t="shared" ca="1" si="37"/>
        <v>0.12688821516594431</v>
      </c>
      <c r="CW49" s="526">
        <f t="shared" ca="1" si="37"/>
        <v>0.12688821516594431</v>
      </c>
      <c r="CX49" s="467"/>
    </row>
    <row r="50" spans="2:102">
      <c r="B50" s="502"/>
      <c r="C50" s="535" t="s">
        <v>1342</v>
      </c>
      <c r="D50" s="536"/>
      <c r="E50" s="537" t="s">
        <v>21</v>
      </c>
      <c r="F50" s="535" t="s">
        <v>516</v>
      </c>
      <c r="G50" s="535" t="s">
        <v>6</v>
      </c>
      <c r="H50" s="2222" t="s">
        <v>518</v>
      </c>
      <c r="I50" s="2223"/>
      <c r="J50" s="2063" t="s">
        <v>279</v>
      </c>
      <c r="K50" s="538" t="s">
        <v>965</v>
      </c>
      <c r="L50" s="538">
        <v>40</v>
      </c>
      <c r="M50" s="538">
        <v>40</v>
      </c>
      <c r="N50" s="467"/>
      <c r="O50" s="551">
        <v>0</v>
      </c>
      <c r="P50" s="552">
        <v>0</v>
      </c>
      <c r="Q50" s="552">
        <v>2</v>
      </c>
      <c r="R50" s="552">
        <v>1.25</v>
      </c>
      <c r="S50" s="553">
        <v>2.5</v>
      </c>
      <c r="T50" s="551">
        <v>0</v>
      </c>
      <c r="U50" s="552">
        <v>0</v>
      </c>
      <c r="V50" s="552">
        <v>0</v>
      </c>
      <c r="W50" s="552">
        <v>0</v>
      </c>
      <c r="X50" s="553">
        <v>0</v>
      </c>
      <c r="Y50" s="547"/>
      <c r="Z50" s="551"/>
      <c r="AA50" s="552"/>
      <c r="AB50" s="552"/>
      <c r="AC50" s="552"/>
      <c r="AD50" s="553"/>
      <c r="AE50" s="551"/>
      <c r="AF50" s="552"/>
      <c r="AG50" s="552"/>
      <c r="AH50" s="552"/>
      <c r="AI50" s="553"/>
      <c r="AJ50" s="547"/>
      <c r="AK50" s="551"/>
      <c r="AL50" s="552"/>
      <c r="AM50" s="552"/>
      <c r="AN50" s="552"/>
      <c r="AO50" s="553"/>
      <c r="AP50" s="551"/>
      <c r="AQ50" s="552"/>
      <c r="AR50" s="552"/>
      <c r="AS50" s="552"/>
      <c r="AT50" s="553"/>
      <c r="AU50" s="467"/>
      <c r="AV50" s="524">
        <f t="shared" si="38"/>
        <v>0</v>
      </c>
      <c r="AW50" s="525">
        <f t="shared" si="35"/>
        <v>0</v>
      </c>
      <c r="AX50" s="525">
        <f t="shared" si="35"/>
        <v>2</v>
      </c>
      <c r="AY50" s="525">
        <f t="shared" si="35"/>
        <v>1.25</v>
      </c>
      <c r="AZ50" s="526">
        <f t="shared" si="35"/>
        <v>2.5</v>
      </c>
      <c r="BA50" s="524">
        <f t="shared" si="35"/>
        <v>0</v>
      </c>
      <c r="BB50" s="525">
        <f t="shared" si="35"/>
        <v>0</v>
      </c>
      <c r="BC50" s="525">
        <f t="shared" si="35"/>
        <v>0</v>
      </c>
      <c r="BD50" s="525">
        <f t="shared" si="35"/>
        <v>0</v>
      </c>
      <c r="BE50" s="526">
        <f t="shared" si="35"/>
        <v>0</v>
      </c>
      <c r="BF50" s="467"/>
      <c r="BG50" s="524">
        <f t="shared" ca="1" si="39"/>
        <v>0</v>
      </c>
      <c r="BH50" s="525">
        <f t="shared" ca="1" si="40"/>
        <v>0</v>
      </c>
      <c r="BI50" s="525">
        <f t="shared" ca="1" si="36"/>
        <v>0</v>
      </c>
      <c r="BJ50" s="525">
        <f t="shared" ca="1" si="36"/>
        <v>0</v>
      </c>
      <c r="BK50" s="526">
        <f t="shared" ca="1" si="36"/>
        <v>7.1874999999999994E-2</v>
      </c>
      <c r="BL50" s="524">
        <f t="shared" ca="1" si="36"/>
        <v>0.14374999999999999</v>
      </c>
      <c r="BM50" s="525">
        <f t="shared" ca="1" si="36"/>
        <v>0.14374999999999999</v>
      </c>
      <c r="BN50" s="525">
        <f t="shared" ca="1" si="36"/>
        <v>0.14374999999999999</v>
      </c>
      <c r="BO50" s="525">
        <f t="shared" ca="1" si="36"/>
        <v>0.14374999999999999</v>
      </c>
      <c r="BP50" s="526">
        <f t="shared" ca="1" si="36"/>
        <v>0.14374999999999999</v>
      </c>
      <c r="BQ50" s="467"/>
      <c r="BR50" s="524">
        <f>+IF($K50="Ongoing",AV50,IF(RIGHT($K50,2)=RIGHT(BR$40,2),SUM($AV50:AV50),0)+IF(RIGHT(BR$40,2)&gt;RIGHT($K50,2),AV50,0))</f>
        <v>0</v>
      </c>
      <c r="BS50" s="525">
        <f>+IF($K50="Ongoing",AW50,IF(RIGHT($K50,2)=RIGHT(BS$40,2),SUM($AV50:AW50),0)+IF(RIGHT(BS$40,2)&gt;RIGHT($K50,2),AW50,0))</f>
        <v>0</v>
      </c>
      <c r="BT50" s="525">
        <f>+IF($K50="Ongoing",AX50,IF(RIGHT($K50,2)=RIGHT(BT$40,2),SUM($AV50:AX50),0)+IF(RIGHT(BT$40,2)&gt;RIGHT($K50,2),AX50,0))</f>
        <v>0</v>
      </c>
      <c r="BU50" s="525">
        <f>+IF($K50="Ongoing",AY50,IF(RIGHT($K50,2)=RIGHT(BU$40,2),SUM($AV50:AY50),0)+IF(RIGHT(BU$40,2)&gt;RIGHT($K50,2),AY50,0))</f>
        <v>0</v>
      </c>
      <c r="BV50" s="526">
        <f>+IF($K50="Ongoing",AZ50,IF(RIGHT($K50,2)=RIGHT(BV$40,2),SUM($AV50:AZ50),0)+IF(RIGHT(BV$40,2)&gt;RIGHT($K50,2),AZ50,0))</f>
        <v>5.75</v>
      </c>
      <c r="BW50" s="524">
        <f>+IF($K50="Ongoing",BA50,IF(RIGHT($K50,2)=RIGHT(BW$40,2),SUM($AV50:BA50),0)+IF(RIGHT(BW$40,2)&gt;RIGHT($K50,2),BA50,0))</f>
        <v>0</v>
      </c>
      <c r="BX50" s="525">
        <f>+IF($K50="Ongoing",BB50,IF(RIGHT($K50,2)=RIGHT(BX$40,2),SUM($AV50:BB50),0)+IF(RIGHT(BX$40,2)&gt;RIGHT($K50,2),BB50,0))</f>
        <v>0</v>
      </c>
      <c r="BY50" s="525">
        <f>+IF($K50="Ongoing",BC50,IF(RIGHT($K50,2)=RIGHT(BY$40,2),SUM($AV50:BC50),0)+IF(RIGHT(BY$40,2)&gt;RIGHT($K50,2),BC50,0))</f>
        <v>0</v>
      </c>
      <c r="BZ50" s="525">
        <f>+IF($K50="Ongoing",BD50,IF(RIGHT($K50,2)=RIGHT(BZ$40,2),SUM($AV50:BD50),0)+IF(RIGHT(BZ$40,2)&gt;RIGHT($K50,2),BD50,0))</f>
        <v>0</v>
      </c>
      <c r="CA50" s="526">
        <f>+IF($K50="Ongoing",BE50,IF(RIGHT($K50,2)=RIGHT(CA$40,2),SUM($AV50:BE50),0)+IF(RIGHT(CA$40,2)&gt;RIGHT($K50,2),BE50,0))</f>
        <v>0</v>
      </c>
      <c r="CB50" s="467"/>
      <c r="CC50" s="524">
        <f>+O50*KeyAssumptionsPriceControl_FO!AF$15</f>
        <v>0</v>
      </c>
      <c r="CD50" s="525">
        <f>+P50*KeyAssumptionsPriceControl_FO!AG$15</f>
        <v>0</v>
      </c>
      <c r="CE50" s="525">
        <f>+Q50*KeyAssumptionsPriceControl_FO!AH$15</f>
        <v>2.1790947779999996</v>
      </c>
      <c r="CF50" s="525">
        <f>+R50*KeyAssumptionsPriceControl_FO!AI$15</f>
        <v>1.4014303291012498</v>
      </c>
      <c r="CG50" s="526">
        <f>+S50*KeyAssumptionsPriceControl_FO!AJ$15</f>
        <v>2.8841436172903716</v>
      </c>
      <c r="CH50" s="524">
        <f>+T50*KeyAssumptionsPriceControl_FO!AK$15</f>
        <v>0</v>
      </c>
      <c r="CI50" s="525">
        <f>+U50*KeyAssumptionsPriceControl_FO!AL$15</f>
        <v>0</v>
      </c>
      <c r="CJ50" s="525">
        <f>+V50*KeyAssumptionsPriceControl_FO!AM$15</f>
        <v>0</v>
      </c>
      <c r="CK50" s="525">
        <f>+W50*KeyAssumptionsPriceControl_FO!AN$15</f>
        <v>0</v>
      </c>
      <c r="CL50" s="526">
        <f>+X50*KeyAssumptionsPriceControl_FO!AO$15</f>
        <v>0</v>
      </c>
      <c r="CM50" s="467"/>
      <c r="CN50" s="524">
        <f t="shared" ca="1" si="41"/>
        <v>0</v>
      </c>
      <c r="CO50" s="525">
        <f t="shared" ca="1" si="42"/>
        <v>0</v>
      </c>
      <c r="CP50" s="525">
        <f t="shared" ca="1" si="37"/>
        <v>2.7238684724999997E-2</v>
      </c>
      <c r="CQ50" s="525">
        <f t="shared" ca="1" si="37"/>
        <v>7.1995248563765615E-2</v>
      </c>
      <c r="CR50" s="526">
        <f t="shared" ca="1" si="37"/>
        <v>0.12556492289366089</v>
      </c>
      <c r="CS50" s="524">
        <f t="shared" ca="1" si="37"/>
        <v>0.16161671810979053</v>
      </c>
      <c r="CT50" s="525">
        <f t="shared" ca="1" si="37"/>
        <v>0.16161671810979053</v>
      </c>
      <c r="CU50" s="525">
        <f t="shared" ca="1" si="37"/>
        <v>0.16161671810979053</v>
      </c>
      <c r="CV50" s="525">
        <f t="shared" ca="1" si="37"/>
        <v>0.16161671810979053</v>
      </c>
      <c r="CW50" s="526">
        <f t="shared" ca="1" si="37"/>
        <v>0.16161671810979053</v>
      </c>
      <c r="CX50" s="467"/>
    </row>
    <row r="51" spans="2:102">
      <c r="B51" s="502"/>
      <c r="C51" s="535" t="s">
        <v>1343</v>
      </c>
      <c r="D51" s="536"/>
      <c r="E51" s="537" t="s">
        <v>20</v>
      </c>
      <c r="F51" s="535" t="s">
        <v>12</v>
      </c>
      <c r="G51" s="535" t="s">
        <v>14</v>
      </c>
      <c r="H51" s="2222" t="s">
        <v>518</v>
      </c>
      <c r="I51" s="2223"/>
      <c r="J51" s="2063" t="s">
        <v>279</v>
      </c>
      <c r="K51" s="538" t="s">
        <v>295</v>
      </c>
      <c r="L51" s="538">
        <v>60</v>
      </c>
      <c r="M51" s="538">
        <v>60</v>
      </c>
      <c r="N51" s="467"/>
      <c r="O51" s="551">
        <v>3</v>
      </c>
      <c r="P51" s="552">
        <v>3.29</v>
      </c>
      <c r="Q51" s="552">
        <v>3.54</v>
      </c>
      <c r="R51" s="552">
        <v>4.54</v>
      </c>
      <c r="S51" s="553">
        <v>5</v>
      </c>
      <c r="T51" s="551">
        <v>1</v>
      </c>
      <c r="U51" s="552">
        <v>9.9</v>
      </c>
      <c r="V51" s="552">
        <v>1</v>
      </c>
      <c r="W51" s="552">
        <v>0</v>
      </c>
      <c r="X51" s="553">
        <v>0</v>
      </c>
      <c r="Y51" s="547"/>
      <c r="Z51" s="551"/>
      <c r="AA51" s="552"/>
      <c r="AB51" s="552"/>
      <c r="AC51" s="552"/>
      <c r="AD51" s="553"/>
      <c r="AE51" s="551"/>
      <c r="AF51" s="552"/>
      <c r="AG51" s="552"/>
      <c r="AH51" s="552"/>
      <c r="AI51" s="553"/>
      <c r="AJ51" s="547"/>
      <c r="AK51" s="551"/>
      <c r="AL51" s="552"/>
      <c r="AM51" s="552"/>
      <c r="AN51" s="552"/>
      <c r="AO51" s="553"/>
      <c r="AP51" s="551"/>
      <c r="AQ51" s="552"/>
      <c r="AR51" s="552"/>
      <c r="AS51" s="552"/>
      <c r="AT51" s="553"/>
      <c r="AU51" s="467"/>
      <c r="AV51" s="524">
        <f t="shared" si="38"/>
        <v>3</v>
      </c>
      <c r="AW51" s="525">
        <f t="shared" si="35"/>
        <v>3.29</v>
      </c>
      <c r="AX51" s="525">
        <f t="shared" si="35"/>
        <v>3.54</v>
      </c>
      <c r="AY51" s="525">
        <f t="shared" si="35"/>
        <v>4.54</v>
      </c>
      <c r="AZ51" s="526">
        <f t="shared" si="35"/>
        <v>5</v>
      </c>
      <c r="BA51" s="524">
        <f t="shared" si="35"/>
        <v>1</v>
      </c>
      <c r="BB51" s="525">
        <f t="shared" si="35"/>
        <v>9.9</v>
      </c>
      <c r="BC51" s="525">
        <f t="shared" si="35"/>
        <v>1</v>
      </c>
      <c r="BD51" s="525">
        <f t="shared" si="35"/>
        <v>0</v>
      </c>
      <c r="BE51" s="526">
        <f t="shared" si="35"/>
        <v>0</v>
      </c>
      <c r="BF51" s="467"/>
      <c r="BG51" s="524">
        <f t="shared" ca="1" si="39"/>
        <v>2.5000000000000001E-2</v>
      </c>
      <c r="BH51" s="525">
        <f t="shared" ca="1" si="40"/>
        <v>7.7416666666666661E-2</v>
      </c>
      <c r="BI51" s="525">
        <f t="shared" ca="1" si="36"/>
        <v>0.13433333333333333</v>
      </c>
      <c r="BJ51" s="525">
        <f t="shared" ca="1" si="36"/>
        <v>0.20166666666666666</v>
      </c>
      <c r="BK51" s="526">
        <f t="shared" ca="1" si="36"/>
        <v>0.28116666666666668</v>
      </c>
      <c r="BL51" s="524">
        <f t="shared" ca="1" si="36"/>
        <v>0.33116666666666672</v>
      </c>
      <c r="BM51" s="525">
        <f t="shared" ca="1" si="36"/>
        <v>0.42200000000000004</v>
      </c>
      <c r="BN51" s="525">
        <f t="shared" ca="1" si="36"/>
        <v>0.51283333333333336</v>
      </c>
      <c r="BO51" s="525">
        <f t="shared" ca="1" si="36"/>
        <v>0.52116666666666667</v>
      </c>
      <c r="BP51" s="526">
        <f t="shared" ca="1" si="36"/>
        <v>0.52116666666666667</v>
      </c>
      <c r="BQ51" s="467"/>
      <c r="BR51" s="524">
        <f>+IF($K51="Ongoing",AV51,IF(RIGHT($K51,2)=RIGHT(BR$40,2),SUM($AV51:AV51),0)+IF(RIGHT(BR$40,2)&gt;RIGHT($K51,2),AV51,0))</f>
        <v>3</v>
      </c>
      <c r="BS51" s="525">
        <f>+IF($K51="Ongoing",AW51,IF(RIGHT($K51,2)=RIGHT(BS$40,2),SUM($AV51:AW51),0)+IF(RIGHT(BS$40,2)&gt;RIGHT($K51,2),AW51,0))</f>
        <v>3.29</v>
      </c>
      <c r="BT51" s="525">
        <f>+IF($K51="Ongoing",AX51,IF(RIGHT($K51,2)=RIGHT(BT$40,2),SUM($AV51:AX51),0)+IF(RIGHT(BT$40,2)&gt;RIGHT($K51,2),AX51,0))</f>
        <v>3.54</v>
      </c>
      <c r="BU51" s="525">
        <f>+IF($K51="Ongoing",AY51,IF(RIGHT($K51,2)=RIGHT(BU$40,2),SUM($AV51:AY51),0)+IF(RIGHT(BU$40,2)&gt;RIGHT($K51,2),AY51,0))</f>
        <v>4.54</v>
      </c>
      <c r="BV51" s="526">
        <f>+IF($K51="Ongoing",AZ51,IF(RIGHT($K51,2)=RIGHT(BV$40,2),SUM($AV51:AZ51),0)+IF(RIGHT(BV$40,2)&gt;RIGHT($K51,2),AZ51,0))</f>
        <v>5</v>
      </c>
      <c r="BW51" s="524">
        <f>+IF($K51="Ongoing",BA51,IF(RIGHT($K51,2)=RIGHT(BW$40,2),SUM($AV51:BA51),0)+IF(RIGHT(BW$40,2)&gt;RIGHT($K51,2),BA51,0))</f>
        <v>1</v>
      </c>
      <c r="BX51" s="525">
        <f>+IF($K51="Ongoing",BB51,IF(RIGHT($K51,2)=RIGHT(BX$40,2),SUM($AV51:BB51),0)+IF(RIGHT(BX$40,2)&gt;RIGHT($K51,2),BB51,0))</f>
        <v>9.9</v>
      </c>
      <c r="BY51" s="525">
        <f>+IF($K51="Ongoing",BC51,IF(RIGHT($K51,2)=RIGHT(BY$40,2),SUM($AV51:BC51),0)+IF(RIGHT(BY$40,2)&gt;RIGHT($K51,2),BC51,0))</f>
        <v>1</v>
      </c>
      <c r="BZ51" s="525">
        <f>+IF($K51="Ongoing",BD51,IF(RIGHT($K51,2)=RIGHT(BZ$40,2),SUM($AV51:BD51),0)+IF(RIGHT(BZ$40,2)&gt;RIGHT($K51,2),BD51,0))</f>
        <v>0</v>
      </c>
      <c r="CA51" s="526">
        <f>+IF($K51="Ongoing",BE51,IF(RIGHT($K51,2)=RIGHT(CA$40,2),SUM($AV51:BE51),0)+IF(RIGHT(CA$40,2)&gt;RIGHT($K51,2),BE51,0))</f>
        <v>0</v>
      </c>
      <c r="CB51" s="467"/>
      <c r="CC51" s="524">
        <f>+O51*KeyAssumptionsPriceControl_FO!AF$15</f>
        <v>3.0869999999999997</v>
      </c>
      <c r="CD51" s="525">
        <f>+P51*KeyAssumptionsPriceControl_FO!AG$15</f>
        <v>3.4835868899999998</v>
      </c>
      <c r="CE51" s="525">
        <f>+Q51*KeyAssumptionsPriceControl_FO!AH$15</f>
        <v>3.8569977570599994</v>
      </c>
      <c r="CF51" s="525">
        <f>+R51*KeyAssumptionsPriceControl_FO!AI$15</f>
        <v>5.0899949552957393</v>
      </c>
      <c r="CG51" s="526">
        <f>+S51*KeyAssumptionsPriceControl_FO!AJ$15</f>
        <v>5.7682872345807432</v>
      </c>
      <c r="CH51" s="524">
        <f>+T51*KeyAssumptionsPriceControl_FO!AK$15</f>
        <v>1.187113512876717</v>
      </c>
      <c r="CI51" s="525">
        <f>+U51*KeyAssumptionsPriceControl_FO!AL$15</f>
        <v>12.093244067026403</v>
      </c>
      <c r="CJ51" s="525">
        <f>+V51*KeyAssumptionsPriceControl_FO!AM$15</f>
        <v>1.2569644590878957</v>
      </c>
      <c r="CK51" s="525">
        <f>+W51*KeyAssumptionsPriceControl_FO!AN$15</f>
        <v>0</v>
      </c>
      <c r="CL51" s="526">
        <f>+X51*KeyAssumptionsPriceControl_FO!AO$15</f>
        <v>0</v>
      </c>
      <c r="CM51" s="467"/>
      <c r="CN51" s="524">
        <f t="shared" ca="1" si="41"/>
        <v>2.5724999999999998E-2</v>
      </c>
      <c r="CO51" s="525">
        <f t="shared" ca="1" si="42"/>
        <v>8.0479890749999991E-2</v>
      </c>
      <c r="CP51" s="525">
        <f t="shared" ca="1" si="37"/>
        <v>0.14165142947549997</v>
      </c>
      <c r="CQ51" s="525">
        <f t="shared" ca="1" si="37"/>
        <v>0.21620970207846446</v>
      </c>
      <c r="CR51" s="526">
        <f t="shared" ca="1" si="37"/>
        <v>0.30669538699410182</v>
      </c>
      <c r="CS51" s="524">
        <f t="shared" ca="1" si="37"/>
        <v>0.36465705988958064</v>
      </c>
      <c r="CT51" s="525">
        <f t="shared" ca="1" si="37"/>
        <v>0.47532670638877333</v>
      </c>
      <c r="CU51" s="525">
        <f t="shared" ca="1" si="37"/>
        <v>0.58657844410639248</v>
      </c>
      <c r="CV51" s="525">
        <f t="shared" ca="1" si="37"/>
        <v>0.59705314793212494</v>
      </c>
      <c r="CW51" s="526">
        <f t="shared" ca="1" si="37"/>
        <v>0.59705314793212494</v>
      </c>
      <c r="CX51" s="467"/>
    </row>
    <row r="52" spans="2:102">
      <c r="B52" s="502"/>
      <c r="C52" s="2187" t="s">
        <v>1344</v>
      </c>
      <c r="D52" s="2188"/>
      <c r="E52" s="2189" t="s">
        <v>21</v>
      </c>
      <c r="F52" s="2187" t="s">
        <v>12</v>
      </c>
      <c r="G52" s="2187" t="s">
        <v>14</v>
      </c>
      <c r="H52" s="2190" t="s">
        <v>518</v>
      </c>
      <c r="I52" s="2191"/>
      <c r="J52" s="2192" t="s">
        <v>279</v>
      </c>
      <c r="K52" s="2193" t="s">
        <v>295</v>
      </c>
      <c r="L52" s="2193">
        <v>60</v>
      </c>
      <c r="M52" s="2193">
        <v>60</v>
      </c>
      <c r="N52" s="467"/>
      <c r="O52" s="2194">
        <v>5</v>
      </c>
      <c r="P52" s="2195">
        <v>3.5</v>
      </c>
      <c r="Q52" s="2195">
        <v>0</v>
      </c>
      <c r="R52" s="2195">
        <v>0</v>
      </c>
      <c r="S52" s="2196">
        <v>0</v>
      </c>
      <c r="T52" s="2194">
        <v>15.24</v>
      </c>
      <c r="U52" s="2195">
        <v>1.5</v>
      </c>
      <c r="V52" s="2195">
        <v>1.5</v>
      </c>
      <c r="W52" s="2195">
        <v>0</v>
      </c>
      <c r="X52" s="2196">
        <v>0</v>
      </c>
      <c r="Y52" s="547"/>
      <c r="Z52" s="2194"/>
      <c r="AA52" s="2195"/>
      <c r="AB52" s="2195"/>
      <c r="AC52" s="2195"/>
      <c r="AD52" s="2196"/>
      <c r="AE52" s="2194"/>
      <c r="AF52" s="2195"/>
      <c r="AG52" s="2195"/>
      <c r="AH52" s="2195"/>
      <c r="AI52" s="2196"/>
      <c r="AJ52" s="547"/>
      <c r="AK52" s="2194"/>
      <c r="AL52" s="2195"/>
      <c r="AM52" s="2195"/>
      <c r="AN52" s="2195"/>
      <c r="AO52" s="2196"/>
      <c r="AP52" s="2194"/>
      <c r="AQ52" s="2195"/>
      <c r="AR52" s="2195"/>
      <c r="AS52" s="2195"/>
      <c r="AT52" s="2196"/>
      <c r="AU52" s="467"/>
      <c r="AV52" s="524">
        <f t="shared" ref="AV52:BE54" si="43">+O52-Z52-AK52</f>
        <v>5</v>
      </c>
      <c r="AW52" s="525">
        <f t="shared" si="43"/>
        <v>3.5</v>
      </c>
      <c r="AX52" s="525">
        <f t="shared" si="43"/>
        <v>0</v>
      </c>
      <c r="AY52" s="525">
        <f t="shared" si="43"/>
        <v>0</v>
      </c>
      <c r="AZ52" s="526">
        <f t="shared" si="43"/>
        <v>0</v>
      </c>
      <c r="BA52" s="524">
        <f t="shared" si="43"/>
        <v>15.24</v>
      </c>
      <c r="BB52" s="525">
        <f t="shared" si="43"/>
        <v>1.5</v>
      </c>
      <c r="BC52" s="525">
        <f t="shared" si="43"/>
        <v>1.5</v>
      </c>
      <c r="BD52" s="525">
        <f t="shared" si="43"/>
        <v>0</v>
      </c>
      <c r="BE52" s="526">
        <f t="shared" si="43"/>
        <v>0</v>
      </c>
      <c r="BF52" s="467"/>
      <c r="BG52" s="524">
        <f ca="1">IF($L52=0,0,
IF($L52&lt;=0.5,BR52,
IF($J52="straight line",
IF((LEFT(BG$40,4)*1)-INT($L52)&lt;LEFT($BG$40,4)*1,0,((OFFSET(BR52,0,-INT($L52+0.5),1,1))/$L52)*(IF($L52-INT($L52)&gt;0.5,$L52-0.5-INT($L52),IF($L52-INT($L52)&lt;=0.5,$L52-0.5-INT($L52)+1,0))))
+BR52/$L52*0.5,
IF($J52="Declining Balance",-$BG$39,0))))</f>
        <v>4.1666666666666664E-2</v>
      </c>
      <c r="BH52" s="525">
        <f t="shared" ref="BH52:BP54" ca="1" si="44">IF($L52=0,0,
IF($L52&lt;=0.5,BS52,
IF(AND($J52="straight line",$L52&lt;1.51),(BR52-((BR52/$L52)*0.5))+BS52/$L52*0.5,
IF($J52="straight line",
IF((LEFT(BH$40,4)*1)-INT($L52)&lt;LEFT($BG$40,4)*1,0,((OFFSET(BS52,0,-INT($L52+0.5),1,1))/$L52)*(IF($L52-INT($L52)&gt;0.5,$L52-0.5-INT($L52),IF($L52-INT($L52)&lt;=0.5,$L52-0.5-INT($L52)+1,0))))
+BS52/$L52*0.5
+SUM(OFFSET(BS52,0,MAX(-INT($L52+(0.5-(10^-12))),-BH$41)+1,1,MIN(INT($L52+(0.5-(10^-12))),BH$41)-1))*1/$L52,
IF($J52="Declining Balance",-$BG$39,0)))))</f>
        <v>0.11249999999999999</v>
      </c>
      <c r="BI52" s="525">
        <f t="shared" ca="1" si="44"/>
        <v>0.14166666666666666</v>
      </c>
      <c r="BJ52" s="525">
        <f t="shared" ca="1" si="44"/>
        <v>0.14166666666666666</v>
      </c>
      <c r="BK52" s="526">
        <f t="shared" ca="1" si="44"/>
        <v>0.14166666666666666</v>
      </c>
      <c r="BL52" s="524">
        <f t="shared" ca="1" si="44"/>
        <v>0.26866666666666666</v>
      </c>
      <c r="BM52" s="525">
        <f t="shared" ca="1" si="44"/>
        <v>0.40816666666666673</v>
      </c>
      <c r="BN52" s="525">
        <f t="shared" ca="1" si="44"/>
        <v>0.4331666666666667</v>
      </c>
      <c r="BO52" s="525">
        <f t="shared" ca="1" si="44"/>
        <v>0.44566666666666671</v>
      </c>
      <c r="BP52" s="526">
        <f t="shared" ca="1" si="44"/>
        <v>0.44566666666666671</v>
      </c>
      <c r="BQ52" s="467"/>
      <c r="BR52" s="524">
        <f>+IF($K52="Ongoing",AV52,IF(RIGHT($K52,2)=RIGHT(BR$40,2),SUM($AV52:AV52),0)+IF(RIGHT(BR$40,2)&gt;RIGHT($K52,2),AV52,0))</f>
        <v>5</v>
      </c>
      <c r="BS52" s="525">
        <f>+IF($K52="Ongoing",AW52,IF(RIGHT($K52,2)=RIGHT(BS$40,2),SUM($AV52:AW52),0)+IF(RIGHT(BS$40,2)&gt;RIGHT($K52,2),AW52,0))</f>
        <v>3.5</v>
      </c>
      <c r="BT52" s="525">
        <f>+IF($K52="Ongoing",AX52,IF(RIGHT($K52,2)=RIGHT(BT$40,2),SUM($AV52:AX52),0)+IF(RIGHT(BT$40,2)&gt;RIGHT($K52,2),AX52,0))</f>
        <v>0</v>
      </c>
      <c r="BU52" s="525">
        <f>+IF($K52="Ongoing",AY52,IF(RIGHT($K52,2)=RIGHT(BU$40,2),SUM($AV52:AY52),0)+IF(RIGHT(BU$40,2)&gt;RIGHT($K52,2),AY52,0))</f>
        <v>0</v>
      </c>
      <c r="BV52" s="526">
        <f>+IF($K52="Ongoing",AZ52,IF(RIGHT($K52,2)=RIGHT(BV$40,2),SUM($AV52:AZ52),0)+IF(RIGHT(BV$40,2)&gt;RIGHT($K52,2),AZ52,0))</f>
        <v>0</v>
      </c>
      <c r="BW52" s="524">
        <f>+IF($K52="Ongoing",BA52,IF(RIGHT($K52,2)=RIGHT(BW$40,2),SUM($AV52:BA52),0)+IF(RIGHT(BW$40,2)&gt;RIGHT($K52,2),BA52,0))</f>
        <v>15.24</v>
      </c>
      <c r="BX52" s="525">
        <f>+IF($K52="Ongoing",BB52,IF(RIGHT($K52,2)=RIGHT(BX$40,2),SUM($AV52:BB52),0)+IF(RIGHT(BX$40,2)&gt;RIGHT($K52,2),BB52,0))</f>
        <v>1.5</v>
      </c>
      <c r="BY52" s="525">
        <f>+IF($K52="Ongoing",BC52,IF(RIGHT($K52,2)=RIGHT(BY$40,2),SUM($AV52:BC52),0)+IF(RIGHT(BY$40,2)&gt;RIGHT($K52,2),BC52,0))</f>
        <v>1.5</v>
      </c>
      <c r="BZ52" s="525">
        <f>+IF($K52="Ongoing",BD52,IF(RIGHT($K52,2)=RIGHT(BZ$40,2),SUM($AV52:BD52),0)+IF(RIGHT(BZ$40,2)&gt;RIGHT($K52,2),BD52,0))</f>
        <v>0</v>
      </c>
      <c r="CA52" s="526">
        <f>+IF($K52="Ongoing",BE52,IF(RIGHT($K52,2)=RIGHT(CA$40,2),SUM($AV52:BE52),0)+IF(RIGHT(CA$40,2)&gt;RIGHT($K52,2),BE52,0))</f>
        <v>0</v>
      </c>
      <c r="CB52" s="467"/>
      <c r="CC52" s="524">
        <f>+O52*KeyAssumptionsPriceControl_FO!AF$15</f>
        <v>5.1449999999999996</v>
      </c>
      <c r="CD52" s="525">
        <f>+P52*KeyAssumptionsPriceControl_FO!AG$15</f>
        <v>3.7059434999999996</v>
      </c>
      <c r="CE52" s="525">
        <f>+Q52*KeyAssumptionsPriceControl_FO!AH$15</f>
        <v>0</v>
      </c>
      <c r="CF52" s="525">
        <f>+R52*KeyAssumptionsPriceControl_FO!AI$15</f>
        <v>0</v>
      </c>
      <c r="CG52" s="526">
        <f>+S52*KeyAssumptionsPriceControl_FO!AJ$15</f>
        <v>0</v>
      </c>
      <c r="CH52" s="524">
        <f>+T52*KeyAssumptionsPriceControl_FO!AK$15</f>
        <v>18.091609936241166</v>
      </c>
      <c r="CI52" s="525">
        <f>+U52*KeyAssumptionsPriceControl_FO!AL$15</f>
        <v>1.8323097071252124</v>
      </c>
      <c r="CJ52" s="525">
        <f>+V52*KeyAssumptionsPriceControl_FO!AM$15</f>
        <v>1.8854466886318435</v>
      </c>
      <c r="CK52" s="525">
        <f>+W52*KeyAssumptionsPriceControl_FO!AN$15</f>
        <v>0</v>
      </c>
      <c r="CL52" s="526">
        <f>+X52*KeyAssumptionsPriceControl_FO!AO$15</f>
        <v>0</v>
      </c>
      <c r="CM52" s="467"/>
      <c r="CN52" s="524">
        <f ca="1">IF($M52=0,0,
IF($M52&lt;=0.5,CC52,
IF($J52="straight line",
IF((LEFT(CN$40,4)*1)-INT($M52)&lt;LEFT($CN$40,4)*1,0,((OFFSET(CC52,0,-INT($M52+0.5),1,1))/$M52)*(IF($M52-INT($M52)&gt;0.5,$M52-0.5-INT($M52),IF($M52-INT($M52)&lt;=0.5,$M52-0.5-INT($M52)+1,0))))
+CC52/$M52*0.5,
IF($J52="Declining Balance",-$CN$39,0))))</f>
        <v>4.2874999999999996E-2</v>
      </c>
      <c r="CO52" s="525">
        <f t="shared" ref="CO52:CW54" ca="1" si="45">IF($M52=0,0,
IF($M52&lt;=0.5,CD52,
IF(AND($J52="straight line",$M52&lt;1.51),(CC52-((CC52/$M52)*0.5))+CD52/$M52*0.5,
IF($J52="straight line",
IF((LEFT(CO$40,4)*1)-INT($M52)&lt;LEFT($CN$40,4)*1,0,((OFFSET(CD52,0,-INT($M52+0.5),1,1))/$M52)*(IF($M52-INT($M52)&gt;0.5,$M52-0.5-INT($M52),IF($M52-INT($M52)&lt;=0.5,$M52-0.5-INT($M52)+1,0))))
+CD52/$M52*0.5
+SUM(OFFSET(CD52,0,MAX(-INT($M52+(0.5-(10^-12))),-CO$41)+1,1,MIN(INT($M52+(0.5-(10^-12))),CO$41)-1))*1/$M52,
IF($J52="Declining Balance",-$CN$39,0)))))</f>
        <v>0.11663286249999999</v>
      </c>
      <c r="CP52" s="525">
        <f t="shared" ca="1" si="45"/>
        <v>0.14751572499999999</v>
      </c>
      <c r="CQ52" s="525">
        <f t="shared" ca="1" si="45"/>
        <v>0.14751572499999999</v>
      </c>
      <c r="CR52" s="526">
        <f t="shared" ca="1" si="45"/>
        <v>0.14751572499999999</v>
      </c>
      <c r="CS52" s="524">
        <f t="shared" ca="1" si="45"/>
        <v>0.29827914113534304</v>
      </c>
      <c r="CT52" s="525">
        <f t="shared" ca="1" si="45"/>
        <v>0.46431180483006285</v>
      </c>
      <c r="CU52" s="525">
        <f t="shared" ca="1" si="45"/>
        <v>0.49529310812803834</v>
      </c>
      <c r="CV52" s="525">
        <f t="shared" ca="1" si="45"/>
        <v>0.51100516386663708</v>
      </c>
      <c r="CW52" s="526">
        <f t="shared" ca="1" si="45"/>
        <v>0.51100516386663708</v>
      </c>
      <c r="CX52" s="467"/>
    </row>
    <row r="53" spans="2:102">
      <c r="B53" s="502"/>
      <c r="C53" s="2187" t="s">
        <v>1345</v>
      </c>
      <c r="D53" s="2188"/>
      <c r="E53" s="2189" t="s">
        <v>21</v>
      </c>
      <c r="F53" s="2187" t="s">
        <v>516</v>
      </c>
      <c r="G53" s="2187" t="s">
        <v>6</v>
      </c>
      <c r="H53" s="2190" t="s">
        <v>518</v>
      </c>
      <c r="I53" s="2191"/>
      <c r="J53" s="2192" t="s">
        <v>279</v>
      </c>
      <c r="K53" s="2193" t="s">
        <v>527</v>
      </c>
      <c r="L53" s="2193">
        <v>40</v>
      </c>
      <c r="M53" s="2193">
        <v>40</v>
      </c>
      <c r="N53" s="467"/>
      <c r="O53" s="2194">
        <v>4.8499999999999996</v>
      </c>
      <c r="P53" s="2195">
        <v>9.51</v>
      </c>
      <c r="Q53" s="2195">
        <v>1.7</v>
      </c>
      <c r="R53" s="2195">
        <v>0.39</v>
      </c>
      <c r="S53" s="2196">
        <v>0</v>
      </c>
      <c r="T53" s="2194">
        <v>0</v>
      </c>
      <c r="U53" s="2195">
        <v>0</v>
      </c>
      <c r="V53" s="2195">
        <v>0</v>
      </c>
      <c r="W53" s="2195">
        <v>0</v>
      </c>
      <c r="X53" s="2196">
        <v>0</v>
      </c>
      <c r="Y53" s="547"/>
      <c r="Z53" s="2194"/>
      <c r="AA53" s="2195"/>
      <c r="AB53" s="2195"/>
      <c r="AC53" s="2195"/>
      <c r="AD53" s="2196"/>
      <c r="AE53" s="2194"/>
      <c r="AF53" s="2195"/>
      <c r="AG53" s="2195"/>
      <c r="AH53" s="2195"/>
      <c r="AI53" s="2196"/>
      <c r="AJ53" s="547"/>
      <c r="AK53" s="2194"/>
      <c r="AL53" s="2195"/>
      <c r="AM53" s="2195"/>
      <c r="AN53" s="2195"/>
      <c r="AO53" s="2196"/>
      <c r="AP53" s="2194"/>
      <c r="AQ53" s="2195"/>
      <c r="AR53" s="2195"/>
      <c r="AS53" s="2195"/>
      <c r="AT53" s="2196"/>
      <c r="AU53" s="467"/>
      <c r="AV53" s="524">
        <f t="shared" si="43"/>
        <v>4.8499999999999996</v>
      </c>
      <c r="AW53" s="525">
        <f t="shared" si="43"/>
        <v>9.51</v>
      </c>
      <c r="AX53" s="525">
        <f t="shared" si="43"/>
        <v>1.7</v>
      </c>
      <c r="AY53" s="525">
        <f t="shared" si="43"/>
        <v>0.39</v>
      </c>
      <c r="AZ53" s="526">
        <f t="shared" si="43"/>
        <v>0</v>
      </c>
      <c r="BA53" s="524">
        <f t="shared" si="43"/>
        <v>0</v>
      </c>
      <c r="BB53" s="525">
        <f t="shared" si="43"/>
        <v>0</v>
      </c>
      <c r="BC53" s="525">
        <f t="shared" si="43"/>
        <v>0</v>
      </c>
      <c r="BD53" s="525">
        <f t="shared" si="43"/>
        <v>0</v>
      </c>
      <c r="BE53" s="526">
        <f t="shared" si="43"/>
        <v>0</v>
      </c>
      <c r="BF53" s="467"/>
      <c r="BG53" s="524">
        <f ca="1">IF($L53=0,0,
IF($L53&lt;=0.5,BR53,
IF($J53="straight line",
IF((LEFT(BG$40,4)*1)-INT($L53)&lt;LEFT($BG$40,4)*1,0,((OFFSET(BR53,0,-INT($L53+0.5),1,1))/$L53)*(IF($L53-INT($L53)&gt;0.5,$L53-0.5-INT($L53),IF($L53-INT($L53)&lt;=0.5,$L53-0.5-INT($L53)+1,0))))
+BR53/$L53*0.5,
IF($J53="Declining Balance",-$BG$39,0))))</f>
        <v>6.0624999999999998E-2</v>
      </c>
      <c r="BH53" s="525">
        <f t="shared" ca="1" si="44"/>
        <v>0.24012499999999998</v>
      </c>
      <c r="BI53" s="525">
        <f t="shared" ca="1" si="44"/>
        <v>0.38024999999999998</v>
      </c>
      <c r="BJ53" s="525">
        <f t="shared" ca="1" si="44"/>
        <v>0.40637499999999999</v>
      </c>
      <c r="BK53" s="526">
        <f t="shared" ca="1" si="44"/>
        <v>0.41125</v>
      </c>
      <c r="BL53" s="524">
        <f t="shared" ca="1" si="44"/>
        <v>0.41125</v>
      </c>
      <c r="BM53" s="525">
        <f t="shared" ca="1" si="44"/>
        <v>0.41125</v>
      </c>
      <c r="BN53" s="525">
        <f t="shared" ca="1" si="44"/>
        <v>0.41125</v>
      </c>
      <c r="BO53" s="525">
        <f t="shared" ca="1" si="44"/>
        <v>0.41125</v>
      </c>
      <c r="BP53" s="526">
        <f t="shared" ca="1" si="44"/>
        <v>0.41125</v>
      </c>
      <c r="BQ53" s="467"/>
      <c r="BR53" s="524">
        <f>+IF($K53="Ongoing",AV53,IF(RIGHT($K53,2)=RIGHT(BR$40,2),SUM($AV53:AV53),0)+IF(RIGHT(BR$40,2)&gt;RIGHT($K53,2),AV53,0))</f>
        <v>4.8499999999999996</v>
      </c>
      <c r="BS53" s="525">
        <f>+IF($K53="Ongoing",AW53,IF(RIGHT($K53,2)=RIGHT(BS$40,2),SUM($AV53:AW53),0)+IF(RIGHT(BS$40,2)&gt;RIGHT($K53,2),AW53,0))</f>
        <v>9.51</v>
      </c>
      <c r="BT53" s="525">
        <f>+IF($K53="Ongoing",AX53,IF(RIGHT($K53,2)=RIGHT(BT$40,2),SUM($AV53:AX53),0)+IF(RIGHT(BT$40,2)&gt;RIGHT($K53,2),AX53,0))</f>
        <v>1.7</v>
      </c>
      <c r="BU53" s="525">
        <f>+IF($K53="Ongoing",AY53,IF(RIGHT($K53,2)=RIGHT(BU$40,2),SUM($AV53:AY53),0)+IF(RIGHT(BU$40,2)&gt;RIGHT($K53,2),AY53,0))</f>
        <v>0.39</v>
      </c>
      <c r="BV53" s="526">
        <f>+IF($K53="Ongoing",AZ53,IF(RIGHT($K53,2)=RIGHT(BV$40,2),SUM($AV53:AZ53),0)+IF(RIGHT(BV$40,2)&gt;RIGHT($K53,2),AZ53,0))</f>
        <v>0</v>
      </c>
      <c r="BW53" s="524">
        <f>+IF($K53="Ongoing",BA53,IF(RIGHT($K53,2)=RIGHT(BW$40,2),SUM($AV53:BA53),0)+IF(RIGHT(BW$40,2)&gt;RIGHT($K53,2),BA53,0))</f>
        <v>0</v>
      </c>
      <c r="BX53" s="525">
        <f>+IF($K53="Ongoing",BB53,IF(RIGHT($K53,2)=RIGHT(BX$40,2),SUM($AV53:BB53),0)+IF(RIGHT(BX$40,2)&gt;RIGHT($K53,2),BB53,0))</f>
        <v>0</v>
      </c>
      <c r="BY53" s="525">
        <f>+IF($K53="Ongoing",BC53,IF(RIGHT($K53,2)=RIGHT(BY$40,2),SUM($AV53:BC53),0)+IF(RIGHT(BY$40,2)&gt;RIGHT($K53,2),BC53,0))</f>
        <v>0</v>
      </c>
      <c r="BZ53" s="525">
        <f>+IF($K53="Ongoing",BD53,IF(RIGHT($K53,2)=RIGHT(BZ$40,2),SUM($AV53:BD53),0)+IF(RIGHT(BZ$40,2)&gt;RIGHT($K53,2),BD53,0))</f>
        <v>0</v>
      </c>
      <c r="CA53" s="526">
        <f>+IF($K53="Ongoing",BE53,IF(RIGHT($K53,2)=RIGHT(CA$40,2),SUM($AV53:BE53),0)+IF(RIGHT(CA$40,2)&gt;RIGHT($K53,2),BE53,0))</f>
        <v>0</v>
      </c>
      <c r="CB53" s="467"/>
      <c r="CC53" s="524">
        <f>+O53*KeyAssumptionsPriceControl_FO!AF$15</f>
        <v>4.9906499999999996</v>
      </c>
      <c r="CD53" s="525">
        <f>+P53*KeyAssumptionsPriceControl_FO!AG$15</f>
        <v>10.06957791</v>
      </c>
      <c r="CE53" s="525">
        <f>+Q53*KeyAssumptionsPriceControl_FO!AH$15</f>
        <v>1.8522305612999996</v>
      </c>
      <c r="CF53" s="525">
        <f>+R53*KeyAssumptionsPriceControl_FO!AI$15</f>
        <v>0.43724626267958994</v>
      </c>
      <c r="CG53" s="526">
        <f>+S53*KeyAssumptionsPriceControl_FO!AJ$15</f>
        <v>0</v>
      </c>
      <c r="CH53" s="524">
        <f>+T53*KeyAssumptionsPriceControl_FO!AK$15</f>
        <v>0</v>
      </c>
      <c r="CI53" s="525">
        <f>+U53*KeyAssumptionsPriceControl_FO!AL$15</f>
        <v>0</v>
      </c>
      <c r="CJ53" s="525">
        <f>+V53*KeyAssumptionsPriceControl_FO!AM$15</f>
        <v>0</v>
      </c>
      <c r="CK53" s="525">
        <f>+W53*KeyAssumptionsPriceControl_FO!AN$15</f>
        <v>0</v>
      </c>
      <c r="CL53" s="526">
        <f>+X53*KeyAssumptionsPriceControl_FO!AO$15</f>
        <v>0</v>
      </c>
      <c r="CM53" s="467"/>
      <c r="CN53" s="524">
        <f ca="1">IF($M53=0,0,
IF($M53&lt;=0.5,CC53,
IF($J53="straight line",
IF((LEFT(CN$40,4)*1)-INT($M53)&lt;LEFT($CN$40,4)*1,0,((OFFSET(CC53,0,-INT($M53+0.5),1,1))/$M53)*(IF($M53-INT($M53)&gt;0.5,$M53-0.5-INT($M53),IF($M53-INT($M53)&lt;=0.5,$M53-0.5-INT($M53)+1,0))))
+CC53/$M53*0.5,
IF($J53="Declining Balance",-$CN$39,0))))</f>
        <v>6.2383124999999998E-2</v>
      </c>
      <c r="CO53" s="525">
        <f t="shared" ca="1" si="45"/>
        <v>0.25063597387500003</v>
      </c>
      <c r="CP53" s="525">
        <f t="shared" ca="1" si="45"/>
        <v>0.39965857976624997</v>
      </c>
      <c r="CQ53" s="525">
        <f t="shared" ca="1" si="45"/>
        <v>0.42827704006599482</v>
      </c>
      <c r="CR53" s="526">
        <f t="shared" ca="1" si="45"/>
        <v>0.43374261834948974</v>
      </c>
      <c r="CS53" s="524">
        <f t="shared" ca="1" si="45"/>
        <v>0.43374261834948974</v>
      </c>
      <c r="CT53" s="525">
        <f t="shared" ca="1" si="45"/>
        <v>0.43374261834948974</v>
      </c>
      <c r="CU53" s="525">
        <f t="shared" ca="1" si="45"/>
        <v>0.43374261834948974</v>
      </c>
      <c r="CV53" s="525">
        <f t="shared" ca="1" si="45"/>
        <v>0.43374261834948974</v>
      </c>
      <c r="CW53" s="526">
        <f t="shared" ca="1" si="45"/>
        <v>0.43374261834948974</v>
      </c>
      <c r="CX53" s="467"/>
    </row>
    <row r="54" spans="2:102">
      <c r="B54" s="502"/>
      <c r="C54" s="2187" t="s">
        <v>1346</v>
      </c>
      <c r="D54" s="2188"/>
      <c r="E54" s="2189" t="s">
        <v>21</v>
      </c>
      <c r="F54" s="2187" t="s">
        <v>516</v>
      </c>
      <c r="G54" s="2187" t="s">
        <v>6</v>
      </c>
      <c r="H54" s="2190" t="s">
        <v>518</v>
      </c>
      <c r="I54" s="2191"/>
      <c r="J54" s="2192" t="s">
        <v>279</v>
      </c>
      <c r="K54" s="2193" t="s">
        <v>963</v>
      </c>
      <c r="L54" s="2193">
        <v>40</v>
      </c>
      <c r="M54" s="2193">
        <v>40</v>
      </c>
      <c r="N54" s="467"/>
      <c r="O54" s="2194">
        <v>0.44</v>
      </c>
      <c r="P54" s="2195">
        <v>11.66</v>
      </c>
      <c r="Q54" s="2195">
        <v>8.0399999999999991</v>
      </c>
      <c r="R54" s="2195">
        <v>0</v>
      </c>
      <c r="S54" s="2196">
        <v>0</v>
      </c>
      <c r="T54" s="2194">
        <v>0</v>
      </c>
      <c r="U54" s="2195">
        <v>0</v>
      </c>
      <c r="V54" s="2195">
        <v>0</v>
      </c>
      <c r="W54" s="2195">
        <v>0</v>
      </c>
      <c r="X54" s="2196">
        <v>0</v>
      </c>
      <c r="Y54" s="547"/>
      <c r="Z54" s="2194"/>
      <c r="AA54" s="2195"/>
      <c r="AB54" s="2195"/>
      <c r="AC54" s="2195"/>
      <c r="AD54" s="2196"/>
      <c r="AE54" s="2194"/>
      <c r="AF54" s="2195"/>
      <c r="AG54" s="2195"/>
      <c r="AH54" s="2195"/>
      <c r="AI54" s="2196"/>
      <c r="AJ54" s="547"/>
      <c r="AK54" s="2194"/>
      <c r="AL54" s="2195"/>
      <c r="AM54" s="2195"/>
      <c r="AN54" s="2195"/>
      <c r="AO54" s="2196"/>
      <c r="AP54" s="2194"/>
      <c r="AQ54" s="2195"/>
      <c r="AR54" s="2195"/>
      <c r="AS54" s="2195"/>
      <c r="AT54" s="2196"/>
      <c r="AU54" s="467"/>
      <c r="AV54" s="524">
        <f t="shared" si="43"/>
        <v>0.44</v>
      </c>
      <c r="AW54" s="525">
        <f t="shared" si="43"/>
        <v>11.66</v>
      </c>
      <c r="AX54" s="525">
        <f t="shared" si="43"/>
        <v>8.0399999999999991</v>
      </c>
      <c r="AY54" s="525">
        <f t="shared" si="43"/>
        <v>0</v>
      </c>
      <c r="AZ54" s="526">
        <f t="shared" si="43"/>
        <v>0</v>
      </c>
      <c r="BA54" s="524">
        <f t="shared" si="43"/>
        <v>0</v>
      </c>
      <c r="BB54" s="525">
        <f t="shared" si="43"/>
        <v>0</v>
      </c>
      <c r="BC54" s="525">
        <f t="shared" si="43"/>
        <v>0</v>
      </c>
      <c r="BD54" s="525">
        <f t="shared" si="43"/>
        <v>0</v>
      </c>
      <c r="BE54" s="526">
        <f t="shared" si="43"/>
        <v>0</v>
      </c>
      <c r="BF54" s="467"/>
      <c r="BG54" s="524">
        <f ca="1">IF($L54=0,0,
IF($L54&lt;=0.5,BR54,
IF($J54="straight line",
IF((LEFT(BG$40,4)*1)-INT($L54)&lt;LEFT($BG$40,4)*1,0,((OFFSET(BR54,0,-INT($L54+0.5),1,1))/$L54)*(IF($L54-INT($L54)&gt;0.5,$L54-0.5-INT($L54),IF($L54-INT($L54)&lt;=0.5,$L54-0.5-INT($L54)+1,0))))
+BR54/$L54*0.5,
IF($J54="Declining Balance",-$BG$39,0))))</f>
        <v>0</v>
      </c>
      <c r="BH54" s="525">
        <f t="shared" ca="1" si="44"/>
        <v>0</v>
      </c>
      <c r="BI54" s="525">
        <f t="shared" ca="1" si="44"/>
        <v>0.25175000000000003</v>
      </c>
      <c r="BJ54" s="525">
        <f t="shared" ca="1" si="44"/>
        <v>0.50350000000000006</v>
      </c>
      <c r="BK54" s="526">
        <f t="shared" ca="1" si="44"/>
        <v>0.50350000000000006</v>
      </c>
      <c r="BL54" s="524">
        <f t="shared" ca="1" si="44"/>
        <v>0.50350000000000006</v>
      </c>
      <c r="BM54" s="525">
        <f t="shared" ca="1" si="44"/>
        <v>0.50350000000000006</v>
      </c>
      <c r="BN54" s="525">
        <f t="shared" ca="1" si="44"/>
        <v>0.50350000000000006</v>
      </c>
      <c r="BO54" s="525">
        <f t="shared" ca="1" si="44"/>
        <v>0.50350000000000006</v>
      </c>
      <c r="BP54" s="526">
        <f t="shared" ca="1" si="44"/>
        <v>0.50350000000000006</v>
      </c>
      <c r="BQ54" s="467"/>
      <c r="BR54" s="524">
        <f>+IF($K54="Ongoing",AV54,IF(RIGHT($K54,2)=RIGHT(BR$40,2),SUM($AV54:AV54),0)+IF(RIGHT(BR$40,2)&gt;RIGHT($K54,2),AV54,0))</f>
        <v>0</v>
      </c>
      <c r="BS54" s="525">
        <f>+IF($K54="Ongoing",AW54,IF(RIGHT($K54,2)=RIGHT(BS$40,2),SUM($AV54:AW54),0)+IF(RIGHT(BS$40,2)&gt;RIGHT($K54,2),AW54,0))</f>
        <v>0</v>
      </c>
      <c r="BT54" s="525">
        <f>+IF($K54="Ongoing",AX54,IF(RIGHT($K54,2)=RIGHT(BT$40,2),SUM($AV54:AX54),0)+IF(RIGHT(BT$40,2)&gt;RIGHT($K54,2),AX54,0))</f>
        <v>20.14</v>
      </c>
      <c r="BU54" s="525">
        <f>+IF($K54="Ongoing",AY54,IF(RIGHT($K54,2)=RIGHT(BU$40,2),SUM($AV54:AY54),0)+IF(RIGHT(BU$40,2)&gt;RIGHT($K54,2),AY54,0))</f>
        <v>0</v>
      </c>
      <c r="BV54" s="526">
        <f>+IF($K54="Ongoing",AZ54,IF(RIGHT($K54,2)=RIGHT(BV$40,2),SUM($AV54:AZ54),0)+IF(RIGHT(BV$40,2)&gt;RIGHT($K54,2),AZ54,0))</f>
        <v>0</v>
      </c>
      <c r="BW54" s="524">
        <f>+IF($K54="Ongoing",BA54,IF(RIGHT($K54,2)=RIGHT(BW$40,2),SUM($AV54:BA54),0)+IF(RIGHT(BW$40,2)&gt;RIGHT($K54,2),BA54,0))</f>
        <v>0</v>
      </c>
      <c r="BX54" s="525">
        <f>+IF($K54="Ongoing",BB54,IF(RIGHT($K54,2)=RIGHT(BX$40,2),SUM($AV54:BB54),0)+IF(RIGHT(BX$40,2)&gt;RIGHT($K54,2),BB54,0))</f>
        <v>0</v>
      </c>
      <c r="BY54" s="525">
        <f>+IF($K54="Ongoing",BC54,IF(RIGHT($K54,2)=RIGHT(BY$40,2),SUM($AV54:BC54),0)+IF(RIGHT(BY$40,2)&gt;RIGHT($K54,2),BC54,0))</f>
        <v>0</v>
      </c>
      <c r="BZ54" s="525">
        <f>+IF($K54="Ongoing",BD54,IF(RIGHT($K54,2)=RIGHT(BZ$40,2),SUM($AV54:BD54),0)+IF(RIGHT(BZ$40,2)&gt;RIGHT($K54,2),BD54,0))</f>
        <v>0</v>
      </c>
      <c r="CA54" s="526">
        <f>+IF($K54="Ongoing",BE54,IF(RIGHT($K54,2)=RIGHT(CA$40,2),SUM($AV54:BE54),0)+IF(RIGHT(CA$40,2)&gt;RIGHT($K54,2),BE54,0))</f>
        <v>0</v>
      </c>
      <c r="CB54" s="467"/>
      <c r="CC54" s="524">
        <f>+O54*KeyAssumptionsPriceControl_FO!AF$15</f>
        <v>0.45275999999999994</v>
      </c>
      <c r="CD54" s="525">
        <f>+P54*KeyAssumptionsPriceControl_FO!AG$15</f>
        <v>12.346086059999999</v>
      </c>
      <c r="CE54" s="525">
        <f>+Q54*KeyAssumptionsPriceControl_FO!AH$15</f>
        <v>8.7599610075599976</v>
      </c>
      <c r="CF54" s="525">
        <f>+R54*KeyAssumptionsPriceControl_FO!AI$15</f>
        <v>0</v>
      </c>
      <c r="CG54" s="526">
        <f>+S54*KeyAssumptionsPriceControl_FO!AJ$15</f>
        <v>0</v>
      </c>
      <c r="CH54" s="524">
        <f>+T54*KeyAssumptionsPriceControl_FO!AK$15</f>
        <v>0</v>
      </c>
      <c r="CI54" s="525">
        <f>+U54*KeyAssumptionsPriceControl_FO!AL$15</f>
        <v>0</v>
      </c>
      <c r="CJ54" s="525">
        <f>+V54*KeyAssumptionsPriceControl_FO!AM$15</f>
        <v>0</v>
      </c>
      <c r="CK54" s="525">
        <f>+W54*KeyAssumptionsPriceControl_FO!AN$15</f>
        <v>0</v>
      </c>
      <c r="CL54" s="526">
        <f>+X54*KeyAssumptionsPriceControl_FO!AO$15</f>
        <v>0</v>
      </c>
      <c r="CM54" s="467"/>
      <c r="CN54" s="524">
        <f ca="1">IF($M54=0,0,
IF($M54&lt;=0.5,CC54,
IF($J54="straight line",
IF((LEFT(CN$40,4)*1)-INT($M54)&lt;LEFT($CN$40,4)*1,0,((OFFSET(CC54,0,-INT($M54+0.5),1,1))/$M54)*(IF($M54-INT($M54)&gt;0.5,$M54-0.5-INT($M54),IF($M54-INT($M54)&lt;=0.5,$M54-0.5-INT($M54)+1,0))))
+CC54/$M54*0.5,
IF($J54="Declining Balance",-$CN$39,0))))</f>
        <v>5.6594999999999996E-3</v>
      </c>
      <c r="CO54" s="525">
        <f t="shared" ca="1" si="45"/>
        <v>0.16564507574999998</v>
      </c>
      <c r="CP54" s="525">
        <f t="shared" ca="1" si="45"/>
        <v>0.42947066409449997</v>
      </c>
      <c r="CQ54" s="525">
        <f t="shared" ca="1" si="45"/>
        <v>0.53897017668899994</v>
      </c>
      <c r="CR54" s="526">
        <f t="shared" ca="1" si="45"/>
        <v>0.53897017668899994</v>
      </c>
      <c r="CS54" s="524">
        <f t="shared" ca="1" si="45"/>
        <v>0.53897017668899994</v>
      </c>
      <c r="CT54" s="525">
        <f t="shared" ca="1" si="45"/>
        <v>0.53897017668899994</v>
      </c>
      <c r="CU54" s="525">
        <f t="shared" ca="1" si="45"/>
        <v>0.53897017668899994</v>
      </c>
      <c r="CV54" s="525">
        <f t="shared" ca="1" si="45"/>
        <v>0.53897017668899994</v>
      </c>
      <c r="CW54" s="526">
        <f t="shared" ca="1" si="45"/>
        <v>0.53897017668899994</v>
      </c>
      <c r="CX54" s="467"/>
    </row>
    <row r="55" spans="2:102" ht="12.75" thickBot="1">
      <c r="B55" s="502"/>
      <c r="C55" s="539" t="s">
        <v>1347</v>
      </c>
      <c r="D55" s="540"/>
      <c r="E55" s="541" t="s">
        <v>21</v>
      </c>
      <c r="F55" s="539" t="s">
        <v>12</v>
      </c>
      <c r="G55" s="539" t="s">
        <v>14</v>
      </c>
      <c r="H55" s="2224" t="s">
        <v>518</v>
      </c>
      <c r="I55" s="2225"/>
      <c r="J55" s="2064" t="s">
        <v>279</v>
      </c>
      <c r="K55" s="542" t="s">
        <v>528</v>
      </c>
      <c r="L55" s="542">
        <v>50</v>
      </c>
      <c r="M55" s="542">
        <v>50</v>
      </c>
      <c r="N55" s="467"/>
      <c r="O55" s="554">
        <v>3</v>
      </c>
      <c r="P55" s="555">
        <v>2.31</v>
      </c>
      <c r="Q55" s="555">
        <v>0</v>
      </c>
      <c r="R55" s="555">
        <v>0</v>
      </c>
      <c r="S55" s="556">
        <v>0</v>
      </c>
      <c r="T55" s="554">
        <v>0</v>
      </c>
      <c r="U55" s="555">
        <v>0</v>
      </c>
      <c r="V55" s="555">
        <v>0</v>
      </c>
      <c r="W55" s="555">
        <v>0</v>
      </c>
      <c r="X55" s="556">
        <v>0</v>
      </c>
      <c r="Y55" s="547"/>
      <c r="Z55" s="554"/>
      <c r="AA55" s="555"/>
      <c r="AB55" s="555"/>
      <c r="AC55" s="555"/>
      <c r="AD55" s="556"/>
      <c r="AE55" s="554"/>
      <c r="AF55" s="555"/>
      <c r="AG55" s="555"/>
      <c r="AH55" s="555"/>
      <c r="AI55" s="556"/>
      <c r="AJ55" s="547"/>
      <c r="AK55" s="554"/>
      <c r="AL55" s="555"/>
      <c r="AM55" s="555"/>
      <c r="AN55" s="555"/>
      <c r="AO55" s="556"/>
      <c r="AP55" s="554"/>
      <c r="AQ55" s="555"/>
      <c r="AR55" s="555"/>
      <c r="AS55" s="555"/>
      <c r="AT55" s="556"/>
      <c r="AU55" s="467"/>
      <c r="AV55" s="527">
        <f t="shared" si="38"/>
        <v>3</v>
      </c>
      <c r="AW55" s="528">
        <f t="shared" si="35"/>
        <v>2.31</v>
      </c>
      <c r="AX55" s="528">
        <f t="shared" si="35"/>
        <v>0</v>
      </c>
      <c r="AY55" s="528">
        <f t="shared" si="35"/>
        <v>0</v>
      </c>
      <c r="AZ55" s="529">
        <f t="shared" si="35"/>
        <v>0</v>
      </c>
      <c r="BA55" s="527">
        <f t="shared" si="35"/>
        <v>0</v>
      </c>
      <c r="BB55" s="528">
        <f t="shared" si="35"/>
        <v>0</v>
      </c>
      <c r="BC55" s="528">
        <f t="shared" si="35"/>
        <v>0</v>
      </c>
      <c r="BD55" s="528">
        <f t="shared" si="35"/>
        <v>0</v>
      </c>
      <c r="BE55" s="529">
        <f t="shared" si="35"/>
        <v>0</v>
      </c>
      <c r="BF55" s="467"/>
      <c r="BG55" s="527">
        <f t="shared" ca="1" si="39"/>
        <v>0</v>
      </c>
      <c r="BH55" s="528">
        <f t="shared" ca="1" si="40"/>
        <v>5.3100000000000008E-2</v>
      </c>
      <c r="BI55" s="528">
        <f t="shared" ca="1" si="36"/>
        <v>0.10620000000000002</v>
      </c>
      <c r="BJ55" s="528">
        <f t="shared" ca="1" si="36"/>
        <v>0.10620000000000002</v>
      </c>
      <c r="BK55" s="529">
        <f t="shared" ca="1" si="36"/>
        <v>0.10620000000000002</v>
      </c>
      <c r="BL55" s="527">
        <f t="shared" ca="1" si="36"/>
        <v>0.10620000000000002</v>
      </c>
      <c r="BM55" s="528">
        <f t="shared" ca="1" si="36"/>
        <v>0.10620000000000002</v>
      </c>
      <c r="BN55" s="528">
        <f t="shared" ca="1" si="36"/>
        <v>0.10620000000000002</v>
      </c>
      <c r="BO55" s="528">
        <f t="shared" ca="1" si="36"/>
        <v>0.10620000000000002</v>
      </c>
      <c r="BP55" s="529">
        <f t="shared" ca="1" si="36"/>
        <v>0.10620000000000002</v>
      </c>
      <c r="BQ55" s="467"/>
      <c r="BR55" s="527">
        <f>+IF($K55="Ongoing",AV55,IF(RIGHT($K55,2)=RIGHT(BR$40,2),SUM($AV55:AV55),0)+IF(RIGHT(BR$40,2)&gt;RIGHT($K55,2),AV55,0))</f>
        <v>0</v>
      </c>
      <c r="BS55" s="528">
        <f>+IF($K55="Ongoing",AW55,IF(RIGHT($K55,2)=RIGHT(BS$40,2),SUM($AV55:AW55),0)+IF(RIGHT(BS$40,2)&gt;RIGHT($K55,2),AW55,0))</f>
        <v>5.3100000000000005</v>
      </c>
      <c r="BT55" s="528">
        <f>+IF($K55="Ongoing",AX55,IF(RIGHT($K55,2)=RIGHT(BT$40,2),SUM($AV55:AX55),0)+IF(RIGHT(BT$40,2)&gt;RIGHT($K55,2),AX55,0))</f>
        <v>0</v>
      </c>
      <c r="BU55" s="528">
        <f>+IF($K55="Ongoing",AY55,IF(RIGHT($K55,2)=RIGHT(BU$40,2),SUM($AV55:AY55),0)+IF(RIGHT(BU$40,2)&gt;RIGHT($K55,2),AY55,0))</f>
        <v>0</v>
      </c>
      <c r="BV55" s="529">
        <f>+IF($K55="Ongoing",AZ55,IF(RIGHT($K55,2)=RIGHT(BV$40,2),SUM($AV55:AZ55),0)+IF(RIGHT(BV$40,2)&gt;RIGHT($K55,2),AZ55,0))</f>
        <v>0</v>
      </c>
      <c r="BW55" s="527">
        <f>+IF($K55="Ongoing",BA55,IF(RIGHT($K55,2)=RIGHT(BW$40,2),SUM($AV55:BA55),0)+IF(RIGHT(BW$40,2)&gt;RIGHT($K55,2),BA55,0))</f>
        <v>0</v>
      </c>
      <c r="BX55" s="528">
        <f>+IF($K55="Ongoing",BB55,IF(RIGHT($K55,2)=RIGHT(BX$40,2),SUM($AV55:BB55),0)+IF(RIGHT(BX$40,2)&gt;RIGHT($K55,2),BB55,0))</f>
        <v>0</v>
      </c>
      <c r="BY55" s="528">
        <f>+IF($K55="Ongoing",BC55,IF(RIGHT($K55,2)=RIGHT(BY$40,2),SUM($AV55:BC55),0)+IF(RIGHT(BY$40,2)&gt;RIGHT($K55,2),BC55,0))</f>
        <v>0</v>
      </c>
      <c r="BZ55" s="528">
        <f>+IF($K55="Ongoing",BD55,IF(RIGHT($K55,2)=RIGHT(BZ$40,2),SUM($AV55:BD55),0)+IF(RIGHT(BZ$40,2)&gt;RIGHT($K55,2),BD55,0))</f>
        <v>0</v>
      </c>
      <c r="CA55" s="529">
        <f>+IF($K55="Ongoing",BE55,IF(RIGHT($K55,2)=RIGHT(CA$40,2),SUM($AV55:BE55),0)+IF(RIGHT(CA$40,2)&gt;RIGHT($K55,2),BE55,0))</f>
        <v>0</v>
      </c>
      <c r="CB55" s="467"/>
      <c r="CC55" s="527">
        <f>+O55*KeyAssumptionsPriceControl_FO!AF$15</f>
        <v>3.0869999999999997</v>
      </c>
      <c r="CD55" s="528">
        <f>+P55*KeyAssumptionsPriceControl_FO!AG$15</f>
        <v>2.4459227100000001</v>
      </c>
      <c r="CE55" s="528">
        <f>+Q55*KeyAssumptionsPriceControl_FO!AH$15</f>
        <v>0</v>
      </c>
      <c r="CF55" s="528">
        <f>+R55*KeyAssumptionsPriceControl_FO!AI$15</f>
        <v>0</v>
      </c>
      <c r="CG55" s="529">
        <f>+S55*KeyAssumptionsPriceControl_FO!AJ$15</f>
        <v>0</v>
      </c>
      <c r="CH55" s="527">
        <f>+T55*KeyAssumptionsPriceControl_FO!AK$15</f>
        <v>0</v>
      </c>
      <c r="CI55" s="528">
        <f>+U55*KeyAssumptionsPriceControl_FO!AL$15</f>
        <v>0</v>
      </c>
      <c r="CJ55" s="528">
        <f>+V55*KeyAssumptionsPriceControl_FO!AM$15</f>
        <v>0</v>
      </c>
      <c r="CK55" s="528">
        <f>+W55*KeyAssumptionsPriceControl_FO!AN$15</f>
        <v>0</v>
      </c>
      <c r="CL55" s="529">
        <f>+X55*KeyAssumptionsPriceControl_FO!AO$15</f>
        <v>0</v>
      </c>
      <c r="CM55" s="467"/>
      <c r="CN55" s="527">
        <f t="shared" ca="1" si="41"/>
        <v>3.0869999999999998E-2</v>
      </c>
      <c r="CO55" s="528">
        <f t="shared" ca="1" si="42"/>
        <v>8.6199227099999998E-2</v>
      </c>
      <c r="CP55" s="528">
        <f t="shared" ca="1" si="37"/>
        <v>0.11065845419999999</v>
      </c>
      <c r="CQ55" s="528">
        <f t="shared" ca="1" si="37"/>
        <v>0.11065845419999999</v>
      </c>
      <c r="CR55" s="529">
        <f t="shared" ca="1" si="37"/>
        <v>0.11065845419999999</v>
      </c>
      <c r="CS55" s="527">
        <f t="shared" ca="1" si="37"/>
        <v>0.11065845419999999</v>
      </c>
      <c r="CT55" s="528">
        <f t="shared" ca="1" si="37"/>
        <v>0.11065845419999999</v>
      </c>
      <c r="CU55" s="528">
        <f t="shared" ca="1" si="37"/>
        <v>0.11065845419999999</v>
      </c>
      <c r="CV55" s="528">
        <f t="shared" ca="1" si="37"/>
        <v>0.11065845419999999</v>
      </c>
      <c r="CW55" s="529">
        <f t="shared" ca="1" si="37"/>
        <v>0.11065845419999999</v>
      </c>
      <c r="CX55" s="467"/>
    </row>
    <row r="56" spans="2:102" ht="12.75" thickBot="1">
      <c r="B56" s="502"/>
      <c r="C56" s="543"/>
      <c r="D56" s="543"/>
      <c r="E56" s="543"/>
      <c r="F56" s="543"/>
      <c r="G56" s="543"/>
      <c r="H56" s="543"/>
      <c r="I56" s="543"/>
      <c r="J56" s="544"/>
      <c r="K56" s="545"/>
      <c r="L56" s="544"/>
      <c r="M56" s="546"/>
      <c r="N56" s="502"/>
      <c r="O56" s="557"/>
      <c r="P56" s="557"/>
      <c r="Q56" s="557"/>
      <c r="R56" s="557"/>
      <c r="S56" s="557"/>
      <c r="T56" s="557"/>
      <c r="U56" s="557"/>
      <c r="V56" s="557"/>
      <c r="W56" s="557"/>
      <c r="X56" s="557"/>
      <c r="Y56" s="543"/>
      <c r="Z56" s="557"/>
      <c r="AA56" s="557"/>
      <c r="AB56" s="557"/>
      <c r="AC56" s="557"/>
      <c r="AD56" s="557"/>
      <c r="AE56" s="557"/>
      <c r="AF56" s="557"/>
      <c r="AG56" s="557"/>
      <c r="AH56" s="557"/>
      <c r="AI56" s="557"/>
      <c r="AJ56" s="543"/>
      <c r="AK56" s="558"/>
      <c r="AL56" s="558"/>
      <c r="AM56" s="558"/>
      <c r="AN56" s="558"/>
      <c r="AO56" s="558"/>
      <c r="AP56" s="558"/>
      <c r="AQ56" s="558"/>
      <c r="AR56" s="558"/>
      <c r="AS56" s="558"/>
      <c r="AT56" s="558"/>
      <c r="AU56" s="502"/>
      <c r="AV56" s="530"/>
      <c r="AW56" s="530"/>
      <c r="AX56" s="530"/>
      <c r="AY56" s="530"/>
      <c r="AZ56" s="530"/>
      <c r="BA56" s="530"/>
      <c r="BB56" s="530"/>
      <c r="BC56" s="530"/>
      <c r="BD56" s="530"/>
      <c r="BE56" s="530"/>
      <c r="BF56" s="502"/>
      <c r="BG56" s="531"/>
      <c r="BH56" s="531"/>
      <c r="BI56" s="531"/>
      <c r="BJ56" s="531"/>
      <c r="BK56" s="531"/>
      <c r="BL56" s="531"/>
      <c r="BM56" s="531"/>
      <c r="BN56" s="531"/>
      <c r="BO56" s="531"/>
      <c r="BP56" s="531"/>
      <c r="BQ56" s="502"/>
      <c r="BR56" s="531"/>
      <c r="BS56" s="531"/>
      <c r="BT56" s="531"/>
      <c r="BU56" s="531"/>
      <c r="BV56" s="531"/>
      <c r="BW56" s="531"/>
      <c r="BX56" s="531"/>
      <c r="BY56" s="531"/>
      <c r="BZ56" s="531"/>
      <c r="CA56" s="531"/>
      <c r="CB56" s="467"/>
      <c r="CC56" s="531"/>
      <c r="CD56" s="531"/>
      <c r="CE56" s="531"/>
      <c r="CF56" s="531"/>
      <c r="CG56" s="531"/>
      <c r="CH56" s="531"/>
      <c r="CI56" s="531"/>
      <c r="CJ56" s="531"/>
      <c r="CK56" s="531"/>
      <c r="CL56" s="531"/>
      <c r="CM56" s="467"/>
      <c r="CN56" s="531"/>
      <c r="CO56" s="531"/>
      <c r="CP56" s="531"/>
      <c r="CQ56" s="531"/>
      <c r="CR56" s="531"/>
      <c r="CS56" s="531"/>
      <c r="CT56" s="531"/>
      <c r="CU56" s="531"/>
      <c r="CV56" s="531"/>
      <c r="CW56" s="531"/>
      <c r="CX56" s="467"/>
    </row>
    <row r="57" spans="2:102">
      <c r="B57" s="502"/>
      <c r="C57" s="1585" t="s">
        <v>1409</v>
      </c>
      <c r="D57" s="1665"/>
      <c r="E57" s="1586" t="s">
        <v>21</v>
      </c>
      <c r="F57" s="1586" t="s">
        <v>12</v>
      </c>
      <c r="G57" s="1585" t="s">
        <v>6</v>
      </c>
      <c r="H57" s="2220" t="s">
        <v>521</v>
      </c>
      <c r="I57" s="2221"/>
      <c r="J57" s="1587" t="s">
        <v>279</v>
      </c>
      <c r="K57" s="1588" t="s">
        <v>527</v>
      </c>
      <c r="L57" s="1588">
        <v>20</v>
      </c>
      <c r="M57" s="1588">
        <v>20</v>
      </c>
      <c r="N57" s="467"/>
      <c r="O57" s="548">
        <v>2.2999999999999998</v>
      </c>
      <c r="P57" s="549">
        <v>0</v>
      </c>
      <c r="Q57" s="549">
        <v>0</v>
      </c>
      <c r="R57" s="549">
        <v>0</v>
      </c>
      <c r="S57" s="550">
        <v>0</v>
      </c>
      <c r="T57" s="548">
        <v>0</v>
      </c>
      <c r="U57" s="549">
        <v>0</v>
      </c>
      <c r="V57" s="549">
        <v>0</v>
      </c>
      <c r="W57" s="549">
        <v>0</v>
      </c>
      <c r="X57" s="550">
        <v>0</v>
      </c>
      <c r="Y57" s="547"/>
      <c r="Z57" s="548"/>
      <c r="AA57" s="549"/>
      <c r="AB57" s="549"/>
      <c r="AC57" s="549"/>
      <c r="AD57" s="550"/>
      <c r="AE57" s="548"/>
      <c r="AF57" s="549"/>
      <c r="AG57" s="549"/>
      <c r="AH57" s="549"/>
      <c r="AI57" s="550"/>
      <c r="AJ57" s="547"/>
      <c r="AK57" s="548"/>
      <c r="AL57" s="549"/>
      <c r="AM57" s="549"/>
      <c r="AN57" s="549"/>
      <c r="AO57" s="550"/>
      <c r="AP57" s="548"/>
      <c r="AQ57" s="549"/>
      <c r="AR57" s="549"/>
      <c r="AS57" s="549"/>
      <c r="AT57" s="550"/>
      <c r="AU57" s="467"/>
      <c r="AV57" s="532">
        <f t="shared" si="38"/>
        <v>2.2999999999999998</v>
      </c>
      <c r="AW57" s="533">
        <f t="shared" si="35"/>
        <v>0</v>
      </c>
      <c r="AX57" s="533">
        <f t="shared" si="35"/>
        <v>0</v>
      </c>
      <c r="AY57" s="533">
        <f t="shared" si="35"/>
        <v>0</v>
      </c>
      <c r="AZ57" s="534">
        <f t="shared" si="35"/>
        <v>0</v>
      </c>
      <c r="BA57" s="532">
        <f t="shared" si="35"/>
        <v>0</v>
      </c>
      <c r="BB57" s="533">
        <f t="shared" si="35"/>
        <v>0</v>
      </c>
      <c r="BC57" s="533">
        <f t="shared" si="35"/>
        <v>0</v>
      </c>
      <c r="BD57" s="533">
        <f t="shared" si="35"/>
        <v>0</v>
      </c>
      <c r="BE57" s="534">
        <f t="shared" si="35"/>
        <v>0</v>
      </c>
      <c r="BF57" s="467"/>
      <c r="BG57" s="532">
        <f t="shared" ca="1" si="39"/>
        <v>5.7499999999999996E-2</v>
      </c>
      <c r="BH57" s="533">
        <f t="shared" ca="1" si="40"/>
        <v>0.11499999999999999</v>
      </c>
      <c r="BI57" s="533">
        <f t="shared" ca="1" si="36"/>
        <v>0.11499999999999999</v>
      </c>
      <c r="BJ57" s="533">
        <f t="shared" ca="1" si="36"/>
        <v>0.11499999999999999</v>
      </c>
      <c r="BK57" s="534">
        <f t="shared" ca="1" si="36"/>
        <v>0.11499999999999999</v>
      </c>
      <c r="BL57" s="532">
        <f t="shared" ca="1" si="36"/>
        <v>0.11499999999999999</v>
      </c>
      <c r="BM57" s="533">
        <f t="shared" ca="1" si="36"/>
        <v>0.11499999999999999</v>
      </c>
      <c r="BN57" s="533">
        <f t="shared" ca="1" si="36"/>
        <v>0.11499999999999999</v>
      </c>
      <c r="BO57" s="533">
        <f t="shared" ca="1" si="36"/>
        <v>0.11499999999999999</v>
      </c>
      <c r="BP57" s="534">
        <f t="shared" ca="1" si="36"/>
        <v>0.11499999999999999</v>
      </c>
      <c r="BQ57" s="467"/>
      <c r="BR57" s="532">
        <f>+IF($K57="Ongoing",AV57,IF(RIGHT($K57,2)=RIGHT(BR$40,2),SUM($AV57:AV57),0)+IF(RIGHT(BR$40,2)&gt;RIGHT($K57,2),AV57,0))</f>
        <v>2.2999999999999998</v>
      </c>
      <c r="BS57" s="533">
        <f>+IF($K57="Ongoing",AW57,IF(RIGHT($K57,2)=RIGHT(BS$40,2),SUM($AV57:AW57),0)+IF(RIGHT(BS$40,2)&gt;RIGHT($K57,2),AW57,0))</f>
        <v>0</v>
      </c>
      <c r="BT57" s="533">
        <f>+IF($K57="Ongoing",AX57,IF(RIGHT($K57,2)=RIGHT(BT$40,2),SUM($AV57:AX57),0)+IF(RIGHT(BT$40,2)&gt;RIGHT($K57,2),AX57,0))</f>
        <v>0</v>
      </c>
      <c r="BU57" s="533">
        <f>+IF($K57="Ongoing",AY57,IF(RIGHT($K57,2)=RIGHT(BU$40,2),SUM($AV57:AY57),0)+IF(RIGHT(BU$40,2)&gt;RIGHT($K57,2),AY57,0))</f>
        <v>0</v>
      </c>
      <c r="BV57" s="534">
        <f>+IF($K57="Ongoing",AZ57,IF(RIGHT($K57,2)=RIGHT(BV$40,2),SUM($AV57:AZ57),0)+IF(RIGHT(BV$40,2)&gt;RIGHT($K57,2),AZ57,0))</f>
        <v>0</v>
      </c>
      <c r="BW57" s="532">
        <f>+IF($K57="Ongoing",BA57,IF(RIGHT($K57,2)=RIGHT(BW$40,2),SUM($AV57:BA57),0)+IF(RIGHT(BW$40,2)&gt;RIGHT($K57,2),BA57,0))</f>
        <v>0</v>
      </c>
      <c r="BX57" s="533">
        <f>+IF($K57="Ongoing",BB57,IF(RIGHT($K57,2)=RIGHT(BX$40,2),SUM($AV57:BB57),0)+IF(RIGHT(BX$40,2)&gt;RIGHT($K57,2),BB57,0))</f>
        <v>0</v>
      </c>
      <c r="BY57" s="533">
        <f>+IF($K57="Ongoing",BC57,IF(RIGHT($K57,2)=RIGHT(BY$40,2),SUM($AV57:BC57),0)+IF(RIGHT(BY$40,2)&gt;RIGHT($K57,2),BC57,0))</f>
        <v>0</v>
      </c>
      <c r="BZ57" s="533">
        <f>+IF($K57="Ongoing",BD57,IF(RIGHT($K57,2)=RIGHT(BZ$40,2),SUM($AV57:BD57),0)+IF(RIGHT(BZ$40,2)&gt;RIGHT($K57,2),BD57,0))</f>
        <v>0</v>
      </c>
      <c r="CA57" s="534">
        <f>+IF($K57="Ongoing",BE57,IF(RIGHT($K57,2)=RIGHT(CA$40,2),SUM($AV57:BE57),0)+IF(RIGHT(CA$40,2)&gt;RIGHT($K57,2),BE57,0))</f>
        <v>0</v>
      </c>
      <c r="CB57" s="467"/>
      <c r="CC57" s="532">
        <f>+O57*KeyAssumptionsPriceControl_FO!AF$15</f>
        <v>2.3666999999999998</v>
      </c>
      <c r="CD57" s="533">
        <f>+P57*KeyAssumptionsPriceControl_FO!AG$15</f>
        <v>0</v>
      </c>
      <c r="CE57" s="533">
        <f>+Q57*KeyAssumptionsPriceControl_FO!AH$15</f>
        <v>0</v>
      </c>
      <c r="CF57" s="533">
        <f>+R57*KeyAssumptionsPriceControl_FO!AI$15</f>
        <v>0</v>
      </c>
      <c r="CG57" s="534">
        <f>+S57*KeyAssumptionsPriceControl_FO!AJ$15</f>
        <v>0</v>
      </c>
      <c r="CH57" s="532">
        <f>+T57*KeyAssumptionsPriceControl_FO!AK$15</f>
        <v>0</v>
      </c>
      <c r="CI57" s="533">
        <f>+U57*KeyAssumptionsPriceControl_FO!AL$15</f>
        <v>0</v>
      </c>
      <c r="CJ57" s="533">
        <f>+V57*KeyAssumptionsPriceControl_FO!AM$15</f>
        <v>0</v>
      </c>
      <c r="CK57" s="533">
        <f>+W57*KeyAssumptionsPriceControl_FO!AN$15</f>
        <v>0</v>
      </c>
      <c r="CL57" s="534">
        <f>+X57*KeyAssumptionsPriceControl_FO!AO$15</f>
        <v>0</v>
      </c>
      <c r="CM57" s="467"/>
      <c r="CN57" s="532">
        <f t="shared" ca="1" si="41"/>
        <v>5.9167499999999998E-2</v>
      </c>
      <c r="CO57" s="533">
        <f t="shared" ca="1" si="42"/>
        <v>0.118335</v>
      </c>
      <c r="CP57" s="533">
        <f t="shared" ca="1" si="37"/>
        <v>0.118335</v>
      </c>
      <c r="CQ57" s="533">
        <f t="shared" ca="1" si="37"/>
        <v>0.118335</v>
      </c>
      <c r="CR57" s="534">
        <f t="shared" ca="1" si="37"/>
        <v>0.118335</v>
      </c>
      <c r="CS57" s="532">
        <f t="shared" ca="1" si="37"/>
        <v>0.118335</v>
      </c>
      <c r="CT57" s="533">
        <f t="shared" ca="1" si="37"/>
        <v>0.118335</v>
      </c>
      <c r="CU57" s="533">
        <f t="shared" ca="1" si="37"/>
        <v>0.118335</v>
      </c>
      <c r="CV57" s="533">
        <f t="shared" ca="1" si="37"/>
        <v>0.118335</v>
      </c>
      <c r="CW57" s="534">
        <f t="shared" ca="1" si="37"/>
        <v>0.118335</v>
      </c>
      <c r="CX57" s="467"/>
    </row>
    <row r="58" spans="2:102">
      <c r="B58" s="502"/>
      <c r="C58" s="1589" t="s">
        <v>1348</v>
      </c>
      <c r="D58" s="1590"/>
      <c r="E58" s="1591" t="s">
        <v>20</v>
      </c>
      <c r="F58" s="1591" t="s">
        <v>516</v>
      </c>
      <c r="G58" s="1589" t="s">
        <v>10</v>
      </c>
      <c r="H58" s="2226" t="s">
        <v>521</v>
      </c>
      <c r="I58" s="2227"/>
      <c r="J58" s="1592" t="s">
        <v>279</v>
      </c>
      <c r="K58" s="1593" t="s">
        <v>965</v>
      </c>
      <c r="L58" s="1593">
        <v>20</v>
      </c>
      <c r="M58" s="1593">
        <v>20</v>
      </c>
      <c r="N58" s="467"/>
      <c r="O58" s="551">
        <v>0</v>
      </c>
      <c r="P58" s="552">
        <v>0</v>
      </c>
      <c r="Q58" s="552">
        <v>0</v>
      </c>
      <c r="R58" s="552">
        <v>0.43032700000000002</v>
      </c>
      <c r="S58" s="553">
        <v>1</v>
      </c>
      <c r="T58" s="551">
        <v>0</v>
      </c>
      <c r="U58" s="552">
        <v>0</v>
      </c>
      <c r="V58" s="552">
        <v>0</v>
      </c>
      <c r="W58" s="552">
        <v>0</v>
      </c>
      <c r="X58" s="553">
        <v>0</v>
      </c>
      <c r="Y58" s="547"/>
      <c r="Z58" s="551"/>
      <c r="AA58" s="552"/>
      <c r="AB58" s="552"/>
      <c r="AC58" s="552"/>
      <c r="AD58" s="553"/>
      <c r="AE58" s="551"/>
      <c r="AF58" s="552"/>
      <c r="AG58" s="552"/>
      <c r="AH58" s="552"/>
      <c r="AI58" s="553"/>
      <c r="AJ58" s="547"/>
      <c r="AK58" s="551"/>
      <c r="AL58" s="552"/>
      <c r="AM58" s="552"/>
      <c r="AN58" s="552"/>
      <c r="AO58" s="553"/>
      <c r="AP58" s="551"/>
      <c r="AQ58" s="552"/>
      <c r="AR58" s="552"/>
      <c r="AS58" s="552"/>
      <c r="AT58" s="553"/>
      <c r="AU58" s="467"/>
      <c r="AV58" s="524">
        <f t="shared" si="38"/>
        <v>0</v>
      </c>
      <c r="AW58" s="525">
        <f t="shared" si="35"/>
        <v>0</v>
      </c>
      <c r="AX58" s="525">
        <f t="shared" si="35"/>
        <v>0</v>
      </c>
      <c r="AY58" s="525">
        <f t="shared" si="35"/>
        <v>0.43032700000000002</v>
      </c>
      <c r="AZ58" s="526">
        <f t="shared" si="35"/>
        <v>1</v>
      </c>
      <c r="BA58" s="524">
        <f t="shared" si="35"/>
        <v>0</v>
      </c>
      <c r="BB58" s="525">
        <f t="shared" si="35"/>
        <v>0</v>
      </c>
      <c r="BC58" s="525">
        <f t="shared" si="35"/>
        <v>0</v>
      </c>
      <c r="BD58" s="525">
        <f t="shared" si="35"/>
        <v>0</v>
      </c>
      <c r="BE58" s="526">
        <f t="shared" si="35"/>
        <v>0</v>
      </c>
      <c r="BF58" s="467"/>
      <c r="BG58" s="524">
        <f t="shared" ca="1" si="39"/>
        <v>0</v>
      </c>
      <c r="BH58" s="525">
        <f t="shared" ca="1" si="40"/>
        <v>0</v>
      </c>
      <c r="BI58" s="525">
        <f t="shared" ca="1" si="36"/>
        <v>0</v>
      </c>
      <c r="BJ58" s="525">
        <f t="shared" ca="1" si="36"/>
        <v>0</v>
      </c>
      <c r="BK58" s="526">
        <f t="shared" ca="1" si="36"/>
        <v>3.5758175000000003E-2</v>
      </c>
      <c r="BL58" s="524">
        <f t="shared" ca="1" si="36"/>
        <v>7.1516350000000006E-2</v>
      </c>
      <c r="BM58" s="525">
        <f t="shared" ca="1" si="36"/>
        <v>7.1516350000000006E-2</v>
      </c>
      <c r="BN58" s="525">
        <f t="shared" ca="1" si="36"/>
        <v>7.1516350000000006E-2</v>
      </c>
      <c r="BO58" s="525">
        <f t="shared" ca="1" si="36"/>
        <v>7.1516350000000006E-2</v>
      </c>
      <c r="BP58" s="526">
        <f t="shared" ca="1" si="36"/>
        <v>7.1516350000000006E-2</v>
      </c>
      <c r="BQ58" s="467"/>
      <c r="BR58" s="524">
        <f>+IF($K58="Ongoing",AV58,IF(RIGHT($K58,2)=RIGHT(BR$40,2),SUM($AV58:AV58),0)+IF(RIGHT(BR$40,2)&gt;RIGHT($K58,2),AV58,0))</f>
        <v>0</v>
      </c>
      <c r="BS58" s="525">
        <f>+IF($K58="Ongoing",AW58,IF(RIGHT($K58,2)=RIGHT(BS$40,2),SUM($AV58:AW58),0)+IF(RIGHT(BS$40,2)&gt;RIGHT($K58,2),AW58,0))</f>
        <v>0</v>
      </c>
      <c r="BT58" s="525">
        <f>+IF($K58="Ongoing",AX58,IF(RIGHT($K58,2)=RIGHT(BT$40,2),SUM($AV58:AX58),0)+IF(RIGHT(BT$40,2)&gt;RIGHT($K58,2),AX58,0))</f>
        <v>0</v>
      </c>
      <c r="BU58" s="525">
        <f>+IF($K58="Ongoing",AY58,IF(RIGHT($K58,2)=RIGHT(BU$40,2),SUM($AV58:AY58),0)+IF(RIGHT(BU$40,2)&gt;RIGHT($K58,2),AY58,0))</f>
        <v>0</v>
      </c>
      <c r="BV58" s="526">
        <f>+IF($K58="Ongoing",AZ58,IF(RIGHT($K58,2)=RIGHT(BV$40,2),SUM($AV58:AZ58),0)+IF(RIGHT(BV$40,2)&gt;RIGHT($K58,2),AZ58,0))</f>
        <v>1.4303270000000001</v>
      </c>
      <c r="BW58" s="524">
        <f>+IF($K58="Ongoing",BA58,IF(RIGHT($K58,2)=RIGHT(BW$40,2),SUM($AV58:BA58),0)+IF(RIGHT(BW$40,2)&gt;RIGHT($K58,2),BA58,0))</f>
        <v>0</v>
      </c>
      <c r="BX58" s="525">
        <f>+IF($K58="Ongoing",BB58,IF(RIGHT($K58,2)=RIGHT(BX$40,2),SUM($AV58:BB58),0)+IF(RIGHT(BX$40,2)&gt;RIGHT($K58,2),BB58,0))</f>
        <v>0</v>
      </c>
      <c r="BY58" s="525">
        <f>+IF($K58="Ongoing",BC58,IF(RIGHT($K58,2)=RIGHT(BY$40,2),SUM($AV58:BC58),0)+IF(RIGHT(BY$40,2)&gt;RIGHT($K58,2),BC58,0))</f>
        <v>0</v>
      </c>
      <c r="BZ58" s="525">
        <f>+IF($K58="Ongoing",BD58,IF(RIGHT($K58,2)=RIGHT(BZ$40,2),SUM($AV58:BD58),0)+IF(RIGHT(BZ$40,2)&gt;RIGHT($K58,2),BD58,0))</f>
        <v>0</v>
      </c>
      <c r="CA58" s="526">
        <f>+IF($K58="Ongoing",BE58,IF(RIGHT($K58,2)=RIGHT(CA$40,2),SUM($AV58:BE58),0)+IF(RIGHT(CA$40,2)&gt;RIGHT($K58,2),BE58,0))</f>
        <v>0</v>
      </c>
      <c r="CB58" s="467"/>
      <c r="CC58" s="524">
        <f>+O58*KeyAssumptionsPriceControl_FO!AF$15</f>
        <v>0</v>
      </c>
      <c r="CD58" s="525">
        <f>+P58*KeyAssumptionsPriceControl_FO!AG$15</f>
        <v>0</v>
      </c>
      <c r="CE58" s="525">
        <f>+Q58*KeyAssumptionsPriceControl_FO!AH$15</f>
        <v>0</v>
      </c>
      <c r="CF58" s="525">
        <f>+R58*KeyAssumptionsPriceControl_FO!AI$15</f>
        <v>0.48245864738492283</v>
      </c>
      <c r="CG58" s="526">
        <f>+S58*KeyAssumptionsPriceControl_FO!AJ$15</f>
        <v>1.1536574469161487</v>
      </c>
      <c r="CH58" s="524">
        <f>+T58*KeyAssumptionsPriceControl_FO!AK$15</f>
        <v>0</v>
      </c>
      <c r="CI58" s="525">
        <f>+U58*KeyAssumptionsPriceControl_FO!AL$15</f>
        <v>0</v>
      </c>
      <c r="CJ58" s="525">
        <f>+V58*KeyAssumptionsPriceControl_FO!AM$15</f>
        <v>0</v>
      </c>
      <c r="CK58" s="525">
        <f>+W58*KeyAssumptionsPriceControl_FO!AN$15</f>
        <v>0</v>
      </c>
      <c r="CL58" s="526">
        <f>+X58*KeyAssumptionsPriceControl_FO!AO$15</f>
        <v>0</v>
      </c>
      <c r="CM58" s="467"/>
      <c r="CN58" s="524">
        <f t="shared" ca="1" si="41"/>
        <v>0</v>
      </c>
      <c r="CO58" s="525">
        <f t="shared" ca="1" si="42"/>
        <v>0</v>
      </c>
      <c r="CP58" s="525">
        <f t="shared" ca="1" si="37"/>
        <v>0</v>
      </c>
      <c r="CQ58" s="525">
        <f t="shared" ca="1" si="37"/>
        <v>1.206146618462307E-2</v>
      </c>
      <c r="CR58" s="526">
        <f t="shared" ca="1" si="37"/>
        <v>5.2964368542149858E-2</v>
      </c>
      <c r="CS58" s="524">
        <f t="shared" ca="1" si="37"/>
        <v>8.1805804715053582E-2</v>
      </c>
      <c r="CT58" s="525">
        <f t="shared" ca="1" si="37"/>
        <v>8.1805804715053582E-2</v>
      </c>
      <c r="CU58" s="525">
        <f t="shared" ca="1" si="37"/>
        <v>8.1805804715053582E-2</v>
      </c>
      <c r="CV58" s="525">
        <f t="shared" ca="1" si="37"/>
        <v>8.1805804715053582E-2</v>
      </c>
      <c r="CW58" s="526">
        <f t="shared" ca="1" si="37"/>
        <v>8.1805804715053582E-2</v>
      </c>
      <c r="CX58" s="467"/>
    </row>
    <row r="59" spans="2:102">
      <c r="B59" s="502"/>
      <c r="C59" s="1589" t="s">
        <v>1349</v>
      </c>
      <c r="D59" s="1590"/>
      <c r="E59" s="1591" t="s">
        <v>20</v>
      </c>
      <c r="F59" s="1591" t="s">
        <v>516</v>
      </c>
      <c r="G59" s="1589" t="s">
        <v>10</v>
      </c>
      <c r="H59" s="2226" t="s">
        <v>520</v>
      </c>
      <c r="I59" s="2227"/>
      <c r="J59" s="1592" t="s">
        <v>279</v>
      </c>
      <c r="K59" s="1593" t="s">
        <v>295</v>
      </c>
      <c r="L59" s="1593">
        <v>10</v>
      </c>
      <c r="M59" s="1593">
        <v>10</v>
      </c>
      <c r="N59" s="467"/>
      <c r="O59" s="551">
        <v>0.49487300000000001</v>
      </c>
      <c r="P59" s="552">
        <v>0</v>
      </c>
      <c r="Q59" s="552">
        <v>0</v>
      </c>
      <c r="R59" s="552">
        <v>0</v>
      </c>
      <c r="S59" s="553">
        <v>0.2361</v>
      </c>
      <c r="T59" s="551">
        <v>0.25</v>
      </c>
      <c r="U59" s="552">
        <v>0.25</v>
      </c>
      <c r="V59" s="552">
        <v>0.25</v>
      </c>
      <c r="W59" s="552">
        <v>0.25</v>
      </c>
      <c r="X59" s="553">
        <v>0.25</v>
      </c>
      <c r="Y59" s="547"/>
      <c r="Z59" s="551"/>
      <c r="AA59" s="552"/>
      <c r="AB59" s="552"/>
      <c r="AC59" s="552"/>
      <c r="AD59" s="553"/>
      <c r="AE59" s="551"/>
      <c r="AF59" s="552"/>
      <c r="AG59" s="552"/>
      <c r="AH59" s="552"/>
      <c r="AI59" s="553"/>
      <c r="AJ59" s="547"/>
      <c r="AK59" s="551"/>
      <c r="AL59" s="552"/>
      <c r="AM59" s="552"/>
      <c r="AN59" s="552"/>
      <c r="AO59" s="553"/>
      <c r="AP59" s="551"/>
      <c r="AQ59" s="552"/>
      <c r="AR59" s="552"/>
      <c r="AS59" s="552"/>
      <c r="AT59" s="553"/>
      <c r="AU59" s="467"/>
      <c r="AV59" s="524">
        <f t="shared" si="38"/>
        <v>0.49487300000000001</v>
      </c>
      <c r="AW59" s="525">
        <f t="shared" si="35"/>
        <v>0</v>
      </c>
      <c r="AX59" s="525">
        <f t="shared" si="35"/>
        <v>0</v>
      </c>
      <c r="AY59" s="525">
        <f t="shared" si="35"/>
        <v>0</v>
      </c>
      <c r="AZ59" s="526">
        <f t="shared" si="35"/>
        <v>0.2361</v>
      </c>
      <c r="BA59" s="524">
        <f t="shared" si="35"/>
        <v>0.25</v>
      </c>
      <c r="BB59" s="525">
        <f t="shared" si="35"/>
        <v>0.25</v>
      </c>
      <c r="BC59" s="525">
        <f t="shared" si="35"/>
        <v>0.25</v>
      </c>
      <c r="BD59" s="525">
        <f t="shared" si="35"/>
        <v>0.25</v>
      </c>
      <c r="BE59" s="526">
        <f t="shared" si="35"/>
        <v>0.25</v>
      </c>
      <c r="BF59" s="467"/>
      <c r="BG59" s="524">
        <f t="shared" ca="1" si="39"/>
        <v>2.4743649999999999E-2</v>
      </c>
      <c r="BH59" s="525">
        <f t="shared" ca="1" si="40"/>
        <v>4.9487299999999998E-2</v>
      </c>
      <c r="BI59" s="525">
        <f t="shared" ca="1" si="36"/>
        <v>4.9487299999999998E-2</v>
      </c>
      <c r="BJ59" s="525">
        <f t="shared" ca="1" si="36"/>
        <v>4.9487299999999998E-2</v>
      </c>
      <c r="BK59" s="526">
        <f t="shared" ca="1" si="36"/>
        <v>6.1292299999999994E-2</v>
      </c>
      <c r="BL59" s="524">
        <f t="shared" ca="1" si="36"/>
        <v>8.5597300000000001E-2</v>
      </c>
      <c r="BM59" s="525">
        <f t="shared" ca="1" si="36"/>
        <v>0.1105973</v>
      </c>
      <c r="BN59" s="525">
        <f t="shared" ca="1" si="36"/>
        <v>0.1355973</v>
      </c>
      <c r="BO59" s="525">
        <f t="shared" ca="1" si="36"/>
        <v>0.16059730000000003</v>
      </c>
      <c r="BP59" s="526">
        <f t="shared" ca="1" si="36"/>
        <v>0.18559730000000002</v>
      </c>
      <c r="BQ59" s="467"/>
      <c r="BR59" s="524">
        <f>+IF($K59="Ongoing",AV59,IF(RIGHT($K59,2)=RIGHT(BR$40,2),SUM($AV59:AV59),0)+IF(RIGHT(BR$40,2)&gt;RIGHT($K59,2),AV59,0))</f>
        <v>0.49487300000000001</v>
      </c>
      <c r="BS59" s="525">
        <f>+IF($K59="Ongoing",AW59,IF(RIGHT($K59,2)=RIGHT(BS$40,2),SUM($AV59:AW59),0)+IF(RIGHT(BS$40,2)&gt;RIGHT($K59,2),AW59,0))</f>
        <v>0</v>
      </c>
      <c r="BT59" s="525">
        <f>+IF($K59="Ongoing",AX59,IF(RIGHT($K59,2)=RIGHT(BT$40,2),SUM($AV59:AX59),0)+IF(RIGHT(BT$40,2)&gt;RIGHT($K59,2),AX59,0))</f>
        <v>0</v>
      </c>
      <c r="BU59" s="525">
        <f>+IF($K59="Ongoing",AY59,IF(RIGHT($K59,2)=RIGHT(BU$40,2),SUM($AV59:AY59),0)+IF(RIGHT(BU$40,2)&gt;RIGHT($K59,2),AY59,0))</f>
        <v>0</v>
      </c>
      <c r="BV59" s="526">
        <f>+IF($K59="Ongoing",AZ59,IF(RIGHT($K59,2)=RIGHT(BV$40,2),SUM($AV59:AZ59),0)+IF(RIGHT(BV$40,2)&gt;RIGHT($K59,2),AZ59,0))</f>
        <v>0.2361</v>
      </c>
      <c r="BW59" s="524">
        <f>+IF($K59="Ongoing",BA59,IF(RIGHT($K59,2)=RIGHT(BW$40,2),SUM($AV59:BA59),0)+IF(RIGHT(BW$40,2)&gt;RIGHT($K59,2),BA59,0))</f>
        <v>0.25</v>
      </c>
      <c r="BX59" s="525">
        <f>+IF($K59="Ongoing",BB59,IF(RIGHT($K59,2)=RIGHT(BX$40,2),SUM($AV59:BB59),0)+IF(RIGHT(BX$40,2)&gt;RIGHT($K59,2),BB59,0))</f>
        <v>0.25</v>
      </c>
      <c r="BY59" s="525">
        <f>+IF($K59="Ongoing",BC59,IF(RIGHT($K59,2)=RIGHT(BY$40,2),SUM($AV59:BC59),0)+IF(RIGHT(BY$40,2)&gt;RIGHT($K59,2),BC59,0))</f>
        <v>0.25</v>
      </c>
      <c r="BZ59" s="525">
        <f>+IF($K59="Ongoing",BD59,IF(RIGHT($K59,2)=RIGHT(BZ$40,2),SUM($AV59:BD59),0)+IF(RIGHT(BZ$40,2)&gt;RIGHT($K59,2),BD59,0))</f>
        <v>0.25</v>
      </c>
      <c r="CA59" s="526">
        <f>+IF($K59="Ongoing",BE59,IF(RIGHT($K59,2)=RIGHT(CA$40,2),SUM($AV59:BE59),0)+IF(RIGHT(CA$40,2)&gt;RIGHT($K59,2),BE59,0))</f>
        <v>0.25</v>
      </c>
      <c r="CB59" s="467"/>
      <c r="CC59" s="524">
        <f>+O59*KeyAssumptionsPriceControl_FO!AF$15</f>
        <v>0.50922431699999993</v>
      </c>
      <c r="CD59" s="525">
        <f>+P59*KeyAssumptionsPriceControl_FO!AG$15</f>
        <v>0</v>
      </c>
      <c r="CE59" s="525">
        <f>+Q59*KeyAssumptionsPriceControl_FO!AH$15</f>
        <v>0</v>
      </c>
      <c r="CF59" s="525">
        <f>+R59*KeyAssumptionsPriceControl_FO!AI$15</f>
        <v>0</v>
      </c>
      <c r="CG59" s="526">
        <f>+S59*KeyAssumptionsPriceControl_FO!AJ$15</f>
        <v>0.2723785232169027</v>
      </c>
      <c r="CH59" s="524">
        <f>+T59*KeyAssumptionsPriceControl_FO!AK$15</f>
        <v>0.29677837821917924</v>
      </c>
      <c r="CI59" s="525">
        <f>+U59*KeyAssumptionsPriceControl_FO!AL$15</f>
        <v>0.30538495118753539</v>
      </c>
      <c r="CJ59" s="525">
        <f>+V59*KeyAssumptionsPriceControl_FO!AM$15</f>
        <v>0.31424111477197392</v>
      </c>
      <c r="CK59" s="525">
        <f>+W59*KeyAssumptionsPriceControl_FO!AN$15</f>
        <v>0.32335410710036111</v>
      </c>
      <c r="CL59" s="526">
        <f>+X59*KeyAssumptionsPriceControl_FO!AO$15</f>
        <v>0.33273137620627158</v>
      </c>
      <c r="CM59" s="467"/>
      <c r="CN59" s="524">
        <f t="shared" ca="1" si="41"/>
        <v>2.5461215849999996E-2</v>
      </c>
      <c r="CO59" s="525">
        <f t="shared" ca="1" si="42"/>
        <v>5.0922431699999993E-2</v>
      </c>
      <c r="CP59" s="525">
        <f t="shared" ca="1" si="37"/>
        <v>5.0922431699999993E-2</v>
      </c>
      <c r="CQ59" s="525">
        <f t="shared" ca="1" si="37"/>
        <v>5.0922431699999993E-2</v>
      </c>
      <c r="CR59" s="526">
        <f t="shared" ca="1" si="37"/>
        <v>6.4541357860845125E-2</v>
      </c>
      <c r="CS59" s="524">
        <f t="shared" ca="1" si="37"/>
        <v>9.2999202932649225E-2</v>
      </c>
      <c r="CT59" s="525">
        <f t="shared" ca="1" si="37"/>
        <v>0.12310736940298496</v>
      </c>
      <c r="CU59" s="525">
        <f t="shared" ca="1" si="37"/>
        <v>0.15408867270096044</v>
      </c>
      <c r="CV59" s="525">
        <f t="shared" ca="1" si="37"/>
        <v>0.18596843379457717</v>
      </c>
      <c r="CW59" s="526">
        <f t="shared" ca="1" si="37"/>
        <v>0.2187727079599088</v>
      </c>
      <c r="CX59" s="467"/>
    </row>
    <row r="60" spans="2:102">
      <c r="B60" s="502"/>
      <c r="C60" s="1589" t="s">
        <v>1350</v>
      </c>
      <c r="D60" s="1590"/>
      <c r="E60" s="1591" t="s">
        <v>20</v>
      </c>
      <c r="F60" s="1591" t="s">
        <v>516</v>
      </c>
      <c r="G60" s="1589" t="s">
        <v>10</v>
      </c>
      <c r="H60" s="2226" t="s">
        <v>520</v>
      </c>
      <c r="I60" s="2227"/>
      <c r="J60" s="1592" t="s">
        <v>279</v>
      </c>
      <c r="K60" s="1593" t="s">
        <v>295</v>
      </c>
      <c r="L60" s="1593">
        <v>10</v>
      </c>
      <c r="M60" s="1593">
        <v>10</v>
      </c>
      <c r="N60" s="467"/>
      <c r="O60" s="551">
        <v>0.2525</v>
      </c>
      <c r="P60" s="552">
        <v>0.35649999999999998</v>
      </c>
      <c r="Q60" s="552">
        <v>0.27089999999999997</v>
      </c>
      <c r="R60" s="552">
        <v>0.3775</v>
      </c>
      <c r="S60" s="553">
        <v>0.46750000000000003</v>
      </c>
      <c r="T60" s="551">
        <v>0.38</v>
      </c>
      <c r="U60" s="552">
        <v>0.38</v>
      </c>
      <c r="V60" s="552">
        <v>0.38</v>
      </c>
      <c r="W60" s="552">
        <v>0.38</v>
      </c>
      <c r="X60" s="553">
        <v>0.38</v>
      </c>
      <c r="Y60" s="547"/>
      <c r="Z60" s="551"/>
      <c r="AA60" s="552"/>
      <c r="AB60" s="552"/>
      <c r="AC60" s="552"/>
      <c r="AD60" s="553"/>
      <c r="AE60" s="551"/>
      <c r="AF60" s="552"/>
      <c r="AG60" s="552"/>
      <c r="AH60" s="552"/>
      <c r="AI60" s="553"/>
      <c r="AJ60" s="547"/>
      <c r="AK60" s="551"/>
      <c r="AL60" s="552"/>
      <c r="AM60" s="552"/>
      <c r="AN60" s="552"/>
      <c r="AO60" s="553"/>
      <c r="AP60" s="551"/>
      <c r="AQ60" s="552"/>
      <c r="AR60" s="552"/>
      <c r="AS60" s="552"/>
      <c r="AT60" s="553"/>
      <c r="AU60" s="467"/>
      <c r="AV60" s="524">
        <f t="shared" si="38"/>
        <v>0.2525</v>
      </c>
      <c r="AW60" s="525">
        <f t="shared" si="35"/>
        <v>0.35649999999999998</v>
      </c>
      <c r="AX60" s="525">
        <f t="shared" si="35"/>
        <v>0.27089999999999997</v>
      </c>
      <c r="AY60" s="525">
        <f t="shared" si="35"/>
        <v>0.3775</v>
      </c>
      <c r="AZ60" s="526">
        <f t="shared" si="35"/>
        <v>0.46750000000000003</v>
      </c>
      <c r="BA60" s="524">
        <f t="shared" si="35"/>
        <v>0.38</v>
      </c>
      <c r="BB60" s="525">
        <f t="shared" si="35"/>
        <v>0.38</v>
      </c>
      <c r="BC60" s="525">
        <f t="shared" si="35"/>
        <v>0.38</v>
      </c>
      <c r="BD60" s="525">
        <f t="shared" si="35"/>
        <v>0.38</v>
      </c>
      <c r="BE60" s="526">
        <f t="shared" si="35"/>
        <v>0.38</v>
      </c>
      <c r="BF60" s="467"/>
      <c r="BG60" s="524">
        <f t="shared" ca="1" si="39"/>
        <v>1.2625000000000001E-2</v>
      </c>
      <c r="BH60" s="525">
        <f t="shared" ca="1" si="40"/>
        <v>4.3075000000000002E-2</v>
      </c>
      <c r="BI60" s="525">
        <f t="shared" ca="1" si="36"/>
        <v>7.4444999999999997E-2</v>
      </c>
      <c r="BJ60" s="525">
        <f t="shared" ca="1" si="36"/>
        <v>0.10686499999999999</v>
      </c>
      <c r="BK60" s="526">
        <f t="shared" ca="1" si="36"/>
        <v>0.149115</v>
      </c>
      <c r="BL60" s="524">
        <f t="shared" ca="1" si="36"/>
        <v>0.19148999999999997</v>
      </c>
      <c r="BM60" s="525">
        <f t="shared" ca="1" si="36"/>
        <v>0.22948999999999997</v>
      </c>
      <c r="BN60" s="525">
        <f t="shared" ca="1" si="36"/>
        <v>0.26748999999999995</v>
      </c>
      <c r="BO60" s="525">
        <f t="shared" ca="1" si="36"/>
        <v>0.30548999999999998</v>
      </c>
      <c r="BP60" s="526">
        <f t="shared" ca="1" si="36"/>
        <v>0.34348999999999996</v>
      </c>
      <c r="BQ60" s="467"/>
      <c r="BR60" s="524">
        <f>+IF($K60="Ongoing",AV60,IF(RIGHT($K60,2)=RIGHT(BR$40,2),SUM($AV60:AV60),0)+IF(RIGHT(BR$40,2)&gt;RIGHT($K60,2),AV60,0))</f>
        <v>0.2525</v>
      </c>
      <c r="BS60" s="525">
        <f>+IF($K60="Ongoing",AW60,IF(RIGHT($K60,2)=RIGHT(BS$40,2),SUM($AV60:AW60),0)+IF(RIGHT(BS$40,2)&gt;RIGHT($K60,2),AW60,0))</f>
        <v>0.35649999999999998</v>
      </c>
      <c r="BT60" s="525">
        <f>+IF($K60="Ongoing",AX60,IF(RIGHT($K60,2)=RIGHT(BT$40,2),SUM($AV60:AX60),0)+IF(RIGHT(BT$40,2)&gt;RIGHT($K60,2),AX60,0))</f>
        <v>0.27089999999999997</v>
      </c>
      <c r="BU60" s="525">
        <f>+IF($K60="Ongoing",AY60,IF(RIGHT($K60,2)=RIGHT(BU$40,2),SUM($AV60:AY60),0)+IF(RIGHT(BU$40,2)&gt;RIGHT($K60,2),AY60,0))</f>
        <v>0.3775</v>
      </c>
      <c r="BV60" s="526">
        <f>+IF($K60="Ongoing",AZ60,IF(RIGHT($K60,2)=RIGHT(BV$40,2),SUM($AV60:AZ60),0)+IF(RIGHT(BV$40,2)&gt;RIGHT($K60,2),AZ60,0))</f>
        <v>0.46750000000000003</v>
      </c>
      <c r="BW60" s="524">
        <f>+IF($K60="Ongoing",BA60,IF(RIGHT($K60,2)=RIGHT(BW$40,2),SUM($AV60:BA60),0)+IF(RIGHT(BW$40,2)&gt;RIGHT($K60,2),BA60,0))</f>
        <v>0.38</v>
      </c>
      <c r="BX60" s="525">
        <f>+IF($K60="Ongoing",BB60,IF(RIGHT($K60,2)=RIGHT(BX$40,2),SUM($AV60:BB60),0)+IF(RIGHT(BX$40,2)&gt;RIGHT($K60,2),BB60,0))</f>
        <v>0.38</v>
      </c>
      <c r="BY60" s="525">
        <f>+IF($K60="Ongoing",BC60,IF(RIGHT($K60,2)=RIGHT(BY$40,2),SUM($AV60:BC60),0)+IF(RIGHT(BY$40,2)&gt;RIGHT($K60,2),BC60,0))</f>
        <v>0.38</v>
      </c>
      <c r="BZ60" s="525">
        <f>+IF($K60="Ongoing",BD60,IF(RIGHT($K60,2)=RIGHT(BZ$40,2),SUM($AV60:BD60),0)+IF(RIGHT(BZ$40,2)&gt;RIGHT($K60,2),BD60,0))</f>
        <v>0.38</v>
      </c>
      <c r="CA60" s="526">
        <f>+IF($K60="Ongoing",BE60,IF(RIGHT($K60,2)=RIGHT(CA$40,2),SUM($AV60:BE60),0)+IF(RIGHT(CA$40,2)&gt;RIGHT($K60,2),BE60,0))</f>
        <v>0.38</v>
      </c>
      <c r="CB60" s="467"/>
      <c r="CC60" s="524">
        <f>+O60*KeyAssumptionsPriceControl_FO!AF$15</f>
        <v>0.25982249999999996</v>
      </c>
      <c r="CD60" s="525">
        <f>+P60*KeyAssumptionsPriceControl_FO!AG$15</f>
        <v>0.37747681649999998</v>
      </c>
      <c r="CE60" s="525">
        <f>+Q60*KeyAssumptionsPriceControl_FO!AH$15</f>
        <v>0.29515838768009994</v>
      </c>
      <c r="CF60" s="525">
        <f>+R60*KeyAssumptionsPriceControl_FO!AI$15</f>
        <v>0.42323195938857744</v>
      </c>
      <c r="CG60" s="526">
        <f>+S60*KeyAssumptionsPriceControl_FO!AJ$15</f>
        <v>0.53933485643329959</v>
      </c>
      <c r="CH60" s="524">
        <f>+T60*KeyAssumptionsPriceControl_FO!AK$15</f>
        <v>0.45110313489315246</v>
      </c>
      <c r="CI60" s="525">
        <f>+U60*KeyAssumptionsPriceControl_FO!AL$15</f>
        <v>0.46418512580505378</v>
      </c>
      <c r="CJ60" s="525">
        <f>+V60*KeyAssumptionsPriceControl_FO!AM$15</f>
        <v>0.47764649445340035</v>
      </c>
      <c r="CK60" s="525">
        <f>+W60*KeyAssumptionsPriceControl_FO!AN$15</f>
        <v>0.49149824279254889</v>
      </c>
      <c r="CL60" s="526">
        <f>+X60*KeyAssumptionsPriceControl_FO!AO$15</f>
        <v>0.50575169183353286</v>
      </c>
      <c r="CM60" s="467"/>
      <c r="CN60" s="524">
        <f t="shared" ca="1" si="41"/>
        <v>1.2991124999999997E-2</v>
      </c>
      <c r="CO60" s="525">
        <f t="shared" ca="1" si="42"/>
        <v>4.4856090824999993E-2</v>
      </c>
      <c r="CP60" s="525">
        <f t="shared" ca="1" si="37"/>
        <v>7.8487851034004991E-2</v>
      </c>
      <c r="CQ60" s="525">
        <f t="shared" ca="1" si="37"/>
        <v>0.11440736838743887</v>
      </c>
      <c r="CR60" s="526">
        <f t="shared" ca="1" si="37"/>
        <v>0.16253570917853269</v>
      </c>
      <c r="CS60" s="524">
        <f t="shared" ca="1" si="37"/>
        <v>0.21205760874485532</v>
      </c>
      <c r="CT60" s="525">
        <f t="shared" ca="1" si="37"/>
        <v>0.2578220217797656</v>
      </c>
      <c r="CU60" s="525">
        <f t="shared" ca="1" si="37"/>
        <v>0.30491360279268831</v>
      </c>
      <c r="CV60" s="525">
        <f t="shared" ca="1" si="37"/>
        <v>0.35337083965498578</v>
      </c>
      <c r="CW60" s="526">
        <f t="shared" ca="1" si="37"/>
        <v>0.40323333638628989</v>
      </c>
      <c r="CX60" s="467"/>
    </row>
    <row r="61" spans="2:102">
      <c r="B61" s="502"/>
      <c r="C61" s="1589" t="s">
        <v>1351</v>
      </c>
      <c r="D61" s="1590"/>
      <c r="E61" s="1591" t="s">
        <v>20</v>
      </c>
      <c r="F61" s="1591" t="s">
        <v>516</v>
      </c>
      <c r="G61" s="1589" t="s">
        <v>10</v>
      </c>
      <c r="H61" s="2226" t="s">
        <v>520</v>
      </c>
      <c r="I61" s="2227"/>
      <c r="J61" s="1592" t="s">
        <v>279</v>
      </c>
      <c r="K61" s="1593" t="s">
        <v>295</v>
      </c>
      <c r="L61" s="1593">
        <v>10</v>
      </c>
      <c r="M61" s="1593">
        <v>10</v>
      </c>
      <c r="N61" s="467"/>
      <c r="O61" s="551">
        <v>0.12</v>
      </c>
      <c r="P61" s="552">
        <v>0.12</v>
      </c>
      <c r="Q61" s="552">
        <v>0.12</v>
      </c>
      <c r="R61" s="552">
        <v>0.12</v>
      </c>
      <c r="S61" s="553">
        <v>0.12</v>
      </c>
      <c r="T61" s="551">
        <v>0.12</v>
      </c>
      <c r="U61" s="552">
        <v>0.12</v>
      </c>
      <c r="V61" s="552">
        <v>0.12</v>
      </c>
      <c r="W61" s="552">
        <v>0.12</v>
      </c>
      <c r="X61" s="553">
        <v>0.12</v>
      </c>
      <c r="Y61" s="547"/>
      <c r="Z61" s="551"/>
      <c r="AA61" s="552"/>
      <c r="AB61" s="552"/>
      <c r="AC61" s="552"/>
      <c r="AD61" s="553"/>
      <c r="AE61" s="551"/>
      <c r="AF61" s="552"/>
      <c r="AG61" s="552"/>
      <c r="AH61" s="552"/>
      <c r="AI61" s="553"/>
      <c r="AJ61" s="547"/>
      <c r="AK61" s="551"/>
      <c r="AL61" s="552"/>
      <c r="AM61" s="552"/>
      <c r="AN61" s="552"/>
      <c r="AO61" s="553"/>
      <c r="AP61" s="551"/>
      <c r="AQ61" s="552"/>
      <c r="AR61" s="552"/>
      <c r="AS61" s="552"/>
      <c r="AT61" s="553"/>
      <c r="AU61" s="467"/>
      <c r="AV61" s="524">
        <f t="shared" si="38"/>
        <v>0.12</v>
      </c>
      <c r="AW61" s="525">
        <f t="shared" si="35"/>
        <v>0.12</v>
      </c>
      <c r="AX61" s="525">
        <f t="shared" si="35"/>
        <v>0.12</v>
      </c>
      <c r="AY61" s="525">
        <f t="shared" si="35"/>
        <v>0.12</v>
      </c>
      <c r="AZ61" s="526">
        <f t="shared" si="35"/>
        <v>0.12</v>
      </c>
      <c r="BA61" s="524">
        <f t="shared" si="35"/>
        <v>0.12</v>
      </c>
      <c r="BB61" s="525">
        <f t="shared" si="35"/>
        <v>0.12</v>
      </c>
      <c r="BC61" s="525">
        <f t="shared" si="35"/>
        <v>0.12</v>
      </c>
      <c r="BD61" s="525">
        <f t="shared" si="35"/>
        <v>0.12</v>
      </c>
      <c r="BE61" s="526">
        <f t="shared" si="35"/>
        <v>0.12</v>
      </c>
      <c r="BF61" s="467"/>
      <c r="BG61" s="524">
        <f t="shared" ca="1" si="39"/>
        <v>6.0000000000000001E-3</v>
      </c>
      <c r="BH61" s="525">
        <f t="shared" ca="1" si="40"/>
        <v>1.8000000000000002E-2</v>
      </c>
      <c r="BI61" s="525">
        <f t="shared" ca="1" si="36"/>
        <v>0.03</v>
      </c>
      <c r="BJ61" s="525">
        <f t="shared" ca="1" si="36"/>
        <v>4.1999999999999996E-2</v>
      </c>
      <c r="BK61" s="526">
        <f t="shared" ca="1" si="36"/>
        <v>5.3999999999999999E-2</v>
      </c>
      <c r="BL61" s="524">
        <f t="shared" ca="1" si="36"/>
        <v>6.6000000000000003E-2</v>
      </c>
      <c r="BM61" s="525">
        <f t="shared" ca="1" si="36"/>
        <v>7.8E-2</v>
      </c>
      <c r="BN61" s="525">
        <f t="shared" ca="1" si="36"/>
        <v>0.09</v>
      </c>
      <c r="BO61" s="525">
        <f t="shared" ca="1" si="36"/>
        <v>0.10200000000000001</v>
      </c>
      <c r="BP61" s="526">
        <f t="shared" ca="1" si="36"/>
        <v>0.11400000000000002</v>
      </c>
      <c r="BQ61" s="467"/>
      <c r="BR61" s="524">
        <f>+IF($K61="Ongoing",AV61,IF(RIGHT($K61,2)=RIGHT(BR$40,2),SUM($AV61:AV61),0)+IF(RIGHT(BR$40,2)&gt;RIGHT($K61,2),AV61,0))</f>
        <v>0.12</v>
      </c>
      <c r="BS61" s="525">
        <f>+IF($K61="Ongoing",AW61,IF(RIGHT($K61,2)=RIGHT(BS$40,2),SUM($AV61:AW61),0)+IF(RIGHT(BS$40,2)&gt;RIGHT($K61,2),AW61,0))</f>
        <v>0.12</v>
      </c>
      <c r="BT61" s="525">
        <f>+IF($K61="Ongoing",AX61,IF(RIGHT($K61,2)=RIGHT(BT$40,2),SUM($AV61:AX61),0)+IF(RIGHT(BT$40,2)&gt;RIGHT($K61,2),AX61,0))</f>
        <v>0.12</v>
      </c>
      <c r="BU61" s="525">
        <f>+IF($K61="Ongoing",AY61,IF(RIGHT($K61,2)=RIGHT(BU$40,2),SUM($AV61:AY61),0)+IF(RIGHT(BU$40,2)&gt;RIGHT($K61,2),AY61,0))</f>
        <v>0.12</v>
      </c>
      <c r="BV61" s="526">
        <f>+IF($K61="Ongoing",AZ61,IF(RIGHT($K61,2)=RIGHT(BV$40,2),SUM($AV61:AZ61),0)+IF(RIGHT(BV$40,2)&gt;RIGHT($K61,2),AZ61,0))</f>
        <v>0.12</v>
      </c>
      <c r="BW61" s="524">
        <f>+IF($K61="Ongoing",BA61,IF(RIGHT($K61,2)=RIGHT(BW$40,2),SUM($AV61:BA61),0)+IF(RIGHT(BW$40,2)&gt;RIGHT($K61,2),BA61,0))</f>
        <v>0.12</v>
      </c>
      <c r="BX61" s="525">
        <f>+IF($K61="Ongoing",BB61,IF(RIGHT($K61,2)=RIGHT(BX$40,2),SUM($AV61:BB61),0)+IF(RIGHT(BX$40,2)&gt;RIGHT($K61,2),BB61,0))</f>
        <v>0.12</v>
      </c>
      <c r="BY61" s="525">
        <f>+IF($K61="Ongoing",BC61,IF(RIGHT($K61,2)=RIGHT(BY$40,2),SUM($AV61:BC61),0)+IF(RIGHT(BY$40,2)&gt;RIGHT($K61,2),BC61,0))</f>
        <v>0.12</v>
      </c>
      <c r="BZ61" s="525">
        <f>+IF($K61="Ongoing",BD61,IF(RIGHT($K61,2)=RIGHT(BZ$40,2),SUM($AV61:BD61),0)+IF(RIGHT(BZ$40,2)&gt;RIGHT($K61,2),BD61,0))</f>
        <v>0.12</v>
      </c>
      <c r="CA61" s="526">
        <f>+IF($K61="Ongoing",BE61,IF(RIGHT($K61,2)=RIGHT(CA$40,2),SUM($AV61:BE61),0)+IF(RIGHT(CA$40,2)&gt;RIGHT($K61,2),BE61,0))</f>
        <v>0.12</v>
      </c>
      <c r="CB61" s="467"/>
      <c r="CC61" s="524">
        <f>+O61*KeyAssumptionsPriceControl_FO!AF$15</f>
        <v>0.12347999999999998</v>
      </c>
      <c r="CD61" s="525">
        <f>+P61*KeyAssumptionsPriceControl_FO!AG$15</f>
        <v>0.12706091999999999</v>
      </c>
      <c r="CE61" s="525">
        <f>+Q61*KeyAssumptionsPriceControl_FO!AH$15</f>
        <v>0.13074568667999997</v>
      </c>
      <c r="CF61" s="525">
        <f>+R61*KeyAssumptionsPriceControl_FO!AI$15</f>
        <v>0.13453731159371998</v>
      </c>
      <c r="CG61" s="526">
        <f>+S61*KeyAssumptionsPriceControl_FO!AJ$15</f>
        <v>0.13843889362993783</v>
      </c>
      <c r="CH61" s="524">
        <f>+T61*KeyAssumptionsPriceControl_FO!AK$15</f>
        <v>0.14245362154520602</v>
      </c>
      <c r="CI61" s="525">
        <f>+U61*KeyAssumptionsPriceControl_FO!AL$15</f>
        <v>0.14658477657001698</v>
      </c>
      <c r="CJ61" s="525">
        <f>+V61*KeyAssumptionsPriceControl_FO!AM$15</f>
        <v>0.15083573509054748</v>
      </c>
      <c r="CK61" s="525">
        <f>+W61*KeyAssumptionsPriceControl_FO!AN$15</f>
        <v>0.15520997140817333</v>
      </c>
      <c r="CL61" s="526">
        <f>+X61*KeyAssumptionsPriceControl_FO!AO$15</f>
        <v>0.15971106057901036</v>
      </c>
      <c r="CM61" s="467"/>
      <c r="CN61" s="524">
        <f t="shared" ca="1" si="41"/>
        <v>6.1739999999999989E-3</v>
      </c>
      <c r="CO61" s="525">
        <f t="shared" ca="1" si="42"/>
        <v>1.8701045999999999E-2</v>
      </c>
      <c r="CP61" s="525">
        <f t="shared" ca="1" si="37"/>
        <v>3.1591376333999992E-2</v>
      </c>
      <c r="CQ61" s="525">
        <f t="shared" ca="1" si="37"/>
        <v>4.485552624768599E-2</v>
      </c>
      <c r="CR61" s="526">
        <f t="shared" ca="1" si="37"/>
        <v>5.8504336508868882E-2</v>
      </c>
      <c r="CS61" s="524">
        <f t="shared" ca="1" si="37"/>
        <v>7.2548962267626083E-2</v>
      </c>
      <c r="CT61" s="525">
        <f t="shared" ca="1" si="37"/>
        <v>8.7000882173387237E-2</v>
      </c>
      <c r="CU61" s="525">
        <f t="shared" ca="1" si="37"/>
        <v>0.10187190775641546</v>
      </c>
      <c r="CV61" s="525">
        <f t="shared" ca="1" si="37"/>
        <v>0.11717419308135149</v>
      </c>
      <c r="CW61" s="526">
        <f t="shared" ca="1" si="37"/>
        <v>0.13292024468071068</v>
      </c>
      <c r="CX61" s="467"/>
    </row>
    <row r="62" spans="2:102">
      <c r="B62" s="502"/>
      <c r="C62" s="1589" t="s">
        <v>1352</v>
      </c>
      <c r="D62" s="1590"/>
      <c r="E62" s="1591" t="s">
        <v>20</v>
      </c>
      <c r="F62" s="1591" t="s">
        <v>516</v>
      </c>
      <c r="G62" s="1589" t="s">
        <v>10</v>
      </c>
      <c r="H62" s="2226" t="s">
        <v>520</v>
      </c>
      <c r="I62" s="2227"/>
      <c r="J62" s="1592" t="s">
        <v>279</v>
      </c>
      <c r="K62" s="1593" t="s">
        <v>295</v>
      </c>
      <c r="L62" s="1593">
        <v>25</v>
      </c>
      <c r="M62" s="1593">
        <v>25</v>
      </c>
      <c r="N62" s="467"/>
      <c r="O62" s="551">
        <v>0.1</v>
      </c>
      <c r="P62" s="552">
        <v>0.1</v>
      </c>
      <c r="Q62" s="552">
        <v>0.1</v>
      </c>
      <c r="R62" s="552">
        <v>0.1</v>
      </c>
      <c r="S62" s="553">
        <v>0.1</v>
      </c>
      <c r="T62" s="551">
        <v>0.1</v>
      </c>
      <c r="U62" s="552">
        <v>0.1</v>
      </c>
      <c r="V62" s="552">
        <v>0.1</v>
      </c>
      <c r="W62" s="552">
        <v>0.1</v>
      </c>
      <c r="X62" s="553">
        <v>0.1</v>
      </c>
      <c r="Y62" s="547"/>
      <c r="Z62" s="551"/>
      <c r="AA62" s="552"/>
      <c r="AB62" s="552"/>
      <c r="AC62" s="552"/>
      <c r="AD62" s="553"/>
      <c r="AE62" s="551"/>
      <c r="AF62" s="552"/>
      <c r="AG62" s="552"/>
      <c r="AH62" s="552"/>
      <c r="AI62" s="553"/>
      <c r="AJ62" s="547"/>
      <c r="AK62" s="551"/>
      <c r="AL62" s="552"/>
      <c r="AM62" s="552"/>
      <c r="AN62" s="552"/>
      <c r="AO62" s="553"/>
      <c r="AP62" s="551"/>
      <c r="AQ62" s="552"/>
      <c r="AR62" s="552"/>
      <c r="AS62" s="552"/>
      <c r="AT62" s="553"/>
      <c r="AU62" s="467"/>
      <c r="AV62" s="524">
        <f t="shared" si="38"/>
        <v>0.1</v>
      </c>
      <c r="AW62" s="525">
        <f t="shared" si="38"/>
        <v>0.1</v>
      </c>
      <c r="AX62" s="525">
        <f t="shared" si="38"/>
        <v>0.1</v>
      </c>
      <c r="AY62" s="525">
        <f t="shared" si="38"/>
        <v>0.1</v>
      </c>
      <c r="AZ62" s="526">
        <f t="shared" si="38"/>
        <v>0.1</v>
      </c>
      <c r="BA62" s="524">
        <f t="shared" si="38"/>
        <v>0.1</v>
      </c>
      <c r="BB62" s="525">
        <f t="shared" si="38"/>
        <v>0.1</v>
      </c>
      <c r="BC62" s="525">
        <f t="shared" si="38"/>
        <v>0.1</v>
      </c>
      <c r="BD62" s="525">
        <f t="shared" si="38"/>
        <v>0.1</v>
      </c>
      <c r="BE62" s="526">
        <f t="shared" si="38"/>
        <v>0.1</v>
      </c>
      <c r="BF62" s="467"/>
      <c r="BG62" s="524">
        <f t="shared" ca="1" si="39"/>
        <v>2E-3</v>
      </c>
      <c r="BH62" s="525">
        <f t="shared" ca="1" si="40"/>
        <v>6.0000000000000001E-3</v>
      </c>
      <c r="BI62" s="525">
        <f t="shared" ca="1" si="40"/>
        <v>0.01</v>
      </c>
      <c r="BJ62" s="525">
        <f t="shared" ca="1" si="40"/>
        <v>1.4000000000000002E-2</v>
      </c>
      <c r="BK62" s="526">
        <f t="shared" ca="1" si="40"/>
        <v>1.8000000000000002E-2</v>
      </c>
      <c r="BL62" s="524">
        <f t="shared" ca="1" si="40"/>
        <v>2.1999999999999999E-2</v>
      </c>
      <c r="BM62" s="525">
        <f t="shared" ca="1" si="40"/>
        <v>2.6000000000000002E-2</v>
      </c>
      <c r="BN62" s="525">
        <f t="shared" ca="1" si="40"/>
        <v>0.03</v>
      </c>
      <c r="BO62" s="525">
        <f t="shared" ca="1" si="40"/>
        <v>3.4000000000000002E-2</v>
      </c>
      <c r="BP62" s="526">
        <f t="shared" ca="1" si="40"/>
        <v>3.7999999999999999E-2</v>
      </c>
      <c r="BQ62" s="467"/>
      <c r="BR62" s="524">
        <f>+IF($K62="Ongoing",AV62,IF(RIGHT($K62,2)=RIGHT(BR$40,2),SUM($AV62:AV62),0)+IF(RIGHT(BR$40,2)&gt;RIGHT($K62,2),AV62,0))</f>
        <v>0.1</v>
      </c>
      <c r="BS62" s="525">
        <f>+IF($K62="Ongoing",AW62,IF(RIGHT($K62,2)=RIGHT(BS$40,2),SUM($AV62:AW62),0)+IF(RIGHT(BS$40,2)&gt;RIGHT($K62,2),AW62,0))</f>
        <v>0.1</v>
      </c>
      <c r="BT62" s="525">
        <f>+IF($K62="Ongoing",AX62,IF(RIGHT($K62,2)=RIGHT(BT$40,2),SUM($AV62:AX62),0)+IF(RIGHT(BT$40,2)&gt;RIGHT($K62,2),AX62,0))</f>
        <v>0.1</v>
      </c>
      <c r="BU62" s="525">
        <f>+IF($K62="Ongoing",AY62,IF(RIGHT($K62,2)=RIGHT(BU$40,2),SUM($AV62:AY62),0)+IF(RIGHT(BU$40,2)&gt;RIGHT($K62,2),AY62,0))</f>
        <v>0.1</v>
      </c>
      <c r="BV62" s="526">
        <f>+IF($K62="Ongoing",AZ62,IF(RIGHT($K62,2)=RIGHT(BV$40,2),SUM($AV62:AZ62),0)+IF(RIGHT(BV$40,2)&gt;RIGHT($K62,2),AZ62,0))</f>
        <v>0.1</v>
      </c>
      <c r="BW62" s="524">
        <f>+IF($K62="Ongoing",BA62,IF(RIGHT($K62,2)=RIGHT(BW$40,2),SUM($AV62:BA62),0)+IF(RIGHT(BW$40,2)&gt;RIGHT($K62,2),BA62,0))</f>
        <v>0.1</v>
      </c>
      <c r="BX62" s="525">
        <f>+IF($K62="Ongoing",BB62,IF(RIGHT($K62,2)=RIGHT(BX$40,2),SUM($AV62:BB62),0)+IF(RIGHT(BX$40,2)&gt;RIGHT($K62,2),BB62,0))</f>
        <v>0.1</v>
      </c>
      <c r="BY62" s="525">
        <f>+IF($K62="Ongoing",BC62,IF(RIGHT($K62,2)=RIGHT(BY$40,2),SUM($AV62:BC62),0)+IF(RIGHT(BY$40,2)&gt;RIGHT($K62,2),BC62,0))</f>
        <v>0.1</v>
      </c>
      <c r="BZ62" s="525">
        <f>+IF($K62="Ongoing",BD62,IF(RIGHT($K62,2)=RIGHT(BZ$40,2),SUM($AV62:BD62),0)+IF(RIGHT(BZ$40,2)&gt;RIGHT($K62,2),BD62,0))</f>
        <v>0.1</v>
      </c>
      <c r="CA62" s="526">
        <f>+IF($K62="Ongoing",BE62,IF(RIGHT($K62,2)=RIGHT(CA$40,2),SUM($AV62:BE62),0)+IF(RIGHT(CA$40,2)&gt;RIGHT($K62,2),BE62,0))</f>
        <v>0.1</v>
      </c>
      <c r="CB62" s="467"/>
      <c r="CC62" s="524">
        <f>+O62*KeyAssumptionsPriceControl_FO!AF$15</f>
        <v>0.10289999999999999</v>
      </c>
      <c r="CD62" s="525">
        <f>+P62*KeyAssumptionsPriceControl_FO!AG$15</f>
        <v>0.10588409999999999</v>
      </c>
      <c r="CE62" s="525">
        <f>+Q62*KeyAssumptionsPriceControl_FO!AH$15</f>
        <v>0.10895473889999999</v>
      </c>
      <c r="CF62" s="525">
        <f>+R62*KeyAssumptionsPriceControl_FO!AI$15</f>
        <v>0.11211442632809998</v>
      </c>
      <c r="CG62" s="526">
        <f>+S62*KeyAssumptionsPriceControl_FO!AJ$15</f>
        <v>0.11536574469161487</v>
      </c>
      <c r="CH62" s="524">
        <f>+T62*KeyAssumptionsPriceControl_FO!AK$15</f>
        <v>0.1187113512876717</v>
      </c>
      <c r="CI62" s="525">
        <f>+U62*KeyAssumptionsPriceControl_FO!AL$15</f>
        <v>0.12215398047501416</v>
      </c>
      <c r="CJ62" s="525">
        <f>+V62*KeyAssumptionsPriceControl_FO!AM$15</f>
        <v>0.12569644590878956</v>
      </c>
      <c r="CK62" s="525">
        <f>+W62*KeyAssumptionsPriceControl_FO!AN$15</f>
        <v>0.12934164284014446</v>
      </c>
      <c r="CL62" s="526">
        <f>+X62*KeyAssumptionsPriceControl_FO!AO$15</f>
        <v>0.13309255048250865</v>
      </c>
      <c r="CM62" s="467"/>
      <c r="CN62" s="524">
        <f t="shared" ca="1" si="41"/>
        <v>2.0579999999999999E-3</v>
      </c>
      <c r="CO62" s="525">
        <f t="shared" ca="1" si="42"/>
        <v>6.2336819999999999E-3</v>
      </c>
      <c r="CP62" s="525">
        <f t="shared" ca="1" si="42"/>
        <v>1.0530458777999997E-2</v>
      </c>
      <c r="CQ62" s="525">
        <f t="shared" ca="1" si="42"/>
        <v>1.4951842082561999E-2</v>
      </c>
      <c r="CR62" s="526">
        <f t="shared" ca="1" si="42"/>
        <v>1.9501445502956297E-2</v>
      </c>
      <c r="CS62" s="524">
        <f t="shared" ca="1" si="42"/>
        <v>2.4182987422542029E-2</v>
      </c>
      <c r="CT62" s="525">
        <f t="shared" ca="1" si="42"/>
        <v>2.9000294057795747E-2</v>
      </c>
      <c r="CU62" s="525">
        <f t="shared" ca="1" si="42"/>
        <v>3.3957302585471819E-2</v>
      </c>
      <c r="CV62" s="525">
        <f t="shared" ca="1" si="42"/>
        <v>3.9058064360450499E-2</v>
      </c>
      <c r="CW62" s="526">
        <f t="shared" ca="1" si="42"/>
        <v>4.4306748226903558E-2</v>
      </c>
      <c r="CX62" s="467"/>
    </row>
    <row r="63" spans="2:102">
      <c r="B63" s="502"/>
      <c r="C63" s="1589" t="s">
        <v>1353</v>
      </c>
      <c r="D63" s="1590"/>
      <c r="E63" s="1591" t="s">
        <v>20</v>
      </c>
      <c r="F63" s="1591" t="s">
        <v>516</v>
      </c>
      <c r="G63" s="1589" t="s">
        <v>10</v>
      </c>
      <c r="H63" s="2226" t="s">
        <v>520</v>
      </c>
      <c r="I63" s="2227"/>
      <c r="J63" s="1592" t="s">
        <v>279</v>
      </c>
      <c r="K63" s="1593" t="s">
        <v>295</v>
      </c>
      <c r="L63" s="1593">
        <v>10</v>
      </c>
      <c r="M63" s="1593">
        <v>10</v>
      </c>
      <c r="N63" s="467"/>
      <c r="O63" s="551">
        <v>0.75</v>
      </c>
      <c r="P63" s="552">
        <v>0.75</v>
      </c>
      <c r="Q63" s="552">
        <v>0.75</v>
      </c>
      <c r="R63" s="552">
        <v>1.5</v>
      </c>
      <c r="S63" s="553">
        <v>1.5</v>
      </c>
      <c r="T63" s="551">
        <v>1.5</v>
      </c>
      <c r="U63" s="552">
        <v>1.5</v>
      </c>
      <c r="V63" s="552">
        <v>1.5</v>
      </c>
      <c r="W63" s="552">
        <v>1.5</v>
      </c>
      <c r="X63" s="553">
        <v>1.5</v>
      </c>
      <c r="Y63" s="547"/>
      <c r="Z63" s="551"/>
      <c r="AA63" s="552"/>
      <c r="AB63" s="552"/>
      <c r="AC63" s="552"/>
      <c r="AD63" s="553"/>
      <c r="AE63" s="551"/>
      <c r="AF63" s="552"/>
      <c r="AG63" s="552"/>
      <c r="AH63" s="552"/>
      <c r="AI63" s="553"/>
      <c r="AJ63" s="547"/>
      <c r="AK63" s="551"/>
      <c r="AL63" s="552"/>
      <c r="AM63" s="552"/>
      <c r="AN63" s="552"/>
      <c r="AO63" s="553"/>
      <c r="AP63" s="551"/>
      <c r="AQ63" s="552"/>
      <c r="AR63" s="552"/>
      <c r="AS63" s="552"/>
      <c r="AT63" s="553"/>
      <c r="AU63" s="467"/>
      <c r="AV63" s="524">
        <f t="shared" si="38"/>
        <v>0.75</v>
      </c>
      <c r="AW63" s="525">
        <f t="shared" si="38"/>
        <v>0.75</v>
      </c>
      <c r="AX63" s="525">
        <f t="shared" si="38"/>
        <v>0.75</v>
      </c>
      <c r="AY63" s="525">
        <f t="shared" si="38"/>
        <v>1.5</v>
      </c>
      <c r="AZ63" s="526">
        <f t="shared" si="38"/>
        <v>1.5</v>
      </c>
      <c r="BA63" s="524">
        <f t="shared" si="38"/>
        <v>1.5</v>
      </c>
      <c r="BB63" s="525">
        <f t="shared" si="38"/>
        <v>1.5</v>
      </c>
      <c r="BC63" s="525">
        <f t="shared" si="38"/>
        <v>1.5</v>
      </c>
      <c r="BD63" s="525">
        <f t="shared" si="38"/>
        <v>1.5</v>
      </c>
      <c r="BE63" s="526">
        <f t="shared" si="38"/>
        <v>1.5</v>
      </c>
      <c r="BF63" s="467"/>
      <c r="BG63" s="524">
        <f t="shared" ca="1" si="39"/>
        <v>3.7499999999999999E-2</v>
      </c>
      <c r="BH63" s="525">
        <f t="shared" ca="1" si="40"/>
        <v>0.11249999999999999</v>
      </c>
      <c r="BI63" s="525">
        <f t="shared" ca="1" si="40"/>
        <v>0.1875</v>
      </c>
      <c r="BJ63" s="525">
        <f t="shared" ca="1" si="40"/>
        <v>0.3</v>
      </c>
      <c r="BK63" s="526">
        <f t="shared" ca="1" si="40"/>
        <v>0.45</v>
      </c>
      <c r="BL63" s="524">
        <f t="shared" ca="1" si="40"/>
        <v>0.6</v>
      </c>
      <c r="BM63" s="525">
        <f t="shared" ca="1" si="40"/>
        <v>0.75</v>
      </c>
      <c r="BN63" s="525">
        <f t="shared" ca="1" si="40"/>
        <v>0.89999999999999991</v>
      </c>
      <c r="BO63" s="525">
        <f t="shared" ca="1" si="40"/>
        <v>1.05</v>
      </c>
      <c r="BP63" s="526">
        <f t="shared" ca="1" si="40"/>
        <v>1.2</v>
      </c>
      <c r="BQ63" s="467"/>
      <c r="BR63" s="524">
        <f>+IF($K63="Ongoing",AV63,IF(RIGHT($K63,2)=RIGHT(BR$40,2),SUM($AV63:AV63),0)+IF(RIGHT(BR$40,2)&gt;RIGHT($K63,2),AV63,0))</f>
        <v>0.75</v>
      </c>
      <c r="BS63" s="525">
        <f>+IF($K63="Ongoing",AW63,IF(RIGHT($K63,2)=RIGHT(BS$40,2),SUM($AV63:AW63),0)+IF(RIGHT(BS$40,2)&gt;RIGHT($K63,2),AW63,0))</f>
        <v>0.75</v>
      </c>
      <c r="BT63" s="525">
        <f>+IF($K63="Ongoing",AX63,IF(RIGHT($K63,2)=RIGHT(BT$40,2),SUM($AV63:AX63),0)+IF(RIGHT(BT$40,2)&gt;RIGHT($K63,2),AX63,0))</f>
        <v>0.75</v>
      </c>
      <c r="BU63" s="525">
        <f>+IF($K63="Ongoing",AY63,IF(RIGHT($K63,2)=RIGHT(BU$40,2),SUM($AV63:AY63),0)+IF(RIGHT(BU$40,2)&gt;RIGHT($K63,2),AY63,0))</f>
        <v>1.5</v>
      </c>
      <c r="BV63" s="526">
        <f>+IF($K63="Ongoing",AZ63,IF(RIGHT($K63,2)=RIGHT(BV$40,2),SUM($AV63:AZ63),0)+IF(RIGHT(BV$40,2)&gt;RIGHT($K63,2),AZ63,0))</f>
        <v>1.5</v>
      </c>
      <c r="BW63" s="524">
        <f>+IF($K63="Ongoing",BA63,IF(RIGHT($K63,2)=RIGHT(BW$40,2),SUM($AV63:BA63),0)+IF(RIGHT(BW$40,2)&gt;RIGHT($K63,2),BA63,0))</f>
        <v>1.5</v>
      </c>
      <c r="BX63" s="525">
        <f>+IF($K63="Ongoing",BB63,IF(RIGHT($K63,2)=RIGHT(BX$40,2),SUM($AV63:BB63),0)+IF(RIGHT(BX$40,2)&gt;RIGHT($K63,2),BB63,0))</f>
        <v>1.5</v>
      </c>
      <c r="BY63" s="525">
        <f>+IF($K63="Ongoing",BC63,IF(RIGHT($K63,2)=RIGHT(BY$40,2),SUM($AV63:BC63),0)+IF(RIGHT(BY$40,2)&gt;RIGHT($K63,2),BC63,0))</f>
        <v>1.5</v>
      </c>
      <c r="BZ63" s="525">
        <f>+IF($K63="Ongoing",BD63,IF(RIGHT($K63,2)=RIGHT(BZ$40,2),SUM($AV63:BD63),0)+IF(RIGHT(BZ$40,2)&gt;RIGHT($K63,2),BD63,0))</f>
        <v>1.5</v>
      </c>
      <c r="CA63" s="526">
        <f>+IF($K63="Ongoing",BE63,IF(RIGHT($K63,2)=RIGHT(CA$40,2),SUM($AV63:BE63),0)+IF(RIGHT(CA$40,2)&gt;RIGHT($K63,2),BE63,0))</f>
        <v>1.5</v>
      </c>
      <c r="CB63" s="467"/>
      <c r="CC63" s="524">
        <f>+O63*KeyAssumptionsPriceControl_FO!AF$15</f>
        <v>0.77174999999999994</v>
      </c>
      <c r="CD63" s="525">
        <f>+P63*KeyAssumptionsPriceControl_FO!AG$15</f>
        <v>0.79413074999999989</v>
      </c>
      <c r="CE63" s="525">
        <f>+Q63*KeyAssumptionsPriceControl_FO!AH$15</f>
        <v>0.81716054174999986</v>
      </c>
      <c r="CF63" s="525">
        <f>+R63*KeyAssumptionsPriceControl_FO!AI$15</f>
        <v>1.6817163949214997</v>
      </c>
      <c r="CG63" s="526">
        <f>+S63*KeyAssumptionsPriceControl_FO!AJ$15</f>
        <v>1.7304861703742231</v>
      </c>
      <c r="CH63" s="524">
        <f>+T63*KeyAssumptionsPriceControl_FO!AK$15</f>
        <v>1.7806702693150753</v>
      </c>
      <c r="CI63" s="525">
        <f>+U63*KeyAssumptionsPriceControl_FO!AL$15</f>
        <v>1.8323097071252124</v>
      </c>
      <c r="CJ63" s="525">
        <f>+V63*KeyAssumptionsPriceControl_FO!AM$15</f>
        <v>1.8854466886318435</v>
      </c>
      <c r="CK63" s="525">
        <f>+W63*KeyAssumptionsPriceControl_FO!AN$15</f>
        <v>1.9401246426021665</v>
      </c>
      <c r="CL63" s="526">
        <f>+X63*KeyAssumptionsPriceControl_FO!AO$15</f>
        <v>1.9963882572376295</v>
      </c>
      <c r="CM63" s="467"/>
      <c r="CN63" s="524">
        <f t="shared" ca="1" si="41"/>
        <v>3.8587499999999997E-2</v>
      </c>
      <c r="CO63" s="525">
        <f t="shared" ca="1" si="42"/>
        <v>0.11688153749999999</v>
      </c>
      <c r="CP63" s="525">
        <f t="shared" ca="1" si="42"/>
        <v>0.19744610208749999</v>
      </c>
      <c r="CQ63" s="525">
        <f t="shared" ca="1" si="42"/>
        <v>0.32238994892107498</v>
      </c>
      <c r="CR63" s="526">
        <f t="shared" ca="1" si="42"/>
        <v>0.49300007718586114</v>
      </c>
      <c r="CS63" s="524">
        <f t="shared" ca="1" si="42"/>
        <v>0.66855789917032593</v>
      </c>
      <c r="CT63" s="525">
        <f t="shared" ca="1" si="42"/>
        <v>0.8492068979923405</v>
      </c>
      <c r="CU63" s="525">
        <f t="shared" ca="1" si="42"/>
        <v>1.0350947177801932</v>
      </c>
      <c r="CV63" s="525">
        <f t="shared" ca="1" si="42"/>
        <v>1.2263732843418937</v>
      </c>
      <c r="CW63" s="526">
        <f t="shared" ca="1" si="42"/>
        <v>1.4231989293338834</v>
      </c>
      <c r="CX63" s="467"/>
    </row>
    <row r="64" spans="2:102">
      <c r="B64" s="502"/>
      <c r="C64" s="1589" t="s">
        <v>1354</v>
      </c>
      <c r="D64" s="1590"/>
      <c r="E64" s="1591" t="s">
        <v>20</v>
      </c>
      <c r="F64" s="1591" t="s">
        <v>516</v>
      </c>
      <c r="G64" s="1589" t="s">
        <v>10</v>
      </c>
      <c r="H64" s="2226" t="s">
        <v>520</v>
      </c>
      <c r="I64" s="2227"/>
      <c r="J64" s="1592" t="s">
        <v>279</v>
      </c>
      <c r="K64" s="1593" t="s">
        <v>295</v>
      </c>
      <c r="L64" s="1593">
        <v>10</v>
      </c>
      <c r="M64" s="1593">
        <v>10</v>
      </c>
      <c r="N64" s="467"/>
      <c r="O64" s="551">
        <v>0.14499999999999999</v>
      </c>
      <c r="P64" s="552">
        <v>0.14499999999999999</v>
      </c>
      <c r="Q64" s="552">
        <v>0.14499999999999999</v>
      </c>
      <c r="R64" s="552">
        <v>0.15</v>
      </c>
      <c r="S64" s="553">
        <v>0.15</v>
      </c>
      <c r="T64" s="551">
        <v>0.15</v>
      </c>
      <c r="U64" s="552">
        <v>0.15</v>
      </c>
      <c r="V64" s="552">
        <v>0.15</v>
      </c>
      <c r="W64" s="552">
        <v>0.15</v>
      </c>
      <c r="X64" s="553">
        <v>0.15</v>
      </c>
      <c r="Y64" s="547"/>
      <c r="Z64" s="551"/>
      <c r="AA64" s="552"/>
      <c r="AB64" s="552"/>
      <c r="AC64" s="552"/>
      <c r="AD64" s="553"/>
      <c r="AE64" s="551"/>
      <c r="AF64" s="552"/>
      <c r="AG64" s="552"/>
      <c r="AH64" s="552"/>
      <c r="AI64" s="553"/>
      <c r="AJ64" s="547"/>
      <c r="AK64" s="551"/>
      <c r="AL64" s="552"/>
      <c r="AM64" s="552"/>
      <c r="AN64" s="552"/>
      <c r="AO64" s="553"/>
      <c r="AP64" s="551"/>
      <c r="AQ64" s="552"/>
      <c r="AR64" s="552"/>
      <c r="AS64" s="552"/>
      <c r="AT64" s="553"/>
      <c r="AU64" s="467"/>
      <c r="AV64" s="524">
        <f t="shared" si="38"/>
        <v>0.14499999999999999</v>
      </c>
      <c r="AW64" s="525">
        <f t="shared" si="38"/>
        <v>0.14499999999999999</v>
      </c>
      <c r="AX64" s="525">
        <f t="shared" si="38"/>
        <v>0.14499999999999999</v>
      </c>
      <c r="AY64" s="525">
        <f t="shared" si="38"/>
        <v>0.15</v>
      </c>
      <c r="AZ64" s="526">
        <f t="shared" si="38"/>
        <v>0.15</v>
      </c>
      <c r="BA64" s="524">
        <f t="shared" si="38"/>
        <v>0.15</v>
      </c>
      <c r="BB64" s="525">
        <f t="shared" si="38"/>
        <v>0.15</v>
      </c>
      <c r="BC64" s="525">
        <f t="shared" si="38"/>
        <v>0.15</v>
      </c>
      <c r="BD64" s="525">
        <f t="shared" si="38"/>
        <v>0.15</v>
      </c>
      <c r="BE64" s="526">
        <f t="shared" si="38"/>
        <v>0.15</v>
      </c>
      <c r="BF64" s="467"/>
      <c r="BG64" s="524">
        <f t="shared" ca="1" si="39"/>
        <v>7.2499999999999995E-3</v>
      </c>
      <c r="BH64" s="525">
        <f t="shared" ca="1" si="40"/>
        <v>2.1749999999999999E-2</v>
      </c>
      <c r="BI64" s="525">
        <f t="shared" ca="1" si="40"/>
        <v>3.6249999999999998E-2</v>
      </c>
      <c r="BJ64" s="525">
        <f t="shared" ca="1" si="40"/>
        <v>5.0999999999999997E-2</v>
      </c>
      <c r="BK64" s="526">
        <f t="shared" ca="1" si="40"/>
        <v>6.6000000000000003E-2</v>
      </c>
      <c r="BL64" s="524">
        <f t="shared" ca="1" si="40"/>
        <v>8.0999999999999989E-2</v>
      </c>
      <c r="BM64" s="525">
        <f t="shared" ca="1" si="40"/>
        <v>9.6000000000000002E-2</v>
      </c>
      <c r="BN64" s="525">
        <f t="shared" ca="1" si="40"/>
        <v>0.11099999999999999</v>
      </c>
      <c r="BO64" s="525">
        <f t="shared" ca="1" si="40"/>
        <v>0.12599999999999997</v>
      </c>
      <c r="BP64" s="526">
        <f t="shared" ca="1" si="40"/>
        <v>0.14099999999999999</v>
      </c>
      <c r="BQ64" s="467"/>
      <c r="BR64" s="524">
        <f>+IF($K64="Ongoing",AV64,IF(RIGHT($K64,2)=RIGHT(BR$40,2),SUM($AV64:AV64),0)+IF(RIGHT(BR$40,2)&gt;RIGHT($K64,2),AV64,0))</f>
        <v>0.14499999999999999</v>
      </c>
      <c r="BS64" s="525">
        <f>+IF($K64="Ongoing",AW64,IF(RIGHT($K64,2)=RIGHT(BS$40,2),SUM($AV64:AW64),0)+IF(RIGHT(BS$40,2)&gt;RIGHT($K64,2),AW64,0))</f>
        <v>0.14499999999999999</v>
      </c>
      <c r="BT64" s="525">
        <f>+IF($K64="Ongoing",AX64,IF(RIGHT($K64,2)=RIGHT(BT$40,2),SUM($AV64:AX64),0)+IF(RIGHT(BT$40,2)&gt;RIGHT($K64,2),AX64,0))</f>
        <v>0.14499999999999999</v>
      </c>
      <c r="BU64" s="525">
        <f>+IF($K64="Ongoing",AY64,IF(RIGHT($K64,2)=RIGHT(BU$40,2),SUM($AV64:AY64),0)+IF(RIGHT(BU$40,2)&gt;RIGHT($K64,2),AY64,0))</f>
        <v>0.15</v>
      </c>
      <c r="BV64" s="526">
        <f>+IF($K64="Ongoing",AZ64,IF(RIGHT($K64,2)=RIGHT(BV$40,2),SUM($AV64:AZ64),0)+IF(RIGHT(BV$40,2)&gt;RIGHT($K64,2),AZ64,0))</f>
        <v>0.15</v>
      </c>
      <c r="BW64" s="524">
        <f>+IF($K64="Ongoing",BA64,IF(RIGHT($K64,2)=RIGHT(BW$40,2),SUM($AV64:BA64),0)+IF(RIGHT(BW$40,2)&gt;RIGHT($K64,2),BA64,0))</f>
        <v>0.15</v>
      </c>
      <c r="BX64" s="525">
        <f>+IF($K64="Ongoing",BB64,IF(RIGHT($K64,2)=RIGHT(BX$40,2),SUM($AV64:BB64),0)+IF(RIGHT(BX$40,2)&gt;RIGHT($K64,2),BB64,0))</f>
        <v>0.15</v>
      </c>
      <c r="BY64" s="525">
        <f>+IF($K64="Ongoing",BC64,IF(RIGHT($K64,2)=RIGHT(BY$40,2),SUM($AV64:BC64),0)+IF(RIGHT(BY$40,2)&gt;RIGHT($K64,2),BC64,0))</f>
        <v>0.15</v>
      </c>
      <c r="BZ64" s="525">
        <f>+IF($K64="Ongoing",BD64,IF(RIGHT($K64,2)=RIGHT(BZ$40,2),SUM($AV64:BD64),0)+IF(RIGHT(BZ$40,2)&gt;RIGHT($K64,2),BD64,0))</f>
        <v>0.15</v>
      </c>
      <c r="CA64" s="526">
        <f>+IF($K64="Ongoing",BE64,IF(RIGHT($K64,2)=RIGHT(CA$40,2),SUM($AV64:BE64),0)+IF(RIGHT(CA$40,2)&gt;RIGHT($K64,2),BE64,0))</f>
        <v>0.15</v>
      </c>
      <c r="CB64" s="467"/>
      <c r="CC64" s="524">
        <f>+O64*KeyAssumptionsPriceControl_FO!AF$15</f>
        <v>0.14920499999999998</v>
      </c>
      <c r="CD64" s="525">
        <f>+P64*KeyAssumptionsPriceControl_FO!AG$15</f>
        <v>0.15353194499999998</v>
      </c>
      <c r="CE64" s="525">
        <f>+Q64*KeyAssumptionsPriceControl_FO!AH$15</f>
        <v>0.15798437140499996</v>
      </c>
      <c r="CF64" s="525">
        <f>+R64*KeyAssumptionsPriceControl_FO!AI$15</f>
        <v>0.16817163949214997</v>
      </c>
      <c r="CG64" s="526">
        <f>+S64*KeyAssumptionsPriceControl_FO!AJ$15</f>
        <v>0.1730486170374223</v>
      </c>
      <c r="CH64" s="524">
        <f>+T64*KeyAssumptionsPriceControl_FO!AK$15</f>
        <v>0.17806702693150753</v>
      </c>
      <c r="CI64" s="525">
        <f>+U64*KeyAssumptionsPriceControl_FO!AL$15</f>
        <v>0.18323097071252123</v>
      </c>
      <c r="CJ64" s="525">
        <f>+V64*KeyAssumptionsPriceControl_FO!AM$15</f>
        <v>0.18854466886318436</v>
      </c>
      <c r="CK64" s="525">
        <f>+W64*KeyAssumptionsPriceControl_FO!AN$15</f>
        <v>0.19401246426021665</v>
      </c>
      <c r="CL64" s="526">
        <f>+X64*KeyAssumptionsPriceControl_FO!AO$15</f>
        <v>0.19963882572376293</v>
      </c>
      <c r="CM64" s="467"/>
      <c r="CN64" s="524">
        <f t="shared" ca="1" si="41"/>
        <v>7.460249999999999E-3</v>
      </c>
      <c r="CO64" s="525">
        <f t="shared" ca="1" si="42"/>
        <v>2.2597097249999996E-2</v>
      </c>
      <c r="CP64" s="525">
        <f t="shared" ca="1" si="42"/>
        <v>3.8172913070249989E-2</v>
      </c>
      <c r="CQ64" s="525">
        <f t="shared" ca="1" si="42"/>
        <v>5.4480713615107486E-2</v>
      </c>
      <c r="CR64" s="526">
        <f t="shared" ca="1" si="42"/>
        <v>7.1541726441586101E-2</v>
      </c>
      <c r="CS64" s="524">
        <f t="shared" ca="1" si="42"/>
        <v>8.9097508640032602E-2</v>
      </c>
      <c r="CT64" s="525">
        <f t="shared" ca="1" si="42"/>
        <v>0.10716240852223405</v>
      </c>
      <c r="CU64" s="525">
        <f t="shared" ca="1" si="42"/>
        <v>0.12575119050101932</v>
      </c>
      <c r="CV64" s="525">
        <f t="shared" ca="1" si="42"/>
        <v>0.14487904715718936</v>
      </c>
      <c r="CW64" s="526">
        <f t="shared" ca="1" si="42"/>
        <v>0.16456161165638836</v>
      </c>
      <c r="CX64" s="467"/>
    </row>
    <row r="65" spans="2:102">
      <c r="B65" s="502"/>
      <c r="C65" s="1589" t="s">
        <v>1355</v>
      </c>
      <c r="D65" s="1590"/>
      <c r="E65" s="1591" t="s">
        <v>20</v>
      </c>
      <c r="F65" s="1591" t="s">
        <v>516</v>
      </c>
      <c r="G65" s="1589" t="s">
        <v>14</v>
      </c>
      <c r="H65" s="2226" t="s">
        <v>521</v>
      </c>
      <c r="I65" s="2227"/>
      <c r="J65" s="1592" t="s">
        <v>279</v>
      </c>
      <c r="K65" s="1593" t="s">
        <v>963</v>
      </c>
      <c r="L65" s="1593">
        <v>80</v>
      </c>
      <c r="M65" s="1593">
        <v>80</v>
      </c>
      <c r="N65" s="467"/>
      <c r="O65" s="551">
        <v>0</v>
      </c>
      <c r="P65" s="552">
        <v>0</v>
      </c>
      <c r="Q65" s="552">
        <v>0</v>
      </c>
      <c r="R65" s="552">
        <v>0</v>
      </c>
      <c r="S65" s="553">
        <v>2</v>
      </c>
      <c r="T65" s="551">
        <v>0</v>
      </c>
      <c r="U65" s="552">
        <v>0</v>
      </c>
      <c r="V65" s="552">
        <v>0</v>
      </c>
      <c r="W65" s="552">
        <v>0</v>
      </c>
      <c r="X65" s="553">
        <v>0</v>
      </c>
      <c r="Y65" s="547"/>
      <c r="Z65" s="551"/>
      <c r="AA65" s="552"/>
      <c r="AB65" s="552"/>
      <c r="AC65" s="552"/>
      <c r="AD65" s="553"/>
      <c r="AE65" s="551"/>
      <c r="AF65" s="552"/>
      <c r="AG65" s="552"/>
      <c r="AH65" s="552"/>
      <c r="AI65" s="553"/>
      <c r="AJ65" s="547"/>
      <c r="AK65" s="551"/>
      <c r="AL65" s="552"/>
      <c r="AM65" s="552"/>
      <c r="AN65" s="552"/>
      <c r="AO65" s="553"/>
      <c r="AP65" s="551"/>
      <c r="AQ65" s="552"/>
      <c r="AR65" s="552"/>
      <c r="AS65" s="552"/>
      <c r="AT65" s="553"/>
      <c r="AU65" s="467"/>
      <c r="AV65" s="524">
        <f t="shared" si="38"/>
        <v>0</v>
      </c>
      <c r="AW65" s="525">
        <f t="shared" si="38"/>
        <v>0</v>
      </c>
      <c r="AX65" s="525">
        <f t="shared" si="38"/>
        <v>0</v>
      </c>
      <c r="AY65" s="525">
        <f t="shared" si="38"/>
        <v>0</v>
      </c>
      <c r="AZ65" s="526">
        <f t="shared" si="38"/>
        <v>2</v>
      </c>
      <c r="BA65" s="524">
        <f t="shared" si="38"/>
        <v>0</v>
      </c>
      <c r="BB65" s="525">
        <f t="shared" si="38"/>
        <v>0</v>
      </c>
      <c r="BC65" s="525">
        <f t="shared" si="38"/>
        <v>0</v>
      </c>
      <c r="BD65" s="525">
        <f t="shared" si="38"/>
        <v>0</v>
      </c>
      <c r="BE65" s="526">
        <f t="shared" si="38"/>
        <v>0</v>
      </c>
      <c r="BF65" s="467"/>
      <c r="BG65" s="524">
        <f t="shared" ca="1" si="39"/>
        <v>0</v>
      </c>
      <c r="BH65" s="525">
        <f t="shared" ca="1" si="40"/>
        <v>0</v>
      </c>
      <c r="BI65" s="525">
        <f t="shared" ca="1" si="40"/>
        <v>0</v>
      </c>
      <c r="BJ65" s="525">
        <f t="shared" ca="1" si="40"/>
        <v>0</v>
      </c>
      <c r="BK65" s="526">
        <f t="shared" ca="1" si="40"/>
        <v>1.2500000000000001E-2</v>
      </c>
      <c r="BL65" s="524">
        <f t="shared" ca="1" si="40"/>
        <v>2.5000000000000001E-2</v>
      </c>
      <c r="BM65" s="525">
        <f t="shared" ca="1" si="40"/>
        <v>2.5000000000000001E-2</v>
      </c>
      <c r="BN65" s="525">
        <f t="shared" ca="1" si="40"/>
        <v>2.5000000000000001E-2</v>
      </c>
      <c r="BO65" s="525">
        <f t="shared" ca="1" si="40"/>
        <v>2.5000000000000001E-2</v>
      </c>
      <c r="BP65" s="526">
        <f t="shared" ca="1" si="40"/>
        <v>2.5000000000000001E-2</v>
      </c>
      <c r="BQ65" s="467"/>
      <c r="BR65" s="524">
        <f>+IF($K65="Ongoing",AV65,IF(RIGHT($K65,2)=RIGHT(BR$40,2),SUM($AV65:AV65),0)+IF(RIGHT(BR$40,2)&gt;RIGHT($K65,2),AV65,0))</f>
        <v>0</v>
      </c>
      <c r="BS65" s="525">
        <f>+IF($K65="Ongoing",AW65,IF(RIGHT($K65,2)=RIGHT(BS$40,2),SUM($AV65:AW65),0)+IF(RIGHT(BS$40,2)&gt;RIGHT($K65,2),AW65,0))</f>
        <v>0</v>
      </c>
      <c r="BT65" s="525">
        <f>+IF($K65="Ongoing",AX65,IF(RIGHT($K65,2)=RIGHT(BT$40,2),SUM($AV65:AX65),0)+IF(RIGHT(BT$40,2)&gt;RIGHT($K65,2),AX65,0))</f>
        <v>0</v>
      </c>
      <c r="BU65" s="525">
        <f>+IF($K65="Ongoing",AY65,IF(RIGHT($K65,2)=RIGHT(BU$40,2),SUM($AV65:AY65),0)+IF(RIGHT(BU$40,2)&gt;RIGHT($K65,2),AY65,0))</f>
        <v>0</v>
      </c>
      <c r="BV65" s="526">
        <f>+IF($K65="Ongoing",AZ65,IF(RIGHT($K65,2)=RIGHT(BV$40,2),SUM($AV65:AZ65),0)+IF(RIGHT(BV$40,2)&gt;RIGHT($K65,2),AZ65,0))</f>
        <v>2</v>
      </c>
      <c r="BW65" s="524">
        <f>+IF($K65="Ongoing",BA65,IF(RIGHT($K65,2)=RIGHT(BW$40,2),SUM($AV65:BA65),0)+IF(RIGHT(BW$40,2)&gt;RIGHT($K65,2),BA65,0))</f>
        <v>0</v>
      </c>
      <c r="BX65" s="525">
        <f>+IF($K65="Ongoing",BB65,IF(RIGHT($K65,2)=RIGHT(BX$40,2),SUM($AV65:BB65),0)+IF(RIGHT(BX$40,2)&gt;RIGHT($K65,2),BB65,0))</f>
        <v>0</v>
      </c>
      <c r="BY65" s="525">
        <f>+IF($K65="Ongoing",BC65,IF(RIGHT($K65,2)=RIGHT(BY$40,2),SUM($AV65:BC65),0)+IF(RIGHT(BY$40,2)&gt;RIGHT($K65,2),BC65,0))</f>
        <v>0</v>
      </c>
      <c r="BZ65" s="525">
        <f>+IF($K65="Ongoing",BD65,IF(RIGHT($K65,2)=RIGHT(BZ$40,2),SUM($AV65:BD65),0)+IF(RIGHT(BZ$40,2)&gt;RIGHT($K65,2),BD65,0))</f>
        <v>0</v>
      </c>
      <c r="CA65" s="526">
        <f>+IF($K65="Ongoing",BE65,IF(RIGHT($K65,2)=RIGHT(CA$40,2),SUM($AV65:BE65),0)+IF(RIGHT(CA$40,2)&gt;RIGHT($K65,2),BE65,0))</f>
        <v>0</v>
      </c>
      <c r="CB65" s="467"/>
      <c r="CC65" s="524">
        <f>+O65*KeyAssumptionsPriceControl_FO!AF$15</f>
        <v>0</v>
      </c>
      <c r="CD65" s="525">
        <f>+P65*KeyAssumptionsPriceControl_FO!AG$15</f>
        <v>0</v>
      </c>
      <c r="CE65" s="525">
        <f>+Q65*KeyAssumptionsPriceControl_FO!AH$15</f>
        <v>0</v>
      </c>
      <c r="CF65" s="525">
        <f>+R65*KeyAssumptionsPriceControl_FO!AI$15</f>
        <v>0</v>
      </c>
      <c r="CG65" s="526">
        <f>+S65*KeyAssumptionsPriceControl_FO!AJ$15</f>
        <v>2.3073148938322974</v>
      </c>
      <c r="CH65" s="524">
        <f>+T65*KeyAssumptionsPriceControl_FO!AK$15</f>
        <v>0</v>
      </c>
      <c r="CI65" s="525">
        <f>+U65*KeyAssumptionsPriceControl_FO!AL$15</f>
        <v>0</v>
      </c>
      <c r="CJ65" s="525">
        <f>+V65*KeyAssumptionsPriceControl_FO!AM$15</f>
        <v>0</v>
      </c>
      <c r="CK65" s="525">
        <f>+W65*KeyAssumptionsPriceControl_FO!AN$15</f>
        <v>0</v>
      </c>
      <c r="CL65" s="526">
        <f>+X65*KeyAssumptionsPriceControl_FO!AO$15</f>
        <v>0</v>
      </c>
      <c r="CM65" s="467"/>
      <c r="CN65" s="524">
        <f t="shared" ca="1" si="41"/>
        <v>0</v>
      </c>
      <c r="CO65" s="525">
        <f t="shared" ca="1" si="42"/>
        <v>0</v>
      </c>
      <c r="CP65" s="525">
        <f t="shared" ca="1" si="42"/>
        <v>0</v>
      </c>
      <c r="CQ65" s="525">
        <f t="shared" ca="1" si="42"/>
        <v>0</v>
      </c>
      <c r="CR65" s="526">
        <f t="shared" ca="1" si="42"/>
        <v>1.4420718086451859E-2</v>
      </c>
      <c r="CS65" s="524">
        <f t="shared" ca="1" si="42"/>
        <v>2.8841436172903717E-2</v>
      </c>
      <c r="CT65" s="525">
        <f t="shared" ca="1" si="42"/>
        <v>2.8841436172903717E-2</v>
      </c>
      <c r="CU65" s="525">
        <f t="shared" ca="1" si="42"/>
        <v>2.8841436172903717E-2</v>
      </c>
      <c r="CV65" s="525">
        <f t="shared" ca="1" si="42"/>
        <v>2.8841436172903717E-2</v>
      </c>
      <c r="CW65" s="526">
        <f t="shared" ca="1" si="42"/>
        <v>2.8841436172903717E-2</v>
      </c>
      <c r="CX65" s="467"/>
    </row>
    <row r="66" spans="2:102">
      <c r="B66" s="502"/>
      <c r="C66" s="1589" t="s">
        <v>1356</v>
      </c>
      <c r="D66" s="1590"/>
      <c r="E66" s="1591" t="s">
        <v>20</v>
      </c>
      <c r="F66" s="1591" t="s">
        <v>238</v>
      </c>
      <c r="G66" s="1589" t="s">
        <v>6</v>
      </c>
      <c r="H66" s="2226" t="s">
        <v>520</v>
      </c>
      <c r="I66" s="2227"/>
      <c r="J66" s="1592" t="s">
        <v>279</v>
      </c>
      <c r="K66" s="1593" t="s">
        <v>295</v>
      </c>
      <c r="L66" s="1593">
        <v>25</v>
      </c>
      <c r="M66" s="1593">
        <v>25</v>
      </c>
      <c r="N66" s="467"/>
      <c r="O66" s="551">
        <v>2.94</v>
      </c>
      <c r="P66" s="552">
        <v>2.84</v>
      </c>
      <c r="Q66" s="552">
        <v>2.19</v>
      </c>
      <c r="R66" s="552">
        <v>1.47</v>
      </c>
      <c r="S66" s="553">
        <v>1.64</v>
      </c>
      <c r="T66" s="551">
        <v>5</v>
      </c>
      <c r="U66" s="552">
        <v>5</v>
      </c>
      <c r="V66" s="552">
        <v>5</v>
      </c>
      <c r="W66" s="552">
        <v>5</v>
      </c>
      <c r="X66" s="553">
        <v>5</v>
      </c>
      <c r="Y66" s="547"/>
      <c r="Z66" s="551"/>
      <c r="AA66" s="552"/>
      <c r="AB66" s="552"/>
      <c r="AC66" s="552"/>
      <c r="AD66" s="553"/>
      <c r="AE66" s="551"/>
      <c r="AF66" s="552"/>
      <c r="AG66" s="552"/>
      <c r="AH66" s="552"/>
      <c r="AI66" s="553"/>
      <c r="AJ66" s="547"/>
      <c r="AK66" s="551"/>
      <c r="AL66" s="552"/>
      <c r="AM66" s="552"/>
      <c r="AN66" s="552"/>
      <c r="AO66" s="553"/>
      <c r="AP66" s="551"/>
      <c r="AQ66" s="552"/>
      <c r="AR66" s="552"/>
      <c r="AS66" s="552"/>
      <c r="AT66" s="553"/>
      <c r="AU66" s="467"/>
      <c r="AV66" s="524">
        <f t="shared" si="38"/>
        <v>2.94</v>
      </c>
      <c r="AW66" s="525">
        <f t="shared" si="38"/>
        <v>2.84</v>
      </c>
      <c r="AX66" s="525">
        <f t="shared" si="38"/>
        <v>2.19</v>
      </c>
      <c r="AY66" s="525">
        <f t="shared" si="38"/>
        <v>1.47</v>
      </c>
      <c r="AZ66" s="526">
        <f t="shared" si="38"/>
        <v>1.64</v>
      </c>
      <c r="BA66" s="524">
        <f t="shared" si="38"/>
        <v>5</v>
      </c>
      <c r="BB66" s="525">
        <f t="shared" si="38"/>
        <v>5</v>
      </c>
      <c r="BC66" s="525">
        <f t="shared" si="38"/>
        <v>5</v>
      </c>
      <c r="BD66" s="525">
        <f t="shared" si="38"/>
        <v>5</v>
      </c>
      <c r="BE66" s="526">
        <f t="shared" si="38"/>
        <v>5</v>
      </c>
      <c r="BF66" s="467"/>
      <c r="BG66" s="524">
        <f t="shared" ca="1" si="39"/>
        <v>5.8799999999999998E-2</v>
      </c>
      <c r="BH66" s="525">
        <f t="shared" ca="1" si="40"/>
        <v>0.1744</v>
      </c>
      <c r="BI66" s="525">
        <f t="shared" ca="1" si="40"/>
        <v>0.27499999999999997</v>
      </c>
      <c r="BJ66" s="525">
        <f t="shared" ca="1" si="40"/>
        <v>0.34819999999999995</v>
      </c>
      <c r="BK66" s="526">
        <f t="shared" ca="1" si="40"/>
        <v>0.41039999999999999</v>
      </c>
      <c r="BL66" s="524">
        <f t="shared" ca="1" si="40"/>
        <v>0.54320000000000002</v>
      </c>
      <c r="BM66" s="525">
        <f t="shared" ca="1" si="40"/>
        <v>0.74319999999999986</v>
      </c>
      <c r="BN66" s="525">
        <f t="shared" ca="1" si="40"/>
        <v>0.94319999999999993</v>
      </c>
      <c r="BO66" s="525">
        <f t="shared" ca="1" si="40"/>
        <v>1.1432</v>
      </c>
      <c r="BP66" s="526">
        <f t="shared" ca="1" si="40"/>
        <v>1.3431999999999999</v>
      </c>
      <c r="BQ66" s="467"/>
      <c r="BR66" s="524">
        <f>+IF($K66="Ongoing",AV66,IF(RIGHT($K66,2)=RIGHT(BR$40,2),SUM($AV66:AV66),0)+IF(RIGHT(BR$40,2)&gt;RIGHT($K66,2),AV66,0))</f>
        <v>2.94</v>
      </c>
      <c r="BS66" s="525">
        <f>+IF($K66="Ongoing",AW66,IF(RIGHT($K66,2)=RIGHT(BS$40,2),SUM($AV66:AW66),0)+IF(RIGHT(BS$40,2)&gt;RIGHT($K66,2),AW66,0))</f>
        <v>2.84</v>
      </c>
      <c r="BT66" s="525">
        <f>+IF($K66="Ongoing",AX66,IF(RIGHT($K66,2)=RIGHT(BT$40,2),SUM($AV66:AX66),0)+IF(RIGHT(BT$40,2)&gt;RIGHT($K66,2),AX66,0))</f>
        <v>2.19</v>
      </c>
      <c r="BU66" s="525">
        <f>+IF($K66="Ongoing",AY66,IF(RIGHT($K66,2)=RIGHT(BU$40,2),SUM($AV66:AY66),0)+IF(RIGHT(BU$40,2)&gt;RIGHT($K66,2),AY66,0))</f>
        <v>1.47</v>
      </c>
      <c r="BV66" s="526">
        <f>+IF($K66="Ongoing",AZ66,IF(RIGHT($K66,2)=RIGHT(BV$40,2),SUM($AV66:AZ66),0)+IF(RIGHT(BV$40,2)&gt;RIGHT($K66,2),AZ66,0))</f>
        <v>1.64</v>
      </c>
      <c r="BW66" s="524">
        <f>+IF($K66="Ongoing",BA66,IF(RIGHT($K66,2)=RIGHT(BW$40,2),SUM($AV66:BA66),0)+IF(RIGHT(BW$40,2)&gt;RIGHT($K66,2),BA66,0))</f>
        <v>5</v>
      </c>
      <c r="BX66" s="525">
        <f>+IF($K66="Ongoing",BB66,IF(RIGHT($K66,2)=RIGHT(BX$40,2),SUM($AV66:BB66),0)+IF(RIGHT(BX$40,2)&gt;RIGHT($K66,2),BB66,0))</f>
        <v>5</v>
      </c>
      <c r="BY66" s="525">
        <f>+IF($K66="Ongoing",BC66,IF(RIGHT($K66,2)=RIGHT(BY$40,2),SUM($AV66:BC66),0)+IF(RIGHT(BY$40,2)&gt;RIGHT($K66,2),BC66,0))</f>
        <v>5</v>
      </c>
      <c r="BZ66" s="525">
        <f>+IF($K66="Ongoing",BD66,IF(RIGHT($K66,2)=RIGHT(BZ$40,2),SUM($AV66:BD66),0)+IF(RIGHT(BZ$40,2)&gt;RIGHT($K66,2),BD66,0))</f>
        <v>5</v>
      </c>
      <c r="CA66" s="526">
        <f>+IF($K66="Ongoing",BE66,IF(RIGHT($K66,2)=RIGHT(CA$40,2),SUM($AV66:BE66),0)+IF(RIGHT(CA$40,2)&gt;RIGHT($K66,2),BE66,0))</f>
        <v>5</v>
      </c>
      <c r="CB66" s="467"/>
      <c r="CC66" s="524">
        <f>+O66*KeyAssumptionsPriceControl_FO!AF$15</f>
        <v>3.0252599999999998</v>
      </c>
      <c r="CD66" s="525">
        <f>+P66*KeyAssumptionsPriceControl_FO!AG$15</f>
        <v>3.0071084399999997</v>
      </c>
      <c r="CE66" s="525">
        <f>+Q66*KeyAssumptionsPriceControl_FO!AH$15</f>
        <v>2.3861087819099995</v>
      </c>
      <c r="CF66" s="525">
        <f>+R66*KeyAssumptionsPriceControl_FO!AI$15</f>
        <v>1.6480820670230696</v>
      </c>
      <c r="CG66" s="526">
        <f>+S66*KeyAssumptionsPriceControl_FO!AJ$15</f>
        <v>1.8919982129424837</v>
      </c>
      <c r="CH66" s="524">
        <f>+T66*KeyAssumptionsPriceControl_FO!AK$15</f>
        <v>5.935567564383585</v>
      </c>
      <c r="CI66" s="525">
        <f>+U66*KeyAssumptionsPriceControl_FO!AL$15</f>
        <v>6.1076990237507083</v>
      </c>
      <c r="CJ66" s="525">
        <f>+V66*KeyAssumptionsPriceControl_FO!AM$15</f>
        <v>6.2848222954394783</v>
      </c>
      <c r="CK66" s="525">
        <f>+W66*KeyAssumptionsPriceControl_FO!AN$15</f>
        <v>6.4670821420072224</v>
      </c>
      <c r="CL66" s="526">
        <f>+X66*KeyAssumptionsPriceControl_FO!AO$15</f>
        <v>6.6546275241254316</v>
      </c>
      <c r="CM66" s="467"/>
      <c r="CN66" s="524">
        <f t="shared" ca="1" si="41"/>
        <v>6.0505199999999995E-2</v>
      </c>
      <c r="CO66" s="525">
        <f t="shared" ca="1" si="42"/>
        <v>0.18115256879999997</v>
      </c>
      <c r="CP66" s="525">
        <f t="shared" ca="1" si="42"/>
        <v>0.28901691323819995</v>
      </c>
      <c r="CQ66" s="525">
        <f t="shared" ca="1" si="42"/>
        <v>0.36970073021686134</v>
      </c>
      <c r="CR66" s="526">
        <f t="shared" ca="1" si="42"/>
        <v>0.44050233581617243</v>
      </c>
      <c r="CS66" s="524">
        <f t="shared" ca="1" si="42"/>
        <v>0.59705365136269384</v>
      </c>
      <c r="CT66" s="525">
        <f t="shared" ca="1" si="42"/>
        <v>0.83791898312537971</v>
      </c>
      <c r="CU66" s="525">
        <f t="shared" ca="1" si="42"/>
        <v>1.0857694095091834</v>
      </c>
      <c r="CV66" s="525">
        <f t="shared" ca="1" si="42"/>
        <v>1.3408074982581175</v>
      </c>
      <c r="CW66" s="526">
        <f t="shared" ca="1" si="42"/>
        <v>1.6032416915807708</v>
      </c>
      <c r="CX66" s="467"/>
    </row>
    <row r="67" spans="2:102">
      <c r="B67" s="502"/>
      <c r="C67" s="1589" t="s">
        <v>1357</v>
      </c>
      <c r="D67" s="1590"/>
      <c r="E67" s="1591" t="s">
        <v>21</v>
      </c>
      <c r="F67" s="1591" t="s">
        <v>238</v>
      </c>
      <c r="G67" s="1589" t="s">
        <v>6</v>
      </c>
      <c r="H67" s="2226" t="s">
        <v>520</v>
      </c>
      <c r="I67" s="2227"/>
      <c r="J67" s="1592" t="s">
        <v>279</v>
      </c>
      <c r="K67" s="1593" t="s">
        <v>295</v>
      </c>
      <c r="L67" s="1593">
        <v>25</v>
      </c>
      <c r="M67" s="1593">
        <v>25</v>
      </c>
      <c r="N67" s="467"/>
      <c r="O67" s="551">
        <v>3.43</v>
      </c>
      <c r="P67" s="552">
        <v>1.92</v>
      </c>
      <c r="Q67" s="552">
        <v>1.98</v>
      </c>
      <c r="R67" s="552">
        <v>2.67</v>
      </c>
      <c r="S67" s="553">
        <v>3.33</v>
      </c>
      <c r="T67" s="551">
        <v>3</v>
      </c>
      <c r="U67" s="552">
        <v>3</v>
      </c>
      <c r="V67" s="552">
        <v>3</v>
      </c>
      <c r="W67" s="552">
        <v>3</v>
      </c>
      <c r="X67" s="553">
        <v>3</v>
      </c>
      <c r="Y67" s="547"/>
      <c r="Z67" s="551"/>
      <c r="AA67" s="552"/>
      <c r="AB67" s="552"/>
      <c r="AC67" s="552"/>
      <c r="AD67" s="553"/>
      <c r="AE67" s="551"/>
      <c r="AF67" s="552"/>
      <c r="AG67" s="552"/>
      <c r="AH67" s="552"/>
      <c r="AI67" s="553"/>
      <c r="AJ67" s="547"/>
      <c r="AK67" s="551"/>
      <c r="AL67" s="552"/>
      <c r="AM67" s="552"/>
      <c r="AN67" s="552"/>
      <c r="AO67" s="553"/>
      <c r="AP67" s="551"/>
      <c r="AQ67" s="552"/>
      <c r="AR67" s="552"/>
      <c r="AS67" s="552"/>
      <c r="AT67" s="553"/>
      <c r="AU67" s="467"/>
      <c r="AV67" s="524">
        <f t="shared" si="38"/>
        <v>3.43</v>
      </c>
      <c r="AW67" s="525">
        <f t="shared" si="38"/>
        <v>1.92</v>
      </c>
      <c r="AX67" s="525">
        <f t="shared" si="38"/>
        <v>1.98</v>
      </c>
      <c r="AY67" s="525">
        <f t="shared" si="38"/>
        <v>2.67</v>
      </c>
      <c r="AZ67" s="526">
        <f t="shared" si="38"/>
        <v>3.33</v>
      </c>
      <c r="BA67" s="524">
        <f t="shared" si="38"/>
        <v>3</v>
      </c>
      <c r="BB67" s="525">
        <f t="shared" si="38"/>
        <v>3</v>
      </c>
      <c r="BC67" s="525">
        <f t="shared" si="38"/>
        <v>3</v>
      </c>
      <c r="BD67" s="525">
        <f t="shared" si="38"/>
        <v>3</v>
      </c>
      <c r="BE67" s="526">
        <f t="shared" si="38"/>
        <v>3</v>
      </c>
      <c r="BF67" s="467"/>
      <c r="BG67" s="524">
        <f t="shared" ca="1" si="39"/>
        <v>6.8600000000000008E-2</v>
      </c>
      <c r="BH67" s="525">
        <f t="shared" ca="1" si="40"/>
        <v>0.17560000000000001</v>
      </c>
      <c r="BI67" s="525">
        <f t="shared" ca="1" si="40"/>
        <v>0.25359999999999999</v>
      </c>
      <c r="BJ67" s="525">
        <f t="shared" ca="1" si="40"/>
        <v>0.34660000000000002</v>
      </c>
      <c r="BK67" s="526">
        <f t="shared" ca="1" si="40"/>
        <v>0.46660000000000001</v>
      </c>
      <c r="BL67" s="524">
        <f t="shared" ca="1" si="40"/>
        <v>0.59319999999999995</v>
      </c>
      <c r="BM67" s="525">
        <f t="shared" ca="1" si="40"/>
        <v>0.71319999999999983</v>
      </c>
      <c r="BN67" s="525">
        <f t="shared" ca="1" si="40"/>
        <v>0.83319999999999994</v>
      </c>
      <c r="BO67" s="525">
        <f t="shared" ca="1" si="40"/>
        <v>0.95319999999999983</v>
      </c>
      <c r="BP67" s="526">
        <f t="shared" ca="1" si="40"/>
        <v>1.0731999999999999</v>
      </c>
      <c r="BQ67" s="467"/>
      <c r="BR67" s="524">
        <f>+IF($K67="Ongoing",AV67,IF(RIGHT($K67,2)=RIGHT(BR$40,2),SUM($AV67:AV67),0)+IF(RIGHT(BR$40,2)&gt;RIGHT($K67,2),AV67,0))</f>
        <v>3.43</v>
      </c>
      <c r="BS67" s="525">
        <f>+IF($K67="Ongoing",AW67,IF(RIGHT($K67,2)=RIGHT(BS$40,2),SUM($AV67:AW67),0)+IF(RIGHT(BS$40,2)&gt;RIGHT($K67,2),AW67,0))</f>
        <v>1.92</v>
      </c>
      <c r="BT67" s="525">
        <f>+IF($K67="Ongoing",AX67,IF(RIGHT($K67,2)=RIGHT(BT$40,2),SUM($AV67:AX67),0)+IF(RIGHT(BT$40,2)&gt;RIGHT($K67,2),AX67,0))</f>
        <v>1.98</v>
      </c>
      <c r="BU67" s="525">
        <f>+IF($K67="Ongoing",AY67,IF(RIGHT($K67,2)=RIGHT(BU$40,2),SUM($AV67:AY67),0)+IF(RIGHT(BU$40,2)&gt;RIGHT($K67,2),AY67,0))</f>
        <v>2.67</v>
      </c>
      <c r="BV67" s="526">
        <f>+IF($K67="Ongoing",AZ67,IF(RIGHT($K67,2)=RIGHT(BV$40,2),SUM($AV67:AZ67),0)+IF(RIGHT(BV$40,2)&gt;RIGHT($K67,2),AZ67,0))</f>
        <v>3.33</v>
      </c>
      <c r="BW67" s="524">
        <f>+IF($K67="Ongoing",BA67,IF(RIGHT($K67,2)=RIGHT(BW$40,2),SUM($AV67:BA67),0)+IF(RIGHT(BW$40,2)&gt;RIGHT($K67,2),BA67,0))</f>
        <v>3</v>
      </c>
      <c r="BX67" s="525">
        <f>+IF($K67="Ongoing",BB67,IF(RIGHT($K67,2)=RIGHT(BX$40,2),SUM($AV67:BB67),0)+IF(RIGHT(BX$40,2)&gt;RIGHT($K67,2),BB67,0))</f>
        <v>3</v>
      </c>
      <c r="BY67" s="525">
        <f>+IF($K67="Ongoing",BC67,IF(RIGHT($K67,2)=RIGHT(BY$40,2),SUM($AV67:BC67),0)+IF(RIGHT(BY$40,2)&gt;RIGHT($K67,2),BC67,0))</f>
        <v>3</v>
      </c>
      <c r="BZ67" s="525">
        <f>+IF($K67="Ongoing",BD67,IF(RIGHT($K67,2)=RIGHT(BZ$40,2),SUM($AV67:BD67),0)+IF(RIGHT(BZ$40,2)&gt;RIGHT($K67,2),BD67,0))</f>
        <v>3</v>
      </c>
      <c r="CA67" s="526">
        <f>+IF($K67="Ongoing",BE67,IF(RIGHT($K67,2)=RIGHT(CA$40,2),SUM($AV67:BE67),0)+IF(RIGHT(CA$40,2)&gt;RIGHT($K67,2),BE67,0))</f>
        <v>3</v>
      </c>
      <c r="CB67" s="467"/>
      <c r="CC67" s="524">
        <f>+O67*KeyAssumptionsPriceControl_FO!AF$15</f>
        <v>3.5294699999999999</v>
      </c>
      <c r="CD67" s="525">
        <f>+P67*KeyAssumptionsPriceControl_FO!AG$15</f>
        <v>2.0329747199999999</v>
      </c>
      <c r="CE67" s="525">
        <f>+Q67*KeyAssumptionsPriceControl_FO!AH$15</f>
        <v>2.1573038302199996</v>
      </c>
      <c r="CF67" s="525">
        <f>+R67*KeyAssumptionsPriceControl_FO!AI$15</f>
        <v>2.9934551829602696</v>
      </c>
      <c r="CG67" s="526">
        <f>+S67*KeyAssumptionsPriceControl_FO!AJ$15</f>
        <v>3.8416792982307753</v>
      </c>
      <c r="CH67" s="524">
        <f>+T67*KeyAssumptionsPriceControl_FO!AK$15</f>
        <v>3.5613405386301507</v>
      </c>
      <c r="CI67" s="525">
        <f>+U67*KeyAssumptionsPriceControl_FO!AL$15</f>
        <v>3.6646194142504247</v>
      </c>
      <c r="CJ67" s="525">
        <f>+V67*KeyAssumptionsPriceControl_FO!AM$15</f>
        <v>3.770893377263687</v>
      </c>
      <c r="CK67" s="525">
        <f>+W67*KeyAssumptionsPriceControl_FO!AN$15</f>
        <v>3.8802492852043331</v>
      </c>
      <c r="CL67" s="526">
        <f>+X67*KeyAssumptionsPriceControl_FO!AO$15</f>
        <v>3.9927765144752589</v>
      </c>
      <c r="CM67" s="467"/>
      <c r="CN67" s="524">
        <f t="shared" ca="1" si="41"/>
        <v>7.0589399999999997E-2</v>
      </c>
      <c r="CO67" s="525">
        <f t="shared" ca="1" si="42"/>
        <v>0.18183829439999999</v>
      </c>
      <c r="CP67" s="525">
        <f t="shared" ca="1" si="42"/>
        <v>0.26564386540439999</v>
      </c>
      <c r="CQ67" s="525">
        <f t="shared" ca="1" si="42"/>
        <v>0.36865904566800539</v>
      </c>
      <c r="CR67" s="526">
        <f t="shared" ca="1" si="42"/>
        <v>0.50536173529182637</v>
      </c>
      <c r="CS67" s="524">
        <f t="shared" ca="1" si="42"/>
        <v>0.65342213202904476</v>
      </c>
      <c r="CT67" s="525">
        <f t="shared" ca="1" si="42"/>
        <v>0.79794133108665632</v>
      </c>
      <c r="CU67" s="525">
        <f t="shared" ca="1" si="42"/>
        <v>0.94665158691693851</v>
      </c>
      <c r="CV67" s="525">
        <f t="shared" ca="1" si="42"/>
        <v>1.0996744401662988</v>
      </c>
      <c r="CW67" s="526">
        <f t="shared" ca="1" si="42"/>
        <v>1.2571349561598908</v>
      </c>
      <c r="CX67" s="467"/>
    </row>
    <row r="68" spans="2:102">
      <c r="B68" s="502"/>
      <c r="C68" s="1589" t="s">
        <v>1358</v>
      </c>
      <c r="D68" s="1590"/>
      <c r="E68" s="1591" t="s">
        <v>20</v>
      </c>
      <c r="F68" s="1591" t="s">
        <v>238</v>
      </c>
      <c r="G68" s="1589" t="s">
        <v>14</v>
      </c>
      <c r="H68" s="2226" t="s">
        <v>520</v>
      </c>
      <c r="I68" s="2227"/>
      <c r="J68" s="1592" t="s">
        <v>279</v>
      </c>
      <c r="K68" s="1593" t="s">
        <v>295</v>
      </c>
      <c r="L68" s="1593">
        <v>80</v>
      </c>
      <c r="M68" s="1593">
        <v>80</v>
      </c>
      <c r="N68" s="467"/>
      <c r="O68" s="551">
        <v>3</v>
      </c>
      <c r="P68" s="552">
        <v>3</v>
      </c>
      <c r="Q68" s="552">
        <v>3</v>
      </c>
      <c r="R68" s="552">
        <v>3</v>
      </c>
      <c r="S68" s="553">
        <v>3</v>
      </c>
      <c r="T68" s="551">
        <v>4</v>
      </c>
      <c r="U68" s="552">
        <v>4</v>
      </c>
      <c r="V68" s="552">
        <v>4</v>
      </c>
      <c r="W68" s="552">
        <v>4</v>
      </c>
      <c r="X68" s="553">
        <v>4</v>
      </c>
      <c r="Y68" s="547"/>
      <c r="Z68" s="551"/>
      <c r="AA68" s="552"/>
      <c r="AB68" s="552"/>
      <c r="AC68" s="552"/>
      <c r="AD68" s="553"/>
      <c r="AE68" s="551"/>
      <c r="AF68" s="552"/>
      <c r="AG68" s="552"/>
      <c r="AH68" s="552"/>
      <c r="AI68" s="553"/>
      <c r="AJ68" s="547"/>
      <c r="AK68" s="551"/>
      <c r="AL68" s="552"/>
      <c r="AM68" s="552"/>
      <c r="AN68" s="552"/>
      <c r="AO68" s="553"/>
      <c r="AP68" s="551"/>
      <c r="AQ68" s="552"/>
      <c r="AR68" s="552"/>
      <c r="AS68" s="552"/>
      <c r="AT68" s="553"/>
      <c r="AU68" s="467"/>
      <c r="AV68" s="524">
        <f t="shared" si="38"/>
        <v>3</v>
      </c>
      <c r="AW68" s="525">
        <f t="shared" si="38"/>
        <v>3</v>
      </c>
      <c r="AX68" s="525">
        <f t="shared" si="38"/>
        <v>3</v>
      </c>
      <c r="AY68" s="525">
        <f t="shared" si="38"/>
        <v>3</v>
      </c>
      <c r="AZ68" s="526">
        <f t="shared" si="38"/>
        <v>3</v>
      </c>
      <c r="BA68" s="524">
        <f t="shared" si="38"/>
        <v>4</v>
      </c>
      <c r="BB68" s="525">
        <f t="shared" si="38"/>
        <v>4</v>
      </c>
      <c r="BC68" s="525">
        <f t="shared" si="38"/>
        <v>4</v>
      </c>
      <c r="BD68" s="525">
        <f t="shared" si="38"/>
        <v>4</v>
      </c>
      <c r="BE68" s="526">
        <f t="shared" si="38"/>
        <v>4</v>
      </c>
      <c r="BF68" s="467"/>
      <c r="BG68" s="524">
        <f t="shared" ca="1" si="39"/>
        <v>1.8749999999999999E-2</v>
      </c>
      <c r="BH68" s="525">
        <f t="shared" ca="1" si="40"/>
        <v>5.6249999999999994E-2</v>
      </c>
      <c r="BI68" s="525">
        <f t="shared" ca="1" si="40"/>
        <v>9.375E-2</v>
      </c>
      <c r="BJ68" s="525">
        <f t="shared" ca="1" si="40"/>
        <v>0.13125000000000001</v>
      </c>
      <c r="BK68" s="526">
        <f t="shared" ca="1" si="40"/>
        <v>0.16874999999999998</v>
      </c>
      <c r="BL68" s="524">
        <f t="shared" ca="1" si="40"/>
        <v>0.21249999999999999</v>
      </c>
      <c r="BM68" s="525">
        <f t="shared" ca="1" si="40"/>
        <v>0.26250000000000001</v>
      </c>
      <c r="BN68" s="525">
        <f t="shared" ca="1" si="40"/>
        <v>0.3125</v>
      </c>
      <c r="BO68" s="525">
        <f t="shared" ca="1" si="40"/>
        <v>0.36250000000000004</v>
      </c>
      <c r="BP68" s="526">
        <f t="shared" ca="1" si="40"/>
        <v>0.41250000000000003</v>
      </c>
      <c r="BQ68" s="467"/>
      <c r="BR68" s="524">
        <f>+IF($K68="Ongoing",AV68,IF(RIGHT($K68,2)=RIGHT(BR$40,2),SUM($AV68:AV68),0)+IF(RIGHT(BR$40,2)&gt;RIGHT($K68,2),AV68,0))</f>
        <v>3</v>
      </c>
      <c r="BS68" s="525">
        <f>+IF($K68="Ongoing",AW68,IF(RIGHT($K68,2)=RIGHT(BS$40,2),SUM($AV68:AW68),0)+IF(RIGHT(BS$40,2)&gt;RIGHT($K68,2),AW68,0))</f>
        <v>3</v>
      </c>
      <c r="BT68" s="525">
        <f>+IF($K68="Ongoing",AX68,IF(RIGHT($K68,2)=RIGHT(BT$40,2),SUM($AV68:AX68),0)+IF(RIGHT(BT$40,2)&gt;RIGHT($K68,2),AX68,0))</f>
        <v>3</v>
      </c>
      <c r="BU68" s="525">
        <f>+IF($K68="Ongoing",AY68,IF(RIGHT($K68,2)=RIGHT(BU$40,2),SUM($AV68:AY68),0)+IF(RIGHT(BU$40,2)&gt;RIGHT($K68,2),AY68,0))</f>
        <v>3</v>
      </c>
      <c r="BV68" s="526">
        <f>+IF($K68="Ongoing",AZ68,IF(RIGHT($K68,2)=RIGHT(BV$40,2),SUM($AV68:AZ68),0)+IF(RIGHT(BV$40,2)&gt;RIGHT($K68,2),AZ68,0))</f>
        <v>3</v>
      </c>
      <c r="BW68" s="524">
        <f>+IF($K68="Ongoing",BA68,IF(RIGHT($K68,2)=RIGHT(BW$40,2),SUM($AV68:BA68),0)+IF(RIGHT(BW$40,2)&gt;RIGHT($K68,2),BA68,0))</f>
        <v>4</v>
      </c>
      <c r="BX68" s="525">
        <f>+IF($K68="Ongoing",BB68,IF(RIGHT($K68,2)=RIGHT(BX$40,2),SUM($AV68:BB68),0)+IF(RIGHT(BX$40,2)&gt;RIGHT($K68,2),BB68,0))</f>
        <v>4</v>
      </c>
      <c r="BY68" s="525">
        <f>+IF($K68="Ongoing",BC68,IF(RIGHT($K68,2)=RIGHT(BY$40,2),SUM($AV68:BC68),0)+IF(RIGHT(BY$40,2)&gt;RIGHT($K68,2),BC68,0))</f>
        <v>4</v>
      </c>
      <c r="BZ68" s="525">
        <f>+IF($K68="Ongoing",BD68,IF(RIGHT($K68,2)=RIGHT(BZ$40,2),SUM($AV68:BD68),0)+IF(RIGHT(BZ$40,2)&gt;RIGHT($K68,2),BD68,0))</f>
        <v>4</v>
      </c>
      <c r="CA68" s="526">
        <f>+IF($K68="Ongoing",BE68,IF(RIGHT($K68,2)=RIGHT(CA$40,2),SUM($AV68:BE68),0)+IF(RIGHT(CA$40,2)&gt;RIGHT($K68,2),BE68,0))</f>
        <v>4</v>
      </c>
      <c r="CB68" s="467"/>
      <c r="CC68" s="524">
        <f>+O68*KeyAssumptionsPriceControl_FO!AF$15</f>
        <v>3.0869999999999997</v>
      </c>
      <c r="CD68" s="525">
        <f>+P68*KeyAssumptionsPriceControl_FO!AG$15</f>
        <v>3.1765229999999995</v>
      </c>
      <c r="CE68" s="525">
        <f>+Q68*KeyAssumptionsPriceControl_FO!AH$15</f>
        <v>3.2686421669999994</v>
      </c>
      <c r="CF68" s="525">
        <f>+R68*KeyAssumptionsPriceControl_FO!AI$15</f>
        <v>3.3634327898429994</v>
      </c>
      <c r="CG68" s="526">
        <f>+S68*KeyAssumptionsPriceControl_FO!AJ$15</f>
        <v>3.4609723407484463</v>
      </c>
      <c r="CH68" s="524">
        <f>+T68*KeyAssumptionsPriceControl_FO!AK$15</f>
        <v>4.7484540515068678</v>
      </c>
      <c r="CI68" s="525">
        <f>+U68*KeyAssumptionsPriceControl_FO!AL$15</f>
        <v>4.8861592190005663</v>
      </c>
      <c r="CJ68" s="525">
        <f>+V68*KeyAssumptionsPriceControl_FO!AM$15</f>
        <v>5.0278578363515827</v>
      </c>
      <c r="CK68" s="525">
        <f>+W68*KeyAssumptionsPriceControl_FO!AN$15</f>
        <v>5.1736657136057778</v>
      </c>
      <c r="CL68" s="526">
        <f>+X68*KeyAssumptionsPriceControl_FO!AO$15</f>
        <v>5.3237020193003453</v>
      </c>
      <c r="CM68" s="467"/>
      <c r="CN68" s="524">
        <f t="shared" ca="1" si="41"/>
        <v>1.9293749999999998E-2</v>
      </c>
      <c r="CO68" s="525">
        <f t="shared" ca="1" si="42"/>
        <v>5.8440768749999997E-2</v>
      </c>
      <c r="CP68" s="525">
        <f t="shared" ca="1" si="42"/>
        <v>9.8723051043749996E-2</v>
      </c>
      <c r="CQ68" s="525">
        <f t="shared" ca="1" si="42"/>
        <v>0.14017351952401874</v>
      </c>
      <c r="CR68" s="526">
        <f t="shared" ca="1" si="42"/>
        <v>0.18282605159021528</v>
      </c>
      <c r="CS68" s="524">
        <f t="shared" ca="1" si="42"/>
        <v>0.23413496654181101</v>
      </c>
      <c r="CT68" s="525">
        <f t="shared" ca="1" si="42"/>
        <v>0.29435129948248251</v>
      </c>
      <c r="CU68" s="525">
        <f t="shared" ca="1" si="42"/>
        <v>0.35631390607843338</v>
      </c>
      <c r="CV68" s="525">
        <f t="shared" ca="1" si="42"/>
        <v>0.4200734282656669</v>
      </c>
      <c r="CW68" s="526">
        <f t="shared" ca="1" si="42"/>
        <v>0.48568197659633017</v>
      </c>
      <c r="CX68" s="467"/>
    </row>
    <row r="69" spans="2:102">
      <c r="B69" s="502"/>
      <c r="C69" s="1589" t="s">
        <v>1359</v>
      </c>
      <c r="D69" s="1590"/>
      <c r="E69" s="1591" t="s">
        <v>21</v>
      </c>
      <c r="F69" s="1591" t="s">
        <v>238</v>
      </c>
      <c r="G69" s="1589" t="s">
        <v>14</v>
      </c>
      <c r="H69" s="2226" t="s">
        <v>520</v>
      </c>
      <c r="I69" s="2227"/>
      <c r="J69" s="1592" t="s">
        <v>279</v>
      </c>
      <c r="K69" s="1593" t="s">
        <v>295</v>
      </c>
      <c r="L69" s="1593">
        <v>80</v>
      </c>
      <c r="M69" s="1593">
        <v>80</v>
      </c>
      <c r="N69" s="467"/>
      <c r="O69" s="551">
        <v>2.52</v>
      </c>
      <c r="P69" s="552">
        <v>2.52</v>
      </c>
      <c r="Q69" s="552">
        <v>2.52</v>
      </c>
      <c r="R69" s="552">
        <v>2.52</v>
      </c>
      <c r="S69" s="553">
        <v>2.52</v>
      </c>
      <c r="T69" s="551">
        <v>3</v>
      </c>
      <c r="U69" s="552">
        <v>3</v>
      </c>
      <c r="V69" s="552">
        <v>3</v>
      </c>
      <c r="W69" s="552">
        <v>3</v>
      </c>
      <c r="X69" s="553">
        <v>3</v>
      </c>
      <c r="Y69" s="547"/>
      <c r="Z69" s="551"/>
      <c r="AA69" s="552"/>
      <c r="AB69" s="552"/>
      <c r="AC69" s="552"/>
      <c r="AD69" s="553"/>
      <c r="AE69" s="551"/>
      <c r="AF69" s="552"/>
      <c r="AG69" s="552"/>
      <c r="AH69" s="552"/>
      <c r="AI69" s="553"/>
      <c r="AJ69" s="547"/>
      <c r="AK69" s="551"/>
      <c r="AL69" s="552"/>
      <c r="AM69" s="552"/>
      <c r="AN69" s="552"/>
      <c r="AO69" s="553"/>
      <c r="AP69" s="551"/>
      <c r="AQ69" s="552"/>
      <c r="AR69" s="552"/>
      <c r="AS69" s="552"/>
      <c r="AT69" s="553"/>
      <c r="AU69" s="467"/>
      <c r="AV69" s="524">
        <f t="shared" si="38"/>
        <v>2.52</v>
      </c>
      <c r="AW69" s="525">
        <f t="shared" si="38"/>
        <v>2.52</v>
      </c>
      <c r="AX69" s="525">
        <f t="shared" si="38"/>
        <v>2.52</v>
      </c>
      <c r="AY69" s="525">
        <f t="shared" si="38"/>
        <v>2.52</v>
      </c>
      <c r="AZ69" s="526">
        <f t="shared" si="38"/>
        <v>2.52</v>
      </c>
      <c r="BA69" s="524">
        <f t="shared" si="38"/>
        <v>3</v>
      </c>
      <c r="BB69" s="525">
        <f t="shared" si="38"/>
        <v>3</v>
      </c>
      <c r="BC69" s="525">
        <f t="shared" si="38"/>
        <v>3</v>
      </c>
      <c r="BD69" s="525">
        <f t="shared" si="38"/>
        <v>3</v>
      </c>
      <c r="BE69" s="526">
        <f t="shared" si="38"/>
        <v>3</v>
      </c>
      <c r="BF69" s="467"/>
      <c r="BG69" s="524">
        <f t="shared" ca="1" si="39"/>
        <v>1.575E-2</v>
      </c>
      <c r="BH69" s="525">
        <f t="shared" ca="1" si="40"/>
        <v>4.725E-2</v>
      </c>
      <c r="BI69" s="525">
        <f t="shared" ca="1" si="40"/>
        <v>7.8750000000000001E-2</v>
      </c>
      <c r="BJ69" s="525">
        <f t="shared" ca="1" si="40"/>
        <v>0.11025</v>
      </c>
      <c r="BK69" s="526">
        <f t="shared" ca="1" si="40"/>
        <v>0.14174999999999999</v>
      </c>
      <c r="BL69" s="524">
        <f t="shared" ca="1" si="40"/>
        <v>0.17624999999999999</v>
      </c>
      <c r="BM69" s="525">
        <f t="shared" ca="1" si="40"/>
        <v>0.21375</v>
      </c>
      <c r="BN69" s="525">
        <f t="shared" ca="1" si="40"/>
        <v>0.25125000000000003</v>
      </c>
      <c r="BO69" s="525">
        <f t="shared" ca="1" si="40"/>
        <v>0.28875000000000001</v>
      </c>
      <c r="BP69" s="526">
        <f t="shared" ca="1" si="40"/>
        <v>0.32624999999999998</v>
      </c>
      <c r="BQ69" s="467"/>
      <c r="BR69" s="524">
        <f>+IF($K69="Ongoing",AV69,IF(RIGHT($K69,2)=RIGHT(BR$40,2),SUM($AV69:AV69),0)+IF(RIGHT(BR$40,2)&gt;RIGHT($K69,2),AV69,0))</f>
        <v>2.52</v>
      </c>
      <c r="BS69" s="525">
        <f>+IF($K69="Ongoing",AW69,IF(RIGHT($K69,2)=RIGHT(BS$40,2),SUM($AV69:AW69),0)+IF(RIGHT(BS$40,2)&gt;RIGHT($K69,2),AW69,0))</f>
        <v>2.52</v>
      </c>
      <c r="BT69" s="525">
        <f>+IF($K69="Ongoing",AX69,IF(RIGHT($K69,2)=RIGHT(BT$40,2),SUM($AV69:AX69),0)+IF(RIGHT(BT$40,2)&gt;RIGHT($K69,2),AX69,0))</f>
        <v>2.52</v>
      </c>
      <c r="BU69" s="525">
        <f>+IF($K69="Ongoing",AY69,IF(RIGHT($K69,2)=RIGHT(BU$40,2),SUM($AV69:AY69),0)+IF(RIGHT(BU$40,2)&gt;RIGHT($K69,2),AY69,0))</f>
        <v>2.52</v>
      </c>
      <c r="BV69" s="526">
        <f>+IF($K69="Ongoing",AZ69,IF(RIGHT($K69,2)=RIGHT(BV$40,2),SUM($AV69:AZ69),0)+IF(RIGHT(BV$40,2)&gt;RIGHT($K69,2),AZ69,0))</f>
        <v>2.52</v>
      </c>
      <c r="BW69" s="524">
        <f>+IF($K69="Ongoing",BA69,IF(RIGHT($K69,2)=RIGHT(BW$40,2),SUM($AV69:BA69),0)+IF(RIGHT(BW$40,2)&gt;RIGHT($K69,2),BA69,0))</f>
        <v>3</v>
      </c>
      <c r="BX69" s="525">
        <f>+IF($K69="Ongoing",BB69,IF(RIGHT($K69,2)=RIGHT(BX$40,2),SUM($AV69:BB69),0)+IF(RIGHT(BX$40,2)&gt;RIGHT($K69,2),BB69,0))</f>
        <v>3</v>
      </c>
      <c r="BY69" s="525">
        <f>+IF($K69="Ongoing",BC69,IF(RIGHT($K69,2)=RIGHT(BY$40,2),SUM($AV69:BC69),0)+IF(RIGHT(BY$40,2)&gt;RIGHT($K69,2),BC69,0))</f>
        <v>3</v>
      </c>
      <c r="BZ69" s="525">
        <f>+IF($K69="Ongoing",BD69,IF(RIGHT($K69,2)=RIGHT(BZ$40,2),SUM($AV69:BD69),0)+IF(RIGHT(BZ$40,2)&gt;RIGHT($K69,2),BD69,0))</f>
        <v>3</v>
      </c>
      <c r="CA69" s="526">
        <f>+IF($K69="Ongoing",BE69,IF(RIGHT($K69,2)=RIGHT(CA$40,2),SUM($AV69:BE69),0)+IF(RIGHT(CA$40,2)&gt;RIGHT($K69,2),BE69,0))</f>
        <v>3</v>
      </c>
      <c r="CB69" s="467"/>
      <c r="CC69" s="524">
        <f>+O69*KeyAssumptionsPriceControl_FO!AF$15</f>
        <v>2.5930799999999996</v>
      </c>
      <c r="CD69" s="525">
        <f>+P69*KeyAssumptionsPriceControl_FO!AG$15</f>
        <v>2.6682793199999999</v>
      </c>
      <c r="CE69" s="525">
        <f>+Q69*KeyAssumptionsPriceControl_FO!AH$15</f>
        <v>2.7456594202799995</v>
      </c>
      <c r="CF69" s="525">
        <f>+R69*KeyAssumptionsPriceControl_FO!AI$15</f>
        <v>2.8252835434681196</v>
      </c>
      <c r="CG69" s="526">
        <f>+S69*KeyAssumptionsPriceControl_FO!AJ$15</f>
        <v>2.9072167662286947</v>
      </c>
      <c r="CH69" s="524">
        <f>+T69*KeyAssumptionsPriceControl_FO!AK$15</f>
        <v>3.5613405386301507</v>
      </c>
      <c r="CI69" s="525">
        <f>+U69*KeyAssumptionsPriceControl_FO!AL$15</f>
        <v>3.6646194142504247</v>
      </c>
      <c r="CJ69" s="525">
        <f>+V69*KeyAssumptionsPriceControl_FO!AM$15</f>
        <v>3.770893377263687</v>
      </c>
      <c r="CK69" s="525">
        <f>+W69*KeyAssumptionsPriceControl_FO!AN$15</f>
        <v>3.8802492852043331</v>
      </c>
      <c r="CL69" s="526">
        <f>+X69*KeyAssumptionsPriceControl_FO!AO$15</f>
        <v>3.9927765144752589</v>
      </c>
      <c r="CM69" s="467"/>
      <c r="CN69" s="524">
        <f t="shared" ca="1" si="41"/>
        <v>1.6206749999999999E-2</v>
      </c>
      <c r="CO69" s="525">
        <f t="shared" ca="1" si="42"/>
        <v>4.9090245749999997E-2</v>
      </c>
      <c r="CP69" s="525">
        <f t="shared" ca="1" si="42"/>
        <v>8.2927362876749997E-2</v>
      </c>
      <c r="CQ69" s="525">
        <f t="shared" ca="1" si="42"/>
        <v>0.11774575640017575</v>
      </c>
      <c r="CR69" s="526">
        <f t="shared" ca="1" si="42"/>
        <v>0.15357388333578081</v>
      </c>
      <c r="CS69" s="524">
        <f t="shared" ca="1" si="42"/>
        <v>0.1940023664911486</v>
      </c>
      <c r="CT69" s="525">
        <f t="shared" ca="1" si="42"/>
        <v>0.23916461619665222</v>
      </c>
      <c r="CU69" s="525">
        <f t="shared" ca="1" si="42"/>
        <v>0.2856365711436154</v>
      </c>
      <c r="CV69" s="525">
        <f t="shared" ca="1" si="42"/>
        <v>0.33345621278404053</v>
      </c>
      <c r="CW69" s="526">
        <f t="shared" ca="1" si="42"/>
        <v>0.38266262403203793</v>
      </c>
      <c r="CX69" s="467"/>
    </row>
    <row r="70" spans="2:102">
      <c r="B70" s="502"/>
      <c r="C70" s="1589" t="s">
        <v>1360</v>
      </c>
      <c r="D70" s="1590"/>
      <c r="E70" s="1591" t="s">
        <v>21</v>
      </c>
      <c r="F70" s="1591" t="s">
        <v>12</v>
      </c>
      <c r="G70" s="1589" t="s">
        <v>10</v>
      </c>
      <c r="H70" s="2226" t="s">
        <v>521</v>
      </c>
      <c r="I70" s="2227"/>
      <c r="J70" s="1592" t="s">
        <v>279</v>
      </c>
      <c r="K70" s="1593" t="s">
        <v>527</v>
      </c>
      <c r="L70" s="1593">
        <v>0</v>
      </c>
      <c r="M70" s="1593">
        <v>0</v>
      </c>
      <c r="N70" s="467"/>
      <c r="O70" s="551">
        <v>0.25</v>
      </c>
      <c r="P70" s="552">
        <v>0</v>
      </c>
      <c r="Q70" s="552">
        <v>0</v>
      </c>
      <c r="R70" s="552">
        <v>0</v>
      </c>
      <c r="S70" s="553">
        <v>0</v>
      </c>
      <c r="T70" s="551">
        <v>0</v>
      </c>
      <c r="U70" s="552">
        <v>0</v>
      </c>
      <c r="V70" s="552">
        <v>0</v>
      </c>
      <c r="W70" s="552">
        <v>0</v>
      </c>
      <c r="X70" s="553">
        <v>0</v>
      </c>
      <c r="Y70" s="547"/>
      <c r="Z70" s="551"/>
      <c r="AA70" s="552"/>
      <c r="AB70" s="552"/>
      <c r="AC70" s="552"/>
      <c r="AD70" s="553"/>
      <c r="AE70" s="551"/>
      <c r="AF70" s="552"/>
      <c r="AG70" s="552"/>
      <c r="AH70" s="552"/>
      <c r="AI70" s="553"/>
      <c r="AJ70" s="547"/>
      <c r="AK70" s="551"/>
      <c r="AL70" s="552"/>
      <c r="AM70" s="552"/>
      <c r="AN70" s="552"/>
      <c r="AO70" s="553"/>
      <c r="AP70" s="551"/>
      <c r="AQ70" s="552"/>
      <c r="AR70" s="552"/>
      <c r="AS70" s="552"/>
      <c r="AT70" s="553"/>
      <c r="AU70" s="467"/>
      <c r="AV70" s="524">
        <f t="shared" si="38"/>
        <v>0.25</v>
      </c>
      <c r="AW70" s="525">
        <f t="shared" si="38"/>
        <v>0</v>
      </c>
      <c r="AX70" s="525">
        <f t="shared" si="38"/>
        <v>0</v>
      </c>
      <c r="AY70" s="525">
        <f t="shared" si="38"/>
        <v>0</v>
      </c>
      <c r="AZ70" s="526">
        <f t="shared" si="38"/>
        <v>0</v>
      </c>
      <c r="BA70" s="524">
        <f t="shared" si="38"/>
        <v>0</v>
      </c>
      <c r="BB70" s="525">
        <f t="shared" si="38"/>
        <v>0</v>
      </c>
      <c r="BC70" s="525">
        <f t="shared" si="38"/>
        <v>0</v>
      </c>
      <c r="BD70" s="525">
        <f t="shared" si="38"/>
        <v>0</v>
      </c>
      <c r="BE70" s="526">
        <f t="shared" si="38"/>
        <v>0</v>
      </c>
      <c r="BF70" s="467"/>
      <c r="BG70" s="524">
        <f t="shared" ca="1" si="39"/>
        <v>0</v>
      </c>
      <c r="BH70" s="525">
        <f t="shared" ca="1" si="40"/>
        <v>0</v>
      </c>
      <c r="BI70" s="525">
        <f t="shared" ca="1" si="40"/>
        <v>0</v>
      </c>
      <c r="BJ70" s="525">
        <f t="shared" ca="1" si="40"/>
        <v>0</v>
      </c>
      <c r="BK70" s="526">
        <f t="shared" ca="1" si="40"/>
        <v>0</v>
      </c>
      <c r="BL70" s="524">
        <f t="shared" ca="1" si="40"/>
        <v>0</v>
      </c>
      <c r="BM70" s="525">
        <f t="shared" ca="1" si="40"/>
        <v>0</v>
      </c>
      <c r="BN70" s="525">
        <f t="shared" ca="1" si="40"/>
        <v>0</v>
      </c>
      <c r="BO70" s="525">
        <f t="shared" ca="1" si="40"/>
        <v>0</v>
      </c>
      <c r="BP70" s="526">
        <f t="shared" ca="1" si="40"/>
        <v>0</v>
      </c>
      <c r="BQ70" s="467"/>
      <c r="BR70" s="524">
        <f>+IF($K70="Ongoing",AV70,IF(RIGHT($K70,2)=RIGHT(BR$40,2),SUM($AV70:AV70),0)+IF(RIGHT(BR$40,2)&gt;RIGHT($K70,2),AV70,0))</f>
        <v>0.25</v>
      </c>
      <c r="BS70" s="525">
        <f>+IF($K70="Ongoing",AW70,IF(RIGHT($K70,2)=RIGHT(BS$40,2),SUM($AV70:AW70),0)+IF(RIGHT(BS$40,2)&gt;RIGHT($K70,2),AW70,0))</f>
        <v>0</v>
      </c>
      <c r="BT70" s="525">
        <f>+IF($K70="Ongoing",AX70,IF(RIGHT($K70,2)=RIGHT(BT$40,2),SUM($AV70:AX70),0)+IF(RIGHT(BT$40,2)&gt;RIGHT($K70,2),AX70,0))</f>
        <v>0</v>
      </c>
      <c r="BU70" s="525">
        <f>+IF($K70="Ongoing",AY70,IF(RIGHT($K70,2)=RIGHT(BU$40,2),SUM($AV70:AY70),0)+IF(RIGHT(BU$40,2)&gt;RIGHT($K70,2),AY70,0))</f>
        <v>0</v>
      </c>
      <c r="BV70" s="526">
        <f>+IF($K70="Ongoing",AZ70,IF(RIGHT($K70,2)=RIGHT(BV$40,2),SUM($AV70:AZ70),0)+IF(RIGHT(BV$40,2)&gt;RIGHT($K70,2),AZ70,0))</f>
        <v>0</v>
      </c>
      <c r="BW70" s="524">
        <f>+IF($K70="Ongoing",BA70,IF(RIGHT($K70,2)=RIGHT(BW$40,2),SUM($AV70:BA70),0)+IF(RIGHT(BW$40,2)&gt;RIGHT($K70,2),BA70,0))</f>
        <v>0</v>
      </c>
      <c r="BX70" s="525">
        <f>+IF($K70="Ongoing",BB70,IF(RIGHT($K70,2)=RIGHT(BX$40,2),SUM($AV70:BB70),0)+IF(RIGHT(BX$40,2)&gt;RIGHT($K70,2),BB70,0))</f>
        <v>0</v>
      </c>
      <c r="BY70" s="525">
        <f>+IF($K70="Ongoing",BC70,IF(RIGHT($K70,2)=RIGHT(BY$40,2),SUM($AV70:BC70),0)+IF(RIGHT(BY$40,2)&gt;RIGHT($K70,2),BC70,0))</f>
        <v>0</v>
      </c>
      <c r="BZ70" s="525">
        <f>+IF($K70="Ongoing",BD70,IF(RIGHT($K70,2)=RIGHT(BZ$40,2),SUM($AV70:BD70),0)+IF(RIGHT(BZ$40,2)&gt;RIGHT($K70,2),BD70,0))</f>
        <v>0</v>
      </c>
      <c r="CA70" s="526">
        <f>+IF($K70="Ongoing",BE70,IF(RIGHT($K70,2)=RIGHT(CA$40,2),SUM($AV70:BE70),0)+IF(RIGHT(CA$40,2)&gt;RIGHT($K70,2),BE70,0))</f>
        <v>0</v>
      </c>
      <c r="CB70" s="467"/>
      <c r="CC70" s="524">
        <f>+O70*KeyAssumptionsPriceControl_FO!AF$15</f>
        <v>0.25724999999999998</v>
      </c>
      <c r="CD70" s="525">
        <f>+P70*KeyAssumptionsPriceControl_FO!AG$15</f>
        <v>0</v>
      </c>
      <c r="CE70" s="525">
        <f>+Q70*KeyAssumptionsPriceControl_FO!AH$15</f>
        <v>0</v>
      </c>
      <c r="CF70" s="525">
        <f>+R70*KeyAssumptionsPriceControl_FO!AI$15</f>
        <v>0</v>
      </c>
      <c r="CG70" s="526">
        <f>+S70*KeyAssumptionsPriceControl_FO!AJ$15</f>
        <v>0</v>
      </c>
      <c r="CH70" s="524">
        <f>+T70*KeyAssumptionsPriceControl_FO!AK$15</f>
        <v>0</v>
      </c>
      <c r="CI70" s="525">
        <f>+U70*KeyAssumptionsPriceControl_FO!AL$15</f>
        <v>0</v>
      </c>
      <c r="CJ70" s="525">
        <f>+V70*KeyAssumptionsPriceControl_FO!AM$15</f>
        <v>0</v>
      </c>
      <c r="CK70" s="525">
        <f>+W70*KeyAssumptionsPriceControl_FO!AN$15</f>
        <v>0</v>
      </c>
      <c r="CL70" s="526">
        <f>+X70*KeyAssumptionsPriceControl_FO!AO$15</f>
        <v>0</v>
      </c>
      <c r="CM70" s="467"/>
      <c r="CN70" s="524">
        <f t="shared" ca="1" si="41"/>
        <v>0</v>
      </c>
      <c r="CO70" s="525">
        <f t="shared" ca="1" si="42"/>
        <v>0</v>
      </c>
      <c r="CP70" s="525">
        <f t="shared" ca="1" si="42"/>
        <v>0</v>
      </c>
      <c r="CQ70" s="525">
        <f t="shared" ca="1" si="42"/>
        <v>0</v>
      </c>
      <c r="CR70" s="526">
        <f t="shared" ca="1" si="42"/>
        <v>0</v>
      </c>
      <c r="CS70" s="524">
        <f t="shared" ca="1" si="42"/>
        <v>0</v>
      </c>
      <c r="CT70" s="525">
        <f t="shared" ca="1" si="42"/>
        <v>0</v>
      </c>
      <c r="CU70" s="525">
        <f t="shared" ca="1" si="42"/>
        <v>0</v>
      </c>
      <c r="CV70" s="525">
        <f t="shared" ca="1" si="42"/>
        <v>0</v>
      </c>
      <c r="CW70" s="526">
        <f t="shared" ca="1" si="42"/>
        <v>0</v>
      </c>
      <c r="CX70" s="467"/>
    </row>
    <row r="71" spans="2:102">
      <c r="B71" s="502"/>
      <c r="C71" s="1589" t="s">
        <v>1361</v>
      </c>
      <c r="D71" s="1590"/>
      <c r="E71" s="1591" t="s">
        <v>20</v>
      </c>
      <c r="F71" s="1591" t="s">
        <v>516</v>
      </c>
      <c r="G71" s="1589" t="s">
        <v>13</v>
      </c>
      <c r="H71" s="2226" t="s">
        <v>521</v>
      </c>
      <c r="I71" s="2227"/>
      <c r="J71" s="1592" t="s">
        <v>279</v>
      </c>
      <c r="K71" s="1593" t="s">
        <v>527</v>
      </c>
      <c r="L71" s="1593">
        <v>80</v>
      </c>
      <c r="M71" s="1593">
        <v>80</v>
      </c>
      <c r="N71" s="467"/>
      <c r="O71" s="551">
        <v>3.06</v>
      </c>
      <c r="P71" s="552">
        <v>0</v>
      </c>
      <c r="Q71" s="552">
        <v>0</v>
      </c>
      <c r="R71" s="552">
        <v>0</v>
      </c>
      <c r="S71" s="553">
        <v>0</v>
      </c>
      <c r="T71" s="551">
        <v>0</v>
      </c>
      <c r="U71" s="552">
        <v>0</v>
      </c>
      <c r="V71" s="552">
        <v>0</v>
      </c>
      <c r="W71" s="552">
        <v>0</v>
      </c>
      <c r="X71" s="553">
        <v>0</v>
      </c>
      <c r="Y71" s="547"/>
      <c r="Z71" s="551"/>
      <c r="AA71" s="552"/>
      <c r="AB71" s="552"/>
      <c r="AC71" s="552"/>
      <c r="AD71" s="553"/>
      <c r="AE71" s="551"/>
      <c r="AF71" s="552"/>
      <c r="AG71" s="552"/>
      <c r="AH71" s="552"/>
      <c r="AI71" s="553"/>
      <c r="AJ71" s="547"/>
      <c r="AK71" s="551"/>
      <c r="AL71" s="552"/>
      <c r="AM71" s="552"/>
      <c r="AN71" s="552"/>
      <c r="AO71" s="553"/>
      <c r="AP71" s="551"/>
      <c r="AQ71" s="552"/>
      <c r="AR71" s="552"/>
      <c r="AS71" s="552"/>
      <c r="AT71" s="553"/>
      <c r="AU71" s="467"/>
      <c r="AV71" s="524">
        <f t="shared" si="38"/>
        <v>3.06</v>
      </c>
      <c r="AW71" s="525">
        <f t="shared" si="38"/>
        <v>0</v>
      </c>
      <c r="AX71" s="525">
        <f t="shared" si="38"/>
        <v>0</v>
      </c>
      <c r="AY71" s="525">
        <f t="shared" si="38"/>
        <v>0</v>
      </c>
      <c r="AZ71" s="526">
        <f t="shared" si="38"/>
        <v>0</v>
      </c>
      <c r="BA71" s="524">
        <f t="shared" si="38"/>
        <v>0</v>
      </c>
      <c r="BB71" s="525">
        <f t="shared" si="38"/>
        <v>0</v>
      </c>
      <c r="BC71" s="525">
        <f t="shared" si="38"/>
        <v>0</v>
      </c>
      <c r="BD71" s="525">
        <f t="shared" si="38"/>
        <v>0</v>
      </c>
      <c r="BE71" s="526">
        <f t="shared" si="38"/>
        <v>0</v>
      </c>
      <c r="BF71" s="467"/>
      <c r="BG71" s="524">
        <f t="shared" ca="1" si="39"/>
        <v>1.9125E-2</v>
      </c>
      <c r="BH71" s="525">
        <f t="shared" ca="1" si="40"/>
        <v>3.8249999999999999E-2</v>
      </c>
      <c r="BI71" s="525">
        <f t="shared" ca="1" si="40"/>
        <v>3.8249999999999999E-2</v>
      </c>
      <c r="BJ71" s="525">
        <f t="shared" ca="1" si="40"/>
        <v>3.8249999999999999E-2</v>
      </c>
      <c r="BK71" s="526">
        <f t="shared" ca="1" si="40"/>
        <v>3.8249999999999999E-2</v>
      </c>
      <c r="BL71" s="524">
        <f t="shared" ca="1" si="40"/>
        <v>3.8249999999999999E-2</v>
      </c>
      <c r="BM71" s="525">
        <f t="shared" ca="1" si="40"/>
        <v>3.8249999999999999E-2</v>
      </c>
      <c r="BN71" s="525">
        <f t="shared" ca="1" si="40"/>
        <v>3.8249999999999999E-2</v>
      </c>
      <c r="BO71" s="525">
        <f t="shared" ca="1" si="40"/>
        <v>3.8249999999999999E-2</v>
      </c>
      <c r="BP71" s="526">
        <f t="shared" ca="1" si="40"/>
        <v>3.8249999999999999E-2</v>
      </c>
      <c r="BQ71" s="467"/>
      <c r="BR71" s="524">
        <f>+IF($K71="Ongoing",AV71,IF(RIGHT($K71,2)=RIGHT(BR$40,2),SUM($AV71:AV71),0)+IF(RIGHT(BR$40,2)&gt;RIGHT($K71,2),AV71,0))</f>
        <v>3.06</v>
      </c>
      <c r="BS71" s="525">
        <f>+IF($K71="Ongoing",AW71,IF(RIGHT($K71,2)=RIGHT(BS$40,2),SUM($AV71:AW71),0)+IF(RIGHT(BS$40,2)&gt;RIGHT($K71,2),AW71,0))</f>
        <v>0</v>
      </c>
      <c r="BT71" s="525">
        <f>+IF($K71="Ongoing",AX71,IF(RIGHT($K71,2)=RIGHT(BT$40,2),SUM($AV71:AX71),0)+IF(RIGHT(BT$40,2)&gt;RIGHT($K71,2),AX71,0))</f>
        <v>0</v>
      </c>
      <c r="BU71" s="525">
        <f>+IF($K71="Ongoing",AY71,IF(RIGHT($K71,2)=RIGHT(BU$40,2),SUM($AV71:AY71),0)+IF(RIGHT(BU$40,2)&gt;RIGHT($K71,2),AY71,0))</f>
        <v>0</v>
      </c>
      <c r="BV71" s="526">
        <f>+IF($K71="Ongoing",AZ71,IF(RIGHT($K71,2)=RIGHT(BV$40,2),SUM($AV71:AZ71),0)+IF(RIGHT(BV$40,2)&gt;RIGHT($K71,2),AZ71,0))</f>
        <v>0</v>
      </c>
      <c r="BW71" s="524">
        <f>+IF($K71="Ongoing",BA71,IF(RIGHT($K71,2)=RIGHT(BW$40,2),SUM($AV71:BA71),0)+IF(RIGHT(BW$40,2)&gt;RIGHT($K71,2),BA71,0))</f>
        <v>0</v>
      </c>
      <c r="BX71" s="525">
        <f>+IF($K71="Ongoing",BB71,IF(RIGHT($K71,2)=RIGHT(BX$40,2),SUM($AV71:BB71),0)+IF(RIGHT(BX$40,2)&gt;RIGHT($K71,2),BB71,0))</f>
        <v>0</v>
      </c>
      <c r="BY71" s="525">
        <f>+IF($K71="Ongoing",BC71,IF(RIGHT($K71,2)=RIGHT(BY$40,2),SUM($AV71:BC71),0)+IF(RIGHT(BY$40,2)&gt;RIGHT($K71,2),BC71,0))</f>
        <v>0</v>
      </c>
      <c r="BZ71" s="525">
        <f>+IF($K71="Ongoing",BD71,IF(RIGHT($K71,2)=RIGHT(BZ$40,2),SUM($AV71:BD71),0)+IF(RIGHT(BZ$40,2)&gt;RIGHT($K71,2),BD71,0))</f>
        <v>0</v>
      </c>
      <c r="CA71" s="526">
        <f>+IF($K71="Ongoing",BE71,IF(RIGHT($K71,2)=RIGHT(CA$40,2),SUM($AV71:BE71),0)+IF(RIGHT(CA$40,2)&gt;RIGHT($K71,2),BE71,0))</f>
        <v>0</v>
      </c>
      <c r="CB71" s="467"/>
      <c r="CC71" s="524">
        <f>+O71*KeyAssumptionsPriceControl_FO!AF$15</f>
        <v>3.1487399999999997</v>
      </c>
      <c r="CD71" s="525">
        <f>+P71*KeyAssumptionsPriceControl_FO!AG$15</f>
        <v>0</v>
      </c>
      <c r="CE71" s="525">
        <f>+Q71*KeyAssumptionsPriceControl_FO!AH$15</f>
        <v>0</v>
      </c>
      <c r="CF71" s="525">
        <f>+R71*KeyAssumptionsPriceControl_FO!AI$15</f>
        <v>0</v>
      </c>
      <c r="CG71" s="526">
        <f>+S71*KeyAssumptionsPriceControl_FO!AJ$15</f>
        <v>0</v>
      </c>
      <c r="CH71" s="524">
        <f>+T71*KeyAssumptionsPriceControl_FO!AK$15</f>
        <v>0</v>
      </c>
      <c r="CI71" s="525">
        <f>+U71*KeyAssumptionsPriceControl_FO!AL$15</f>
        <v>0</v>
      </c>
      <c r="CJ71" s="525">
        <f>+V71*KeyAssumptionsPriceControl_FO!AM$15</f>
        <v>0</v>
      </c>
      <c r="CK71" s="525">
        <f>+W71*KeyAssumptionsPriceControl_FO!AN$15</f>
        <v>0</v>
      </c>
      <c r="CL71" s="526">
        <f>+X71*KeyAssumptionsPriceControl_FO!AO$15</f>
        <v>0</v>
      </c>
      <c r="CM71" s="467"/>
      <c r="CN71" s="524">
        <f t="shared" ca="1" si="41"/>
        <v>1.9679624999999999E-2</v>
      </c>
      <c r="CO71" s="525">
        <f t="shared" ca="1" si="42"/>
        <v>3.9359249999999998E-2</v>
      </c>
      <c r="CP71" s="525">
        <f t="shared" ca="1" si="42"/>
        <v>3.9359249999999998E-2</v>
      </c>
      <c r="CQ71" s="525">
        <f t="shared" ca="1" si="42"/>
        <v>3.9359249999999998E-2</v>
      </c>
      <c r="CR71" s="526">
        <f t="shared" ca="1" si="42"/>
        <v>3.9359249999999998E-2</v>
      </c>
      <c r="CS71" s="524">
        <f t="shared" ca="1" si="42"/>
        <v>3.9359249999999998E-2</v>
      </c>
      <c r="CT71" s="525">
        <f t="shared" ca="1" si="42"/>
        <v>3.9359249999999998E-2</v>
      </c>
      <c r="CU71" s="525">
        <f t="shared" ca="1" si="42"/>
        <v>3.9359249999999998E-2</v>
      </c>
      <c r="CV71" s="525">
        <f t="shared" ca="1" si="42"/>
        <v>3.9359249999999998E-2</v>
      </c>
      <c r="CW71" s="526">
        <f t="shared" ca="1" si="42"/>
        <v>3.9359249999999998E-2</v>
      </c>
      <c r="CX71" s="467"/>
    </row>
    <row r="72" spans="2:102">
      <c r="B72" s="502"/>
      <c r="C72" s="1589" t="s">
        <v>1362</v>
      </c>
      <c r="D72" s="1590"/>
      <c r="E72" s="1591" t="s">
        <v>20</v>
      </c>
      <c r="F72" s="1591" t="s">
        <v>516</v>
      </c>
      <c r="G72" s="1589" t="s">
        <v>10</v>
      </c>
      <c r="H72" s="2226" t="s">
        <v>520</v>
      </c>
      <c r="I72" s="2227"/>
      <c r="J72" s="1592" t="s">
        <v>279</v>
      </c>
      <c r="K72" s="1593" t="s">
        <v>295</v>
      </c>
      <c r="L72" s="1593">
        <v>10</v>
      </c>
      <c r="M72" s="1593">
        <v>10</v>
      </c>
      <c r="N72" s="467"/>
      <c r="O72" s="551">
        <v>0.05</v>
      </c>
      <c r="P72" s="552">
        <v>0</v>
      </c>
      <c r="Q72" s="552">
        <v>0</v>
      </c>
      <c r="R72" s="552">
        <v>0</v>
      </c>
      <c r="S72" s="553">
        <v>0</v>
      </c>
      <c r="T72" s="551">
        <v>0.1</v>
      </c>
      <c r="U72" s="552">
        <v>0.1</v>
      </c>
      <c r="V72" s="552">
        <v>0.1</v>
      </c>
      <c r="W72" s="552">
        <v>0.1</v>
      </c>
      <c r="X72" s="553">
        <v>0.1</v>
      </c>
      <c r="Y72" s="547"/>
      <c r="Z72" s="551"/>
      <c r="AA72" s="552"/>
      <c r="AB72" s="552"/>
      <c r="AC72" s="552"/>
      <c r="AD72" s="553"/>
      <c r="AE72" s="551"/>
      <c r="AF72" s="552"/>
      <c r="AG72" s="552"/>
      <c r="AH72" s="552"/>
      <c r="AI72" s="553"/>
      <c r="AJ72" s="547"/>
      <c r="AK72" s="551"/>
      <c r="AL72" s="552"/>
      <c r="AM72" s="552"/>
      <c r="AN72" s="552"/>
      <c r="AO72" s="553"/>
      <c r="AP72" s="551"/>
      <c r="AQ72" s="552"/>
      <c r="AR72" s="552"/>
      <c r="AS72" s="552"/>
      <c r="AT72" s="553"/>
      <c r="AU72" s="467"/>
      <c r="AV72" s="524">
        <f t="shared" si="38"/>
        <v>0.05</v>
      </c>
      <c r="AW72" s="525">
        <f t="shared" si="38"/>
        <v>0</v>
      </c>
      <c r="AX72" s="525">
        <f t="shared" si="38"/>
        <v>0</v>
      </c>
      <c r="AY72" s="525">
        <f t="shared" si="38"/>
        <v>0</v>
      </c>
      <c r="AZ72" s="526">
        <f t="shared" si="38"/>
        <v>0</v>
      </c>
      <c r="BA72" s="524">
        <f t="shared" si="38"/>
        <v>0.1</v>
      </c>
      <c r="BB72" s="525">
        <f t="shared" si="38"/>
        <v>0.1</v>
      </c>
      <c r="BC72" s="525">
        <f t="shared" si="38"/>
        <v>0.1</v>
      </c>
      <c r="BD72" s="525">
        <f t="shared" si="38"/>
        <v>0.1</v>
      </c>
      <c r="BE72" s="526">
        <f t="shared" si="38"/>
        <v>0.1</v>
      </c>
      <c r="BF72" s="467"/>
      <c r="BG72" s="524">
        <f t="shared" ca="1" si="39"/>
        <v>2.5000000000000001E-3</v>
      </c>
      <c r="BH72" s="525">
        <f t="shared" ca="1" si="40"/>
        <v>5.0000000000000001E-3</v>
      </c>
      <c r="BI72" s="525">
        <f t="shared" ca="1" si="40"/>
        <v>5.0000000000000001E-3</v>
      </c>
      <c r="BJ72" s="525">
        <f t="shared" ca="1" si="40"/>
        <v>5.0000000000000001E-3</v>
      </c>
      <c r="BK72" s="526">
        <f t="shared" ca="1" si="40"/>
        <v>5.0000000000000001E-3</v>
      </c>
      <c r="BL72" s="524">
        <f t="shared" ca="1" si="40"/>
        <v>0.01</v>
      </c>
      <c r="BM72" s="525">
        <f t="shared" ca="1" si="40"/>
        <v>2.0000000000000004E-2</v>
      </c>
      <c r="BN72" s="525">
        <f t="shared" ca="1" si="40"/>
        <v>3.0000000000000002E-2</v>
      </c>
      <c r="BO72" s="525">
        <f t="shared" ca="1" si="40"/>
        <v>3.9999999999999994E-2</v>
      </c>
      <c r="BP72" s="526">
        <f t="shared" ca="1" si="40"/>
        <v>4.9999999999999996E-2</v>
      </c>
      <c r="BQ72" s="467"/>
      <c r="BR72" s="524">
        <f>+IF($K72="Ongoing",AV72,IF(RIGHT($K72,2)=RIGHT(BR$40,2),SUM($AV72:AV72),0)+IF(RIGHT(BR$40,2)&gt;RIGHT($K72,2),AV72,0))</f>
        <v>0.05</v>
      </c>
      <c r="BS72" s="525">
        <f>+IF($K72="Ongoing",AW72,IF(RIGHT($K72,2)=RIGHT(BS$40,2),SUM($AV72:AW72),0)+IF(RIGHT(BS$40,2)&gt;RIGHT($K72,2),AW72,0))</f>
        <v>0</v>
      </c>
      <c r="BT72" s="525">
        <f>+IF($K72="Ongoing",AX72,IF(RIGHT($K72,2)=RIGHT(BT$40,2),SUM($AV72:AX72),0)+IF(RIGHT(BT$40,2)&gt;RIGHT($K72,2),AX72,0))</f>
        <v>0</v>
      </c>
      <c r="BU72" s="525">
        <f>+IF($K72="Ongoing",AY72,IF(RIGHT($K72,2)=RIGHT(BU$40,2),SUM($AV72:AY72),0)+IF(RIGHT(BU$40,2)&gt;RIGHT($K72,2),AY72,0))</f>
        <v>0</v>
      </c>
      <c r="BV72" s="526">
        <f>+IF($K72="Ongoing",AZ72,IF(RIGHT($K72,2)=RIGHT(BV$40,2),SUM($AV72:AZ72),0)+IF(RIGHT(BV$40,2)&gt;RIGHT($K72,2),AZ72,0))</f>
        <v>0</v>
      </c>
      <c r="BW72" s="524">
        <f>+IF($K72="Ongoing",BA72,IF(RIGHT($K72,2)=RIGHT(BW$40,2),SUM($AV72:BA72),0)+IF(RIGHT(BW$40,2)&gt;RIGHT($K72,2),BA72,0))</f>
        <v>0.1</v>
      </c>
      <c r="BX72" s="525">
        <f>+IF($K72="Ongoing",BB72,IF(RIGHT($K72,2)=RIGHT(BX$40,2),SUM($AV72:BB72),0)+IF(RIGHT(BX$40,2)&gt;RIGHT($K72,2),BB72,0))</f>
        <v>0.1</v>
      </c>
      <c r="BY72" s="525">
        <f>+IF($K72="Ongoing",BC72,IF(RIGHT($K72,2)=RIGHT(BY$40,2),SUM($AV72:BC72),0)+IF(RIGHT(BY$40,2)&gt;RIGHT($K72,2),BC72,0))</f>
        <v>0.1</v>
      </c>
      <c r="BZ72" s="525">
        <f>+IF($K72="Ongoing",BD72,IF(RIGHT($K72,2)=RIGHT(BZ$40,2),SUM($AV72:BD72),0)+IF(RIGHT(BZ$40,2)&gt;RIGHT($K72,2),BD72,0))</f>
        <v>0.1</v>
      </c>
      <c r="CA72" s="526">
        <f>+IF($K72="Ongoing",BE72,IF(RIGHT($K72,2)=RIGHT(CA$40,2),SUM($AV72:BE72),0)+IF(RIGHT(CA$40,2)&gt;RIGHT($K72,2),BE72,0))</f>
        <v>0.1</v>
      </c>
      <c r="CB72" s="467"/>
      <c r="CC72" s="524">
        <f>+O72*KeyAssumptionsPriceControl_FO!AF$15</f>
        <v>5.1449999999999996E-2</v>
      </c>
      <c r="CD72" s="525">
        <f>+P72*KeyAssumptionsPriceControl_FO!AG$15</f>
        <v>0</v>
      </c>
      <c r="CE72" s="525">
        <f>+Q72*KeyAssumptionsPriceControl_FO!AH$15</f>
        <v>0</v>
      </c>
      <c r="CF72" s="525">
        <f>+R72*KeyAssumptionsPriceControl_FO!AI$15</f>
        <v>0</v>
      </c>
      <c r="CG72" s="526">
        <f>+S72*KeyAssumptionsPriceControl_FO!AJ$15</f>
        <v>0</v>
      </c>
      <c r="CH72" s="524">
        <f>+T72*KeyAssumptionsPriceControl_FO!AK$15</f>
        <v>0.1187113512876717</v>
      </c>
      <c r="CI72" s="525">
        <f>+U72*KeyAssumptionsPriceControl_FO!AL$15</f>
        <v>0.12215398047501416</v>
      </c>
      <c r="CJ72" s="525">
        <f>+V72*KeyAssumptionsPriceControl_FO!AM$15</f>
        <v>0.12569644590878956</v>
      </c>
      <c r="CK72" s="525">
        <f>+W72*KeyAssumptionsPriceControl_FO!AN$15</f>
        <v>0.12934164284014446</v>
      </c>
      <c r="CL72" s="526">
        <f>+X72*KeyAssumptionsPriceControl_FO!AO$15</f>
        <v>0.13309255048250865</v>
      </c>
      <c r="CM72" s="467"/>
      <c r="CN72" s="524">
        <f t="shared" ca="1" si="41"/>
        <v>2.5724999999999997E-3</v>
      </c>
      <c r="CO72" s="525">
        <f t="shared" ca="1" si="42"/>
        <v>5.1449999999999994E-3</v>
      </c>
      <c r="CP72" s="525">
        <f t="shared" ca="1" si="42"/>
        <v>5.1449999999999994E-3</v>
      </c>
      <c r="CQ72" s="525">
        <f t="shared" ca="1" si="42"/>
        <v>5.1449999999999994E-3</v>
      </c>
      <c r="CR72" s="526">
        <f t="shared" ca="1" si="42"/>
        <v>5.1449999999999994E-3</v>
      </c>
      <c r="CS72" s="524">
        <f t="shared" ca="1" si="42"/>
        <v>1.1080567564383585E-2</v>
      </c>
      <c r="CT72" s="525">
        <f t="shared" ca="1" si="42"/>
        <v>2.3123834152517876E-2</v>
      </c>
      <c r="CU72" s="525">
        <f t="shared" ca="1" si="42"/>
        <v>3.5516355471708068E-2</v>
      </c>
      <c r="CV72" s="525">
        <f t="shared" ca="1" si="42"/>
        <v>4.8268259909154773E-2</v>
      </c>
      <c r="CW72" s="526">
        <f t="shared" ca="1" si="42"/>
        <v>6.1389969575287431E-2</v>
      </c>
      <c r="CX72" s="467"/>
    </row>
    <row r="73" spans="2:102">
      <c r="B73" s="502"/>
      <c r="C73" s="1589" t="s">
        <v>1363</v>
      </c>
      <c r="D73" s="1590"/>
      <c r="E73" s="1591" t="s">
        <v>20</v>
      </c>
      <c r="F73" s="1591" t="s">
        <v>516</v>
      </c>
      <c r="G73" s="1589" t="s">
        <v>10</v>
      </c>
      <c r="H73" s="2226" t="s">
        <v>520</v>
      </c>
      <c r="I73" s="2227"/>
      <c r="J73" s="1592" t="s">
        <v>279</v>
      </c>
      <c r="K73" s="1593" t="s">
        <v>295</v>
      </c>
      <c r="L73" s="1593">
        <v>10</v>
      </c>
      <c r="M73" s="1593">
        <v>10</v>
      </c>
      <c r="N73" s="467"/>
      <c r="O73" s="551">
        <v>0</v>
      </c>
      <c r="P73" s="552">
        <v>0</v>
      </c>
      <c r="Q73" s="552">
        <v>0</v>
      </c>
      <c r="R73" s="552">
        <v>0</v>
      </c>
      <c r="S73" s="553">
        <v>0</v>
      </c>
      <c r="T73" s="551">
        <v>0.25</v>
      </c>
      <c r="U73" s="552">
        <v>0.25</v>
      </c>
      <c r="V73" s="552">
        <v>0.25</v>
      </c>
      <c r="W73" s="552">
        <v>0.25</v>
      </c>
      <c r="X73" s="553">
        <v>0.25</v>
      </c>
      <c r="Y73" s="547"/>
      <c r="Z73" s="551"/>
      <c r="AA73" s="552"/>
      <c r="AB73" s="552"/>
      <c r="AC73" s="552"/>
      <c r="AD73" s="553"/>
      <c r="AE73" s="551"/>
      <c r="AF73" s="552"/>
      <c r="AG73" s="552"/>
      <c r="AH73" s="552"/>
      <c r="AI73" s="553"/>
      <c r="AJ73" s="547"/>
      <c r="AK73" s="551"/>
      <c r="AL73" s="552"/>
      <c r="AM73" s="552"/>
      <c r="AN73" s="552"/>
      <c r="AO73" s="553"/>
      <c r="AP73" s="551"/>
      <c r="AQ73" s="552"/>
      <c r="AR73" s="552"/>
      <c r="AS73" s="552"/>
      <c r="AT73" s="553"/>
      <c r="AU73" s="467"/>
      <c r="AV73" s="524">
        <f t="shared" si="38"/>
        <v>0</v>
      </c>
      <c r="AW73" s="525">
        <f t="shared" si="38"/>
        <v>0</v>
      </c>
      <c r="AX73" s="525">
        <f t="shared" si="38"/>
        <v>0</v>
      </c>
      <c r="AY73" s="525">
        <f t="shared" si="38"/>
        <v>0</v>
      </c>
      <c r="AZ73" s="526">
        <f t="shared" si="38"/>
        <v>0</v>
      </c>
      <c r="BA73" s="524">
        <f t="shared" si="38"/>
        <v>0.25</v>
      </c>
      <c r="BB73" s="525">
        <f t="shared" si="38"/>
        <v>0.25</v>
      </c>
      <c r="BC73" s="525">
        <f t="shared" si="38"/>
        <v>0.25</v>
      </c>
      <c r="BD73" s="525">
        <f t="shared" si="38"/>
        <v>0.25</v>
      </c>
      <c r="BE73" s="526">
        <f t="shared" si="38"/>
        <v>0.25</v>
      </c>
      <c r="BF73" s="467"/>
      <c r="BG73" s="524">
        <f t="shared" ca="1" si="39"/>
        <v>0</v>
      </c>
      <c r="BH73" s="525">
        <f t="shared" ca="1" si="40"/>
        <v>0</v>
      </c>
      <c r="BI73" s="525">
        <f t="shared" ca="1" si="40"/>
        <v>0</v>
      </c>
      <c r="BJ73" s="525">
        <f t="shared" ca="1" si="40"/>
        <v>0</v>
      </c>
      <c r="BK73" s="526">
        <f t="shared" ca="1" si="40"/>
        <v>0</v>
      </c>
      <c r="BL73" s="524">
        <f t="shared" ca="1" si="40"/>
        <v>1.2500000000000001E-2</v>
      </c>
      <c r="BM73" s="525">
        <f t="shared" ca="1" si="40"/>
        <v>3.7500000000000006E-2</v>
      </c>
      <c r="BN73" s="525">
        <f t="shared" ca="1" si="40"/>
        <v>6.25E-2</v>
      </c>
      <c r="BO73" s="525">
        <f t="shared" ca="1" si="40"/>
        <v>8.7499999999999994E-2</v>
      </c>
      <c r="BP73" s="526">
        <f t="shared" ca="1" si="40"/>
        <v>0.1125</v>
      </c>
      <c r="BQ73" s="467"/>
      <c r="BR73" s="524">
        <f>+IF($K73="Ongoing",AV73,IF(RIGHT($K73,2)=RIGHT(BR$40,2),SUM($AV73:AV73),0)+IF(RIGHT(BR$40,2)&gt;RIGHT($K73,2),AV73,0))</f>
        <v>0</v>
      </c>
      <c r="BS73" s="525">
        <f>+IF($K73="Ongoing",AW73,IF(RIGHT($K73,2)=RIGHT(BS$40,2),SUM($AV73:AW73),0)+IF(RIGHT(BS$40,2)&gt;RIGHT($K73,2),AW73,0))</f>
        <v>0</v>
      </c>
      <c r="BT73" s="525">
        <f>+IF($K73="Ongoing",AX73,IF(RIGHT($K73,2)=RIGHT(BT$40,2),SUM($AV73:AX73),0)+IF(RIGHT(BT$40,2)&gt;RIGHT($K73,2),AX73,0))</f>
        <v>0</v>
      </c>
      <c r="BU73" s="525">
        <f>+IF($K73="Ongoing",AY73,IF(RIGHT($K73,2)=RIGHT(BU$40,2),SUM($AV73:AY73),0)+IF(RIGHT(BU$40,2)&gt;RIGHT($K73,2),AY73,0))</f>
        <v>0</v>
      </c>
      <c r="BV73" s="526">
        <f>+IF($K73="Ongoing",AZ73,IF(RIGHT($K73,2)=RIGHT(BV$40,2),SUM($AV73:AZ73),0)+IF(RIGHT(BV$40,2)&gt;RIGHT($K73,2),AZ73,0))</f>
        <v>0</v>
      </c>
      <c r="BW73" s="524">
        <f>+IF($K73="Ongoing",BA73,IF(RIGHT($K73,2)=RIGHT(BW$40,2),SUM($AV73:BA73),0)+IF(RIGHT(BW$40,2)&gt;RIGHT($K73,2),BA73,0))</f>
        <v>0.25</v>
      </c>
      <c r="BX73" s="525">
        <f>+IF($K73="Ongoing",BB73,IF(RIGHT($K73,2)=RIGHT(BX$40,2),SUM($AV73:BB73),0)+IF(RIGHT(BX$40,2)&gt;RIGHT($K73,2),BB73,0))</f>
        <v>0.25</v>
      </c>
      <c r="BY73" s="525">
        <f>+IF($K73="Ongoing",BC73,IF(RIGHT($K73,2)=RIGHT(BY$40,2),SUM($AV73:BC73),0)+IF(RIGHT(BY$40,2)&gt;RIGHT($K73,2),BC73,0))</f>
        <v>0.25</v>
      </c>
      <c r="BZ73" s="525">
        <f>+IF($K73="Ongoing",BD73,IF(RIGHT($K73,2)=RIGHT(BZ$40,2),SUM($AV73:BD73),0)+IF(RIGHT(BZ$40,2)&gt;RIGHT($K73,2),BD73,0))</f>
        <v>0.25</v>
      </c>
      <c r="CA73" s="526">
        <f>+IF($K73="Ongoing",BE73,IF(RIGHT($K73,2)=RIGHT(CA$40,2),SUM($AV73:BE73),0)+IF(RIGHT(CA$40,2)&gt;RIGHT($K73,2),BE73,0))</f>
        <v>0.25</v>
      </c>
      <c r="CB73" s="467"/>
      <c r="CC73" s="524">
        <f>+O73*KeyAssumptionsPriceControl_FO!AF$15</f>
        <v>0</v>
      </c>
      <c r="CD73" s="525">
        <f>+P73*KeyAssumptionsPriceControl_FO!AG$15</f>
        <v>0</v>
      </c>
      <c r="CE73" s="525">
        <f>+Q73*KeyAssumptionsPriceControl_FO!AH$15</f>
        <v>0</v>
      </c>
      <c r="CF73" s="525">
        <f>+R73*KeyAssumptionsPriceControl_FO!AI$15</f>
        <v>0</v>
      </c>
      <c r="CG73" s="526">
        <f>+S73*KeyAssumptionsPriceControl_FO!AJ$15</f>
        <v>0</v>
      </c>
      <c r="CH73" s="524">
        <f>+T73*KeyAssumptionsPriceControl_FO!AK$15</f>
        <v>0.29677837821917924</v>
      </c>
      <c r="CI73" s="525">
        <f>+U73*KeyAssumptionsPriceControl_FO!AL$15</f>
        <v>0.30538495118753539</v>
      </c>
      <c r="CJ73" s="525">
        <f>+V73*KeyAssumptionsPriceControl_FO!AM$15</f>
        <v>0.31424111477197392</v>
      </c>
      <c r="CK73" s="525">
        <f>+W73*KeyAssumptionsPriceControl_FO!AN$15</f>
        <v>0.32335410710036111</v>
      </c>
      <c r="CL73" s="526">
        <f>+X73*KeyAssumptionsPriceControl_FO!AO$15</f>
        <v>0.33273137620627158</v>
      </c>
      <c r="CM73" s="467"/>
      <c r="CN73" s="524">
        <f t="shared" ca="1" si="41"/>
        <v>0</v>
      </c>
      <c r="CO73" s="525">
        <f t="shared" ca="1" si="42"/>
        <v>0</v>
      </c>
      <c r="CP73" s="525">
        <f t="shared" ca="1" si="42"/>
        <v>0</v>
      </c>
      <c r="CQ73" s="525">
        <f t="shared" ca="1" si="42"/>
        <v>0</v>
      </c>
      <c r="CR73" s="526">
        <f t="shared" ca="1" si="42"/>
        <v>0</v>
      </c>
      <c r="CS73" s="524">
        <f t="shared" ca="1" si="42"/>
        <v>1.4838918910958962E-2</v>
      </c>
      <c r="CT73" s="525">
        <f t="shared" ca="1" si="42"/>
        <v>4.4947085381294695E-2</v>
      </c>
      <c r="CU73" s="525">
        <f t="shared" ca="1" si="42"/>
        <v>7.5928388679270153E-2</v>
      </c>
      <c r="CV73" s="525">
        <f t="shared" ca="1" si="42"/>
        <v>0.10780814977288691</v>
      </c>
      <c r="CW73" s="526">
        <f t="shared" ca="1" si="42"/>
        <v>0.14061242393821854</v>
      </c>
      <c r="CX73" s="467"/>
    </row>
    <row r="74" spans="2:102">
      <c r="B74" s="502"/>
      <c r="C74" s="1589" t="s">
        <v>1364</v>
      </c>
      <c r="D74" s="1590"/>
      <c r="E74" s="1591" t="s">
        <v>20</v>
      </c>
      <c r="F74" s="1591" t="s">
        <v>12</v>
      </c>
      <c r="G74" s="1589" t="s">
        <v>14</v>
      </c>
      <c r="H74" s="2226" t="s">
        <v>520</v>
      </c>
      <c r="I74" s="2227"/>
      <c r="J74" s="1592" t="s">
        <v>279</v>
      </c>
      <c r="K74" s="1593" t="s">
        <v>295</v>
      </c>
      <c r="L74" s="1593">
        <v>80</v>
      </c>
      <c r="M74" s="1593">
        <v>80</v>
      </c>
      <c r="N74" s="467"/>
      <c r="O74" s="551">
        <v>0.34303</v>
      </c>
      <c r="P74" s="552">
        <v>0.1</v>
      </c>
      <c r="Q74" s="552">
        <v>0.1</v>
      </c>
      <c r="R74" s="552">
        <v>0.1</v>
      </c>
      <c r="S74" s="553">
        <v>0.1</v>
      </c>
      <c r="T74" s="551">
        <v>0.1</v>
      </c>
      <c r="U74" s="552">
        <v>0.1</v>
      </c>
      <c r="V74" s="552">
        <v>0.1</v>
      </c>
      <c r="W74" s="552">
        <v>0.1</v>
      </c>
      <c r="X74" s="553">
        <v>0.1</v>
      </c>
      <c r="Y74" s="547"/>
      <c r="Z74" s="551"/>
      <c r="AA74" s="552"/>
      <c r="AB74" s="552"/>
      <c r="AC74" s="552"/>
      <c r="AD74" s="553"/>
      <c r="AE74" s="551"/>
      <c r="AF74" s="552"/>
      <c r="AG74" s="552"/>
      <c r="AH74" s="552"/>
      <c r="AI74" s="553"/>
      <c r="AJ74" s="547"/>
      <c r="AK74" s="551"/>
      <c r="AL74" s="552"/>
      <c r="AM74" s="552"/>
      <c r="AN74" s="552"/>
      <c r="AO74" s="553"/>
      <c r="AP74" s="551"/>
      <c r="AQ74" s="552"/>
      <c r="AR74" s="552"/>
      <c r="AS74" s="552"/>
      <c r="AT74" s="553"/>
      <c r="AU74" s="467"/>
      <c r="AV74" s="524">
        <f t="shared" si="38"/>
        <v>0.34303</v>
      </c>
      <c r="AW74" s="525">
        <f t="shared" si="38"/>
        <v>0.1</v>
      </c>
      <c r="AX74" s="525">
        <f t="shared" si="38"/>
        <v>0.1</v>
      </c>
      <c r="AY74" s="525">
        <f t="shared" si="38"/>
        <v>0.1</v>
      </c>
      <c r="AZ74" s="526">
        <f t="shared" si="38"/>
        <v>0.1</v>
      </c>
      <c r="BA74" s="524">
        <f t="shared" si="38"/>
        <v>0.1</v>
      </c>
      <c r="BB74" s="525">
        <f t="shared" si="38"/>
        <v>0.1</v>
      </c>
      <c r="BC74" s="525">
        <f t="shared" si="38"/>
        <v>0.1</v>
      </c>
      <c r="BD74" s="525">
        <f t="shared" si="38"/>
        <v>0.1</v>
      </c>
      <c r="BE74" s="526">
        <f t="shared" si="38"/>
        <v>0.1</v>
      </c>
      <c r="BF74" s="467"/>
      <c r="BG74" s="524">
        <f t="shared" ca="1" si="39"/>
        <v>2.1439375E-3</v>
      </c>
      <c r="BH74" s="525">
        <f t="shared" ca="1" si="40"/>
        <v>4.9128749999999997E-3</v>
      </c>
      <c r="BI74" s="525">
        <f t="shared" ca="1" si="40"/>
        <v>6.162875E-3</v>
      </c>
      <c r="BJ74" s="525">
        <f t="shared" ca="1" si="40"/>
        <v>7.4128750000000002E-3</v>
      </c>
      <c r="BK74" s="526">
        <f t="shared" ca="1" si="40"/>
        <v>8.6628750000000004E-3</v>
      </c>
      <c r="BL74" s="524">
        <f t="shared" ca="1" si="40"/>
        <v>9.9128749999999998E-3</v>
      </c>
      <c r="BM74" s="525">
        <f t="shared" ca="1" si="40"/>
        <v>1.1162874999999999E-2</v>
      </c>
      <c r="BN74" s="525">
        <f t="shared" ca="1" si="40"/>
        <v>1.2412875E-2</v>
      </c>
      <c r="BO74" s="525">
        <f t="shared" ca="1" si="40"/>
        <v>1.3662875E-2</v>
      </c>
      <c r="BP74" s="526">
        <f t="shared" ca="1" si="40"/>
        <v>1.4912875000000001E-2</v>
      </c>
      <c r="BQ74" s="467"/>
      <c r="BR74" s="524">
        <f>+IF($K74="Ongoing",AV74,IF(RIGHT($K74,2)=RIGHT(BR$40,2),SUM($AV74:AV74),0)+IF(RIGHT(BR$40,2)&gt;RIGHT($K74,2),AV74,0))</f>
        <v>0.34303</v>
      </c>
      <c r="BS74" s="525">
        <f>+IF($K74="Ongoing",AW74,IF(RIGHT($K74,2)=RIGHT(BS$40,2),SUM($AV74:AW74),0)+IF(RIGHT(BS$40,2)&gt;RIGHT($K74,2),AW74,0))</f>
        <v>0.1</v>
      </c>
      <c r="BT74" s="525">
        <f>+IF($K74="Ongoing",AX74,IF(RIGHT($K74,2)=RIGHT(BT$40,2),SUM($AV74:AX74),0)+IF(RIGHT(BT$40,2)&gt;RIGHT($K74,2),AX74,0))</f>
        <v>0.1</v>
      </c>
      <c r="BU74" s="525">
        <f>+IF($K74="Ongoing",AY74,IF(RIGHT($K74,2)=RIGHT(BU$40,2),SUM($AV74:AY74),0)+IF(RIGHT(BU$40,2)&gt;RIGHT($K74,2),AY74,0))</f>
        <v>0.1</v>
      </c>
      <c r="BV74" s="526">
        <f>+IF($K74="Ongoing",AZ74,IF(RIGHT($K74,2)=RIGHT(BV$40,2),SUM($AV74:AZ74),0)+IF(RIGHT(BV$40,2)&gt;RIGHT($K74,2),AZ74,0))</f>
        <v>0.1</v>
      </c>
      <c r="BW74" s="524">
        <f>+IF($K74="Ongoing",BA74,IF(RIGHT($K74,2)=RIGHT(BW$40,2),SUM($AV74:BA74),0)+IF(RIGHT(BW$40,2)&gt;RIGHT($K74,2),BA74,0))</f>
        <v>0.1</v>
      </c>
      <c r="BX74" s="525">
        <f>+IF($K74="Ongoing",BB74,IF(RIGHT($K74,2)=RIGHT(BX$40,2),SUM($AV74:BB74),0)+IF(RIGHT(BX$40,2)&gt;RIGHT($K74,2),BB74,0))</f>
        <v>0.1</v>
      </c>
      <c r="BY74" s="525">
        <f>+IF($K74="Ongoing",BC74,IF(RIGHT($K74,2)=RIGHT(BY$40,2),SUM($AV74:BC74),0)+IF(RIGHT(BY$40,2)&gt;RIGHT($K74,2),BC74,0))</f>
        <v>0.1</v>
      </c>
      <c r="BZ74" s="525">
        <f>+IF($K74="Ongoing",BD74,IF(RIGHT($K74,2)=RIGHT(BZ$40,2),SUM($AV74:BD74),0)+IF(RIGHT(BZ$40,2)&gt;RIGHT($K74,2),BD74,0))</f>
        <v>0.1</v>
      </c>
      <c r="CA74" s="526">
        <f>+IF($K74="Ongoing",BE74,IF(RIGHT($K74,2)=RIGHT(CA$40,2),SUM($AV74:BE74),0)+IF(RIGHT(CA$40,2)&gt;RIGHT($K74,2),BE74,0))</f>
        <v>0.1</v>
      </c>
      <c r="CB74" s="467"/>
      <c r="CC74" s="524">
        <f>+O74*KeyAssumptionsPriceControl_FO!AF$15</f>
        <v>0.35297786999999997</v>
      </c>
      <c r="CD74" s="525">
        <f>+P74*KeyAssumptionsPriceControl_FO!AG$15</f>
        <v>0.10588409999999999</v>
      </c>
      <c r="CE74" s="525">
        <f>+Q74*KeyAssumptionsPriceControl_FO!AH$15</f>
        <v>0.10895473889999999</v>
      </c>
      <c r="CF74" s="525">
        <f>+R74*KeyAssumptionsPriceControl_FO!AI$15</f>
        <v>0.11211442632809998</v>
      </c>
      <c r="CG74" s="526">
        <f>+S74*KeyAssumptionsPriceControl_FO!AJ$15</f>
        <v>0.11536574469161487</v>
      </c>
      <c r="CH74" s="524">
        <f>+T74*KeyAssumptionsPriceControl_FO!AK$15</f>
        <v>0.1187113512876717</v>
      </c>
      <c r="CI74" s="525">
        <f>+U74*KeyAssumptionsPriceControl_FO!AL$15</f>
        <v>0.12215398047501416</v>
      </c>
      <c r="CJ74" s="525">
        <f>+V74*KeyAssumptionsPriceControl_FO!AM$15</f>
        <v>0.12569644590878956</v>
      </c>
      <c r="CK74" s="525">
        <f>+W74*KeyAssumptionsPriceControl_FO!AN$15</f>
        <v>0.12934164284014446</v>
      </c>
      <c r="CL74" s="526">
        <f>+X74*KeyAssumptionsPriceControl_FO!AO$15</f>
        <v>0.13309255048250865</v>
      </c>
      <c r="CM74" s="467"/>
      <c r="CN74" s="524">
        <f t="shared" ca="1" si="41"/>
        <v>2.2061116874999998E-3</v>
      </c>
      <c r="CO74" s="525">
        <f t="shared" ca="1" si="42"/>
        <v>5.0739989999999992E-3</v>
      </c>
      <c r="CP74" s="525">
        <f t="shared" ca="1" si="42"/>
        <v>6.4167417431249991E-3</v>
      </c>
      <c r="CQ74" s="525">
        <f t="shared" ca="1" si="42"/>
        <v>7.7984240258006238E-3</v>
      </c>
      <c r="CR74" s="526">
        <f t="shared" ca="1" si="42"/>
        <v>9.2201750946738405E-3</v>
      </c>
      <c r="CS74" s="524">
        <f t="shared" ca="1" si="42"/>
        <v>1.0683156944544383E-2</v>
      </c>
      <c r="CT74" s="525">
        <f t="shared" ca="1" si="42"/>
        <v>1.2188565268061169E-2</v>
      </c>
      <c r="CU74" s="525">
        <f t="shared" ca="1" si="42"/>
        <v>1.3737630432959943E-2</v>
      </c>
      <c r="CV74" s="525">
        <f t="shared" ca="1" si="42"/>
        <v>1.533161848764078E-2</v>
      </c>
      <c r="CW74" s="526">
        <f t="shared" ca="1" si="42"/>
        <v>1.6971832195907362E-2</v>
      </c>
      <c r="CX74" s="467"/>
    </row>
    <row r="75" spans="2:102">
      <c r="B75" s="502"/>
      <c r="C75" s="1589" t="s">
        <v>1365</v>
      </c>
      <c r="D75" s="1590"/>
      <c r="E75" s="1591" t="s">
        <v>20</v>
      </c>
      <c r="F75" s="1591" t="s">
        <v>516</v>
      </c>
      <c r="G75" s="1589" t="s">
        <v>14</v>
      </c>
      <c r="H75" s="2226" t="s">
        <v>520</v>
      </c>
      <c r="I75" s="2227"/>
      <c r="J75" s="1592" t="s">
        <v>279</v>
      </c>
      <c r="K75" s="1593" t="s">
        <v>963</v>
      </c>
      <c r="L75" s="1593">
        <v>10</v>
      </c>
      <c r="M75" s="1593">
        <v>10</v>
      </c>
      <c r="N75" s="467"/>
      <c r="O75" s="551">
        <v>0.151</v>
      </c>
      <c r="P75" s="552">
        <v>0.25669999999999998</v>
      </c>
      <c r="Q75" s="552">
        <v>0.30199999999999999</v>
      </c>
      <c r="R75" s="552">
        <v>0</v>
      </c>
      <c r="S75" s="553">
        <v>0</v>
      </c>
      <c r="T75" s="551">
        <v>0</v>
      </c>
      <c r="U75" s="552">
        <v>0</v>
      </c>
      <c r="V75" s="552">
        <v>0</v>
      </c>
      <c r="W75" s="552">
        <v>0</v>
      </c>
      <c r="X75" s="553">
        <v>0</v>
      </c>
      <c r="Y75" s="547"/>
      <c r="Z75" s="551"/>
      <c r="AA75" s="552"/>
      <c r="AB75" s="552"/>
      <c r="AC75" s="552"/>
      <c r="AD75" s="553"/>
      <c r="AE75" s="551"/>
      <c r="AF75" s="552"/>
      <c r="AG75" s="552"/>
      <c r="AH75" s="552"/>
      <c r="AI75" s="553"/>
      <c r="AJ75" s="547"/>
      <c r="AK75" s="551"/>
      <c r="AL75" s="552"/>
      <c r="AM75" s="552"/>
      <c r="AN75" s="552"/>
      <c r="AO75" s="553"/>
      <c r="AP75" s="551"/>
      <c r="AQ75" s="552"/>
      <c r="AR75" s="552"/>
      <c r="AS75" s="552"/>
      <c r="AT75" s="553"/>
      <c r="AU75" s="467"/>
      <c r="AV75" s="524">
        <f t="shared" si="38"/>
        <v>0.151</v>
      </c>
      <c r="AW75" s="525">
        <f t="shared" si="38"/>
        <v>0.25669999999999998</v>
      </c>
      <c r="AX75" s="525">
        <f t="shared" si="38"/>
        <v>0.30199999999999999</v>
      </c>
      <c r="AY75" s="525">
        <f t="shared" si="38"/>
        <v>0</v>
      </c>
      <c r="AZ75" s="526">
        <f t="shared" si="38"/>
        <v>0</v>
      </c>
      <c r="BA75" s="524">
        <f t="shared" si="38"/>
        <v>0</v>
      </c>
      <c r="BB75" s="525">
        <f t="shared" si="38"/>
        <v>0</v>
      </c>
      <c r="BC75" s="525">
        <f t="shared" si="38"/>
        <v>0</v>
      </c>
      <c r="BD75" s="525">
        <f t="shared" si="38"/>
        <v>0</v>
      </c>
      <c r="BE75" s="526">
        <f t="shared" si="38"/>
        <v>0</v>
      </c>
      <c r="BF75" s="467"/>
      <c r="BG75" s="524">
        <f t="shared" ca="1" si="39"/>
        <v>0</v>
      </c>
      <c r="BH75" s="525">
        <f t="shared" ca="1" si="40"/>
        <v>0</v>
      </c>
      <c r="BI75" s="525">
        <f t="shared" ca="1" si="40"/>
        <v>3.5485000000000003E-2</v>
      </c>
      <c r="BJ75" s="525">
        <f t="shared" ca="1" si="40"/>
        <v>7.0970000000000005E-2</v>
      </c>
      <c r="BK75" s="526">
        <f t="shared" ca="1" si="40"/>
        <v>7.0970000000000005E-2</v>
      </c>
      <c r="BL75" s="524">
        <f t="shared" ca="1" si="40"/>
        <v>7.0970000000000005E-2</v>
      </c>
      <c r="BM75" s="525">
        <f t="shared" ca="1" si="40"/>
        <v>7.0970000000000005E-2</v>
      </c>
      <c r="BN75" s="525">
        <f t="shared" ca="1" si="40"/>
        <v>7.0970000000000005E-2</v>
      </c>
      <c r="BO75" s="525">
        <f t="shared" ca="1" si="40"/>
        <v>7.0970000000000005E-2</v>
      </c>
      <c r="BP75" s="526">
        <f t="shared" ca="1" si="40"/>
        <v>7.0970000000000005E-2</v>
      </c>
      <c r="BQ75" s="467"/>
      <c r="BR75" s="524">
        <f>+IF($K75="Ongoing",AV75,IF(RIGHT($K75,2)=RIGHT(BR$40,2),SUM($AV75:AV75),0)+IF(RIGHT(BR$40,2)&gt;RIGHT($K75,2),AV75,0))</f>
        <v>0</v>
      </c>
      <c r="BS75" s="525">
        <f>+IF($K75="Ongoing",AW75,IF(RIGHT($K75,2)=RIGHT(BS$40,2),SUM($AV75:AW75),0)+IF(RIGHT(BS$40,2)&gt;RIGHT($K75,2),AW75,0))</f>
        <v>0</v>
      </c>
      <c r="BT75" s="525">
        <f>+IF($K75="Ongoing",AX75,IF(RIGHT($K75,2)=RIGHT(BT$40,2),SUM($AV75:AX75),0)+IF(RIGHT(BT$40,2)&gt;RIGHT($K75,2),AX75,0))</f>
        <v>0.7097</v>
      </c>
      <c r="BU75" s="525">
        <f>+IF($K75="Ongoing",AY75,IF(RIGHT($K75,2)=RIGHT(BU$40,2),SUM($AV75:AY75),0)+IF(RIGHT(BU$40,2)&gt;RIGHT($K75,2),AY75,0))</f>
        <v>0</v>
      </c>
      <c r="BV75" s="526">
        <f>+IF($K75="Ongoing",AZ75,IF(RIGHT($K75,2)=RIGHT(BV$40,2),SUM($AV75:AZ75),0)+IF(RIGHT(BV$40,2)&gt;RIGHT($K75,2),AZ75,0))</f>
        <v>0</v>
      </c>
      <c r="BW75" s="524">
        <f>+IF($K75="Ongoing",BA75,IF(RIGHT($K75,2)=RIGHT(BW$40,2),SUM($AV75:BA75),0)+IF(RIGHT(BW$40,2)&gt;RIGHT($K75,2),BA75,0))</f>
        <v>0</v>
      </c>
      <c r="BX75" s="525">
        <f>+IF($K75="Ongoing",BB75,IF(RIGHT($K75,2)=RIGHT(BX$40,2),SUM($AV75:BB75),0)+IF(RIGHT(BX$40,2)&gt;RIGHT($K75,2),BB75,0))</f>
        <v>0</v>
      </c>
      <c r="BY75" s="525">
        <f>+IF($K75="Ongoing",BC75,IF(RIGHT($K75,2)=RIGHT(BY$40,2),SUM($AV75:BC75),0)+IF(RIGHT(BY$40,2)&gt;RIGHT($K75,2),BC75,0))</f>
        <v>0</v>
      </c>
      <c r="BZ75" s="525">
        <f>+IF($K75="Ongoing",BD75,IF(RIGHT($K75,2)=RIGHT(BZ$40,2),SUM($AV75:BD75),0)+IF(RIGHT(BZ$40,2)&gt;RIGHT($K75,2),BD75,0))</f>
        <v>0</v>
      </c>
      <c r="CA75" s="526">
        <f>+IF($K75="Ongoing",BE75,IF(RIGHT($K75,2)=RIGHT(CA$40,2),SUM($AV75:BE75),0)+IF(RIGHT(CA$40,2)&gt;RIGHT($K75,2),BE75,0))</f>
        <v>0</v>
      </c>
      <c r="CB75" s="467"/>
      <c r="CC75" s="524">
        <f>+O75*KeyAssumptionsPriceControl_FO!AF$15</f>
        <v>0.15537899999999999</v>
      </c>
      <c r="CD75" s="525">
        <f>+P75*KeyAssumptionsPriceControl_FO!AG$15</f>
        <v>0.27180448469999996</v>
      </c>
      <c r="CE75" s="525">
        <f>+Q75*KeyAssumptionsPriceControl_FO!AH$15</f>
        <v>0.32904331147799992</v>
      </c>
      <c r="CF75" s="525">
        <f>+R75*KeyAssumptionsPriceControl_FO!AI$15</f>
        <v>0</v>
      </c>
      <c r="CG75" s="526">
        <f>+S75*KeyAssumptionsPriceControl_FO!AJ$15</f>
        <v>0</v>
      </c>
      <c r="CH75" s="524">
        <f>+T75*KeyAssumptionsPriceControl_FO!AK$15</f>
        <v>0</v>
      </c>
      <c r="CI75" s="525">
        <f>+U75*KeyAssumptionsPriceControl_FO!AL$15</f>
        <v>0</v>
      </c>
      <c r="CJ75" s="525">
        <f>+V75*KeyAssumptionsPriceControl_FO!AM$15</f>
        <v>0</v>
      </c>
      <c r="CK75" s="525">
        <f>+W75*KeyAssumptionsPriceControl_FO!AN$15</f>
        <v>0</v>
      </c>
      <c r="CL75" s="526">
        <f>+X75*KeyAssumptionsPriceControl_FO!AO$15</f>
        <v>0</v>
      </c>
      <c r="CM75" s="467"/>
      <c r="CN75" s="524">
        <f t="shared" ca="1" si="41"/>
        <v>7.7689499999999993E-3</v>
      </c>
      <c r="CO75" s="525">
        <f t="shared" ca="1" si="42"/>
        <v>2.9128124234999997E-2</v>
      </c>
      <c r="CP75" s="525">
        <f t="shared" ca="1" si="42"/>
        <v>5.9170514043899988E-2</v>
      </c>
      <c r="CQ75" s="525">
        <f t="shared" ca="1" si="42"/>
        <v>7.5622679617799976E-2</v>
      </c>
      <c r="CR75" s="526">
        <f t="shared" ca="1" si="42"/>
        <v>7.5622679617799976E-2</v>
      </c>
      <c r="CS75" s="524">
        <f t="shared" ca="1" si="42"/>
        <v>7.5622679617799976E-2</v>
      </c>
      <c r="CT75" s="525">
        <f t="shared" ca="1" si="42"/>
        <v>7.5622679617799976E-2</v>
      </c>
      <c r="CU75" s="525">
        <f t="shared" ca="1" si="42"/>
        <v>7.5622679617799976E-2</v>
      </c>
      <c r="CV75" s="525">
        <f t="shared" ca="1" si="42"/>
        <v>7.5622679617799976E-2</v>
      </c>
      <c r="CW75" s="526">
        <f t="shared" ca="1" si="42"/>
        <v>7.5622679617799976E-2</v>
      </c>
      <c r="CX75" s="467"/>
    </row>
    <row r="76" spans="2:102">
      <c r="B76" s="502"/>
      <c r="C76" s="1589" t="s">
        <v>1366</v>
      </c>
      <c r="D76" s="1590"/>
      <c r="E76" s="1591" t="s">
        <v>21</v>
      </c>
      <c r="F76" s="1591" t="s">
        <v>516</v>
      </c>
      <c r="G76" s="1589" t="s">
        <v>6</v>
      </c>
      <c r="H76" s="2226" t="s">
        <v>521</v>
      </c>
      <c r="I76" s="2227"/>
      <c r="J76" s="1592" t="s">
        <v>279</v>
      </c>
      <c r="K76" s="1593" t="s">
        <v>965</v>
      </c>
      <c r="L76" s="1593">
        <v>25</v>
      </c>
      <c r="M76" s="1593">
        <v>25</v>
      </c>
      <c r="N76" s="467"/>
      <c r="O76" s="551">
        <v>0</v>
      </c>
      <c r="P76" s="552">
        <v>0</v>
      </c>
      <c r="Q76" s="552">
        <v>0</v>
      </c>
      <c r="R76" s="552">
        <v>0.42</v>
      </c>
      <c r="S76" s="553">
        <v>1</v>
      </c>
      <c r="T76" s="551">
        <v>0</v>
      </c>
      <c r="U76" s="552">
        <v>0</v>
      </c>
      <c r="V76" s="552">
        <v>0</v>
      </c>
      <c r="W76" s="552">
        <v>0</v>
      </c>
      <c r="X76" s="553">
        <v>0</v>
      </c>
      <c r="Y76" s="547"/>
      <c r="Z76" s="551"/>
      <c r="AA76" s="552"/>
      <c r="AB76" s="552"/>
      <c r="AC76" s="552"/>
      <c r="AD76" s="553"/>
      <c r="AE76" s="551"/>
      <c r="AF76" s="552"/>
      <c r="AG76" s="552"/>
      <c r="AH76" s="552"/>
      <c r="AI76" s="553"/>
      <c r="AJ76" s="547"/>
      <c r="AK76" s="551"/>
      <c r="AL76" s="552"/>
      <c r="AM76" s="552"/>
      <c r="AN76" s="552"/>
      <c r="AO76" s="553"/>
      <c r="AP76" s="551"/>
      <c r="AQ76" s="552"/>
      <c r="AR76" s="552"/>
      <c r="AS76" s="552"/>
      <c r="AT76" s="553"/>
      <c r="AU76" s="467"/>
      <c r="AV76" s="524">
        <f t="shared" si="38"/>
        <v>0</v>
      </c>
      <c r="AW76" s="525">
        <f t="shared" si="38"/>
        <v>0</v>
      </c>
      <c r="AX76" s="525">
        <f t="shared" si="38"/>
        <v>0</v>
      </c>
      <c r="AY76" s="525">
        <f t="shared" si="38"/>
        <v>0.42</v>
      </c>
      <c r="AZ76" s="526">
        <f t="shared" si="38"/>
        <v>1</v>
      </c>
      <c r="BA76" s="524">
        <f t="shared" si="38"/>
        <v>0</v>
      </c>
      <c r="BB76" s="525">
        <f t="shared" si="38"/>
        <v>0</v>
      </c>
      <c r="BC76" s="525">
        <f t="shared" si="38"/>
        <v>0</v>
      </c>
      <c r="BD76" s="525">
        <f t="shared" si="38"/>
        <v>0</v>
      </c>
      <c r="BE76" s="526">
        <f t="shared" si="38"/>
        <v>0</v>
      </c>
      <c r="BF76" s="467"/>
      <c r="BG76" s="524">
        <f t="shared" ca="1" si="39"/>
        <v>0</v>
      </c>
      <c r="BH76" s="525">
        <f t="shared" ca="1" si="40"/>
        <v>0</v>
      </c>
      <c r="BI76" s="525">
        <f t="shared" ca="1" si="40"/>
        <v>0</v>
      </c>
      <c r="BJ76" s="525">
        <f t="shared" ca="1" si="40"/>
        <v>0</v>
      </c>
      <c r="BK76" s="526">
        <f t="shared" ca="1" si="40"/>
        <v>2.8399999999999998E-2</v>
      </c>
      <c r="BL76" s="524">
        <f t="shared" ca="1" si="40"/>
        <v>5.6799999999999996E-2</v>
      </c>
      <c r="BM76" s="525">
        <f t="shared" ca="1" si="40"/>
        <v>5.6799999999999996E-2</v>
      </c>
      <c r="BN76" s="525">
        <f t="shared" ca="1" si="40"/>
        <v>5.6799999999999996E-2</v>
      </c>
      <c r="BO76" s="525">
        <f t="shared" ca="1" si="40"/>
        <v>5.6799999999999996E-2</v>
      </c>
      <c r="BP76" s="526">
        <f t="shared" ca="1" si="40"/>
        <v>5.6799999999999996E-2</v>
      </c>
      <c r="BQ76" s="467"/>
      <c r="BR76" s="524">
        <f>+IF($K76="Ongoing",AV76,IF(RIGHT($K76,2)=RIGHT(BR$40,2),SUM($AV76:AV76),0)+IF(RIGHT(BR$40,2)&gt;RIGHT($K76,2),AV76,0))</f>
        <v>0</v>
      </c>
      <c r="BS76" s="525">
        <f>+IF($K76="Ongoing",AW76,IF(RIGHT($K76,2)=RIGHT(BS$40,2),SUM($AV76:AW76),0)+IF(RIGHT(BS$40,2)&gt;RIGHT($K76,2),AW76,0))</f>
        <v>0</v>
      </c>
      <c r="BT76" s="525">
        <f>+IF($K76="Ongoing",AX76,IF(RIGHT($K76,2)=RIGHT(BT$40,2),SUM($AV76:AX76),0)+IF(RIGHT(BT$40,2)&gt;RIGHT($K76,2),AX76,0))</f>
        <v>0</v>
      </c>
      <c r="BU76" s="525">
        <f>+IF($K76="Ongoing",AY76,IF(RIGHT($K76,2)=RIGHT(BU$40,2),SUM($AV76:AY76),0)+IF(RIGHT(BU$40,2)&gt;RIGHT($K76,2),AY76,0))</f>
        <v>0</v>
      </c>
      <c r="BV76" s="526">
        <f>+IF($K76="Ongoing",AZ76,IF(RIGHT($K76,2)=RIGHT(BV$40,2),SUM($AV76:AZ76),0)+IF(RIGHT(BV$40,2)&gt;RIGHT($K76,2),AZ76,0))</f>
        <v>1.42</v>
      </c>
      <c r="BW76" s="524">
        <f>+IF($K76="Ongoing",BA76,IF(RIGHT($K76,2)=RIGHT(BW$40,2),SUM($AV76:BA76),0)+IF(RIGHT(BW$40,2)&gt;RIGHT($K76,2),BA76,0))</f>
        <v>0</v>
      </c>
      <c r="BX76" s="525">
        <f>+IF($K76="Ongoing",BB76,IF(RIGHT($K76,2)=RIGHT(BX$40,2),SUM($AV76:BB76),0)+IF(RIGHT(BX$40,2)&gt;RIGHT($K76,2),BB76,0))</f>
        <v>0</v>
      </c>
      <c r="BY76" s="525">
        <f>+IF($K76="Ongoing",BC76,IF(RIGHT($K76,2)=RIGHT(BY$40,2),SUM($AV76:BC76),0)+IF(RIGHT(BY$40,2)&gt;RIGHT($K76,2),BC76,0))</f>
        <v>0</v>
      </c>
      <c r="BZ76" s="525">
        <f>+IF($K76="Ongoing",BD76,IF(RIGHT($K76,2)=RIGHT(BZ$40,2),SUM($AV76:BD76),0)+IF(RIGHT(BZ$40,2)&gt;RIGHT($K76,2),BD76,0))</f>
        <v>0</v>
      </c>
      <c r="CA76" s="526">
        <f>+IF($K76="Ongoing",BE76,IF(RIGHT($K76,2)=RIGHT(CA$40,2),SUM($AV76:BE76),0)+IF(RIGHT(CA$40,2)&gt;RIGHT($K76,2),BE76,0))</f>
        <v>0</v>
      </c>
      <c r="CB76" s="467"/>
      <c r="CC76" s="524">
        <f>+O76*KeyAssumptionsPriceControl_FO!AF$15</f>
        <v>0</v>
      </c>
      <c r="CD76" s="525">
        <f>+P76*KeyAssumptionsPriceControl_FO!AG$15</f>
        <v>0</v>
      </c>
      <c r="CE76" s="525">
        <f>+Q76*KeyAssumptionsPriceControl_FO!AH$15</f>
        <v>0</v>
      </c>
      <c r="CF76" s="525">
        <f>+R76*KeyAssumptionsPriceControl_FO!AI$15</f>
        <v>0.4708805905780199</v>
      </c>
      <c r="CG76" s="526">
        <f>+S76*KeyAssumptionsPriceControl_FO!AJ$15</f>
        <v>1.1536574469161487</v>
      </c>
      <c r="CH76" s="524">
        <f>+T76*KeyAssumptionsPriceControl_FO!AK$15</f>
        <v>0</v>
      </c>
      <c r="CI76" s="525">
        <f>+U76*KeyAssumptionsPriceControl_FO!AL$15</f>
        <v>0</v>
      </c>
      <c r="CJ76" s="525">
        <f>+V76*KeyAssumptionsPriceControl_FO!AM$15</f>
        <v>0</v>
      </c>
      <c r="CK76" s="525">
        <f>+W76*KeyAssumptionsPriceControl_FO!AN$15</f>
        <v>0</v>
      </c>
      <c r="CL76" s="526">
        <f>+X76*KeyAssumptionsPriceControl_FO!AO$15</f>
        <v>0</v>
      </c>
      <c r="CM76" s="467"/>
      <c r="CN76" s="524">
        <f t="shared" ca="1" si="41"/>
        <v>0</v>
      </c>
      <c r="CO76" s="525">
        <f t="shared" ca="1" si="42"/>
        <v>0</v>
      </c>
      <c r="CP76" s="525">
        <f t="shared" ca="1" si="42"/>
        <v>0</v>
      </c>
      <c r="CQ76" s="525">
        <f t="shared" ca="1" si="42"/>
        <v>9.4176118115603981E-3</v>
      </c>
      <c r="CR76" s="526">
        <f t="shared" ca="1" si="42"/>
        <v>4.1908372561443766E-2</v>
      </c>
      <c r="CS76" s="524">
        <f t="shared" ca="1" si="42"/>
        <v>6.4981521499766742E-2</v>
      </c>
      <c r="CT76" s="525">
        <f t="shared" ca="1" si="42"/>
        <v>6.4981521499766742E-2</v>
      </c>
      <c r="CU76" s="525">
        <f t="shared" ca="1" si="42"/>
        <v>6.4981521499766742E-2</v>
      </c>
      <c r="CV76" s="525">
        <f t="shared" ca="1" si="42"/>
        <v>6.4981521499766742E-2</v>
      </c>
      <c r="CW76" s="526">
        <f t="shared" ca="1" si="42"/>
        <v>6.4981521499766742E-2</v>
      </c>
      <c r="CX76" s="467"/>
    </row>
    <row r="77" spans="2:102">
      <c r="B77" s="502"/>
      <c r="C77" s="1589" t="s">
        <v>1367</v>
      </c>
      <c r="D77" s="1590"/>
      <c r="E77" s="1591" t="s">
        <v>21</v>
      </c>
      <c r="F77" s="1591" t="s">
        <v>12</v>
      </c>
      <c r="G77" s="1589" t="s">
        <v>14</v>
      </c>
      <c r="H77" s="2226" t="s">
        <v>520</v>
      </c>
      <c r="I77" s="2227"/>
      <c r="J77" s="1592" t="s">
        <v>279</v>
      </c>
      <c r="K77" s="1593" t="s">
        <v>295</v>
      </c>
      <c r="L77" s="1593">
        <v>80</v>
      </c>
      <c r="M77" s="1593">
        <v>80</v>
      </c>
      <c r="N77" s="467"/>
      <c r="O77" s="551">
        <v>0.15</v>
      </c>
      <c r="P77" s="552">
        <v>0.15</v>
      </c>
      <c r="Q77" s="552">
        <v>0.15</v>
      </c>
      <c r="R77" s="552">
        <v>0.15</v>
      </c>
      <c r="S77" s="553">
        <v>0.15</v>
      </c>
      <c r="T77" s="551">
        <v>0.15</v>
      </c>
      <c r="U77" s="552">
        <v>0.15</v>
      </c>
      <c r="V77" s="552">
        <v>0.15</v>
      </c>
      <c r="W77" s="552">
        <v>0.15</v>
      </c>
      <c r="X77" s="553">
        <v>0.15</v>
      </c>
      <c r="Y77" s="547"/>
      <c r="Z77" s="551"/>
      <c r="AA77" s="552"/>
      <c r="AB77" s="552"/>
      <c r="AC77" s="552"/>
      <c r="AD77" s="553"/>
      <c r="AE77" s="551"/>
      <c r="AF77" s="552"/>
      <c r="AG77" s="552"/>
      <c r="AH77" s="552"/>
      <c r="AI77" s="553"/>
      <c r="AJ77" s="547"/>
      <c r="AK77" s="551"/>
      <c r="AL77" s="552"/>
      <c r="AM77" s="552"/>
      <c r="AN77" s="552"/>
      <c r="AO77" s="553"/>
      <c r="AP77" s="551"/>
      <c r="AQ77" s="552"/>
      <c r="AR77" s="552"/>
      <c r="AS77" s="552"/>
      <c r="AT77" s="553"/>
      <c r="AU77" s="467"/>
      <c r="AV77" s="524">
        <f t="shared" si="38"/>
        <v>0.15</v>
      </c>
      <c r="AW77" s="525">
        <f t="shared" si="38"/>
        <v>0.15</v>
      </c>
      <c r="AX77" s="525">
        <f t="shared" si="38"/>
        <v>0.15</v>
      </c>
      <c r="AY77" s="525">
        <f t="shared" si="38"/>
        <v>0.15</v>
      </c>
      <c r="AZ77" s="526">
        <f t="shared" si="38"/>
        <v>0.15</v>
      </c>
      <c r="BA77" s="524">
        <f t="shared" si="38"/>
        <v>0.15</v>
      </c>
      <c r="BB77" s="525">
        <f t="shared" si="38"/>
        <v>0.15</v>
      </c>
      <c r="BC77" s="525">
        <f t="shared" si="38"/>
        <v>0.15</v>
      </c>
      <c r="BD77" s="525">
        <f t="shared" si="38"/>
        <v>0.15</v>
      </c>
      <c r="BE77" s="526">
        <f t="shared" si="38"/>
        <v>0.15</v>
      </c>
      <c r="BF77" s="467"/>
      <c r="BG77" s="524">
        <f t="shared" ca="1" si="39"/>
        <v>9.3749999999999997E-4</v>
      </c>
      <c r="BH77" s="525">
        <f t="shared" ca="1" si="40"/>
        <v>2.8124999999999999E-3</v>
      </c>
      <c r="BI77" s="525">
        <f t="shared" ca="1" si="40"/>
        <v>4.6874999999999998E-3</v>
      </c>
      <c r="BJ77" s="525">
        <f t="shared" ca="1" si="40"/>
        <v>6.5624999999999998E-3</v>
      </c>
      <c r="BK77" s="526">
        <f t="shared" ca="1" si="40"/>
        <v>8.4375000000000006E-3</v>
      </c>
      <c r="BL77" s="524">
        <f t="shared" ca="1" si="40"/>
        <v>1.0312499999999999E-2</v>
      </c>
      <c r="BM77" s="525">
        <f t="shared" ca="1" si="40"/>
        <v>1.21875E-2</v>
      </c>
      <c r="BN77" s="525">
        <f t="shared" ca="1" si="40"/>
        <v>1.4062500000000002E-2</v>
      </c>
      <c r="BO77" s="525">
        <f t="shared" ca="1" si="40"/>
        <v>1.59375E-2</v>
      </c>
      <c r="BP77" s="526">
        <f t="shared" ca="1" si="40"/>
        <v>1.7812499999999998E-2</v>
      </c>
      <c r="BQ77" s="467"/>
      <c r="BR77" s="524">
        <f>+IF($K77="Ongoing",AV77,IF(RIGHT($K77,2)=RIGHT(BR$40,2),SUM($AV77:AV77),0)+IF(RIGHT(BR$40,2)&gt;RIGHT($K77,2),AV77,0))</f>
        <v>0.15</v>
      </c>
      <c r="BS77" s="525">
        <f>+IF($K77="Ongoing",AW77,IF(RIGHT($K77,2)=RIGHT(BS$40,2),SUM($AV77:AW77),0)+IF(RIGHT(BS$40,2)&gt;RIGHT($K77,2),AW77,0))</f>
        <v>0.15</v>
      </c>
      <c r="BT77" s="525">
        <f>+IF($K77="Ongoing",AX77,IF(RIGHT($K77,2)=RIGHT(BT$40,2),SUM($AV77:AX77),0)+IF(RIGHT(BT$40,2)&gt;RIGHT($K77,2),AX77,0))</f>
        <v>0.15</v>
      </c>
      <c r="BU77" s="525">
        <f>+IF($K77="Ongoing",AY77,IF(RIGHT($K77,2)=RIGHT(BU$40,2),SUM($AV77:AY77),0)+IF(RIGHT(BU$40,2)&gt;RIGHT($K77,2),AY77,0))</f>
        <v>0.15</v>
      </c>
      <c r="BV77" s="526">
        <f>+IF($K77="Ongoing",AZ77,IF(RIGHT($K77,2)=RIGHT(BV$40,2),SUM($AV77:AZ77),0)+IF(RIGHT(BV$40,2)&gt;RIGHT($K77,2),AZ77,0))</f>
        <v>0.15</v>
      </c>
      <c r="BW77" s="524">
        <f>+IF($K77="Ongoing",BA77,IF(RIGHT($K77,2)=RIGHT(BW$40,2),SUM($AV77:BA77),0)+IF(RIGHT(BW$40,2)&gt;RIGHT($K77,2),BA77,0))</f>
        <v>0.15</v>
      </c>
      <c r="BX77" s="525">
        <f>+IF($K77="Ongoing",BB77,IF(RIGHT($K77,2)=RIGHT(BX$40,2),SUM($AV77:BB77),0)+IF(RIGHT(BX$40,2)&gt;RIGHT($K77,2),BB77,0))</f>
        <v>0.15</v>
      </c>
      <c r="BY77" s="525">
        <f>+IF($K77="Ongoing",BC77,IF(RIGHT($K77,2)=RIGHT(BY$40,2),SUM($AV77:BC77),0)+IF(RIGHT(BY$40,2)&gt;RIGHT($K77,2),BC77,0))</f>
        <v>0.15</v>
      </c>
      <c r="BZ77" s="525">
        <f>+IF($K77="Ongoing",BD77,IF(RIGHT($K77,2)=RIGHT(BZ$40,2),SUM($AV77:BD77),0)+IF(RIGHT(BZ$40,2)&gt;RIGHT($K77,2),BD77,0))</f>
        <v>0.15</v>
      </c>
      <c r="CA77" s="526">
        <f>+IF($K77="Ongoing",BE77,IF(RIGHT($K77,2)=RIGHT(CA$40,2),SUM($AV77:BE77),0)+IF(RIGHT(CA$40,2)&gt;RIGHT($K77,2),BE77,0))</f>
        <v>0.15</v>
      </c>
      <c r="CB77" s="467"/>
      <c r="CC77" s="524">
        <f>+O77*KeyAssumptionsPriceControl_FO!AF$15</f>
        <v>0.15434999999999999</v>
      </c>
      <c r="CD77" s="525">
        <f>+P77*KeyAssumptionsPriceControl_FO!AG$15</f>
        <v>0.15882614999999997</v>
      </c>
      <c r="CE77" s="525">
        <f>+Q77*KeyAssumptionsPriceControl_FO!AH$15</f>
        <v>0.16343210834999997</v>
      </c>
      <c r="CF77" s="525">
        <f>+R77*KeyAssumptionsPriceControl_FO!AI$15</f>
        <v>0.16817163949214997</v>
      </c>
      <c r="CG77" s="526">
        <f>+S77*KeyAssumptionsPriceControl_FO!AJ$15</f>
        <v>0.1730486170374223</v>
      </c>
      <c r="CH77" s="524">
        <f>+T77*KeyAssumptionsPriceControl_FO!AK$15</f>
        <v>0.17806702693150753</v>
      </c>
      <c r="CI77" s="525">
        <f>+U77*KeyAssumptionsPriceControl_FO!AL$15</f>
        <v>0.18323097071252123</v>
      </c>
      <c r="CJ77" s="525">
        <f>+V77*KeyAssumptionsPriceControl_FO!AM$15</f>
        <v>0.18854466886318436</v>
      </c>
      <c r="CK77" s="525">
        <f>+W77*KeyAssumptionsPriceControl_FO!AN$15</f>
        <v>0.19401246426021665</v>
      </c>
      <c r="CL77" s="526">
        <f>+X77*KeyAssumptionsPriceControl_FO!AO$15</f>
        <v>0.19963882572376293</v>
      </c>
      <c r="CM77" s="467"/>
      <c r="CN77" s="524">
        <f t="shared" ca="1" si="41"/>
        <v>9.6468749999999994E-4</v>
      </c>
      <c r="CO77" s="525">
        <f t="shared" ca="1" si="42"/>
        <v>2.9220384374999998E-3</v>
      </c>
      <c r="CP77" s="525">
        <f t="shared" ca="1" si="42"/>
        <v>4.9361525521874998E-3</v>
      </c>
      <c r="CQ77" s="525">
        <f t="shared" ca="1" si="42"/>
        <v>7.0086759762009367E-3</v>
      </c>
      <c r="CR77" s="526">
        <f t="shared" ca="1" si="42"/>
        <v>9.1413025795107645E-3</v>
      </c>
      <c r="CS77" s="524">
        <f t="shared" ca="1" si="42"/>
        <v>1.1335775354316575E-2</v>
      </c>
      <c r="CT77" s="525">
        <f t="shared" ca="1" si="42"/>
        <v>1.3593887839591756E-2</v>
      </c>
      <c r="CU77" s="525">
        <f t="shared" ca="1" si="42"/>
        <v>1.5917485586939915E-2</v>
      </c>
      <c r="CV77" s="525">
        <f t="shared" ca="1" si="42"/>
        <v>1.830846766896117E-2</v>
      </c>
      <c r="CW77" s="526">
        <f t="shared" ca="1" si="42"/>
        <v>2.0768788231361045E-2</v>
      </c>
      <c r="CX77" s="467"/>
    </row>
    <row r="78" spans="2:102">
      <c r="B78" s="502"/>
      <c r="C78" s="1589" t="s">
        <v>1368</v>
      </c>
      <c r="D78" s="1590"/>
      <c r="E78" s="1591" t="s">
        <v>20</v>
      </c>
      <c r="F78" s="1591" t="s">
        <v>12</v>
      </c>
      <c r="G78" s="1589" t="s">
        <v>13</v>
      </c>
      <c r="H78" s="2226" t="s">
        <v>520</v>
      </c>
      <c r="I78" s="2227"/>
      <c r="J78" s="1592" t="s">
        <v>279</v>
      </c>
      <c r="K78" s="1593" t="s">
        <v>295</v>
      </c>
      <c r="L78" s="1593">
        <v>0</v>
      </c>
      <c r="M78" s="1593">
        <v>0</v>
      </c>
      <c r="N78" s="467"/>
      <c r="O78" s="551">
        <v>0.94</v>
      </c>
      <c r="P78" s="552">
        <v>0.94</v>
      </c>
      <c r="Q78" s="552">
        <v>0.94</v>
      </c>
      <c r="R78" s="552">
        <v>0.94</v>
      </c>
      <c r="S78" s="553">
        <v>0.94</v>
      </c>
      <c r="T78" s="551">
        <v>0.94</v>
      </c>
      <c r="U78" s="552">
        <v>0.94</v>
      </c>
      <c r="V78" s="552">
        <v>0.94</v>
      </c>
      <c r="W78" s="552">
        <v>0.94</v>
      </c>
      <c r="X78" s="553">
        <v>0.94</v>
      </c>
      <c r="Y78" s="547"/>
      <c r="Z78" s="551"/>
      <c r="AA78" s="552"/>
      <c r="AB78" s="552"/>
      <c r="AC78" s="552"/>
      <c r="AD78" s="553"/>
      <c r="AE78" s="551"/>
      <c r="AF78" s="552"/>
      <c r="AG78" s="552"/>
      <c r="AH78" s="552"/>
      <c r="AI78" s="553"/>
      <c r="AJ78" s="547"/>
      <c r="AK78" s="551"/>
      <c r="AL78" s="552"/>
      <c r="AM78" s="552"/>
      <c r="AN78" s="552"/>
      <c r="AO78" s="553"/>
      <c r="AP78" s="551"/>
      <c r="AQ78" s="552"/>
      <c r="AR78" s="552"/>
      <c r="AS78" s="552"/>
      <c r="AT78" s="553"/>
      <c r="AU78" s="467"/>
      <c r="AV78" s="524">
        <f t="shared" si="38"/>
        <v>0.94</v>
      </c>
      <c r="AW78" s="525">
        <f t="shared" si="38"/>
        <v>0.94</v>
      </c>
      <c r="AX78" s="525">
        <f t="shared" si="38"/>
        <v>0.94</v>
      </c>
      <c r="AY78" s="525">
        <f t="shared" si="38"/>
        <v>0.94</v>
      </c>
      <c r="AZ78" s="526">
        <f t="shared" si="38"/>
        <v>0.94</v>
      </c>
      <c r="BA78" s="524">
        <f t="shared" si="38"/>
        <v>0.94</v>
      </c>
      <c r="BB78" s="525">
        <f t="shared" si="38"/>
        <v>0.94</v>
      </c>
      <c r="BC78" s="525">
        <f t="shared" si="38"/>
        <v>0.94</v>
      </c>
      <c r="BD78" s="525">
        <f t="shared" si="38"/>
        <v>0.94</v>
      </c>
      <c r="BE78" s="526">
        <f t="shared" si="38"/>
        <v>0.94</v>
      </c>
      <c r="BF78" s="467"/>
      <c r="BG78" s="524">
        <f t="shared" ca="1" si="39"/>
        <v>0</v>
      </c>
      <c r="BH78" s="525">
        <f t="shared" ca="1" si="40"/>
        <v>0</v>
      </c>
      <c r="BI78" s="525">
        <f t="shared" ca="1" si="40"/>
        <v>0</v>
      </c>
      <c r="BJ78" s="525">
        <f t="shared" ca="1" si="40"/>
        <v>0</v>
      </c>
      <c r="BK78" s="526">
        <f t="shared" ca="1" si="40"/>
        <v>0</v>
      </c>
      <c r="BL78" s="524">
        <f t="shared" ca="1" si="40"/>
        <v>0</v>
      </c>
      <c r="BM78" s="525">
        <f t="shared" ca="1" si="40"/>
        <v>0</v>
      </c>
      <c r="BN78" s="525">
        <f t="shared" ca="1" si="40"/>
        <v>0</v>
      </c>
      <c r="BO78" s="525">
        <f t="shared" ca="1" si="40"/>
        <v>0</v>
      </c>
      <c r="BP78" s="526">
        <f t="shared" ca="1" si="40"/>
        <v>0</v>
      </c>
      <c r="BQ78" s="467"/>
      <c r="BR78" s="524">
        <f>+IF($K78="Ongoing",AV78,IF(RIGHT($K78,2)=RIGHT(BR$40,2),SUM($AV78:AV78),0)+IF(RIGHT(BR$40,2)&gt;RIGHT($K78,2),AV78,0))</f>
        <v>0.94</v>
      </c>
      <c r="BS78" s="525">
        <f>+IF($K78="Ongoing",AW78,IF(RIGHT($K78,2)=RIGHT(BS$40,2),SUM($AV78:AW78),0)+IF(RIGHT(BS$40,2)&gt;RIGHT($K78,2),AW78,0))</f>
        <v>0.94</v>
      </c>
      <c r="BT78" s="525">
        <f>+IF($K78="Ongoing",AX78,IF(RIGHT($K78,2)=RIGHT(BT$40,2),SUM($AV78:AX78),0)+IF(RIGHT(BT$40,2)&gt;RIGHT($K78,2),AX78,0))</f>
        <v>0.94</v>
      </c>
      <c r="BU78" s="525">
        <f>+IF($K78="Ongoing",AY78,IF(RIGHT($K78,2)=RIGHT(BU$40,2),SUM($AV78:AY78),0)+IF(RIGHT(BU$40,2)&gt;RIGHT($K78,2),AY78,0))</f>
        <v>0.94</v>
      </c>
      <c r="BV78" s="526">
        <f>+IF($K78="Ongoing",AZ78,IF(RIGHT($K78,2)=RIGHT(BV$40,2),SUM($AV78:AZ78),0)+IF(RIGHT(BV$40,2)&gt;RIGHT($K78,2),AZ78,0))</f>
        <v>0.94</v>
      </c>
      <c r="BW78" s="524">
        <f>+IF($K78="Ongoing",BA78,IF(RIGHT($K78,2)=RIGHT(BW$40,2),SUM($AV78:BA78),0)+IF(RIGHT(BW$40,2)&gt;RIGHT($K78,2),BA78,0))</f>
        <v>0.94</v>
      </c>
      <c r="BX78" s="525">
        <f>+IF($K78="Ongoing",BB78,IF(RIGHT($K78,2)=RIGHT(BX$40,2),SUM($AV78:BB78),0)+IF(RIGHT(BX$40,2)&gt;RIGHT($K78,2),BB78,0))</f>
        <v>0.94</v>
      </c>
      <c r="BY78" s="525">
        <f>+IF($K78="Ongoing",BC78,IF(RIGHT($K78,2)=RIGHT(BY$40,2),SUM($AV78:BC78),0)+IF(RIGHT(BY$40,2)&gt;RIGHT($K78,2),BC78,0))</f>
        <v>0.94</v>
      </c>
      <c r="BZ78" s="525">
        <f>+IF($K78="Ongoing",BD78,IF(RIGHT($K78,2)=RIGHT(BZ$40,2),SUM($AV78:BD78),0)+IF(RIGHT(BZ$40,2)&gt;RIGHT($K78,2),BD78,0))</f>
        <v>0.94</v>
      </c>
      <c r="CA78" s="526">
        <f>+IF($K78="Ongoing",BE78,IF(RIGHT($K78,2)=RIGHT(CA$40,2),SUM($AV78:BE78),0)+IF(RIGHT(CA$40,2)&gt;RIGHT($K78,2),BE78,0))</f>
        <v>0.94</v>
      </c>
      <c r="CB78" s="467"/>
      <c r="CC78" s="524">
        <f>+O78*KeyAssumptionsPriceControl_FO!AF$15</f>
        <v>0.9672599999999999</v>
      </c>
      <c r="CD78" s="525">
        <f>+P78*KeyAssumptionsPriceControl_FO!AG$15</f>
        <v>0.99531053999999985</v>
      </c>
      <c r="CE78" s="525">
        <f>+Q78*KeyAssumptionsPriceControl_FO!AH$15</f>
        <v>1.0241745456599998</v>
      </c>
      <c r="CF78" s="525">
        <f>+R78*KeyAssumptionsPriceControl_FO!AI$15</f>
        <v>1.0538756074841398</v>
      </c>
      <c r="CG78" s="526">
        <f>+S78*KeyAssumptionsPriceControl_FO!AJ$15</f>
        <v>1.0844380001011797</v>
      </c>
      <c r="CH78" s="524">
        <f>+T78*KeyAssumptionsPriceControl_FO!AK$15</f>
        <v>1.1158867021041139</v>
      </c>
      <c r="CI78" s="525">
        <f>+U78*KeyAssumptionsPriceControl_FO!AL$15</f>
        <v>1.1482474164651331</v>
      </c>
      <c r="CJ78" s="525">
        <f>+V78*KeyAssumptionsPriceControl_FO!AM$15</f>
        <v>1.1815465915426218</v>
      </c>
      <c r="CK78" s="525">
        <f>+W78*KeyAssumptionsPriceControl_FO!AN$15</f>
        <v>1.2158114426973576</v>
      </c>
      <c r="CL78" s="526">
        <f>+X78*KeyAssumptionsPriceControl_FO!AO$15</f>
        <v>1.2510699745355811</v>
      </c>
      <c r="CM78" s="467"/>
      <c r="CN78" s="524">
        <f t="shared" ca="1" si="41"/>
        <v>0</v>
      </c>
      <c r="CO78" s="525">
        <f t="shared" ca="1" si="42"/>
        <v>0</v>
      </c>
      <c r="CP78" s="525">
        <f t="shared" ca="1" si="42"/>
        <v>0</v>
      </c>
      <c r="CQ78" s="525">
        <f t="shared" ca="1" si="42"/>
        <v>0</v>
      </c>
      <c r="CR78" s="526">
        <f t="shared" ca="1" si="42"/>
        <v>0</v>
      </c>
      <c r="CS78" s="524">
        <f t="shared" ca="1" si="42"/>
        <v>0</v>
      </c>
      <c r="CT78" s="525">
        <f t="shared" ca="1" si="42"/>
        <v>0</v>
      </c>
      <c r="CU78" s="525">
        <f t="shared" ca="1" si="42"/>
        <v>0</v>
      </c>
      <c r="CV78" s="525">
        <f t="shared" ca="1" si="42"/>
        <v>0</v>
      </c>
      <c r="CW78" s="526">
        <f t="shared" ca="1" si="42"/>
        <v>0</v>
      </c>
      <c r="CX78" s="467"/>
    </row>
    <row r="79" spans="2:102">
      <c r="B79" s="502"/>
      <c r="C79" s="1589" t="s">
        <v>1369</v>
      </c>
      <c r="D79" s="1590"/>
      <c r="E79" s="1591" t="s">
        <v>20</v>
      </c>
      <c r="F79" s="1591" t="s">
        <v>516</v>
      </c>
      <c r="G79" s="1589" t="s">
        <v>10</v>
      </c>
      <c r="H79" s="2226" t="s">
        <v>520</v>
      </c>
      <c r="I79" s="2227"/>
      <c r="J79" s="1592" t="s">
        <v>279</v>
      </c>
      <c r="K79" s="1593" t="s">
        <v>295</v>
      </c>
      <c r="L79" s="1593">
        <v>10</v>
      </c>
      <c r="M79" s="1593">
        <v>10</v>
      </c>
      <c r="N79" s="467"/>
      <c r="O79" s="551">
        <v>0.25</v>
      </c>
      <c r="P79" s="552">
        <v>0.25</v>
      </c>
      <c r="Q79" s="552">
        <v>0.25</v>
      </c>
      <c r="R79" s="552">
        <v>0.25</v>
      </c>
      <c r="S79" s="553">
        <v>0.25</v>
      </c>
      <c r="T79" s="551">
        <v>0.25</v>
      </c>
      <c r="U79" s="552">
        <v>0.25</v>
      </c>
      <c r="V79" s="552">
        <v>0.25</v>
      </c>
      <c r="W79" s="552">
        <v>0.25</v>
      </c>
      <c r="X79" s="553">
        <v>0.25</v>
      </c>
      <c r="Y79" s="547"/>
      <c r="Z79" s="551"/>
      <c r="AA79" s="552"/>
      <c r="AB79" s="552"/>
      <c r="AC79" s="552"/>
      <c r="AD79" s="553"/>
      <c r="AE79" s="551"/>
      <c r="AF79" s="552"/>
      <c r="AG79" s="552"/>
      <c r="AH79" s="552"/>
      <c r="AI79" s="553"/>
      <c r="AJ79" s="547"/>
      <c r="AK79" s="551"/>
      <c r="AL79" s="552"/>
      <c r="AM79" s="552"/>
      <c r="AN79" s="552"/>
      <c r="AO79" s="553"/>
      <c r="AP79" s="551"/>
      <c r="AQ79" s="552"/>
      <c r="AR79" s="552"/>
      <c r="AS79" s="552"/>
      <c r="AT79" s="553"/>
      <c r="AU79" s="467"/>
      <c r="AV79" s="524">
        <f t="shared" si="38"/>
        <v>0.25</v>
      </c>
      <c r="AW79" s="525">
        <f t="shared" si="38"/>
        <v>0.25</v>
      </c>
      <c r="AX79" s="525">
        <f t="shared" si="38"/>
        <v>0.25</v>
      </c>
      <c r="AY79" s="525">
        <f t="shared" si="38"/>
        <v>0.25</v>
      </c>
      <c r="AZ79" s="526">
        <f t="shared" si="38"/>
        <v>0.25</v>
      </c>
      <c r="BA79" s="524">
        <f t="shared" si="38"/>
        <v>0.25</v>
      </c>
      <c r="BB79" s="525">
        <f t="shared" si="38"/>
        <v>0.25</v>
      </c>
      <c r="BC79" s="525">
        <f t="shared" si="38"/>
        <v>0.25</v>
      </c>
      <c r="BD79" s="525">
        <f t="shared" si="38"/>
        <v>0.25</v>
      </c>
      <c r="BE79" s="526">
        <f t="shared" si="38"/>
        <v>0.25</v>
      </c>
      <c r="BF79" s="467"/>
      <c r="BG79" s="524">
        <f t="shared" ca="1" si="39"/>
        <v>1.2500000000000001E-2</v>
      </c>
      <c r="BH79" s="525">
        <f t="shared" ca="1" si="40"/>
        <v>3.7500000000000006E-2</v>
      </c>
      <c r="BI79" s="525">
        <f t="shared" ca="1" si="40"/>
        <v>6.25E-2</v>
      </c>
      <c r="BJ79" s="525">
        <f t="shared" ca="1" si="40"/>
        <v>8.7499999999999994E-2</v>
      </c>
      <c r="BK79" s="526">
        <f t="shared" ca="1" si="40"/>
        <v>0.1125</v>
      </c>
      <c r="BL79" s="524">
        <f t="shared" ca="1" si="40"/>
        <v>0.13750000000000001</v>
      </c>
      <c r="BM79" s="525">
        <f t="shared" ca="1" si="40"/>
        <v>0.16250000000000001</v>
      </c>
      <c r="BN79" s="525">
        <f t="shared" ca="1" si="40"/>
        <v>0.1875</v>
      </c>
      <c r="BO79" s="525">
        <f t="shared" ca="1" si="40"/>
        <v>0.21250000000000002</v>
      </c>
      <c r="BP79" s="526">
        <f t="shared" ca="1" si="40"/>
        <v>0.23750000000000002</v>
      </c>
      <c r="BQ79" s="467"/>
      <c r="BR79" s="524">
        <f>+IF($K79="Ongoing",AV79,IF(RIGHT($K79,2)=RIGHT(BR$40,2),SUM($AV79:AV79),0)+IF(RIGHT(BR$40,2)&gt;RIGHT($K79,2),AV79,0))</f>
        <v>0.25</v>
      </c>
      <c r="BS79" s="525">
        <f>+IF($K79="Ongoing",AW79,IF(RIGHT($K79,2)=RIGHT(BS$40,2),SUM($AV79:AW79),0)+IF(RIGHT(BS$40,2)&gt;RIGHT($K79,2),AW79,0))</f>
        <v>0.25</v>
      </c>
      <c r="BT79" s="525">
        <f>+IF($K79="Ongoing",AX79,IF(RIGHT($K79,2)=RIGHT(BT$40,2),SUM($AV79:AX79),0)+IF(RIGHT(BT$40,2)&gt;RIGHT($K79,2),AX79,0))</f>
        <v>0.25</v>
      </c>
      <c r="BU79" s="525">
        <f>+IF($K79="Ongoing",AY79,IF(RIGHT($K79,2)=RIGHT(BU$40,2),SUM($AV79:AY79),0)+IF(RIGHT(BU$40,2)&gt;RIGHT($K79,2),AY79,0))</f>
        <v>0.25</v>
      </c>
      <c r="BV79" s="526">
        <f>+IF($K79="Ongoing",AZ79,IF(RIGHT($K79,2)=RIGHT(BV$40,2),SUM($AV79:AZ79),0)+IF(RIGHT(BV$40,2)&gt;RIGHT($K79,2),AZ79,0))</f>
        <v>0.25</v>
      </c>
      <c r="BW79" s="524">
        <f>+IF($K79="Ongoing",BA79,IF(RIGHT($K79,2)=RIGHT(BW$40,2),SUM($AV79:BA79),0)+IF(RIGHT(BW$40,2)&gt;RIGHT($K79,2),BA79,0))</f>
        <v>0.25</v>
      </c>
      <c r="BX79" s="525">
        <f>+IF($K79="Ongoing",BB79,IF(RIGHT($K79,2)=RIGHT(BX$40,2),SUM($AV79:BB79),0)+IF(RIGHT(BX$40,2)&gt;RIGHT($K79,2),BB79,0))</f>
        <v>0.25</v>
      </c>
      <c r="BY79" s="525">
        <f>+IF($K79="Ongoing",BC79,IF(RIGHT($K79,2)=RIGHT(BY$40,2),SUM($AV79:BC79),0)+IF(RIGHT(BY$40,2)&gt;RIGHT($K79,2),BC79,0))</f>
        <v>0.25</v>
      </c>
      <c r="BZ79" s="525">
        <f>+IF($K79="Ongoing",BD79,IF(RIGHT($K79,2)=RIGHT(BZ$40,2),SUM($AV79:BD79),0)+IF(RIGHT(BZ$40,2)&gt;RIGHT($K79,2),BD79,0))</f>
        <v>0.25</v>
      </c>
      <c r="CA79" s="526">
        <f>+IF($K79="Ongoing",BE79,IF(RIGHT($K79,2)=RIGHT(CA$40,2),SUM($AV79:BE79),0)+IF(RIGHT(CA$40,2)&gt;RIGHT($K79,2),BE79,0))</f>
        <v>0.25</v>
      </c>
      <c r="CB79" s="467"/>
      <c r="CC79" s="524">
        <f>+O79*KeyAssumptionsPriceControl_FO!AF$15</f>
        <v>0.25724999999999998</v>
      </c>
      <c r="CD79" s="525">
        <f>+P79*KeyAssumptionsPriceControl_FO!AG$15</f>
        <v>0.26471024999999998</v>
      </c>
      <c r="CE79" s="525">
        <f>+Q79*KeyAssumptionsPriceControl_FO!AH$15</f>
        <v>0.27238684724999995</v>
      </c>
      <c r="CF79" s="525">
        <f>+R79*KeyAssumptionsPriceControl_FO!AI$15</f>
        <v>0.28028606582024995</v>
      </c>
      <c r="CG79" s="526">
        <f>+S79*KeyAssumptionsPriceControl_FO!AJ$15</f>
        <v>0.28841436172903717</v>
      </c>
      <c r="CH79" s="524">
        <f>+T79*KeyAssumptionsPriceControl_FO!AK$15</f>
        <v>0.29677837821917924</v>
      </c>
      <c r="CI79" s="525">
        <f>+U79*KeyAssumptionsPriceControl_FO!AL$15</f>
        <v>0.30538495118753539</v>
      </c>
      <c r="CJ79" s="525">
        <f>+V79*KeyAssumptionsPriceControl_FO!AM$15</f>
        <v>0.31424111477197392</v>
      </c>
      <c r="CK79" s="525">
        <f>+W79*KeyAssumptionsPriceControl_FO!AN$15</f>
        <v>0.32335410710036111</v>
      </c>
      <c r="CL79" s="526">
        <f>+X79*KeyAssumptionsPriceControl_FO!AO$15</f>
        <v>0.33273137620627158</v>
      </c>
      <c r="CM79" s="467"/>
      <c r="CN79" s="524">
        <f t="shared" ca="1" si="41"/>
        <v>1.2862499999999999E-2</v>
      </c>
      <c r="CO79" s="525">
        <f t="shared" ca="1" si="42"/>
        <v>3.8960512499999995E-2</v>
      </c>
      <c r="CP79" s="525">
        <f t="shared" ca="1" si="42"/>
        <v>6.5815367362500002E-2</v>
      </c>
      <c r="CQ79" s="525">
        <f t="shared" ca="1" si="42"/>
        <v>9.3449013016012494E-2</v>
      </c>
      <c r="CR79" s="526">
        <f t="shared" ca="1" si="42"/>
        <v>0.12188403439347685</v>
      </c>
      <c r="CS79" s="524">
        <f t="shared" ca="1" si="42"/>
        <v>0.15114367139088766</v>
      </c>
      <c r="CT79" s="525">
        <f t="shared" ca="1" si="42"/>
        <v>0.18125183786122342</v>
      </c>
      <c r="CU79" s="525">
        <f t="shared" ca="1" si="42"/>
        <v>0.21223314115919886</v>
      </c>
      <c r="CV79" s="525">
        <f t="shared" ca="1" si="42"/>
        <v>0.24411290225281565</v>
      </c>
      <c r="CW79" s="526">
        <f t="shared" ca="1" si="42"/>
        <v>0.27691717641814728</v>
      </c>
      <c r="CX79" s="467"/>
    </row>
    <row r="80" spans="2:102">
      <c r="B80" s="502"/>
      <c r="C80" s="1589" t="s">
        <v>1370</v>
      </c>
      <c r="D80" s="1590"/>
      <c r="E80" s="1591" t="s">
        <v>20</v>
      </c>
      <c r="F80" s="1591" t="s">
        <v>238</v>
      </c>
      <c r="G80" s="1589" t="s">
        <v>10</v>
      </c>
      <c r="H80" s="2226" t="s">
        <v>520</v>
      </c>
      <c r="I80" s="2227"/>
      <c r="J80" s="1592" t="s">
        <v>279</v>
      </c>
      <c r="K80" s="1593" t="s">
        <v>295</v>
      </c>
      <c r="L80" s="1593">
        <v>7</v>
      </c>
      <c r="M80" s="1593">
        <v>7</v>
      </c>
      <c r="N80" s="467"/>
      <c r="O80" s="551">
        <v>1.3</v>
      </c>
      <c r="P80" s="552">
        <v>1.3</v>
      </c>
      <c r="Q80" s="552">
        <v>1.3</v>
      </c>
      <c r="R80" s="552">
        <v>1.3</v>
      </c>
      <c r="S80" s="553">
        <v>1.3</v>
      </c>
      <c r="T80" s="551">
        <v>1.3</v>
      </c>
      <c r="U80" s="552">
        <v>1.3</v>
      </c>
      <c r="V80" s="552">
        <v>1.3</v>
      </c>
      <c r="W80" s="552">
        <v>1.3</v>
      </c>
      <c r="X80" s="553">
        <v>1.3</v>
      </c>
      <c r="Y80" s="547"/>
      <c r="Z80" s="551"/>
      <c r="AA80" s="552"/>
      <c r="AB80" s="552"/>
      <c r="AC80" s="552"/>
      <c r="AD80" s="553"/>
      <c r="AE80" s="551"/>
      <c r="AF80" s="552"/>
      <c r="AG80" s="552"/>
      <c r="AH80" s="552"/>
      <c r="AI80" s="553"/>
      <c r="AJ80" s="547"/>
      <c r="AK80" s="551"/>
      <c r="AL80" s="552"/>
      <c r="AM80" s="552"/>
      <c r="AN80" s="552"/>
      <c r="AO80" s="553"/>
      <c r="AP80" s="551"/>
      <c r="AQ80" s="552"/>
      <c r="AR80" s="552"/>
      <c r="AS80" s="552"/>
      <c r="AT80" s="553"/>
      <c r="AU80" s="467"/>
      <c r="AV80" s="524">
        <f t="shared" si="38"/>
        <v>1.3</v>
      </c>
      <c r="AW80" s="525">
        <f t="shared" si="38"/>
        <v>1.3</v>
      </c>
      <c r="AX80" s="525">
        <f t="shared" si="38"/>
        <v>1.3</v>
      </c>
      <c r="AY80" s="525">
        <f t="shared" si="38"/>
        <v>1.3</v>
      </c>
      <c r="AZ80" s="526">
        <f t="shared" si="38"/>
        <v>1.3</v>
      </c>
      <c r="BA80" s="524">
        <f t="shared" si="38"/>
        <v>1.3</v>
      </c>
      <c r="BB80" s="525">
        <f t="shared" si="38"/>
        <v>1.3</v>
      </c>
      <c r="BC80" s="525">
        <f t="shared" si="38"/>
        <v>1.3</v>
      </c>
      <c r="BD80" s="525">
        <f t="shared" si="38"/>
        <v>1.3</v>
      </c>
      <c r="BE80" s="526">
        <f t="shared" si="38"/>
        <v>1.3</v>
      </c>
      <c r="BF80" s="467"/>
      <c r="BG80" s="524">
        <f t="shared" ca="1" si="39"/>
        <v>9.285714285714286E-2</v>
      </c>
      <c r="BH80" s="525">
        <f t="shared" ca="1" si="40"/>
        <v>0.27857142857142858</v>
      </c>
      <c r="BI80" s="525">
        <f t="shared" ca="1" si="40"/>
        <v>0.4642857142857143</v>
      </c>
      <c r="BJ80" s="525">
        <f t="shared" ca="1" si="40"/>
        <v>0.65</v>
      </c>
      <c r="BK80" s="526">
        <f t="shared" ca="1" si="40"/>
        <v>0.83571428571428574</v>
      </c>
      <c r="BL80" s="524">
        <f t="shared" ca="1" si="40"/>
        <v>1.0214285714285714</v>
      </c>
      <c r="BM80" s="525">
        <f t="shared" ca="1" si="40"/>
        <v>1.2071428571428573</v>
      </c>
      <c r="BN80" s="525">
        <f t="shared" ca="1" si="40"/>
        <v>1.3</v>
      </c>
      <c r="BO80" s="525">
        <f t="shared" ca="1" si="40"/>
        <v>1.3</v>
      </c>
      <c r="BP80" s="526">
        <f t="shared" ca="1" si="40"/>
        <v>1.3</v>
      </c>
      <c r="BQ80" s="467"/>
      <c r="BR80" s="524">
        <f>+IF($K80="Ongoing",AV80,IF(RIGHT($K80,2)=RIGHT(BR$40,2),SUM($AV80:AV80),0)+IF(RIGHT(BR$40,2)&gt;RIGHT($K80,2),AV80,0))</f>
        <v>1.3</v>
      </c>
      <c r="BS80" s="525">
        <f>+IF($K80="Ongoing",AW80,IF(RIGHT($K80,2)=RIGHT(BS$40,2),SUM($AV80:AW80),0)+IF(RIGHT(BS$40,2)&gt;RIGHT($K80,2),AW80,0))</f>
        <v>1.3</v>
      </c>
      <c r="BT80" s="525">
        <f>+IF($K80="Ongoing",AX80,IF(RIGHT($K80,2)=RIGHT(BT$40,2),SUM($AV80:AX80),0)+IF(RIGHT(BT$40,2)&gt;RIGHT($K80,2),AX80,0))</f>
        <v>1.3</v>
      </c>
      <c r="BU80" s="525">
        <f>+IF($K80="Ongoing",AY80,IF(RIGHT($K80,2)=RIGHT(BU$40,2),SUM($AV80:AY80),0)+IF(RIGHT(BU$40,2)&gt;RIGHT($K80,2),AY80,0))</f>
        <v>1.3</v>
      </c>
      <c r="BV80" s="526">
        <f>+IF($K80="Ongoing",AZ80,IF(RIGHT($K80,2)=RIGHT(BV$40,2),SUM($AV80:AZ80),0)+IF(RIGHT(BV$40,2)&gt;RIGHT($K80,2),AZ80,0))</f>
        <v>1.3</v>
      </c>
      <c r="BW80" s="524">
        <f>+IF($K80="Ongoing",BA80,IF(RIGHT($K80,2)=RIGHT(BW$40,2),SUM($AV80:BA80),0)+IF(RIGHT(BW$40,2)&gt;RIGHT($K80,2),BA80,0))</f>
        <v>1.3</v>
      </c>
      <c r="BX80" s="525">
        <f>+IF($K80="Ongoing",BB80,IF(RIGHT($K80,2)=RIGHT(BX$40,2),SUM($AV80:BB80),0)+IF(RIGHT(BX$40,2)&gt;RIGHT($K80,2),BB80,0))</f>
        <v>1.3</v>
      </c>
      <c r="BY80" s="525">
        <f>+IF($K80="Ongoing",BC80,IF(RIGHT($K80,2)=RIGHT(BY$40,2),SUM($AV80:BC80),0)+IF(RIGHT(BY$40,2)&gt;RIGHT($K80,2),BC80,0))</f>
        <v>1.3</v>
      </c>
      <c r="BZ80" s="525">
        <f>+IF($K80="Ongoing",BD80,IF(RIGHT($K80,2)=RIGHT(BZ$40,2),SUM($AV80:BD80),0)+IF(RIGHT(BZ$40,2)&gt;RIGHT($K80,2),BD80,0))</f>
        <v>1.3</v>
      </c>
      <c r="CA80" s="526">
        <f>+IF($K80="Ongoing",BE80,IF(RIGHT($K80,2)=RIGHT(CA$40,2),SUM($AV80:BE80),0)+IF(RIGHT(CA$40,2)&gt;RIGHT($K80,2),BE80,0))</f>
        <v>1.3</v>
      </c>
      <c r="CB80" s="467"/>
      <c r="CC80" s="524">
        <f>+O80*KeyAssumptionsPriceControl_FO!AF$15</f>
        <v>1.3376999999999999</v>
      </c>
      <c r="CD80" s="525">
        <f>+P80*KeyAssumptionsPriceControl_FO!AG$15</f>
        <v>1.3764932999999999</v>
      </c>
      <c r="CE80" s="525">
        <f>+Q80*KeyAssumptionsPriceControl_FO!AH$15</f>
        <v>1.4164116056999998</v>
      </c>
      <c r="CF80" s="525">
        <f>+R80*KeyAssumptionsPriceControl_FO!AI$15</f>
        <v>1.4574875422652998</v>
      </c>
      <c r="CG80" s="526">
        <f>+S80*KeyAssumptionsPriceControl_FO!AJ$15</f>
        <v>1.4997546809909934</v>
      </c>
      <c r="CH80" s="524">
        <f>+T80*KeyAssumptionsPriceControl_FO!AK$15</f>
        <v>1.5432475667397321</v>
      </c>
      <c r="CI80" s="525">
        <f>+U80*KeyAssumptionsPriceControl_FO!AL$15</f>
        <v>1.5880017461751841</v>
      </c>
      <c r="CJ80" s="525">
        <f>+V80*KeyAssumptionsPriceControl_FO!AM$15</f>
        <v>1.6340537968142643</v>
      </c>
      <c r="CK80" s="525">
        <f>+W80*KeyAssumptionsPriceControl_FO!AN$15</f>
        <v>1.6814413569218778</v>
      </c>
      <c r="CL80" s="526">
        <f>+X80*KeyAssumptionsPriceControl_FO!AO$15</f>
        <v>1.7302031562726123</v>
      </c>
      <c r="CM80" s="467"/>
      <c r="CN80" s="524">
        <f t="shared" ca="1" si="41"/>
        <v>9.5549999999999996E-2</v>
      </c>
      <c r="CO80" s="525">
        <f t="shared" ca="1" si="42"/>
        <v>0.28942095000000001</v>
      </c>
      <c r="CP80" s="525">
        <f t="shared" ca="1" si="42"/>
        <v>0.48891415754999995</v>
      </c>
      <c r="CQ80" s="525">
        <f t="shared" ca="1" si="42"/>
        <v>0.69419266811894986</v>
      </c>
      <c r="CR80" s="526">
        <f t="shared" ca="1" si="42"/>
        <v>0.90542425549439942</v>
      </c>
      <c r="CS80" s="524">
        <f t="shared" ca="1" si="42"/>
        <v>1.1227815589037369</v>
      </c>
      <c r="CT80" s="525">
        <f t="shared" ca="1" si="42"/>
        <v>1.3464422241119451</v>
      </c>
      <c r="CU80" s="525">
        <f t="shared" ca="1" si="42"/>
        <v>1.4810390486111915</v>
      </c>
      <c r="CV80" s="525">
        <f t="shared" ca="1" si="42"/>
        <v>1.5239891810209161</v>
      </c>
      <c r="CW80" s="526">
        <f t="shared" ca="1" si="42"/>
        <v>1.5681848672705225</v>
      </c>
      <c r="CX80" s="467"/>
    </row>
    <row r="81" spans="2:102">
      <c r="B81" s="502"/>
      <c r="C81" s="1589" t="s">
        <v>1371</v>
      </c>
      <c r="D81" s="1590"/>
      <c r="E81" s="1591" t="s">
        <v>20</v>
      </c>
      <c r="F81" s="1591" t="s">
        <v>516</v>
      </c>
      <c r="G81" s="1589" t="s">
        <v>10</v>
      </c>
      <c r="H81" s="2226" t="s">
        <v>520</v>
      </c>
      <c r="I81" s="2227"/>
      <c r="J81" s="1592" t="s">
        <v>279</v>
      </c>
      <c r="K81" s="1593" t="s">
        <v>295</v>
      </c>
      <c r="L81" s="1593">
        <v>10</v>
      </c>
      <c r="M81" s="1593">
        <v>10</v>
      </c>
      <c r="N81" s="467"/>
      <c r="O81" s="551">
        <v>8.9999999999999993E-3</v>
      </c>
      <c r="P81" s="552">
        <v>8.9999999999999993E-3</v>
      </c>
      <c r="Q81" s="552">
        <v>8.9999999999999993E-3</v>
      </c>
      <c r="R81" s="552">
        <v>8.9999999999999993E-3</v>
      </c>
      <c r="S81" s="553">
        <v>8.9999999999999993E-3</v>
      </c>
      <c r="T81" s="551">
        <v>8.9999999999999993E-3</v>
      </c>
      <c r="U81" s="552">
        <v>8.9999999999999993E-3</v>
      </c>
      <c r="V81" s="552">
        <v>8.9999999999999993E-3</v>
      </c>
      <c r="W81" s="552">
        <v>8.9999999999999993E-3</v>
      </c>
      <c r="X81" s="553">
        <v>8.9999999999999993E-3</v>
      </c>
      <c r="Y81" s="547"/>
      <c r="Z81" s="551"/>
      <c r="AA81" s="552"/>
      <c r="AB81" s="552"/>
      <c r="AC81" s="552"/>
      <c r="AD81" s="553"/>
      <c r="AE81" s="551"/>
      <c r="AF81" s="552"/>
      <c r="AG81" s="552"/>
      <c r="AH81" s="552"/>
      <c r="AI81" s="553"/>
      <c r="AJ81" s="547"/>
      <c r="AK81" s="551"/>
      <c r="AL81" s="552"/>
      <c r="AM81" s="552"/>
      <c r="AN81" s="552"/>
      <c r="AO81" s="553"/>
      <c r="AP81" s="551"/>
      <c r="AQ81" s="552"/>
      <c r="AR81" s="552"/>
      <c r="AS81" s="552"/>
      <c r="AT81" s="553"/>
      <c r="AU81" s="467"/>
      <c r="AV81" s="524">
        <f t="shared" si="38"/>
        <v>8.9999999999999993E-3</v>
      </c>
      <c r="AW81" s="525">
        <f t="shared" si="38"/>
        <v>8.9999999999999993E-3</v>
      </c>
      <c r="AX81" s="525">
        <f t="shared" si="38"/>
        <v>8.9999999999999993E-3</v>
      </c>
      <c r="AY81" s="525">
        <f t="shared" si="38"/>
        <v>8.9999999999999993E-3</v>
      </c>
      <c r="AZ81" s="526">
        <f t="shared" si="38"/>
        <v>8.9999999999999993E-3</v>
      </c>
      <c r="BA81" s="524">
        <f t="shared" si="38"/>
        <v>8.9999999999999993E-3</v>
      </c>
      <c r="BB81" s="525">
        <f t="shared" si="38"/>
        <v>8.9999999999999993E-3</v>
      </c>
      <c r="BC81" s="525">
        <f t="shared" si="38"/>
        <v>8.9999999999999993E-3</v>
      </c>
      <c r="BD81" s="525">
        <f t="shared" si="38"/>
        <v>8.9999999999999993E-3</v>
      </c>
      <c r="BE81" s="526">
        <f t="shared" si="38"/>
        <v>8.9999999999999993E-3</v>
      </c>
      <c r="BF81" s="467"/>
      <c r="BG81" s="524">
        <f t="shared" ca="1" si="39"/>
        <v>4.4999999999999999E-4</v>
      </c>
      <c r="BH81" s="525">
        <f t="shared" ca="1" si="40"/>
        <v>1.3500000000000001E-3</v>
      </c>
      <c r="BI81" s="525">
        <f t="shared" ca="1" si="40"/>
        <v>2.2499999999999998E-3</v>
      </c>
      <c r="BJ81" s="525">
        <f t="shared" ca="1" si="40"/>
        <v>3.1499999999999996E-3</v>
      </c>
      <c r="BK81" s="526">
        <f t="shared" ca="1" si="40"/>
        <v>4.0499999999999998E-3</v>
      </c>
      <c r="BL81" s="524">
        <f t="shared" ca="1" si="40"/>
        <v>4.9499999999999995E-3</v>
      </c>
      <c r="BM81" s="525">
        <f t="shared" ca="1" si="40"/>
        <v>5.8500000000000002E-3</v>
      </c>
      <c r="BN81" s="525">
        <f t="shared" ca="1" si="40"/>
        <v>6.7499999999999999E-3</v>
      </c>
      <c r="BO81" s="525">
        <f t="shared" ca="1" si="40"/>
        <v>7.6499999999999997E-3</v>
      </c>
      <c r="BP81" s="526">
        <f t="shared" ca="1" si="40"/>
        <v>8.5500000000000003E-3</v>
      </c>
      <c r="BQ81" s="467"/>
      <c r="BR81" s="524">
        <f>+IF($K81="Ongoing",AV81,IF(RIGHT($K81,2)=RIGHT(BR$40,2),SUM($AV81:AV81),0)+IF(RIGHT(BR$40,2)&gt;RIGHT($K81,2),AV81,0))</f>
        <v>8.9999999999999993E-3</v>
      </c>
      <c r="BS81" s="525">
        <f>+IF($K81="Ongoing",AW81,IF(RIGHT($K81,2)=RIGHT(BS$40,2),SUM($AV81:AW81),0)+IF(RIGHT(BS$40,2)&gt;RIGHT($K81,2),AW81,0))</f>
        <v>8.9999999999999993E-3</v>
      </c>
      <c r="BT81" s="525">
        <f>+IF($K81="Ongoing",AX81,IF(RIGHT($K81,2)=RIGHT(BT$40,2),SUM($AV81:AX81),0)+IF(RIGHT(BT$40,2)&gt;RIGHT($K81,2),AX81,0))</f>
        <v>8.9999999999999993E-3</v>
      </c>
      <c r="BU81" s="525">
        <f>+IF($K81="Ongoing",AY81,IF(RIGHT($K81,2)=RIGHT(BU$40,2),SUM($AV81:AY81),0)+IF(RIGHT(BU$40,2)&gt;RIGHT($K81,2),AY81,0))</f>
        <v>8.9999999999999993E-3</v>
      </c>
      <c r="BV81" s="526">
        <f>+IF($K81="Ongoing",AZ81,IF(RIGHT($K81,2)=RIGHT(BV$40,2),SUM($AV81:AZ81),0)+IF(RIGHT(BV$40,2)&gt;RIGHT($K81,2),AZ81,0))</f>
        <v>8.9999999999999993E-3</v>
      </c>
      <c r="BW81" s="524">
        <f>+IF($K81="Ongoing",BA81,IF(RIGHT($K81,2)=RIGHT(BW$40,2),SUM($AV81:BA81),0)+IF(RIGHT(BW$40,2)&gt;RIGHT($K81,2),BA81,0))</f>
        <v>8.9999999999999993E-3</v>
      </c>
      <c r="BX81" s="525">
        <f>+IF($K81="Ongoing",BB81,IF(RIGHT($K81,2)=RIGHT(BX$40,2),SUM($AV81:BB81),0)+IF(RIGHT(BX$40,2)&gt;RIGHT($K81,2),BB81,0))</f>
        <v>8.9999999999999993E-3</v>
      </c>
      <c r="BY81" s="525">
        <f>+IF($K81="Ongoing",BC81,IF(RIGHT($K81,2)=RIGHT(BY$40,2),SUM($AV81:BC81),0)+IF(RIGHT(BY$40,2)&gt;RIGHT($K81,2),BC81,0))</f>
        <v>8.9999999999999993E-3</v>
      </c>
      <c r="BZ81" s="525">
        <f>+IF($K81="Ongoing",BD81,IF(RIGHT($K81,2)=RIGHT(BZ$40,2),SUM($AV81:BD81),0)+IF(RIGHT(BZ$40,2)&gt;RIGHT($K81,2),BD81,0))</f>
        <v>8.9999999999999993E-3</v>
      </c>
      <c r="CA81" s="526">
        <f>+IF($K81="Ongoing",BE81,IF(RIGHT($K81,2)=RIGHT(CA$40,2),SUM($AV81:BE81),0)+IF(RIGHT(CA$40,2)&gt;RIGHT($K81,2),BE81,0))</f>
        <v>8.9999999999999993E-3</v>
      </c>
      <c r="CB81" s="467"/>
      <c r="CC81" s="524">
        <f>+O81*KeyAssumptionsPriceControl_FO!AF$15</f>
        <v>9.2609999999999984E-3</v>
      </c>
      <c r="CD81" s="525">
        <f>+P81*KeyAssumptionsPriceControl_FO!AG$15</f>
        <v>9.5295689999999982E-3</v>
      </c>
      <c r="CE81" s="525">
        <f>+Q81*KeyAssumptionsPriceControl_FO!AH$15</f>
        <v>9.805926500999998E-3</v>
      </c>
      <c r="CF81" s="525">
        <f>+R81*KeyAssumptionsPriceControl_FO!AI$15</f>
        <v>1.0090298369528997E-2</v>
      </c>
      <c r="CG81" s="526">
        <f>+S81*KeyAssumptionsPriceControl_FO!AJ$15</f>
        <v>1.0382917022245338E-2</v>
      </c>
      <c r="CH81" s="524">
        <f>+T81*KeyAssumptionsPriceControl_FO!AK$15</f>
        <v>1.0684021615890452E-2</v>
      </c>
      <c r="CI81" s="525">
        <f>+U81*KeyAssumptionsPriceControl_FO!AL$15</f>
        <v>1.0993858242751273E-2</v>
      </c>
      <c r="CJ81" s="525">
        <f>+V81*KeyAssumptionsPriceControl_FO!AM$15</f>
        <v>1.1312680131791061E-2</v>
      </c>
      <c r="CK81" s="525">
        <f>+W81*KeyAssumptionsPriceControl_FO!AN$15</f>
        <v>1.1640747855612999E-2</v>
      </c>
      <c r="CL81" s="526">
        <f>+X81*KeyAssumptionsPriceControl_FO!AO$15</f>
        <v>1.1978329543425776E-2</v>
      </c>
      <c r="CM81" s="467"/>
      <c r="CN81" s="524">
        <f t="shared" ca="1" si="41"/>
        <v>4.630499999999999E-4</v>
      </c>
      <c r="CO81" s="525">
        <f t="shared" ca="1" si="42"/>
        <v>1.4025784499999997E-3</v>
      </c>
      <c r="CP81" s="525">
        <f t="shared" ca="1" si="42"/>
        <v>2.3693532250499997E-3</v>
      </c>
      <c r="CQ81" s="525">
        <f t="shared" ca="1" si="42"/>
        <v>3.3641644685764496E-3</v>
      </c>
      <c r="CR81" s="526">
        <f t="shared" ca="1" si="42"/>
        <v>4.3878252381651661E-3</v>
      </c>
      <c r="CS81" s="524">
        <f t="shared" ca="1" si="42"/>
        <v>5.4411721700719558E-3</v>
      </c>
      <c r="CT81" s="525">
        <f t="shared" ca="1" si="42"/>
        <v>6.5250661630040412E-3</v>
      </c>
      <c r="CU81" s="525">
        <f t="shared" ca="1" si="42"/>
        <v>7.6403930817311588E-3</v>
      </c>
      <c r="CV81" s="525">
        <f t="shared" ca="1" si="42"/>
        <v>8.7880644811013618E-3</v>
      </c>
      <c r="CW81" s="526">
        <f t="shared" ca="1" si="42"/>
        <v>9.9690183510532989E-3</v>
      </c>
      <c r="CX81" s="467"/>
    </row>
    <row r="82" spans="2:102">
      <c r="B82" s="502"/>
      <c r="C82" s="1589" t="s">
        <v>1372</v>
      </c>
      <c r="D82" s="1590"/>
      <c r="E82" s="1591" t="s">
        <v>20</v>
      </c>
      <c r="F82" s="1591" t="s">
        <v>516</v>
      </c>
      <c r="G82" s="1589" t="s">
        <v>6</v>
      </c>
      <c r="H82" s="2226" t="s">
        <v>521</v>
      </c>
      <c r="I82" s="2227"/>
      <c r="J82" s="1592" t="s">
        <v>279</v>
      </c>
      <c r="K82" s="1593" t="s">
        <v>964</v>
      </c>
      <c r="L82" s="1593">
        <v>15</v>
      </c>
      <c r="M82" s="1593">
        <v>15</v>
      </c>
      <c r="N82" s="467"/>
      <c r="O82" s="551">
        <v>0</v>
      </c>
      <c r="P82" s="552">
        <v>0</v>
      </c>
      <c r="Q82" s="552">
        <v>0</v>
      </c>
      <c r="R82" s="552">
        <v>0.22</v>
      </c>
      <c r="S82" s="553">
        <v>0</v>
      </c>
      <c r="T82" s="551">
        <v>0</v>
      </c>
      <c r="U82" s="552">
        <v>0</v>
      </c>
      <c r="V82" s="552">
        <v>0</v>
      </c>
      <c r="W82" s="552">
        <v>0</v>
      </c>
      <c r="X82" s="553">
        <v>0</v>
      </c>
      <c r="Y82" s="547"/>
      <c r="Z82" s="551"/>
      <c r="AA82" s="552"/>
      <c r="AB82" s="552"/>
      <c r="AC82" s="552"/>
      <c r="AD82" s="553"/>
      <c r="AE82" s="551"/>
      <c r="AF82" s="552"/>
      <c r="AG82" s="552"/>
      <c r="AH82" s="552"/>
      <c r="AI82" s="553"/>
      <c r="AJ82" s="547"/>
      <c r="AK82" s="551"/>
      <c r="AL82" s="552"/>
      <c r="AM82" s="552"/>
      <c r="AN82" s="552"/>
      <c r="AO82" s="553"/>
      <c r="AP82" s="551"/>
      <c r="AQ82" s="552"/>
      <c r="AR82" s="552"/>
      <c r="AS82" s="552"/>
      <c r="AT82" s="553"/>
      <c r="AU82" s="467"/>
      <c r="AV82" s="524">
        <f t="shared" si="38"/>
        <v>0</v>
      </c>
      <c r="AW82" s="525">
        <f t="shared" si="38"/>
        <v>0</v>
      </c>
      <c r="AX82" s="525">
        <f t="shared" si="38"/>
        <v>0</v>
      </c>
      <c r="AY82" s="525">
        <f t="shared" si="38"/>
        <v>0.22</v>
      </c>
      <c r="AZ82" s="526">
        <f t="shared" si="38"/>
        <v>0</v>
      </c>
      <c r="BA82" s="524">
        <f t="shared" si="38"/>
        <v>0</v>
      </c>
      <c r="BB82" s="525">
        <f t="shared" si="38"/>
        <v>0</v>
      </c>
      <c r="BC82" s="525">
        <f t="shared" si="38"/>
        <v>0</v>
      </c>
      <c r="BD82" s="525">
        <f t="shared" si="38"/>
        <v>0</v>
      </c>
      <c r="BE82" s="526">
        <f t="shared" si="38"/>
        <v>0</v>
      </c>
      <c r="BF82" s="467"/>
      <c r="BG82" s="524">
        <f t="shared" ca="1" si="39"/>
        <v>0</v>
      </c>
      <c r="BH82" s="525">
        <f t="shared" ca="1" si="40"/>
        <v>0</v>
      </c>
      <c r="BI82" s="525">
        <f t="shared" ca="1" si="40"/>
        <v>0</v>
      </c>
      <c r="BJ82" s="525">
        <f t="shared" ca="1" si="40"/>
        <v>7.3333333333333332E-3</v>
      </c>
      <c r="BK82" s="526">
        <f t="shared" ca="1" si="40"/>
        <v>1.4666666666666666E-2</v>
      </c>
      <c r="BL82" s="524">
        <f t="shared" ca="1" si="40"/>
        <v>1.4666666666666666E-2</v>
      </c>
      <c r="BM82" s="525">
        <f t="shared" ca="1" si="40"/>
        <v>1.4666666666666666E-2</v>
      </c>
      <c r="BN82" s="525">
        <f t="shared" ca="1" si="40"/>
        <v>1.4666666666666666E-2</v>
      </c>
      <c r="BO82" s="525">
        <f t="shared" ca="1" si="40"/>
        <v>1.4666666666666666E-2</v>
      </c>
      <c r="BP82" s="526">
        <f t="shared" ca="1" si="40"/>
        <v>1.4666666666666666E-2</v>
      </c>
      <c r="BQ82" s="467"/>
      <c r="BR82" s="524">
        <f>+IF($K82="Ongoing",AV82,IF(RIGHT($K82,2)=RIGHT(BR$40,2),SUM($AV82:AV82),0)+IF(RIGHT(BR$40,2)&gt;RIGHT($K82,2),AV82,0))</f>
        <v>0</v>
      </c>
      <c r="BS82" s="525">
        <f>+IF($K82="Ongoing",AW82,IF(RIGHT($K82,2)=RIGHT(BS$40,2),SUM($AV82:AW82),0)+IF(RIGHT(BS$40,2)&gt;RIGHT($K82,2),AW82,0))</f>
        <v>0</v>
      </c>
      <c r="BT82" s="525">
        <f>+IF($K82="Ongoing",AX82,IF(RIGHT($K82,2)=RIGHT(BT$40,2),SUM($AV82:AX82),0)+IF(RIGHT(BT$40,2)&gt;RIGHT($K82,2),AX82,0))</f>
        <v>0</v>
      </c>
      <c r="BU82" s="525">
        <f>+IF($K82="Ongoing",AY82,IF(RIGHT($K82,2)=RIGHT(BU$40,2),SUM($AV82:AY82),0)+IF(RIGHT(BU$40,2)&gt;RIGHT($K82,2),AY82,0))</f>
        <v>0.22</v>
      </c>
      <c r="BV82" s="526">
        <f>+IF($K82="Ongoing",AZ82,IF(RIGHT($K82,2)=RIGHT(BV$40,2),SUM($AV82:AZ82),0)+IF(RIGHT(BV$40,2)&gt;RIGHT($K82,2),AZ82,0))</f>
        <v>0</v>
      </c>
      <c r="BW82" s="524">
        <f>+IF($K82="Ongoing",BA82,IF(RIGHT($K82,2)=RIGHT(BW$40,2),SUM($AV82:BA82),0)+IF(RIGHT(BW$40,2)&gt;RIGHT($K82,2),BA82,0))</f>
        <v>0</v>
      </c>
      <c r="BX82" s="525">
        <f>+IF($K82="Ongoing",BB82,IF(RIGHT($K82,2)=RIGHT(BX$40,2),SUM($AV82:BB82),0)+IF(RIGHT(BX$40,2)&gt;RIGHT($K82,2),BB82,0))</f>
        <v>0</v>
      </c>
      <c r="BY82" s="525">
        <f>+IF($K82="Ongoing",BC82,IF(RIGHT($K82,2)=RIGHT(BY$40,2),SUM($AV82:BC82),0)+IF(RIGHT(BY$40,2)&gt;RIGHT($K82,2),BC82,0))</f>
        <v>0</v>
      </c>
      <c r="BZ82" s="525">
        <f>+IF($K82="Ongoing",BD82,IF(RIGHT($K82,2)=RIGHT(BZ$40,2),SUM($AV82:BD82),0)+IF(RIGHT(BZ$40,2)&gt;RIGHT($K82,2),BD82,0))</f>
        <v>0</v>
      </c>
      <c r="CA82" s="526">
        <f>+IF($K82="Ongoing",BE82,IF(RIGHT($K82,2)=RIGHT(CA$40,2),SUM($AV82:BE82),0)+IF(RIGHT(CA$40,2)&gt;RIGHT($K82,2),BE82,0))</f>
        <v>0</v>
      </c>
      <c r="CB82" s="467"/>
      <c r="CC82" s="524">
        <f>+O82*KeyAssumptionsPriceControl_FO!AF$15</f>
        <v>0</v>
      </c>
      <c r="CD82" s="525">
        <f>+P82*KeyAssumptionsPriceControl_FO!AG$15</f>
        <v>0</v>
      </c>
      <c r="CE82" s="525">
        <f>+Q82*KeyAssumptionsPriceControl_FO!AH$15</f>
        <v>0</v>
      </c>
      <c r="CF82" s="525">
        <f>+R82*KeyAssumptionsPriceControl_FO!AI$15</f>
        <v>0.24665173792181996</v>
      </c>
      <c r="CG82" s="526">
        <f>+S82*KeyAssumptionsPriceControl_FO!AJ$15</f>
        <v>0</v>
      </c>
      <c r="CH82" s="524">
        <f>+T82*KeyAssumptionsPriceControl_FO!AK$15</f>
        <v>0</v>
      </c>
      <c r="CI82" s="525">
        <f>+U82*KeyAssumptionsPriceControl_FO!AL$15</f>
        <v>0</v>
      </c>
      <c r="CJ82" s="525">
        <f>+V82*KeyAssumptionsPriceControl_FO!AM$15</f>
        <v>0</v>
      </c>
      <c r="CK82" s="525">
        <f>+W82*KeyAssumptionsPriceControl_FO!AN$15</f>
        <v>0</v>
      </c>
      <c r="CL82" s="526">
        <f>+X82*KeyAssumptionsPriceControl_FO!AO$15</f>
        <v>0</v>
      </c>
      <c r="CM82" s="467"/>
      <c r="CN82" s="524">
        <f t="shared" ca="1" si="41"/>
        <v>0</v>
      </c>
      <c r="CO82" s="525">
        <f t="shared" ca="1" si="42"/>
        <v>0</v>
      </c>
      <c r="CP82" s="525">
        <f t="shared" ca="1" si="42"/>
        <v>0</v>
      </c>
      <c r="CQ82" s="525">
        <f t="shared" ca="1" si="42"/>
        <v>8.2217245973939986E-3</v>
      </c>
      <c r="CR82" s="526">
        <f t="shared" ca="1" si="42"/>
        <v>1.6443449194787997E-2</v>
      </c>
      <c r="CS82" s="524">
        <f t="shared" ca="1" si="42"/>
        <v>1.6443449194787997E-2</v>
      </c>
      <c r="CT82" s="525">
        <f t="shared" ca="1" si="42"/>
        <v>1.6443449194787997E-2</v>
      </c>
      <c r="CU82" s="525">
        <f t="shared" ca="1" si="42"/>
        <v>1.6443449194787997E-2</v>
      </c>
      <c r="CV82" s="525">
        <f t="shared" ca="1" si="42"/>
        <v>1.6443449194787997E-2</v>
      </c>
      <c r="CW82" s="526">
        <f t="shared" ca="1" si="42"/>
        <v>1.6443449194787997E-2</v>
      </c>
      <c r="CX82" s="467"/>
    </row>
    <row r="83" spans="2:102">
      <c r="B83" s="502"/>
      <c r="C83" s="1589" t="s">
        <v>1373</v>
      </c>
      <c r="D83" s="1590"/>
      <c r="E83" s="1591" t="s">
        <v>20</v>
      </c>
      <c r="F83" s="1591" t="s">
        <v>516</v>
      </c>
      <c r="G83" s="1589" t="s">
        <v>13</v>
      </c>
      <c r="H83" s="2226" t="s">
        <v>521</v>
      </c>
      <c r="I83" s="2227"/>
      <c r="J83" s="1592" t="s">
        <v>279</v>
      </c>
      <c r="K83" s="1593" t="s">
        <v>528</v>
      </c>
      <c r="L83" s="1593">
        <v>50</v>
      </c>
      <c r="M83" s="1593">
        <v>50</v>
      </c>
      <c r="N83" s="467"/>
      <c r="O83" s="551">
        <v>0.08</v>
      </c>
      <c r="P83" s="552">
        <v>0.32</v>
      </c>
      <c r="Q83" s="552">
        <v>0</v>
      </c>
      <c r="R83" s="552">
        <v>0</v>
      </c>
      <c r="S83" s="553">
        <v>0</v>
      </c>
      <c r="T83" s="551">
        <v>0</v>
      </c>
      <c r="U83" s="552">
        <v>0</v>
      </c>
      <c r="V83" s="552">
        <v>0</v>
      </c>
      <c r="W83" s="552">
        <v>0</v>
      </c>
      <c r="X83" s="553">
        <v>0</v>
      </c>
      <c r="Y83" s="547"/>
      <c r="Z83" s="551"/>
      <c r="AA83" s="552"/>
      <c r="AB83" s="552"/>
      <c r="AC83" s="552"/>
      <c r="AD83" s="553"/>
      <c r="AE83" s="551"/>
      <c r="AF83" s="552"/>
      <c r="AG83" s="552"/>
      <c r="AH83" s="552"/>
      <c r="AI83" s="553"/>
      <c r="AJ83" s="547"/>
      <c r="AK83" s="551"/>
      <c r="AL83" s="552"/>
      <c r="AM83" s="552"/>
      <c r="AN83" s="552"/>
      <c r="AO83" s="553"/>
      <c r="AP83" s="551"/>
      <c r="AQ83" s="552"/>
      <c r="AR83" s="552"/>
      <c r="AS83" s="552"/>
      <c r="AT83" s="553"/>
      <c r="AU83" s="467"/>
      <c r="AV83" s="524">
        <f t="shared" si="38"/>
        <v>0.08</v>
      </c>
      <c r="AW83" s="525">
        <f t="shared" si="38"/>
        <v>0.32</v>
      </c>
      <c r="AX83" s="525">
        <f t="shared" si="38"/>
        <v>0</v>
      </c>
      <c r="AY83" s="525">
        <f t="shared" si="38"/>
        <v>0</v>
      </c>
      <c r="AZ83" s="526">
        <f t="shared" si="38"/>
        <v>0</v>
      </c>
      <c r="BA83" s="524">
        <f t="shared" si="38"/>
        <v>0</v>
      </c>
      <c r="BB83" s="525">
        <f t="shared" si="38"/>
        <v>0</v>
      </c>
      <c r="BC83" s="525">
        <f t="shared" si="38"/>
        <v>0</v>
      </c>
      <c r="BD83" s="525">
        <f t="shared" si="38"/>
        <v>0</v>
      </c>
      <c r="BE83" s="526">
        <f t="shared" si="38"/>
        <v>0</v>
      </c>
      <c r="BF83" s="467"/>
      <c r="BG83" s="524">
        <f t="shared" ca="1" si="39"/>
        <v>0</v>
      </c>
      <c r="BH83" s="525">
        <f t="shared" ca="1" si="40"/>
        <v>4.0000000000000001E-3</v>
      </c>
      <c r="BI83" s="525">
        <f t="shared" ca="1" si="40"/>
        <v>8.0000000000000002E-3</v>
      </c>
      <c r="BJ83" s="525">
        <f t="shared" ca="1" si="40"/>
        <v>8.0000000000000002E-3</v>
      </c>
      <c r="BK83" s="526">
        <f t="shared" ca="1" si="40"/>
        <v>8.0000000000000002E-3</v>
      </c>
      <c r="BL83" s="524">
        <f t="shared" ca="1" si="40"/>
        <v>8.0000000000000002E-3</v>
      </c>
      <c r="BM83" s="525">
        <f t="shared" ca="1" si="40"/>
        <v>8.0000000000000002E-3</v>
      </c>
      <c r="BN83" s="525">
        <f t="shared" ca="1" si="40"/>
        <v>8.0000000000000002E-3</v>
      </c>
      <c r="BO83" s="525">
        <f t="shared" ca="1" si="40"/>
        <v>8.0000000000000002E-3</v>
      </c>
      <c r="BP83" s="526">
        <f t="shared" ca="1" si="40"/>
        <v>8.0000000000000002E-3</v>
      </c>
      <c r="BQ83" s="467"/>
      <c r="BR83" s="524">
        <f>+IF($K83="Ongoing",AV83,IF(RIGHT($K83,2)=RIGHT(BR$40,2),SUM($AV83:AV83),0)+IF(RIGHT(BR$40,2)&gt;RIGHT($K83,2),AV83,0))</f>
        <v>0</v>
      </c>
      <c r="BS83" s="525">
        <f>+IF($K83="Ongoing",AW83,IF(RIGHT($K83,2)=RIGHT(BS$40,2),SUM($AV83:AW83),0)+IF(RIGHT(BS$40,2)&gt;RIGHT($K83,2),AW83,0))</f>
        <v>0.4</v>
      </c>
      <c r="BT83" s="525">
        <f>+IF($K83="Ongoing",AX83,IF(RIGHT($K83,2)=RIGHT(BT$40,2),SUM($AV83:AX83),0)+IF(RIGHT(BT$40,2)&gt;RIGHT($K83,2),AX83,0))</f>
        <v>0</v>
      </c>
      <c r="BU83" s="525">
        <f>+IF($K83="Ongoing",AY83,IF(RIGHT($K83,2)=RIGHT(BU$40,2),SUM($AV83:AY83),0)+IF(RIGHT(BU$40,2)&gt;RIGHT($K83,2),AY83,0))</f>
        <v>0</v>
      </c>
      <c r="BV83" s="526">
        <f>+IF($K83="Ongoing",AZ83,IF(RIGHT($K83,2)=RIGHT(BV$40,2),SUM($AV83:AZ83),0)+IF(RIGHT(BV$40,2)&gt;RIGHT($K83,2),AZ83,0))</f>
        <v>0</v>
      </c>
      <c r="BW83" s="524">
        <f>+IF($K83="Ongoing",BA83,IF(RIGHT($K83,2)=RIGHT(BW$40,2),SUM($AV83:BA83),0)+IF(RIGHT(BW$40,2)&gt;RIGHT($K83,2),BA83,0))</f>
        <v>0</v>
      </c>
      <c r="BX83" s="525">
        <f>+IF($K83="Ongoing",BB83,IF(RIGHT($K83,2)=RIGHT(BX$40,2),SUM($AV83:BB83),0)+IF(RIGHT(BX$40,2)&gt;RIGHT($K83,2),BB83,0))</f>
        <v>0</v>
      </c>
      <c r="BY83" s="525">
        <f>+IF($K83="Ongoing",BC83,IF(RIGHT($K83,2)=RIGHT(BY$40,2),SUM($AV83:BC83),0)+IF(RIGHT(BY$40,2)&gt;RIGHT($K83,2),BC83,0))</f>
        <v>0</v>
      </c>
      <c r="BZ83" s="525">
        <f>+IF($K83="Ongoing",BD83,IF(RIGHT($K83,2)=RIGHT(BZ$40,2),SUM($AV83:BD83),0)+IF(RIGHT(BZ$40,2)&gt;RIGHT($K83,2),BD83,0))</f>
        <v>0</v>
      </c>
      <c r="CA83" s="526">
        <f>+IF($K83="Ongoing",BE83,IF(RIGHT($K83,2)=RIGHT(CA$40,2),SUM($AV83:BE83),0)+IF(RIGHT(CA$40,2)&gt;RIGHT($K83,2),BE83,0))</f>
        <v>0</v>
      </c>
      <c r="CB83" s="467"/>
      <c r="CC83" s="524">
        <f>+O83*KeyAssumptionsPriceControl_FO!AF$15</f>
        <v>8.231999999999999E-2</v>
      </c>
      <c r="CD83" s="525">
        <f>+P83*KeyAssumptionsPriceControl_FO!AG$15</f>
        <v>0.33882911999999998</v>
      </c>
      <c r="CE83" s="525">
        <f>+Q83*KeyAssumptionsPriceControl_FO!AH$15</f>
        <v>0</v>
      </c>
      <c r="CF83" s="525">
        <f>+R83*KeyAssumptionsPriceControl_FO!AI$15</f>
        <v>0</v>
      </c>
      <c r="CG83" s="526">
        <f>+S83*KeyAssumptionsPriceControl_FO!AJ$15</f>
        <v>0</v>
      </c>
      <c r="CH83" s="524">
        <f>+T83*KeyAssumptionsPriceControl_FO!AK$15</f>
        <v>0</v>
      </c>
      <c r="CI83" s="525">
        <f>+U83*KeyAssumptionsPriceControl_FO!AL$15</f>
        <v>0</v>
      </c>
      <c r="CJ83" s="525">
        <f>+V83*KeyAssumptionsPriceControl_FO!AM$15</f>
        <v>0</v>
      </c>
      <c r="CK83" s="525">
        <f>+W83*KeyAssumptionsPriceControl_FO!AN$15</f>
        <v>0</v>
      </c>
      <c r="CL83" s="526">
        <f>+X83*KeyAssumptionsPriceControl_FO!AO$15</f>
        <v>0</v>
      </c>
      <c r="CM83" s="467"/>
      <c r="CN83" s="524">
        <f t="shared" ca="1" si="41"/>
        <v>8.2319999999999995E-4</v>
      </c>
      <c r="CO83" s="525">
        <f t="shared" ca="1" si="42"/>
        <v>5.0346912000000001E-3</v>
      </c>
      <c r="CP83" s="525">
        <f t="shared" ca="1" si="42"/>
        <v>8.4229823999999991E-3</v>
      </c>
      <c r="CQ83" s="525">
        <f t="shared" ca="1" si="42"/>
        <v>8.4229823999999991E-3</v>
      </c>
      <c r="CR83" s="526">
        <f t="shared" ca="1" si="42"/>
        <v>8.4229823999999991E-3</v>
      </c>
      <c r="CS83" s="524">
        <f t="shared" ca="1" si="42"/>
        <v>8.4229823999999991E-3</v>
      </c>
      <c r="CT83" s="525">
        <f t="shared" ca="1" si="42"/>
        <v>8.4229823999999991E-3</v>
      </c>
      <c r="CU83" s="525">
        <f t="shared" ca="1" si="42"/>
        <v>8.4229823999999991E-3</v>
      </c>
      <c r="CV83" s="525">
        <f t="shared" ca="1" si="42"/>
        <v>8.4229823999999991E-3</v>
      </c>
      <c r="CW83" s="526">
        <f t="shared" ca="1" si="42"/>
        <v>8.4229823999999991E-3</v>
      </c>
      <c r="CX83" s="467"/>
    </row>
    <row r="84" spans="2:102">
      <c r="B84" s="502"/>
      <c r="C84" s="1589" t="s">
        <v>1374</v>
      </c>
      <c r="D84" s="1590"/>
      <c r="E84" s="1591" t="s">
        <v>20</v>
      </c>
      <c r="F84" s="1591" t="s">
        <v>516</v>
      </c>
      <c r="G84" s="1589" t="s">
        <v>6</v>
      </c>
      <c r="H84" s="2226" t="s">
        <v>521</v>
      </c>
      <c r="I84" s="2227"/>
      <c r="J84" s="1592" t="s">
        <v>279</v>
      </c>
      <c r="K84" s="1593" t="s">
        <v>964</v>
      </c>
      <c r="L84" s="1593">
        <v>15</v>
      </c>
      <c r="M84" s="1593">
        <v>15</v>
      </c>
      <c r="N84" s="467"/>
      <c r="O84" s="551">
        <v>0</v>
      </c>
      <c r="P84" s="552">
        <v>0</v>
      </c>
      <c r="Q84" s="552">
        <v>0</v>
      </c>
      <c r="R84" s="552">
        <v>0.06</v>
      </c>
      <c r="S84" s="553">
        <v>0</v>
      </c>
      <c r="T84" s="551">
        <v>0</v>
      </c>
      <c r="U84" s="552">
        <v>0</v>
      </c>
      <c r="V84" s="552">
        <v>0</v>
      </c>
      <c r="W84" s="552">
        <v>0</v>
      </c>
      <c r="X84" s="553">
        <v>0</v>
      </c>
      <c r="Y84" s="547"/>
      <c r="Z84" s="551"/>
      <c r="AA84" s="552"/>
      <c r="AB84" s="552"/>
      <c r="AC84" s="552"/>
      <c r="AD84" s="553"/>
      <c r="AE84" s="551"/>
      <c r="AF84" s="552"/>
      <c r="AG84" s="552"/>
      <c r="AH84" s="552"/>
      <c r="AI84" s="553"/>
      <c r="AJ84" s="547"/>
      <c r="AK84" s="551"/>
      <c r="AL84" s="552"/>
      <c r="AM84" s="552"/>
      <c r="AN84" s="552"/>
      <c r="AO84" s="553"/>
      <c r="AP84" s="551"/>
      <c r="AQ84" s="552"/>
      <c r="AR84" s="552"/>
      <c r="AS84" s="552"/>
      <c r="AT84" s="553"/>
      <c r="AU84" s="467"/>
      <c r="AV84" s="524">
        <f t="shared" si="38"/>
        <v>0</v>
      </c>
      <c r="AW84" s="525">
        <f t="shared" si="38"/>
        <v>0</v>
      </c>
      <c r="AX84" s="525">
        <f t="shared" si="38"/>
        <v>0</v>
      </c>
      <c r="AY84" s="525">
        <f t="shared" si="38"/>
        <v>0.06</v>
      </c>
      <c r="AZ84" s="526">
        <f t="shared" si="38"/>
        <v>0</v>
      </c>
      <c r="BA84" s="524">
        <f t="shared" si="38"/>
        <v>0</v>
      </c>
      <c r="BB84" s="525">
        <f t="shared" si="38"/>
        <v>0</v>
      </c>
      <c r="BC84" s="525">
        <f t="shared" si="38"/>
        <v>0</v>
      </c>
      <c r="BD84" s="525">
        <f t="shared" si="38"/>
        <v>0</v>
      </c>
      <c r="BE84" s="526">
        <f t="shared" si="38"/>
        <v>0</v>
      </c>
      <c r="BF84" s="467"/>
      <c r="BG84" s="524">
        <f t="shared" ca="1" si="39"/>
        <v>0</v>
      </c>
      <c r="BH84" s="525">
        <f t="shared" ca="1" si="40"/>
        <v>0</v>
      </c>
      <c r="BI84" s="525">
        <f t="shared" ca="1" si="40"/>
        <v>0</v>
      </c>
      <c r="BJ84" s="525">
        <f t="shared" ca="1" si="40"/>
        <v>2E-3</v>
      </c>
      <c r="BK84" s="526">
        <f t="shared" ca="1" si="40"/>
        <v>4.0000000000000001E-3</v>
      </c>
      <c r="BL84" s="524">
        <f t="shared" ca="1" si="40"/>
        <v>4.0000000000000001E-3</v>
      </c>
      <c r="BM84" s="525">
        <f t="shared" ca="1" si="40"/>
        <v>4.0000000000000001E-3</v>
      </c>
      <c r="BN84" s="525">
        <f t="shared" ca="1" si="40"/>
        <v>4.0000000000000001E-3</v>
      </c>
      <c r="BO84" s="525">
        <f t="shared" ca="1" si="40"/>
        <v>4.0000000000000001E-3</v>
      </c>
      <c r="BP84" s="526">
        <f t="shared" ca="1" si="40"/>
        <v>4.0000000000000001E-3</v>
      </c>
      <c r="BQ84" s="467"/>
      <c r="BR84" s="524">
        <f>+IF($K84="Ongoing",AV84,IF(RIGHT($K84,2)=RIGHT(BR$40,2),SUM($AV84:AV84),0)+IF(RIGHT(BR$40,2)&gt;RIGHT($K84,2),AV84,0))</f>
        <v>0</v>
      </c>
      <c r="BS84" s="525">
        <f>+IF($K84="Ongoing",AW84,IF(RIGHT($K84,2)=RIGHT(BS$40,2),SUM($AV84:AW84),0)+IF(RIGHT(BS$40,2)&gt;RIGHT($K84,2),AW84,0))</f>
        <v>0</v>
      </c>
      <c r="BT84" s="525">
        <f>+IF($K84="Ongoing",AX84,IF(RIGHT($K84,2)=RIGHT(BT$40,2),SUM($AV84:AX84),0)+IF(RIGHT(BT$40,2)&gt;RIGHT($K84,2),AX84,0))</f>
        <v>0</v>
      </c>
      <c r="BU84" s="525">
        <f>+IF($K84="Ongoing",AY84,IF(RIGHT($K84,2)=RIGHT(BU$40,2),SUM($AV84:AY84),0)+IF(RIGHT(BU$40,2)&gt;RIGHT($K84,2),AY84,0))</f>
        <v>0.06</v>
      </c>
      <c r="BV84" s="526">
        <f>+IF($K84="Ongoing",AZ84,IF(RIGHT($K84,2)=RIGHT(BV$40,2),SUM($AV84:AZ84),0)+IF(RIGHT(BV$40,2)&gt;RIGHT($K84,2),AZ84,0))</f>
        <v>0</v>
      </c>
      <c r="BW84" s="524">
        <f>+IF($K84="Ongoing",BA84,IF(RIGHT($K84,2)=RIGHT(BW$40,2),SUM($AV84:BA84),0)+IF(RIGHT(BW$40,2)&gt;RIGHT($K84,2),BA84,0))</f>
        <v>0</v>
      </c>
      <c r="BX84" s="525">
        <f>+IF($K84="Ongoing",BB84,IF(RIGHT($K84,2)=RIGHT(BX$40,2),SUM($AV84:BB84),0)+IF(RIGHT(BX$40,2)&gt;RIGHT($K84,2),BB84,0))</f>
        <v>0</v>
      </c>
      <c r="BY84" s="525">
        <f>+IF($K84="Ongoing",BC84,IF(RIGHT($K84,2)=RIGHT(BY$40,2),SUM($AV84:BC84),0)+IF(RIGHT(BY$40,2)&gt;RIGHT($K84,2),BC84,0))</f>
        <v>0</v>
      </c>
      <c r="BZ84" s="525">
        <f>+IF($K84="Ongoing",BD84,IF(RIGHT($K84,2)=RIGHT(BZ$40,2),SUM($AV84:BD84),0)+IF(RIGHT(BZ$40,2)&gt;RIGHT($K84,2),BD84,0))</f>
        <v>0</v>
      </c>
      <c r="CA84" s="526">
        <f>+IF($K84="Ongoing",BE84,IF(RIGHT($K84,2)=RIGHT(CA$40,2),SUM($AV84:BE84),0)+IF(RIGHT(CA$40,2)&gt;RIGHT($K84,2),BE84,0))</f>
        <v>0</v>
      </c>
      <c r="CB84" s="467"/>
      <c r="CC84" s="524">
        <f>+O84*KeyAssumptionsPriceControl_FO!AF$15</f>
        <v>0</v>
      </c>
      <c r="CD84" s="525">
        <f>+P84*KeyAssumptionsPriceControl_FO!AG$15</f>
        <v>0</v>
      </c>
      <c r="CE84" s="525">
        <f>+Q84*KeyAssumptionsPriceControl_FO!AH$15</f>
        <v>0</v>
      </c>
      <c r="CF84" s="525">
        <f>+R84*KeyAssumptionsPriceControl_FO!AI$15</f>
        <v>6.7268655796859991E-2</v>
      </c>
      <c r="CG84" s="526">
        <f>+S84*KeyAssumptionsPriceControl_FO!AJ$15</f>
        <v>0</v>
      </c>
      <c r="CH84" s="524">
        <f>+T84*KeyAssumptionsPriceControl_FO!AK$15</f>
        <v>0</v>
      </c>
      <c r="CI84" s="525">
        <f>+U84*KeyAssumptionsPriceControl_FO!AL$15</f>
        <v>0</v>
      </c>
      <c r="CJ84" s="525">
        <f>+V84*KeyAssumptionsPriceControl_FO!AM$15</f>
        <v>0</v>
      </c>
      <c r="CK84" s="525">
        <f>+W84*KeyAssumptionsPriceControl_FO!AN$15</f>
        <v>0</v>
      </c>
      <c r="CL84" s="526">
        <f>+X84*KeyAssumptionsPriceControl_FO!AO$15</f>
        <v>0</v>
      </c>
      <c r="CM84" s="467"/>
      <c r="CN84" s="524">
        <f t="shared" ca="1" si="41"/>
        <v>0</v>
      </c>
      <c r="CO84" s="525">
        <f t="shared" ca="1" si="42"/>
        <v>0</v>
      </c>
      <c r="CP84" s="525">
        <f t="shared" ca="1" si="42"/>
        <v>0</v>
      </c>
      <c r="CQ84" s="525">
        <f t="shared" ca="1" si="42"/>
        <v>2.2422885265619996E-3</v>
      </c>
      <c r="CR84" s="526">
        <f t="shared" ca="1" si="42"/>
        <v>4.4845770531239991E-3</v>
      </c>
      <c r="CS84" s="524">
        <f t="shared" ca="1" si="42"/>
        <v>4.4845770531239991E-3</v>
      </c>
      <c r="CT84" s="525">
        <f t="shared" ca="1" si="42"/>
        <v>4.4845770531239991E-3</v>
      </c>
      <c r="CU84" s="525">
        <f t="shared" ca="1" si="42"/>
        <v>4.4845770531239991E-3</v>
      </c>
      <c r="CV84" s="525">
        <f t="shared" ca="1" si="42"/>
        <v>4.4845770531239991E-3</v>
      </c>
      <c r="CW84" s="526">
        <f t="shared" ca="1" si="42"/>
        <v>4.4845770531239991E-3</v>
      </c>
      <c r="CX84" s="467"/>
    </row>
    <row r="85" spans="2:102">
      <c r="B85" s="502"/>
      <c r="C85" s="1589" t="s">
        <v>1375</v>
      </c>
      <c r="D85" s="1590"/>
      <c r="E85" s="1591" t="s">
        <v>20</v>
      </c>
      <c r="F85" s="1591" t="s">
        <v>12</v>
      </c>
      <c r="G85" s="1589" t="s">
        <v>14</v>
      </c>
      <c r="H85" s="2226" t="s">
        <v>521</v>
      </c>
      <c r="I85" s="2227"/>
      <c r="J85" s="1592" t="s">
        <v>279</v>
      </c>
      <c r="K85" s="1593" t="s">
        <v>965</v>
      </c>
      <c r="L85" s="1593">
        <v>50</v>
      </c>
      <c r="M85" s="1593">
        <v>50</v>
      </c>
      <c r="N85" s="467"/>
      <c r="O85" s="551">
        <v>0</v>
      </c>
      <c r="P85" s="552">
        <v>0</v>
      </c>
      <c r="Q85" s="552">
        <v>0</v>
      </c>
      <c r="R85" s="552">
        <v>0</v>
      </c>
      <c r="S85" s="553">
        <v>0.75</v>
      </c>
      <c r="T85" s="551">
        <v>0</v>
      </c>
      <c r="U85" s="552">
        <v>0</v>
      </c>
      <c r="V85" s="552">
        <v>0</v>
      </c>
      <c r="W85" s="552">
        <v>0</v>
      </c>
      <c r="X85" s="553">
        <v>0</v>
      </c>
      <c r="Y85" s="547"/>
      <c r="Z85" s="551"/>
      <c r="AA85" s="552"/>
      <c r="AB85" s="552"/>
      <c r="AC85" s="552"/>
      <c r="AD85" s="553"/>
      <c r="AE85" s="551"/>
      <c r="AF85" s="552"/>
      <c r="AG85" s="552"/>
      <c r="AH85" s="552"/>
      <c r="AI85" s="553"/>
      <c r="AJ85" s="547"/>
      <c r="AK85" s="551"/>
      <c r="AL85" s="552"/>
      <c r="AM85" s="552"/>
      <c r="AN85" s="552"/>
      <c r="AO85" s="553"/>
      <c r="AP85" s="551"/>
      <c r="AQ85" s="552"/>
      <c r="AR85" s="552"/>
      <c r="AS85" s="552"/>
      <c r="AT85" s="553"/>
      <c r="AU85" s="467"/>
      <c r="AV85" s="524">
        <f t="shared" si="38"/>
        <v>0</v>
      </c>
      <c r="AW85" s="525">
        <f t="shared" si="38"/>
        <v>0</v>
      </c>
      <c r="AX85" s="525">
        <f t="shared" si="38"/>
        <v>0</v>
      </c>
      <c r="AY85" s="525">
        <f t="shared" si="38"/>
        <v>0</v>
      </c>
      <c r="AZ85" s="526">
        <f t="shared" si="38"/>
        <v>0.75</v>
      </c>
      <c r="BA85" s="524">
        <f t="shared" si="38"/>
        <v>0</v>
      </c>
      <c r="BB85" s="525">
        <f t="shared" si="38"/>
        <v>0</v>
      </c>
      <c r="BC85" s="525">
        <f t="shared" si="38"/>
        <v>0</v>
      </c>
      <c r="BD85" s="525">
        <f t="shared" si="38"/>
        <v>0</v>
      </c>
      <c r="BE85" s="526">
        <f t="shared" si="38"/>
        <v>0</v>
      </c>
      <c r="BF85" s="467"/>
      <c r="BG85" s="524">
        <f t="shared" ca="1" si="39"/>
        <v>0</v>
      </c>
      <c r="BH85" s="525">
        <f t="shared" ca="1" si="40"/>
        <v>0</v>
      </c>
      <c r="BI85" s="525">
        <f t="shared" ca="1" si="40"/>
        <v>0</v>
      </c>
      <c r="BJ85" s="525">
        <f t="shared" ca="1" si="40"/>
        <v>0</v>
      </c>
      <c r="BK85" s="526">
        <f t="shared" ca="1" si="40"/>
        <v>7.4999999999999997E-3</v>
      </c>
      <c r="BL85" s="524">
        <f t="shared" ca="1" si="40"/>
        <v>1.4999999999999999E-2</v>
      </c>
      <c r="BM85" s="525">
        <f t="shared" ca="1" si="40"/>
        <v>1.4999999999999999E-2</v>
      </c>
      <c r="BN85" s="525">
        <f t="shared" ca="1" si="40"/>
        <v>1.4999999999999999E-2</v>
      </c>
      <c r="BO85" s="525">
        <f t="shared" ca="1" si="40"/>
        <v>1.4999999999999999E-2</v>
      </c>
      <c r="BP85" s="526">
        <f t="shared" ca="1" si="40"/>
        <v>1.4999999999999999E-2</v>
      </c>
      <c r="BQ85" s="467"/>
      <c r="BR85" s="524">
        <f>+IF($K85="Ongoing",AV85,IF(RIGHT($K85,2)=RIGHT(BR$40,2),SUM($AV85:AV85),0)+IF(RIGHT(BR$40,2)&gt;RIGHT($K85,2),AV85,0))</f>
        <v>0</v>
      </c>
      <c r="BS85" s="525">
        <f>+IF($K85="Ongoing",AW85,IF(RIGHT($K85,2)=RIGHT(BS$40,2),SUM($AV85:AW85),0)+IF(RIGHT(BS$40,2)&gt;RIGHT($K85,2),AW85,0))</f>
        <v>0</v>
      </c>
      <c r="BT85" s="525">
        <f>+IF($K85="Ongoing",AX85,IF(RIGHT($K85,2)=RIGHT(BT$40,2),SUM($AV85:AX85),0)+IF(RIGHT(BT$40,2)&gt;RIGHT($K85,2),AX85,0))</f>
        <v>0</v>
      </c>
      <c r="BU85" s="525">
        <f>+IF($K85="Ongoing",AY85,IF(RIGHT($K85,2)=RIGHT(BU$40,2),SUM($AV85:AY85),0)+IF(RIGHT(BU$40,2)&gt;RIGHT($K85,2),AY85,0))</f>
        <v>0</v>
      </c>
      <c r="BV85" s="526">
        <f>+IF($K85="Ongoing",AZ85,IF(RIGHT($K85,2)=RIGHT(BV$40,2),SUM($AV85:AZ85),0)+IF(RIGHT(BV$40,2)&gt;RIGHT($K85,2),AZ85,0))</f>
        <v>0.75</v>
      </c>
      <c r="BW85" s="524">
        <f>+IF($K85="Ongoing",BA85,IF(RIGHT($K85,2)=RIGHT(BW$40,2),SUM($AV85:BA85),0)+IF(RIGHT(BW$40,2)&gt;RIGHT($K85,2),BA85,0))</f>
        <v>0</v>
      </c>
      <c r="BX85" s="525">
        <f>+IF($K85="Ongoing",BB85,IF(RIGHT($K85,2)=RIGHT(BX$40,2),SUM($AV85:BB85),0)+IF(RIGHT(BX$40,2)&gt;RIGHT($K85,2),BB85,0))</f>
        <v>0</v>
      </c>
      <c r="BY85" s="525">
        <f>+IF($K85="Ongoing",BC85,IF(RIGHT($K85,2)=RIGHT(BY$40,2),SUM($AV85:BC85),0)+IF(RIGHT(BY$40,2)&gt;RIGHT($K85,2),BC85,0))</f>
        <v>0</v>
      </c>
      <c r="BZ85" s="525">
        <f>+IF($K85="Ongoing",BD85,IF(RIGHT($K85,2)=RIGHT(BZ$40,2),SUM($AV85:BD85),0)+IF(RIGHT(BZ$40,2)&gt;RIGHT($K85,2),BD85,0))</f>
        <v>0</v>
      </c>
      <c r="CA85" s="526">
        <f>+IF($K85="Ongoing",BE85,IF(RIGHT($K85,2)=RIGHT(CA$40,2),SUM($AV85:BE85),0)+IF(RIGHT(CA$40,2)&gt;RIGHT($K85,2),BE85,0))</f>
        <v>0</v>
      </c>
      <c r="CB85" s="467"/>
      <c r="CC85" s="524">
        <f>+O85*KeyAssumptionsPriceControl_FO!AF$15</f>
        <v>0</v>
      </c>
      <c r="CD85" s="525">
        <f>+P85*KeyAssumptionsPriceControl_FO!AG$15</f>
        <v>0</v>
      </c>
      <c r="CE85" s="525">
        <f>+Q85*KeyAssumptionsPriceControl_FO!AH$15</f>
        <v>0</v>
      </c>
      <c r="CF85" s="525">
        <f>+R85*KeyAssumptionsPriceControl_FO!AI$15</f>
        <v>0</v>
      </c>
      <c r="CG85" s="526">
        <f>+S85*KeyAssumptionsPriceControl_FO!AJ$15</f>
        <v>0.86524308518711157</v>
      </c>
      <c r="CH85" s="524">
        <f>+T85*KeyAssumptionsPriceControl_FO!AK$15</f>
        <v>0</v>
      </c>
      <c r="CI85" s="525">
        <f>+U85*KeyAssumptionsPriceControl_FO!AL$15</f>
        <v>0</v>
      </c>
      <c r="CJ85" s="525">
        <f>+V85*KeyAssumptionsPriceControl_FO!AM$15</f>
        <v>0</v>
      </c>
      <c r="CK85" s="525">
        <f>+W85*KeyAssumptionsPriceControl_FO!AN$15</f>
        <v>0</v>
      </c>
      <c r="CL85" s="526">
        <f>+X85*KeyAssumptionsPriceControl_FO!AO$15</f>
        <v>0</v>
      </c>
      <c r="CM85" s="467"/>
      <c r="CN85" s="524">
        <f t="shared" ca="1" si="41"/>
        <v>0</v>
      </c>
      <c r="CO85" s="525">
        <f t="shared" ca="1" si="42"/>
        <v>0</v>
      </c>
      <c r="CP85" s="525">
        <f t="shared" ca="1" si="42"/>
        <v>0</v>
      </c>
      <c r="CQ85" s="525">
        <f t="shared" ca="1" si="42"/>
        <v>0</v>
      </c>
      <c r="CR85" s="526">
        <f t="shared" ca="1" si="42"/>
        <v>8.6524308518711162E-3</v>
      </c>
      <c r="CS85" s="524">
        <f t="shared" ca="1" si="42"/>
        <v>1.7304861703742232E-2</v>
      </c>
      <c r="CT85" s="525">
        <f t="shared" ca="1" si="42"/>
        <v>1.7304861703742232E-2</v>
      </c>
      <c r="CU85" s="525">
        <f t="shared" ca="1" si="42"/>
        <v>1.7304861703742232E-2</v>
      </c>
      <c r="CV85" s="525">
        <f t="shared" ca="1" si="42"/>
        <v>1.7304861703742232E-2</v>
      </c>
      <c r="CW85" s="526">
        <f t="shared" ca="1" si="42"/>
        <v>1.7304861703742232E-2</v>
      </c>
      <c r="CX85" s="467"/>
    </row>
    <row r="86" spans="2:102">
      <c r="B86" s="502"/>
      <c r="C86" s="1589" t="s">
        <v>1376</v>
      </c>
      <c r="D86" s="1590"/>
      <c r="E86" s="1591" t="s">
        <v>21</v>
      </c>
      <c r="F86" s="1591" t="s">
        <v>516</v>
      </c>
      <c r="G86" s="1589" t="s">
        <v>14</v>
      </c>
      <c r="H86" s="2226" t="s">
        <v>521</v>
      </c>
      <c r="I86" s="2227"/>
      <c r="J86" s="1592" t="s">
        <v>279</v>
      </c>
      <c r="K86" s="1593" t="s">
        <v>964</v>
      </c>
      <c r="L86" s="1593">
        <v>80</v>
      </c>
      <c r="M86" s="1593">
        <v>80</v>
      </c>
      <c r="N86" s="467"/>
      <c r="O86" s="551">
        <v>0</v>
      </c>
      <c r="P86" s="552">
        <v>0</v>
      </c>
      <c r="Q86" s="552">
        <v>0</v>
      </c>
      <c r="R86" s="552">
        <v>1</v>
      </c>
      <c r="S86" s="553">
        <v>0</v>
      </c>
      <c r="T86" s="551">
        <v>0</v>
      </c>
      <c r="U86" s="552">
        <v>0</v>
      </c>
      <c r="V86" s="552">
        <v>0</v>
      </c>
      <c r="W86" s="552">
        <v>0</v>
      </c>
      <c r="X86" s="553">
        <v>0</v>
      </c>
      <c r="Y86" s="547"/>
      <c r="Z86" s="551"/>
      <c r="AA86" s="552"/>
      <c r="AB86" s="552"/>
      <c r="AC86" s="552"/>
      <c r="AD86" s="553"/>
      <c r="AE86" s="551"/>
      <c r="AF86" s="552"/>
      <c r="AG86" s="552"/>
      <c r="AH86" s="552"/>
      <c r="AI86" s="553"/>
      <c r="AJ86" s="547"/>
      <c r="AK86" s="551"/>
      <c r="AL86" s="552"/>
      <c r="AM86" s="552"/>
      <c r="AN86" s="552"/>
      <c r="AO86" s="553"/>
      <c r="AP86" s="551"/>
      <c r="AQ86" s="552"/>
      <c r="AR86" s="552"/>
      <c r="AS86" s="552"/>
      <c r="AT86" s="553"/>
      <c r="AU86" s="467"/>
      <c r="AV86" s="524">
        <f t="shared" si="38"/>
        <v>0</v>
      </c>
      <c r="AW86" s="525">
        <f t="shared" ref="AW86:BE114" si="46">+P86-AA86-AL86</f>
        <v>0</v>
      </c>
      <c r="AX86" s="525">
        <f t="shared" si="46"/>
        <v>0</v>
      </c>
      <c r="AY86" s="525">
        <f t="shared" si="46"/>
        <v>1</v>
      </c>
      <c r="AZ86" s="526">
        <f t="shared" si="46"/>
        <v>0</v>
      </c>
      <c r="BA86" s="524">
        <f t="shared" si="46"/>
        <v>0</v>
      </c>
      <c r="BB86" s="525">
        <f t="shared" si="46"/>
        <v>0</v>
      </c>
      <c r="BC86" s="525">
        <f t="shared" si="46"/>
        <v>0</v>
      </c>
      <c r="BD86" s="525">
        <f t="shared" si="46"/>
        <v>0</v>
      </c>
      <c r="BE86" s="526">
        <f t="shared" si="46"/>
        <v>0</v>
      </c>
      <c r="BF86" s="467"/>
      <c r="BG86" s="524">
        <f t="shared" ca="1" si="39"/>
        <v>0</v>
      </c>
      <c r="BH86" s="525">
        <f t="shared" ca="1" si="40"/>
        <v>0</v>
      </c>
      <c r="BI86" s="525">
        <f t="shared" ca="1" si="40"/>
        <v>0</v>
      </c>
      <c r="BJ86" s="525">
        <f t="shared" ca="1" si="40"/>
        <v>6.2500000000000003E-3</v>
      </c>
      <c r="BK86" s="526">
        <f t="shared" ca="1" si="40"/>
        <v>1.2500000000000001E-2</v>
      </c>
      <c r="BL86" s="524">
        <f t="shared" ca="1" si="40"/>
        <v>1.2500000000000001E-2</v>
      </c>
      <c r="BM86" s="525">
        <f t="shared" ca="1" si="40"/>
        <v>1.2500000000000001E-2</v>
      </c>
      <c r="BN86" s="525">
        <f t="shared" ca="1" si="40"/>
        <v>1.2500000000000001E-2</v>
      </c>
      <c r="BO86" s="525">
        <f t="shared" ca="1" si="40"/>
        <v>1.2500000000000001E-2</v>
      </c>
      <c r="BP86" s="526">
        <f t="shared" ca="1" si="40"/>
        <v>1.2500000000000001E-2</v>
      </c>
      <c r="BQ86" s="467"/>
      <c r="BR86" s="524">
        <f>+IF($K86="Ongoing",AV86,IF(RIGHT($K86,2)=RIGHT(BR$40,2),SUM($AV86:AV86),0)+IF(RIGHT(BR$40,2)&gt;RIGHT($K86,2),AV86,0))</f>
        <v>0</v>
      </c>
      <c r="BS86" s="525">
        <f>+IF($K86="Ongoing",AW86,IF(RIGHT($K86,2)=RIGHT(BS$40,2),SUM($AV86:AW86),0)+IF(RIGHT(BS$40,2)&gt;RIGHT($K86,2),AW86,0))</f>
        <v>0</v>
      </c>
      <c r="BT86" s="525">
        <f>+IF($K86="Ongoing",AX86,IF(RIGHT($K86,2)=RIGHT(BT$40,2),SUM($AV86:AX86),0)+IF(RIGHT(BT$40,2)&gt;RIGHT($K86,2),AX86,0))</f>
        <v>0</v>
      </c>
      <c r="BU86" s="525">
        <f>+IF($K86="Ongoing",AY86,IF(RIGHT($K86,2)=RIGHT(BU$40,2),SUM($AV86:AY86),0)+IF(RIGHT(BU$40,2)&gt;RIGHT($K86,2),AY86,0))</f>
        <v>1</v>
      </c>
      <c r="BV86" s="526">
        <f>+IF($K86="Ongoing",AZ86,IF(RIGHT($K86,2)=RIGHT(BV$40,2),SUM($AV86:AZ86),0)+IF(RIGHT(BV$40,2)&gt;RIGHT($K86,2),AZ86,0))</f>
        <v>0</v>
      </c>
      <c r="BW86" s="524">
        <f>+IF($K86="Ongoing",BA86,IF(RIGHT($K86,2)=RIGHT(BW$40,2),SUM($AV86:BA86),0)+IF(RIGHT(BW$40,2)&gt;RIGHT($K86,2),BA86,0))</f>
        <v>0</v>
      </c>
      <c r="BX86" s="525">
        <f>+IF($K86="Ongoing",BB86,IF(RIGHT($K86,2)=RIGHT(BX$40,2),SUM($AV86:BB86),0)+IF(RIGHT(BX$40,2)&gt;RIGHT($K86,2),BB86,0))</f>
        <v>0</v>
      </c>
      <c r="BY86" s="525">
        <f>+IF($K86="Ongoing",BC86,IF(RIGHT($K86,2)=RIGHT(BY$40,2),SUM($AV86:BC86),0)+IF(RIGHT(BY$40,2)&gt;RIGHT($K86,2),BC86,0))</f>
        <v>0</v>
      </c>
      <c r="BZ86" s="525">
        <f>+IF($K86="Ongoing",BD86,IF(RIGHT($K86,2)=RIGHT(BZ$40,2),SUM($AV86:BD86),0)+IF(RIGHT(BZ$40,2)&gt;RIGHT($K86,2),BD86,0))</f>
        <v>0</v>
      </c>
      <c r="CA86" s="526">
        <f>+IF($K86="Ongoing",BE86,IF(RIGHT($K86,2)=RIGHT(CA$40,2),SUM($AV86:BE86),0)+IF(RIGHT(CA$40,2)&gt;RIGHT($K86,2),BE86,0))</f>
        <v>0</v>
      </c>
      <c r="CB86" s="467"/>
      <c r="CC86" s="524">
        <f>+O86*KeyAssumptionsPriceControl_FO!AF$15</f>
        <v>0</v>
      </c>
      <c r="CD86" s="525">
        <f>+P86*KeyAssumptionsPriceControl_FO!AG$15</f>
        <v>0</v>
      </c>
      <c r="CE86" s="525">
        <f>+Q86*KeyAssumptionsPriceControl_FO!AH$15</f>
        <v>0</v>
      </c>
      <c r="CF86" s="525">
        <f>+R86*KeyAssumptionsPriceControl_FO!AI$15</f>
        <v>1.1211442632809998</v>
      </c>
      <c r="CG86" s="526">
        <f>+S86*KeyAssumptionsPriceControl_FO!AJ$15</f>
        <v>0</v>
      </c>
      <c r="CH86" s="524">
        <f>+T86*KeyAssumptionsPriceControl_FO!AK$15</f>
        <v>0</v>
      </c>
      <c r="CI86" s="525">
        <f>+U86*KeyAssumptionsPriceControl_FO!AL$15</f>
        <v>0</v>
      </c>
      <c r="CJ86" s="525">
        <f>+V86*KeyAssumptionsPriceControl_FO!AM$15</f>
        <v>0</v>
      </c>
      <c r="CK86" s="525">
        <f>+W86*KeyAssumptionsPriceControl_FO!AN$15</f>
        <v>0</v>
      </c>
      <c r="CL86" s="526">
        <f>+X86*KeyAssumptionsPriceControl_FO!AO$15</f>
        <v>0</v>
      </c>
      <c r="CM86" s="467"/>
      <c r="CN86" s="524">
        <f t="shared" ca="1" si="41"/>
        <v>0</v>
      </c>
      <c r="CO86" s="525">
        <f t="shared" ca="1" si="42"/>
        <v>0</v>
      </c>
      <c r="CP86" s="525">
        <f t="shared" ca="1" si="42"/>
        <v>0</v>
      </c>
      <c r="CQ86" s="525">
        <f t="shared" ca="1" si="42"/>
        <v>7.0071516455062488E-3</v>
      </c>
      <c r="CR86" s="526">
        <f t="shared" ca="1" si="42"/>
        <v>1.4014303291012498E-2</v>
      </c>
      <c r="CS86" s="524">
        <f t="shared" ca="1" si="42"/>
        <v>1.4014303291012498E-2</v>
      </c>
      <c r="CT86" s="525">
        <f t="shared" ca="1" si="42"/>
        <v>1.4014303291012498E-2</v>
      </c>
      <c r="CU86" s="525">
        <f t="shared" ca="1" si="42"/>
        <v>1.4014303291012498E-2</v>
      </c>
      <c r="CV86" s="525">
        <f t="shared" ca="1" si="42"/>
        <v>1.4014303291012498E-2</v>
      </c>
      <c r="CW86" s="526">
        <f t="shared" ca="1" si="42"/>
        <v>1.4014303291012498E-2</v>
      </c>
      <c r="CX86" s="467"/>
    </row>
    <row r="87" spans="2:102">
      <c r="B87" s="502"/>
      <c r="C87" s="1589" t="s">
        <v>1377</v>
      </c>
      <c r="D87" s="1590"/>
      <c r="E87" s="1591" t="s">
        <v>20</v>
      </c>
      <c r="F87" s="1591" t="s">
        <v>516</v>
      </c>
      <c r="G87" s="1589" t="s">
        <v>14</v>
      </c>
      <c r="H87" s="2226" t="s">
        <v>521</v>
      </c>
      <c r="I87" s="2227"/>
      <c r="J87" s="1592" t="s">
        <v>279</v>
      </c>
      <c r="K87" s="1593" t="s">
        <v>965</v>
      </c>
      <c r="L87" s="1593">
        <v>80</v>
      </c>
      <c r="M87" s="1593">
        <v>80</v>
      </c>
      <c r="N87" s="467"/>
      <c r="O87" s="551">
        <v>0</v>
      </c>
      <c r="P87" s="552">
        <v>0</v>
      </c>
      <c r="Q87" s="552">
        <v>0.2</v>
      </c>
      <c r="R87" s="552">
        <v>1.3</v>
      </c>
      <c r="S87" s="553">
        <v>1</v>
      </c>
      <c r="T87" s="551">
        <v>0</v>
      </c>
      <c r="U87" s="552">
        <v>0</v>
      </c>
      <c r="V87" s="552">
        <v>0</v>
      </c>
      <c r="W87" s="552">
        <v>0</v>
      </c>
      <c r="X87" s="553">
        <v>0</v>
      </c>
      <c r="Y87" s="547"/>
      <c r="Z87" s="551"/>
      <c r="AA87" s="552"/>
      <c r="AB87" s="552"/>
      <c r="AC87" s="552"/>
      <c r="AD87" s="553"/>
      <c r="AE87" s="551"/>
      <c r="AF87" s="552"/>
      <c r="AG87" s="552"/>
      <c r="AH87" s="552"/>
      <c r="AI87" s="553"/>
      <c r="AJ87" s="547"/>
      <c r="AK87" s="551"/>
      <c r="AL87" s="552"/>
      <c r="AM87" s="552"/>
      <c r="AN87" s="552"/>
      <c r="AO87" s="553"/>
      <c r="AP87" s="551"/>
      <c r="AQ87" s="552"/>
      <c r="AR87" s="552"/>
      <c r="AS87" s="552"/>
      <c r="AT87" s="553"/>
      <c r="AU87" s="467"/>
      <c r="AV87" s="524">
        <f t="shared" ref="AV87:AY135" si="47">+O87-Z87-AK87</f>
        <v>0</v>
      </c>
      <c r="AW87" s="525">
        <f t="shared" si="46"/>
        <v>0</v>
      </c>
      <c r="AX87" s="525">
        <f t="shared" si="46"/>
        <v>0.2</v>
      </c>
      <c r="AY87" s="525">
        <f t="shared" si="46"/>
        <v>1.3</v>
      </c>
      <c r="AZ87" s="526">
        <f t="shared" si="46"/>
        <v>1</v>
      </c>
      <c r="BA87" s="524">
        <f t="shared" si="46"/>
        <v>0</v>
      </c>
      <c r="BB87" s="525">
        <f t="shared" si="46"/>
        <v>0</v>
      </c>
      <c r="BC87" s="525">
        <f t="shared" si="46"/>
        <v>0</v>
      </c>
      <c r="BD87" s="525">
        <f t="shared" si="46"/>
        <v>0</v>
      </c>
      <c r="BE87" s="526">
        <f t="shared" si="46"/>
        <v>0</v>
      </c>
      <c r="BF87" s="467"/>
      <c r="BG87" s="524">
        <f t="shared" ca="1" si="39"/>
        <v>0</v>
      </c>
      <c r="BH87" s="525">
        <f t="shared" ca="1" si="40"/>
        <v>0</v>
      </c>
      <c r="BI87" s="525">
        <f t="shared" ca="1" si="40"/>
        <v>0</v>
      </c>
      <c r="BJ87" s="525">
        <f t="shared" ca="1" si="40"/>
        <v>0</v>
      </c>
      <c r="BK87" s="526">
        <f t="shared" ca="1" si="40"/>
        <v>1.5625E-2</v>
      </c>
      <c r="BL87" s="524">
        <f t="shared" ca="1" si="40"/>
        <v>3.125E-2</v>
      </c>
      <c r="BM87" s="525">
        <f t="shared" ca="1" si="40"/>
        <v>3.125E-2</v>
      </c>
      <c r="BN87" s="525">
        <f t="shared" ca="1" si="40"/>
        <v>3.125E-2</v>
      </c>
      <c r="BO87" s="525">
        <f t="shared" ca="1" si="40"/>
        <v>3.125E-2</v>
      </c>
      <c r="BP87" s="526">
        <f t="shared" ca="1" si="40"/>
        <v>3.125E-2</v>
      </c>
      <c r="BQ87" s="467"/>
      <c r="BR87" s="524">
        <f>+IF($K87="Ongoing",AV87,IF(RIGHT($K87,2)=RIGHT(BR$40,2),SUM($AV87:AV87),0)+IF(RIGHT(BR$40,2)&gt;RIGHT($K87,2),AV87,0))</f>
        <v>0</v>
      </c>
      <c r="BS87" s="525">
        <f>+IF($K87="Ongoing",AW87,IF(RIGHT($K87,2)=RIGHT(BS$40,2),SUM($AV87:AW87),0)+IF(RIGHT(BS$40,2)&gt;RIGHT($K87,2),AW87,0))</f>
        <v>0</v>
      </c>
      <c r="BT87" s="525">
        <f>+IF($K87="Ongoing",AX87,IF(RIGHT($K87,2)=RIGHT(BT$40,2),SUM($AV87:AX87),0)+IF(RIGHT(BT$40,2)&gt;RIGHT($K87,2),AX87,0))</f>
        <v>0</v>
      </c>
      <c r="BU87" s="525">
        <f>+IF($K87="Ongoing",AY87,IF(RIGHT($K87,2)=RIGHT(BU$40,2),SUM($AV87:AY87),0)+IF(RIGHT(BU$40,2)&gt;RIGHT($K87,2),AY87,0))</f>
        <v>0</v>
      </c>
      <c r="BV87" s="526">
        <f>+IF($K87="Ongoing",AZ87,IF(RIGHT($K87,2)=RIGHT(BV$40,2),SUM($AV87:AZ87),0)+IF(RIGHT(BV$40,2)&gt;RIGHT($K87,2),AZ87,0))</f>
        <v>2.5</v>
      </c>
      <c r="BW87" s="524">
        <f>+IF($K87="Ongoing",BA87,IF(RIGHT($K87,2)=RIGHT(BW$40,2),SUM($AV87:BA87),0)+IF(RIGHT(BW$40,2)&gt;RIGHT($K87,2),BA87,0))</f>
        <v>0</v>
      </c>
      <c r="BX87" s="525">
        <f>+IF($K87="Ongoing",BB87,IF(RIGHT($K87,2)=RIGHT(BX$40,2),SUM($AV87:BB87),0)+IF(RIGHT(BX$40,2)&gt;RIGHT($K87,2),BB87,0))</f>
        <v>0</v>
      </c>
      <c r="BY87" s="525">
        <f>+IF($K87="Ongoing",BC87,IF(RIGHT($K87,2)=RIGHT(BY$40,2),SUM($AV87:BC87),0)+IF(RIGHT(BY$40,2)&gt;RIGHT($K87,2),BC87,0))</f>
        <v>0</v>
      </c>
      <c r="BZ87" s="525">
        <f>+IF($K87="Ongoing",BD87,IF(RIGHT($K87,2)=RIGHT(BZ$40,2),SUM($AV87:BD87),0)+IF(RIGHT(BZ$40,2)&gt;RIGHT($K87,2),BD87,0))</f>
        <v>0</v>
      </c>
      <c r="CA87" s="526">
        <f>+IF($K87="Ongoing",BE87,IF(RIGHT($K87,2)=RIGHT(CA$40,2),SUM($AV87:BE87),0)+IF(RIGHT(CA$40,2)&gt;RIGHT($K87,2),BE87,0))</f>
        <v>0</v>
      </c>
      <c r="CB87" s="467"/>
      <c r="CC87" s="524">
        <f>+O87*KeyAssumptionsPriceControl_FO!AF$15</f>
        <v>0</v>
      </c>
      <c r="CD87" s="525">
        <f>+P87*KeyAssumptionsPriceControl_FO!AG$15</f>
        <v>0</v>
      </c>
      <c r="CE87" s="525">
        <f>+Q87*KeyAssumptionsPriceControl_FO!AH$15</f>
        <v>0.21790947779999997</v>
      </c>
      <c r="CF87" s="525">
        <f>+R87*KeyAssumptionsPriceControl_FO!AI$15</f>
        <v>1.4574875422652998</v>
      </c>
      <c r="CG87" s="526">
        <f>+S87*KeyAssumptionsPriceControl_FO!AJ$15</f>
        <v>1.1536574469161487</v>
      </c>
      <c r="CH87" s="524">
        <f>+T87*KeyAssumptionsPriceControl_FO!AK$15</f>
        <v>0</v>
      </c>
      <c r="CI87" s="525">
        <f>+U87*KeyAssumptionsPriceControl_FO!AL$15</f>
        <v>0</v>
      </c>
      <c r="CJ87" s="525">
        <f>+V87*KeyAssumptionsPriceControl_FO!AM$15</f>
        <v>0</v>
      </c>
      <c r="CK87" s="525">
        <f>+W87*KeyAssumptionsPriceControl_FO!AN$15</f>
        <v>0</v>
      </c>
      <c r="CL87" s="526">
        <f>+X87*KeyAssumptionsPriceControl_FO!AO$15</f>
        <v>0</v>
      </c>
      <c r="CM87" s="467"/>
      <c r="CN87" s="524">
        <f t="shared" ca="1" si="41"/>
        <v>0</v>
      </c>
      <c r="CO87" s="525">
        <f t="shared" ca="1" si="42"/>
        <v>0</v>
      </c>
      <c r="CP87" s="525">
        <f t="shared" ca="1" si="42"/>
        <v>1.3619342362499998E-3</v>
      </c>
      <c r="CQ87" s="525">
        <f t="shared" ca="1" si="42"/>
        <v>1.1833165611658123E-2</v>
      </c>
      <c r="CR87" s="526">
        <f t="shared" ca="1" si="42"/>
        <v>2.8152821794042174E-2</v>
      </c>
      <c r="CS87" s="524">
        <f t="shared" ca="1" si="42"/>
        <v>3.5363180837268103E-2</v>
      </c>
      <c r="CT87" s="525">
        <f t="shared" ca="1" si="42"/>
        <v>3.5363180837268103E-2</v>
      </c>
      <c r="CU87" s="525">
        <f t="shared" ca="1" si="42"/>
        <v>3.5363180837268103E-2</v>
      </c>
      <c r="CV87" s="525">
        <f t="shared" ca="1" si="42"/>
        <v>3.5363180837268103E-2</v>
      </c>
      <c r="CW87" s="526">
        <f t="shared" ca="1" si="42"/>
        <v>3.5363180837268103E-2</v>
      </c>
      <c r="CX87" s="467"/>
    </row>
    <row r="88" spans="2:102">
      <c r="B88" s="502"/>
      <c r="C88" s="1589" t="s">
        <v>1378</v>
      </c>
      <c r="D88" s="1590"/>
      <c r="E88" s="1591" t="s">
        <v>21</v>
      </c>
      <c r="F88" s="1591" t="s">
        <v>516</v>
      </c>
      <c r="G88" s="1589" t="s">
        <v>10</v>
      </c>
      <c r="H88" s="2226" t="s">
        <v>520</v>
      </c>
      <c r="I88" s="2227"/>
      <c r="J88" s="1592" t="s">
        <v>279</v>
      </c>
      <c r="K88" s="1593" t="s">
        <v>295</v>
      </c>
      <c r="L88" s="1593">
        <v>10</v>
      </c>
      <c r="M88" s="1593">
        <v>10</v>
      </c>
      <c r="N88" s="467"/>
      <c r="O88" s="551">
        <v>0.1</v>
      </c>
      <c r="P88" s="552">
        <v>0.1</v>
      </c>
      <c r="Q88" s="552">
        <v>0.1</v>
      </c>
      <c r="R88" s="552">
        <v>0.1</v>
      </c>
      <c r="S88" s="553">
        <v>0.1</v>
      </c>
      <c r="T88" s="551">
        <v>0.1</v>
      </c>
      <c r="U88" s="552">
        <v>0.1</v>
      </c>
      <c r="V88" s="552">
        <v>0.1</v>
      </c>
      <c r="W88" s="552">
        <v>0.1</v>
      </c>
      <c r="X88" s="553">
        <v>0.1</v>
      </c>
      <c r="Y88" s="547"/>
      <c r="Z88" s="551"/>
      <c r="AA88" s="552"/>
      <c r="AB88" s="552"/>
      <c r="AC88" s="552"/>
      <c r="AD88" s="553"/>
      <c r="AE88" s="551"/>
      <c r="AF88" s="552"/>
      <c r="AG88" s="552"/>
      <c r="AH88" s="552"/>
      <c r="AI88" s="553"/>
      <c r="AJ88" s="547"/>
      <c r="AK88" s="551"/>
      <c r="AL88" s="552"/>
      <c r="AM88" s="552"/>
      <c r="AN88" s="552"/>
      <c r="AO88" s="553"/>
      <c r="AP88" s="551"/>
      <c r="AQ88" s="552"/>
      <c r="AR88" s="552"/>
      <c r="AS88" s="552"/>
      <c r="AT88" s="553"/>
      <c r="AU88" s="467"/>
      <c r="AV88" s="524">
        <f t="shared" si="47"/>
        <v>0.1</v>
      </c>
      <c r="AW88" s="525">
        <f t="shared" si="46"/>
        <v>0.1</v>
      </c>
      <c r="AX88" s="525">
        <f t="shared" si="46"/>
        <v>0.1</v>
      </c>
      <c r="AY88" s="525">
        <f t="shared" si="46"/>
        <v>0.1</v>
      </c>
      <c r="AZ88" s="526">
        <f t="shared" si="46"/>
        <v>0.1</v>
      </c>
      <c r="BA88" s="524">
        <f t="shared" si="46"/>
        <v>0.1</v>
      </c>
      <c r="BB88" s="525">
        <f t="shared" si="46"/>
        <v>0.1</v>
      </c>
      <c r="BC88" s="525">
        <f t="shared" si="46"/>
        <v>0.1</v>
      </c>
      <c r="BD88" s="525">
        <f t="shared" si="46"/>
        <v>0.1</v>
      </c>
      <c r="BE88" s="526">
        <f t="shared" si="46"/>
        <v>0.1</v>
      </c>
      <c r="BF88" s="467"/>
      <c r="BG88" s="524">
        <f t="shared" ca="1" si="39"/>
        <v>5.0000000000000001E-3</v>
      </c>
      <c r="BH88" s="525">
        <f t="shared" ca="1" si="40"/>
        <v>1.4999999999999999E-2</v>
      </c>
      <c r="BI88" s="525">
        <f t="shared" ca="1" si="40"/>
        <v>2.5000000000000001E-2</v>
      </c>
      <c r="BJ88" s="525">
        <f t="shared" ca="1" si="40"/>
        <v>3.5000000000000003E-2</v>
      </c>
      <c r="BK88" s="526">
        <f t="shared" ca="1" si="40"/>
        <v>4.4999999999999998E-2</v>
      </c>
      <c r="BL88" s="524">
        <f t="shared" ca="1" si="40"/>
        <v>5.5E-2</v>
      </c>
      <c r="BM88" s="525">
        <f t="shared" ca="1" si="40"/>
        <v>6.5000000000000002E-2</v>
      </c>
      <c r="BN88" s="525">
        <f t="shared" ca="1" si="40"/>
        <v>7.4999999999999997E-2</v>
      </c>
      <c r="BO88" s="525">
        <f t="shared" ref="BO88:BP146" ca="1" si="48">IF($L88=0,0,
IF($L88&lt;=0.5,BZ88,
IF(AND($J88="straight line",$L88&lt;1.51),(BY88-((BY88/$L88)*0.5))+BZ88/$L88*0.5,
IF($J88="straight line",
IF((LEFT(BO$40,4)*1)-INT($L88)&lt;LEFT($BG$40,4)*1,0,((OFFSET(BZ88,0,-INT($L88+0.5),1,1))/$L88)*(IF($L88-INT($L88)&gt;0.5,$L88-0.5-INT($L88),IF($L88-INT($L88)&lt;=0.5,$L88-0.5-INT($L88)+1,0))))
+BZ88/$L88*0.5
+SUM(OFFSET(BZ88,0,MAX(-INT($L88+(0.5-(10^-12))),-BO$41)+1,1,MIN(INT($L88+(0.5-(10^-12))),BO$41)-1))*1/$L88,
IF($J88="Declining Balance",-$BG$39,0)))))</f>
        <v>8.4999999999999992E-2</v>
      </c>
      <c r="BP88" s="526">
        <f t="shared" ca="1" si="48"/>
        <v>9.5000000000000001E-2</v>
      </c>
      <c r="BQ88" s="467"/>
      <c r="BR88" s="524">
        <f>+IF($K88="Ongoing",AV88,IF(RIGHT($K88,2)=RIGHT(BR$40,2),SUM($AV88:AV88),0)+IF(RIGHT(BR$40,2)&gt;RIGHT($K88,2),AV88,0))</f>
        <v>0.1</v>
      </c>
      <c r="BS88" s="525">
        <f>+IF($K88="Ongoing",AW88,IF(RIGHT($K88,2)=RIGHT(BS$40,2),SUM($AV88:AW88),0)+IF(RIGHT(BS$40,2)&gt;RIGHT($K88,2),AW88,0))</f>
        <v>0.1</v>
      </c>
      <c r="BT88" s="525">
        <f>+IF($K88="Ongoing",AX88,IF(RIGHT($K88,2)=RIGHT(BT$40,2),SUM($AV88:AX88),0)+IF(RIGHT(BT$40,2)&gt;RIGHT($K88,2),AX88,0))</f>
        <v>0.1</v>
      </c>
      <c r="BU88" s="525">
        <f>+IF($K88="Ongoing",AY88,IF(RIGHT($K88,2)=RIGHT(BU$40,2),SUM($AV88:AY88),0)+IF(RIGHT(BU$40,2)&gt;RIGHT($K88,2),AY88,0))</f>
        <v>0.1</v>
      </c>
      <c r="BV88" s="526">
        <f>+IF($K88="Ongoing",AZ88,IF(RIGHT($K88,2)=RIGHT(BV$40,2),SUM($AV88:AZ88),0)+IF(RIGHT(BV$40,2)&gt;RIGHT($K88,2),AZ88,0))</f>
        <v>0.1</v>
      </c>
      <c r="BW88" s="524">
        <f>+IF($K88="Ongoing",BA88,IF(RIGHT($K88,2)=RIGHT(BW$40,2),SUM($AV88:BA88),0)+IF(RIGHT(BW$40,2)&gt;RIGHT($K88,2),BA88,0))</f>
        <v>0.1</v>
      </c>
      <c r="BX88" s="525">
        <f>+IF($K88="Ongoing",BB88,IF(RIGHT($K88,2)=RIGHT(BX$40,2),SUM($AV88:BB88),0)+IF(RIGHT(BX$40,2)&gt;RIGHT($K88,2),BB88,0))</f>
        <v>0.1</v>
      </c>
      <c r="BY88" s="525">
        <f>+IF($K88="Ongoing",BC88,IF(RIGHT($K88,2)=RIGHT(BY$40,2),SUM($AV88:BC88),0)+IF(RIGHT(BY$40,2)&gt;RIGHT($K88,2),BC88,0))</f>
        <v>0.1</v>
      </c>
      <c r="BZ88" s="525">
        <f>+IF($K88="Ongoing",BD88,IF(RIGHT($K88,2)=RIGHT(BZ$40,2),SUM($AV88:BD88),0)+IF(RIGHT(BZ$40,2)&gt;RIGHT($K88,2),BD88,0))</f>
        <v>0.1</v>
      </c>
      <c r="CA88" s="526">
        <f>+IF($K88="Ongoing",BE88,IF(RIGHT($K88,2)=RIGHT(CA$40,2),SUM($AV88:BE88),0)+IF(RIGHT(CA$40,2)&gt;RIGHT($K88,2),BE88,0))</f>
        <v>0.1</v>
      </c>
      <c r="CB88" s="467"/>
      <c r="CC88" s="524">
        <f>+O88*KeyAssumptionsPriceControl_FO!AF$15</f>
        <v>0.10289999999999999</v>
      </c>
      <c r="CD88" s="525">
        <f>+P88*KeyAssumptionsPriceControl_FO!AG$15</f>
        <v>0.10588409999999999</v>
      </c>
      <c r="CE88" s="525">
        <f>+Q88*KeyAssumptionsPriceControl_FO!AH$15</f>
        <v>0.10895473889999999</v>
      </c>
      <c r="CF88" s="525">
        <f>+R88*KeyAssumptionsPriceControl_FO!AI$15</f>
        <v>0.11211442632809998</v>
      </c>
      <c r="CG88" s="526">
        <f>+S88*KeyAssumptionsPriceControl_FO!AJ$15</f>
        <v>0.11536574469161487</v>
      </c>
      <c r="CH88" s="524">
        <f>+T88*KeyAssumptionsPriceControl_FO!AK$15</f>
        <v>0.1187113512876717</v>
      </c>
      <c r="CI88" s="525">
        <f>+U88*KeyAssumptionsPriceControl_FO!AL$15</f>
        <v>0.12215398047501416</v>
      </c>
      <c r="CJ88" s="525">
        <f>+V88*KeyAssumptionsPriceControl_FO!AM$15</f>
        <v>0.12569644590878956</v>
      </c>
      <c r="CK88" s="525">
        <f>+W88*KeyAssumptionsPriceControl_FO!AN$15</f>
        <v>0.12934164284014446</v>
      </c>
      <c r="CL88" s="526">
        <f>+X88*KeyAssumptionsPriceControl_FO!AO$15</f>
        <v>0.13309255048250865</v>
      </c>
      <c r="CM88" s="467"/>
      <c r="CN88" s="524">
        <f t="shared" ca="1" si="41"/>
        <v>5.1449999999999994E-3</v>
      </c>
      <c r="CO88" s="525">
        <f t="shared" ca="1" si="42"/>
        <v>1.5584204999999999E-2</v>
      </c>
      <c r="CP88" s="525">
        <f t="shared" ca="1" si="42"/>
        <v>2.6326146944999997E-2</v>
      </c>
      <c r="CQ88" s="525">
        <f t="shared" ca="1" si="42"/>
        <v>3.7379605206405001E-2</v>
      </c>
      <c r="CR88" s="526">
        <f t="shared" ca="1" si="42"/>
        <v>4.8753613757390735E-2</v>
      </c>
      <c r="CS88" s="524">
        <f t="shared" ca="1" si="42"/>
        <v>6.0457468556355067E-2</v>
      </c>
      <c r="CT88" s="525">
        <f t="shared" ca="1" si="42"/>
        <v>7.2500735144489362E-2</v>
      </c>
      <c r="CU88" s="525">
        <f t="shared" ca="1" si="42"/>
        <v>8.4893256463679539E-2</v>
      </c>
      <c r="CV88" s="525">
        <f t="shared" ref="CV88:CW146" ca="1" si="49">IF($M88=0,0,
IF($M88&lt;=0.5,CK88,
IF(AND($J88="straight line",$M88&lt;1.51),(CJ88-((CJ88/$M88)*0.5))+CK88/$M88*0.5,
IF($J88="straight line",
IF((LEFT(CV$40,4)*1)-INT($M88)&lt;LEFT($CN$40,4)*1,0,((OFFSET(CK88,0,-INT($M88+0.5),1,1))/$M88)*(IF($M88-INT($M88)&gt;0.5,$M88-0.5-INT($M88),IF($M88-INT($M88)&lt;=0.5,$M88-0.5-INT($M88)+1,0))))
+CK88/$M88*0.5
+SUM(OFFSET(CK88,0,MAX(-INT($M88+(0.5-(10^-12))),-CV$41)+1,1,MIN(INT($M88+(0.5-(10^-12))),CV$41)-1))*1/$M88,
IF($J88="Declining Balance",-$CN$39,0)))))</f>
        <v>9.7645160901126252E-2</v>
      </c>
      <c r="CW88" s="526">
        <f t="shared" ca="1" si="49"/>
        <v>0.1107668705672589</v>
      </c>
      <c r="CX88" s="467"/>
    </row>
    <row r="89" spans="2:102">
      <c r="B89" s="502"/>
      <c r="C89" s="1589" t="s">
        <v>1379</v>
      </c>
      <c r="D89" s="1590"/>
      <c r="E89" s="1591" t="s">
        <v>20</v>
      </c>
      <c r="F89" s="1591" t="s">
        <v>12</v>
      </c>
      <c r="G89" s="1589" t="s">
        <v>14</v>
      </c>
      <c r="H89" s="2226" t="s">
        <v>521</v>
      </c>
      <c r="I89" s="2227"/>
      <c r="J89" s="1592" t="s">
        <v>279</v>
      </c>
      <c r="K89" s="1593" t="s">
        <v>527</v>
      </c>
      <c r="L89" s="1593">
        <v>50</v>
      </c>
      <c r="M89" s="1593">
        <v>50</v>
      </c>
      <c r="N89" s="467"/>
      <c r="O89" s="551">
        <v>0.25</v>
      </c>
      <c r="P89" s="552">
        <v>0</v>
      </c>
      <c r="Q89" s="552">
        <v>0</v>
      </c>
      <c r="R89" s="552">
        <v>0</v>
      </c>
      <c r="S89" s="553">
        <v>0</v>
      </c>
      <c r="T89" s="551">
        <v>0</v>
      </c>
      <c r="U89" s="552">
        <v>0</v>
      </c>
      <c r="V89" s="552">
        <v>0</v>
      </c>
      <c r="W89" s="552">
        <v>0</v>
      </c>
      <c r="X89" s="553">
        <v>0</v>
      </c>
      <c r="Y89" s="547"/>
      <c r="Z89" s="551"/>
      <c r="AA89" s="552"/>
      <c r="AB89" s="552"/>
      <c r="AC89" s="552"/>
      <c r="AD89" s="553"/>
      <c r="AE89" s="551"/>
      <c r="AF89" s="552"/>
      <c r="AG89" s="552"/>
      <c r="AH89" s="552"/>
      <c r="AI89" s="553"/>
      <c r="AJ89" s="547"/>
      <c r="AK89" s="551"/>
      <c r="AL89" s="552"/>
      <c r="AM89" s="552"/>
      <c r="AN89" s="552"/>
      <c r="AO89" s="553"/>
      <c r="AP89" s="551"/>
      <c r="AQ89" s="552"/>
      <c r="AR89" s="552"/>
      <c r="AS89" s="552"/>
      <c r="AT89" s="553"/>
      <c r="AU89" s="467"/>
      <c r="AV89" s="524">
        <f t="shared" si="47"/>
        <v>0.25</v>
      </c>
      <c r="AW89" s="525">
        <f t="shared" si="46"/>
        <v>0</v>
      </c>
      <c r="AX89" s="525">
        <f t="shared" si="46"/>
        <v>0</v>
      </c>
      <c r="AY89" s="525">
        <f t="shared" si="46"/>
        <v>0</v>
      </c>
      <c r="AZ89" s="526">
        <f t="shared" si="46"/>
        <v>0</v>
      </c>
      <c r="BA89" s="524">
        <f t="shared" si="46"/>
        <v>0</v>
      </c>
      <c r="BB89" s="525">
        <f t="shared" si="46"/>
        <v>0</v>
      </c>
      <c r="BC89" s="525">
        <f t="shared" si="46"/>
        <v>0</v>
      </c>
      <c r="BD89" s="525">
        <f t="shared" si="46"/>
        <v>0</v>
      </c>
      <c r="BE89" s="526">
        <f t="shared" si="46"/>
        <v>0</v>
      </c>
      <c r="BF89" s="467"/>
      <c r="BG89" s="524">
        <f t="shared" ca="1" si="39"/>
        <v>2.5000000000000001E-3</v>
      </c>
      <c r="BH89" s="525">
        <f t="shared" ref="BH89:BN125" ca="1" si="50">IF($L89=0,0,
IF($L89&lt;=0.5,BS89,
IF(AND($J89="straight line",$L89&lt;1.51),(BR89-((BR89/$L89)*0.5))+BS89/$L89*0.5,
IF($J89="straight line",
IF((LEFT(BH$40,4)*1)-INT($L89)&lt;LEFT($BG$40,4)*1,0,((OFFSET(BS89,0,-INT($L89+0.5),1,1))/$L89)*(IF($L89-INT($L89)&gt;0.5,$L89-0.5-INT($L89),IF($L89-INT($L89)&lt;=0.5,$L89-0.5-INT($L89)+1,0))))
+BS89/$L89*0.5
+SUM(OFFSET(BS89,0,MAX(-INT($L89+(0.5-(10^-12))),-BH$41)+1,1,MIN(INT($L89+(0.5-(10^-12))),BH$41)-1))*1/$L89,
IF($J89="Declining Balance",-$BG$39,0)))))</f>
        <v>5.0000000000000001E-3</v>
      </c>
      <c r="BI89" s="525">
        <f t="shared" ca="1" si="50"/>
        <v>5.0000000000000001E-3</v>
      </c>
      <c r="BJ89" s="525">
        <f t="shared" ca="1" si="50"/>
        <v>5.0000000000000001E-3</v>
      </c>
      <c r="BK89" s="526">
        <f t="shared" ca="1" si="50"/>
        <v>5.0000000000000001E-3</v>
      </c>
      <c r="BL89" s="524">
        <f t="shared" ca="1" si="50"/>
        <v>5.0000000000000001E-3</v>
      </c>
      <c r="BM89" s="525">
        <f t="shared" ca="1" si="50"/>
        <v>5.0000000000000001E-3</v>
      </c>
      <c r="BN89" s="525">
        <f t="shared" ca="1" si="50"/>
        <v>5.0000000000000001E-3</v>
      </c>
      <c r="BO89" s="525">
        <f t="shared" ca="1" si="48"/>
        <v>5.0000000000000001E-3</v>
      </c>
      <c r="BP89" s="526">
        <f t="shared" ca="1" si="48"/>
        <v>5.0000000000000001E-3</v>
      </c>
      <c r="BQ89" s="467"/>
      <c r="BR89" s="524">
        <f>+IF($K89="Ongoing",AV89,IF(RIGHT($K89,2)=RIGHT(BR$40,2),SUM($AV89:AV89),0)+IF(RIGHT(BR$40,2)&gt;RIGHT($K89,2),AV89,0))</f>
        <v>0.25</v>
      </c>
      <c r="BS89" s="525">
        <f>+IF($K89="Ongoing",AW89,IF(RIGHT($K89,2)=RIGHT(BS$40,2),SUM($AV89:AW89),0)+IF(RIGHT(BS$40,2)&gt;RIGHT($K89,2),AW89,0))</f>
        <v>0</v>
      </c>
      <c r="BT89" s="525">
        <f>+IF($K89="Ongoing",AX89,IF(RIGHT($K89,2)=RIGHT(BT$40,2),SUM($AV89:AX89),0)+IF(RIGHT(BT$40,2)&gt;RIGHT($K89,2),AX89,0))</f>
        <v>0</v>
      </c>
      <c r="BU89" s="525">
        <f>+IF($K89="Ongoing",AY89,IF(RIGHT($K89,2)=RIGHT(BU$40,2),SUM($AV89:AY89),0)+IF(RIGHT(BU$40,2)&gt;RIGHT($K89,2),AY89,0))</f>
        <v>0</v>
      </c>
      <c r="BV89" s="526">
        <f>+IF($K89="Ongoing",AZ89,IF(RIGHT($K89,2)=RIGHT(BV$40,2),SUM($AV89:AZ89),0)+IF(RIGHT(BV$40,2)&gt;RIGHT($K89,2),AZ89,0))</f>
        <v>0</v>
      </c>
      <c r="BW89" s="524">
        <f>+IF($K89="Ongoing",BA89,IF(RIGHT($K89,2)=RIGHT(BW$40,2),SUM($AV89:BA89),0)+IF(RIGHT(BW$40,2)&gt;RIGHT($K89,2),BA89,0))</f>
        <v>0</v>
      </c>
      <c r="BX89" s="525">
        <f>+IF($K89="Ongoing",BB89,IF(RIGHT($K89,2)=RIGHT(BX$40,2),SUM($AV89:BB89),0)+IF(RIGHT(BX$40,2)&gt;RIGHT($K89,2),BB89,0))</f>
        <v>0</v>
      </c>
      <c r="BY89" s="525">
        <f>+IF($K89="Ongoing",BC89,IF(RIGHT($K89,2)=RIGHT(BY$40,2),SUM($AV89:BC89),0)+IF(RIGHT(BY$40,2)&gt;RIGHT($K89,2),BC89,0))</f>
        <v>0</v>
      </c>
      <c r="BZ89" s="525">
        <f>+IF($K89="Ongoing",BD89,IF(RIGHT($K89,2)=RIGHT(BZ$40,2),SUM($AV89:BD89),0)+IF(RIGHT(BZ$40,2)&gt;RIGHT($K89,2),BD89,0))</f>
        <v>0</v>
      </c>
      <c r="CA89" s="526">
        <f>+IF($K89="Ongoing",BE89,IF(RIGHT($K89,2)=RIGHT(CA$40,2),SUM($AV89:BE89),0)+IF(RIGHT(CA$40,2)&gt;RIGHT($K89,2),BE89,0))</f>
        <v>0</v>
      </c>
      <c r="CB89" s="467"/>
      <c r="CC89" s="524">
        <f>+O89*KeyAssumptionsPriceControl_FO!AF$15</f>
        <v>0.25724999999999998</v>
      </c>
      <c r="CD89" s="525">
        <f>+P89*KeyAssumptionsPriceControl_FO!AG$15</f>
        <v>0</v>
      </c>
      <c r="CE89" s="525">
        <f>+Q89*KeyAssumptionsPriceControl_FO!AH$15</f>
        <v>0</v>
      </c>
      <c r="CF89" s="525">
        <f>+R89*KeyAssumptionsPriceControl_FO!AI$15</f>
        <v>0</v>
      </c>
      <c r="CG89" s="526">
        <f>+S89*KeyAssumptionsPriceControl_FO!AJ$15</f>
        <v>0</v>
      </c>
      <c r="CH89" s="524">
        <f>+T89*KeyAssumptionsPriceControl_FO!AK$15</f>
        <v>0</v>
      </c>
      <c r="CI89" s="525">
        <f>+U89*KeyAssumptionsPriceControl_FO!AL$15</f>
        <v>0</v>
      </c>
      <c r="CJ89" s="525">
        <f>+V89*KeyAssumptionsPriceControl_FO!AM$15</f>
        <v>0</v>
      </c>
      <c r="CK89" s="525">
        <f>+W89*KeyAssumptionsPriceControl_FO!AN$15</f>
        <v>0</v>
      </c>
      <c r="CL89" s="526">
        <f>+X89*KeyAssumptionsPriceControl_FO!AO$15</f>
        <v>0</v>
      </c>
      <c r="CM89" s="467"/>
      <c r="CN89" s="524">
        <f t="shared" ca="1" si="41"/>
        <v>2.5724999999999997E-3</v>
      </c>
      <c r="CO89" s="525">
        <f t="shared" ref="CO89:CU125" ca="1" si="51">IF($M89=0,0,
IF($M89&lt;=0.5,CD89,
IF(AND($J89="straight line",$M89&lt;1.51),(CC89-((CC89/$M89)*0.5))+CD89/$M89*0.5,
IF($J89="straight line",
IF((LEFT(CO$40,4)*1)-INT($M89)&lt;LEFT($CN$40,4)*1,0,((OFFSET(CD89,0,-INT($M89+0.5),1,1))/$M89)*(IF($M89-INT($M89)&gt;0.5,$M89-0.5-INT($M89),IF($M89-INT($M89)&lt;=0.5,$M89-0.5-INT($M89)+1,0))))
+CD89/$M89*0.5
+SUM(OFFSET(CD89,0,MAX(-INT($M89+(0.5-(10^-12))),-CO$41)+1,1,MIN(INT($M89+(0.5-(10^-12))),CO$41)-1))*1/$M89,
IF($J89="Declining Balance",-$CN$39,0)))))</f>
        <v>5.1449999999999994E-3</v>
      </c>
      <c r="CP89" s="525">
        <f t="shared" ca="1" si="51"/>
        <v>5.1449999999999994E-3</v>
      </c>
      <c r="CQ89" s="525">
        <f t="shared" ca="1" si="51"/>
        <v>5.1449999999999994E-3</v>
      </c>
      <c r="CR89" s="526">
        <f t="shared" ca="1" si="51"/>
        <v>5.1449999999999994E-3</v>
      </c>
      <c r="CS89" s="524">
        <f t="shared" ca="1" si="51"/>
        <v>5.1449999999999994E-3</v>
      </c>
      <c r="CT89" s="525">
        <f t="shared" ca="1" si="51"/>
        <v>5.1449999999999994E-3</v>
      </c>
      <c r="CU89" s="525">
        <f t="shared" ca="1" si="51"/>
        <v>5.1449999999999994E-3</v>
      </c>
      <c r="CV89" s="525">
        <f t="shared" ca="1" si="49"/>
        <v>5.1449999999999994E-3</v>
      </c>
      <c r="CW89" s="526">
        <f t="shared" ca="1" si="49"/>
        <v>5.1449999999999994E-3</v>
      </c>
      <c r="CX89" s="467"/>
    </row>
    <row r="90" spans="2:102">
      <c r="B90" s="502"/>
      <c r="C90" s="1589" t="s">
        <v>1380</v>
      </c>
      <c r="D90" s="1590"/>
      <c r="E90" s="1591" t="s">
        <v>20</v>
      </c>
      <c r="F90" s="1591" t="s">
        <v>516</v>
      </c>
      <c r="G90" s="1589" t="s">
        <v>6</v>
      </c>
      <c r="H90" s="2226" t="s">
        <v>521</v>
      </c>
      <c r="I90" s="2227"/>
      <c r="J90" s="1592" t="s">
        <v>279</v>
      </c>
      <c r="K90" s="1593" t="s">
        <v>965</v>
      </c>
      <c r="L90" s="1593">
        <v>15</v>
      </c>
      <c r="M90" s="1593">
        <v>15</v>
      </c>
      <c r="N90" s="467"/>
      <c r="O90" s="551">
        <v>0</v>
      </c>
      <c r="P90" s="552">
        <v>0</v>
      </c>
      <c r="Q90" s="552">
        <v>0</v>
      </c>
      <c r="R90" s="552">
        <v>0.05</v>
      </c>
      <c r="S90" s="553">
        <v>0.25</v>
      </c>
      <c r="T90" s="551">
        <v>0</v>
      </c>
      <c r="U90" s="552">
        <v>0</v>
      </c>
      <c r="V90" s="552">
        <v>0</v>
      </c>
      <c r="W90" s="552">
        <v>0</v>
      </c>
      <c r="X90" s="553">
        <v>0</v>
      </c>
      <c r="Y90" s="547"/>
      <c r="Z90" s="551"/>
      <c r="AA90" s="552"/>
      <c r="AB90" s="552"/>
      <c r="AC90" s="552"/>
      <c r="AD90" s="553"/>
      <c r="AE90" s="551"/>
      <c r="AF90" s="552"/>
      <c r="AG90" s="552"/>
      <c r="AH90" s="552"/>
      <c r="AI90" s="553"/>
      <c r="AJ90" s="547"/>
      <c r="AK90" s="551"/>
      <c r="AL90" s="552"/>
      <c r="AM90" s="552"/>
      <c r="AN90" s="552"/>
      <c r="AO90" s="553"/>
      <c r="AP90" s="551"/>
      <c r="AQ90" s="552"/>
      <c r="AR90" s="552"/>
      <c r="AS90" s="552"/>
      <c r="AT90" s="553"/>
      <c r="AU90" s="467"/>
      <c r="AV90" s="524">
        <f t="shared" si="47"/>
        <v>0</v>
      </c>
      <c r="AW90" s="525">
        <f t="shared" si="46"/>
        <v>0</v>
      </c>
      <c r="AX90" s="525">
        <f t="shared" si="46"/>
        <v>0</v>
      </c>
      <c r="AY90" s="525">
        <f t="shared" si="46"/>
        <v>0.05</v>
      </c>
      <c r="AZ90" s="526">
        <f t="shared" si="46"/>
        <v>0.25</v>
      </c>
      <c r="BA90" s="524">
        <f t="shared" si="46"/>
        <v>0</v>
      </c>
      <c r="BB90" s="525">
        <f t="shared" si="46"/>
        <v>0</v>
      </c>
      <c r="BC90" s="525">
        <f t="shared" si="46"/>
        <v>0</v>
      </c>
      <c r="BD90" s="525">
        <f t="shared" si="46"/>
        <v>0</v>
      </c>
      <c r="BE90" s="526">
        <f t="shared" si="46"/>
        <v>0</v>
      </c>
      <c r="BF90" s="467"/>
      <c r="BG90" s="524">
        <f t="shared" ca="1" si="39"/>
        <v>0</v>
      </c>
      <c r="BH90" s="525">
        <f t="shared" ca="1" si="50"/>
        <v>0</v>
      </c>
      <c r="BI90" s="525">
        <f t="shared" ca="1" si="50"/>
        <v>0</v>
      </c>
      <c r="BJ90" s="525">
        <f t="shared" ca="1" si="50"/>
        <v>0</v>
      </c>
      <c r="BK90" s="526">
        <f t="shared" ca="1" si="50"/>
        <v>0.01</v>
      </c>
      <c r="BL90" s="524">
        <f t="shared" ca="1" si="50"/>
        <v>0.02</v>
      </c>
      <c r="BM90" s="525">
        <f t="shared" ca="1" si="50"/>
        <v>0.02</v>
      </c>
      <c r="BN90" s="525">
        <f t="shared" ca="1" si="50"/>
        <v>0.02</v>
      </c>
      <c r="BO90" s="525">
        <f t="shared" ca="1" si="48"/>
        <v>0.02</v>
      </c>
      <c r="BP90" s="526">
        <f t="shared" ca="1" si="48"/>
        <v>0.02</v>
      </c>
      <c r="BQ90" s="467"/>
      <c r="BR90" s="524">
        <f>+IF($K90="Ongoing",AV90,IF(RIGHT($K90,2)=RIGHT(BR$40,2),SUM($AV90:AV90),0)+IF(RIGHT(BR$40,2)&gt;RIGHT($K90,2),AV90,0))</f>
        <v>0</v>
      </c>
      <c r="BS90" s="525">
        <f>+IF($K90="Ongoing",AW90,IF(RIGHT($K90,2)=RIGHT(BS$40,2),SUM($AV90:AW90),0)+IF(RIGHT(BS$40,2)&gt;RIGHT($K90,2),AW90,0))</f>
        <v>0</v>
      </c>
      <c r="BT90" s="525">
        <f>+IF($K90="Ongoing",AX90,IF(RIGHT($K90,2)=RIGHT(BT$40,2),SUM($AV90:AX90),0)+IF(RIGHT(BT$40,2)&gt;RIGHT($K90,2),AX90,0))</f>
        <v>0</v>
      </c>
      <c r="BU90" s="525">
        <f>+IF($K90="Ongoing",AY90,IF(RIGHT($K90,2)=RIGHT(BU$40,2),SUM($AV90:AY90),0)+IF(RIGHT(BU$40,2)&gt;RIGHT($K90,2),AY90,0))</f>
        <v>0</v>
      </c>
      <c r="BV90" s="526">
        <f>+IF($K90="Ongoing",AZ90,IF(RIGHT($K90,2)=RIGHT(BV$40,2),SUM($AV90:AZ90),0)+IF(RIGHT(BV$40,2)&gt;RIGHT($K90,2),AZ90,0))</f>
        <v>0.3</v>
      </c>
      <c r="BW90" s="524">
        <f>+IF($K90="Ongoing",BA90,IF(RIGHT($K90,2)=RIGHT(BW$40,2),SUM($AV90:BA90),0)+IF(RIGHT(BW$40,2)&gt;RIGHT($K90,2),BA90,0))</f>
        <v>0</v>
      </c>
      <c r="BX90" s="525">
        <f>+IF($K90="Ongoing",BB90,IF(RIGHT($K90,2)=RIGHT(BX$40,2),SUM($AV90:BB90),0)+IF(RIGHT(BX$40,2)&gt;RIGHT($K90,2),BB90,0))</f>
        <v>0</v>
      </c>
      <c r="BY90" s="525">
        <f>+IF($K90="Ongoing",BC90,IF(RIGHT($K90,2)=RIGHT(BY$40,2),SUM($AV90:BC90),0)+IF(RIGHT(BY$40,2)&gt;RIGHT($K90,2),BC90,0))</f>
        <v>0</v>
      </c>
      <c r="BZ90" s="525">
        <f>+IF($K90="Ongoing",BD90,IF(RIGHT($K90,2)=RIGHT(BZ$40,2),SUM($AV90:BD90),0)+IF(RIGHT(BZ$40,2)&gt;RIGHT($K90,2),BD90,0))</f>
        <v>0</v>
      </c>
      <c r="CA90" s="526">
        <f>+IF($K90="Ongoing",BE90,IF(RIGHT($K90,2)=RIGHT(CA$40,2),SUM($AV90:BE90),0)+IF(RIGHT(CA$40,2)&gt;RIGHT($K90,2),BE90,0))</f>
        <v>0</v>
      </c>
      <c r="CB90" s="467"/>
      <c r="CC90" s="524">
        <f>+O90*KeyAssumptionsPriceControl_FO!AF$15</f>
        <v>0</v>
      </c>
      <c r="CD90" s="525">
        <f>+P90*KeyAssumptionsPriceControl_FO!AG$15</f>
        <v>0</v>
      </c>
      <c r="CE90" s="525">
        <f>+Q90*KeyAssumptionsPriceControl_FO!AH$15</f>
        <v>0</v>
      </c>
      <c r="CF90" s="525">
        <f>+R90*KeyAssumptionsPriceControl_FO!AI$15</f>
        <v>5.605721316404999E-2</v>
      </c>
      <c r="CG90" s="526">
        <f>+S90*KeyAssumptionsPriceControl_FO!AJ$15</f>
        <v>0.28841436172903717</v>
      </c>
      <c r="CH90" s="524">
        <f>+T90*KeyAssumptionsPriceControl_FO!AK$15</f>
        <v>0</v>
      </c>
      <c r="CI90" s="525">
        <f>+U90*KeyAssumptionsPriceControl_FO!AL$15</f>
        <v>0</v>
      </c>
      <c r="CJ90" s="525">
        <f>+V90*KeyAssumptionsPriceControl_FO!AM$15</f>
        <v>0</v>
      </c>
      <c r="CK90" s="525">
        <f>+W90*KeyAssumptionsPriceControl_FO!AN$15</f>
        <v>0</v>
      </c>
      <c r="CL90" s="526">
        <f>+X90*KeyAssumptionsPriceControl_FO!AO$15</f>
        <v>0</v>
      </c>
      <c r="CM90" s="467"/>
      <c r="CN90" s="524">
        <f t="shared" ca="1" si="41"/>
        <v>0</v>
      </c>
      <c r="CO90" s="525">
        <f t="shared" ca="1" si="51"/>
        <v>0</v>
      </c>
      <c r="CP90" s="525">
        <f t="shared" ca="1" si="51"/>
        <v>0</v>
      </c>
      <c r="CQ90" s="525">
        <f t="shared" ca="1" si="51"/>
        <v>1.8685737721349997E-3</v>
      </c>
      <c r="CR90" s="526">
        <f t="shared" ca="1" si="51"/>
        <v>1.335095960190457E-2</v>
      </c>
      <c r="CS90" s="524">
        <f t="shared" ca="1" si="51"/>
        <v>2.2964771659539144E-2</v>
      </c>
      <c r="CT90" s="525">
        <f t="shared" ca="1" si="51"/>
        <v>2.2964771659539144E-2</v>
      </c>
      <c r="CU90" s="525">
        <f t="shared" ca="1" si="51"/>
        <v>2.2964771659539144E-2</v>
      </c>
      <c r="CV90" s="525">
        <f t="shared" ca="1" si="49"/>
        <v>2.2964771659539144E-2</v>
      </c>
      <c r="CW90" s="526">
        <f t="shared" ca="1" si="49"/>
        <v>2.2964771659539144E-2</v>
      </c>
      <c r="CX90" s="467"/>
    </row>
    <row r="91" spans="2:102">
      <c r="B91" s="502"/>
      <c r="C91" s="1589" t="s">
        <v>1381</v>
      </c>
      <c r="D91" s="1590"/>
      <c r="E91" s="1591" t="s">
        <v>21</v>
      </c>
      <c r="F91" s="1591" t="s">
        <v>12</v>
      </c>
      <c r="G91" s="1589" t="s">
        <v>14</v>
      </c>
      <c r="H91" s="2226" t="s">
        <v>521</v>
      </c>
      <c r="I91" s="2227"/>
      <c r="J91" s="1592" t="s">
        <v>279</v>
      </c>
      <c r="K91" s="1593" t="s">
        <v>965</v>
      </c>
      <c r="L91" s="1593">
        <v>50</v>
      </c>
      <c r="M91" s="1593">
        <v>50</v>
      </c>
      <c r="N91" s="467"/>
      <c r="O91" s="551">
        <v>0</v>
      </c>
      <c r="P91" s="552">
        <v>0</v>
      </c>
      <c r="Q91" s="552">
        <v>0</v>
      </c>
      <c r="R91" s="552">
        <v>2.41</v>
      </c>
      <c r="S91" s="553">
        <v>3</v>
      </c>
      <c r="T91" s="551">
        <v>0</v>
      </c>
      <c r="U91" s="552">
        <v>0</v>
      </c>
      <c r="V91" s="552">
        <v>0</v>
      </c>
      <c r="W91" s="552">
        <v>0</v>
      </c>
      <c r="X91" s="553">
        <v>0</v>
      </c>
      <c r="Y91" s="547"/>
      <c r="Z91" s="551"/>
      <c r="AA91" s="552"/>
      <c r="AB91" s="552"/>
      <c r="AC91" s="552"/>
      <c r="AD91" s="553"/>
      <c r="AE91" s="551"/>
      <c r="AF91" s="552"/>
      <c r="AG91" s="552"/>
      <c r="AH91" s="552"/>
      <c r="AI91" s="553"/>
      <c r="AJ91" s="547"/>
      <c r="AK91" s="551"/>
      <c r="AL91" s="552"/>
      <c r="AM91" s="552"/>
      <c r="AN91" s="552"/>
      <c r="AO91" s="553"/>
      <c r="AP91" s="551"/>
      <c r="AQ91" s="552"/>
      <c r="AR91" s="552"/>
      <c r="AS91" s="552"/>
      <c r="AT91" s="553"/>
      <c r="AU91" s="467"/>
      <c r="AV91" s="524">
        <f t="shared" si="47"/>
        <v>0</v>
      </c>
      <c r="AW91" s="525">
        <f t="shared" si="46"/>
        <v>0</v>
      </c>
      <c r="AX91" s="525">
        <f t="shared" si="46"/>
        <v>0</v>
      </c>
      <c r="AY91" s="525">
        <f t="shared" si="46"/>
        <v>2.41</v>
      </c>
      <c r="AZ91" s="526">
        <f t="shared" si="46"/>
        <v>3</v>
      </c>
      <c r="BA91" s="524">
        <f t="shared" si="46"/>
        <v>0</v>
      </c>
      <c r="BB91" s="525">
        <f t="shared" si="46"/>
        <v>0</v>
      </c>
      <c r="BC91" s="525">
        <f t="shared" si="46"/>
        <v>0</v>
      </c>
      <c r="BD91" s="525">
        <f t="shared" si="46"/>
        <v>0</v>
      </c>
      <c r="BE91" s="526">
        <f t="shared" si="46"/>
        <v>0</v>
      </c>
      <c r="BF91" s="467"/>
      <c r="BG91" s="524">
        <f t="shared" ca="1" si="39"/>
        <v>0</v>
      </c>
      <c r="BH91" s="525">
        <f t="shared" ca="1" si="50"/>
        <v>0</v>
      </c>
      <c r="BI91" s="525">
        <f t="shared" ca="1" si="50"/>
        <v>0</v>
      </c>
      <c r="BJ91" s="525">
        <f t="shared" ca="1" si="50"/>
        <v>0</v>
      </c>
      <c r="BK91" s="526">
        <f t="shared" ca="1" si="50"/>
        <v>5.4100000000000002E-2</v>
      </c>
      <c r="BL91" s="524">
        <f t="shared" ca="1" si="50"/>
        <v>0.1082</v>
      </c>
      <c r="BM91" s="525">
        <f t="shared" ca="1" si="50"/>
        <v>0.1082</v>
      </c>
      <c r="BN91" s="525">
        <f t="shared" ca="1" si="50"/>
        <v>0.1082</v>
      </c>
      <c r="BO91" s="525">
        <f t="shared" ca="1" si="48"/>
        <v>0.1082</v>
      </c>
      <c r="BP91" s="526">
        <f t="shared" ca="1" si="48"/>
        <v>0.1082</v>
      </c>
      <c r="BQ91" s="467"/>
      <c r="BR91" s="524">
        <f>+IF($K91="Ongoing",AV91,IF(RIGHT($K91,2)=RIGHT(BR$40,2),SUM($AV91:AV91),0)+IF(RIGHT(BR$40,2)&gt;RIGHT($K91,2),AV91,0))</f>
        <v>0</v>
      </c>
      <c r="BS91" s="525">
        <f>+IF($K91="Ongoing",AW91,IF(RIGHT($K91,2)=RIGHT(BS$40,2),SUM($AV91:AW91),0)+IF(RIGHT(BS$40,2)&gt;RIGHT($K91,2),AW91,0))</f>
        <v>0</v>
      </c>
      <c r="BT91" s="525">
        <f>+IF($K91="Ongoing",AX91,IF(RIGHT($K91,2)=RIGHT(BT$40,2),SUM($AV91:AX91),0)+IF(RIGHT(BT$40,2)&gt;RIGHT($K91,2),AX91,0))</f>
        <v>0</v>
      </c>
      <c r="BU91" s="525">
        <f>+IF($K91="Ongoing",AY91,IF(RIGHT($K91,2)=RIGHT(BU$40,2),SUM($AV91:AY91),0)+IF(RIGHT(BU$40,2)&gt;RIGHT($K91,2),AY91,0))</f>
        <v>0</v>
      </c>
      <c r="BV91" s="526">
        <f>+IF($K91="Ongoing",AZ91,IF(RIGHT($K91,2)=RIGHT(BV$40,2),SUM($AV91:AZ91),0)+IF(RIGHT(BV$40,2)&gt;RIGHT($K91,2),AZ91,0))</f>
        <v>5.41</v>
      </c>
      <c r="BW91" s="524">
        <f>+IF($K91="Ongoing",BA91,IF(RIGHT($K91,2)=RIGHT(BW$40,2),SUM($AV91:BA91),0)+IF(RIGHT(BW$40,2)&gt;RIGHT($K91,2),BA91,0))</f>
        <v>0</v>
      </c>
      <c r="BX91" s="525">
        <f>+IF($K91="Ongoing",BB91,IF(RIGHT($K91,2)=RIGHT(BX$40,2),SUM($AV91:BB91),0)+IF(RIGHT(BX$40,2)&gt;RIGHT($K91,2),BB91,0))</f>
        <v>0</v>
      </c>
      <c r="BY91" s="525">
        <f>+IF($K91="Ongoing",BC91,IF(RIGHT($K91,2)=RIGHT(BY$40,2),SUM($AV91:BC91),0)+IF(RIGHT(BY$40,2)&gt;RIGHT($K91,2),BC91,0))</f>
        <v>0</v>
      </c>
      <c r="BZ91" s="525">
        <f>+IF($K91="Ongoing",BD91,IF(RIGHT($K91,2)=RIGHT(BZ$40,2),SUM($AV91:BD91),0)+IF(RIGHT(BZ$40,2)&gt;RIGHT($K91,2),BD91,0))</f>
        <v>0</v>
      </c>
      <c r="CA91" s="526">
        <f>+IF($K91="Ongoing",BE91,IF(RIGHT($K91,2)=RIGHT(CA$40,2),SUM($AV91:BE91),0)+IF(RIGHT(CA$40,2)&gt;RIGHT($K91,2),BE91,0))</f>
        <v>0</v>
      </c>
      <c r="CB91" s="467"/>
      <c r="CC91" s="524">
        <f>+O91*KeyAssumptionsPriceControl_FO!AF$15</f>
        <v>0</v>
      </c>
      <c r="CD91" s="525">
        <f>+P91*KeyAssumptionsPriceControl_FO!AG$15</f>
        <v>0</v>
      </c>
      <c r="CE91" s="525">
        <f>+Q91*KeyAssumptionsPriceControl_FO!AH$15</f>
        <v>0</v>
      </c>
      <c r="CF91" s="525">
        <f>+R91*KeyAssumptionsPriceControl_FO!AI$15</f>
        <v>2.7019576745072098</v>
      </c>
      <c r="CG91" s="526">
        <f>+S91*KeyAssumptionsPriceControl_FO!AJ$15</f>
        <v>3.4609723407484463</v>
      </c>
      <c r="CH91" s="524">
        <f>+T91*KeyAssumptionsPriceControl_FO!AK$15</f>
        <v>0</v>
      </c>
      <c r="CI91" s="525">
        <f>+U91*KeyAssumptionsPriceControl_FO!AL$15</f>
        <v>0</v>
      </c>
      <c r="CJ91" s="525">
        <f>+V91*KeyAssumptionsPriceControl_FO!AM$15</f>
        <v>0</v>
      </c>
      <c r="CK91" s="525">
        <f>+W91*KeyAssumptionsPriceControl_FO!AN$15</f>
        <v>0</v>
      </c>
      <c r="CL91" s="526">
        <f>+X91*KeyAssumptionsPriceControl_FO!AO$15</f>
        <v>0</v>
      </c>
      <c r="CM91" s="467"/>
      <c r="CN91" s="524">
        <f t="shared" ca="1" si="41"/>
        <v>0</v>
      </c>
      <c r="CO91" s="525">
        <f t="shared" ca="1" si="51"/>
        <v>0</v>
      </c>
      <c r="CP91" s="525">
        <f t="shared" ca="1" si="51"/>
        <v>0</v>
      </c>
      <c r="CQ91" s="525">
        <f t="shared" ca="1" si="51"/>
        <v>2.7019576745072098E-2</v>
      </c>
      <c r="CR91" s="526">
        <f t="shared" ca="1" si="51"/>
        <v>8.8648876897628653E-2</v>
      </c>
      <c r="CS91" s="524">
        <f t="shared" ca="1" si="51"/>
        <v>0.12325860030511311</v>
      </c>
      <c r="CT91" s="525">
        <f t="shared" ca="1" si="51"/>
        <v>0.12325860030511311</v>
      </c>
      <c r="CU91" s="525">
        <f t="shared" ca="1" si="51"/>
        <v>0.12325860030511311</v>
      </c>
      <c r="CV91" s="525">
        <f t="shared" ca="1" si="49"/>
        <v>0.12325860030511311</v>
      </c>
      <c r="CW91" s="526">
        <f t="shared" ca="1" si="49"/>
        <v>0.12325860030511311</v>
      </c>
      <c r="CX91" s="467"/>
    </row>
    <row r="92" spans="2:102">
      <c r="B92" s="502"/>
      <c r="C92" s="1589" t="s">
        <v>1382</v>
      </c>
      <c r="D92" s="1590"/>
      <c r="E92" s="1591" t="s">
        <v>20</v>
      </c>
      <c r="F92" s="1591" t="s">
        <v>516</v>
      </c>
      <c r="G92" s="1589" t="s">
        <v>6</v>
      </c>
      <c r="H92" s="2226" t="s">
        <v>521</v>
      </c>
      <c r="I92" s="2227"/>
      <c r="J92" s="1592" t="s">
        <v>279</v>
      </c>
      <c r="K92" s="1593" t="s">
        <v>527</v>
      </c>
      <c r="L92" s="1593">
        <v>25</v>
      </c>
      <c r="M92" s="1593">
        <v>25</v>
      </c>
      <c r="N92" s="467"/>
      <c r="O92" s="551">
        <v>1.5</v>
      </c>
      <c r="P92" s="552">
        <v>0</v>
      </c>
      <c r="Q92" s="552">
        <v>0</v>
      </c>
      <c r="R92" s="552">
        <v>0</v>
      </c>
      <c r="S92" s="553">
        <v>0</v>
      </c>
      <c r="T92" s="551">
        <v>0</v>
      </c>
      <c r="U92" s="552">
        <v>0</v>
      </c>
      <c r="V92" s="552">
        <v>0</v>
      </c>
      <c r="W92" s="552">
        <v>0</v>
      </c>
      <c r="X92" s="553">
        <v>0</v>
      </c>
      <c r="Y92" s="547"/>
      <c r="Z92" s="551"/>
      <c r="AA92" s="552"/>
      <c r="AB92" s="552"/>
      <c r="AC92" s="552"/>
      <c r="AD92" s="553"/>
      <c r="AE92" s="551"/>
      <c r="AF92" s="552"/>
      <c r="AG92" s="552"/>
      <c r="AH92" s="552"/>
      <c r="AI92" s="553"/>
      <c r="AJ92" s="547"/>
      <c r="AK92" s="551"/>
      <c r="AL92" s="552"/>
      <c r="AM92" s="552"/>
      <c r="AN92" s="552"/>
      <c r="AO92" s="553"/>
      <c r="AP92" s="551"/>
      <c r="AQ92" s="552"/>
      <c r="AR92" s="552"/>
      <c r="AS92" s="552"/>
      <c r="AT92" s="553"/>
      <c r="AU92" s="467"/>
      <c r="AV92" s="524">
        <f t="shared" si="47"/>
        <v>1.5</v>
      </c>
      <c r="AW92" s="525">
        <f t="shared" si="46"/>
        <v>0</v>
      </c>
      <c r="AX92" s="525">
        <f t="shared" si="46"/>
        <v>0</v>
      </c>
      <c r="AY92" s="525">
        <f t="shared" si="46"/>
        <v>0</v>
      </c>
      <c r="AZ92" s="526">
        <f t="shared" si="46"/>
        <v>0</v>
      </c>
      <c r="BA92" s="524">
        <f t="shared" si="46"/>
        <v>0</v>
      </c>
      <c r="BB92" s="525">
        <f t="shared" si="46"/>
        <v>0</v>
      </c>
      <c r="BC92" s="525">
        <f t="shared" si="46"/>
        <v>0</v>
      </c>
      <c r="BD92" s="525">
        <f t="shared" si="46"/>
        <v>0</v>
      </c>
      <c r="BE92" s="526">
        <f t="shared" si="46"/>
        <v>0</v>
      </c>
      <c r="BF92" s="467"/>
      <c r="BG92" s="524">
        <f t="shared" ca="1" si="39"/>
        <v>0.03</v>
      </c>
      <c r="BH92" s="525">
        <f t="shared" ca="1" si="50"/>
        <v>0.06</v>
      </c>
      <c r="BI92" s="525">
        <f t="shared" ca="1" si="50"/>
        <v>0.06</v>
      </c>
      <c r="BJ92" s="525">
        <f t="shared" ca="1" si="50"/>
        <v>0.06</v>
      </c>
      <c r="BK92" s="526">
        <f t="shared" ca="1" si="50"/>
        <v>0.06</v>
      </c>
      <c r="BL92" s="524">
        <f t="shared" ca="1" si="50"/>
        <v>0.06</v>
      </c>
      <c r="BM92" s="525">
        <f t="shared" ca="1" si="50"/>
        <v>0.06</v>
      </c>
      <c r="BN92" s="525">
        <f t="shared" ca="1" si="50"/>
        <v>0.06</v>
      </c>
      <c r="BO92" s="525">
        <f t="shared" ca="1" si="48"/>
        <v>0.06</v>
      </c>
      <c r="BP92" s="526">
        <f t="shared" ca="1" si="48"/>
        <v>0.06</v>
      </c>
      <c r="BQ92" s="467"/>
      <c r="BR92" s="524">
        <f>+IF($K92="Ongoing",AV92,IF(RIGHT($K92,2)=RIGHT(BR$40,2),SUM($AV92:AV92),0)+IF(RIGHT(BR$40,2)&gt;RIGHT($K92,2),AV92,0))</f>
        <v>1.5</v>
      </c>
      <c r="BS92" s="525">
        <f>+IF($K92="Ongoing",AW92,IF(RIGHT($K92,2)=RIGHT(BS$40,2),SUM($AV92:AW92),0)+IF(RIGHT(BS$40,2)&gt;RIGHT($K92,2),AW92,0))</f>
        <v>0</v>
      </c>
      <c r="BT92" s="525">
        <f>+IF($K92="Ongoing",AX92,IF(RIGHT($K92,2)=RIGHT(BT$40,2),SUM($AV92:AX92),0)+IF(RIGHT(BT$40,2)&gt;RIGHT($K92,2),AX92,0))</f>
        <v>0</v>
      </c>
      <c r="BU92" s="525">
        <f>+IF($K92="Ongoing",AY92,IF(RIGHT($K92,2)=RIGHT(BU$40,2),SUM($AV92:AY92),0)+IF(RIGHT(BU$40,2)&gt;RIGHT($K92,2),AY92,0))</f>
        <v>0</v>
      </c>
      <c r="BV92" s="526">
        <f>+IF($K92="Ongoing",AZ92,IF(RIGHT($K92,2)=RIGHT(BV$40,2),SUM($AV92:AZ92),0)+IF(RIGHT(BV$40,2)&gt;RIGHT($K92,2),AZ92,0))</f>
        <v>0</v>
      </c>
      <c r="BW92" s="524">
        <f>+IF($K92="Ongoing",BA92,IF(RIGHT($K92,2)=RIGHT(BW$40,2),SUM($AV92:BA92),0)+IF(RIGHT(BW$40,2)&gt;RIGHT($K92,2),BA92,0))</f>
        <v>0</v>
      </c>
      <c r="BX92" s="525">
        <f>+IF($K92="Ongoing",BB92,IF(RIGHT($K92,2)=RIGHT(BX$40,2),SUM($AV92:BB92),0)+IF(RIGHT(BX$40,2)&gt;RIGHT($K92,2),BB92,0))</f>
        <v>0</v>
      </c>
      <c r="BY92" s="525">
        <f>+IF($K92="Ongoing",BC92,IF(RIGHT($K92,2)=RIGHT(BY$40,2),SUM($AV92:BC92),0)+IF(RIGHT(BY$40,2)&gt;RIGHT($K92,2),BC92,0))</f>
        <v>0</v>
      </c>
      <c r="BZ92" s="525">
        <f>+IF($K92="Ongoing",BD92,IF(RIGHT($K92,2)=RIGHT(BZ$40,2),SUM($AV92:BD92),0)+IF(RIGHT(BZ$40,2)&gt;RIGHT($K92,2),BD92,0))</f>
        <v>0</v>
      </c>
      <c r="CA92" s="526">
        <f>+IF($K92="Ongoing",BE92,IF(RIGHT($K92,2)=RIGHT(CA$40,2),SUM($AV92:BE92),0)+IF(RIGHT(CA$40,2)&gt;RIGHT($K92,2),BE92,0))</f>
        <v>0</v>
      </c>
      <c r="CB92" s="467"/>
      <c r="CC92" s="524">
        <f>+O92*KeyAssumptionsPriceControl_FO!AF$15</f>
        <v>1.5434999999999999</v>
      </c>
      <c r="CD92" s="525">
        <f>+P92*KeyAssumptionsPriceControl_FO!AG$15</f>
        <v>0</v>
      </c>
      <c r="CE92" s="525">
        <f>+Q92*KeyAssumptionsPriceControl_FO!AH$15</f>
        <v>0</v>
      </c>
      <c r="CF92" s="525">
        <f>+R92*KeyAssumptionsPriceControl_FO!AI$15</f>
        <v>0</v>
      </c>
      <c r="CG92" s="526">
        <f>+S92*KeyAssumptionsPriceControl_FO!AJ$15</f>
        <v>0</v>
      </c>
      <c r="CH92" s="524">
        <f>+T92*KeyAssumptionsPriceControl_FO!AK$15</f>
        <v>0</v>
      </c>
      <c r="CI92" s="525">
        <f>+U92*KeyAssumptionsPriceControl_FO!AL$15</f>
        <v>0</v>
      </c>
      <c r="CJ92" s="525">
        <f>+V92*KeyAssumptionsPriceControl_FO!AM$15</f>
        <v>0</v>
      </c>
      <c r="CK92" s="525">
        <f>+W92*KeyAssumptionsPriceControl_FO!AN$15</f>
        <v>0</v>
      </c>
      <c r="CL92" s="526">
        <f>+X92*KeyAssumptionsPriceControl_FO!AO$15</f>
        <v>0</v>
      </c>
      <c r="CM92" s="467"/>
      <c r="CN92" s="524">
        <f t="shared" ca="1" si="41"/>
        <v>3.0869999999999998E-2</v>
      </c>
      <c r="CO92" s="525">
        <f t="shared" ca="1" si="51"/>
        <v>6.1739999999999996E-2</v>
      </c>
      <c r="CP92" s="525">
        <f t="shared" ca="1" si="51"/>
        <v>6.1739999999999996E-2</v>
      </c>
      <c r="CQ92" s="525">
        <f t="shared" ca="1" si="51"/>
        <v>6.1739999999999996E-2</v>
      </c>
      <c r="CR92" s="526">
        <f t="shared" ca="1" si="51"/>
        <v>6.1739999999999996E-2</v>
      </c>
      <c r="CS92" s="524">
        <f t="shared" ca="1" si="51"/>
        <v>6.1739999999999996E-2</v>
      </c>
      <c r="CT92" s="525">
        <f t="shared" ca="1" si="51"/>
        <v>6.1739999999999996E-2</v>
      </c>
      <c r="CU92" s="525">
        <f t="shared" ca="1" si="51"/>
        <v>6.1739999999999996E-2</v>
      </c>
      <c r="CV92" s="525">
        <f t="shared" ca="1" si="49"/>
        <v>6.1739999999999996E-2</v>
      </c>
      <c r="CW92" s="526">
        <f t="shared" ca="1" si="49"/>
        <v>6.1739999999999996E-2</v>
      </c>
      <c r="CX92" s="467"/>
    </row>
    <row r="93" spans="2:102">
      <c r="B93" s="502"/>
      <c r="C93" s="1589" t="s">
        <v>1383</v>
      </c>
      <c r="D93" s="1590"/>
      <c r="E93" s="1591" t="s">
        <v>20</v>
      </c>
      <c r="F93" s="1591" t="s">
        <v>516</v>
      </c>
      <c r="G93" s="1589" t="s">
        <v>13</v>
      </c>
      <c r="H93" s="2226" t="s">
        <v>521</v>
      </c>
      <c r="I93" s="2227"/>
      <c r="J93" s="1592" t="s">
        <v>279</v>
      </c>
      <c r="K93" s="1593" t="s">
        <v>528</v>
      </c>
      <c r="L93" s="1593">
        <v>50</v>
      </c>
      <c r="M93" s="1593">
        <v>50</v>
      </c>
      <c r="N93" s="467"/>
      <c r="O93" s="551">
        <v>1.1100000000000001</v>
      </c>
      <c r="P93" s="552">
        <v>2.58</v>
      </c>
      <c r="Q93" s="552">
        <v>0</v>
      </c>
      <c r="R93" s="552">
        <v>0</v>
      </c>
      <c r="S93" s="553">
        <v>0</v>
      </c>
      <c r="T93" s="551">
        <v>0</v>
      </c>
      <c r="U93" s="552">
        <v>0</v>
      </c>
      <c r="V93" s="552">
        <v>0</v>
      </c>
      <c r="W93" s="552">
        <v>0</v>
      </c>
      <c r="X93" s="553">
        <v>0</v>
      </c>
      <c r="Y93" s="547"/>
      <c r="Z93" s="551"/>
      <c r="AA93" s="552"/>
      <c r="AB93" s="552"/>
      <c r="AC93" s="552"/>
      <c r="AD93" s="553"/>
      <c r="AE93" s="551"/>
      <c r="AF93" s="552"/>
      <c r="AG93" s="552"/>
      <c r="AH93" s="552"/>
      <c r="AI93" s="553"/>
      <c r="AJ93" s="547"/>
      <c r="AK93" s="551"/>
      <c r="AL93" s="552"/>
      <c r="AM93" s="552"/>
      <c r="AN93" s="552"/>
      <c r="AO93" s="553"/>
      <c r="AP93" s="551"/>
      <c r="AQ93" s="552"/>
      <c r="AR93" s="552"/>
      <c r="AS93" s="552"/>
      <c r="AT93" s="553"/>
      <c r="AU93" s="467"/>
      <c r="AV93" s="524">
        <f t="shared" si="47"/>
        <v>1.1100000000000001</v>
      </c>
      <c r="AW93" s="525">
        <f t="shared" si="46"/>
        <v>2.58</v>
      </c>
      <c r="AX93" s="525">
        <f t="shared" si="46"/>
        <v>0</v>
      </c>
      <c r="AY93" s="525">
        <f t="shared" si="46"/>
        <v>0</v>
      </c>
      <c r="AZ93" s="526">
        <f t="shared" si="46"/>
        <v>0</v>
      </c>
      <c r="BA93" s="524">
        <f t="shared" si="46"/>
        <v>0</v>
      </c>
      <c r="BB93" s="525">
        <f t="shared" si="46"/>
        <v>0</v>
      </c>
      <c r="BC93" s="525">
        <f t="shared" si="46"/>
        <v>0</v>
      </c>
      <c r="BD93" s="525">
        <f t="shared" si="46"/>
        <v>0</v>
      </c>
      <c r="BE93" s="526">
        <f t="shared" si="46"/>
        <v>0</v>
      </c>
      <c r="BF93" s="467"/>
      <c r="BG93" s="524">
        <f t="shared" ca="1" si="39"/>
        <v>0</v>
      </c>
      <c r="BH93" s="525">
        <f t="shared" ca="1" si="50"/>
        <v>3.6900000000000002E-2</v>
      </c>
      <c r="BI93" s="525">
        <f t="shared" ca="1" si="50"/>
        <v>7.3800000000000004E-2</v>
      </c>
      <c r="BJ93" s="525">
        <f t="shared" ca="1" si="50"/>
        <v>7.3800000000000004E-2</v>
      </c>
      <c r="BK93" s="526">
        <f t="shared" ca="1" si="50"/>
        <v>7.3800000000000004E-2</v>
      </c>
      <c r="BL93" s="524">
        <f t="shared" ca="1" si="50"/>
        <v>7.3800000000000004E-2</v>
      </c>
      <c r="BM93" s="525">
        <f t="shared" ca="1" si="50"/>
        <v>7.3800000000000004E-2</v>
      </c>
      <c r="BN93" s="525">
        <f t="shared" ca="1" si="50"/>
        <v>7.3800000000000004E-2</v>
      </c>
      <c r="BO93" s="525">
        <f t="shared" ca="1" si="48"/>
        <v>7.3800000000000004E-2</v>
      </c>
      <c r="BP93" s="526">
        <f t="shared" ca="1" si="48"/>
        <v>7.3800000000000004E-2</v>
      </c>
      <c r="BQ93" s="467"/>
      <c r="BR93" s="524">
        <f>+IF($K93="Ongoing",AV93,IF(RIGHT($K93,2)=RIGHT(BR$40,2),SUM($AV93:AV93),0)+IF(RIGHT(BR$40,2)&gt;RIGHT($K93,2),AV93,0))</f>
        <v>0</v>
      </c>
      <c r="BS93" s="525">
        <f>+IF($K93="Ongoing",AW93,IF(RIGHT($K93,2)=RIGHT(BS$40,2),SUM($AV93:AW93),0)+IF(RIGHT(BS$40,2)&gt;RIGHT($K93,2),AW93,0))</f>
        <v>3.6900000000000004</v>
      </c>
      <c r="BT93" s="525">
        <f>+IF($K93="Ongoing",AX93,IF(RIGHT($K93,2)=RIGHT(BT$40,2),SUM($AV93:AX93),0)+IF(RIGHT(BT$40,2)&gt;RIGHT($K93,2),AX93,0))</f>
        <v>0</v>
      </c>
      <c r="BU93" s="525">
        <f>+IF($K93="Ongoing",AY93,IF(RIGHT($K93,2)=RIGHT(BU$40,2),SUM($AV93:AY93),0)+IF(RIGHT(BU$40,2)&gt;RIGHT($K93,2),AY93,0))</f>
        <v>0</v>
      </c>
      <c r="BV93" s="526">
        <f>+IF($K93="Ongoing",AZ93,IF(RIGHT($K93,2)=RIGHT(BV$40,2),SUM($AV93:AZ93),0)+IF(RIGHT(BV$40,2)&gt;RIGHT($K93,2),AZ93,0))</f>
        <v>0</v>
      </c>
      <c r="BW93" s="524">
        <f>+IF($K93="Ongoing",BA93,IF(RIGHT($K93,2)=RIGHT(BW$40,2),SUM($AV93:BA93),0)+IF(RIGHT(BW$40,2)&gt;RIGHT($K93,2),BA93,0))</f>
        <v>0</v>
      </c>
      <c r="BX93" s="525">
        <f>+IF($K93="Ongoing",BB93,IF(RIGHT($K93,2)=RIGHT(BX$40,2),SUM($AV93:BB93),0)+IF(RIGHT(BX$40,2)&gt;RIGHT($K93,2),BB93,0))</f>
        <v>0</v>
      </c>
      <c r="BY93" s="525">
        <f>+IF($K93="Ongoing",BC93,IF(RIGHT($K93,2)=RIGHT(BY$40,2),SUM($AV93:BC93),0)+IF(RIGHT(BY$40,2)&gt;RIGHT($K93,2),BC93,0))</f>
        <v>0</v>
      </c>
      <c r="BZ93" s="525">
        <f>+IF($K93="Ongoing",BD93,IF(RIGHT($K93,2)=RIGHT(BZ$40,2),SUM($AV93:BD93),0)+IF(RIGHT(BZ$40,2)&gt;RIGHT($K93,2),BD93,0))</f>
        <v>0</v>
      </c>
      <c r="CA93" s="526">
        <f>+IF($K93="Ongoing",BE93,IF(RIGHT($K93,2)=RIGHT(CA$40,2),SUM($AV93:BE93),0)+IF(RIGHT(CA$40,2)&gt;RIGHT($K93,2),BE93,0))</f>
        <v>0</v>
      </c>
      <c r="CB93" s="467"/>
      <c r="CC93" s="524">
        <f>+O93*KeyAssumptionsPriceControl_FO!AF$15</f>
        <v>1.14219</v>
      </c>
      <c r="CD93" s="525">
        <f>+P93*KeyAssumptionsPriceControl_FO!AG$15</f>
        <v>2.7318097799999999</v>
      </c>
      <c r="CE93" s="525">
        <f>+Q93*KeyAssumptionsPriceControl_FO!AH$15</f>
        <v>0</v>
      </c>
      <c r="CF93" s="525">
        <f>+R93*KeyAssumptionsPriceControl_FO!AI$15</f>
        <v>0</v>
      </c>
      <c r="CG93" s="526">
        <f>+S93*KeyAssumptionsPriceControl_FO!AJ$15</f>
        <v>0</v>
      </c>
      <c r="CH93" s="524">
        <f>+T93*KeyAssumptionsPriceControl_FO!AK$15</f>
        <v>0</v>
      </c>
      <c r="CI93" s="525">
        <f>+U93*KeyAssumptionsPriceControl_FO!AL$15</f>
        <v>0</v>
      </c>
      <c r="CJ93" s="525">
        <f>+V93*KeyAssumptionsPriceControl_FO!AM$15</f>
        <v>0</v>
      </c>
      <c r="CK93" s="525">
        <f>+W93*KeyAssumptionsPriceControl_FO!AN$15</f>
        <v>0</v>
      </c>
      <c r="CL93" s="526">
        <f>+X93*KeyAssumptionsPriceControl_FO!AO$15</f>
        <v>0</v>
      </c>
      <c r="CM93" s="467"/>
      <c r="CN93" s="524">
        <f t="shared" ca="1" si="41"/>
        <v>1.14219E-2</v>
      </c>
      <c r="CO93" s="525">
        <f t="shared" ca="1" si="51"/>
        <v>5.0161897800000001E-2</v>
      </c>
      <c r="CP93" s="525">
        <f t="shared" ca="1" si="51"/>
        <v>7.7479995600000004E-2</v>
      </c>
      <c r="CQ93" s="525">
        <f t="shared" ca="1" si="51"/>
        <v>7.7479995600000004E-2</v>
      </c>
      <c r="CR93" s="526">
        <f t="shared" ca="1" si="51"/>
        <v>7.7479995600000004E-2</v>
      </c>
      <c r="CS93" s="524">
        <f t="shared" ca="1" si="51"/>
        <v>7.7479995600000004E-2</v>
      </c>
      <c r="CT93" s="525">
        <f t="shared" ca="1" si="51"/>
        <v>7.7479995600000004E-2</v>
      </c>
      <c r="CU93" s="525">
        <f t="shared" ca="1" si="51"/>
        <v>7.7479995600000004E-2</v>
      </c>
      <c r="CV93" s="525">
        <f t="shared" ca="1" si="49"/>
        <v>7.7479995600000004E-2</v>
      </c>
      <c r="CW93" s="526">
        <f t="shared" ca="1" si="49"/>
        <v>7.7479995600000004E-2</v>
      </c>
      <c r="CX93" s="467"/>
    </row>
    <row r="94" spans="2:102">
      <c r="B94" s="502"/>
      <c r="C94" s="1589" t="s">
        <v>1384</v>
      </c>
      <c r="D94" s="1590"/>
      <c r="E94" s="1591" t="s">
        <v>21</v>
      </c>
      <c r="F94" s="1591" t="s">
        <v>516</v>
      </c>
      <c r="G94" s="1589" t="s">
        <v>6</v>
      </c>
      <c r="H94" s="2226" t="s">
        <v>521</v>
      </c>
      <c r="I94" s="2227"/>
      <c r="J94" s="1592" t="s">
        <v>279</v>
      </c>
      <c r="K94" s="1593" t="s">
        <v>964</v>
      </c>
      <c r="L94" s="1593">
        <v>40</v>
      </c>
      <c r="M94" s="1593">
        <v>30</v>
      </c>
      <c r="N94" s="467"/>
      <c r="O94" s="551">
        <v>0</v>
      </c>
      <c r="P94" s="552">
        <v>0</v>
      </c>
      <c r="Q94" s="552">
        <v>0</v>
      </c>
      <c r="R94" s="552">
        <v>0.25</v>
      </c>
      <c r="S94" s="553">
        <v>0</v>
      </c>
      <c r="T94" s="551">
        <v>0</v>
      </c>
      <c r="U94" s="552">
        <v>0</v>
      </c>
      <c r="V94" s="552">
        <v>0</v>
      </c>
      <c r="W94" s="552">
        <v>0</v>
      </c>
      <c r="X94" s="553">
        <v>0</v>
      </c>
      <c r="Y94" s="547"/>
      <c r="Z94" s="551"/>
      <c r="AA94" s="552"/>
      <c r="AB94" s="552"/>
      <c r="AC94" s="552"/>
      <c r="AD94" s="553"/>
      <c r="AE94" s="551"/>
      <c r="AF94" s="552"/>
      <c r="AG94" s="552"/>
      <c r="AH94" s="552"/>
      <c r="AI94" s="553"/>
      <c r="AJ94" s="547"/>
      <c r="AK94" s="551"/>
      <c r="AL94" s="552"/>
      <c r="AM94" s="552"/>
      <c r="AN94" s="552"/>
      <c r="AO94" s="553"/>
      <c r="AP94" s="551"/>
      <c r="AQ94" s="552"/>
      <c r="AR94" s="552"/>
      <c r="AS94" s="552"/>
      <c r="AT94" s="553"/>
      <c r="AU94" s="467"/>
      <c r="AV94" s="524">
        <f t="shared" si="47"/>
        <v>0</v>
      </c>
      <c r="AW94" s="525">
        <f t="shared" si="46"/>
        <v>0</v>
      </c>
      <c r="AX94" s="525">
        <f t="shared" si="46"/>
        <v>0</v>
      </c>
      <c r="AY94" s="525">
        <f t="shared" si="46"/>
        <v>0.25</v>
      </c>
      <c r="AZ94" s="526">
        <f t="shared" si="46"/>
        <v>0</v>
      </c>
      <c r="BA94" s="524">
        <f t="shared" si="46"/>
        <v>0</v>
      </c>
      <c r="BB94" s="525">
        <f t="shared" si="46"/>
        <v>0</v>
      </c>
      <c r="BC94" s="525">
        <f t="shared" si="46"/>
        <v>0</v>
      </c>
      <c r="BD94" s="525">
        <f t="shared" si="46"/>
        <v>0</v>
      </c>
      <c r="BE94" s="526">
        <f t="shared" si="46"/>
        <v>0</v>
      </c>
      <c r="BF94" s="467"/>
      <c r="BG94" s="524">
        <f t="shared" ca="1" si="39"/>
        <v>0</v>
      </c>
      <c r="BH94" s="525">
        <f t="shared" ca="1" si="50"/>
        <v>0</v>
      </c>
      <c r="BI94" s="525">
        <f t="shared" ca="1" si="50"/>
        <v>0</v>
      </c>
      <c r="BJ94" s="525">
        <f t="shared" ca="1" si="50"/>
        <v>3.1250000000000002E-3</v>
      </c>
      <c r="BK94" s="526">
        <f t="shared" ca="1" si="50"/>
        <v>6.2500000000000003E-3</v>
      </c>
      <c r="BL94" s="524">
        <f t="shared" ca="1" si="50"/>
        <v>6.2500000000000003E-3</v>
      </c>
      <c r="BM94" s="525">
        <f t="shared" ca="1" si="50"/>
        <v>6.2500000000000003E-3</v>
      </c>
      <c r="BN94" s="525">
        <f t="shared" ca="1" si="50"/>
        <v>6.2500000000000003E-3</v>
      </c>
      <c r="BO94" s="525">
        <f t="shared" ca="1" si="48"/>
        <v>6.2500000000000003E-3</v>
      </c>
      <c r="BP94" s="526">
        <f t="shared" ca="1" si="48"/>
        <v>6.2500000000000003E-3</v>
      </c>
      <c r="BQ94" s="467"/>
      <c r="BR94" s="524">
        <f>+IF($K94="Ongoing",AV94,IF(RIGHT($K94,2)=RIGHT(BR$40,2),SUM($AV94:AV94),0)+IF(RIGHT(BR$40,2)&gt;RIGHT($K94,2),AV94,0))</f>
        <v>0</v>
      </c>
      <c r="BS94" s="525">
        <f>+IF($K94="Ongoing",AW94,IF(RIGHT($K94,2)=RIGHT(BS$40,2),SUM($AV94:AW94),0)+IF(RIGHT(BS$40,2)&gt;RIGHT($K94,2),AW94,0))</f>
        <v>0</v>
      </c>
      <c r="BT94" s="525">
        <f>+IF($K94="Ongoing",AX94,IF(RIGHT($K94,2)=RIGHT(BT$40,2),SUM($AV94:AX94),0)+IF(RIGHT(BT$40,2)&gt;RIGHT($K94,2),AX94,0))</f>
        <v>0</v>
      </c>
      <c r="BU94" s="525">
        <f>+IF($K94="Ongoing",AY94,IF(RIGHT($K94,2)=RIGHT(BU$40,2),SUM($AV94:AY94),0)+IF(RIGHT(BU$40,2)&gt;RIGHT($K94,2),AY94,0))</f>
        <v>0.25</v>
      </c>
      <c r="BV94" s="526">
        <f>+IF($K94="Ongoing",AZ94,IF(RIGHT($K94,2)=RIGHT(BV$40,2),SUM($AV94:AZ94),0)+IF(RIGHT(BV$40,2)&gt;RIGHT($K94,2),AZ94,0))</f>
        <v>0</v>
      </c>
      <c r="BW94" s="524">
        <f>+IF($K94="Ongoing",BA94,IF(RIGHT($K94,2)=RIGHT(BW$40,2),SUM($AV94:BA94),0)+IF(RIGHT(BW$40,2)&gt;RIGHT($K94,2),BA94,0))</f>
        <v>0</v>
      </c>
      <c r="BX94" s="525">
        <f>+IF($K94="Ongoing",BB94,IF(RIGHT($K94,2)=RIGHT(BX$40,2),SUM($AV94:BB94),0)+IF(RIGHT(BX$40,2)&gt;RIGHT($K94,2),BB94,0))</f>
        <v>0</v>
      </c>
      <c r="BY94" s="525">
        <f>+IF($K94="Ongoing",BC94,IF(RIGHT($K94,2)=RIGHT(BY$40,2),SUM($AV94:BC94),0)+IF(RIGHT(BY$40,2)&gt;RIGHT($K94,2),BC94,0))</f>
        <v>0</v>
      </c>
      <c r="BZ94" s="525">
        <f>+IF($K94="Ongoing",BD94,IF(RIGHT($K94,2)=RIGHT(BZ$40,2),SUM($AV94:BD94),0)+IF(RIGHT(BZ$40,2)&gt;RIGHT($K94,2),BD94,0))</f>
        <v>0</v>
      </c>
      <c r="CA94" s="526">
        <f>+IF($K94="Ongoing",BE94,IF(RIGHT($K94,2)=RIGHT(CA$40,2),SUM($AV94:BE94),0)+IF(RIGHT(CA$40,2)&gt;RIGHT($K94,2),BE94,0))</f>
        <v>0</v>
      </c>
      <c r="CB94" s="467"/>
      <c r="CC94" s="524">
        <f>+O94*KeyAssumptionsPriceControl_FO!AF$15</f>
        <v>0</v>
      </c>
      <c r="CD94" s="525">
        <f>+P94*KeyAssumptionsPriceControl_FO!AG$15</f>
        <v>0</v>
      </c>
      <c r="CE94" s="525">
        <f>+Q94*KeyAssumptionsPriceControl_FO!AH$15</f>
        <v>0</v>
      </c>
      <c r="CF94" s="525">
        <f>+R94*KeyAssumptionsPriceControl_FO!AI$15</f>
        <v>0.28028606582024995</v>
      </c>
      <c r="CG94" s="526">
        <f>+S94*KeyAssumptionsPriceControl_FO!AJ$15</f>
        <v>0</v>
      </c>
      <c r="CH94" s="524">
        <f>+T94*KeyAssumptionsPriceControl_FO!AK$15</f>
        <v>0</v>
      </c>
      <c r="CI94" s="525">
        <f>+U94*KeyAssumptionsPriceControl_FO!AL$15</f>
        <v>0</v>
      </c>
      <c r="CJ94" s="525">
        <f>+V94*KeyAssumptionsPriceControl_FO!AM$15</f>
        <v>0</v>
      </c>
      <c r="CK94" s="525">
        <f>+W94*KeyAssumptionsPriceControl_FO!AN$15</f>
        <v>0</v>
      </c>
      <c r="CL94" s="526">
        <f>+X94*KeyAssumptionsPriceControl_FO!AO$15</f>
        <v>0</v>
      </c>
      <c r="CM94" s="467"/>
      <c r="CN94" s="524">
        <f t="shared" ca="1" si="41"/>
        <v>0</v>
      </c>
      <c r="CO94" s="525">
        <f t="shared" ca="1" si="51"/>
        <v>0</v>
      </c>
      <c r="CP94" s="525">
        <f t="shared" ca="1" si="51"/>
        <v>0</v>
      </c>
      <c r="CQ94" s="525">
        <f t="shared" ca="1" si="51"/>
        <v>4.6714344303374995E-3</v>
      </c>
      <c r="CR94" s="526">
        <f t="shared" ca="1" si="51"/>
        <v>9.342868860674999E-3</v>
      </c>
      <c r="CS94" s="524">
        <f t="shared" ca="1" si="51"/>
        <v>9.342868860674999E-3</v>
      </c>
      <c r="CT94" s="525">
        <f t="shared" ca="1" si="51"/>
        <v>9.342868860674999E-3</v>
      </c>
      <c r="CU94" s="525">
        <f t="shared" ca="1" si="51"/>
        <v>9.342868860674999E-3</v>
      </c>
      <c r="CV94" s="525">
        <f t="shared" ca="1" si="49"/>
        <v>9.342868860674999E-3</v>
      </c>
      <c r="CW94" s="526">
        <f t="shared" ca="1" si="49"/>
        <v>9.342868860674999E-3</v>
      </c>
      <c r="CX94" s="467"/>
    </row>
    <row r="95" spans="2:102">
      <c r="B95" s="502"/>
      <c r="C95" s="1589" t="s">
        <v>1385</v>
      </c>
      <c r="D95" s="1590"/>
      <c r="E95" s="1591" t="s">
        <v>21</v>
      </c>
      <c r="F95" s="1591" t="s">
        <v>516</v>
      </c>
      <c r="G95" s="1589" t="s">
        <v>6</v>
      </c>
      <c r="H95" s="2226" t="s">
        <v>521</v>
      </c>
      <c r="I95" s="2227"/>
      <c r="J95" s="1592" t="s">
        <v>279</v>
      </c>
      <c r="K95" s="1593" t="s">
        <v>528</v>
      </c>
      <c r="L95" s="1593">
        <v>50</v>
      </c>
      <c r="M95" s="1593">
        <v>50</v>
      </c>
      <c r="N95" s="467"/>
      <c r="O95" s="551">
        <v>3.5</v>
      </c>
      <c r="P95" s="552">
        <v>1</v>
      </c>
      <c r="Q95" s="552">
        <v>0</v>
      </c>
      <c r="R95" s="552">
        <v>0</v>
      </c>
      <c r="S95" s="553">
        <v>0</v>
      </c>
      <c r="T95" s="551">
        <v>0</v>
      </c>
      <c r="U95" s="552">
        <v>0</v>
      </c>
      <c r="V95" s="552">
        <v>0</v>
      </c>
      <c r="W95" s="552">
        <v>0</v>
      </c>
      <c r="X95" s="553">
        <v>0</v>
      </c>
      <c r="Y95" s="547"/>
      <c r="Z95" s="551"/>
      <c r="AA95" s="552"/>
      <c r="AB95" s="552"/>
      <c r="AC95" s="552"/>
      <c r="AD95" s="553"/>
      <c r="AE95" s="551"/>
      <c r="AF95" s="552"/>
      <c r="AG95" s="552"/>
      <c r="AH95" s="552"/>
      <c r="AI95" s="553"/>
      <c r="AJ95" s="547"/>
      <c r="AK95" s="551"/>
      <c r="AL95" s="552"/>
      <c r="AM95" s="552"/>
      <c r="AN95" s="552"/>
      <c r="AO95" s="553"/>
      <c r="AP95" s="551"/>
      <c r="AQ95" s="552"/>
      <c r="AR95" s="552"/>
      <c r="AS95" s="552"/>
      <c r="AT95" s="553"/>
      <c r="AU95" s="467"/>
      <c r="AV95" s="524">
        <f t="shared" si="47"/>
        <v>3.5</v>
      </c>
      <c r="AW95" s="525">
        <f t="shared" si="46"/>
        <v>1</v>
      </c>
      <c r="AX95" s="525">
        <f t="shared" si="46"/>
        <v>0</v>
      </c>
      <c r="AY95" s="525">
        <f t="shared" si="46"/>
        <v>0</v>
      </c>
      <c r="AZ95" s="526">
        <f t="shared" si="46"/>
        <v>0</v>
      </c>
      <c r="BA95" s="524">
        <f t="shared" si="46"/>
        <v>0</v>
      </c>
      <c r="BB95" s="525">
        <f t="shared" si="46"/>
        <v>0</v>
      </c>
      <c r="BC95" s="525">
        <f t="shared" si="46"/>
        <v>0</v>
      </c>
      <c r="BD95" s="525">
        <f t="shared" si="46"/>
        <v>0</v>
      </c>
      <c r="BE95" s="526">
        <f t="shared" si="46"/>
        <v>0</v>
      </c>
      <c r="BF95" s="467"/>
      <c r="BG95" s="524">
        <f t="shared" ca="1" si="39"/>
        <v>0</v>
      </c>
      <c r="BH95" s="525">
        <f t="shared" ca="1" si="50"/>
        <v>4.4999999999999998E-2</v>
      </c>
      <c r="BI95" s="525">
        <f t="shared" ca="1" si="50"/>
        <v>0.09</v>
      </c>
      <c r="BJ95" s="525">
        <f t="shared" ca="1" si="50"/>
        <v>0.09</v>
      </c>
      <c r="BK95" s="526">
        <f t="shared" ca="1" si="50"/>
        <v>0.09</v>
      </c>
      <c r="BL95" s="524">
        <f t="shared" ca="1" si="50"/>
        <v>0.09</v>
      </c>
      <c r="BM95" s="525">
        <f t="shared" ca="1" si="50"/>
        <v>0.09</v>
      </c>
      <c r="BN95" s="525">
        <f t="shared" ca="1" si="50"/>
        <v>0.09</v>
      </c>
      <c r="BO95" s="525">
        <f t="shared" ca="1" si="48"/>
        <v>0.09</v>
      </c>
      <c r="BP95" s="526">
        <f t="shared" ca="1" si="48"/>
        <v>0.09</v>
      </c>
      <c r="BQ95" s="467"/>
      <c r="BR95" s="524">
        <f>+IF($K95="Ongoing",AV95,IF(RIGHT($K95,2)=RIGHT(BR$40,2),SUM($AV95:AV95),0)+IF(RIGHT(BR$40,2)&gt;RIGHT($K95,2),AV95,0))</f>
        <v>0</v>
      </c>
      <c r="BS95" s="525">
        <f>+IF($K95="Ongoing",AW95,IF(RIGHT($K95,2)=RIGHT(BS$40,2),SUM($AV95:AW95),0)+IF(RIGHT(BS$40,2)&gt;RIGHT($K95,2),AW95,0))</f>
        <v>4.5</v>
      </c>
      <c r="BT95" s="525">
        <f>+IF($K95="Ongoing",AX95,IF(RIGHT($K95,2)=RIGHT(BT$40,2),SUM($AV95:AX95),0)+IF(RIGHT(BT$40,2)&gt;RIGHT($K95,2),AX95,0))</f>
        <v>0</v>
      </c>
      <c r="BU95" s="525">
        <f>+IF($K95="Ongoing",AY95,IF(RIGHT($K95,2)=RIGHT(BU$40,2),SUM($AV95:AY95),0)+IF(RIGHT(BU$40,2)&gt;RIGHT($K95,2),AY95,0))</f>
        <v>0</v>
      </c>
      <c r="BV95" s="526">
        <f>+IF($K95="Ongoing",AZ95,IF(RIGHT($K95,2)=RIGHT(BV$40,2),SUM($AV95:AZ95),0)+IF(RIGHT(BV$40,2)&gt;RIGHT($K95,2),AZ95,0))</f>
        <v>0</v>
      </c>
      <c r="BW95" s="524">
        <f>+IF($K95="Ongoing",BA95,IF(RIGHT($K95,2)=RIGHT(BW$40,2),SUM($AV95:BA95),0)+IF(RIGHT(BW$40,2)&gt;RIGHT($K95,2),BA95,0))</f>
        <v>0</v>
      </c>
      <c r="BX95" s="525">
        <f>+IF($K95="Ongoing",BB95,IF(RIGHT($K95,2)=RIGHT(BX$40,2),SUM($AV95:BB95),0)+IF(RIGHT(BX$40,2)&gt;RIGHT($K95,2),BB95,0))</f>
        <v>0</v>
      </c>
      <c r="BY95" s="525">
        <f>+IF($K95="Ongoing",BC95,IF(RIGHT($K95,2)=RIGHT(BY$40,2),SUM($AV95:BC95),0)+IF(RIGHT(BY$40,2)&gt;RIGHT($K95,2),BC95,0))</f>
        <v>0</v>
      </c>
      <c r="BZ95" s="525">
        <f>+IF($K95="Ongoing",BD95,IF(RIGHT($K95,2)=RIGHT(BZ$40,2),SUM($AV95:BD95),0)+IF(RIGHT(BZ$40,2)&gt;RIGHT($K95,2),BD95,0))</f>
        <v>0</v>
      </c>
      <c r="CA95" s="526">
        <f>+IF($K95="Ongoing",BE95,IF(RIGHT($K95,2)=RIGHT(CA$40,2),SUM($AV95:BE95),0)+IF(RIGHT(CA$40,2)&gt;RIGHT($K95,2),BE95,0))</f>
        <v>0</v>
      </c>
      <c r="CB95" s="467"/>
      <c r="CC95" s="524">
        <f>+O95*KeyAssumptionsPriceControl_FO!AF$15</f>
        <v>3.6014999999999997</v>
      </c>
      <c r="CD95" s="525">
        <f>+P95*KeyAssumptionsPriceControl_FO!AG$15</f>
        <v>1.0588409999999999</v>
      </c>
      <c r="CE95" s="525">
        <f>+Q95*KeyAssumptionsPriceControl_FO!AH$15</f>
        <v>0</v>
      </c>
      <c r="CF95" s="525">
        <f>+R95*KeyAssumptionsPriceControl_FO!AI$15</f>
        <v>0</v>
      </c>
      <c r="CG95" s="526">
        <f>+S95*KeyAssumptionsPriceControl_FO!AJ$15</f>
        <v>0</v>
      </c>
      <c r="CH95" s="524">
        <f>+T95*KeyAssumptionsPriceControl_FO!AK$15</f>
        <v>0</v>
      </c>
      <c r="CI95" s="525">
        <f>+U95*KeyAssumptionsPriceControl_FO!AL$15</f>
        <v>0</v>
      </c>
      <c r="CJ95" s="525">
        <f>+V95*KeyAssumptionsPriceControl_FO!AM$15</f>
        <v>0</v>
      </c>
      <c r="CK95" s="525">
        <f>+W95*KeyAssumptionsPriceControl_FO!AN$15</f>
        <v>0</v>
      </c>
      <c r="CL95" s="526">
        <f>+X95*KeyAssumptionsPriceControl_FO!AO$15</f>
        <v>0</v>
      </c>
      <c r="CM95" s="467"/>
      <c r="CN95" s="524">
        <f t="shared" ca="1" si="41"/>
        <v>3.6014999999999998E-2</v>
      </c>
      <c r="CO95" s="525">
        <f t="shared" ca="1" si="51"/>
        <v>8.2618410000000003E-2</v>
      </c>
      <c r="CP95" s="525">
        <f t="shared" ca="1" si="51"/>
        <v>9.3206819999999996E-2</v>
      </c>
      <c r="CQ95" s="525">
        <f t="shared" ca="1" si="51"/>
        <v>9.3206819999999996E-2</v>
      </c>
      <c r="CR95" s="526">
        <f t="shared" ca="1" si="51"/>
        <v>9.3206819999999996E-2</v>
      </c>
      <c r="CS95" s="524">
        <f t="shared" ca="1" si="51"/>
        <v>9.3206819999999996E-2</v>
      </c>
      <c r="CT95" s="525">
        <f t="shared" ca="1" si="51"/>
        <v>9.3206819999999996E-2</v>
      </c>
      <c r="CU95" s="525">
        <f t="shared" ca="1" si="51"/>
        <v>9.3206819999999996E-2</v>
      </c>
      <c r="CV95" s="525">
        <f t="shared" ca="1" si="49"/>
        <v>9.3206819999999996E-2</v>
      </c>
      <c r="CW95" s="526">
        <f t="shared" ca="1" si="49"/>
        <v>9.3206819999999996E-2</v>
      </c>
      <c r="CX95" s="467"/>
    </row>
    <row r="96" spans="2:102">
      <c r="B96" s="502"/>
      <c r="C96" s="1589" t="s">
        <v>1386</v>
      </c>
      <c r="D96" s="1590"/>
      <c r="E96" s="1591" t="s">
        <v>21</v>
      </c>
      <c r="F96" s="1591" t="s">
        <v>516</v>
      </c>
      <c r="G96" s="1589" t="s">
        <v>6</v>
      </c>
      <c r="H96" s="2226" t="s">
        <v>521</v>
      </c>
      <c r="I96" s="2227"/>
      <c r="J96" s="1592" t="s">
        <v>279</v>
      </c>
      <c r="K96" s="1593" t="s">
        <v>527</v>
      </c>
      <c r="L96" s="1593">
        <v>40</v>
      </c>
      <c r="M96" s="1593">
        <v>40</v>
      </c>
      <c r="N96" s="467"/>
      <c r="O96" s="551">
        <v>0.86</v>
      </c>
      <c r="P96" s="552">
        <v>0</v>
      </c>
      <c r="Q96" s="552">
        <v>0</v>
      </c>
      <c r="R96" s="552">
        <v>0</v>
      </c>
      <c r="S96" s="553">
        <v>0</v>
      </c>
      <c r="T96" s="551">
        <v>0</v>
      </c>
      <c r="U96" s="552">
        <v>0</v>
      </c>
      <c r="V96" s="552">
        <v>0</v>
      </c>
      <c r="W96" s="552">
        <v>0</v>
      </c>
      <c r="X96" s="553">
        <v>0</v>
      </c>
      <c r="Y96" s="547"/>
      <c r="Z96" s="551"/>
      <c r="AA96" s="552"/>
      <c r="AB96" s="552"/>
      <c r="AC96" s="552"/>
      <c r="AD96" s="553"/>
      <c r="AE96" s="551"/>
      <c r="AF96" s="552"/>
      <c r="AG96" s="552"/>
      <c r="AH96" s="552"/>
      <c r="AI96" s="553"/>
      <c r="AJ96" s="547"/>
      <c r="AK96" s="551"/>
      <c r="AL96" s="552"/>
      <c r="AM96" s="552"/>
      <c r="AN96" s="552"/>
      <c r="AO96" s="553"/>
      <c r="AP96" s="551"/>
      <c r="AQ96" s="552"/>
      <c r="AR96" s="552"/>
      <c r="AS96" s="552"/>
      <c r="AT96" s="553"/>
      <c r="AU96" s="467"/>
      <c r="AV96" s="524">
        <f t="shared" si="47"/>
        <v>0.86</v>
      </c>
      <c r="AW96" s="525">
        <f t="shared" si="46"/>
        <v>0</v>
      </c>
      <c r="AX96" s="525">
        <f t="shared" si="46"/>
        <v>0</v>
      </c>
      <c r="AY96" s="525">
        <f t="shared" si="46"/>
        <v>0</v>
      </c>
      <c r="AZ96" s="526">
        <f t="shared" si="46"/>
        <v>0</v>
      </c>
      <c r="BA96" s="524">
        <f t="shared" si="46"/>
        <v>0</v>
      </c>
      <c r="BB96" s="525">
        <f t="shared" si="46"/>
        <v>0</v>
      </c>
      <c r="BC96" s="525">
        <f t="shared" si="46"/>
        <v>0</v>
      </c>
      <c r="BD96" s="525">
        <f t="shared" si="46"/>
        <v>0</v>
      </c>
      <c r="BE96" s="526">
        <f t="shared" si="46"/>
        <v>0</v>
      </c>
      <c r="BF96" s="467"/>
      <c r="BG96" s="524">
        <f t="shared" ca="1" si="39"/>
        <v>1.0749999999999999E-2</v>
      </c>
      <c r="BH96" s="525">
        <f t="shared" ca="1" si="50"/>
        <v>2.1499999999999998E-2</v>
      </c>
      <c r="BI96" s="525">
        <f t="shared" ca="1" si="50"/>
        <v>2.1499999999999998E-2</v>
      </c>
      <c r="BJ96" s="525">
        <f t="shared" ca="1" si="50"/>
        <v>2.1499999999999998E-2</v>
      </c>
      <c r="BK96" s="526">
        <f t="shared" ca="1" si="50"/>
        <v>2.1499999999999998E-2</v>
      </c>
      <c r="BL96" s="524">
        <f t="shared" ca="1" si="50"/>
        <v>2.1499999999999998E-2</v>
      </c>
      <c r="BM96" s="525">
        <f t="shared" ca="1" si="50"/>
        <v>2.1499999999999998E-2</v>
      </c>
      <c r="BN96" s="525">
        <f t="shared" ca="1" si="50"/>
        <v>2.1499999999999998E-2</v>
      </c>
      <c r="BO96" s="525">
        <f t="shared" ca="1" si="48"/>
        <v>2.1499999999999998E-2</v>
      </c>
      <c r="BP96" s="526">
        <f t="shared" ca="1" si="48"/>
        <v>2.1499999999999998E-2</v>
      </c>
      <c r="BQ96" s="467"/>
      <c r="BR96" s="524">
        <f>+IF($K96="Ongoing",AV96,IF(RIGHT($K96,2)=RIGHT(BR$40,2),SUM($AV96:AV96),0)+IF(RIGHT(BR$40,2)&gt;RIGHT($K96,2),AV96,0))</f>
        <v>0.86</v>
      </c>
      <c r="BS96" s="525">
        <f>+IF($K96="Ongoing",AW96,IF(RIGHT($K96,2)=RIGHT(BS$40,2),SUM($AV96:AW96),0)+IF(RIGHT(BS$40,2)&gt;RIGHT($K96,2),AW96,0))</f>
        <v>0</v>
      </c>
      <c r="BT96" s="525">
        <f>+IF($K96="Ongoing",AX96,IF(RIGHT($K96,2)=RIGHT(BT$40,2),SUM($AV96:AX96),0)+IF(RIGHT(BT$40,2)&gt;RIGHT($K96,2),AX96,0))</f>
        <v>0</v>
      </c>
      <c r="BU96" s="525">
        <f>+IF($K96="Ongoing",AY96,IF(RIGHT($K96,2)=RIGHT(BU$40,2),SUM($AV96:AY96),0)+IF(RIGHT(BU$40,2)&gt;RIGHT($K96,2),AY96,0))</f>
        <v>0</v>
      </c>
      <c r="BV96" s="526">
        <f>+IF($K96="Ongoing",AZ96,IF(RIGHT($K96,2)=RIGHT(BV$40,2),SUM($AV96:AZ96),0)+IF(RIGHT(BV$40,2)&gt;RIGHT($K96,2),AZ96,0))</f>
        <v>0</v>
      </c>
      <c r="BW96" s="524">
        <f>+IF($K96="Ongoing",BA96,IF(RIGHT($K96,2)=RIGHT(BW$40,2),SUM($AV96:BA96),0)+IF(RIGHT(BW$40,2)&gt;RIGHT($K96,2),BA96,0))</f>
        <v>0</v>
      </c>
      <c r="BX96" s="525">
        <f>+IF($K96="Ongoing",BB96,IF(RIGHT($K96,2)=RIGHT(BX$40,2),SUM($AV96:BB96),0)+IF(RIGHT(BX$40,2)&gt;RIGHT($K96,2),BB96,0))</f>
        <v>0</v>
      </c>
      <c r="BY96" s="525">
        <f>+IF($K96="Ongoing",BC96,IF(RIGHT($K96,2)=RIGHT(BY$40,2),SUM($AV96:BC96),0)+IF(RIGHT(BY$40,2)&gt;RIGHT($K96,2),BC96,0))</f>
        <v>0</v>
      </c>
      <c r="BZ96" s="525">
        <f>+IF($K96="Ongoing",BD96,IF(RIGHT($K96,2)=RIGHT(BZ$40,2),SUM($AV96:BD96),0)+IF(RIGHT(BZ$40,2)&gt;RIGHT($K96,2),BD96,0))</f>
        <v>0</v>
      </c>
      <c r="CA96" s="526">
        <f>+IF($K96="Ongoing",BE96,IF(RIGHT($K96,2)=RIGHT(CA$40,2),SUM($AV96:BE96),0)+IF(RIGHT(CA$40,2)&gt;RIGHT($K96,2),BE96,0))</f>
        <v>0</v>
      </c>
      <c r="CB96" s="467"/>
      <c r="CC96" s="524">
        <f>+O96*KeyAssumptionsPriceControl_FO!AF$15</f>
        <v>0.88493999999999995</v>
      </c>
      <c r="CD96" s="525">
        <f>+P96*KeyAssumptionsPriceControl_FO!AG$15</f>
        <v>0</v>
      </c>
      <c r="CE96" s="525">
        <f>+Q96*KeyAssumptionsPriceControl_FO!AH$15</f>
        <v>0</v>
      </c>
      <c r="CF96" s="525">
        <f>+R96*KeyAssumptionsPriceControl_FO!AI$15</f>
        <v>0</v>
      </c>
      <c r="CG96" s="526">
        <f>+S96*KeyAssumptionsPriceControl_FO!AJ$15</f>
        <v>0</v>
      </c>
      <c r="CH96" s="524">
        <f>+T96*KeyAssumptionsPriceControl_FO!AK$15</f>
        <v>0</v>
      </c>
      <c r="CI96" s="525">
        <f>+U96*KeyAssumptionsPriceControl_FO!AL$15</f>
        <v>0</v>
      </c>
      <c r="CJ96" s="525">
        <f>+V96*KeyAssumptionsPriceControl_FO!AM$15</f>
        <v>0</v>
      </c>
      <c r="CK96" s="525">
        <f>+W96*KeyAssumptionsPriceControl_FO!AN$15</f>
        <v>0</v>
      </c>
      <c r="CL96" s="526">
        <f>+X96*KeyAssumptionsPriceControl_FO!AO$15</f>
        <v>0</v>
      </c>
      <c r="CM96" s="467"/>
      <c r="CN96" s="524">
        <f t="shared" ca="1" si="41"/>
        <v>1.1061749999999999E-2</v>
      </c>
      <c r="CO96" s="525">
        <f t="shared" ca="1" si="51"/>
        <v>2.2123499999999997E-2</v>
      </c>
      <c r="CP96" s="525">
        <f t="shared" ca="1" si="51"/>
        <v>2.2123499999999997E-2</v>
      </c>
      <c r="CQ96" s="525">
        <f t="shared" ca="1" si="51"/>
        <v>2.2123499999999997E-2</v>
      </c>
      <c r="CR96" s="526">
        <f t="shared" ca="1" si="51"/>
        <v>2.2123499999999997E-2</v>
      </c>
      <c r="CS96" s="524">
        <f t="shared" ca="1" si="51"/>
        <v>2.2123499999999997E-2</v>
      </c>
      <c r="CT96" s="525">
        <f t="shared" ca="1" si="51"/>
        <v>2.2123499999999997E-2</v>
      </c>
      <c r="CU96" s="525">
        <f t="shared" ca="1" si="51"/>
        <v>2.2123499999999997E-2</v>
      </c>
      <c r="CV96" s="525">
        <f t="shared" ca="1" si="49"/>
        <v>2.2123499999999997E-2</v>
      </c>
      <c r="CW96" s="526">
        <f t="shared" ca="1" si="49"/>
        <v>2.2123499999999997E-2</v>
      </c>
      <c r="CX96" s="467"/>
    </row>
    <row r="97" spans="2:102">
      <c r="B97" s="502"/>
      <c r="C97" s="1589" t="s">
        <v>1387</v>
      </c>
      <c r="D97" s="1590"/>
      <c r="E97" s="1591" t="s">
        <v>20</v>
      </c>
      <c r="F97" s="1591" t="s">
        <v>516</v>
      </c>
      <c r="G97" s="1589" t="s">
        <v>14</v>
      </c>
      <c r="H97" s="2226" t="s">
        <v>521</v>
      </c>
      <c r="I97" s="2227"/>
      <c r="J97" s="1592" t="s">
        <v>279</v>
      </c>
      <c r="K97" s="1593" t="s">
        <v>963</v>
      </c>
      <c r="L97" s="1593">
        <v>50</v>
      </c>
      <c r="M97" s="1593">
        <v>50</v>
      </c>
      <c r="N97" s="467"/>
      <c r="O97" s="551">
        <v>0</v>
      </c>
      <c r="P97" s="552">
        <v>0</v>
      </c>
      <c r="Q97" s="552">
        <v>0</v>
      </c>
      <c r="R97" s="552">
        <v>0</v>
      </c>
      <c r="S97" s="553">
        <v>3</v>
      </c>
      <c r="T97" s="551">
        <v>0</v>
      </c>
      <c r="U97" s="552">
        <v>0</v>
      </c>
      <c r="V97" s="552">
        <v>0</v>
      </c>
      <c r="W97" s="552">
        <v>0</v>
      </c>
      <c r="X97" s="553">
        <v>0</v>
      </c>
      <c r="Y97" s="547"/>
      <c r="Z97" s="551"/>
      <c r="AA97" s="552"/>
      <c r="AB97" s="552"/>
      <c r="AC97" s="552"/>
      <c r="AD97" s="553"/>
      <c r="AE97" s="551"/>
      <c r="AF97" s="552"/>
      <c r="AG97" s="552"/>
      <c r="AH97" s="552"/>
      <c r="AI97" s="553"/>
      <c r="AJ97" s="547"/>
      <c r="AK97" s="551"/>
      <c r="AL97" s="552"/>
      <c r="AM97" s="552"/>
      <c r="AN97" s="552"/>
      <c r="AO97" s="553"/>
      <c r="AP97" s="551"/>
      <c r="AQ97" s="552"/>
      <c r="AR97" s="552"/>
      <c r="AS97" s="552"/>
      <c r="AT97" s="553"/>
      <c r="AU97" s="467"/>
      <c r="AV97" s="524">
        <f t="shared" si="47"/>
        <v>0</v>
      </c>
      <c r="AW97" s="525">
        <f t="shared" si="46"/>
        <v>0</v>
      </c>
      <c r="AX97" s="525">
        <f t="shared" si="46"/>
        <v>0</v>
      </c>
      <c r="AY97" s="525">
        <f t="shared" si="46"/>
        <v>0</v>
      </c>
      <c r="AZ97" s="526">
        <f t="shared" si="46"/>
        <v>3</v>
      </c>
      <c r="BA97" s="524">
        <f t="shared" si="46"/>
        <v>0</v>
      </c>
      <c r="BB97" s="525">
        <f t="shared" si="46"/>
        <v>0</v>
      </c>
      <c r="BC97" s="525">
        <f t="shared" si="46"/>
        <v>0</v>
      </c>
      <c r="BD97" s="525">
        <f t="shared" si="46"/>
        <v>0</v>
      </c>
      <c r="BE97" s="526">
        <f t="shared" si="46"/>
        <v>0</v>
      </c>
      <c r="BF97" s="467"/>
      <c r="BG97" s="524">
        <f t="shared" ca="1" si="39"/>
        <v>0</v>
      </c>
      <c r="BH97" s="525">
        <f t="shared" ca="1" si="50"/>
        <v>0</v>
      </c>
      <c r="BI97" s="525">
        <f t="shared" ca="1" si="50"/>
        <v>0</v>
      </c>
      <c r="BJ97" s="525">
        <f t="shared" ca="1" si="50"/>
        <v>0</v>
      </c>
      <c r="BK97" s="526">
        <f t="shared" ca="1" si="50"/>
        <v>0.03</v>
      </c>
      <c r="BL97" s="524">
        <f t="shared" ca="1" si="50"/>
        <v>0.06</v>
      </c>
      <c r="BM97" s="525">
        <f t="shared" ca="1" si="50"/>
        <v>0.06</v>
      </c>
      <c r="BN97" s="525">
        <f t="shared" ca="1" si="50"/>
        <v>0.06</v>
      </c>
      <c r="BO97" s="525">
        <f t="shared" ca="1" si="48"/>
        <v>0.06</v>
      </c>
      <c r="BP97" s="526">
        <f t="shared" ca="1" si="48"/>
        <v>0.06</v>
      </c>
      <c r="BQ97" s="467"/>
      <c r="BR97" s="524">
        <f>+IF($K97="Ongoing",AV97,IF(RIGHT($K97,2)=RIGHT(BR$40,2),SUM($AV97:AV97),0)+IF(RIGHT(BR$40,2)&gt;RIGHT($K97,2),AV97,0))</f>
        <v>0</v>
      </c>
      <c r="BS97" s="525">
        <f>+IF($K97="Ongoing",AW97,IF(RIGHT($K97,2)=RIGHT(BS$40,2),SUM($AV97:AW97),0)+IF(RIGHT(BS$40,2)&gt;RIGHT($K97,2),AW97,0))</f>
        <v>0</v>
      </c>
      <c r="BT97" s="525">
        <f>+IF($K97="Ongoing",AX97,IF(RIGHT($K97,2)=RIGHT(BT$40,2),SUM($AV97:AX97),0)+IF(RIGHT(BT$40,2)&gt;RIGHT($K97,2),AX97,0))</f>
        <v>0</v>
      </c>
      <c r="BU97" s="525">
        <f>+IF($K97="Ongoing",AY97,IF(RIGHT($K97,2)=RIGHT(BU$40,2),SUM($AV97:AY97),0)+IF(RIGHT(BU$40,2)&gt;RIGHT($K97,2),AY97,0))</f>
        <v>0</v>
      </c>
      <c r="BV97" s="526">
        <f>+IF($K97="Ongoing",AZ97,IF(RIGHT($K97,2)=RIGHT(BV$40,2),SUM($AV97:AZ97),0)+IF(RIGHT(BV$40,2)&gt;RIGHT($K97,2),AZ97,0))</f>
        <v>3</v>
      </c>
      <c r="BW97" s="524">
        <f>+IF($K97="Ongoing",BA97,IF(RIGHT($K97,2)=RIGHT(BW$40,2),SUM($AV97:BA97),0)+IF(RIGHT(BW$40,2)&gt;RIGHT($K97,2),BA97,0))</f>
        <v>0</v>
      </c>
      <c r="BX97" s="525">
        <f>+IF($K97="Ongoing",BB97,IF(RIGHT($K97,2)=RIGHT(BX$40,2),SUM($AV97:BB97),0)+IF(RIGHT(BX$40,2)&gt;RIGHT($K97,2),BB97,0))</f>
        <v>0</v>
      </c>
      <c r="BY97" s="525">
        <f>+IF($K97="Ongoing",BC97,IF(RIGHT($K97,2)=RIGHT(BY$40,2),SUM($AV97:BC97),0)+IF(RIGHT(BY$40,2)&gt;RIGHT($K97,2),BC97,0))</f>
        <v>0</v>
      </c>
      <c r="BZ97" s="525">
        <f>+IF($K97="Ongoing",BD97,IF(RIGHT($K97,2)=RIGHT(BZ$40,2),SUM($AV97:BD97),0)+IF(RIGHT(BZ$40,2)&gt;RIGHT($K97,2),BD97,0))</f>
        <v>0</v>
      </c>
      <c r="CA97" s="526">
        <f>+IF($K97="Ongoing",BE97,IF(RIGHT($K97,2)=RIGHT(CA$40,2),SUM($AV97:BE97),0)+IF(RIGHT(CA$40,2)&gt;RIGHT($K97,2),BE97,0))</f>
        <v>0</v>
      </c>
      <c r="CB97" s="467"/>
      <c r="CC97" s="524">
        <f>+O97*KeyAssumptionsPriceControl_FO!AF$15</f>
        <v>0</v>
      </c>
      <c r="CD97" s="525">
        <f>+P97*KeyAssumptionsPriceControl_FO!AG$15</f>
        <v>0</v>
      </c>
      <c r="CE97" s="525">
        <f>+Q97*KeyAssumptionsPriceControl_FO!AH$15</f>
        <v>0</v>
      </c>
      <c r="CF97" s="525">
        <f>+R97*KeyAssumptionsPriceControl_FO!AI$15</f>
        <v>0</v>
      </c>
      <c r="CG97" s="526">
        <f>+S97*KeyAssumptionsPriceControl_FO!AJ$15</f>
        <v>3.4609723407484463</v>
      </c>
      <c r="CH97" s="524">
        <f>+T97*KeyAssumptionsPriceControl_FO!AK$15</f>
        <v>0</v>
      </c>
      <c r="CI97" s="525">
        <f>+U97*KeyAssumptionsPriceControl_FO!AL$15</f>
        <v>0</v>
      </c>
      <c r="CJ97" s="525">
        <f>+V97*KeyAssumptionsPriceControl_FO!AM$15</f>
        <v>0</v>
      </c>
      <c r="CK97" s="525">
        <f>+W97*KeyAssumptionsPriceControl_FO!AN$15</f>
        <v>0</v>
      </c>
      <c r="CL97" s="526">
        <f>+X97*KeyAssumptionsPriceControl_FO!AO$15</f>
        <v>0</v>
      </c>
      <c r="CM97" s="467"/>
      <c r="CN97" s="524">
        <f t="shared" ca="1" si="41"/>
        <v>0</v>
      </c>
      <c r="CO97" s="525">
        <f t="shared" ca="1" si="51"/>
        <v>0</v>
      </c>
      <c r="CP97" s="525">
        <f t="shared" ca="1" si="51"/>
        <v>0</v>
      </c>
      <c r="CQ97" s="525">
        <f t="shared" ca="1" si="51"/>
        <v>0</v>
      </c>
      <c r="CR97" s="526">
        <f t="shared" ca="1" si="51"/>
        <v>3.4609723407484465E-2</v>
      </c>
      <c r="CS97" s="524">
        <f t="shared" ca="1" si="51"/>
        <v>6.921944681496893E-2</v>
      </c>
      <c r="CT97" s="525">
        <f t="shared" ca="1" si="51"/>
        <v>6.921944681496893E-2</v>
      </c>
      <c r="CU97" s="525">
        <f t="shared" ca="1" si="51"/>
        <v>6.921944681496893E-2</v>
      </c>
      <c r="CV97" s="525">
        <f t="shared" ca="1" si="49"/>
        <v>6.921944681496893E-2</v>
      </c>
      <c r="CW97" s="526">
        <f t="shared" ca="1" si="49"/>
        <v>6.921944681496893E-2</v>
      </c>
      <c r="CX97" s="467"/>
    </row>
    <row r="98" spans="2:102">
      <c r="B98" s="502"/>
      <c r="C98" s="1589" t="s">
        <v>1388</v>
      </c>
      <c r="D98" s="1590"/>
      <c r="E98" s="1591" t="s">
        <v>20</v>
      </c>
      <c r="F98" s="1591" t="s">
        <v>516</v>
      </c>
      <c r="G98" s="1589" t="s">
        <v>14</v>
      </c>
      <c r="H98" s="2226" t="s">
        <v>521</v>
      </c>
      <c r="I98" s="2227"/>
      <c r="J98" s="1592" t="s">
        <v>279</v>
      </c>
      <c r="K98" s="1593" t="s">
        <v>528</v>
      </c>
      <c r="L98" s="1593">
        <v>30</v>
      </c>
      <c r="M98" s="1593">
        <v>30</v>
      </c>
      <c r="N98" s="467"/>
      <c r="O98" s="551">
        <v>0</v>
      </c>
      <c r="P98" s="552">
        <v>0.85199999999999998</v>
      </c>
      <c r="Q98" s="552">
        <v>0</v>
      </c>
      <c r="R98" s="552">
        <v>0</v>
      </c>
      <c r="S98" s="553">
        <v>0</v>
      </c>
      <c r="T98" s="551">
        <v>0</v>
      </c>
      <c r="U98" s="552">
        <v>0</v>
      </c>
      <c r="V98" s="552">
        <v>0</v>
      </c>
      <c r="W98" s="552">
        <v>0</v>
      </c>
      <c r="X98" s="553">
        <v>0</v>
      </c>
      <c r="Y98" s="547"/>
      <c r="Z98" s="551"/>
      <c r="AA98" s="552"/>
      <c r="AB98" s="552"/>
      <c r="AC98" s="552"/>
      <c r="AD98" s="553"/>
      <c r="AE98" s="551"/>
      <c r="AF98" s="552"/>
      <c r="AG98" s="552"/>
      <c r="AH98" s="552"/>
      <c r="AI98" s="553"/>
      <c r="AJ98" s="547"/>
      <c r="AK98" s="551"/>
      <c r="AL98" s="552"/>
      <c r="AM98" s="552"/>
      <c r="AN98" s="552"/>
      <c r="AO98" s="553"/>
      <c r="AP98" s="551"/>
      <c r="AQ98" s="552"/>
      <c r="AR98" s="552"/>
      <c r="AS98" s="552"/>
      <c r="AT98" s="553"/>
      <c r="AU98" s="467"/>
      <c r="AV98" s="524">
        <f t="shared" si="47"/>
        <v>0</v>
      </c>
      <c r="AW98" s="525">
        <f t="shared" si="46"/>
        <v>0.85199999999999998</v>
      </c>
      <c r="AX98" s="525">
        <f t="shared" si="46"/>
        <v>0</v>
      </c>
      <c r="AY98" s="525">
        <f t="shared" si="46"/>
        <v>0</v>
      </c>
      <c r="AZ98" s="526">
        <f t="shared" si="46"/>
        <v>0</v>
      </c>
      <c r="BA98" s="524">
        <f t="shared" si="46"/>
        <v>0</v>
      </c>
      <c r="BB98" s="525">
        <f t="shared" si="46"/>
        <v>0</v>
      </c>
      <c r="BC98" s="525">
        <f t="shared" si="46"/>
        <v>0</v>
      </c>
      <c r="BD98" s="525">
        <f t="shared" si="46"/>
        <v>0</v>
      </c>
      <c r="BE98" s="526">
        <f t="shared" si="46"/>
        <v>0</v>
      </c>
      <c r="BF98" s="467"/>
      <c r="BG98" s="524">
        <f t="shared" ca="1" si="39"/>
        <v>0</v>
      </c>
      <c r="BH98" s="525">
        <f t="shared" ca="1" si="50"/>
        <v>1.4199999999999999E-2</v>
      </c>
      <c r="BI98" s="525">
        <f t="shared" ca="1" si="50"/>
        <v>2.8399999999999998E-2</v>
      </c>
      <c r="BJ98" s="525">
        <f t="shared" ca="1" si="50"/>
        <v>2.8399999999999998E-2</v>
      </c>
      <c r="BK98" s="526">
        <f t="shared" ca="1" si="50"/>
        <v>2.8399999999999998E-2</v>
      </c>
      <c r="BL98" s="524">
        <f t="shared" ca="1" si="50"/>
        <v>2.8399999999999998E-2</v>
      </c>
      <c r="BM98" s="525">
        <f t="shared" ca="1" si="50"/>
        <v>2.8399999999999998E-2</v>
      </c>
      <c r="BN98" s="525">
        <f t="shared" ca="1" si="50"/>
        <v>2.8399999999999998E-2</v>
      </c>
      <c r="BO98" s="525">
        <f t="shared" ca="1" si="48"/>
        <v>2.8399999999999998E-2</v>
      </c>
      <c r="BP98" s="526">
        <f t="shared" ca="1" si="48"/>
        <v>2.8399999999999998E-2</v>
      </c>
      <c r="BQ98" s="467"/>
      <c r="BR98" s="524">
        <f>+IF($K98="Ongoing",AV98,IF(RIGHT($K98,2)=RIGHT(BR$40,2),SUM($AV98:AV98),0)+IF(RIGHT(BR$40,2)&gt;RIGHT($K98,2),AV98,0))</f>
        <v>0</v>
      </c>
      <c r="BS98" s="525">
        <f>+IF($K98="Ongoing",AW98,IF(RIGHT($K98,2)=RIGHT(BS$40,2),SUM($AV98:AW98),0)+IF(RIGHT(BS$40,2)&gt;RIGHT($K98,2),AW98,0))</f>
        <v>0.85199999999999998</v>
      </c>
      <c r="BT98" s="525">
        <f>+IF($K98="Ongoing",AX98,IF(RIGHT($K98,2)=RIGHT(BT$40,2),SUM($AV98:AX98),0)+IF(RIGHT(BT$40,2)&gt;RIGHT($K98,2),AX98,0))</f>
        <v>0</v>
      </c>
      <c r="BU98" s="525">
        <f>+IF($K98="Ongoing",AY98,IF(RIGHT($K98,2)=RIGHT(BU$40,2),SUM($AV98:AY98),0)+IF(RIGHT(BU$40,2)&gt;RIGHT($K98,2),AY98,0))</f>
        <v>0</v>
      </c>
      <c r="BV98" s="526">
        <f>+IF($K98="Ongoing",AZ98,IF(RIGHT($K98,2)=RIGHT(BV$40,2),SUM($AV98:AZ98),0)+IF(RIGHT(BV$40,2)&gt;RIGHT($K98,2),AZ98,0))</f>
        <v>0</v>
      </c>
      <c r="BW98" s="524">
        <f>+IF($K98="Ongoing",BA98,IF(RIGHT($K98,2)=RIGHT(BW$40,2),SUM($AV98:BA98),0)+IF(RIGHT(BW$40,2)&gt;RIGHT($K98,2),BA98,0))</f>
        <v>0</v>
      </c>
      <c r="BX98" s="525">
        <f>+IF($K98="Ongoing",BB98,IF(RIGHT($K98,2)=RIGHT(BX$40,2),SUM($AV98:BB98),0)+IF(RIGHT(BX$40,2)&gt;RIGHT($K98,2),BB98,0))</f>
        <v>0</v>
      </c>
      <c r="BY98" s="525">
        <f>+IF($K98="Ongoing",BC98,IF(RIGHT($K98,2)=RIGHT(BY$40,2),SUM($AV98:BC98),0)+IF(RIGHT(BY$40,2)&gt;RIGHT($K98,2),BC98,0))</f>
        <v>0</v>
      </c>
      <c r="BZ98" s="525">
        <f>+IF($K98="Ongoing",BD98,IF(RIGHT($K98,2)=RIGHT(BZ$40,2),SUM($AV98:BD98),0)+IF(RIGHT(BZ$40,2)&gt;RIGHT($K98,2),BD98,0))</f>
        <v>0</v>
      </c>
      <c r="CA98" s="526">
        <f>+IF($K98="Ongoing",BE98,IF(RIGHT($K98,2)=RIGHT(CA$40,2),SUM($AV98:BE98),0)+IF(RIGHT(CA$40,2)&gt;RIGHT($K98,2),BE98,0))</f>
        <v>0</v>
      </c>
      <c r="CB98" s="467"/>
      <c r="CC98" s="524">
        <f>+O98*KeyAssumptionsPriceControl_FO!AF$15</f>
        <v>0</v>
      </c>
      <c r="CD98" s="525">
        <f>+P98*KeyAssumptionsPriceControl_FO!AG$15</f>
        <v>0.90213253199999988</v>
      </c>
      <c r="CE98" s="525">
        <f>+Q98*KeyAssumptionsPriceControl_FO!AH$15</f>
        <v>0</v>
      </c>
      <c r="CF98" s="525">
        <f>+R98*KeyAssumptionsPriceControl_FO!AI$15</f>
        <v>0</v>
      </c>
      <c r="CG98" s="526">
        <f>+S98*KeyAssumptionsPriceControl_FO!AJ$15</f>
        <v>0</v>
      </c>
      <c r="CH98" s="524">
        <f>+T98*KeyAssumptionsPriceControl_FO!AK$15</f>
        <v>0</v>
      </c>
      <c r="CI98" s="525">
        <f>+U98*KeyAssumptionsPriceControl_FO!AL$15</f>
        <v>0</v>
      </c>
      <c r="CJ98" s="525">
        <f>+V98*KeyAssumptionsPriceControl_FO!AM$15</f>
        <v>0</v>
      </c>
      <c r="CK98" s="525">
        <f>+W98*KeyAssumptionsPriceControl_FO!AN$15</f>
        <v>0</v>
      </c>
      <c r="CL98" s="526">
        <f>+X98*KeyAssumptionsPriceControl_FO!AO$15</f>
        <v>0</v>
      </c>
      <c r="CM98" s="467"/>
      <c r="CN98" s="524">
        <f t="shared" ca="1" si="41"/>
        <v>0</v>
      </c>
      <c r="CO98" s="525">
        <f t="shared" ca="1" si="51"/>
        <v>1.5035542199999998E-2</v>
      </c>
      <c r="CP98" s="525">
        <f t="shared" ca="1" si="51"/>
        <v>3.0071084399999996E-2</v>
      </c>
      <c r="CQ98" s="525">
        <f t="shared" ca="1" si="51"/>
        <v>3.0071084399999996E-2</v>
      </c>
      <c r="CR98" s="526">
        <f t="shared" ca="1" si="51"/>
        <v>3.0071084399999996E-2</v>
      </c>
      <c r="CS98" s="524">
        <f t="shared" ca="1" si="51"/>
        <v>3.0071084399999996E-2</v>
      </c>
      <c r="CT98" s="525">
        <f t="shared" ca="1" si="51"/>
        <v>3.0071084399999996E-2</v>
      </c>
      <c r="CU98" s="525">
        <f t="shared" ca="1" si="51"/>
        <v>3.0071084399999996E-2</v>
      </c>
      <c r="CV98" s="525">
        <f t="shared" ca="1" si="49"/>
        <v>3.0071084399999996E-2</v>
      </c>
      <c r="CW98" s="526">
        <f t="shared" ca="1" si="49"/>
        <v>3.0071084399999996E-2</v>
      </c>
      <c r="CX98" s="467"/>
    </row>
    <row r="99" spans="2:102">
      <c r="B99" s="502"/>
      <c r="C99" s="1589" t="s">
        <v>1389</v>
      </c>
      <c r="D99" s="1590"/>
      <c r="E99" s="1591" t="s">
        <v>21</v>
      </c>
      <c r="F99" s="1591" t="s">
        <v>12</v>
      </c>
      <c r="G99" s="1589" t="s">
        <v>14</v>
      </c>
      <c r="H99" s="2226" t="s">
        <v>518</v>
      </c>
      <c r="I99" s="2227"/>
      <c r="J99" s="1592" t="s">
        <v>279</v>
      </c>
      <c r="K99" s="1593" t="s">
        <v>970</v>
      </c>
      <c r="L99" s="1593">
        <v>50</v>
      </c>
      <c r="M99" s="1593">
        <v>50</v>
      </c>
      <c r="N99" s="467"/>
      <c r="O99" s="551">
        <v>0</v>
      </c>
      <c r="P99" s="552">
        <v>0</v>
      </c>
      <c r="Q99" s="552">
        <v>0</v>
      </c>
      <c r="R99" s="552">
        <v>0</v>
      </c>
      <c r="S99" s="553">
        <v>0</v>
      </c>
      <c r="T99" s="551">
        <v>0</v>
      </c>
      <c r="U99" s="552">
        <v>0</v>
      </c>
      <c r="V99" s="552">
        <v>0</v>
      </c>
      <c r="W99" s="552">
        <v>33.5</v>
      </c>
      <c r="X99" s="553">
        <v>33.5</v>
      </c>
      <c r="Y99" s="547"/>
      <c r="Z99" s="551"/>
      <c r="AA99" s="552"/>
      <c r="AB99" s="552"/>
      <c r="AC99" s="552"/>
      <c r="AD99" s="553"/>
      <c r="AE99" s="551"/>
      <c r="AF99" s="552"/>
      <c r="AG99" s="552"/>
      <c r="AH99" s="552"/>
      <c r="AI99" s="553"/>
      <c r="AJ99" s="547"/>
      <c r="AK99" s="551"/>
      <c r="AL99" s="552"/>
      <c r="AM99" s="552"/>
      <c r="AN99" s="552"/>
      <c r="AO99" s="553"/>
      <c r="AP99" s="551"/>
      <c r="AQ99" s="552"/>
      <c r="AR99" s="552"/>
      <c r="AS99" s="552"/>
      <c r="AT99" s="553"/>
      <c r="AU99" s="467"/>
      <c r="AV99" s="524">
        <f t="shared" si="47"/>
        <v>0</v>
      </c>
      <c r="AW99" s="525">
        <f t="shared" si="46"/>
        <v>0</v>
      </c>
      <c r="AX99" s="525">
        <f t="shared" si="46"/>
        <v>0</v>
      </c>
      <c r="AY99" s="525">
        <f t="shared" si="46"/>
        <v>0</v>
      </c>
      <c r="AZ99" s="526">
        <f t="shared" si="46"/>
        <v>0</v>
      </c>
      <c r="BA99" s="524">
        <f t="shared" si="46"/>
        <v>0</v>
      </c>
      <c r="BB99" s="525">
        <f t="shared" si="46"/>
        <v>0</v>
      </c>
      <c r="BC99" s="525">
        <f t="shared" si="46"/>
        <v>0</v>
      </c>
      <c r="BD99" s="525">
        <f t="shared" si="46"/>
        <v>33.5</v>
      </c>
      <c r="BE99" s="526">
        <f t="shared" si="46"/>
        <v>33.5</v>
      </c>
      <c r="BF99" s="467"/>
      <c r="BG99" s="524">
        <f t="shared" ca="1" si="39"/>
        <v>0</v>
      </c>
      <c r="BH99" s="525">
        <f t="shared" ca="1" si="50"/>
        <v>0</v>
      </c>
      <c r="BI99" s="525">
        <f t="shared" ca="1" si="50"/>
        <v>0</v>
      </c>
      <c r="BJ99" s="525">
        <f t="shared" ca="1" si="50"/>
        <v>0</v>
      </c>
      <c r="BK99" s="526">
        <f t="shared" ca="1" si="50"/>
        <v>0</v>
      </c>
      <c r="BL99" s="524">
        <f t="shared" ca="1" si="50"/>
        <v>0</v>
      </c>
      <c r="BM99" s="525">
        <f t="shared" ca="1" si="50"/>
        <v>0</v>
      </c>
      <c r="BN99" s="525">
        <f t="shared" ca="1" si="50"/>
        <v>0</v>
      </c>
      <c r="BO99" s="525">
        <f t="shared" ca="1" si="48"/>
        <v>0</v>
      </c>
      <c r="BP99" s="526">
        <f t="shared" ca="1" si="48"/>
        <v>0.67</v>
      </c>
      <c r="BQ99" s="467"/>
      <c r="BR99" s="524">
        <f>+IF($K99="Ongoing",AV99,IF(RIGHT($K99,2)=RIGHT(BR$40,2),SUM($AV99:AV99),0)+IF(RIGHT(BR$40,2)&gt;RIGHT($K99,2),AV99,0))</f>
        <v>0</v>
      </c>
      <c r="BS99" s="525">
        <f>+IF($K99="Ongoing",AW99,IF(RIGHT($K99,2)=RIGHT(BS$40,2),SUM($AV99:AW99),0)+IF(RIGHT(BS$40,2)&gt;RIGHT($K99,2),AW99,0))</f>
        <v>0</v>
      </c>
      <c r="BT99" s="525">
        <f>+IF($K99="Ongoing",AX99,IF(RIGHT($K99,2)=RIGHT(BT$40,2),SUM($AV99:AX99),0)+IF(RIGHT(BT$40,2)&gt;RIGHT($K99,2),AX99,0))</f>
        <v>0</v>
      </c>
      <c r="BU99" s="525">
        <f>+IF($K99="Ongoing",AY99,IF(RIGHT($K99,2)=RIGHT(BU$40,2),SUM($AV99:AY99),0)+IF(RIGHT(BU$40,2)&gt;RIGHT($K99,2),AY99,0))</f>
        <v>0</v>
      </c>
      <c r="BV99" s="526">
        <f>+IF($K99="Ongoing",AZ99,IF(RIGHT($K99,2)=RIGHT(BV$40,2),SUM($AV99:AZ99),0)+IF(RIGHT(BV$40,2)&gt;RIGHT($K99,2),AZ99,0))</f>
        <v>0</v>
      </c>
      <c r="BW99" s="524">
        <f>+IF($K99="Ongoing",BA99,IF(RIGHT($K99,2)=RIGHT(BW$40,2),SUM($AV99:BA99),0)+IF(RIGHT(BW$40,2)&gt;RIGHT($K99,2),BA99,0))</f>
        <v>0</v>
      </c>
      <c r="BX99" s="525">
        <f>+IF($K99="Ongoing",BB99,IF(RIGHT($K99,2)=RIGHT(BX$40,2),SUM($AV99:BB99),0)+IF(RIGHT(BX$40,2)&gt;RIGHT($K99,2),BB99,0))</f>
        <v>0</v>
      </c>
      <c r="BY99" s="525">
        <f>+IF($K99="Ongoing",BC99,IF(RIGHT($K99,2)=RIGHT(BY$40,2),SUM($AV99:BC99),0)+IF(RIGHT(BY$40,2)&gt;RIGHT($K99,2),BC99,0))</f>
        <v>0</v>
      </c>
      <c r="BZ99" s="525">
        <f>+IF($K99="Ongoing",BD99,IF(RIGHT($K99,2)=RIGHT(BZ$40,2),SUM($AV99:BD99),0)+IF(RIGHT(BZ$40,2)&gt;RIGHT($K99,2),BD99,0))</f>
        <v>0</v>
      </c>
      <c r="CA99" s="526">
        <f>+IF($K99="Ongoing",BE99,IF(RIGHT($K99,2)=RIGHT(CA$40,2),SUM($AV99:BE99),0)+IF(RIGHT(CA$40,2)&gt;RIGHT($K99,2),BE99,0))</f>
        <v>67</v>
      </c>
      <c r="CB99" s="467"/>
      <c r="CC99" s="524">
        <f>+O99*KeyAssumptionsPriceControl_FO!AF$15</f>
        <v>0</v>
      </c>
      <c r="CD99" s="525">
        <f>+P99*KeyAssumptionsPriceControl_FO!AG$15</f>
        <v>0</v>
      </c>
      <c r="CE99" s="525">
        <f>+Q99*KeyAssumptionsPriceControl_FO!AH$15</f>
        <v>0</v>
      </c>
      <c r="CF99" s="525">
        <f>+R99*KeyAssumptionsPriceControl_FO!AI$15</f>
        <v>0</v>
      </c>
      <c r="CG99" s="526">
        <f>+S99*KeyAssumptionsPriceControl_FO!AJ$15</f>
        <v>0</v>
      </c>
      <c r="CH99" s="524">
        <f>+T99*KeyAssumptionsPriceControl_FO!AK$15</f>
        <v>0</v>
      </c>
      <c r="CI99" s="525">
        <f>+U99*KeyAssumptionsPriceControl_FO!AL$15</f>
        <v>0</v>
      </c>
      <c r="CJ99" s="525">
        <f>+V99*KeyAssumptionsPriceControl_FO!AM$15</f>
        <v>0</v>
      </c>
      <c r="CK99" s="525">
        <f>+W99*KeyAssumptionsPriceControl_FO!AN$15</f>
        <v>43.329450351448386</v>
      </c>
      <c r="CL99" s="526">
        <f>+X99*KeyAssumptionsPriceControl_FO!AO$15</f>
        <v>44.586004411640388</v>
      </c>
      <c r="CM99" s="467"/>
      <c r="CN99" s="524">
        <f t="shared" ca="1" si="41"/>
        <v>0</v>
      </c>
      <c r="CO99" s="525">
        <f t="shared" ca="1" si="51"/>
        <v>0</v>
      </c>
      <c r="CP99" s="525">
        <f t="shared" ca="1" si="51"/>
        <v>0</v>
      </c>
      <c r="CQ99" s="525">
        <f t="shared" ca="1" si="51"/>
        <v>0</v>
      </c>
      <c r="CR99" s="526">
        <f t="shared" ca="1" si="51"/>
        <v>0</v>
      </c>
      <c r="CS99" s="524">
        <f t="shared" ca="1" si="51"/>
        <v>0</v>
      </c>
      <c r="CT99" s="525">
        <f t="shared" ca="1" si="51"/>
        <v>0</v>
      </c>
      <c r="CU99" s="525">
        <f t="shared" ca="1" si="51"/>
        <v>0</v>
      </c>
      <c r="CV99" s="525">
        <f t="shared" ca="1" si="49"/>
        <v>0.43329450351448384</v>
      </c>
      <c r="CW99" s="526">
        <f t="shared" ca="1" si="49"/>
        <v>1.3124490511453715</v>
      </c>
      <c r="CX99" s="467"/>
    </row>
    <row r="100" spans="2:102">
      <c r="B100" s="502"/>
      <c r="C100" s="1589" t="s">
        <v>1390</v>
      </c>
      <c r="D100" s="1590"/>
      <c r="E100" s="1591" t="s">
        <v>20</v>
      </c>
      <c r="F100" s="1591" t="s">
        <v>516</v>
      </c>
      <c r="G100" s="1589" t="s">
        <v>6</v>
      </c>
      <c r="H100" s="2226" t="s">
        <v>521</v>
      </c>
      <c r="I100" s="2227"/>
      <c r="J100" s="1592" t="s">
        <v>279</v>
      </c>
      <c r="K100" s="1593" t="s">
        <v>527</v>
      </c>
      <c r="L100" s="1593">
        <v>30</v>
      </c>
      <c r="M100" s="1593">
        <v>30</v>
      </c>
      <c r="N100" s="467"/>
      <c r="O100" s="551">
        <v>0.1</v>
      </c>
      <c r="P100" s="552">
        <v>0</v>
      </c>
      <c r="Q100" s="552">
        <v>0</v>
      </c>
      <c r="R100" s="552">
        <v>0</v>
      </c>
      <c r="S100" s="553">
        <v>0</v>
      </c>
      <c r="T100" s="551">
        <v>0</v>
      </c>
      <c r="U100" s="552">
        <v>0</v>
      </c>
      <c r="V100" s="552">
        <v>0</v>
      </c>
      <c r="W100" s="552">
        <v>0</v>
      </c>
      <c r="X100" s="553">
        <v>0</v>
      </c>
      <c r="Y100" s="547"/>
      <c r="Z100" s="551"/>
      <c r="AA100" s="552"/>
      <c r="AB100" s="552"/>
      <c r="AC100" s="552"/>
      <c r="AD100" s="553"/>
      <c r="AE100" s="551"/>
      <c r="AF100" s="552"/>
      <c r="AG100" s="552"/>
      <c r="AH100" s="552"/>
      <c r="AI100" s="553"/>
      <c r="AJ100" s="547"/>
      <c r="AK100" s="551"/>
      <c r="AL100" s="552"/>
      <c r="AM100" s="552"/>
      <c r="AN100" s="552"/>
      <c r="AO100" s="553"/>
      <c r="AP100" s="551"/>
      <c r="AQ100" s="552"/>
      <c r="AR100" s="552"/>
      <c r="AS100" s="552"/>
      <c r="AT100" s="553"/>
      <c r="AU100" s="467"/>
      <c r="AV100" s="524">
        <f t="shared" si="47"/>
        <v>0.1</v>
      </c>
      <c r="AW100" s="525">
        <f t="shared" si="46"/>
        <v>0</v>
      </c>
      <c r="AX100" s="525">
        <f t="shared" si="46"/>
        <v>0</v>
      </c>
      <c r="AY100" s="525">
        <f t="shared" si="46"/>
        <v>0</v>
      </c>
      <c r="AZ100" s="526">
        <f t="shared" si="46"/>
        <v>0</v>
      </c>
      <c r="BA100" s="524">
        <f t="shared" si="46"/>
        <v>0</v>
      </c>
      <c r="BB100" s="525">
        <f t="shared" si="46"/>
        <v>0</v>
      </c>
      <c r="BC100" s="525">
        <f t="shared" si="46"/>
        <v>0</v>
      </c>
      <c r="BD100" s="525">
        <f t="shared" si="46"/>
        <v>0</v>
      </c>
      <c r="BE100" s="526">
        <f t="shared" si="46"/>
        <v>0</v>
      </c>
      <c r="BF100" s="467"/>
      <c r="BG100" s="524">
        <f t="shared" ca="1" si="39"/>
        <v>1.6666666666666668E-3</v>
      </c>
      <c r="BH100" s="525">
        <f t="shared" ca="1" si="50"/>
        <v>3.3333333333333335E-3</v>
      </c>
      <c r="BI100" s="525">
        <f t="shared" ca="1" si="50"/>
        <v>3.3333333333333335E-3</v>
      </c>
      <c r="BJ100" s="525">
        <f t="shared" ca="1" si="50"/>
        <v>3.3333333333333335E-3</v>
      </c>
      <c r="BK100" s="526">
        <f t="shared" ca="1" si="50"/>
        <v>3.3333333333333335E-3</v>
      </c>
      <c r="BL100" s="524">
        <f t="shared" ca="1" si="50"/>
        <v>3.3333333333333335E-3</v>
      </c>
      <c r="BM100" s="525">
        <f t="shared" ca="1" si="50"/>
        <v>3.3333333333333335E-3</v>
      </c>
      <c r="BN100" s="525">
        <f t="shared" ca="1" si="50"/>
        <v>3.3333333333333335E-3</v>
      </c>
      <c r="BO100" s="525">
        <f t="shared" ca="1" si="48"/>
        <v>3.3333333333333335E-3</v>
      </c>
      <c r="BP100" s="526">
        <f t="shared" ca="1" si="48"/>
        <v>3.3333333333333335E-3</v>
      </c>
      <c r="BQ100" s="467"/>
      <c r="BR100" s="524">
        <f>+IF($K100="Ongoing",AV100,IF(RIGHT($K100,2)=RIGHT(BR$40,2),SUM($AV100:AV100),0)+IF(RIGHT(BR$40,2)&gt;RIGHT($K100,2),AV100,0))</f>
        <v>0.1</v>
      </c>
      <c r="BS100" s="525">
        <f>+IF($K100="Ongoing",AW100,IF(RIGHT($K100,2)=RIGHT(BS$40,2),SUM($AV100:AW100),0)+IF(RIGHT(BS$40,2)&gt;RIGHT($K100,2),AW100,0))</f>
        <v>0</v>
      </c>
      <c r="BT100" s="525">
        <f>+IF($K100="Ongoing",AX100,IF(RIGHT($K100,2)=RIGHT(BT$40,2),SUM($AV100:AX100),0)+IF(RIGHT(BT$40,2)&gt;RIGHT($K100,2),AX100,0))</f>
        <v>0</v>
      </c>
      <c r="BU100" s="525">
        <f>+IF($K100="Ongoing",AY100,IF(RIGHT($K100,2)=RIGHT(BU$40,2),SUM($AV100:AY100),0)+IF(RIGHT(BU$40,2)&gt;RIGHT($K100,2),AY100,0))</f>
        <v>0</v>
      </c>
      <c r="BV100" s="526">
        <f>+IF($K100="Ongoing",AZ100,IF(RIGHT($K100,2)=RIGHT(BV$40,2),SUM($AV100:AZ100),0)+IF(RIGHT(BV$40,2)&gt;RIGHT($K100,2),AZ100,0))</f>
        <v>0</v>
      </c>
      <c r="BW100" s="524">
        <f>+IF($K100="Ongoing",BA100,IF(RIGHT($K100,2)=RIGHT(BW$40,2),SUM($AV100:BA100),0)+IF(RIGHT(BW$40,2)&gt;RIGHT($K100,2),BA100,0))</f>
        <v>0</v>
      </c>
      <c r="BX100" s="525">
        <f>+IF($K100="Ongoing",BB100,IF(RIGHT($K100,2)=RIGHT(BX$40,2),SUM($AV100:BB100),0)+IF(RIGHT(BX$40,2)&gt;RIGHT($K100,2),BB100,0))</f>
        <v>0</v>
      </c>
      <c r="BY100" s="525">
        <f>+IF($K100="Ongoing",BC100,IF(RIGHT($K100,2)=RIGHT(BY$40,2),SUM($AV100:BC100),0)+IF(RIGHT(BY$40,2)&gt;RIGHT($K100,2),BC100,0))</f>
        <v>0</v>
      </c>
      <c r="BZ100" s="525">
        <f>+IF($K100="Ongoing",BD100,IF(RIGHT($K100,2)=RIGHT(BZ$40,2),SUM($AV100:BD100),0)+IF(RIGHT(BZ$40,2)&gt;RIGHT($K100,2),BD100,0))</f>
        <v>0</v>
      </c>
      <c r="CA100" s="526">
        <f>+IF($K100="Ongoing",BE100,IF(RIGHT($K100,2)=RIGHT(CA$40,2),SUM($AV100:BE100),0)+IF(RIGHT(CA$40,2)&gt;RIGHT($K100,2),BE100,0))</f>
        <v>0</v>
      </c>
      <c r="CB100" s="467"/>
      <c r="CC100" s="524">
        <f>+O100*KeyAssumptionsPriceControl_FO!AF$15</f>
        <v>0.10289999999999999</v>
      </c>
      <c r="CD100" s="525">
        <f>+P100*KeyAssumptionsPriceControl_FO!AG$15</f>
        <v>0</v>
      </c>
      <c r="CE100" s="525">
        <f>+Q100*KeyAssumptionsPriceControl_FO!AH$15</f>
        <v>0</v>
      </c>
      <c r="CF100" s="525">
        <f>+R100*KeyAssumptionsPriceControl_FO!AI$15</f>
        <v>0</v>
      </c>
      <c r="CG100" s="526">
        <f>+S100*KeyAssumptionsPriceControl_FO!AJ$15</f>
        <v>0</v>
      </c>
      <c r="CH100" s="524">
        <f>+T100*KeyAssumptionsPriceControl_FO!AK$15</f>
        <v>0</v>
      </c>
      <c r="CI100" s="525">
        <f>+U100*KeyAssumptionsPriceControl_FO!AL$15</f>
        <v>0</v>
      </c>
      <c r="CJ100" s="525">
        <f>+V100*KeyAssumptionsPriceControl_FO!AM$15</f>
        <v>0</v>
      </c>
      <c r="CK100" s="525">
        <f>+W100*KeyAssumptionsPriceControl_FO!AN$15</f>
        <v>0</v>
      </c>
      <c r="CL100" s="526">
        <f>+X100*KeyAssumptionsPriceControl_FO!AO$15</f>
        <v>0</v>
      </c>
      <c r="CM100" s="467"/>
      <c r="CN100" s="524">
        <f t="shared" ca="1" si="41"/>
        <v>1.7149999999999999E-3</v>
      </c>
      <c r="CO100" s="525">
        <f t="shared" ca="1" si="51"/>
        <v>3.4299999999999999E-3</v>
      </c>
      <c r="CP100" s="525">
        <f t="shared" ca="1" si="51"/>
        <v>3.4299999999999999E-3</v>
      </c>
      <c r="CQ100" s="525">
        <f t="shared" ca="1" si="51"/>
        <v>3.4299999999999999E-3</v>
      </c>
      <c r="CR100" s="526">
        <f t="shared" ca="1" si="51"/>
        <v>3.4299999999999999E-3</v>
      </c>
      <c r="CS100" s="524">
        <f t="shared" ca="1" si="51"/>
        <v>3.4299999999999999E-3</v>
      </c>
      <c r="CT100" s="525">
        <f t="shared" ca="1" si="51"/>
        <v>3.4299999999999999E-3</v>
      </c>
      <c r="CU100" s="525">
        <f t="shared" ca="1" si="51"/>
        <v>3.4299999999999999E-3</v>
      </c>
      <c r="CV100" s="525">
        <f t="shared" ca="1" si="49"/>
        <v>3.4299999999999999E-3</v>
      </c>
      <c r="CW100" s="526">
        <f t="shared" ca="1" si="49"/>
        <v>3.4299999999999999E-3</v>
      </c>
      <c r="CX100" s="467"/>
    </row>
    <row r="101" spans="2:102">
      <c r="B101" s="502"/>
      <c r="C101" s="1589" t="s">
        <v>1391</v>
      </c>
      <c r="D101" s="1590"/>
      <c r="E101" s="1591" t="s">
        <v>21</v>
      </c>
      <c r="F101" s="1591" t="s">
        <v>516</v>
      </c>
      <c r="G101" s="1589" t="s">
        <v>6</v>
      </c>
      <c r="H101" s="2226" t="s">
        <v>521</v>
      </c>
      <c r="I101" s="2227"/>
      <c r="J101" s="1592" t="s">
        <v>279</v>
      </c>
      <c r="K101" s="1593" t="s">
        <v>527</v>
      </c>
      <c r="L101" s="1593">
        <v>25</v>
      </c>
      <c r="M101" s="1593">
        <v>25</v>
      </c>
      <c r="N101" s="467"/>
      <c r="O101" s="551">
        <v>0.1</v>
      </c>
      <c r="P101" s="552">
        <v>0</v>
      </c>
      <c r="Q101" s="552">
        <v>0</v>
      </c>
      <c r="R101" s="552">
        <v>0</v>
      </c>
      <c r="S101" s="553">
        <v>0</v>
      </c>
      <c r="T101" s="551">
        <v>0</v>
      </c>
      <c r="U101" s="552">
        <v>0</v>
      </c>
      <c r="V101" s="552">
        <v>0</v>
      </c>
      <c r="W101" s="552">
        <v>0</v>
      </c>
      <c r="X101" s="553">
        <v>0</v>
      </c>
      <c r="Y101" s="547"/>
      <c r="Z101" s="551"/>
      <c r="AA101" s="552"/>
      <c r="AB101" s="552"/>
      <c r="AC101" s="552"/>
      <c r="AD101" s="553"/>
      <c r="AE101" s="551"/>
      <c r="AF101" s="552"/>
      <c r="AG101" s="552"/>
      <c r="AH101" s="552"/>
      <c r="AI101" s="553"/>
      <c r="AJ101" s="547"/>
      <c r="AK101" s="551"/>
      <c r="AL101" s="552"/>
      <c r="AM101" s="552"/>
      <c r="AN101" s="552"/>
      <c r="AO101" s="553"/>
      <c r="AP101" s="551"/>
      <c r="AQ101" s="552"/>
      <c r="AR101" s="552"/>
      <c r="AS101" s="552"/>
      <c r="AT101" s="553"/>
      <c r="AU101" s="467"/>
      <c r="AV101" s="524">
        <f t="shared" si="47"/>
        <v>0.1</v>
      </c>
      <c r="AW101" s="525">
        <f t="shared" si="46"/>
        <v>0</v>
      </c>
      <c r="AX101" s="525">
        <f t="shared" si="46"/>
        <v>0</v>
      </c>
      <c r="AY101" s="525">
        <f t="shared" si="46"/>
        <v>0</v>
      </c>
      <c r="AZ101" s="526">
        <f t="shared" si="46"/>
        <v>0</v>
      </c>
      <c r="BA101" s="524">
        <f t="shared" si="46"/>
        <v>0</v>
      </c>
      <c r="BB101" s="525">
        <f t="shared" si="46"/>
        <v>0</v>
      </c>
      <c r="BC101" s="525">
        <f t="shared" si="46"/>
        <v>0</v>
      </c>
      <c r="BD101" s="525">
        <f t="shared" si="46"/>
        <v>0</v>
      </c>
      <c r="BE101" s="526">
        <f t="shared" si="46"/>
        <v>0</v>
      </c>
      <c r="BF101" s="467"/>
      <c r="BG101" s="524">
        <f t="shared" ca="1" si="39"/>
        <v>2E-3</v>
      </c>
      <c r="BH101" s="525">
        <f t="shared" ca="1" si="50"/>
        <v>4.0000000000000001E-3</v>
      </c>
      <c r="BI101" s="525">
        <f t="shared" ca="1" si="50"/>
        <v>4.0000000000000001E-3</v>
      </c>
      <c r="BJ101" s="525">
        <f t="shared" ca="1" si="50"/>
        <v>4.0000000000000001E-3</v>
      </c>
      <c r="BK101" s="526">
        <f t="shared" ca="1" si="50"/>
        <v>4.0000000000000001E-3</v>
      </c>
      <c r="BL101" s="524">
        <f t="shared" ca="1" si="50"/>
        <v>4.0000000000000001E-3</v>
      </c>
      <c r="BM101" s="525">
        <f t="shared" ca="1" si="50"/>
        <v>4.0000000000000001E-3</v>
      </c>
      <c r="BN101" s="525">
        <f t="shared" ca="1" si="50"/>
        <v>4.0000000000000001E-3</v>
      </c>
      <c r="BO101" s="525">
        <f t="shared" ca="1" si="48"/>
        <v>4.0000000000000001E-3</v>
      </c>
      <c r="BP101" s="526">
        <f t="shared" ca="1" si="48"/>
        <v>4.0000000000000001E-3</v>
      </c>
      <c r="BQ101" s="467"/>
      <c r="BR101" s="524">
        <f>+IF($K101="Ongoing",AV101,IF(RIGHT($K101,2)=RIGHT(BR$40,2),SUM($AV101:AV101),0)+IF(RIGHT(BR$40,2)&gt;RIGHT($K101,2),AV101,0))</f>
        <v>0.1</v>
      </c>
      <c r="BS101" s="525">
        <f>+IF($K101="Ongoing",AW101,IF(RIGHT($K101,2)=RIGHT(BS$40,2),SUM($AV101:AW101),0)+IF(RIGHT(BS$40,2)&gt;RIGHT($K101,2),AW101,0))</f>
        <v>0</v>
      </c>
      <c r="BT101" s="525">
        <f>+IF($K101="Ongoing",AX101,IF(RIGHT($K101,2)=RIGHT(BT$40,2),SUM($AV101:AX101),0)+IF(RIGHT(BT$40,2)&gt;RIGHT($K101,2),AX101,0))</f>
        <v>0</v>
      </c>
      <c r="BU101" s="525">
        <f>+IF($K101="Ongoing",AY101,IF(RIGHT($K101,2)=RIGHT(BU$40,2),SUM($AV101:AY101),0)+IF(RIGHT(BU$40,2)&gt;RIGHT($K101,2),AY101,0))</f>
        <v>0</v>
      </c>
      <c r="BV101" s="526">
        <f>+IF($K101="Ongoing",AZ101,IF(RIGHT($K101,2)=RIGHT(BV$40,2),SUM($AV101:AZ101),0)+IF(RIGHT(BV$40,2)&gt;RIGHT($K101,2),AZ101,0))</f>
        <v>0</v>
      </c>
      <c r="BW101" s="524">
        <f>+IF($K101="Ongoing",BA101,IF(RIGHT($K101,2)=RIGHT(BW$40,2),SUM($AV101:BA101),0)+IF(RIGHT(BW$40,2)&gt;RIGHT($K101,2),BA101,0))</f>
        <v>0</v>
      </c>
      <c r="BX101" s="525">
        <f>+IF($K101="Ongoing",BB101,IF(RIGHT($K101,2)=RIGHT(BX$40,2),SUM($AV101:BB101),0)+IF(RIGHT(BX$40,2)&gt;RIGHT($K101,2),BB101,0))</f>
        <v>0</v>
      </c>
      <c r="BY101" s="525">
        <f>+IF($K101="Ongoing",BC101,IF(RIGHT($K101,2)=RIGHT(BY$40,2),SUM($AV101:BC101),0)+IF(RIGHT(BY$40,2)&gt;RIGHT($K101,2),BC101,0))</f>
        <v>0</v>
      </c>
      <c r="BZ101" s="525">
        <f>+IF($K101="Ongoing",BD101,IF(RIGHT($K101,2)=RIGHT(BZ$40,2),SUM($AV101:BD101),0)+IF(RIGHT(BZ$40,2)&gt;RIGHT($K101,2),BD101,0))</f>
        <v>0</v>
      </c>
      <c r="CA101" s="526">
        <f>+IF($K101="Ongoing",BE101,IF(RIGHT($K101,2)=RIGHT(CA$40,2),SUM($AV101:BE101),0)+IF(RIGHT(CA$40,2)&gt;RIGHT($K101,2),BE101,0))</f>
        <v>0</v>
      </c>
      <c r="CB101" s="467"/>
      <c r="CC101" s="524">
        <f>+O101*KeyAssumptionsPriceControl_FO!AF$15</f>
        <v>0.10289999999999999</v>
      </c>
      <c r="CD101" s="525">
        <f>+P101*KeyAssumptionsPriceControl_FO!AG$15</f>
        <v>0</v>
      </c>
      <c r="CE101" s="525">
        <f>+Q101*KeyAssumptionsPriceControl_FO!AH$15</f>
        <v>0</v>
      </c>
      <c r="CF101" s="525">
        <f>+R101*KeyAssumptionsPriceControl_FO!AI$15</f>
        <v>0</v>
      </c>
      <c r="CG101" s="526">
        <f>+S101*KeyAssumptionsPriceControl_FO!AJ$15</f>
        <v>0</v>
      </c>
      <c r="CH101" s="524">
        <f>+T101*KeyAssumptionsPriceControl_FO!AK$15</f>
        <v>0</v>
      </c>
      <c r="CI101" s="525">
        <f>+U101*KeyAssumptionsPriceControl_FO!AL$15</f>
        <v>0</v>
      </c>
      <c r="CJ101" s="525">
        <f>+V101*KeyAssumptionsPriceControl_FO!AM$15</f>
        <v>0</v>
      </c>
      <c r="CK101" s="525">
        <f>+W101*KeyAssumptionsPriceControl_FO!AN$15</f>
        <v>0</v>
      </c>
      <c r="CL101" s="526">
        <f>+X101*KeyAssumptionsPriceControl_FO!AO$15</f>
        <v>0</v>
      </c>
      <c r="CM101" s="467"/>
      <c r="CN101" s="524">
        <f t="shared" ca="1" si="41"/>
        <v>2.0579999999999999E-3</v>
      </c>
      <c r="CO101" s="525">
        <f t="shared" ca="1" si="51"/>
        <v>4.1159999999999999E-3</v>
      </c>
      <c r="CP101" s="525">
        <f t="shared" ca="1" si="51"/>
        <v>4.1159999999999999E-3</v>
      </c>
      <c r="CQ101" s="525">
        <f t="shared" ca="1" si="51"/>
        <v>4.1159999999999999E-3</v>
      </c>
      <c r="CR101" s="526">
        <f t="shared" ca="1" si="51"/>
        <v>4.1159999999999999E-3</v>
      </c>
      <c r="CS101" s="524">
        <f t="shared" ca="1" si="51"/>
        <v>4.1159999999999999E-3</v>
      </c>
      <c r="CT101" s="525">
        <f t="shared" ca="1" si="51"/>
        <v>4.1159999999999999E-3</v>
      </c>
      <c r="CU101" s="525">
        <f t="shared" ca="1" si="51"/>
        <v>4.1159999999999999E-3</v>
      </c>
      <c r="CV101" s="525">
        <f t="shared" ca="1" si="49"/>
        <v>4.1159999999999999E-3</v>
      </c>
      <c r="CW101" s="526">
        <f t="shared" ca="1" si="49"/>
        <v>4.1159999999999999E-3</v>
      </c>
      <c r="CX101" s="467"/>
    </row>
    <row r="102" spans="2:102">
      <c r="B102" s="502"/>
      <c r="C102" s="1589" t="s">
        <v>1392</v>
      </c>
      <c r="D102" s="1590"/>
      <c r="E102" s="1591" t="s">
        <v>20</v>
      </c>
      <c r="F102" s="1591" t="s">
        <v>516</v>
      </c>
      <c r="G102" s="1589" t="s">
        <v>10</v>
      </c>
      <c r="H102" s="2226" t="s">
        <v>521</v>
      </c>
      <c r="I102" s="2227"/>
      <c r="J102" s="1592" t="s">
        <v>279</v>
      </c>
      <c r="K102" s="1593" t="s">
        <v>970</v>
      </c>
      <c r="L102" s="1593">
        <v>10</v>
      </c>
      <c r="M102" s="1593">
        <v>10</v>
      </c>
      <c r="N102" s="467"/>
      <c r="O102" s="551">
        <v>0</v>
      </c>
      <c r="P102" s="552">
        <v>0</v>
      </c>
      <c r="Q102" s="552">
        <v>0</v>
      </c>
      <c r="R102" s="552">
        <v>0</v>
      </c>
      <c r="S102" s="553">
        <v>0</v>
      </c>
      <c r="T102" s="551">
        <v>0</v>
      </c>
      <c r="U102" s="552">
        <v>0</v>
      </c>
      <c r="V102" s="552">
        <v>0</v>
      </c>
      <c r="W102" s="552">
        <v>0.05</v>
      </c>
      <c r="X102" s="553">
        <v>0.05</v>
      </c>
      <c r="Y102" s="547"/>
      <c r="Z102" s="551"/>
      <c r="AA102" s="552"/>
      <c r="AB102" s="552"/>
      <c r="AC102" s="552"/>
      <c r="AD102" s="553"/>
      <c r="AE102" s="551"/>
      <c r="AF102" s="552"/>
      <c r="AG102" s="552"/>
      <c r="AH102" s="552"/>
      <c r="AI102" s="553"/>
      <c r="AJ102" s="547"/>
      <c r="AK102" s="551"/>
      <c r="AL102" s="552"/>
      <c r="AM102" s="552"/>
      <c r="AN102" s="552"/>
      <c r="AO102" s="553"/>
      <c r="AP102" s="551"/>
      <c r="AQ102" s="552"/>
      <c r="AR102" s="552"/>
      <c r="AS102" s="552"/>
      <c r="AT102" s="553"/>
      <c r="AU102" s="467"/>
      <c r="AV102" s="524">
        <f t="shared" si="47"/>
        <v>0</v>
      </c>
      <c r="AW102" s="525">
        <f t="shared" si="46"/>
        <v>0</v>
      </c>
      <c r="AX102" s="525">
        <f t="shared" si="46"/>
        <v>0</v>
      </c>
      <c r="AY102" s="525">
        <f t="shared" si="46"/>
        <v>0</v>
      </c>
      <c r="AZ102" s="526">
        <f t="shared" si="46"/>
        <v>0</v>
      </c>
      <c r="BA102" s="524">
        <f t="shared" si="46"/>
        <v>0</v>
      </c>
      <c r="BB102" s="525">
        <f t="shared" si="46"/>
        <v>0</v>
      </c>
      <c r="BC102" s="525">
        <f t="shared" si="46"/>
        <v>0</v>
      </c>
      <c r="BD102" s="525">
        <f t="shared" si="46"/>
        <v>0.05</v>
      </c>
      <c r="BE102" s="526">
        <f t="shared" si="46"/>
        <v>0.05</v>
      </c>
      <c r="BF102" s="467"/>
      <c r="BG102" s="524">
        <f t="shared" ca="1" si="39"/>
        <v>0</v>
      </c>
      <c r="BH102" s="525">
        <f t="shared" ca="1" si="50"/>
        <v>0</v>
      </c>
      <c r="BI102" s="525">
        <f t="shared" ca="1" si="50"/>
        <v>0</v>
      </c>
      <c r="BJ102" s="525">
        <f t="shared" ca="1" si="50"/>
        <v>0</v>
      </c>
      <c r="BK102" s="526">
        <f t="shared" ca="1" si="50"/>
        <v>0</v>
      </c>
      <c r="BL102" s="524">
        <f t="shared" ca="1" si="50"/>
        <v>0</v>
      </c>
      <c r="BM102" s="525">
        <f t="shared" ca="1" si="50"/>
        <v>0</v>
      </c>
      <c r="BN102" s="525">
        <f t="shared" ca="1" si="50"/>
        <v>0</v>
      </c>
      <c r="BO102" s="525">
        <f t="shared" ca="1" si="48"/>
        <v>0</v>
      </c>
      <c r="BP102" s="526">
        <f t="shared" ca="1" si="48"/>
        <v>5.0000000000000001E-3</v>
      </c>
      <c r="BQ102" s="467"/>
      <c r="BR102" s="524">
        <f>+IF($K102="Ongoing",AV102,IF(RIGHT($K102,2)=RIGHT(BR$40,2),SUM($AV102:AV102),0)+IF(RIGHT(BR$40,2)&gt;RIGHT($K102,2),AV102,0))</f>
        <v>0</v>
      </c>
      <c r="BS102" s="525">
        <f>+IF($K102="Ongoing",AW102,IF(RIGHT($K102,2)=RIGHT(BS$40,2),SUM($AV102:AW102),0)+IF(RIGHT(BS$40,2)&gt;RIGHT($K102,2),AW102,0))</f>
        <v>0</v>
      </c>
      <c r="BT102" s="525">
        <f>+IF($K102="Ongoing",AX102,IF(RIGHT($K102,2)=RIGHT(BT$40,2),SUM($AV102:AX102),0)+IF(RIGHT(BT$40,2)&gt;RIGHT($K102,2),AX102,0))</f>
        <v>0</v>
      </c>
      <c r="BU102" s="525">
        <f>+IF($K102="Ongoing",AY102,IF(RIGHT($K102,2)=RIGHT(BU$40,2),SUM($AV102:AY102),0)+IF(RIGHT(BU$40,2)&gt;RIGHT($K102,2),AY102,0))</f>
        <v>0</v>
      </c>
      <c r="BV102" s="526">
        <f>+IF($K102="Ongoing",AZ102,IF(RIGHT($K102,2)=RIGHT(BV$40,2),SUM($AV102:AZ102),0)+IF(RIGHT(BV$40,2)&gt;RIGHT($K102,2),AZ102,0))</f>
        <v>0</v>
      </c>
      <c r="BW102" s="524">
        <f>+IF($K102="Ongoing",BA102,IF(RIGHT($K102,2)=RIGHT(BW$40,2),SUM($AV102:BA102),0)+IF(RIGHT(BW$40,2)&gt;RIGHT($K102,2),BA102,0))</f>
        <v>0</v>
      </c>
      <c r="BX102" s="525">
        <f>+IF($K102="Ongoing",BB102,IF(RIGHT($K102,2)=RIGHT(BX$40,2),SUM($AV102:BB102),0)+IF(RIGHT(BX$40,2)&gt;RIGHT($K102,2),BB102,0))</f>
        <v>0</v>
      </c>
      <c r="BY102" s="525">
        <f>+IF($K102="Ongoing",BC102,IF(RIGHT($K102,2)=RIGHT(BY$40,2),SUM($AV102:BC102),0)+IF(RIGHT(BY$40,2)&gt;RIGHT($K102,2),BC102,0))</f>
        <v>0</v>
      </c>
      <c r="BZ102" s="525">
        <f>+IF($K102="Ongoing",BD102,IF(RIGHT($K102,2)=RIGHT(BZ$40,2),SUM($AV102:BD102),0)+IF(RIGHT(BZ$40,2)&gt;RIGHT($K102,2),BD102,0))</f>
        <v>0</v>
      </c>
      <c r="CA102" s="526">
        <f>+IF($K102="Ongoing",BE102,IF(RIGHT($K102,2)=RIGHT(CA$40,2),SUM($AV102:BE102),0)+IF(RIGHT(CA$40,2)&gt;RIGHT($K102,2),BE102,0))</f>
        <v>0.1</v>
      </c>
      <c r="CB102" s="467"/>
      <c r="CC102" s="524">
        <f>+O102*KeyAssumptionsPriceControl_FO!AF$15</f>
        <v>0</v>
      </c>
      <c r="CD102" s="525">
        <f>+P102*KeyAssumptionsPriceControl_FO!AG$15</f>
        <v>0</v>
      </c>
      <c r="CE102" s="525">
        <f>+Q102*KeyAssumptionsPriceControl_FO!AH$15</f>
        <v>0</v>
      </c>
      <c r="CF102" s="525">
        <f>+R102*KeyAssumptionsPriceControl_FO!AI$15</f>
        <v>0</v>
      </c>
      <c r="CG102" s="526">
        <f>+S102*KeyAssumptionsPriceControl_FO!AJ$15</f>
        <v>0</v>
      </c>
      <c r="CH102" s="524">
        <f>+T102*KeyAssumptionsPriceControl_FO!AK$15</f>
        <v>0</v>
      </c>
      <c r="CI102" s="525">
        <f>+U102*KeyAssumptionsPriceControl_FO!AL$15</f>
        <v>0</v>
      </c>
      <c r="CJ102" s="525">
        <f>+V102*KeyAssumptionsPriceControl_FO!AM$15</f>
        <v>0</v>
      </c>
      <c r="CK102" s="525">
        <f>+W102*KeyAssumptionsPriceControl_FO!AN$15</f>
        <v>6.467082142007223E-2</v>
      </c>
      <c r="CL102" s="526">
        <f>+X102*KeyAssumptionsPriceControl_FO!AO$15</f>
        <v>6.6546275241254324E-2</v>
      </c>
      <c r="CM102" s="467"/>
      <c r="CN102" s="524">
        <f t="shared" ca="1" si="41"/>
        <v>0</v>
      </c>
      <c r="CO102" s="525">
        <f t="shared" ca="1" si="51"/>
        <v>0</v>
      </c>
      <c r="CP102" s="525">
        <f t="shared" ca="1" si="51"/>
        <v>0</v>
      </c>
      <c r="CQ102" s="525">
        <f t="shared" ca="1" si="51"/>
        <v>0</v>
      </c>
      <c r="CR102" s="526">
        <f t="shared" ca="1" si="51"/>
        <v>0</v>
      </c>
      <c r="CS102" s="524">
        <f t="shared" ca="1" si="51"/>
        <v>0</v>
      </c>
      <c r="CT102" s="525">
        <f t="shared" ca="1" si="51"/>
        <v>0</v>
      </c>
      <c r="CU102" s="525">
        <f t="shared" ca="1" si="51"/>
        <v>0</v>
      </c>
      <c r="CV102" s="525">
        <f t="shared" ca="1" si="49"/>
        <v>3.2335410710036113E-3</v>
      </c>
      <c r="CW102" s="526">
        <f t="shared" ca="1" si="49"/>
        <v>9.7943959040699378E-3</v>
      </c>
      <c r="CX102" s="467"/>
    </row>
    <row r="103" spans="2:102">
      <c r="B103" s="502"/>
      <c r="C103" s="1589" t="s">
        <v>1393</v>
      </c>
      <c r="D103" s="1590"/>
      <c r="E103" s="1591" t="s">
        <v>20</v>
      </c>
      <c r="F103" s="1591" t="s">
        <v>516</v>
      </c>
      <c r="G103" s="1589" t="s">
        <v>10</v>
      </c>
      <c r="H103" s="2226" t="s">
        <v>521</v>
      </c>
      <c r="I103" s="2227"/>
      <c r="J103" s="1592" t="s">
        <v>279</v>
      </c>
      <c r="K103" s="1593" t="s">
        <v>970</v>
      </c>
      <c r="L103" s="1593">
        <v>10</v>
      </c>
      <c r="M103" s="1593">
        <v>10</v>
      </c>
      <c r="N103" s="467"/>
      <c r="O103" s="551">
        <v>0</v>
      </c>
      <c r="P103" s="552">
        <v>0</v>
      </c>
      <c r="Q103" s="552">
        <v>0</v>
      </c>
      <c r="R103" s="552">
        <v>0</v>
      </c>
      <c r="S103" s="553">
        <v>0</v>
      </c>
      <c r="T103" s="551">
        <v>0</v>
      </c>
      <c r="U103" s="552">
        <v>0</v>
      </c>
      <c r="V103" s="552">
        <v>0</v>
      </c>
      <c r="W103" s="552">
        <v>0</v>
      </c>
      <c r="X103" s="553">
        <v>0</v>
      </c>
      <c r="Y103" s="547"/>
      <c r="Z103" s="551"/>
      <c r="AA103" s="552"/>
      <c r="AB103" s="552"/>
      <c r="AC103" s="552"/>
      <c r="AD103" s="553"/>
      <c r="AE103" s="551"/>
      <c r="AF103" s="552"/>
      <c r="AG103" s="552"/>
      <c r="AH103" s="552"/>
      <c r="AI103" s="553"/>
      <c r="AJ103" s="547"/>
      <c r="AK103" s="551"/>
      <c r="AL103" s="552"/>
      <c r="AM103" s="552"/>
      <c r="AN103" s="552"/>
      <c r="AO103" s="553"/>
      <c r="AP103" s="551"/>
      <c r="AQ103" s="552"/>
      <c r="AR103" s="552"/>
      <c r="AS103" s="552"/>
      <c r="AT103" s="553"/>
      <c r="AU103" s="467"/>
      <c r="AV103" s="524">
        <f t="shared" si="47"/>
        <v>0</v>
      </c>
      <c r="AW103" s="525">
        <f t="shared" si="46"/>
        <v>0</v>
      </c>
      <c r="AX103" s="525">
        <f t="shared" si="46"/>
        <v>0</v>
      </c>
      <c r="AY103" s="525">
        <f t="shared" si="46"/>
        <v>0</v>
      </c>
      <c r="AZ103" s="526">
        <f t="shared" si="46"/>
        <v>0</v>
      </c>
      <c r="BA103" s="524">
        <f t="shared" si="46"/>
        <v>0</v>
      </c>
      <c r="BB103" s="525">
        <f t="shared" si="46"/>
        <v>0</v>
      </c>
      <c r="BC103" s="525">
        <f t="shared" si="46"/>
        <v>0</v>
      </c>
      <c r="BD103" s="525">
        <f t="shared" si="46"/>
        <v>0</v>
      </c>
      <c r="BE103" s="526">
        <f t="shared" si="46"/>
        <v>0</v>
      </c>
      <c r="BF103" s="467"/>
      <c r="BG103" s="524">
        <f t="shared" ca="1" si="39"/>
        <v>0</v>
      </c>
      <c r="BH103" s="525">
        <f t="shared" ca="1" si="50"/>
        <v>0</v>
      </c>
      <c r="BI103" s="525">
        <f t="shared" ca="1" si="50"/>
        <v>0</v>
      </c>
      <c r="BJ103" s="525">
        <f t="shared" ca="1" si="50"/>
        <v>0</v>
      </c>
      <c r="BK103" s="526">
        <f t="shared" ca="1" si="50"/>
        <v>0</v>
      </c>
      <c r="BL103" s="524">
        <f t="shared" ca="1" si="50"/>
        <v>0</v>
      </c>
      <c r="BM103" s="525">
        <f t="shared" ca="1" si="50"/>
        <v>0</v>
      </c>
      <c r="BN103" s="525">
        <f t="shared" ca="1" si="50"/>
        <v>0</v>
      </c>
      <c r="BO103" s="525">
        <f t="shared" ca="1" si="48"/>
        <v>0</v>
      </c>
      <c r="BP103" s="526">
        <f t="shared" ca="1" si="48"/>
        <v>0</v>
      </c>
      <c r="BQ103" s="467"/>
      <c r="BR103" s="524">
        <f>+IF($K103="Ongoing",AV103,IF(RIGHT($K103,2)=RIGHT(BR$40,2),SUM($AV103:AV103),0)+IF(RIGHT(BR$40,2)&gt;RIGHT($K103,2),AV103,0))</f>
        <v>0</v>
      </c>
      <c r="BS103" s="525">
        <f>+IF($K103="Ongoing",AW103,IF(RIGHT($K103,2)=RIGHT(BS$40,2),SUM($AV103:AW103),0)+IF(RIGHT(BS$40,2)&gt;RIGHT($K103,2),AW103,0))</f>
        <v>0</v>
      </c>
      <c r="BT103" s="525">
        <f>+IF($K103="Ongoing",AX103,IF(RIGHT($K103,2)=RIGHT(BT$40,2),SUM($AV103:AX103),0)+IF(RIGHT(BT$40,2)&gt;RIGHT($K103,2),AX103,0))</f>
        <v>0</v>
      </c>
      <c r="BU103" s="525">
        <f>+IF($K103="Ongoing",AY103,IF(RIGHT($K103,2)=RIGHT(BU$40,2),SUM($AV103:AY103),0)+IF(RIGHT(BU$40,2)&gt;RIGHT($K103,2),AY103,0))</f>
        <v>0</v>
      </c>
      <c r="BV103" s="526">
        <f>+IF($K103="Ongoing",AZ103,IF(RIGHT($K103,2)=RIGHT(BV$40,2),SUM($AV103:AZ103),0)+IF(RIGHT(BV$40,2)&gt;RIGHT($K103,2),AZ103,0))</f>
        <v>0</v>
      </c>
      <c r="BW103" s="524">
        <f>+IF($K103="Ongoing",BA103,IF(RIGHT($K103,2)=RIGHT(BW$40,2),SUM($AV103:BA103),0)+IF(RIGHT(BW$40,2)&gt;RIGHT($K103,2),BA103,0))</f>
        <v>0</v>
      </c>
      <c r="BX103" s="525">
        <f>+IF($K103="Ongoing",BB103,IF(RIGHT($K103,2)=RIGHT(BX$40,2),SUM($AV103:BB103),0)+IF(RIGHT(BX$40,2)&gt;RIGHT($K103,2),BB103,0))</f>
        <v>0</v>
      </c>
      <c r="BY103" s="525">
        <f>+IF($K103="Ongoing",BC103,IF(RIGHT($K103,2)=RIGHT(BY$40,2),SUM($AV103:BC103),0)+IF(RIGHT(BY$40,2)&gt;RIGHT($K103,2),BC103,0))</f>
        <v>0</v>
      </c>
      <c r="BZ103" s="525">
        <f>+IF($K103="Ongoing",BD103,IF(RIGHT($K103,2)=RIGHT(BZ$40,2),SUM($AV103:BD103),0)+IF(RIGHT(BZ$40,2)&gt;RIGHT($K103,2),BD103,0))</f>
        <v>0</v>
      </c>
      <c r="CA103" s="526">
        <f>+IF($K103="Ongoing",BE103,IF(RIGHT($K103,2)=RIGHT(CA$40,2),SUM($AV103:BE103),0)+IF(RIGHT(CA$40,2)&gt;RIGHT($K103,2),BE103,0))</f>
        <v>0</v>
      </c>
      <c r="CB103" s="467"/>
      <c r="CC103" s="524">
        <f>+O103*KeyAssumptionsPriceControl_FO!AF$15</f>
        <v>0</v>
      </c>
      <c r="CD103" s="525">
        <f>+P103*KeyAssumptionsPriceControl_FO!AG$15</f>
        <v>0</v>
      </c>
      <c r="CE103" s="525">
        <f>+Q103*KeyAssumptionsPriceControl_FO!AH$15</f>
        <v>0</v>
      </c>
      <c r="CF103" s="525">
        <f>+R103*KeyAssumptionsPriceControl_FO!AI$15</f>
        <v>0</v>
      </c>
      <c r="CG103" s="526">
        <f>+S103*KeyAssumptionsPriceControl_FO!AJ$15</f>
        <v>0</v>
      </c>
      <c r="CH103" s="524">
        <f>+T103*KeyAssumptionsPriceControl_FO!AK$15</f>
        <v>0</v>
      </c>
      <c r="CI103" s="525">
        <f>+U103*KeyAssumptionsPriceControl_FO!AL$15</f>
        <v>0</v>
      </c>
      <c r="CJ103" s="525">
        <f>+V103*KeyAssumptionsPriceControl_FO!AM$15</f>
        <v>0</v>
      </c>
      <c r="CK103" s="525">
        <f>+W103*KeyAssumptionsPriceControl_FO!AN$15</f>
        <v>0</v>
      </c>
      <c r="CL103" s="526">
        <f>+X103*KeyAssumptionsPriceControl_FO!AO$15</f>
        <v>0</v>
      </c>
      <c r="CM103" s="467"/>
      <c r="CN103" s="524">
        <f t="shared" ca="1" si="41"/>
        <v>0</v>
      </c>
      <c r="CO103" s="525">
        <f t="shared" ca="1" si="51"/>
        <v>0</v>
      </c>
      <c r="CP103" s="525">
        <f t="shared" ca="1" si="51"/>
        <v>0</v>
      </c>
      <c r="CQ103" s="525">
        <f t="shared" ca="1" si="51"/>
        <v>0</v>
      </c>
      <c r="CR103" s="526">
        <f t="shared" ca="1" si="51"/>
        <v>0</v>
      </c>
      <c r="CS103" s="524">
        <f t="shared" ca="1" si="51"/>
        <v>0</v>
      </c>
      <c r="CT103" s="525">
        <f t="shared" ca="1" si="51"/>
        <v>0</v>
      </c>
      <c r="CU103" s="525">
        <f t="shared" ca="1" si="51"/>
        <v>0</v>
      </c>
      <c r="CV103" s="525">
        <f t="shared" ca="1" si="49"/>
        <v>0</v>
      </c>
      <c r="CW103" s="526">
        <f t="shared" ca="1" si="49"/>
        <v>0</v>
      </c>
      <c r="CX103" s="467"/>
    </row>
    <row r="104" spans="2:102">
      <c r="B104" s="502"/>
      <c r="C104" s="1589" t="s">
        <v>1394</v>
      </c>
      <c r="D104" s="1590"/>
      <c r="E104" s="1591" t="s">
        <v>21</v>
      </c>
      <c r="F104" s="1591" t="s">
        <v>12</v>
      </c>
      <c r="G104" s="1589" t="s">
        <v>14</v>
      </c>
      <c r="H104" s="2226" t="s">
        <v>521</v>
      </c>
      <c r="I104" s="2227"/>
      <c r="J104" s="1592" t="s">
        <v>279</v>
      </c>
      <c r="K104" s="1593" t="s">
        <v>970</v>
      </c>
      <c r="L104" s="1593">
        <v>80</v>
      </c>
      <c r="M104" s="1593">
        <v>80</v>
      </c>
      <c r="N104" s="467"/>
      <c r="O104" s="551">
        <v>0</v>
      </c>
      <c r="P104" s="552">
        <v>0</v>
      </c>
      <c r="Q104" s="552">
        <v>0</v>
      </c>
      <c r="R104" s="552">
        <v>0</v>
      </c>
      <c r="S104" s="553">
        <v>0</v>
      </c>
      <c r="T104" s="551">
        <v>0</v>
      </c>
      <c r="U104" s="552">
        <v>0</v>
      </c>
      <c r="V104" s="552">
        <v>0</v>
      </c>
      <c r="W104" s="552">
        <v>0</v>
      </c>
      <c r="X104" s="553">
        <v>0</v>
      </c>
      <c r="Y104" s="547"/>
      <c r="Z104" s="551"/>
      <c r="AA104" s="552"/>
      <c r="AB104" s="552"/>
      <c r="AC104" s="552"/>
      <c r="AD104" s="553"/>
      <c r="AE104" s="551"/>
      <c r="AF104" s="552"/>
      <c r="AG104" s="552"/>
      <c r="AH104" s="552"/>
      <c r="AI104" s="553"/>
      <c r="AJ104" s="547"/>
      <c r="AK104" s="551"/>
      <c r="AL104" s="552"/>
      <c r="AM104" s="552"/>
      <c r="AN104" s="552"/>
      <c r="AO104" s="553"/>
      <c r="AP104" s="551"/>
      <c r="AQ104" s="552"/>
      <c r="AR104" s="552"/>
      <c r="AS104" s="552"/>
      <c r="AT104" s="553"/>
      <c r="AU104" s="467"/>
      <c r="AV104" s="524">
        <f t="shared" si="47"/>
        <v>0</v>
      </c>
      <c r="AW104" s="525">
        <f t="shared" si="46"/>
        <v>0</v>
      </c>
      <c r="AX104" s="525">
        <f t="shared" si="46"/>
        <v>0</v>
      </c>
      <c r="AY104" s="525">
        <f t="shared" si="46"/>
        <v>0</v>
      </c>
      <c r="AZ104" s="526">
        <f t="shared" si="46"/>
        <v>0</v>
      </c>
      <c r="BA104" s="524">
        <f t="shared" si="46"/>
        <v>0</v>
      </c>
      <c r="BB104" s="525">
        <f t="shared" si="46"/>
        <v>0</v>
      </c>
      <c r="BC104" s="525">
        <f t="shared" si="46"/>
        <v>0</v>
      </c>
      <c r="BD104" s="525">
        <f t="shared" si="46"/>
        <v>0</v>
      </c>
      <c r="BE104" s="526">
        <f t="shared" si="46"/>
        <v>0</v>
      </c>
      <c r="BF104" s="467"/>
      <c r="BG104" s="524">
        <f t="shared" ca="1" si="39"/>
        <v>0</v>
      </c>
      <c r="BH104" s="525">
        <f t="shared" ca="1" si="50"/>
        <v>0</v>
      </c>
      <c r="BI104" s="525">
        <f t="shared" ca="1" si="50"/>
        <v>0</v>
      </c>
      <c r="BJ104" s="525">
        <f t="shared" ca="1" si="50"/>
        <v>0</v>
      </c>
      <c r="BK104" s="526">
        <f t="shared" ca="1" si="50"/>
        <v>0</v>
      </c>
      <c r="BL104" s="524">
        <f t="shared" ca="1" si="50"/>
        <v>0</v>
      </c>
      <c r="BM104" s="525">
        <f t="shared" ca="1" si="50"/>
        <v>0</v>
      </c>
      <c r="BN104" s="525">
        <f t="shared" ca="1" si="50"/>
        <v>0</v>
      </c>
      <c r="BO104" s="525">
        <f t="shared" ca="1" si="48"/>
        <v>0</v>
      </c>
      <c r="BP104" s="526">
        <f t="shared" ca="1" si="48"/>
        <v>0</v>
      </c>
      <c r="BQ104" s="467"/>
      <c r="BR104" s="524">
        <f>+IF($K104="Ongoing",AV104,IF(RIGHT($K104,2)=RIGHT(BR$40,2),SUM($AV104:AV104),0)+IF(RIGHT(BR$40,2)&gt;RIGHT($K104,2),AV104,0))</f>
        <v>0</v>
      </c>
      <c r="BS104" s="525">
        <f>+IF($K104="Ongoing",AW104,IF(RIGHT($K104,2)=RIGHT(BS$40,2),SUM($AV104:AW104),0)+IF(RIGHT(BS$40,2)&gt;RIGHT($K104,2),AW104,0))</f>
        <v>0</v>
      </c>
      <c r="BT104" s="525">
        <f>+IF($K104="Ongoing",AX104,IF(RIGHT($K104,2)=RIGHT(BT$40,2),SUM($AV104:AX104),0)+IF(RIGHT(BT$40,2)&gt;RIGHT($K104,2),AX104,0))</f>
        <v>0</v>
      </c>
      <c r="BU104" s="525">
        <f>+IF($K104="Ongoing",AY104,IF(RIGHT($K104,2)=RIGHT(BU$40,2),SUM($AV104:AY104),0)+IF(RIGHT(BU$40,2)&gt;RIGHT($K104,2),AY104,0))</f>
        <v>0</v>
      </c>
      <c r="BV104" s="526">
        <f>+IF($K104="Ongoing",AZ104,IF(RIGHT($K104,2)=RIGHT(BV$40,2),SUM($AV104:AZ104),0)+IF(RIGHT(BV$40,2)&gt;RIGHT($K104,2),AZ104,0))</f>
        <v>0</v>
      </c>
      <c r="BW104" s="524">
        <f>+IF($K104="Ongoing",BA104,IF(RIGHT($K104,2)=RIGHT(BW$40,2),SUM($AV104:BA104),0)+IF(RIGHT(BW$40,2)&gt;RIGHT($K104,2),BA104,0))</f>
        <v>0</v>
      </c>
      <c r="BX104" s="525">
        <f>+IF($K104="Ongoing",BB104,IF(RIGHT($K104,2)=RIGHT(BX$40,2),SUM($AV104:BB104),0)+IF(RIGHT(BX$40,2)&gt;RIGHT($K104,2),BB104,0))</f>
        <v>0</v>
      </c>
      <c r="BY104" s="525">
        <f>+IF($K104="Ongoing",BC104,IF(RIGHT($K104,2)=RIGHT(BY$40,2),SUM($AV104:BC104),0)+IF(RIGHT(BY$40,2)&gt;RIGHT($K104,2),BC104,0))</f>
        <v>0</v>
      </c>
      <c r="BZ104" s="525">
        <f>+IF($K104="Ongoing",BD104,IF(RIGHT($K104,2)=RIGHT(BZ$40,2),SUM($AV104:BD104),0)+IF(RIGHT(BZ$40,2)&gt;RIGHT($K104,2),BD104,0))</f>
        <v>0</v>
      </c>
      <c r="CA104" s="526">
        <f>+IF($K104="Ongoing",BE104,IF(RIGHT($K104,2)=RIGHT(CA$40,2),SUM($AV104:BE104),0)+IF(RIGHT(CA$40,2)&gt;RIGHT($K104,2),BE104,0))</f>
        <v>0</v>
      </c>
      <c r="CB104" s="467"/>
      <c r="CC104" s="524">
        <f>+O104*KeyAssumptionsPriceControl_FO!AF$15</f>
        <v>0</v>
      </c>
      <c r="CD104" s="525">
        <f>+P104*KeyAssumptionsPriceControl_FO!AG$15</f>
        <v>0</v>
      </c>
      <c r="CE104" s="525">
        <f>+Q104*KeyAssumptionsPriceControl_FO!AH$15</f>
        <v>0</v>
      </c>
      <c r="CF104" s="525">
        <f>+R104*KeyAssumptionsPriceControl_FO!AI$15</f>
        <v>0</v>
      </c>
      <c r="CG104" s="526">
        <f>+S104*KeyAssumptionsPriceControl_FO!AJ$15</f>
        <v>0</v>
      </c>
      <c r="CH104" s="524">
        <f>+T104*KeyAssumptionsPriceControl_FO!AK$15</f>
        <v>0</v>
      </c>
      <c r="CI104" s="525">
        <f>+U104*KeyAssumptionsPriceControl_FO!AL$15</f>
        <v>0</v>
      </c>
      <c r="CJ104" s="525">
        <f>+V104*KeyAssumptionsPriceControl_FO!AM$15</f>
        <v>0</v>
      </c>
      <c r="CK104" s="525">
        <f>+W104*KeyAssumptionsPriceControl_FO!AN$15</f>
        <v>0</v>
      </c>
      <c r="CL104" s="526">
        <f>+X104*KeyAssumptionsPriceControl_FO!AO$15</f>
        <v>0</v>
      </c>
      <c r="CM104" s="467"/>
      <c r="CN104" s="524">
        <f t="shared" ca="1" si="41"/>
        <v>0</v>
      </c>
      <c r="CO104" s="525">
        <f t="shared" ca="1" si="51"/>
        <v>0</v>
      </c>
      <c r="CP104" s="525">
        <f t="shared" ca="1" si="51"/>
        <v>0</v>
      </c>
      <c r="CQ104" s="525">
        <f t="shared" ca="1" si="51"/>
        <v>0</v>
      </c>
      <c r="CR104" s="526">
        <f t="shared" ca="1" si="51"/>
        <v>0</v>
      </c>
      <c r="CS104" s="524">
        <f t="shared" ca="1" si="51"/>
        <v>0</v>
      </c>
      <c r="CT104" s="525">
        <f t="shared" ca="1" si="51"/>
        <v>0</v>
      </c>
      <c r="CU104" s="525">
        <f t="shared" ca="1" si="51"/>
        <v>0</v>
      </c>
      <c r="CV104" s="525">
        <f t="shared" ca="1" si="49"/>
        <v>0</v>
      </c>
      <c r="CW104" s="526">
        <f t="shared" ca="1" si="49"/>
        <v>0</v>
      </c>
      <c r="CX104" s="467"/>
    </row>
    <row r="105" spans="2:102">
      <c r="B105" s="502"/>
      <c r="C105" s="1589" t="s">
        <v>1395</v>
      </c>
      <c r="D105" s="1590"/>
      <c r="E105" s="1591" t="s">
        <v>20</v>
      </c>
      <c r="F105" s="1591" t="s">
        <v>516</v>
      </c>
      <c r="G105" s="1589" t="s">
        <v>13</v>
      </c>
      <c r="H105" s="2226" t="s">
        <v>521</v>
      </c>
      <c r="I105" s="2227"/>
      <c r="J105" s="1592" t="s">
        <v>279</v>
      </c>
      <c r="K105" s="1593" t="s">
        <v>970</v>
      </c>
      <c r="L105" s="1593">
        <v>50</v>
      </c>
      <c r="M105" s="1593">
        <v>50</v>
      </c>
      <c r="N105" s="467"/>
      <c r="O105" s="551">
        <v>0</v>
      </c>
      <c r="P105" s="552">
        <v>0</v>
      </c>
      <c r="Q105" s="552">
        <v>0</v>
      </c>
      <c r="R105" s="552">
        <v>0</v>
      </c>
      <c r="S105" s="553">
        <v>0</v>
      </c>
      <c r="T105" s="551">
        <v>0</v>
      </c>
      <c r="U105" s="552">
        <v>0</v>
      </c>
      <c r="V105" s="552">
        <v>0</v>
      </c>
      <c r="W105" s="552">
        <v>0</v>
      </c>
      <c r="X105" s="553">
        <v>0</v>
      </c>
      <c r="Y105" s="547"/>
      <c r="Z105" s="551"/>
      <c r="AA105" s="552"/>
      <c r="AB105" s="552"/>
      <c r="AC105" s="552"/>
      <c r="AD105" s="553"/>
      <c r="AE105" s="551"/>
      <c r="AF105" s="552"/>
      <c r="AG105" s="552"/>
      <c r="AH105" s="552"/>
      <c r="AI105" s="553"/>
      <c r="AJ105" s="547"/>
      <c r="AK105" s="551"/>
      <c r="AL105" s="552"/>
      <c r="AM105" s="552"/>
      <c r="AN105" s="552"/>
      <c r="AO105" s="553"/>
      <c r="AP105" s="551"/>
      <c r="AQ105" s="552"/>
      <c r="AR105" s="552"/>
      <c r="AS105" s="552"/>
      <c r="AT105" s="553"/>
      <c r="AU105" s="467"/>
      <c r="AV105" s="524">
        <f t="shared" si="47"/>
        <v>0</v>
      </c>
      <c r="AW105" s="525">
        <f t="shared" si="46"/>
        <v>0</v>
      </c>
      <c r="AX105" s="525">
        <f t="shared" si="46"/>
        <v>0</v>
      </c>
      <c r="AY105" s="525">
        <f t="shared" si="46"/>
        <v>0</v>
      </c>
      <c r="AZ105" s="526">
        <f t="shared" si="46"/>
        <v>0</v>
      </c>
      <c r="BA105" s="524">
        <f t="shared" si="46"/>
        <v>0</v>
      </c>
      <c r="BB105" s="525">
        <f t="shared" si="46"/>
        <v>0</v>
      </c>
      <c r="BC105" s="525">
        <f t="shared" si="46"/>
        <v>0</v>
      </c>
      <c r="BD105" s="525">
        <f t="shared" si="46"/>
        <v>0</v>
      </c>
      <c r="BE105" s="526">
        <f t="shared" si="46"/>
        <v>0</v>
      </c>
      <c r="BF105" s="467"/>
      <c r="BG105" s="524">
        <f t="shared" ca="1" si="39"/>
        <v>0</v>
      </c>
      <c r="BH105" s="525">
        <f t="shared" ca="1" si="50"/>
        <v>0</v>
      </c>
      <c r="BI105" s="525">
        <f t="shared" ca="1" si="50"/>
        <v>0</v>
      </c>
      <c r="BJ105" s="525">
        <f t="shared" ca="1" si="50"/>
        <v>0</v>
      </c>
      <c r="BK105" s="526">
        <f t="shared" ca="1" si="50"/>
        <v>0</v>
      </c>
      <c r="BL105" s="524">
        <f t="shared" ca="1" si="50"/>
        <v>0</v>
      </c>
      <c r="BM105" s="525">
        <f t="shared" ca="1" si="50"/>
        <v>0</v>
      </c>
      <c r="BN105" s="525">
        <f t="shared" ca="1" si="50"/>
        <v>0</v>
      </c>
      <c r="BO105" s="525">
        <f t="shared" ca="1" si="48"/>
        <v>0</v>
      </c>
      <c r="BP105" s="526">
        <f t="shared" ca="1" si="48"/>
        <v>0</v>
      </c>
      <c r="BQ105" s="467"/>
      <c r="BR105" s="524">
        <f>+IF($K105="Ongoing",AV105,IF(RIGHT($K105,2)=RIGHT(BR$40,2),SUM($AV105:AV105),0)+IF(RIGHT(BR$40,2)&gt;RIGHT($K105,2),AV105,0))</f>
        <v>0</v>
      </c>
      <c r="BS105" s="525">
        <f>+IF($K105="Ongoing",AW105,IF(RIGHT($K105,2)=RIGHT(BS$40,2),SUM($AV105:AW105),0)+IF(RIGHT(BS$40,2)&gt;RIGHT($K105,2),AW105,0))</f>
        <v>0</v>
      </c>
      <c r="BT105" s="525">
        <f>+IF($K105="Ongoing",AX105,IF(RIGHT($K105,2)=RIGHT(BT$40,2),SUM($AV105:AX105),0)+IF(RIGHT(BT$40,2)&gt;RIGHT($K105,2),AX105,0))</f>
        <v>0</v>
      </c>
      <c r="BU105" s="525">
        <f>+IF($K105="Ongoing",AY105,IF(RIGHT($K105,2)=RIGHT(BU$40,2),SUM($AV105:AY105),0)+IF(RIGHT(BU$40,2)&gt;RIGHT($K105,2),AY105,0))</f>
        <v>0</v>
      </c>
      <c r="BV105" s="526">
        <f>+IF($K105="Ongoing",AZ105,IF(RIGHT($K105,2)=RIGHT(BV$40,2),SUM($AV105:AZ105),0)+IF(RIGHT(BV$40,2)&gt;RIGHT($K105,2),AZ105,0))</f>
        <v>0</v>
      </c>
      <c r="BW105" s="524">
        <f>+IF($K105="Ongoing",BA105,IF(RIGHT($K105,2)=RIGHT(BW$40,2),SUM($AV105:BA105),0)+IF(RIGHT(BW$40,2)&gt;RIGHT($K105,2),BA105,0))</f>
        <v>0</v>
      </c>
      <c r="BX105" s="525">
        <f>+IF($K105="Ongoing",BB105,IF(RIGHT($K105,2)=RIGHT(BX$40,2),SUM($AV105:BB105),0)+IF(RIGHT(BX$40,2)&gt;RIGHT($K105,2),BB105,0))</f>
        <v>0</v>
      </c>
      <c r="BY105" s="525">
        <f>+IF($K105="Ongoing",BC105,IF(RIGHT($K105,2)=RIGHT(BY$40,2),SUM($AV105:BC105),0)+IF(RIGHT(BY$40,2)&gt;RIGHT($K105,2),BC105,0))</f>
        <v>0</v>
      </c>
      <c r="BZ105" s="525">
        <f>+IF($K105="Ongoing",BD105,IF(RIGHT($K105,2)=RIGHT(BZ$40,2),SUM($AV105:BD105),0)+IF(RIGHT(BZ$40,2)&gt;RIGHT($K105,2),BD105,0))</f>
        <v>0</v>
      </c>
      <c r="CA105" s="526">
        <f>+IF($K105="Ongoing",BE105,IF(RIGHT($K105,2)=RIGHT(CA$40,2),SUM($AV105:BE105),0)+IF(RIGHT(CA$40,2)&gt;RIGHT($K105,2),BE105,0))</f>
        <v>0</v>
      </c>
      <c r="CB105" s="467"/>
      <c r="CC105" s="524">
        <f>+O105*KeyAssumptionsPriceControl_FO!AF$15</f>
        <v>0</v>
      </c>
      <c r="CD105" s="525">
        <f>+P105*KeyAssumptionsPriceControl_FO!AG$15</f>
        <v>0</v>
      </c>
      <c r="CE105" s="525">
        <f>+Q105*KeyAssumptionsPriceControl_FO!AH$15</f>
        <v>0</v>
      </c>
      <c r="CF105" s="525">
        <f>+R105*KeyAssumptionsPriceControl_FO!AI$15</f>
        <v>0</v>
      </c>
      <c r="CG105" s="526">
        <f>+S105*KeyAssumptionsPriceControl_FO!AJ$15</f>
        <v>0</v>
      </c>
      <c r="CH105" s="524">
        <f>+T105*KeyAssumptionsPriceControl_FO!AK$15</f>
        <v>0</v>
      </c>
      <c r="CI105" s="525">
        <f>+U105*KeyAssumptionsPriceControl_FO!AL$15</f>
        <v>0</v>
      </c>
      <c r="CJ105" s="525">
        <f>+V105*KeyAssumptionsPriceControl_FO!AM$15</f>
        <v>0</v>
      </c>
      <c r="CK105" s="525">
        <f>+W105*KeyAssumptionsPriceControl_FO!AN$15</f>
        <v>0</v>
      </c>
      <c r="CL105" s="526">
        <f>+X105*KeyAssumptionsPriceControl_FO!AO$15</f>
        <v>0</v>
      </c>
      <c r="CM105" s="467"/>
      <c r="CN105" s="524">
        <f t="shared" ca="1" si="41"/>
        <v>0</v>
      </c>
      <c r="CO105" s="525">
        <f t="shared" ca="1" si="51"/>
        <v>0</v>
      </c>
      <c r="CP105" s="525">
        <f t="shared" ca="1" si="51"/>
        <v>0</v>
      </c>
      <c r="CQ105" s="525">
        <f t="shared" ca="1" si="51"/>
        <v>0</v>
      </c>
      <c r="CR105" s="526">
        <f t="shared" ca="1" si="51"/>
        <v>0</v>
      </c>
      <c r="CS105" s="524">
        <f t="shared" ca="1" si="51"/>
        <v>0</v>
      </c>
      <c r="CT105" s="525">
        <f t="shared" ca="1" si="51"/>
        <v>0</v>
      </c>
      <c r="CU105" s="525">
        <f t="shared" ca="1" si="51"/>
        <v>0</v>
      </c>
      <c r="CV105" s="525">
        <f t="shared" ca="1" si="49"/>
        <v>0</v>
      </c>
      <c r="CW105" s="526">
        <f t="shared" ca="1" si="49"/>
        <v>0</v>
      </c>
      <c r="CX105" s="467"/>
    </row>
    <row r="106" spans="2:102">
      <c r="B106" s="502"/>
      <c r="C106" s="1589" t="s">
        <v>1396</v>
      </c>
      <c r="D106" s="1590"/>
      <c r="E106" s="1591" t="s">
        <v>20</v>
      </c>
      <c r="F106" s="1591" t="s">
        <v>12</v>
      </c>
      <c r="G106" s="1589" t="s">
        <v>14</v>
      </c>
      <c r="H106" s="2226" t="s">
        <v>521</v>
      </c>
      <c r="I106" s="2227"/>
      <c r="J106" s="1592" t="s">
        <v>279</v>
      </c>
      <c r="K106" s="1593" t="s">
        <v>970</v>
      </c>
      <c r="L106" s="1593">
        <v>80</v>
      </c>
      <c r="M106" s="1593">
        <v>80</v>
      </c>
      <c r="N106" s="467"/>
      <c r="O106" s="551">
        <v>0</v>
      </c>
      <c r="P106" s="552">
        <v>0</v>
      </c>
      <c r="Q106" s="552">
        <v>0</v>
      </c>
      <c r="R106" s="552">
        <v>0</v>
      </c>
      <c r="S106" s="553">
        <v>0</v>
      </c>
      <c r="T106" s="551">
        <v>0</v>
      </c>
      <c r="U106" s="552">
        <v>0</v>
      </c>
      <c r="V106" s="552">
        <v>0</v>
      </c>
      <c r="W106" s="552">
        <v>0</v>
      </c>
      <c r="X106" s="553">
        <v>0</v>
      </c>
      <c r="Y106" s="547"/>
      <c r="Z106" s="551"/>
      <c r="AA106" s="552"/>
      <c r="AB106" s="552"/>
      <c r="AC106" s="552"/>
      <c r="AD106" s="553"/>
      <c r="AE106" s="551"/>
      <c r="AF106" s="552"/>
      <c r="AG106" s="552"/>
      <c r="AH106" s="552"/>
      <c r="AI106" s="553"/>
      <c r="AJ106" s="547"/>
      <c r="AK106" s="551"/>
      <c r="AL106" s="552"/>
      <c r="AM106" s="552"/>
      <c r="AN106" s="552"/>
      <c r="AO106" s="553"/>
      <c r="AP106" s="551"/>
      <c r="AQ106" s="552"/>
      <c r="AR106" s="552"/>
      <c r="AS106" s="552"/>
      <c r="AT106" s="553"/>
      <c r="AU106" s="467"/>
      <c r="AV106" s="524">
        <f t="shared" si="47"/>
        <v>0</v>
      </c>
      <c r="AW106" s="525">
        <f t="shared" si="46"/>
        <v>0</v>
      </c>
      <c r="AX106" s="525">
        <f t="shared" si="46"/>
        <v>0</v>
      </c>
      <c r="AY106" s="525">
        <f t="shared" si="46"/>
        <v>0</v>
      </c>
      <c r="AZ106" s="526">
        <f t="shared" si="46"/>
        <v>0</v>
      </c>
      <c r="BA106" s="524">
        <f t="shared" si="46"/>
        <v>0</v>
      </c>
      <c r="BB106" s="525">
        <f t="shared" si="46"/>
        <v>0</v>
      </c>
      <c r="BC106" s="525">
        <f t="shared" si="46"/>
        <v>0</v>
      </c>
      <c r="BD106" s="525">
        <f t="shared" si="46"/>
        <v>0</v>
      </c>
      <c r="BE106" s="526">
        <f t="shared" si="46"/>
        <v>0</v>
      </c>
      <c r="BF106" s="467"/>
      <c r="BG106" s="524">
        <f t="shared" ca="1" si="39"/>
        <v>0</v>
      </c>
      <c r="BH106" s="525">
        <f t="shared" ca="1" si="50"/>
        <v>0</v>
      </c>
      <c r="BI106" s="525">
        <f t="shared" ca="1" si="50"/>
        <v>0</v>
      </c>
      <c r="BJ106" s="525">
        <f t="shared" ca="1" si="50"/>
        <v>0</v>
      </c>
      <c r="BK106" s="526">
        <f t="shared" ca="1" si="50"/>
        <v>0</v>
      </c>
      <c r="BL106" s="524">
        <f t="shared" ca="1" si="50"/>
        <v>0</v>
      </c>
      <c r="BM106" s="525">
        <f t="shared" ca="1" si="50"/>
        <v>0</v>
      </c>
      <c r="BN106" s="525">
        <f t="shared" ca="1" si="50"/>
        <v>0</v>
      </c>
      <c r="BO106" s="525">
        <f t="shared" ca="1" si="48"/>
        <v>0</v>
      </c>
      <c r="BP106" s="526">
        <f t="shared" ca="1" si="48"/>
        <v>0</v>
      </c>
      <c r="BQ106" s="467"/>
      <c r="BR106" s="524">
        <f>+IF($K106="Ongoing",AV106,IF(RIGHT($K106,2)=RIGHT(BR$40,2),SUM($AV106:AV106),0)+IF(RIGHT(BR$40,2)&gt;RIGHT($K106,2),AV106,0))</f>
        <v>0</v>
      </c>
      <c r="BS106" s="525">
        <f>+IF($K106="Ongoing",AW106,IF(RIGHT($K106,2)=RIGHT(BS$40,2),SUM($AV106:AW106),0)+IF(RIGHT(BS$40,2)&gt;RIGHT($K106,2),AW106,0))</f>
        <v>0</v>
      </c>
      <c r="BT106" s="525">
        <f>+IF($K106="Ongoing",AX106,IF(RIGHT($K106,2)=RIGHT(BT$40,2),SUM($AV106:AX106),0)+IF(RIGHT(BT$40,2)&gt;RIGHT($K106,2),AX106,0))</f>
        <v>0</v>
      </c>
      <c r="BU106" s="525">
        <f>+IF($K106="Ongoing",AY106,IF(RIGHT($K106,2)=RIGHT(BU$40,2),SUM($AV106:AY106),0)+IF(RIGHT(BU$40,2)&gt;RIGHT($K106,2),AY106,0))</f>
        <v>0</v>
      </c>
      <c r="BV106" s="526">
        <f>+IF($K106="Ongoing",AZ106,IF(RIGHT($K106,2)=RIGHT(BV$40,2),SUM($AV106:AZ106),0)+IF(RIGHT(BV$40,2)&gt;RIGHT($K106,2),AZ106,0))</f>
        <v>0</v>
      </c>
      <c r="BW106" s="524">
        <f>+IF($K106="Ongoing",BA106,IF(RIGHT($K106,2)=RIGHT(BW$40,2),SUM($AV106:BA106),0)+IF(RIGHT(BW$40,2)&gt;RIGHT($K106,2),BA106,0))</f>
        <v>0</v>
      </c>
      <c r="BX106" s="525">
        <f>+IF($K106="Ongoing",BB106,IF(RIGHT($K106,2)=RIGHT(BX$40,2),SUM($AV106:BB106),0)+IF(RIGHT(BX$40,2)&gt;RIGHT($K106,2),BB106,0))</f>
        <v>0</v>
      </c>
      <c r="BY106" s="525">
        <f>+IF($K106="Ongoing",BC106,IF(RIGHT($K106,2)=RIGHT(BY$40,2),SUM($AV106:BC106),0)+IF(RIGHT(BY$40,2)&gt;RIGHT($K106,2),BC106,0))</f>
        <v>0</v>
      </c>
      <c r="BZ106" s="525">
        <f>+IF($K106="Ongoing",BD106,IF(RIGHT($K106,2)=RIGHT(BZ$40,2),SUM($AV106:BD106),0)+IF(RIGHT(BZ$40,2)&gt;RIGHT($K106,2),BD106,0))</f>
        <v>0</v>
      </c>
      <c r="CA106" s="526">
        <f>+IF($K106="Ongoing",BE106,IF(RIGHT($K106,2)=RIGHT(CA$40,2),SUM($AV106:BE106),0)+IF(RIGHT(CA$40,2)&gt;RIGHT($K106,2),BE106,0))</f>
        <v>0</v>
      </c>
      <c r="CB106" s="467"/>
      <c r="CC106" s="524">
        <f>+O106*KeyAssumptionsPriceControl_FO!AF$15</f>
        <v>0</v>
      </c>
      <c r="CD106" s="525">
        <f>+P106*KeyAssumptionsPriceControl_FO!AG$15</f>
        <v>0</v>
      </c>
      <c r="CE106" s="525">
        <f>+Q106*KeyAssumptionsPriceControl_FO!AH$15</f>
        <v>0</v>
      </c>
      <c r="CF106" s="525">
        <f>+R106*KeyAssumptionsPriceControl_FO!AI$15</f>
        <v>0</v>
      </c>
      <c r="CG106" s="526">
        <f>+S106*KeyAssumptionsPriceControl_FO!AJ$15</f>
        <v>0</v>
      </c>
      <c r="CH106" s="524">
        <f>+T106*KeyAssumptionsPriceControl_FO!AK$15</f>
        <v>0</v>
      </c>
      <c r="CI106" s="525">
        <f>+U106*KeyAssumptionsPriceControl_FO!AL$15</f>
        <v>0</v>
      </c>
      <c r="CJ106" s="525">
        <f>+V106*KeyAssumptionsPriceControl_FO!AM$15</f>
        <v>0</v>
      </c>
      <c r="CK106" s="525">
        <f>+W106*KeyAssumptionsPriceControl_FO!AN$15</f>
        <v>0</v>
      </c>
      <c r="CL106" s="526">
        <f>+X106*KeyAssumptionsPriceControl_FO!AO$15</f>
        <v>0</v>
      </c>
      <c r="CM106" s="467"/>
      <c r="CN106" s="524">
        <f t="shared" ca="1" si="41"/>
        <v>0</v>
      </c>
      <c r="CO106" s="525">
        <f t="shared" ca="1" si="51"/>
        <v>0</v>
      </c>
      <c r="CP106" s="525">
        <f t="shared" ca="1" si="51"/>
        <v>0</v>
      </c>
      <c r="CQ106" s="525">
        <f t="shared" ca="1" si="51"/>
        <v>0</v>
      </c>
      <c r="CR106" s="526">
        <f t="shared" ca="1" si="51"/>
        <v>0</v>
      </c>
      <c r="CS106" s="524">
        <f t="shared" ca="1" si="51"/>
        <v>0</v>
      </c>
      <c r="CT106" s="525">
        <f t="shared" ca="1" si="51"/>
        <v>0</v>
      </c>
      <c r="CU106" s="525">
        <f t="shared" ca="1" si="51"/>
        <v>0</v>
      </c>
      <c r="CV106" s="525">
        <f t="shared" ca="1" si="49"/>
        <v>0</v>
      </c>
      <c r="CW106" s="526">
        <f t="shared" ca="1" si="49"/>
        <v>0</v>
      </c>
      <c r="CX106" s="467"/>
    </row>
    <row r="107" spans="2:102">
      <c r="B107" s="502"/>
      <c r="C107" s="1589" t="s">
        <v>1397</v>
      </c>
      <c r="D107" s="1590"/>
      <c r="E107" s="1591" t="s">
        <v>20</v>
      </c>
      <c r="F107" s="1591" t="s">
        <v>516</v>
      </c>
      <c r="G107" s="1589" t="s">
        <v>13</v>
      </c>
      <c r="H107" s="2226" t="s">
        <v>521</v>
      </c>
      <c r="I107" s="2227"/>
      <c r="J107" s="1592" t="s">
        <v>279</v>
      </c>
      <c r="K107" s="1593" t="s">
        <v>970</v>
      </c>
      <c r="L107" s="1593">
        <v>50</v>
      </c>
      <c r="M107" s="1593">
        <v>50</v>
      </c>
      <c r="N107" s="467"/>
      <c r="O107" s="551">
        <v>0</v>
      </c>
      <c r="P107" s="552">
        <v>0</v>
      </c>
      <c r="Q107" s="552">
        <v>0</v>
      </c>
      <c r="R107" s="552">
        <v>0</v>
      </c>
      <c r="S107" s="553">
        <v>0</v>
      </c>
      <c r="T107" s="551">
        <v>0</v>
      </c>
      <c r="U107" s="552">
        <v>0</v>
      </c>
      <c r="V107" s="552">
        <v>0</v>
      </c>
      <c r="W107" s="552">
        <v>0</v>
      </c>
      <c r="X107" s="553">
        <v>0</v>
      </c>
      <c r="Y107" s="547"/>
      <c r="Z107" s="551"/>
      <c r="AA107" s="552"/>
      <c r="AB107" s="552"/>
      <c r="AC107" s="552"/>
      <c r="AD107" s="553"/>
      <c r="AE107" s="551"/>
      <c r="AF107" s="552"/>
      <c r="AG107" s="552"/>
      <c r="AH107" s="552"/>
      <c r="AI107" s="553"/>
      <c r="AJ107" s="547"/>
      <c r="AK107" s="551"/>
      <c r="AL107" s="552"/>
      <c r="AM107" s="552"/>
      <c r="AN107" s="552"/>
      <c r="AO107" s="553"/>
      <c r="AP107" s="551"/>
      <c r="AQ107" s="552"/>
      <c r="AR107" s="552"/>
      <c r="AS107" s="552"/>
      <c r="AT107" s="553"/>
      <c r="AU107" s="467"/>
      <c r="AV107" s="524">
        <f t="shared" si="47"/>
        <v>0</v>
      </c>
      <c r="AW107" s="525">
        <f t="shared" si="46"/>
        <v>0</v>
      </c>
      <c r="AX107" s="525">
        <f t="shared" si="46"/>
        <v>0</v>
      </c>
      <c r="AY107" s="525">
        <f t="shared" si="46"/>
        <v>0</v>
      </c>
      <c r="AZ107" s="526">
        <f t="shared" si="46"/>
        <v>0</v>
      </c>
      <c r="BA107" s="524">
        <f t="shared" si="46"/>
        <v>0</v>
      </c>
      <c r="BB107" s="525">
        <f t="shared" si="46"/>
        <v>0</v>
      </c>
      <c r="BC107" s="525">
        <f t="shared" si="46"/>
        <v>0</v>
      </c>
      <c r="BD107" s="525">
        <f t="shared" si="46"/>
        <v>0</v>
      </c>
      <c r="BE107" s="526">
        <f t="shared" si="46"/>
        <v>0</v>
      </c>
      <c r="BF107" s="467"/>
      <c r="BG107" s="524">
        <f t="shared" ca="1" si="39"/>
        <v>0</v>
      </c>
      <c r="BH107" s="525">
        <f t="shared" ca="1" si="50"/>
        <v>0</v>
      </c>
      <c r="BI107" s="525">
        <f t="shared" ca="1" si="50"/>
        <v>0</v>
      </c>
      <c r="BJ107" s="525">
        <f t="shared" ca="1" si="50"/>
        <v>0</v>
      </c>
      <c r="BK107" s="526">
        <f t="shared" ca="1" si="50"/>
        <v>0</v>
      </c>
      <c r="BL107" s="524">
        <f t="shared" ca="1" si="50"/>
        <v>0</v>
      </c>
      <c r="BM107" s="525">
        <f t="shared" ca="1" si="50"/>
        <v>0</v>
      </c>
      <c r="BN107" s="525">
        <f t="shared" ca="1" si="50"/>
        <v>0</v>
      </c>
      <c r="BO107" s="525">
        <f t="shared" ca="1" si="48"/>
        <v>0</v>
      </c>
      <c r="BP107" s="526">
        <f t="shared" ca="1" si="48"/>
        <v>0</v>
      </c>
      <c r="BQ107" s="467"/>
      <c r="BR107" s="524">
        <f>+IF($K107="Ongoing",AV107,IF(RIGHT($K107,2)=RIGHT(BR$40,2),SUM($AV107:AV107),0)+IF(RIGHT(BR$40,2)&gt;RIGHT($K107,2),AV107,0))</f>
        <v>0</v>
      </c>
      <c r="BS107" s="525">
        <f>+IF($K107="Ongoing",AW107,IF(RIGHT($K107,2)=RIGHT(BS$40,2),SUM($AV107:AW107),0)+IF(RIGHT(BS$40,2)&gt;RIGHT($K107,2),AW107,0))</f>
        <v>0</v>
      </c>
      <c r="BT107" s="525">
        <f>+IF($K107="Ongoing",AX107,IF(RIGHT($K107,2)=RIGHT(BT$40,2),SUM($AV107:AX107),0)+IF(RIGHT(BT$40,2)&gt;RIGHT($K107,2),AX107,0))</f>
        <v>0</v>
      </c>
      <c r="BU107" s="525">
        <f>+IF($K107="Ongoing",AY107,IF(RIGHT($K107,2)=RIGHT(BU$40,2),SUM($AV107:AY107),0)+IF(RIGHT(BU$40,2)&gt;RIGHT($K107,2),AY107,0))</f>
        <v>0</v>
      </c>
      <c r="BV107" s="526">
        <f>+IF($K107="Ongoing",AZ107,IF(RIGHT($K107,2)=RIGHT(BV$40,2),SUM($AV107:AZ107),0)+IF(RIGHT(BV$40,2)&gt;RIGHT($K107,2),AZ107,0))</f>
        <v>0</v>
      </c>
      <c r="BW107" s="524">
        <f>+IF($K107="Ongoing",BA107,IF(RIGHT($K107,2)=RIGHT(BW$40,2),SUM($AV107:BA107),0)+IF(RIGHT(BW$40,2)&gt;RIGHT($K107,2),BA107,0))</f>
        <v>0</v>
      </c>
      <c r="BX107" s="525">
        <f>+IF($K107="Ongoing",BB107,IF(RIGHT($K107,2)=RIGHT(BX$40,2),SUM($AV107:BB107),0)+IF(RIGHT(BX$40,2)&gt;RIGHT($K107,2),BB107,0))</f>
        <v>0</v>
      </c>
      <c r="BY107" s="525">
        <f>+IF($K107="Ongoing",BC107,IF(RIGHT($K107,2)=RIGHT(BY$40,2),SUM($AV107:BC107),0)+IF(RIGHT(BY$40,2)&gt;RIGHT($K107,2),BC107,0))</f>
        <v>0</v>
      </c>
      <c r="BZ107" s="525">
        <f>+IF($K107="Ongoing",BD107,IF(RIGHT($K107,2)=RIGHT(BZ$40,2),SUM($AV107:BD107),0)+IF(RIGHT(BZ$40,2)&gt;RIGHT($K107,2),BD107,0))</f>
        <v>0</v>
      </c>
      <c r="CA107" s="526">
        <f>+IF($K107="Ongoing",BE107,IF(RIGHT($K107,2)=RIGHT(CA$40,2),SUM($AV107:BE107),0)+IF(RIGHT(CA$40,2)&gt;RIGHT($K107,2),BE107,0))</f>
        <v>0</v>
      </c>
      <c r="CB107" s="467"/>
      <c r="CC107" s="524">
        <f>+O107*KeyAssumptionsPriceControl_FO!AF$15</f>
        <v>0</v>
      </c>
      <c r="CD107" s="525">
        <f>+P107*KeyAssumptionsPriceControl_FO!AG$15</f>
        <v>0</v>
      </c>
      <c r="CE107" s="525">
        <f>+Q107*KeyAssumptionsPriceControl_FO!AH$15</f>
        <v>0</v>
      </c>
      <c r="CF107" s="525">
        <f>+R107*KeyAssumptionsPriceControl_FO!AI$15</f>
        <v>0</v>
      </c>
      <c r="CG107" s="526">
        <f>+S107*KeyAssumptionsPriceControl_FO!AJ$15</f>
        <v>0</v>
      </c>
      <c r="CH107" s="524">
        <f>+T107*KeyAssumptionsPriceControl_FO!AK$15</f>
        <v>0</v>
      </c>
      <c r="CI107" s="525">
        <f>+U107*KeyAssumptionsPriceControl_FO!AL$15</f>
        <v>0</v>
      </c>
      <c r="CJ107" s="525">
        <f>+V107*KeyAssumptionsPriceControl_FO!AM$15</f>
        <v>0</v>
      </c>
      <c r="CK107" s="525">
        <f>+W107*KeyAssumptionsPriceControl_FO!AN$15</f>
        <v>0</v>
      </c>
      <c r="CL107" s="526">
        <f>+X107*KeyAssumptionsPriceControl_FO!AO$15</f>
        <v>0</v>
      </c>
      <c r="CM107" s="467"/>
      <c r="CN107" s="524">
        <f t="shared" ca="1" si="41"/>
        <v>0</v>
      </c>
      <c r="CO107" s="525">
        <f t="shared" ca="1" si="51"/>
        <v>0</v>
      </c>
      <c r="CP107" s="525">
        <f t="shared" ca="1" si="51"/>
        <v>0</v>
      </c>
      <c r="CQ107" s="525">
        <f t="shared" ca="1" si="51"/>
        <v>0</v>
      </c>
      <c r="CR107" s="526">
        <f t="shared" ca="1" si="51"/>
        <v>0</v>
      </c>
      <c r="CS107" s="524">
        <f t="shared" ca="1" si="51"/>
        <v>0</v>
      </c>
      <c r="CT107" s="525">
        <f t="shared" ca="1" si="51"/>
        <v>0</v>
      </c>
      <c r="CU107" s="525">
        <f t="shared" ca="1" si="51"/>
        <v>0</v>
      </c>
      <c r="CV107" s="525">
        <f t="shared" ca="1" si="49"/>
        <v>0</v>
      </c>
      <c r="CW107" s="526">
        <f t="shared" ca="1" si="49"/>
        <v>0</v>
      </c>
      <c r="CX107" s="467"/>
    </row>
    <row r="108" spans="2:102">
      <c r="B108" s="502"/>
      <c r="C108" s="1589" t="s">
        <v>1398</v>
      </c>
      <c r="D108" s="1590"/>
      <c r="E108" s="1591" t="s">
        <v>20</v>
      </c>
      <c r="F108" s="1591" t="s">
        <v>516</v>
      </c>
      <c r="G108" s="1589" t="s">
        <v>14</v>
      </c>
      <c r="H108" s="2226" t="s">
        <v>521</v>
      </c>
      <c r="I108" s="2227"/>
      <c r="J108" s="1592" t="s">
        <v>279</v>
      </c>
      <c r="K108" s="1593" t="s">
        <v>970</v>
      </c>
      <c r="L108" s="1593">
        <v>80</v>
      </c>
      <c r="M108" s="1593">
        <v>50</v>
      </c>
      <c r="N108" s="467"/>
      <c r="O108" s="551">
        <v>0</v>
      </c>
      <c r="P108" s="552">
        <v>0</v>
      </c>
      <c r="Q108" s="552">
        <v>0</v>
      </c>
      <c r="R108" s="552">
        <v>0</v>
      </c>
      <c r="S108" s="553">
        <v>0</v>
      </c>
      <c r="T108" s="551">
        <v>0</v>
      </c>
      <c r="U108" s="552">
        <v>0</v>
      </c>
      <c r="V108" s="552">
        <v>0</v>
      </c>
      <c r="W108" s="552">
        <v>0</v>
      </c>
      <c r="X108" s="553">
        <v>0</v>
      </c>
      <c r="Y108" s="547"/>
      <c r="Z108" s="551"/>
      <c r="AA108" s="552"/>
      <c r="AB108" s="552"/>
      <c r="AC108" s="552"/>
      <c r="AD108" s="553"/>
      <c r="AE108" s="551"/>
      <c r="AF108" s="552"/>
      <c r="AG108" s="552"/>
      <c r="AH108" s="552"/>
      <c r="AI108" s="553"/>
      <c r="AJ108" s="547"/>
      <c r="AK108" s="551"/>
      <c r="AL108" s="552"/>
      <c r="AM108" s="552"/>
      <c r="AN108" s="552"/>
      <c r="AO108" s="553"/>
      <c r="AP108" s="551"/>
      <c r="AQ108" s="552"/>
      <c r="AR108" s="552"/>
      <c r="AS108" s="552"/>
      <c r="AT108" s="553"/>
      <c r="AU108" s="467"/>
      <c r="AV108" s="524">
        <f t="shared" si="47"/>
        <v>0</v>
      </c>
      <c r="AW108" s="525">
        <f t="shared" si="46"/>
        <v>0</v>
      </c>
      <c r="AX108" s="525">
        <f t="shared" si="46"/>
        <v>0</v>
      </c>
      <c r="AY108" s="525">
        <f t="shared" si="46"/>
        <v>0</v>
      </c>
      <c r="AZ108" s="526">
        <f t="shared" si="46"/>
        <v>0</v>
      </c>
      <c r="BA108" s="524">
        <f t="shared" si="46"/>
        <v>0</v>
      </c>
      <c r="BB108" s="525">
        <f t="shared" si="46"/>
        <v>0</v>
      </c>
      <c r="BC108" s="525">
        <f t="shared" si="46"/>
        <v>0</v>
      </c>
      <c r="BD108" s="525">
        <f t="shared" si="46"/>
        <v>0</v>
      </c>
      <c r="BE108" s="526">
        <f t="shared" si="46"/>
        <v>0</v>
      </c>
      <c r="BF108" s="467"/>
      <c r="BG108" s="524">
        <f t="shared" ca="1" si="39"/>
        <v>0</v>
      </c>
      <c r="BH108" s="525">
        <f t="shared" ca="1" si="50"/>
        <v>0</v>
      </c>
      <c r="BI108" s="525">
        <f t="shared" ca="1" si="50"/>
        <v>0</v>
      </c>
      <c r="BJ108" s="525">
        <f t="shared" ca="1" si="50"/>
        <v>0</v>
      </c>
      <c r="BK108" s="526">
        <f t="shared" ca="1" si="50"/>
        <v>0</v>
      </c>
      <c r="BL108" s="524">
        <f t="shared" ca="1" si="50"/>
        <v>0</v>
      </c>
      <c r="BM108" s="525">
        <f t="shared" ca="1" si="50"/>
        <v>0</v>
      </c>
      <c r="BN108" s="525">
        <f t="shared" ca="1" si="50"/>
        <v>0</v>
      </c>
      <c r="BO108" s="525">
        <f t="shared" ca="1" si="48"/>
        <v>0</v>
      </c>
      <c r="BP108" s="526">
        <f t="shared" ca="1" si="48"/>
        <v>0</v>
      </c>
      <c r="BQ108" s="467"/>
      <c r="BR108" s="524">
        <f>+IF($K108="Ongoing",AV108,IF(RIGHT($K108,2)=RIGHT(BR$40,2),SUM($AV108:AV108),0)+IF(RIGHT(BR$40,2)&gt;RIGHT($K108,2),AV108,0))</f>
        <v>0</v>
      </c>
      <c r="BS108" s="525">
        <f>+IF($K108="Ongoing",AW108,IF(RIGHT($K108,2)=RIGHT(BS$40,2),SUM($AV108:AW108),0)+IF(RIGHT(BS$40,2)&gt;RIGHT($K108,2),AW108,0))</f>
        <v>0</v>
      </c>
      <c r="BT108" s="525">
        <f>+IF($K108="Ongoing",AX108,IF(RIGHT($K108,2)=RIGHT(BT$40,2),SUM($AV108:AX108),0)+IF(RIGHT(BT$40,2)&gt;RIGHT($K108,2),AX108,0))</f>
        <v>0</v>
      </c>
      <c r="BU108" s="525">
        <f>+IF($K108="Ongoing",AY108,IF(RIGHT($K108,2)=RIGHT(BU$40,2),SUM($AV108:AY108),0)+IF(RIGHT(BU$40,2)&gt;RIGHT($K108,2),AY108,0))</f>
        <v>0</v>
      </c>
      <c r="BV108" s="526">
        <f>+IF($K108="Ongoing",AZ108,IF(RIGHT($K108,2)=RIGHT(BV$40,2),SUM($AV108:AZ108),0)+IF(RIGHT(BV$40,2)&gt;RIGHT($K108,2),AZ108,0))</f>
        <v>0</v>
      </c>
      <c r="BW108" s="524">
        <f>+IF($K108="Ongoing",BA108,IF(RIGHT($K108,2)=RIGHT(BW$40,2),SUM($AV108:BA108),0)+IF(RIGHT(BW$40,2)&gt;RIGHT($K108,2),BA108,0))</f>
        <v>0</v>
      </c>
      <c r="BX108" s="525">
        <f>+IF($K108="Ongoing",BB108,IF(RIGHT($K108,2)=RIGHT(BX$40,2),SUM($AV108:BB108),0)+IF(RIGHT(BX$40,2)&gt;RIGHT($K108,2),BB108,0))</f>
        <v>0</v>
      </c>
      <c r="BY108" s="525">
        <f>+IF($K108="Ongoing",BC108,IF(RIGHT($K108,2)=RIGHT(BY$40,2),SUM($AV108:BC108),0)+IF(RIGHT(BY$40,2)&gt;RIGHT($K108,2),BC108,0))</f>
        <v>0</v>
      </c>
      <c r="BZ108" s="525">
        <f>+IF($K108="Ongoing",BD108,IF(RIGHT($K108,2)=RIGHT(BZ$40,2),SUM($AV108:BD108),0)+IF(RIGHT(BZ$40,2)&gt;RIGHT($K108,2),BD108,0))</f>
        <v>0</v>
      </c>
      <c r="CA108" s="526">
        <f>+IF($K108="Ongoing",BE108,IF(RIGHT($K108,2)=RIGHT(CA$40,2),SUM($AV108:BE108),0)+IF(RIGHT(CA$40,2)&gt;RIGHT($K108,2),BE108,0))</f>
        <v>0</v>
      </c>
      <c r="CB108" s="467"/>
      <c r="CC108" s="524">
        <f>+O108*KeyAssumptionsPriceControl_FO!AF$15</f>
        <v>0</v>
      </c>
      <c r="CD108" s="525">
        <f>+P108*KeyAssumptionsPriceControl_FO!AG$15</f>
        <v>0</v>
      </c>
      <c r="CE108" s="525">
        <f>+Q108*KeyAssumptionsPriceControl_FO!AH$15</f>
        <v>0</v>
      </c>
      <c r="CF108" s="525">
        <f>+R108*KeyAssumptionsPriceControl_FO!AI$15</f>
        <v>0</v>
      </c>
      <c r="CG108" s="526">
        <f>+S108*KeyAssumptionsPriceControl_FO!AJ$15</f>
        <v>0</v>
      </c>
      <c r="CH108" s="524">
        <f>+T108*KeyAssumptionsPriceControl_FO!AK$15</f>
        <v>0</v>
      </c>
      <c r="CI108" s="525">
        <f>+U108*KeyAssumptionsPriceControl_FO!AL$15</f>
        <v>0</v>
      </c>
      <c r="CJ108" s="525">
        <f>+V108*KeyAssumptionsPriceControl_FO!AM$15</f>
        <v>0</v>
      </c>
      <c r="CK108" s="525">
        <f>+W108*KeyAssumptionsPriceControl_FO!AN$15</f>
        <v>0</v>
      </c>
      <c r="CL108" s="526">
        <f>+X108*KeyAssumptionsPriceControl_FO!AO$15</f>
        <v>0</v>
      </c>
      <c r="CM108" s="467"/>
      <c r="CN108" s="524">
        <f t="shared" ca="1" si="41"/>
        <v>0</v>
      </c>
      <c r="CO108" s="525">
        <f t="shared" ca="1" si="51"/>
        <v>0</v>
      </c>
      <c r="CP108" s="525">
        <f t="shared" ca="1" si="51"/>
        <v>0</v>
      </c>
      <c r="CQ108" s="525">
        <f t="shared" ca="1" si="51"/>
        <v>0</v>
      </c>
      <c r="CR108" s="526">
        <f t="shared" ca="1" si="51"/>
        <v>0</v>
      </c>
      <c r="CS108" s="524">
        <f t="shared" ca="1" si="51"/>
        <v>0</v>
      </c>
      <c r="CT108" s="525">
        <f t="shared" ca="1" si="51"/>
        <v>0</v>
      </c>
      <c r="CU108" s="525">
        <f t="shared" ca="1" si="51"/>
        <v>0</v>
      </c>
      <c r="CV108" s="525">
        <f t="shared" ca="1" si="49"/>
        <v>0</v>
      </c>
      <c r="CW108" s="526">
        <f t="shared" ca="1" si="49"/>
        <v>0</v>
      </c>
      <c r="CX108" s="467"/>
    </row>
    <row r="109" spans="2:102">
      <c r="B109" s="502"/>
      <c r="C109" s="1589" t="s">
        <v>1399</v>
      </c>
      <c r="D109" s="1590"/>
      <c r="E109" s="1591" t="s">
        <v>21</v>
      </c>
      <c r="F109" s="1591" t="s">
        <v>516</v>
      </c>
      <c r="G109" s="1589" t="s">
        <v>14</v>
      </c>
      <c r="H109" s="2226" t="s">
        <v>521</v>
      </c>
      <c r="I109" s="2227"/>
      <c r="J109" s="1592" t="s">
        <v>279</v>
      </c>
      <c r="K109" s="1593" t="s">
        <v>970</v>
      </c>
      <c r="L109" s="1593">
        <v>50</v>
      </c>
      <c r="M109" s="1593">
        <v>50</v>
      </c>
      <c r="N109" s="467"/>
      <c r="O109" s="551">
        <v>0</v>
      </c>
      <c r="P109" s="552">
        <v>0</v>
      </c>
      <c r="Q109" s="552">
        <v>0</v>
      </c>
      <c r="R109" s="552">
        <v>0</v>
      </c>
      <c r="S109" s="553">
        <v>0</v>
      </c>
      <c r="T109" s="551">
        <v>0</v>
      </c>
      <c r="U109" s="552">
        <v>0</v>
      </c>
      <c r="V109" s="552">
        <v>0</v>
      </c>
      <c r="W109" s="552">
        <v>0</v>
      </c>
      <c r="X109" s="553">
        <v>0</v>
      </c>
      <c r="Y109" s="547"/>
      <c r="Z109" s="551"/>
      <c r="AA109" s="552"/>
      <c r="AB109" s="552"/>
      <c r="AC109" s="552"/>
      <c r="AD109" s="553"/>
      <c r="AE109" s="551"/>
      <c r="AF109" s="552"/>
      <c r="AG109" s="552"/>
      <c r="AH109" s="552"/>
      <c r="AI109" s="553"/>
      <c r="AJ109" s="547"/>
      <c r="AK109" s="551"/>
      <c r="AL109" s="552"/>
      <c r="AM109" s="552"/>
      <c r="AN109" s="552"/>
      <c r="AO109" s="553"/>
      <c r="AP109" s="551"/>
      <c r="AQ109" s="552"/>
      <c r="AR109" s="552"/>
      <c r="AS109" s="552"/>
      <c r="AT109" s="553"/>
      <c r="AU109" s="467"/>
      <c r="AV109" s="524">
        <f t="shared" si="47"/>
        <v>0</v>
      </c>
      <c r="AW109" s="525">
        <f t="shared" si="46"/>
        <v>0</v>
      </c>
      <c r="AX109" s="525">
        <f t="shared" si="46"/>
        <v>0</v>
      </c>
      <c r="AY109" s="525">
        <f t="shared" si="46"/>
        <v>0</v>
      </c>
      <c r="AZ109" s="526">
        <f t="shared" si="46"/>
        <v>0</v>
      </c>
      <c r="BA109" s="524">
        <f t="shared" si="46"/>
        <v>0</v>
      </c>
      <c r="BB109" s="525">
        <f t="shared" si="46"/>
        <v>0</v>
      </c>
      <c r="BC109" s="525">
        <f t="shared" si="46"/>
        <v>0</v>
      </c>
      <c r="BD109" s="525">
        <f t="shared" si="46"/>
        <v>0</v>
      </c>
      <c r="BE109" s="526">
        <f t="shared" si="46"/>
        <v>0</v>
      </c>
      <c r="BF109" s="467"/>
      <c r="BG109" s="524">
        <f t="shared" ca="1" si="39"/>
        <v>0</v>
      </c>
      <c r="BH109" s="525">
        <f t="shared" ca="1" si="50"/>
        <v>0</v>
      </c>
      <c r="BI109" s="525">
        <f t="shared" ca="1" si="50"/>
        <v>0</v>
      </c>
      <c r="BJ109" s="525">
        <f t="shared" ca="1" si="50"/>
        <v>0</v>
      </c>
      <c r="BK109" s="526">
        <f t="shared" ca="1" si="50"/>
        <v>0</v>
      </c>
      <c r="BL109" s="524">
        <f t="shared" ca="1" si="50"/>
        <v>0</v>
      </c>
      <c r="BM109" s="525">
        <f t="shared" ca="1" si="50"/>
        <v>0</v>
      </c>
      <c r="BN109" s="525">
        <f t="shared" ca="1" si="50"/>
        <v>0</v>
      </c>
      <c r="BO109" s="525">
        <f t="shared" ca="1" si="48"/>
        <v>0</v>
      </c>
      <c r="BP109" s="526">
        <f t="shared" ca="1" si="48"/>
        <v>0</v>
      </c>
      <c r="BQ109" s="467"/>
      <c r="BR109" s="524">
        <f>+IF($K109="Ongoing",AV109,IF(RIGHT($K109,2)=RIGHT(BR$40,2),SUM($AV109:AV109),0)+IF(RIGHT(BR$40,2)&gt;RIGHT($K109,2),AV109,0))</f>
        <v>0</v>
      </c>
      <c r="BS109" s="525">
        <f>+IF($K109="Ongoing",AW109,IF(RIGHT($K109,2)=RIGHT(BS$40,2),SUM($AV109:AW109),0)+IF(RIGHT(BS$40,2)&gt;RIGHT($K109,2),AW109,0))</f>
        <v>0</v>
      </c>
      <c r="BT109" s="525">
        <f>+IF($K109="Ongoing",AX109,IF(RIGHT($K109,2)=RIGHT(BT$40,2),SUM($AV109:AX109),0)+IF(RIGHT(BT$40,2)&gt;RIGHT($K109,2),AX109,0))</f>
        <v>0</v>
      </c>
      <c r="BU109" s="525">
        <f>+IF($K109="Ongoing",AY109,IF(RIGHT($K109,2)=RIGHT(BU$40,2),SUM($AV109:AY109),0)+IF(RIGHT(BU$40,2)&gt;RIGHT($K109,2),AY109,0))</f>
        <v>0</v>
      </c>
      <c r="BV109" s="526">
        <f>+IF($K109="Ongoing",AZ109,IF(RIGHT($K109,2)=RIGHT(BV$40,2),SUM($AV109:AZ109),0)+IF(RIGHT(BV$40,2)&gt;RIGHT($K109,2),AZ109,0))</f>
        <v>0</v>
      </c>
      <c r="BW109" s="524">
        <f>+IF($K109="Ongoing",BA109,IF(RIGHT($K109,2)=RIGHT(BW$40,2),SUM($AV109:BA109),0)+IF(RIGHT(BW$40,2)&gt;RIGHT($K109,2),BA109,0))</f>
        <v>0</v>
      </c>
      <c r="BX109" s="525">
        <f>+IF($K109="Ongoing",BB109,IF(RIGHT($K109,2)=RIGHT(BX$40,2),SUM($AV109:BB109),0)+IF(RIGHT(BX$40,2)&gt;RIGHT($K109,2),BB109,0))</f>
        <v>0</v>
      </c>
      <c r="BY109" s="525">
        <f>+IF($K109="Ongoing",BC109,IF(RIGHT($K109,2)=RIGHT(BY$40,2),SUM($AV109:BC109),0)+IF(RIGHT(BY$40,2)&gt;RIGHT($K109,2),BC109,0))</f>
        <v>0</v>
      </c>
      <c r="BZ109" s="525">
        <f>+IF($K109="Ongoing",BD109,IF(RIGHT($K109,2)=RIGHT(BZ$40,2),SUM($AV109:BD109),0)+IF(RIGHT(BZ$40,2)&gt;RIGHT($K109,2),BD109,0))</f>
        <v>0</v>
      </c>
      <c r="CA109" s="526">
        <f>+IF($K109="Ongoing",BE109,IF(RIGHT($K109,2)=RIGHT(CA$40,2),SUM($AV109:BE109),0)+IF(RIGHT(CA$40,2)&gt;RIGHT($K109,2),BE109,0))</f>
        <v>0</v>
      </c>
      <c r="CB109" s="467"/>
      <c r="CC109" s="524">
        <f>+O109*KeyAssumptionsPriceControl_FO!AF$15</f>
        <v>0</v>
      </c>
      <c r="CD109" s="525">
        <f>+P109*KeyAssumptionsPriceControl_FO!AG$15</f>
        <v>0</v>
      </c>
      <c r="CE109" s="525">
        <f>+Q109*KeyAssumptionsPriceControl_FO!AH$15</f>
        <v>0</v>
      </c>
      <c r="CF109" s="525">
        <f>+R109*KeyAssumptionsPriceControl_FO!AI$15</f>
        <v>0</v>
      </c>
      <c r="CG109" s="526">
        <f>+S109*KeyAssumptionsPriceControl_FO!AJ$15</f>
        <v>0</v>
      </c>
      <c r="CH109" s="524">
        <f>+T109*KeyAssumptionsPriceControl_FO!AK$15</f>
        <v>0</v>
      </c>
      <c r="CI109" s="525">
        <f>+U109*KeyAssumptionsPriceControl_FO!AL$15</f>
        <v>0</v>
      </c>
      <c r="CJ109" s="525">
        <f>+V109*KeyAssumptionsPriceControl_FO!AM$15</f>
        <v>0</v>
      </c>
      <c r="CK109" s="525">
        <f>+W109*KeyAssumptionsPriceControl_FO!AN$15</f>
        <v>0</v>
      </c>
      <c r="CL109" s="526">
        <f>+X109*KeyAssumptionsPriceControl_FO!AO$15</f>
        <v>0</v>
      </c>
      <c r="CM109" s="467"/>
      <c r="CN109" s="524">
        <f t="shared" ca="1" si="41"/>
        <v>0</v>
      </c>
      <c r="CO109" s="525">
        <f t="shared" ca="1" si="51"/>
        <v>0</v>
      </c>
      <c r="CP109" s="525">
        <f t="shared" ca="1" si="51"/>
        <v>0</v>
      </c>
      <c r="CQ109" s="525">
        <f t="shared" ca="1" si="51"/>
        <v>0</v>
      </c>
      <c r="CR109" s="526">
        <f t="shared" ca="1" si="51"/>
        <v>0</v>
      </c>
      <c r="CS109" s="524">
        <f t="shared" ca="1" si="51"/>
        <v>0</v>
      </c>
      <c r="CT109" s="525">
        <f t="shared" ca="1" si="51"/>
        <v>0</v>
      </c>
      <c r="CU109" s="525">
        <f t="shared" ca="1" si="51"/>
        <v>0</v>
      </c>
      <c r="CV109" s="525">
        <f t="shared" ca="1" si="49"/>
        <v>0</v>
      </c>
      <c r="CW109" s="526">
        <f t="shared" ca="1" si="49"/>
        <v>0</v>
      </c>
      <c r="CX109" s="467"/>
    </row>
    <row r="110" spans="2:102">
      <c r="B110" s="502"/>
      <c r="C110" s="1589" t="s">
        <v>1400</v>
      </c>
      <c r="D110" s="1590"/>
      <c r="E110" s="1591" t="s">
        <v>21</v>
      </c>
      <c r="F110" s="1591" t="s">
        <v>516</v>
      </c>
      <c r="G110" s="1589" t="s">
        <v>14</v>
      </c>
      <c r="H110" s="2226" t="s">
        <v>521</v>
      </c>
      <c r="I110" s="2227"/>
      <c r="J110" s="1592" t="s">
        <v>279</v>
      </c>
      <c r="K110" s="1593" t="s">
        <v>970</v>
      </c>
      <c r="L110" s="1593">
        <v>50</v>
      </c>
      <c r="M110" s="1593">
        <v>50</v>
      </c>
      <c r="N110" s="467"/>
      <c r="O110" s="551">
        <v>0</v>
      </c>
      <c r="P110" s="552">
        <v>0</v>
      </c>
      <c r="Q110" s="552">
        <v>0</v>
      </c>
      <c r="R110" s="552">
        <v>0</v>
      </c>
      <c r="S110" s="553">
        <v>0</v>
      </c>
      <c r="T110" s="551">
        <v>0</v>
      </c>
      <c r="U110" s="552">
        <v>0</v>
      </c>
      <c r="V110" s="552">
        <v>0</v>
      </c>
      <c r="W110" s="552">
        <v>0</v>
      </c>
      <c r="X110" s="553">
        <v>0</v>
      </c>
      <c r="Y110" s="547"/>
      <c r="Z110" s="551"/>
      <c r="AA110" s="552"/>
      <c r="AB110" s="552"/>
      <c r="AC110" s="552"/>
      <c r="AD110" s="553"/>
      <c r="AE110" s="551"/>
      <c r="AF110" s="552"/>
      <c r="AG110" s="552"/>
      <c r="AH110" s="552"/>
      <c r="AI110" s="553"/>
      <c r="AJ110" s="547"/>
      <c r="AK110" s="551"/>
      <c r="AL110" s="552"/>
      <c r="AM110" s="552"/>
      <c r="AN110" s="552"/>
      <c r="AO110" s="553"/>
      <c r="AP110" s="551"/>
      <c r="AQ110" s="552"/>
      <c r="AR110" s="552"/>
      <c r="AS110" s="552"/>
      <c r="AT110" s="553"/>
      <c r="AU110" s="467"/>
      <c r="AV110" s="524">
        <f t="shared" si="47"/>
        <v>0</v>
      </c>
      <c r="AW110" s="525">
        <f t="shared" si="46"/>
        <v>0</v>
      </c>
      <c r="AX110" s="525">
        <f t="shared" si="46"/>
        <v>0</v>
      </c>
      <c r="AY110" s="525">
        <f t="shared" si="46"/>
        <v>0</v>
      </c>
      <c r="AZ110" s="526">
        <f t="shared" si="46"/>
        <v>0</v>
      </c>
      <c r="BA110" s="524">
        <f t="shared" si="46"/>
        <v>0</v>
      </c>
      <c r="BB110" s="525">
        <f t="shared" si="46"/>
        <v>0</v>
      </c>
      <c r="BC110" s="525">
        <f t="shared" si="46"/>
        <v>0</v>
      </c>
      <c r="BD110" s="525">
        <f t="shared" si="46"/>
        <v>0</v>
      </c>
      <c r="BE110" s="526">
        <f t="shared" si="46"/>
        <v>0</v>
      </c>
      <c r="BF110" s="467"/>
      <c r="BG110" s="524">
        <f t="shared" ca="1" si="39"/>
        <v>0</v>
      </c>
      <c r="BH110" s="525">
        <f t="shared" ca="1" si="50"/>
        <v>0</v>
      </c>
      <c r="BI110" s="525">
        <f t="shared" ca="1" si="50"/>
        <v>0</v>
      </c>
      <c r="BJ110" s="525">
        <f t="shared" ca="1" si="50"/>
        <v>0</v>
      </c>
      <c r="BK110" s="526">
        <f t="shared" ca="1" si="50"/>
        <v>0</v>
      </c>
      <c r="BL110" s="524">
        <f t="shared" ca="1" si="50"/>
        <v>0</v>
      </c>
      <c r="BM110" s="525">
        <f t="shared" ca="1" si="50"/>
        <v>0</v>
      </c>
      <c r="BN110" s="525">
        <f t="shared" ca="1" si="50"/>
        <v>0</v>
      </c>
      <c r="BO110" s="525">
        <f t="shared" ca="1" si="48"/>
        <v>0</v>
      </c>
      <c r="BP110" s="526">
        <f t="shared" ca="1" si="48"/>
        <v>0</v>
      </c>
      <c r="BQ110" s="467"/>
      <c r="BR110" s="524">
        <f>+IF($K110="Ongoing",AV110,IF(RIGHT($K110,2)=RIGHT(BR$40,2),SUM($AV110:AV110),0)+IF(RIGHT(BR$40,2)&gt;RIGHT($K110,2),AV110,0))</f>
        <v>0</v>
      </c>
      <c r="BS110" s="525">
        <f>+IF($K110="Ongoing",AW110,IF(RIGHT($K110,2)=RIGHT(BS$40,2),SUM($AV110:AW110),0)+IF(RIGHT(BS$40,2)&gt;RIGHT($K110,2),AW110,0))</f>
        <v>0</v>
      </c>
      <c r="BT110" s="525">
        <f>+IF($K110="Ongoing",AX110,IF(RIGHT($K110,2)=RIGHT(BT$40,2),SUM($AV110:AX110),0)+IF(RIGHT(BT$40,2)&gt;RIGHT($K110,2),AX110,0))</f>
        <v>0</v>
      </c>
      <c r="BU110" s="525">
        <f>+IF($K110="Ongoing",AY110,IF(RIGHT($K110,2)=RIGHT(BU$40,2),SUM($AV110:AY110),0)+IF(RIGHT(BU$40,2)&gt;RIGHT($K110,2),AY110,0))</f>
        <v>0</v>
      </c>
      <c r="BV110" s="526">
        <f>+IF($K110="Ongoing",AZ110,IF(RIGHT($K110,2)=RIGHT(BV$40,2),SUM($AV110:AZ110),0)+IF(RIGHT(BV$40,2)&gt;RIGHT($K110,2),AZ110,0))</f>
        <v>0</v>
      </c>
      <c r="BW110" s="524">
        <f>+IF($K110="Ongoing",BA110,IF(RIGHT($K110,2)=RIGHT(BW$40,2),SUM($AV110:BA110),0)+IF(RIGHT(BW$40,2)&gt;RIGHT($K110,2),BA110,0))</f>
        <v>0</v>
      </c>
      <c r="BX110" s="525">
        <f>+IF($K110="Ongoing",BB110,IF(RIGHT($K110,2)=RIGHT(BX$40,2),SUM($AV110:BB110),0)+IF(RIGHT(BX$40,2)&gt;RIGHT($K110,2),BB110,0))</f>
        <v>0</v>
      </c>
      <c r="BY110" s="525">
        <f>+IF($K110="Ongoing",BC110,IF(RIGHT($K110,2)=RIGHT(BY$40,2),SUM($AV110:BC110),0)+IF(RIGHT(BY$40,2)&gt;RIGHT($K110,2),BC110,0))</f>
        <v>0</v>
      </c>
      <c r="BZ110" s="525">
        <f>+IF($K110="Ongoing",BD110,IF(RIGHT($K110,2)=RIGHT(BZ$40,2),SUM($AV110:BD110),0)+IF(RIGHT(BZ$40,2)&gt;RIGHT($K110,2),BD110,0))</f>
        <v>0</v>
      </c>
      <c r="CA110" s="526">
        <f>+IF($K110="Ongoing",BE110,IF(RIGHT($K110,2)=RIGHT(CA$40,2),SUM($AV110:BE110),0)+IF(RIGHT(CA$40,2)&gt;RIGHT($K110,2),BE110,0))</f>
        <v>0</v>
      </c>
      <c r="CB110" s="467"/>
      <c r="CC110" s="524">
        <f>+O110*KeyAssumptionsPriceControl_FO!AF$15</f>
        <v>0</v>
      </c>
      <c r="CD110" s="525">
        <f>+P110*KeyAssumptionsPriceControl_FO!AG$15</f>
        <v>0</v>
      </c>
      <c r="CE110" s="525">
        <f>+Q110*KeyAssumptionsPriceControl_FO!AH$15</f>
        <v>0</v>
      </c>
      <c r="CF110" s="525">
        <f>+R110*KeyAssumptionsPriceControl_FO!AI$15</f>
        <v>0</v>
      </c>
      <c r="CG110" s="526">
        <f>+S110*KeyAssumptionsPriceControl_FO!AJ$15</f>
        <v>0</v>
      </c>
      <c r="CH110" s="524">
        <f>+T110*KeyAssumptionsPriceControl_FO!AK$15</f>
        <v>0</v>
      </c>
      <c r="CI110" s="525">
        <f>+U110*KeyAssumptionsPriceControl_FO!AL$15</f>
        <v>0</v>
      </c>
      <c r="CJ110" s="525">
        <f>+V110*KeyAssumptionsPriceControl_FO!AM$15</f>
        <v>0</v>
      </c>
      <c r="CK110" s="525">
        <f>+W110*KeyAssumptionsPriceControl_FO!AN$15</f>
        <v>0</v>
      </c>
      <c r="CL110" s="526">
        <f>+X110*KeyAssumptionsPriceControl_FO!AO$15</f>
        <v>0</v>
      </c>
      <c r="CM110" s="467"/>
      <c r="CN110" s="524">
        <f t="shared" ca="1" si="41"/>
        <v>0</v>
      </c>
      <c r="CO110" s="525">
        <f t="shared" ca="1" si="51"/>
        <v>0</v>
      </c>
      <c r="CP110" s="525">
        <f t="shared" ca="1" si="51"/>
        <v>0</v>
      </c>
      <c r="CQ110" s="525">
        <f t="shared" ca="1" si="51"/>
        <v>0</v>
      </c>
      <c r="CR110" s="526">
        <f t="shared" ca="1" si="51"/>
        <v>0</v>
      </c>
      <c r="CS110" s="524">
        <f t="shared" ca="1" si="51"/>
        <v>0</v>
      </c>
      <c r="CT110" s="525">
        <f t="shared" ca="1" si="51"/>
        <v>0</v>
      </c>
      <c r="CU110" s="525">
        <f t="shared" ca="1" si="51"/>
        <v>0</v>
      </c>
      <c r="CV110" s="525">
        <f t="shared" ca="1" si="49"/>
        <v>0</v>
      </c>
      <c r="CW110" s="526">
        <f t="shared" ca="1" si="49"/>
        <v>0</v>
      </c>
      <c r="CX110" s="467"/>
    </row>
    <row r="111" spans="2:102">
      <c r="B111" s="502"/>
      <c r="C111" s="1589" t="s">
        <v>1401</v>
      </c>
      <c r="D111" s="1590"/>
      <c r="E111" s="1591" t="s">
        <v>21</v>
      </c>
      <c r="F111" s="1591" t="s">
        <v>516</v>
      </c>
      <c r="G111" s="1589" t="s">
        <v>14</v>
      </c>
      <c r="H111" s="2226" t="s">
        <v>521</v>
      </c>
      <c r="I111" s="2227"/>
      <c r="J111" s="1592" t="s">
        <v>279</v>
      </c>
      <c r="K111" s="1593" t="s">
        <v>970</v>
      </c>
      <c r="L111" s="1593">
        <v>50</v>
      </c>
      <c r="M111" s="1593">
        <v>50</v>
      </c>
      <c r="N111" s="467"/>
      <c r="O111" s="551">
        <v>0</v>
      </c>
      <c r="P111" s="552">
        <v>0</v>
      </c>
      <c r="Q111" s="552">
        <v>0</v>
      </c>
      <c r="R111" s="552">
        <v>0</v>
      </c>
      <c r="S111" s="553">
        <v>0</v>
      </c>
      <c r="T111" s="551">
        <v>0</v>
      </c>
      <c r="U111" s="552">
        <v>0</v>
      </c>
      <c r="V111" s="552">
        <v>0</v>
      </c>
      <c r="W111" s="552">
        <v>0</v>
      </c>
      <c r="X111" s="553">
        <v>0</v>
      </c>
      <c r="Y111" s="547"/>
      <c r="Z111" s="551"/>
      <c r="AA111" s="552"/>
      <c r="AB111" s="552"/>
      <c r="AC111" s="552"/>
      <c r="AD111" s="553"/>
      <c r="AE111" s="551"/>
      <c r="AF111" s="552"/>
      <c r="AG111" s="552"/>
      <c r="AH111" s="552"/>
      <c r="AI111" s="553"/>
      <c r="AJ111" s="547"/>
      <c r="AK111" s="551"/>
      <c r="AL111" s="552"/>
      <c r="AM111" s="552"/>
      <c r="AN111" s="552"/>
      <c r="AO111" s="553"/>
      <c r="AP111" s="551"/>
      <c r="AQ111" s="552"/>
      <c r="AR111" s="552"/>
      <c r="AS111" s="552"/>
      <c r="AT111" s="553"/>
      <c r="AU111" s="467"/>
      <c r="AV111" s="524">
        <f t="shared" si="47"/>
        <v>0</v>
      </c>
      <c r="AW111" s="525">
        <f t="shared" si="46"/>
        <v>0</v>
      </c>
      <c r="AX111" s="525">
        <f t="shared" si="46"/>
        <v>0</v>
      </c>
      <c r="AY111" s="525">
        <f t="shared" si="46"/>
        <v>0</v>
      </c>
      <c r="AZ111" s="526">
        <f t="shared" si="46"/>
        <v>0</v>
      </c>
      <c r="BA111" s="524">
        <f t="shared" si="46"/>
        <v>0</v>
      </c>
      <c r="BB111" s="525">
        <f t="shared" si="46"/>
        <v>0</v>
      </c>
      <c r="BC111" s="525">
        <f t="shared" si="46"/>
        <v>0</v>
      </c>
      <c r="BD111" s="525">
        <f t="shared" si="46"/>
        <v>0</v>
      </c>
      <c r="BE111" s="526">
        <f t="shared" si="46"/>
        <v>0</v>
      </c>
      <c r="BF111" s="467"/>
      <c r="BG111" s="524">
        <f t="shared" ref="BG111:BG146" ca="1" si="52">IF($L111=0,0,
IF($L111&lt;=0.5,BR111,
IF($J111="straight line",
IF((LEFT(BG$40,4)*1)-INT($L111)&lt;LEFT($BG$40,4)*1,0,((OFFSET(BR111,0,-INT($L111+0.5),1,1))/$L111)*(IF($L111-INT($L111)&gt;0.5,$L111-0.5-INT($L111),IF($L111-INT($L111)&lt;=0.5,$L111-0.5-INT($L111)+1,0))))
+BR111/$L111*0.5,
IF($J111="Declining Balance",-$BG$39,0))))</f>
        <v>0</v>
      </c>
      <c r="BH111" s="525">
        <f t="shared" ca="1" si="50"/>
        <v>0</v>
      </c>
      <c r="BI111" s="525">
        <f t="shared" ca="1" si="50"/>
        <v>0</v>
      </c>
      <c r="BJ111" s="525">
        <f t="shared" ca="1" si="50"/>
        <v>0</v>
      </c>
      <c r="BK111" s="526">
        <f t="shared" ca="1" si="50"/>
        <v>0</v>
      </c>
      <c r="BL111" s="524">
        <f t="shared" ca="1" si="50"/>
        <v>0</v>
      </c>
      <c r="BM111" s="525">
        <f t="shared" ca="1" si="50"/>
        <v>0</v>
      </c>
      <c r="BN111" s="525">
        <f t="shared" ca="1" si="50"/>
        <v>0</v>
      </c>
      <c r="BO111" s="525">
        <f t="shared" ca="1" si="48"/>
        <v>0</v>
      </c>
      <c r="BP111" s="526">
        <f t="shared" ca="1" si="48"/>
        <v>0</v>
      </c>
      <c r="BQ111" s="467"/>
      <c r="BR111" s="524">
        <f>+IF($K111="Ongoing",AV111,IF(RIGHT($K111,2)=RIGHT(BR$40,2),SUM($AV111:AV111),0)+IF(RIGHT(BR$40,2)&gt;RIGHT($K111,2),AV111,0))</f>
        <v>0</v>
      </c>
      <c r="BS111" s="525">
        <f>+IF($K111="Ongoing",AW111,IF(RIGHT($K111,2)=RIGHT(BS$40,2),SUM($AV111:AW111),0)+IF(RIGHT(BS$40,2)&gt;RIGHT($K111,2),AW111,0))</f>
        <v>0</v>
      </c>
      <c r="BT111" s="525">
        <f>+IF($K111="Ongoing",AX111,IF(RIGHT($K111,2)=RIGHT(BT$40,2),SUM($AV111:AX111),0)+IF(RIGHT(BT$40,2)&gt;RIGHT($K111,2),AX111,0))</f>
        <v>0</v>
      </c>
      <c r="BU111" s="525">
        <f>+IF($K111="Ongoing",AY111,IF(RIGHT($K111,2)=RIGHT(BU$40,2),SUM($AV111:AY111),0)+IF(RIGHT(BU$40,2)&gt;RIGHT($K111,2),AY111,0))</f>
        <v>0</v>
      </c>
      <c r="BV111" s="526">
        <f>+IF($K111="Ongoing",AZ111,IF(RIGHT($K111,2)=RIGHT(BV$40,2),SUM($AV111:AZ111),0)+IF(RIGHT(BV$40,2)&gt;RIGHT($K111,2),AZ111,0))</f>
        <v>0</v>
      </c>
      <c r="BW111" s="524">
        <f>+IF($K111="Ongoing",BA111,IF(RIGHT($K111,2)=RIGHT(BW$40,2),SUM($AV111:BA111),0)+IF(RIGHT(BW$40,2)&gt;RIGHT($K111,2),BA111,0))</f>
        <v>0</v>
      </c>
      <c r="BX111" s="525">
        <f>+IF($K111="Ongoing",BB111,IF(RIGHT($K111,2)=RIGHT(BX$40,2),SUM($AV111:BB111),0)+IF(RIGHT(BX$40,2)&gt;RIGHT($K111,2),BB111,0))</f>
        <v>0</v>
      </c>
      <c r="BY111" s="525">
        <f>+IF($K111="Ongoing",BC111,IF(RIGHT($K111,2)=RIGHT(BY$40,2),SUM($AV111:BC111),0)+IF(RIGHT(BY$40,2)&gt;RIGHT($K111,2),BC111,0))</f>
        <v>0</v>
      </c>
      <c r="BZ111" s="525">
        <f>+IF($K111="Ongoing",BD111,IF(RIGHT($K111,2)=RIGHT(BZ$40,2),SUM($AV111:BD111),0)+IF(RIGHT(BZ$40,2)&gt;RIGHT($K111,2),BD111,0))</f>
        <v>0</v>
      </c>
      <c r="CA111" s="526">
        <f>+IF($K111="Ongoing",BE111,IF(RIGHT($K111,2)=RIGHT(CA$40,2),SUM($AV111:BE111),0)+IF(RIGHT(CA$40,2)&gt;RIGHT($K111,2),BE111,0))</f>
        <v>0</v>
      </c>
      <c r="CB111" s="467"/>
      <c r="CC111" s="524">
        <f>+O111*KeyAssumptionsPriceControl_FO!AF$15</f>
        <v>0</v>
      </c>
      <c r="CD111" s="525">
        <f>+P111*KeyAssumptionsPriceControl_FO!AG$15</f>
        <v>0</v>
      </c>
      <c r="CE111" s="525">
        <f>+Q111*KeyAssumptionsPriceControl_FO!AH$15</f>
        <v>0</v>
      </c>
      <c r="CF111" s="525">
        <f>+R111*KeyAssumptionsPriceControl_FO!AI$15</f>
        <v>0</v>
      </c>
      <c r="CG111" s="526">
        <f>+S111*KeyAssumptionsPriceControl_FO!AJ$15</f>
        <v>0</v>
      </c>
      <c r="CH111" s="524">
        <f>+T111*KeyAssumptionsPriceControl_FO!AK$15</f>
        <v>0</v>
      </c>
      <c r="CI111" s="525">
        <f>+U111*KeyAssumptionsPriceControl_FO!AL$15</f>
        <v>0</v>
      </c>
      <c r="CJ111" s="525">
        <f>+V111*KeyAssumptionsPriceControl_FO!AM$15</f>
        <v>0</v>
      </c>
      <c r="CK111" s="525">
        <f>+W111*KeyAssumptionsPriceControl_FO!AN$15</f>
        <v>0</v>
      </c>
      <c r="CL111" s="526">
        <f>+X111*KeyAssumptionsPriceControl_FO!AO$15</f>
        <v>0</v>
      </c>
      <c r="CM111" s="467"/>
      <c r="CN111" s="524">
        <f t="shared" ref="CN111:CN146" ca="1" si="53">IF($M111=0,0,
IF($M111&lt;=0.5,CC111,
IF($J111="straight line",
IF((LEFT(CN$40,4)*1)-INT($M111)&lt;LEFT($CN$40,4)*1,0,((OFFSET(CC111,0,-INT($M111+0.5),1,1))/$M111)*(IF($M111-INT($M111)&gt;0.5,$M111-0.5-INT($M111),IF($M111-INT($M111)&lt;=0.5,$M111-0.5-INT($M111)+1,0))))
+CC111/$M111*0.5,
IF($J111="Declining Balance",-$CN$39,0))))</f>
        <v>0</v>
      </c>
      <c r="CO111" s="525">
        <f t="shared" ca="1" si="51"/>
        <v>0</v>
      </c>
      <c r="CP111" s="525">
        <f t="shared" ca="1" si="51"/>
        <v>0</v>
      </c>
      <c r="CQ111" s="525">
        <f t="shared" ca="1" si="51"/>
        <v>0</v>
      </c>
      <c r="CR111" s="526">
        <f t="shared" ca="1" si="51"/>
        <v>0</v>
      </c>
      <c r="CS111" s="524">
        <f t="shared" ca="1" si="51"/>
        <v>0</v>
      </c>
      <c r="CT111" s="525">
        <f t="shared" ca="1" si="51"/>
        <v>0</v>
      </c>
      <c r="CU111" s="525">
        <f t="shared" ca="1" si="51"/>
        <v>0</v>
      </c>
      <c r="CV111" s="525">
        <f t="shared" ca="1" si="49"/>
        <v>0</v>
      </c>
      <c r="CW111" s="526">
        <f t="shared" ca="1" si="49"/>
        <v>0</v>
      </c>
      <c r="CX111" s="467"/>
    </row>
    <row r="112" spans="2:102">
      <c r="B112" s="502"/>
      <c r="C112" s="1589" t="s">
        <v>1402</v>
      </c>
      <c r="D112" s="1590"/>
      <c r="E112" s="1591" t="s">
        <v>21</v>
      </c>
      <c r="F112" s="1591" t="s">
        <v>516</v>
      </c>
      <c r="G112" s="1589" t="s">
        <v>14</v>
      </c>
      <c r="H112" s="2226" t="s">
        <v>521</v>
      </c>
      <c r="I112" s="2227"/>
      <c r="J112" s="1592" t="s">
        <v>279</v>
      </c>
      <c r="K112" s="1593" t="s">
        <v>970</v>
      </c>
      <c r="L112" s="1593">
        <v>50</v>
      </c>
      <c r="M112" s="1593">
        <v>50</v>
      </c>
      <c r="N112" s="467"/>
      <c r="O112" s="551">
        <v>0</v>
      </c>
      <c r="P112" s="552">
        <v>0</v>
      </c>
      <c r="Q112" s="552">
        <v>0</v>
      </c>
      <c r="R112" s="552">
        <v>0</v>
      </c>
      <c r="S112" s="553">
        <v>0</v>
      </c>
      <c r="T112" s="551">
        <v>0</v>
      </c>
      <c r="U112" s="552">
        <v>0</v>
      </c>
      <c r="V112" s="552">
        <v>0</v>
      </c>
      <c r="W112" s="552">
        <v>0</v>
      </c>
      <c r="X112" s="553">
        <v>0</v>
      </c>
      <c r="Y112" s="547"/>
      <c r="Z112" s="551"/>
      <c r="AA112" s="552"/>
      <c r="AB112" s="552"/>
      <c r="AC112" s="552"/>
      <c r="AD112" s="553"/>
      <c r="AE112" s="551"/>
      <c r="AF112" s="552"/>
      <c r="AG112" s="552"/>
      <c r="AH112" s="552"/>
      <c r="AI112" s="553"/>
      <c r="AJ112" s="547"/>
      <c r="AK112" s="551"/>
      <c r="AL112" s="552"/>
      <c r="AM112" s="552"/>
      <c r="AN112" s="552"/>
      <c r="AO112" s="553"/>
      <c r="AP112" s="551"/>
      <c r="AQ112" s="552"/>
      <c r="AR112" s="552"/>
      <c r="AS112" s="552"/>
      <c r="AT112" s="553"/>
      <c r="AU112" s="467"/>
      <c r="AV112" s="524">
        <f t="shared" si="47"/>
        <v>0</v>
      </c>
      <c r="AW112" s="525">
        <f t="shared" si="46"/>
        <v>0</v>
      </c>
      <c r="AX112" s="525">
        <f t="shared" si="46"/>
        <v>0</v>
      </c>
      <c r="AY112" s="525">
        <f t="shared" si="46"/>
        <v>0</v>
      </c>
      <c r="AZ112" s="526">
        <f t="shared" si="46"/>
        <v>0</v>
      </c>
      <c r="BA112" s="524">
        <f t="shared" si="46"/>
        <v>0</v>
      </c>
      <c r="BB112" s="525">
        <f t="shared" si="46"/>
        <v>0</v>
      </c>
      <c r="BC112" s="525">
        <f t="shared" si="46"/>
        <v>0</v>
      </c>
      <c r="BD112" s="525">
        <f t="shared" si="46"/>
        <v>0</v>
      </c>
      <c r="BE112" s="526">
        <f t="shared" si="46"/>
        <v>0</v>
      </c>
      <c r="BF112" s="467"/>
      <c r="BG112" s="524">
        <f t="shared" ca="1" si="52"/>
        <v>0</v>
      </c>
      <c r="BH112" s="525">
        <f t="shared" ca="1" si="50"/>
        <v>0</v>
      </c>
      <c r="BI112" s="525">
        <f t="shared" ca="1" si="50"/>
        <v>0</v>
      </c>
      <c r="BJ112" s="525">
        <f t="shared" ca="1" si="50"/>
        <v>0</v>
      </c>
      <c r="BK112" s="526">
        <f t="shared" ca="1" si="50"/>
        <v>0</v>
      </c>
      <c r="BL112" s="524">
        <f t="shared" ca="1" si="50"/>
        <v>0</v>
      </c>
      <c r="BM112" s="525">
        <f t="shared" ca="1" si="50"/>
        <v>0</v>
      </c>
      <c r="BN112" s="525">
        <f t="shared" ca="1" si="50"/>
        <v>0</v>
      </c>
      <c r="BO112" s="525">
        <f t="shared" ca="1" si="48"/>
        <v>0</v>
      </c>
      <c r="BP112" s="526">
        <f t="shared" ca="1" si="48"/>
        <v>0</v>
      </c>
      <c r="BQ112" s="467"/>
      <c r="BR112" s="524">
        <f>+IF($K112="Ongoing",AV112,IF(RIGHT($K112,2)=RIGHT(BR$40,2),SUM($AV112:AV112),0)+IF(RIGHT(BR$40,2)&gt;RIGHT($K112,2),AV112,0))</f>
        <v>0</v>
      </c>
      <c r="BS112" s="525">
        <f>+IF($K112="Ongoing",AW112,IF(RIGHT($K112,2)=RIGHT(BS$40,2),SUM($AV112:AW112),0)+IF(RIGHT(BS$40,2)&gt;RIGHT($K112,2),AW112,0))</f>
        <v>0</v>
      </c>
      <c r="BT112" s="525">
        <f>+IF($K112="Ongoing",AX112,IF(RIGHT($K112,2)=RIGHT(BT$40,2),SUM($AV112:AX112),0)+IF(RIGHT(BT$40,2)&gt;RIGHT($K112,2),AX112,0))</f>
        <v>0</v>
      </c>
      <c r="BU112" s="525">
        <f>+IF($K112="Ongoing",AY112,IF(RIGHT($K112,2)=RIGHT(BU$40,2),SUM($AV112:AY112),0)+IF(RIGHT(BU$40,2)&gt;RIGHT($K112,2),AY112,0))</f>
        <v>0</v>
      </c>
      <c r="BV112" s="526">
        <f>+IF($K112="Ongoing",AZ112,IF(RIGHT($K112,2)=RIGHT(BV$40,2),SUM($AV112:AZ112),0)+IF(RIGHT(BV$40,2)&gt;RIGHT($K112,2),AZ112,0))</f>
        <v>0</v>
      </c>
      <c r="BW112" s="524">
        <f>+IF($K112="Ongoing",BA112,IF(RIGHT($K112,2)=RIGHT(BW$40,2),SUM($AV112:BA112),0)+IF(RIGHT(BW$40,2)&gt;RIGHT($K112,2),BA112,0))</f>
        <v>0</v>
      </c>
      <c r="BX112" s="525">
        <f>+IF($K112="Ongoing",BB112,IF(RIGHT($K112,2)=RIGHT(BX$40,2),SUM($AV112:BB112),0)+IF(RIGHT(BX$40,2)&gt;RIGHT($K112,2),BB112,0))</f>
        <v>0</v>
      </c>
      <c r="BY112" s="525">
        <f>+IF($K112="Ongoing",BC112,IF(RIGHT($K112,2)=RIGHT(BY$40,2),SUM($AV112:BC112),0)+IF(RIGHT(BY$40,2)&gt;RIGHT($K112,2),BC112,0))</f>
        <v>0</v>
      </c>
      <c r="BZ112" s="525">
        <f>+IF($K112="Ongoing",BD112,IF(RIGHT($K112,2)=RIGHT(BZ$40,2),SUM($AV112:BD112),0)+IF(RIGHT(BZ$40,2)&gt;RIGHT($K112,2),BD112,0))</f>
        <v>0</v>
      </c>
      <c r="CA112" s="526">
        <f>+IF($K112="Ongoing",BE112,IF(RIGHT($K112,2)=RIGHT(CA$40,2),SUM($AV112:BE112),0)+IF(RIGHT(CA$40,2)&gt;RIGHT($K112,2),BE112,0))</f>
        <v>0</v>
      </c>
      <c r="CB112" s="467"/>
      <c r="CC112" s="524">
        <f>+O112*KeyAssumptionsPriceControl_FO!AF$15</f>
        <v>0</v>
      </c>
      <c r="CD112" s="525">
        <f>+P112*KeyAssumptionsPriceControl_FO!AG$15</f>
        <v>0</v>
      </c>
      <c r="CE112" s="525">
        <f>+Q112*KeyAssumptionsPriceControl_FO!AH$15</f>
        <v>0</v>
      </c>
      <c r="CF112" s="525">
        <f>+R112*KeyAssumptionsPriceControl_FO!AI$15</f>
        <v>0</v>
      </c>
      <c r="CG112" s="526">
        <f>+S112*KeyAssumptionsPriceControl_FO!AJ$15</f>
        <v>0</v>
      </c>
      <c r="CH112" s="524">
        <f>+T112*KeyAssumptionsPriceControl_FO!AK$15</f>
        <v>0</v>
      </c>
      <c r="CI112" s="525">
        <f>+U112*KeyAssumptionsPriceControl_FO!AL$15</f>
        <v>0</v>
      </c>
      <c r="CJ112" s="525">
        <f>+V112*KeyAssumptionsPriceControl_FO!AM$15</f>
        <v>0</v>
      </c>
      <c r="CK112" s="525">
        <f>+W112*KeyAssumptionsPriceControl_FO!AN$15</f>
        <v>0</v>
      </c>
      <c r="CL112" s="526">
        <f>+X112*KeyAssumptionsPriceControl_FO!AO$15</f>
        <v>0</v>
      </c>
      <c r="CM112" s="467"/>
      <c r="CN112" s="524">
        <f t="shared" ca="1" si="53"/>
        <v>0</v>
      </c>
      <c r="CO112" s="525">
        <f t="shared" ca="1" si="51"/>
        <v>0</v>
      </c>
      <c r="CP112" s="525">
        <f t="shared" ca="1" si="51"/>
        <v>0</v>
      </c>
      <c r="CQ112" s="525">
        <f t="shared" ca="1" si="51"/>
        <v>0</v>
      </c>
      <c r="CR112" s="526">
        <f t="shared" ca="1" si="51"/>
        <v>0</v>
      </c>
      <c r="CS112" s="524">
        <f t="shared" ca="1" si="51"/>
        <v>0</v>
      </c>
      <c r="CT112" s="525">
        <f t="shared" ca="1" si="51"/>
        <v>0</v>
      </c>
      <c r="CU112" s="525">
        <f t="shared" ca="1" si="51"/>
        <v>0</v>
      </c>
      <c r="CV112" s="525">
        <f t="shared" ca="1" si="49"/>
        <v>0</v>
      </c>
      <c r="CW112" s="526">
        <f t="shared" ca="1" si="49"/>
        <v>0</v>
      </c>
      <c r="CX112" s="467"/>
    </row>
    <row r="113" spans="2:102">
      <c r="B113" s="502"/>
      <c r="C113" s="1589" t="s">
        <v>1403</v>
      </c>
      <c r="D113" s="1590"/>
      <c r="E113" s="1591" t="s">
        <v>20</v>
      </c>
      <c r="F113" s="1591" t="s">
        <v>12</v>
      </c>
      <c r="G113" s="1589" t="s">
        <v>6</v>
      </c>
      <c r="H113" s="2226" t="s">
        <v>521</v>
      </c>
      <c r="I113" s="2227"/>
      <c r="J113" s="1592" t="s">
        <v>279</v>
      </c>
      <c r="K113" s="1593" t="s">
        <v>970</v>
      </c>
      <c r="L113" s="1593">
        <v>50</v>
      </c>
      <c r="M113" s="1593">
        <v>50</v>
      </c>
      <c r="N113" s="467"/>
      <c r="O113" s="551">
        <v>0</v>
      </c>
      <c r="P113" s="552">
        <v>0</v>
      </c>
      <c r="Q113" s="552">
        <v>0</v>
      </c>
      <c r="R113" s="552">
        <v>0</v>
      </c>
      <c r="S113" s="553">
        <v>0</v>
      </c>
      <c r="T113" s="551">
        <v>0</v>
      </c>
      <c r="U113" s="552">
        <v>0</v>
      </c>
      <c r="V113" s="552">
        <v>0</v>
      </c>
      <c r="W113" s="552">
        <v>0</v>
      </c>
      <c r="X113" s="553">
        <v>0</v>
      </c>
      <c r="Y113" s="547"/>
      <c r="Z113" s="551"/>
      <c r="AA113" s="552"/>
      <c r="AB113" s="552"/>
      <c r="AC113" s="552"/>
      <c r="AD113" s="553"/>
      <c r="AE113" s="551"/>
      <c r="AF113" s="552"/>
      <c r="AG113" s="552"/>
      <c r="AH113" s="552"/>
      <c r="AI113" s="553"/>
      <c r="AJ113" s="547"/>
      <c r="AK113" s="551"/>
      <c r="AL113" s="552"/>
      <c r="AM113" s="552"/>
      <c r="AN113" s="552"/>
      <c r="AO113" s="553"/>
      <c r="AP113" s="551"/>
      <c r="AQ113" s="552"/>
      <c r="AR113" s="552"/>
      <c r="AS113" s="552"/>
      <c r="AT113" s="553"/>
      <c r="AU113" s="467"/>
      <c r="AV113" s="524">
        <f t="shared" si="47"/>
        <v>0</v>
      </c>
      <c r="AW113" s="525">
        <f t="shared" si="46"/>
        <v>0</v>
      </c>
      <c r="AX113" s="525">
        <f t="shared" si="46"/>
        <v>0</v>
      </c>
      <c r="AY113" s="525">
        <f t="shared" si="46"/>
        <v>0</v>
      </c>
      <c r="AZ113" s="526">
        <f t="shared" si="46"/>
        <v>0</v>
      </c>
      <c r="BA113" s="524">
        <f t="shared" si="46"/>
        <v>0</v>
      </c>
      <c r="BB113" s="525">
        <f t="shared" si="46"/>
        <v>0</v>
      </c>
      <c r="BC113" s="525">
        <f t="shared" si="46"/>
        <v>0</v>
      </c>
      <c r="BD113" s="525">
        <f t="shared" si="46"/>
        <v>0</v>
      </c>
      <c r="BE113" s="526">
        <f t="shared" si="46"/>
        <v>0</v>
      </c>
      <c r="BF113" s="467"/>
      <c r="BG113" s="524">
        <f t="shared" ca="1" si="52"/>
        <v>0</v>
      </c>
      <c r="BH113" s="525">
        <f t="shared" ca="1" si="50"/>
        <v>0</v>
      </c>
      <c r="BI113" s="525">
        <f t="shared" ca="1" si="50"/>
        <v>0</v>
      </c>
      <c r="BJ113" s="525">
        <f t="shared" ca="1" si="50"/>
        <v>0</v>
      </c>
      <c r="BK113" s="526">
        <f t="shared" ca="1" si="50"/>
        <v>0</v>
      </c>
      <c r="BL113" s="524">
        <f t="shared" ca="1" si="50"/>
        <v>0</v>
      </c>
      <c r="BM113" s="525">
        <f t="shared" ca="1" si="50"/>
        <v>0</v>
      </c>
      <c r="BN113" s="525">
        <f t="shared" ca="1" si="50"/>
        <v>0</v>
      </c>
      <c r="BO113" s="525">
        <f t="shared" ca="1" si="48"/>
        <v>0</v>
      </c>
      <c r="BP113" s="526">
        <f t="shared" ca="1" si="48"/>
        <v>0</v>
      </c>
      <c r="BQ113" s="467"/>
      <c r="BR113" s="524">
        <f>+IF($K113="Ongoing",AV113,IF(RIGHT($K113,2)=RIGHT(BR$40,2),SUM($AV113:AV113),0)+IF(RIGHT(BR$40,2)&gt;RIGHT($K113,2),AV113,0))</f>
        <v>0</v>
      </c>
      <c r="BS113" s="525">
        <f>+IF($K113="Ongoing",AW113,IF(RIGHT($K113,2)=RIGHT(BS$40,2),SUM($AV113:AW113),0)+IF(RIGHT(BS$40,2)&gt;RIGHT($K113,2),AW113,0))</f>
        <v>0</v>
      </c>
      <c r="BT113" s="525">
        <f>+IF($K113="Ongoing",AX113,IF(RIGHT($K113,2)=RIGHT(BT$40,2),SUM($AV113:AX113),0)+IF(RIGHT(BT$40,2)&gt;RIGHT($K113,2),AX113,0))</f>
        <v>0</v>
      </c>
      <c r="BU113" s="525">
        <f>+IF($K113="Ongoing",AY113,IF(RIGHT($K113,2)=RIGHT(BU$40,2),SUM($AV113:AY113),0)+IF(RIGHT(BU$40,2)&gt;RIGHT($K113,2),AY113,0))</f>
        <v>0</v>
      </c>
      <c r="BV113" s="526">
        <f>+IF($K113="Ongoing",AZ113,IF(RIGHT($K113,2)=RIGHT(BV$40,2),SUM($AV113:AZ113),0)+IF(RIGHT(BV$40,2)&gt;RIGHT($K113,2),AZ113,0))</f>
        <v>0</v>
      </c>
      <c r="BW113" s="524">
        <f>+IF($K113="Ongoing",BA113,IF(RIGHT($K113,2)=RIGHT(BW$40,2),SUM($AV113:BA113),0)+IF(RIGHT(BW$40,2)&gt;RIGHT($K113,2),BA113,0))</f>
        <v>0</v>
      </c>
      <c r="BX113" s="525">
        <f>+IF($K113="Ongoing",BB113,IF(RIGHT($K113,2)=RIGHT(BX$40,2),SUM($AV113:BB113),0)+IF(RIGHT(BX$40,2)&gt;RIGHT($K113,2),BB113,0))</f>
        <v>0</v>
      </c>
      <c r="BY113" s="525">
        <f>+IF($K113="Ongoing",BC113,IF(RIGHT($K113,2)=RIGHT(BY$40,2),SUM($AV113:BC113),0)+IF(RIGHT(BY$40,2)&gt;RIGHT($K113,2),BC113,0))</f>
        <v>0</v>
      </c>
      <c r="BZ113" s="525">
        <f>+IF($K113="Ongoing",BD113,IF(RIGHT($K113,2)=RIGHT(BZ$40,2),SUM($AV113:BD113),0)+IF(RIGHT(BZ$40,2)&gt;RIGHT($K113,2),BD113,0))</f>
        <v>0</v>
      </c>
      <c r="CA113" s="526">
        <f>+IF($K113="Ongoing",BE113,IF(RIGHT($K113,2)=RIGHT(CA$40,2),SUM($AV113:BE113),0)+IF(RIGHT(CA$40,2)&gt;RIGHT($K113,2),BE113,0))</f>
        <v>0</v>
      </c>
      <c r="CB113" s="467"/>
      <c r="CC113" s="524">
        <f>+O113*KeyAssumptionsPriceControl_FO!AF$15</f>
        <v>0</v>
      </c>
      <c r="CD113" s="525">
        <f>+P113*KeyAssumptionsPriceControl_FO!AG$15</f>
        <v>0</v>
      </c>
      <c r="CE113" s="525">
        <f>+Q113*KeyAssumptionsPriceControl_FO!AH$15</f>
        <v>0</v>
      </c>
      <c r="CF113" s="525">
        <f>+R113*KeyAssumptionsPriceControl_FO!AI$15</f>
        <v>0</v>
      </c>
      <c r="CG113" s="526">
        <f>+S113*KeyAssumptionsPriceControl_FO!AJ$15</f>
        <v>0</v>
      </c>
      <c r="CH113" s="524">
        <f>+T113*KeyAssumptionsPriceControl_FO!AK$15</f>
        <v>0</v>
      </c>
      <c r="CI113" s="525">
        <f>+U113*KeyAssumptionsPriceControl_FO!AL$15</f>
        <v>0</v>
      </c>
      <c r="CJ113" s="525">
        <f>+V113*KeyAssumptionsPriceControl_FO!AM$15</f>
        <v>0</v>
      </c>
      <c r="CK113" s="525">
        <f>+W113*KeyAssumptionsPriceControl_FO!AN$15</f>
        <v>0</v>
      </c>
      <c r="CL113" s="526">
        <f>+X113*KeyAssumptionsPriceControl_FO!AO$15</f>
        <v>0</v>
      </c>
      <c r="CM113" s="467"/>
      <c r="CN113" s="524">
        <f t="shared" ca="1" si="53"/>
        <v>0</v>
      </c>
      <c r="CO113" s="525">
        <f t="shared" ca="1" si="51"/>
        <v>0</v>
      </c>
      <c r="CP113" s="525">
        <f t="shared" ca="1" si="51"/>
        <v>0</v>
      </c>
      <c r="CQ113" s="525">
        <f t="shared" ca="1" si="51"/>
        <v>0</v>
      </c>
      <c r="CR113" s="526">
        <f t="shared" ca="1" si="51"/>
        <v>0</v>
      </c>
      <c r="CS113" s="524">
        <f t="shared" ca="1" si="51"/>
        <v>0</v>
      </c>
      <c r="CT113" s="525">
        <f t="shared" ca="1" si="51"/>
        <v>0</v>
      </c>
      <c r="CU113" s="525">
        <f t="shared" ca="1" si="51"/>
        <v>0</v>
      </c>
      <c r="CV113" s="525">
        <f t="shared" ca="1" si="49"/>
        <v>0</v>
      </c>
      <c r="CW113" s="526">
        <f t="shared" ca="1" si="49"/>
        <v>0</v>
      </c>
      <c r="CX113" s="467"/>
    </row>
    <row r="114" spans="2:102">
      <c r="B114" s="502"/>
      <c r="C114" s="1589" t="s">
        <v>1404</v>
      </c>
      <c r="D114" s="1590"/>
      <c r="E114" s="1591" t="s">
        <v>21</v>
      </c>
      <c r="F114" s="1591" t="s">
        <v>516</v>
      </c>
      <c r="G114" s="1589" t="s">
        <v>6</v>
      </c>
      <c r="H114" s="2226" t="s">
        <v>521</v>
      </c>
      <c r="I114" s="2227"/>
      <c r="J114" s="1592" t="s">
        <v>279</v>
      </c>
      <c r="K114" s="1593" t="s">
        <v>970</v>
      </c>
      <c r="L114" s="1593">
        <v>25</v>
      </c>
      <c r="M114" s="1593">
        <v>25</v>
      </c>
      <c r="N114" s="467"/>
      <c r="O114" s="551">
        <v>0</v>
      </c>
      <c r="P114" s="552">
        <v>0</v>
      </c>
      <c r="Q114" s="552">
        <v>0</v>
      </c>
      <c r="R114" s="552">
        <v>0</v>
      </c>
      <c r="S114" s="553">
        <v>0</v>
      </c>
      <c r="T114" s="551">
        <v>0</v>
      </c>
      <c r="U114" s="552">
        <v>0</v>
      </c>
      <c r="V114" s="552">
        <v>0</v>
      </c>
      <c r="W114" s="552">
        <v>0</v>
      </c>
      <c r="X114" s="553">
        <v>0</v>
      </c>
      <c r="Y114" s="547"/>
      <c r="Z114" s="551"/>
      <c r="AA114" s="552"/>
      <c r="AB114" s="552"/>
      <c r="AC114" s="552"/>
      <c r="AD114" s="553"/>
      <c r="AE114" s="551"/>
      <c r="AF114" s="552"/>
      <c r="AG114" s="552"/>
      <c r="AH114" s="552"/>
      <c r="AI114" s="553"/>
      <c r="AJ114" s="547"/>
      <c r="AK114" s="551"/>
      <c r="AL114" s="552"/>
      <c r="AM114" s="552"/>
      <c r="AN114" s="552"/>
      <c r="AO114" s="553"/>
      <c r="AP114" s="551"/>
      <c r="AQ114" s="552"/>
      <c r="AR114" s="552"/>
      <c r="AS114" s="552"/>
      <c r="AT114" s="553"/>
      <c r="AU114" s="467"/>
      <c r="AV114" s="524">
        <f t="shared" si="47"/>
        <v>0</v>
      </c>
      <c r="AW114" s="525">
        <f t="shared" si="46"/>
        <v>0</v>
      </c>
      <c r="AX114" s="525">
        <f t="shared" si="46"/>
        <v>0</v>
      </c>
      <c r="AY114" s="525">
        <f t="shared" si="46"/>
        <v>0</v>
      </c>
      <c r="AZ114" s="526">
        <f t="shared" ref="AZ114:BE146" si="54">+S114-AD114-AO114</f>
        <v>0</v>
      </c>
      <c r="BA114" s="524">
        <f t="shared" si="54"/>
        <v>0</v>
      </c>
      <c r="BB114" s="525">
        <f t="shared" si="54"/>
        <v>0</v>
      </c>
      <c r="BC114" s="525">
        <f t="shared" si="54"/>
        <v>0</v>
      </c>
      <c r="BD114" s="525">
        <f t="shared" si="54"/>
        <v>0</v>
      </c>
      <c r="BE114" s="526">
        <f t="shared" si="54"/>
        <v>0</v>
      </c>
      <c r="BF114" s="467"/>
      <c r="BG114" s="524">
        <f t="shared" ca="1" si="52"/>
        <v>0</v>
      </c>
      <c r="BH114" s="525">
        <f t="shared" ca="1" si="50"/>
        <v>0</v>
      </c>
      <c r="BI114" s="525">
        <f t="shared" ca="1" si="50"/>
        <v>0</v>
      </c>
      <c r="BJ114" s="525">
        <f t="shared" ca="1" si="50"/>
        <v>0</v>
      </c>
      <c r="BK114" s="526">
        <f t="shared" ca="1" si="50"/>
        <v>0</v>
      </c>
      <c r="BL114" s="524">
        <f t="shared" ca="1" si="50"/>
        <v>0</v>
      </c>
      <c r="BM114" s="525">
        <f t="shared" ca="1" si="50"/>
        <v>0</v>
      </c>
      <c r="BN114" s="525">
        <f t="shared" ca="1" si="50"/>
        <v>0</v>
      </c>
      <c r="BO114" s="525">
        <f t="shared" ca="1" si="48"/>
        <v>0</v>
      </c>
      <c r="BP114" s="526">
        <f t="shared" ca="1" si="48"/>
        <v>0</v>
      </c>
      <c r="BQ114" s="467"/>
      <c r="BR114" s="524">
        <f>+IF($K114="Ongoing",AV114,IF(RIGHT($K114,2)=RIGHT(BR$40,2),SUM($AV114:AV114),0)+IF(RIGHT(BR$40,2)&gt;RIGHT($K114,2),AV114,0))</f>
        <v>0</v>
      </c>
      <c r="BS114" s="525">
        <f>+IF($K114="Ongoing",AW114,IF(RIGHT($K114,2)=RIGHT(BS$40,2),SUM($AV114:AW114),0)+IF(RIGHT(BS$40,2)&gt;RIGHT($K114,2),AW114,0))</f>
        <v>0</v>
      </c>
      <c r="BT114" s="525">
        <f>+IF($K114="Ongoing",AX114,IF(RIGHT($K114,2)=RIGHT(BT$40,2),SUM($AV114:AX114),0)+IF(RIGHT(BT$40,2)&gt;RIGHT($K114,2),AX114,0))</f>
        <v>0</v>
      </c>
      <c r="BU114" s="525">
        <f>+IF($K114="Ongoing",AY114,IF(RIGHT($K114,2)=RIGHT(BU$40,2),SUM($AV114:AY114),0)+IF(RIGHT(BU$40,2)&gt;RIGHT($K114,2),AY114,0))</f>
        <v>0</v>
      </c>
      <c r="BV114" s="526">
        <f>+IF($K114="Ongoing",AZ114,IF(RIGHT($K114,2)=RIGHT(BV$40,2),SUM($AV114:AZ114),0)+IF(RIGHT(BV$40,2)&gt;RIGHT($K114,2),AZ114,0))</f>
        <v>0</v>
      </c>
      <c r="BW114" s="524">
        <f>+IF($K114="Ongoing",BA114,IF(RIGHT($K114,2)=RIGHT(BW$40,2),SUM($AV114:BA114),0)+IF(RIGHT(BW$40,2)&gt;RIGHT($K114,2),BA114,0))</f>
        <v>0</v>
      </c>
      <c r="BX114" s="525">
        <f>+IF($K114="Ongoing",BB114,IF(RIGHT($K114,2)=RIGHT(BX$40,2),SUM($AV114:BB114),0)+IF(RIGHT(BX$40,2)&gt;RIGHT($K114,2),BB114,0))</f>
        <v>0</v>
      </c>
      <c r="BY114" s="525">
        <f>+IF($K114="Ongoing",BC114,IF(RIGHT($K114,2)=RIGHT(BY$40,2),SUM($AV114:BC114),0)+IF(RIGHT(BY$40,2)&gt;RIGHT($K114,2),BC114,0))</f>
        <v>0</v>
      </c>
      <c r="BZ114" s="525">
        <f>+IF($K114="Ongoing",BD114,IF(RIGHT($K114,2)=RIGHT(BZ$40,2),SUM($AV114:BD114),0)+IF(RIGHT(BZ$40,2)&gt;RIGHT($K114,2),BD114,0))</f>
        <v>0</v>
      </c>
      <c r="CA114" s="526">
        <f>+IF($K114="Ongoing",BE114,IF(RIGHT($K114,2)=RIGHT(CA$40,2),SUM($AV114:BE114),0)+IF(RIGHT(CA$40,2)&gt;RIGHT($K114,2),BE114,0))</f>
        <v>0</v>
      </c>
      <c r="CB114" s="467"/>
      <c r="CC114" s="524">
        <f>+O114*KeyAssumptionsPriceControl_FO!AF$15</f>
        <v>0</v>
      </c>
      <c r="CD114" s="525">
        <f>+P114*KeyAssumptionsPriceControl_FO!AG$15</f>
        <v>0</v>
      </c>
      <c r="CE114" s="525">
        <f>+Q114*KeyAssumptionsPriceControl_FO!AH$15</f>
        <v>0</v>
      </c>
      <c r="CF114" s="525">
        <f>+R114*KeyAssumptionsPriceControl_FO!AI$15</f>
        <v>0</v>
      </c>
      <c r="CG114" s="526">
        <f>+S114*KeyAssumptionsPriceControl_FO!AJ$15</f>
        <v>0</v>
      </c>
      <c r="CH114" s="524">
        <f>+T114*KeyAssumptionsPriceControl_FO!AK$15</f>
        <v>0</v>
      </c>
      <c r="CI114" s="525">
        <f>+U114*KeyAssumptionsPriceControl_FO!AL$15</f>
        <v>0</v>
      </c>
      <c r="CJ114" s="525">
        <f>+V114*KeyAssumptionsPriceControl_FO!AM$15</f>
        <v>0</v>
      </c>
      <c r="CK114" s="525">
        <f>+W114*KeyAssumptionsPriceControl_FO!AN$15</f>
        <v>0</v>
      </c>
      <c r="CL114" s="526">
        <f>+X114*KeyAssumptionsPriceControl_FO!AO$15</f>
        <v>0</v>
      </c>
      <c r="CM114" s="467"/>
      <c r="CN114" s="524">
        <f t="shared" ca="1" si="53"/>
        <v>0</v>
      </c>
      <c r="CO114" s="525">
        <f t="shared" ca="1" si="51"/>
        <v>0</v>
      </c>
      <c r="CP114" s="525">
        <f t="shared" ca="1" si="51"/>
        <v>0</v>
      </c>
      <c r="CQ114" s="525">
        <f t="shared" ca="1" si="51"/>
        <v>0</v>
      </c>
      <c r="CR114" s="526">
        <f t="shared" ca="1" si="51"/>
        <v>0</v>
      </c>
      <c r="CS114" s="524">
        <f t="shared" ca="1" si="51"/>
        <v>0</v>
      </c>
      <c r="CT114" s="525">
        <f t="shared" ca="1" si="51"/>
        <v>0</v>
      </c>
      <c r="CU114" s="525">
        <f t="shared" ca="1" si="51"/>
        <v>0</v>
      </c>
      <c r="CV114" s="525">
        <f t="shared" ca="1" si="49"/>
        <v>0</v>
      </c>
      <c r="CW114" s="526">
        <f t="shared" ca="1" si="49"/>
        <v>0</v>
      </c>
      <c r="CX114" s="467"/>
    </row>
    <row r="115" spans="2:102">
      <c r="B115" s="502"/>
      <c r="C115" s="1589" t="s">
        <v>1405</v>
      </c>
      <c r="D115" s="1590"/>
      <c r="E115" s="1591" t="s">
        <v>21</v>
      </c>
      <c r="F115" s="1591" t="s">
        <v>12</v>
      </c>
      <c r="G115" s="1589" t="s">
        <v>6</v>
      </c>
      <c r="H115" s="2226" t="s">
        <v>521</v>
      </c>
      <c r="I115" s="2227"/>
      <c r="J115" s="1592" t="s">
        <v>279</v>
      </c>
      <c r="K115" s="1593" t="s">
        <v>970</v>
      </c>
      <c r="L115" s="1593">
        <v>40</v>
      </c>
      <c r="M115" s="1593">
        <v>40</v>
      </c>
      <c r="N115" s="467"/>
      <c r="O115" s="551">
        <v>0</v>
      </c>
      <c r="P115" s="552">
        <v>0</v>
      </c>
      <c r="Q115" s="552">
        <v>0</v>
      </c>
      <c r="R115" s="552">
        <v>0</v>
      </c>
      <c r="S115" s="553">
        <v>0</v>
      </c>
      <c r="T115" s="551">
        <v>0</v>
      </c>
      <c r="U115" s="552">
        <v>0</v>
      </c>
      <c r="V115" s="552">
        <v>0</v>
      </c>
      <c r="W115" s="552">
        <v>0</v>
      </c>
      <c r="X115" s="553">
        <v>0</v>
      </c>
      <c r="Y115" s="547"/>
      <c r="Z115" s="551"/>
      <c r="AA115" s="552"/>
      <c r="AB115" s="552"/>
      <c r="AC115" s="552"/>
      <c r="AD115" s="553"/>
      <c r="AE115" s="551"/>
      <c r="AF115" s="552"/>
      <c r="AG115" s="552"/>
      <c r="AH115" s="552"/>
      <c r="AI115" s="553"/>
      <c r="AJ115" s="547"/>
      <c r="AK115" s="551"/>
      <c r="AL115" s="552"/>
      <c r="AM115" s="552"/>
      <c r="AN115" s="552"/>
      <c r="AO115" s="553"/>
      <c r="AP115" s="551"/>
      <c r="AQ115" s="552"/>
      <c r="AR115" s="552"/>
      <c r="AS115" s="552"/>
      <c r="AT115" s="553"/>
      <c r="AU115" s="467"/>
      <c r="AV115" s="524">
        <f t="shared" si="47"/>
        <v>0</v>
      </c>
      <c r="AW115" s="525">
        <f t="shared" si="47"/>
        <v>0</v>
      </c>
      <c r="AX115" s="525">
        <f t="shared" si="47"/>
        <v>0</v>
      </c>
      <c r="AY115" s="525">
        <f t="shared" si="47"/>
        <v>0</v>
      </c>
      <c r="AZ115" s="526">
        <f t="shared" si="54"/>
        <v>0</v>
      </c>
      <c r="BA115" s="524">
        <f t="shared" si="54"/>
        <v>0</v>
      </c>
      <c r="BB115" s="525">
        <f t="shared" si="54"/>
        <v>0</v>
      </c>
      <c r="BC115" s="525">
        <f t="shared" si="54"/>
        <v>0</v>
      </c>
      <c r="BD115" s="525">
        <f t="shared" si="54"/>
        <v>0</v>
      </c>
      <c r="BE115" s="526">
        <f t="shared" si="54"/>
        <v>0</v>
      </c>
      <c r="BF115" s="467"/>
      <c r="BG115" s="524">
        <f t="shared" ca="1" si="52"/>
        <v>0</v>
      </c>
      <c r="BH115" s="525">
        <f t="shared" ca="1" si="50"/>
        <v>0</v>
      </c>
      <c r="BI115" s="525">
        <f t="shared" ca="1" si="50"/>
        <v>0</v>
      </c>
      <c r="BJ115" s="525">
        <f t="shared" ca="1" si="50"/>
        <v>0</v>
      </c>
      <c r="BK115" s="526">
        <f t="shared" ca="1" si="50"/>
        <v>0</v>
      </c>
      <c r="BL115" s="524">
        <f t="shared" ca="1" si="50"/>
        <v>0</v>
      </c>
      <c r="BM115" s="525">
        <f t="shared" ca="1" si="50"/>
        <v>0</v>
      </c>
      <c r="BN115" s="525">
        <f t="shared" ca="1" si="50"/>
        <v>0</v>
      </c>
      <c r="BO115" s="525">
        <f t="shared" ca="1" si="48"/>
        <v>0</v>
      </c>
      <c r="BP115" s="526">
        <f t="shared" ca="1" si="48"/>
        <v>0</v>
      </c>
      <c r="BQ115" s="467"/>
      <c r="BR115" s="524">
        <f>+IF($K115="Ongoing",AV115,IF(RIGHT($K115,2)=RIGHT(BR$40,2),SUM($AV115:AV115),0)+IF(RIGHT(BR$40,2)&gt;RIGHT($K115,2),AV115,0))</f>
        <v>0</v>
      </c>
      <c r="BS115" s="525">
        <f>+IF($K115="Ongoing",AW115,IF(RIGHT($K115,2)=RIGHT(BS$40,2),SUM($AV115:AW115),0)+IF(RIGHT(BS$40,2)&gt;RIGHT($K115,2),AW115,0))</f>
        <v>0</v>
      </c>
      <c r="BT115" s="525">
        <f>+IF($K115="Ongoing",AX115,IF(RIGHT($K115,2)=RIGHT(BT$40,2),SUM($AV115:AX115),0)+IF(RIGHT(BT$40,2)&gt;RIGHT($K115,2),AX115,0))</f>
        <v>0</v>
      </c>
      <c r="BU115" s="525">
        <f>+IF($K115="Ongoing",AY115,IF(RIGHT($K115,2)=RIGHT(BU$40,2),SUM($AV115:AY115),0)+IF(RIGHT(BU$40,2)&gt;RIGHT($K115,2),AY115,0))</f>
        <v>0</v>
      </c>
      <c r="BV115" s="526">
        <f>+IF($K115="Ongoing",AZ115,IF(RIGHT($K115,2)=RIGHT(BV$40,2),SUM($AV115:AZ115),0)+IF(RIGHT(BV$40,2)&gt;RIGHT($K115,2),AZ115,0))</f>
        <v>0</v>
      </c>
      <c r="BW115" s="524">
        <f>+IF($K115="Ongoing",BA115,IF(RIGHT($K115,2)=RIGHT(BW$40,2),SUM($AV115:BA115),0)+IF(RIGHT(BW$40,2)&gt;RIGHT($K115,2),BA115,0))</f>
        <v>0</v>
      </c>
      <c r="BX115" s="525">
        <f>+IF($K115="Ongoing",BB115,IF(RIGHT($K115,2)=RIGHT(BX$40,2),SUM($AV115:BB115),0)+IF(RIGHT(BX$40,2)&gt;RIGHT($K115,2),BB115,0))</f>
        <v>0</v>
      </c>
      <c r="BY115" s="525">
        <f>+IF($K115="Ongoing",BC115,IF(RIGHT($K115,2)=RIGHT(BY$40,2),SUM($AV115:BC115),0)+IF(RIGHT(BY$40,2)&gt;RIGHT($K115,2),BC115,0))</f>
        <v>0</v>
      </c>
      <c r="BZ115" s="525">
        <f>+IF($K115="Ongoing",BD115,IF(RIGHT($K115,2)=RIGHT(BZ$40,2),SUM($AV115:BD115),0)+IF(RIGHT(BZ$40,2)&gt;RIGHT($K115,2),BD115,0))</f>
        <v>0</v>
      </c>
      <c r="CA115" s="526">
        <f>+IF($K115="Ongoing",BE115,IF(RIGHT($K115,2)=RIGHT(CA$40,2),SUM($AV115:BE115),0)+IF(RIGHT(CA$40,2)&gt;RIGHT($K115,2),BE115,0))</f>
        <v>0</v>
      </c>
      <c r="CB115" s="467"/>
      <c r="CC115" s="524">
        <f>+O115*KeyAssumptionsPriceControl_FO!AF$15</f>
        <v>0</v>
      </c>
      <c r="CD115" s="525">
        <f>+P115*KeyAssumptionsPriceControl_FO!AG$15</f>
        <v>0</v>
      </c>
      <c r="CE115" s="525">
        <f>+Q115*KeyAssumptionsPriceControl_FO!AH$15</f>
        <v>0</v>
      </c>
      <c r="CF115" s="525">
        <f>+R115*KeyAssumptionsPriceControl_FO!AI$15</f>
        <v>0</v>
      </c>
      <c r="CG115" s="526">
        <f>+S115*KeyAssumptionsPriceControl_FO!AJ$15</f>
        <v>0</v>
      </c>
      <c r="CH115" s="524">
        <f>+T115*KeyAssumptionsPriceControl_FO!AK$15</f>
        <v>0</v>
      </c>
      <c r="CI115" s="525">
        <f>+U115*KeyAssumptionsPriceControl_FO!AL$15</f>
        <v>0</v>
      </c>
      <c r="CJ115" s="525">
        <f>+V115*KeyAssumptionsPriceControl_FO!AM$15</f>
        <v>0</v>
      </c>
      <c r="CK115" s="525">
        <f>+W115*KeyAssumptionsPriceControl_FO!AN$15</f>
        <v>0</v>
      </c>
      <c r="CL115" s="526">
        <f>+X115*KeyAssumptionsPriceControl_FO!AO$15</f>
        <v>0</v>
      </c>
      <c r="CM115" s="467"/>
      <c r="CN115" s="524">
        <f t="shared" ca="1" si="53"/>
        <v>0</v>
      </c>
      <c r="CO115" s="525">
        <f t="shared" ca="1" si="51"/>
        <v>0</v>
      </c>
      <c r="CP115" s="525">
        <f t="shared" ca="1" si="51"/>
        <v>0</v>
      </c>
      <c r="CQ115" s="525">
        <f t="shared" ca="1" si="51"/>
        <v>0</v>
      </c>
      <c r="CR115" s="526">
        <f t="shared" ca="1" si="51"/>
        <v>0</v>
      </c>
      <c r="CS115" s="524">
        <f t="shared" ca="1" si="51"/>
        <v>0</v>
      </c>
      <c r="CT115" s="525">
        <f t="shared" ca="1" si="51"/>
        <v>0</v>
      </c>
      <c r="CU115" s="525">
        <f t="shared" ca="1" si="51"/>
        <v>0</v>
      </c>
      <c r="CV115" s="525">
        <f t="shared" ca="1" si="49"/>
        <v>0</v>
      </c>
      <c r="CW115" s="526">
        <f t="shared" ca="1" si="49"/>
        <v>0</v>
      </c>
      <c r="CX115" s="467"/>
    </row>
    <row r="116" spans="2:102">
      <c r="B116" s="502"/>
      <c r="C116" s="1589" t="s">
        <v>1406</v>
      </c>
      <c r="D116" s="1590"/>
      <c r="E116" s="1591" t="s">
        <v>20</v>
      </c>
      <c r="F116" s="1591" t="s">
        <v>516</v>
      </c>
      <c r="G116" s="1589" t="s">
        <v>6</v>
      </c>
      <c r="H116" s="2226" t="s">
        <v>521</v>
      </c>
      <c r="I116" s="2227"/>
      <c r="J116" s="1592" t="s">
        <v>279</v>
      </c>
      <c r="K116" s="1593" t="s">
        <v>966</v>
      </c>
      <c r="L116" s="1593">
        <v>25</v>
      </c>
      <c r="M116" s="1593">
        <v>25</v>
      </c>
      <c r="N116" s="467"/>
      <c r="O116" s="551">
        <v>0</v>
      </c>
      <c r="P116" s="552">
        <v>0</v>
      </c>
      <c r="Q116" s="552">
        <v>0</v>
      </c>
      <c r="R116" s="552">
        <v>0</v>
      </c>
      <c r="S116" s="553">
        <v>0</v>
      </c>
      <c r="T116" s="551">
        <v>1</v>
      </c>
      <c r="U116" s="552">
        <v>0</v>
      </c>
      <c r="V116" s="552">
        <v>0</v>
      </c>
      <c r="W116" s="552">
        <v>0</v>
      </c>
      <c r="X116" s="553">
        <v>0</v>
      </c>
      <c r="Y116" s="547"/>
      <c r="Z116" s="551"/>
      <c r="AA116" s="552"/>
      <c r="AB116" s="552"/>
      <c r="AC116" s="552"/>
      <c r="AD116" s="553"/>
      <c r="AE116" s="551"/>
      <c r="AF116" s="552"/>
      <c r="AG116" s="552"/>
      <c r="AH116" s="552"/>
      <c r="AI116" s="553"/>
      <c r="AJ116" s="547"/>
      <c r="AK116" s="551"/>
      <c r="AL116" s="552"/>
      <c r="AM116" s="552"/>
      <c r="AN116" s="552"/>
      <c r="AO116" s="553"/>
      <c r="AP116" s="551"/>
      <c r="AQ116" s="552"/>
      <c r="AR116" s="552"/>
      <c r="AS116" s="552"/>
      <c r="AT116" s="553"/>
      <c r="AU116" s="467"/>
      <c r="AV116" s="524">
        <f t="shared" si="47"/>
        <v>0</v>
      </c>
      <c r="AW116" s="525">
        <f t="shared" si="47"/>
        <v>0</v>
      </c>
      <c r="AX116" s="525">
        <f t="shared" si="47"/>
        <v>0</v>
      </c>
      <c r="AY116" s="525">
        <f t="shared" si="47"/>
        <v>0</v>
      </c>
      <c r="AZ116" s="526">
        <f t="shared" si="54"/>
        <v>0</v>
      </c>
      <c r="BA116" s="524">
        <f t="shared" si="54"/>
        <v>1</v>
      </c>
      <c r="BB116" s="525">
        <f t="shared" si="54"/>
        <v>0</v>
      </c>
      <c r="BC116" s="525">
        <f t="shared" si="54"/>
        <v>0</v>
      </c>
      <c r="BD116" s="525">
        <f t="shared" si="54"/>
        <v>0</v>
      </c>
      <c r="BE116" s="526">
        <f t="shared" si="54"/>
        <v>0</v>
      </c>
      <c r="BF116" s="467"/>
      <c r="BG116" s="524">
        <f t="shared" ca="1" si="52"/>
        <v>0</v>
      </c>
      <c r="BH116" s="525">
        <f t="shared" ca="1" si="50"/>
        <v>0</v>
      </c>
      <c r="BI116" s="525">
        <f t="shared" ca="1" si="50"/>
        <v>0</v>
      </c>
      <c r="BJ116" s="525">
        <f t="shared" ca="1" si="50"/>
        <v>0</v>
      </c>
      <c r="BK116" s="526">
        <f t="shared" ca="1" si="50"/>
        <v>0</v>
      </c>
      <c r="BL116" s="524">
        <f t="shared" ca="1" si="50"/>
        <v>0.02</v>
      </c>
      <c r="BM116" s="525">
        <f t="shared" ca="1" si="50"/>
        <v>0.04</v>
      </c>
      <c r="BN116" s="525">
        <f t="shared" ca="1" si="50"/>
        <v>0.04</v>
      </c>
      <c r="BO116" s="525">
        <f t="shared" ca="1" si="48"/>
        <v>0.04</v>
      </c>
      <c r="BP116" s="526">
        <f t="shared" ca="1" si="48"/>
        <v>0.04</v>
      </c>
      <c r="BQ116" s="467"/>
      <c r="BR116" s="524">
        <f>+IF($K116="Ongoing",AV116,IF(RIGHT($K116,2)=RIGHT(BR$40,2),SUM($AV116:AV116),0)+IF(RIGHT(BR$40,2)&gt;RIGHT($K116,2),AV116,0))</f>
        <v>0</v>
      </c>
      <c r="BS116" s="525">
        <f>+IF($K116="Ongoing",AW116,IF(RIGHT($K116,2)=RIGHT(BS$40,2),SUM($AV116:AW116),0)+IF(RIGHT(BS$40,2)&gt;RIGHT($K116,2),AW116,0))</f>
        <v>0</v>
      </c>
      <c r="BT116" s="525">
        <f>+IF($K116="Ongoing",AX116,IF(RIGHT($K116,2)=RIGHT(BT$40,2),SUM($AV116:AX116),0)+IF(RIGHT(BT$40,2)&gt;RIGHT($K116,2),AX116,0))</f>
        <v>0</v>
      </c>
      <c r="BU116" s="525">
        <f>+IF($K116="Ongoing",AY116,IF(RIGHT($K116,2)=RIGHT(BU$40,2),SUM($AV116:AY116),0)+IF(RIGHT(BU$40,2)&gt;RIGHT($K116,2),AY116,0))</f>
        <v>0</v>
      </c>
      <c r="BV116" s="526">
        <f>+IF($K116="Ongoing",AZ116,IF(RIGHT($K116,2)=RIGHT(BV$40,2),SUM($AV116:AZ116),0)+IF(RIGHT(BV$40,2)&gt;RIGHT($K116,2),AZ116,0))</f>
        <v>0</v>
      </c>
      <c r="BW116" s="524">
        <f>+IF($K116="Ongoing",BA116,IF(RIGHT($K116,2)=RIGHT(BW$40,2),SUM($AV116:BA116),0)+IF(RIGHT(BW$40,2)&gt;RIGHT($K116,2),BA116,0))</f>
        <v>1</v>
      </c>
      <c r="BX116" s="525">
        <f>+IF($K116="Ongoing",BB116,IF(RIGHT($K116,2)=RIGHT(BX$40,2),SUM($AV116:BB116),0)+IF(RIGHT(BX$40,2)&gt;RIGHT($K116,2),BB116,0))</f>
        <v>0</v>
      </c>
      <c r="BY116" s="525">
        <f>+IF($K116="Ongoing",BC116,IF(RIGHT($K116,2)=RIGHT(BY$40,2),SUM($AV116:BC116),0)+IF(RIGHT(BY$40,2)&gt;RIGHT($K116,2),BC116,0))</f>
        <v>0</v>
      </c>
      <c r="BZ116" s="525">
        <f>+IF($K116="Ongoing",BD116,IF(RIGHT($K116,2)=RIGHT(BZ$40,2),SUM($AV116:BD116),0)+IF(RIGHT(BZ$40,2)&gt;RIGHT($K116,2),BD116,0))</f>
        <v>0</v>
      </c>
      <c r="CA116" s="526">
        <f>+IF($K116="Ongoing",BE116,IF(RIGHT($K116,2)=RIGHT(CA$40,2),SUM($AV116:BE116),0)+IF(RIGHT(CA$40,2)&gt;RIGHT($K116,2),BE116,0))</f>
        <v>0</v>
      </c>
      <c r="CB116" s="467"/>
      <c r="CC116" s="524">
        <f>+O116*KeyAssumptionsPriceControl_FO!AF$15</f>
        <v>0</v>
      </c>
      <c r="CD116" s="525">
        <f>+P116*KeyAssumptionsPriceControl_FO!AG$15</f>
        <v>0</v>
      </c>
      <c r="CE116" s="525">
        <f>+Q116*KeyAssumptionsPriceControl_FO!AH$15</f>
        <v>0</v>
      </c>
      <c r="CF116" s="525">
        <f>+R116*KeyAssumptionsPriceControl_FO!AI$15</f>
        <v>0</v>
      </c>
      <c r="CG116" s="526">
        <f>+S116*KeyAssumptionsPriceControl_FO!AJ$15</f>
        <v>0</v>
      </c>
      <c r="CH116" s="524">
        <f>+T116*KeyAssumptionsPriceControl_FO!AK$15</f>
        <v>1.187113512876717</v>
      </c>
      <c r="CI116" s="525">
        <f>+U116*KeyAssumptionsPriceControl_FO!AL$15</f>
        <v>0</v>
      </c>
      <c r="CJ116" s="525">
        <f>+V116*KeyAssumptionsPriceControl_FO!AM$15</f>
        <v>0</v>
      </c>
      <c r="CK116" s="525">
        <f>+W116*KeyAssumptionsPriceControl_FO!AN$15</f>
        <v>0</v>
      </c>
      <c r="CL116" s="526">
        <f>+X116*KeyAssumptionsPriceControl_FO!AO$15</f>
        <v>0</v>
      </c>
      <c r="CM116" s="467"/>
      <c r="CN116" s="524">
        <f t="shared" ca="1" si="53"/>
        <v>0</v>
      </c>
      <c r="CO116" s="525">
        <f t="shared" ca="1" si="51"/>
        <v>0</v>
      </c>
      <c r="CP116" s="525">
        <f t="shared" ca="1" si="51"/>
        <v>0</v>
      </c>
      <c r="CQ116" s="525">
        <f t="shared" ca="1" si="51"/>
        <v>0</v>
      </c>
      <c r="CR116" s="526">
        <f t="shared" ca="1" si="51"/>
        <v>0</v>
      </c>
      <c r="CS116" s="524">
        <f t="shared" ca="1" si="51"/>
        <v>2.374227025753434E-2</v>
      </c>
      <c r="CT116" s="525">
        <f t="shared" ca="1" si="51"/>
        <v>4.7484540515068681E-2</v>
      </c>
      <c r="CU116" s="525">
        <f t="shared" ca="1" si="51"/>
        <v>4.7484540515068681E-2</v>
      </c>
      <c r="CV116" s="525">
        <f t="shared" ca="1" si="49"/>
        <v>4.7484540515068681E-2</v>
      </c>
      <c r="CW116" s="526">
        <f t="shared" ca="1" si="49"/>
        <v>4.7484540515068681E-2</v>
      </c>
      <c r="CX116" s="467"/>
    </row>
    <row r="117" spans="2:102">
      <c r="B117" s="502"/>
      <c r="C117" s="1589" t="s">
        <v>1407</v>
      </c>
      <c r="D117" s="1590"/>
      <c r="E117" s="1591" t="s">
        <v>20</v>
      </c>
      <c r="F117" s="1591" t="s">
        <v>12</v>
      </c>
      <c r="G117" s="1589" t="s">
        <v>6</v>
      </c>
      <c r="H117" s="2226" t="s">
        <v>521</v>
      </c>
      <c r="I117" s="2227"/>
      <c r="J117" s="1592" t="s">
        <v>279</v>
      </c>
      <c r="K117" s="1593" t="s">
        <v>965</v>
      </c>
      <c r="L117" s="1593">
        <v>10</v>
      </c>
      <c r="M117" s="1593">
        <v>10</v>
      </c>
      <c r="N117" s="467"/>
      <c r="O117" s="551">
        <v>0.3</v>
      </c>
      <c r="P117" s="552">
        <v>0.3</v>
      </c>
      <c r="Q117" s="552">
        <v>0.3</v>
      </c>
      <c r="R117" s="552">
        <v>0.3</v>
      </c>
      <c r="S117" s="553">
        <v>0.3</v>
      </c>
      <c r="T117" s="551">
        <v>0</v>
      </c>
      <c r="U117" s="552">
        <v>0</v>
      </c>
      <c r="V117" s="552">
        <v>0</v>
      </c>
      <c r="W117" s="552">
        <v>0</v>
      </c>
      <c r="X117" s="553">
        <v>0</v>
      </c>
      <c r="Y117" s="547"/>
      <c r="Z117" s="551"/>
      <c r="AA117" s="552"/>
      <c r="AB117" s="552"/>
      <c r="AC117" s="552"/>
      <c r="AD117" s="553"/>
      <c r="AE117" s="551"/>
      <c r="AF117" s="552"/>
      <c r="AG117" s="552"/>
      <c r="AH117" s="552"/>
      <c r="AI117" s="553"/>
      <c r="AJ117" s="547"/>
      <c r="AK117" s="551"/>
      <c r="AL117" s="552"/>
      <c r="AM117" s="552"/>
      <c r="AN117" s="552"/>
      <c r="AO117" s="553"/>
      <c r="AP117" s="551"/>
      <c r="AQ117" s="552"/>
      <c r="AR117" s="552"/>
      <c r="AS117" s="552"/>
      <c r="AT117" s="553"/>
      <c r="AU117" s="467"/>
      <c r="AV117" s="524">
        <f t="shared" si="47"/>
        <v>0.3</v>
      </c>
      <c r="AW117" s="525">
        <f t="shared" si="47"/>
        <v>0.3</v>
      </c>
      <c r="AX117" s="525">
        <f t="shared" si="47"/>
        <v>0.3</v>
      </c>
      <c r="AY117" s="525">
        <f t="shared" si="47"/>
        <v>0.3</v>
      </c>
      <c r="AZ117" s="526">
        <f t="shared" si="54"/>
        <v>0.3</v>
      </c>
      <c r="BA117" s="524">
        <f t="shared" si="54"/>
        <v>0</v>
      </c>
      <c r="BB117" s="525">
        <f t="shared" si="54"/>
        <v>0</v>
      </c>
      <c r="BC117" s="525">
        <f t="shared" si="54"/>
        <v>0</v>
      </c>
      <c r="BD117" s="525">
        <f t="shared" si="54"/>
        <v>0</v>
      </c>
      <c r="BE117" s="526">
        <f t="shared" si="54"/>
        <v>0</v>
      </c>
      <c r="BF117" s="467"/>
      <c r="BG117" s="524">
        <f t="shared" ca="1" si="52"/>
        <v>0</v>
      </c>
      <c r="BH117" s="525">
        <f t="shared" ca="1" si="50"/>
        <v>0</v>
      </c>
      <c r="BI117" s="525">
        <f t="shared" ca="1" si="50"/>
        <v>0</v>
      </c>
      <c r="BJ117" s="525">
        <f t="shared" ca="1" si="50"/>
        <v>0</v>
      </c>
      <c r="BK117" s="526">
        <f t="shared" ca="1" si="50"/>
        <v>7.4999999999999997E-2</v>
      </c>
      <c r="BL117" s="524">
        <f t="shared" ca="1" si="50"/>
        <v>0.15</v>
      </c>
      <c r="BM117" s="525">
        <f t="shared" ca="1" si="50"/>
        <v>0.15</v>
      </c>
      <c r="BN117" s="525">
        <f t="shared" ca="1" si="50"/>
        <v>0.15</v>
      </c>
      <c r="BO117" s="525">
        <f t="shared" ca="1" si="48"/>
        <v>0.15</v>
      </c>
      <c r="BP117" s="526">
        <f t="shared" ca="1" si="48"/>
        <v>0.15</v>
      </c>
      <c r="BQ117" s="467"/>
      <c r="BR117" s="524">
        <f>+IF($K117="Ongoing",AV117,IF(RIGHT($K117,2)=RIGHT(BR$40,2),SUM($AV117:AV117),0)+IF(RIGHT(BR$40,2)&gt;RIGHT($K117,2),AV117,0))</f>
        <v>0</v>
      </c>
      <c r="BS117" s="525">
        <f>+IF($K117="Ongoing",AW117,IF(RIGHT($K117,2)=RIGHT(BS$40,2),SUM($AV117:AW117),0)+IF(RIGHT(BS$40,2)&gt;RIGHT($K117,2),AW117,0))</f>
        <v>0</v>
      </c>
      <c r="BT117" s="525">
        <f>+IF($K117="Ongoing",AX117,IF(RIGHT($K117,2)=RIGHT(BT$40,2),SUM($AV117:AX117),0)+IF(RIGHT(BT$40,2)&gt;RIGHT($K117,2),AX117,0))</f>
        <v>0</v>
      </c>
      <c r="BU117" s="525">
        <f>+IF($K117="Ongoing",AY117,IF(RIGHT($K117,2)=RIGHT(BU$40,2),SUM($AV117:AY117),0)+IF(RIGHT(BU$40,2)&gt;RIGHT($K117,2),AY117,0))</f>
        <v>0</v>
      </c>
      <c r="BV117" s="526">
        <f>+IF($K117="Ongoing",AZ117,IF(RIGHT($K117,2)=RIGHT(BV$40,2),SUM($AV117:AZ117),0)+IF(RIGHT(BV$40,2)&gt;RIGHT($K117,2),AZ117,0))</f>
        <v>1.5</v>
      </c>
      <c r="BW117" s="524">
        <f>+IF($K117="Ongoing",BA117,IF(RIGHT($K117,2)=RIGHT(BW$40,2),SUM($AV117:BA117),0)+IF(RIGHT(BW$40,2)&gt;RIGHT($K117,2),BA117,0))</f>
        <v>0</v>
      </c>
      <c r="BX117" s="525">
        <f>+IF($K117="Ongoing",BB117,IF(RIGHT($K117,2)=RIGHT(BX$40,2),SUM($AV117:BB117),0)+IF(RIGHT(BX$40,2)&gt;RIGHT($K117,2),BB117,0))</f>
        <v>0</v>
      </c>
      <c r="BY117" s="525">
        <f>+IF($K117="Ongoing",BC117,IF(RIGHT($K117,2)=RIGHT(BY$40,2),SUM($AV117:BC117),0)+IF(RIGHT(BY$40,2)&gt;RIGHT($K117,2),BC117,0))</f>
        <v>0</v>
      </c>
      <c r="BZ117" s="525">
        <f>+IF($K117="Ongoing",BD117,IF(RIGHT($K117,2)=RIGHT(BZ$40,2),SUM($AV117:BD117),0)+IF(RIGHT(BZ$40,2)&gt;RIGHT($K117,2),BD117,0))</f>
        <v>0</v>
      </c>
      <c r="CA117" s="526">
        <f>+IF($K117="Ongoing",BE117,IF(RIGHT($K117,2)=RIGHT(CA$40,2),SUM($AV117:BE117),0)+IF(RIGHT(CA$40,2)&gt;RIGHT($K117,2),BE117,0))</f>
        <v>0</v>
      </c>
      <c r="CB117" s="467"/>
      <c r="CC117" s="524">
        <f>+O117*KeyAssumptionsPriceControl_FO!AF$15</f>
        <v>0.30869999999999997</v>
      </c>
      <c r="CD117" s="525">
        <f>+P117*KeyAssumptionsPriceControl_FO!AG$15</f>
        <v>0.31765229999999994</v>
      </c>
      <c r="CE117" s="525">
        <f>+Q117*KeyAssumptionsPriceControl_FO!AH$15</f>
        <v>0.32686421669999993</v>
      </c>
      <c r="CF117" s="525">
        <f>+R117*KeyAssumptionsPriceControl_FO!AI$15</f>
        <v>0.33634327898429994</v>
      </c>
      <c r="CG117" s="526">
        <f>+S117*KeyAssumptionsPriceControl_FO!AJ$15</f>
        <v>0.34609723407484461</v>
      </c>
      <c r="CH117" s="524">
        <f>+T117*KeyAssumptionsPriceControl_FO!AK$15</f>
        <v>0</v>
      </c>
      <c r="CI117" s="525">
        <f>+U117*KeyAssumptionsPriceControl_FO!AL$15</f>
        <v>0</v>
      </c>
      <c r="CJ117" s="525">
        <f>+V117*KeyAssumptionsPriceControl_FO!AM$15</f>
        <v>0</v>
      </c>
      <c r="CK117" s="525">
        <f>+W117*KeyAssumptionsPriceControl_FO!AN$15</f>
        <v>0</v>
      </c>
      <c r="CL117" s="526">
        <f>+X117*KeyAssumptionsPriceControl_FO!AO$15</f>
        <v>0</v>
      </c>
      <c r="CM117" s="467"/>
      <c r="CN117" s="524">
        <f t="shared" ca="1" si="53"/>
        <v>1.5434999999999999E-2</v>
      </c>
      <c r="CO117" s="525">
        <f t="shared" ca="1" si="51"/>
        <v>4.6752614999999997E-2</v>
      </c>
      <c r="CP117" s="525">
        <f t="shared" ca="1" si="51"/>
        <v>7.8978440834999997E-2</v>
      </c>
      <c r="CQ117" s="525">
        <f t="shared" ca="1" si="51"/>
        <v>0.11213881561921499</v>
      </c>
      <c r="CR117" s="526">
        <f t="shared" ca="1" si="51"/>
        <v>0.14626084127217223</v>
      </c>
      <c r="CS117" s="524">
        <f t="shared" ca="1" si="51"/>
        <v>0.16356570297591447</v>
      </c>
      <c r="CT117" s="525">
        <f t="shared" ca="1" si="51"/>
        <v>0.16356570297591447</v>
      </c>
      <c r="CU117" s="525">
        <f t="shared" ca="1" si="51"/>
        <v>0.16356570297591447</v>
      </c>
      <c r="CV117" s="525">
        <f t="shared" ca="1" si="49"/>
        <v>0.16356570297591447</v>
      </c>
      <c r="CW117" s="526">
        <f t="shared" ca="1" si="49"/>
        <v>0.16356570297591447</v>
      </c>
      <c r="CX117" s="467"/>
    </row>
    <row r="118" spans="2:102">
      <c r="B118" s="502"/>
      <c r="C118" s="1589" t="s">
        <v>1408</v>
      </c>
      <c r="D118" s="1590"/>
      <c r="E118" s="1591" t="s">
        <v>20</v>
      </c>
      <c r="F118" s="1591" t="s">
        <v>12</v>
      </c>
      <c r="G118" s="1589" t="s">
        <v>14</v>
      </c>
      <c r="H118" s="2226" t="s">
        <v>521</v>
      </c>
      <c r="I118" s="2227"/>
      <c r="J118" s="1592" t="s">
        <v>279</v>
      </c>
      <c r="K118" s="1593" t="s">
        <v>295</v>
      </c>
      <c r="L118" s="1593"/>
      <c r="M118" s="1593"/>
      <c r="N118" s="467"/>
      <c r="O118" s="551"/>
      <c r="P118" s="552"/>
      <c r="Q118" s="552"/>
      <c r="R118" s="552"/>
      <c r="S118" s="553"/>
      <c r="T118" s="551"/>
      <c r="U118" s="552"/>
      <c r="V118" s="552"/>
      <c r="W118" s="552"/>
      <c r="X118" s="553"/>
      <c r="Y118" s="547"/>
      <c r="Z118" s="551"/>
      <c r="AA118" s="552"/>
      <c r="AB118" s="552"/>
      <c r="AC118" s="552"/>
      <c r="AD118" s="553"/>
      <c r="AE118" s="551"/>
      <c r="AF118" s="552"/>
      <c r="AG118" s="552"/>
      <c r="AH118" s="552"/>
      <c r="AI118" s="553"/>
      <c r="AJ118" s="547"/>
      <c r="AK118" s="551">
        <v>0</v>
      </c>
      <c r="AL118" s="552">
        <v>0</v>
      </c>
      <c r="AM118" s="552">
        <v>0</v>
      </c>
      <c r="AN118" s="552">
        <v>0</v>
      </c>
      <c r="AO118" s="553">
        <v>0</v>
      </c>
      <c r="AP118" s="551">
        <v>0</v>
      </c>
      <c r="AQ118" s="552">
        <v>0</v>
      </c>
      <c r="AR118" s="552">
        <v>0</v>
      </c>
      <c r="AS118" s="552">
        <v>0</v>
      </c>
      <c r="AT118" s="553">
        <v>0</v>
      </c>
      <c r="AU118" s="467"/>
      <c r="AV118" s="524">
        <f t="shared" si="47"/>
        <v>0</v>
      </c>
      <c r="AW118" s="525">
        <f t="shared" si="47"/>
        <v>0</v>
      </c>
      <c r="AX118" s="525">
        <f t="shared" si="47"/>
        <v>0</v>
      </c>
      <c r="AY118" s="525">
        <f t="shared" si="47"/>
        <v>0</v>
      </c>
      <c r="AZ118" s="526">
        <f t="shared" si="54"/>
        <v>0</v>
      </c>
      <c r="BA118" s="524">
        <f t="shared" si="54"/>
        <v>0</v>
      </c>
      <c r="BB118" s="525">
        <f t="shared" si="54"/>
        <v>0</v>
      </c>
      <c r="BC118" s="525">
        <f t="shared" si="54"/>
        <v>0</v>
      </c>
      <c r="BD118" s="525">
        <f t="shared" si="54"/>
        <v>0</v>
      </c>
      <c r="BE118" s="526">
        <f t="shared" si="54"/>
        <v>0</v>
      </c>
      <c r="BF118" s="467"/>
      <c r="BG118" s="524">
        <f t="shared" ca="1" si="52"/>
        <v>0</v>
      </c>
      <c r="BH118" s="525">
        <f t="shared" ca="1" si="50"/>
        <v>0</v>
      </c>
      <c r="BI118" s="525">
        <f t="shared" ca="1" si="50"/>
        <v>0</v>
      </c>
      <c r="BJ118" s="525">
        <f t="shared" ca="1" si="50"/>
        <v>0</v>
      </c>
      <c r="BK118" s="526">
        <f t="shared" ca="1" si="50"/>
        <v>0</v>
      </c>
      <c r="BL118" s="524">
        <f t="shared" ca="1" si="50"/>
        <v>0</v>
      </c>
      <c r="BM118" s="525">
        <f t="shared" ca="1" si="50"/>
        <v>0</v>
      </c>
      <c r="BN118" s="525">
        <f t="shared" ca="1" si="50"/>
        <v>0</v>
      </c>
      <c r="BO118" s="525">
        <f t="shared" ca="1" si="48"/>
        <v>0</v>
      </c>
      <c r="BP118" s="526">
        <f t="shared" ca="1" si="48"/>
        <v>0</v>
      </c>
      <c r="BQ118" s="467"/>
      <c r="BR118" s="524">
        <f>+IF($K118="Ongoing",AV118,IF(RIGHT($K118,2)=RIGHT(BR$40,2),SUM($AV118:AV118),0)+IF(RIGHT(BR$40,2)&gt;RIGHT($K118,2),AV118,0))</f>
        <v>0</v>
      </c>
      <c r="BS118" s="525">
        <f>+IF($K118="Ongoing",AW118,IF(RIGHT($K118,2)=RIGHT(BS$40,2),SUM($AV118:AW118),0)+IF(RIGHT(BS$40,2)&gt;RIGHT($K118,2),AW118,0))</f>
        <v>0</v>
      </c>
      <c r="BT118" s="525">
        <f>+IF($K118="Ongoing",AX118,IF(RIGHT($K118,2)=RIGHT(BT$40,2),SUM($AV118:AX118),0)+IF(RIGHT(BT$40,2)&gt;RIGHT($K118,2),AX118,0))</f>
        <v>0</v>
      </c>
      <c r="BU118" s="525">
        <f>+IF($K118="Ongoing",AY118,IF(RIGHT($K118,2)=RIGHT(BU$40,2),SUM($AV118:AY118),0)+IF(RIGHT(BU$40,2)&gt;RIGHT($K118,2),AY118,0))</f>
        <v>0</v>
      </c>
      <c r="BV118" s="526">
        <f>+IF($K118="Ongoing",AZ118,IF(RIGHT($K118,2)=RIGHT(BV$40,2),SUM($AV118:AZ118),0)+IF(RIGHT(BV$40,2)&gt;RIGHT($K118,2),AZ118,0))</f>
        <v>0</v>
      </c>
      <c r="BW118" s="524">
        <f>+IF($K118="Ongoing",BA118,IF(RIGHT($K118,2)=RIGHT(BW$40,2),SUM($AV118:BA118),0)+IF(RIGHT(BW$40,2)&gt;RIGHT($K118,2),BA118,0))</f>
        <v>0</v>
      </c>
      <c r="BX118" s="525">
        <f>+IF($K118="Ongoing",BB118,IF(RIGHT($K118,2)=RIGHT(BX$40,2),SUM($AV118:BB118),0)+IF(RIGHT(BX$40,2)&gt;RIGHT($K118,2),BB118,0))</f>
        <v>0</v>
      </c>
      <c r="BY118" s="525">
        <f>+IF($K118="Ongoing",BC118,IF(RIGHT($K118,2)=RIGHT(BY$40,2),SUM($AV118:BC118),0)+IF(RIGHT(BY$40,2)&gt;RIGHT($K118,2),BC118,0))</f>
        <v>0</v>
      </c>
      <c r="BZ118" s="525">
        <f>+IF($K118="Ongoing",BD118,IF(RIGHT($K118,2)=RIGHT(BZ$40,2),SUM($AV118:BD118),0)+IF(RIGHT(BZ$40,2)&gt;RIGHT($K118,2),BD118,0))</f>
        <v>0</v>
      </c>
      <c r="CA118" s="526">
        <f>+IF($K118="Ongoing",BE118,IF(RIGHT($K118,2)=RIGHT(CA$40,2),SUM($AV118:BE118),0)+IF(RIGHT(CA$40,2)&gt;RIGHT($K118,2),BE118,0))</f>
        <v>0</v>
      </c>
      <c r="CB118" s="467"/>
      <c r="CC118" s="524">
        <f>+O118*KeyAssumptionsPriceControl_FO!AF$15</f>
        <v>0</v>
      </c>
      <c r="CD118" s="525">
        <f>+P118*KeyAssumptionsPriceControl_FO!AG$15</f>
        <v>0</v>
      </c>
      <c r="CE118" s="525">
        <f>+Q118*KeyAssumptionsPriceControl_FO!AH$15</f>
        <v>0</v>
      </c>
      <c r="CF118" s="525">
        <f>+R118*KeyAssumptionsPriceControl_FO!AI$15</f>
        <v>0</v>
      </c>
      <c r="CG118" s="526">
        <f>+S118*KeyAssumptionsPriceControl_FO!AJ$15</f>
        <v>0</v>
      </c>
      <c r="CH118" s="524">
        <f>+T118*KeyAssumptionsPriceControl_FO!AK$15</f>
        <v>0</v>
      </c>
      <c r="CI118" s="525">
        <f>+U118*KeyAssumptionsPriceControl_FO!AL$15</f>
        <v>0</v>
      </c>
      <c r="CJ118" s="525">
        <f>+V118*KeyAssumptionsPriceControl_FO!AM$15</f>
        <v>0</v>
      </c>
      <c r="CK118" s="525">
        <f>+W118*KeyAssumptionsPriceControl_FO!AN$15</f>
        <v>0</v>
      </c>
      <c r="CL118" s="526">
        <f>+X118*KeyAssumptionsPriceControl_FO!AO$15</f>
        <v>0</v>
      </c>
      <c r="CM118" s="467"/>
      <c r="CN118" s="524">
        <f t="shared" ca="1" si="53"/>
        <v>0</v>
      </c>
      <c r="CO118" s="525">
        <f t="shared" ca="1" si="51"/>
        <v>0</v>
      </c>
      <c r="CP118" s="525">
        <f t="shared" ca="1" si="51"/>
        <v>0</v>
      </c>
      <c r="CQ118" s="525">
        <f t="shared" ca="1" si="51"/>
        <v>0</v>
      </c>
      <c r="CR118" s="526">
        <f t="shared" ca="1" si="51"/>
        <v>0</v>
      </c>
      <c r="CS118" s="524">
        <f t="shared" ca="1" si="51"/>
        <v>0</v>
      </c>
      <c r="CT118" s="525">
        <f t="shared" ca="1" si="51"/>
        <v>0</v>
      </c>
      <c r="CU118" s="525">
        <f t="shared" ca="1" si="51"/>
        <v>0</v>
      </c>
      <c r="CV118" s="525">
        <f t="shared" ca="1" si="49"/>
        <v>0</v>
      </c>
      <c r="CW118" s="526">
        <f t="shared" ca="1" si="49"/>
        <v>0</v>
      </c>
      <c r="CX118" s="467"/>
    </row>
    <row r="119" spans="2:102">
      <c r="B119" s="502"/>
      <c r="C119" s="1589" t="s">
        <v>1408</v>
      </c>
      <c r="D119" s="1590"/>
      <c r="E119" s="1591" t="s">
        <v>21</v>
      </c>
      <c r="F119" s="1591" t="s">
        <v>12</v>
      </c>
      <c r="G119" s="1589" t="s">
        <v>14</v>
      </c>
      <c r="H119" s="2226" t="s">
        <v>521</v>
      </c>
      <c r="I119" s="2227"/>
      <c r="J119" s="1592" t="s">
        <v>279</v>
      </c>
      <c r="K119" s="1593" t="s">
        <v>295</v>
      </c>
      <c r="L119" s="1593"/>
      <c r="M119" s="1593"/>
      <c r="N119" s="467"/>
      <c r="O119" s="551"/>
      <c r="P119" s="552"/>
      <c r="Q119" s="552"/>
      <c r="R119" s="552"/>
      <c r="S119" s="553"/>
      <c r="T119" s="551"/>
      <c r="U119" s="552"/>
      <c r="V119" s="552"/>
      <c r="W119" s="552"/>
      <c r="X119" s="553"/>
      <c r="Y119" s="547"/>
      <c r="Z119" s="551"/>
      <c r="AA119" s="552"/>
      <c r="AB119" s="552"/>
      <c r="AC119" s="552"/>
      <c r="AD119" s="553"/>
      <c r="AE119" s="551"/>
      <c r="AF119" s="552"/>
      <c r="AG119" s="552"/>
      <c r="AH119" s="552"/>
      <c r="AI119" s="553"/>
      <c r="AJ119" s="547"/>
      <c r="AK119" s="551">
        <v>4.3159999999999998</v>
      </c>
      <c r="AL119" s="552">
        <v>4.38</v>
      </c>
      <c r="AM119" s="552">
        <v>4.4459999999999997</v>
      </c>
      <c r="AN119" s="552">
        <v>4.5140000000000002</v>
      </c>
      <c r="AO119" s="553">
        <v>4.5839999999999996</v>
      </c>
      <c r="AP119" s="551">
        <v>4.6559999999999997</v>
      </c>
      <c r="AQ119" s="552">
        <v>4.7300000000000004</v>
      </c>
      <c r="AR119" s="552">
        <v>4.806</v>
      </c>
      <c r="AS119" s="552">
        <v>4.883</v>
      </c>
      <c r="AT119" s="553">
        <v>4.9640000000000004</v>
      </c>
      <c r="AU119" s="467"/>
      <c r="AV119" s="524">
        <f t="shared" si="47"/>
        <v>-4.3159999999999998</v>
      </c>
      <c r="AW119" s="525">
        <f t="shared" si="47"/>
        <v>-4.38</v>
      </c>
      <c r="AX119" s="525">
        <f t="shared" si="47"/>
        <v>-4.4459999999999997</v>
      </c>
      <c r="AY119" s="525">
        <f t="shared" si="47"/>
        <v>-4.5140000000000002</v>
      </c>
      <c r="AZ119" s="526">
        <f t="shared" si="54"/>
        <v>-4.5839999999999996</v>
      </c>
      <c r="BA119" s="524">
        <f t="shared" si="54"/>
        <v>-4.6559999999999997</v>
      </c>
      <c r="BB119" s="525">
        <f t="shared" si="54"/>
        <v>-4.7300000000000004</v>
      </c>
      <c r="BC119" s="525">
        <f t="shared" si="54"/>
        <v>-4.806</v>
      </c>
      <c r="BD119" s="525">
        <f t="shared" si="54"/>
        <v>-4.883</v>
      </c>
      <c r="BE119" s="526">
        <f t="shared" si="54"/>
        <v>-4.9640000000000004</v>
      </c>
      <c r="BF119" s="467"/>
      <c r="BG119" s="524">
        <f t="shared" ca="1" si="52"/>
        <v>0</v>
      </c>
      <c r="BH119" s="525">
        <f t="shared" ca="1" si="50"/>
        <v>0</v>
      </c>
      <c r="BI119" s="525">
        <f t="shared" ca="1" si="50"/>
        <v>0</v>
      </c>
      <c r="BJ119" s="525">
        <f t="shared" ca="1" si="50"/>
        <v>0</v>
      </c>
      <c r="BK119" s="526">
        <f t="shared" ca="1" si="50"/>
        <v>0</v>
      </c>
      <c r="BL119" s="524">
        <f t="shared" ca="1" si="50"/>
        <v>0</v>
      </c>
      <c r="BM119" s="525">
        <f t="shared" ca="1" si="50"/>
        <v>0</v>
      </c>
      <c r="BN119" s="525">
        <f t="shared" ca="1" si="50"/>
        <v>0</v>
      </c>
      <c r="BO119" s="525">
        <f t="shared" ca="1" si="48"/>
        <v>0</v>
      </c>
      <c r="BP119" s="526">
        <f t="shared" ca="1" si="48"/>
        <v>0</v>
      </c>
      <c r="BQ119" s="467"/>
      <c r="BR119" s="524">
        <f>+IF($K119="Ongoing",AV119,IF(RIGHT($K119,2)=RIGHT(BR$40,2),SUM($AV119:AV119),0)+IF(RIGHT(BR$40,2)&gt;RIGHT($K119,2),AV119,0))</f>
        <v>-4.3159999999999998</v>
      </c>
      <c r="BS119" s="525">
        <f>+IF($K119="Ongoing",AW119,IF(RIGHT($K119,2)=RIGHT(BS$40,2),SUM($AV119:AW119),0)+IF(RIGHT(BS$40,2)&gt;RIGHT($K119,2),AW119,0))</f>
        <v>-4.38</v>
      </c>
      <c r="BT119" s="525">
        <f>+IF($K119="Ongoing",AX119,IF(RIGHT($K119,2)=RIGHT(BT$40,2),SUM($AV119:AX119),0)+IF(RIGHT(BT$40,2)&gt;RIGHT($K119,2),AX119,0))</f>
        <v>-4.4459999999999997</v>
      </c>
      <c r="BU119" s="525">
        <f>+IF($K119="Ongoing",AY119,IF(RIGHT($K119,2)=RIGHT(BU$40,2),SUM($AV119:AY119),0)+IF(RIGHT(BU$40,2)&gt;RIGHT($K119,2),AY119,0))</f>
        <v>-4.5140000000000002</v>
      </c>
      <c r="BV119" s="526">
        <f>+IF($K119="Ongoing",AZ119,IF(RIGHT($K119,2)=RIGHT(BV$40,2),SUM($AV119:AZ119),0)+IF(RIGHT(BV$40,2)&gt;RIGHT($K119,2),AZ119,0))</f>
        <v>-4.5839999999999996</v>
      </c>
      <c r="BW119" s="524">
        <f>+IF($K119="Ongoing",BA119,IF(RIGHT($K119,2)=RIGHT(BW$40,2),SUM($AV119:BA119),0)+IF(RIGHT(BW$40,2)&gt;RIGHT($K119,2),BA119,0))</f>
        <v>-4.6559999999999997</v>
      </c>
      <c r="BX119" s="525">
        <f>+IF($K119="Ongoing",BB119,IF(RIGHT($K119,2)=RIGHT(BX$40,2),SUM($AV119:BB119),0)+IF(RIGHT(BX$40,2)&gt;RIGHT($K119,2),BB119,0))</f>
        <v>-4.7300000000000004</v>
      </c>
      <c r="BY119" s="525">
        <f>+IF($K119="Ongoing",BC119,IF(RIGHT($K119,2)=RIGHT(BY$40,2),SUM($AV119:BC119),0)+IF(RIGHT(BY$40,2)&gt;RIGHT($K119,2),BC119,0))</f>
        <v>-4.806</v>
      </c>
      <c r="BZ119" s="525">
        <f>+IF($K119="Ongoing",BD119,IF(RIGHT($K119,2)=RIGHT(BZ$40,2),SUM($AV119:BD119),0)+IF(RIGHT(BZ$40,2)&gt;RIGHT($K119,2),BD119,0))</f>
        <v>-4.883</v>
      </c>
      <c r="CA119" s="526">
        <f>+IF($K119="Ongoing",BE119,IF(RIGHT($K119,2)=RIGHT(CA$40,2),SUM($AV119:BE119),0)+IF(RIGHT(CA$40,2)&gt;RIGHT($K119,2),BE119,0))</f>
        <v>-4.9640000000000004</v>
      </c>
      <c r="CB119" s="467"/>
      <c r="CC119" s="524">
        <f>+O119*KeyAssumptionsPriceControl_FO!AF$15</f>
        <v>0</v>
      </c>
      <c r="CD119" s="525">
        <f>+P119*KeyAssumptionsPriceControl_FO!AG$15</f>
        <v>0</v>
      </c>
      <c r="CE119" s="525">
        <f>+Q119*KeyAssumptionsPriceControl_FO!AH$15</f>
        <v>0</v>
      </c>
      <c r="CF119" s="525">
        <f>+R119*KeyAssumptionsPriceControl_FO!AI$15</f>
        <v>0</v>
      </c>
      <c r="CG119" s="526">
        <f>+S119*KeyAssumptionsPriceControl_FO!AJ$15</f>
        <v>0</v>
      </c>
      <c r="CH119" s="524">
        <f>+T119*KeyAssumptionsPriceControl_FO!AK$15</f>
        <v>0</v>
      </c>
      <c r="CI119" s="525">
        <f>+U119*KeyAssumptionsPriceControl_FO!AL$15</f>
        <v>0</v>
      </c>
      <c r="CJ119" s="525">
        <f>+V119*KeyAssumptionsPriceControl_FO!AM$15</f>
        <v>0</v>
      </c>
      <c r="CK119" s="525">
        <f>+W119*KeyAssumptionsPriceControl_FO!AN$15</f>
        <v>0</v>
      </c>
      <c r="CL119" s="526">
        <f>+X119*KeyAssumptionsPriceControl_FO!AO$15</f>
        <v>0</v>
      </c>
      <c r="CM119" s="467"/>
      <c r="CN119" s="524">
        <f t="shared" ca="1" si="53"/>
        <v>0</v>
      </c>
      <c r="CO119" s="525">
        <f t="shared" ca="1" si="51"/>
        <v>0</v>
      </c>
      <c r="CP119" s="525">
        <f t="shared" ca="1" si="51"/>
        <v>0</v>
      </c>
      <c r="CQ119" s="525">
        <f t="shared" ca="1" si="51"/>
        <v>0</v>
      </c>
      <c r="CR119" s="526">
        <f t="shared" ca="1" si="51"/>
        <v>0</v>
      </c>
      <c r="CS119" s="524">
        <f t="shared" ca="1" si="51"/>
        <v>0</v>
      </c>
      <c r="CT119" s="525">
        <f t="shared" ca="1" si="51"/>
        <v>0</v>
      </c>
      <c r="CU119" s="525">
        <f t="shared" ca="1" si="51"/>
        <v>0</v>
      </c>
      <c r="CV119" s="525">
        <f t="shared" ca="1" si="49"/>
        <v>0</v>
      </c>
      <c r="CW119" s="526">
        <f t="shared" ca="1" si="49"/>
        <v>0</v>
      </c>
      <c r="CX119" s="467"/>
    </row>
    <row r="120" spans="2:102">
      <c r="B120" s="502"/>
      <c r="C120" s="1589"/>
      <c r="D120" s="1590"/>
      <c r="E120" s="1591"/>
      <c r="F120" s="1591"/>
      <c r="G120" s="1589"/>
      <c r="H120" s="2226"/>
      <c r="I120" s="2227"/>
      <c r="J120" s="1592"/>
      <c r="K120" s="1593"/>
      <c r="L120" s="1593"/>
      <c r="M120" s="1593"/>
      <c r="N120" s="467"/>
      <c r="O120" s="551"/>
      <c r="P120" s="552"/>
      <c r="Q120" s="552"/>
      <c r="R120" s="552"/>
      <c r="S120" s="553"/>
      <c r="T120" s="551"/>
      <c r="U120" s="552"/>
      <c r="V120" s="552"/>
      <c r="W120" s="552"/>
      <c r="X120" s="553"/>
      <c r="Y120" s="547"/>
      <c r="Z120" s="551"/>
      <c r="AA120" s="552"/>
      <c r="AB120" s="552"/>
      <c r="AC120" s="552"/>
      <c r="AD120" s="553"/>
      <c r="AE120" s="551"/>
      <c r="AF120" s="552"/>
      <c r="AG120" s="552"/>
      <c r="AH120" s="552"/>
      <c r="AI120" s="553"/>
      <c r="AJ120" s="547"/>
      <c r="AK120" s="551"/>
      <c r="AL120" s="552"/>
      <c r="AM120" s="552"/>
      <c r="AN120" s="552"/>
      <c r="AO120" s="553"/>
      <c r="AP120" s="551"/>
      <c r="AQ120" s="552"/>
      <c r="AR120" s="552"/>
      <c r="AS120" s="552"/>
      <c r="AT120" s="553"/>
      <c r="AU120" s="467"/>
      <c r="AV120" s="524">
        <f t="shared" si="47"/>
        <v>0</v>
      </c>
      <c r="AW120" s="525">
        <f t="shared" si="47"/>
        <v>0</v>
      </c>
      <c r="AX120" s="525">
        <f t="shared" si="47"/>
        <v>0</v>
      </c>
      <c r="AY120" s="525">
        <f t="shared" si="47"/>
        <v>0</v>
      </c>
      <c r="AZ120" s="526">
        <f t="shared" si="54"/>
        <v>0</v>
      </c>
      <c r="BA120" s="524">
        <f t="shared" si="54"/>
        <v>0</v>
      </c>
      <c r="BB120" s="525">
        <f t="shared" si="54"/>
        <v>0</v>
      </c>
      <c r="BC120" s="525">
        <f t="shared" si="54"/>
        <v>0</v>
      </c>
      <c r="BD120" s="525">
        <f t="shared" si="54"/>
        <v>0</v>
      </c>
      <c r="BE120" s="526">
        <f t="shared" si="54"/>
        <v>0</v>
      </c>
      <c r="BF120" s="467"/>
      <c r="BG120" s="524">
        <f t="shared" ca="1" si="52"/>
        <v>0</v>
      </c>
      <c r="BH120" s="525">
        <f t="shared" ca="1" si="50"/>
        <v>0</v>
      </c>
      <c r="BI120" s="525">
        <f t="shared" ca="1" si="50"/>
        <v>0</v>
      </c>
      <c r="BJ120" s="525">
        <f t="shared" ca="1" si="50"/>
        <v>0</v>
      </c>
      <c r="BK120" s="526">
        <f t="shared" ca="1" si="50"/>
        <v>0</v>
      </c>
      <c r="BL120" s="524">
        <f t="shared" ca="1" si="50"/>
        <v>0</v>
      </c>
      <c r="BM120" s="525">
        <f t="shared" ca="1" si="50"/>
        <v>0</v>
      </c>
      <c r="BN120" s="525">
        <f t="shared" ca="1" si="50"/>
        <v>0</v>
      </c>
      <c r="BO120" s="525">
        <f t="shared" ca="1" si="48"/>
        <v>0</v>
      </c>
      <c r="BP120" s="526">
        <f t="shared" ca="1" si="48"/>
        <v>0</v>
      </c>
      <c r="BQ120" s="467"/>
      <c r="BR120" s="524">
        <f>+IF($K120="Ongoing",AV120,IF(RIGHT($K120,2)=RIGHT(BR$40,2),SUM($AV120:AV120),0)+IF(RIGHT(BR$40,2)&gt;RIGHT($K120,2),AV120,0))</f>
        <v>0</v>
      </c>
      <c r="BS120" s="525">
        <f>+IF($K120="Ongoing",AW120,IF(RIGHT($K120,2)=RIGHT(BS$40,2),SUM($AV120:AW120),0)+IF(RIGHT(BS$40,2)&gt;RIGHT($K120,2),AW120,0))</f>
        <v>0</v>
      </c>
      <c r="BT120" s="525">
        <f>+IF($K120="Ongoing",AX120,IF(RIGHT($K120,2)=RIGHT(BT$40,2),SUM($AV120:AX120),0)+IF(RIGHT(BT$40,2)&gt;RIGHT($K120,2),AX120,0))</f>
        <v>0</v>
      </c>
      <c r="BU120" s="525">
        <f>+IF($K120="Ongoing",AY120,IF(RIGHT($K120,2)=RIGHT(BU$40,2),SUM($AV120:AY120),0)+IF(RIGHT(BU$40,2)&gt;RIGHT($K120,2),AY120,0))</f>
        <v>0</v>
      </c>
      <c r="BV120" s="526">
        <f>+IF($K120="Ongoing",AZ120,IF(RIGHT($K120,2)=RIGHT(BV$40,2),SUM($AV120:AZ120),0)+IF(RIGHT(BV$40,2)&gt;RIGHT($K120,2),AZ120,0))</f>
        <v>0</v>
      </c>
      <c r="BW120" s="524">
        <f>+IF($K120="Ongoing",BA120,IF(RIGHT($K120,2)=RIGHT(BW$40,2),SUM($AV120:BA120),0)+IF(RIGHT(BW$40,2)&gt;RIGHT($K120,2),BA120,0))</f>
        <v>0</v>
      </c>
      <c r="BX120" s="525">
        <f>+IF($K120="Ongoing",BB120,IF(RIGHT($K120,2)=RIGHT(BX$40,2),SUM($AV120:BB120),0)+IF(RIGHT(BX$40,2)&gt;RIGHT($K120,2),BB120,0))</f>
        <v>0</v>
      </c>
      <c r="BY120" s="525">
        <f>+IF($K120="Ongoing",BC120,IF(RIGHT($K120,2)=RIGHT(BY$40,2),SUM($AV120:BC120),0)+IF(RIGHT(BY$40,2)&gt;RIGHT($K120,2),BC120,0))</f>
        <v>0</v>
      </c>
      <c r="BZ120" s="525">
        <f>+IF($K120="Ongoing",BD120,IF(RIGHT($K120,2)=RIGHT(BZ$40,2),SUM($AV120:BD120),0)+IF(RIGHT(BZ$40,2)&gt;RIGHT($K120,2),BD120,0))</f>
        <v>0</v>
      </c>
      <c r="CA120" s="526">
        <f>+IF($K120="Ongoing",BE120,IF(RIGHT($K120,2)=RIGHT(CA$40,2),SUM($AV120:BE120),0)+IF(RIGHT(CA$40,2)&gt;RIGHT($K120,2),BE120,0))</f>
        <v>0</v>
      </c>
      <c r="CB120" s="467"/>
      <c r="CC120" s="524">
        <f>+O120*KeyAssumptionsPriceControl_FO!AF$15</f>
        <v>0</v>
      </c>
      <c r="CD120" s="525">
        <f>+P120*KeyAssumptionsPriceControl_FO!AG$15</f>
        <v>0</v>
      </c>
      <c r="CE120" s="525">
        <f>+Q120*KeyAssumptionsPriceControl_FO!AH$15</f>
        <v>0</v>
      </c>
      <c r="CF120" s="525">
        <f>+R120*KeyAssumptionsPriceControl_FO!AI$15</f>
        <v>0</v>
      </c>
      <c r="CG120" s="526">
        <f>+S120*KeyAssumptionsPriceControl_FO!AJ$15</f>
        <v>0</v>
      </c>
      <c r="CH120" s="524">
        <f>+T120*KeyAssumptionsPriceControl_FO!AK$15</f>
        <v>0</v>
      </c>
      <c r="CI120" s="525">
        <f>+U120*KeyAssumptionsPriceControl_FO!AL$15</f>
        <v>0</v>
      </c>
      <c r="CJ120" s="525">
        <f>+V120*KeyAssumptionsPriceControl_FO!AM$15</f>
        <v>0</v>
      </c>
      <c r="CK120" s="525">
        <f>+W120*KeyAssumptionsPriceControl_FO!AN$15</f>
        <v>0</v>
      </c>
      <c r="CL120" s="526">
        <f>+X120*KeyAssumptionsPriceControl_FO!AO$15</f>
        <v>0</v>
      </c>
      <c r="CM120" s="467"/>
      <c r="CN120" s="524">
        <f t="shared" ca="1" si="53"/>
        <v>0</v>
      </c>
      <c r="CO120" s="525">
        <f t="shared" ca="1" si="51"/>
        <v>0</v>
      </c>
      <c r="CP120" s="525">
        <f t="shared" ca="1" si="51"/>
        <v>0</v>
      </c>
      <c r="CQ120" s="525">
        <f t="shared" ca="1" si="51"/>
        <v>0</v>
      </c>
      <c r="CR120" s="526">
        <f t="shared" ca="1" si="51"/>
        <v>0</v>
      </c>
      <c r="CS120" s="524">
        <f t="shared" ca="1" si="51"/>
        <v>0</v>
      </c>
      <c r="CT120" s="525">
        <f t="shared" ca="1" si="51"/>
        <v>0</v>
      </c>
      <c r="CU120" s="525">
        <f t="shared" ca="1" si="51"/>
        <v>0</v>
      </c>
      <c r="CV120" s="525">
        <f t="shared" ca="1" si="49"/>
        <v>0</v>
      </c>
      <c r="CW120" s="526">
        <f t="shared" ca="1" si="49"/>
        <v>0</v>
      </c>
      <c r="CX120" s="467"/>
    </row>
    <row r="121" spans="2:102">
      <c r="B121" s="502"/>
      <c r="C121" s="1589"/>
      <c r="D121" s="1590"/>
      <c r="E121" s="1591"/>
      <c r="F121" s="1591"/>
      <c r="G121" s="1589"/>
      <c r="H121" s="2226"/>
      <c r="I121" s="2227"/>
      <c r="J121" s="1592"/>
      <c r="K121" s="1593"/>
      <c r="L121" s="1593"/>
      <c r="M121" s="1593"/>
      <c r="N121" s="467"/>
      <c r="O121" s="551"/>
      <c r="P121" s="552"/>
      <c r="Q121" s="552"/>
      <c r="R121" s="552"/>
      <c r="S121" s="553"/>
      <c r="T121" s="551"/>
      <c r="U121" s="552"/>
      <c r="V121" s="552"/>
      <c r="W121" s="552"/>
      <c r="X121" s="553"/>
      <c r="Y121" s="547"/>
      <c r="Z121" s="551"/>
      <c r="AA121" s="552"/>
      <c r="AB121" s="552"/>
      <c r="AC121" s="552"/>
      <c r="AD121" s="553"/>
      <c r="AE121" s="551"/>
      <c r="AF121" s="552"/>
      <c r="AG121" s="552"/>
      <c r="AH121" s="552"/>
      <c r="AI121" s="553"/>
      <c r="AJ121" s="547"/>
      <c r="AK121" s="551"/>
      <c r="AL121" s="552"/>
      <c r="AM121" s="552"/>
      <c r="AN121" s="552"/>
      <c r="AO121" s="553"/>
      <c r="AP121" s="551"/>
      <c r="AQ121" s="552"/>
      <c r="AR121" s="552"/>
      <c r="AS121" s="552"/>
      <c r="AT121" s="553"/>
      <c r="AU121" s="467"/>
      <c r="AV121" s="524">
        <f t="shared" si="47"/>
        <v>0</v>
      </c>
      <c r="AW121" s="525">
        <f t="shared" si="47"/>
        <v>0</v>
      </c>
      <c r="AX121" s="525">
        <f t="shared" si="47"/>
        <v>0</v>
      </c>
      <c r="AY121" s="525">
        <f t="shared" si="47"/>
        <v>0</v>
      </c>
      <c r="AZ121" s="526">
        <f t="shared" si="54"/>
        <v>0</v>
      </c>
      <c r="BA121" s="524">
        <f t="shared" si="54"/>
        <v>0</v>
      </c>
      <c r="BB121" s="525">
        <f t="shared" si="54"/>
        <v>0</v>
      </c>
      <c r="BC121" s="525">
        <f t="shared" si="54"/>
        <v>0</v>
      </c>
      <c r="BD121" s="525">
        <f t="shared" si="54"/>
        <v>0</v>
      </c>
      <c r="BE121" s="526">
        <f t="shared" si="54"/>
        <v>0</v>
      </c>
      <c r="BF121" s="467"/>
      <c r="BG121" s="524">
        <f t="shared" ca="1" si="52"/>
        <v>0</v>
      </c>
      <c r="BH121" s="525">
        <f t="shared" ca="1" si="50"/>
        <v>0</v>
      </c>
      <c r="BI121" s="525">
        <f t="shared" ca="1" si="50"/>
        <v>0</v>
      </c>
      <c r="BJ121" s="525">
        <f t="shared" ca="1" si="50"/>
        <v>0</v>
      </c>
      <c r="BK121" s="526">
        <f t="shared" ca="1" si="50"/>
        <v>0</v>
      </c>
      <c r="BL121" s="524">
        <f t="shared" ca="1" si="50"/>
        <v>0</v>
      </c>
      <c r="BM121" s="525">
        <f t="shared" ca="1" si="50"/>
        <v>0</v>
      </c>
      <c r="BN121" s="525">
        <f t="shared" ca="1" si="50"/>
        <v>0</v>
      </c>
      <c r="BO121" s="525">
        <f t="shared" ca="1" si="48"/>
        <v>0</v>
      </c>
      <c r="BP121" s="526">
        <f t="shared" ca="1" si="48"/>
        <v>0</v>
      </c>
      <c r="BQ121" s="467"/>
      <c r="BR121" s="524">
        <f>+IF($K121="Ongoing",AV121,IF(RIGHT($K121,2)=RIGHT(BR$40,2),SUM($AV121:AV121),0)+IF(RIGHT(BR$40,2)&gt;RIGHT($K121,2),AV121,0))</f>
        <v>0</v>
      </c>
      <c r="BS121" s="525">
        <f>+IF($K121="Ongoing",AW121,IF(RIGHT($K121,2)=RIGHT(BS$40,2),SUM($AV121:AW121),0)+IF(RIGHT(BS$40,2)&gt;RIGHT($K121,2),AW121,0))</f>
        <v>0</v>
      </c>
      <c r="BT121" s="525">
        <f>+IF($K121="Ongoing",AX121,IF(RIGHT($K121,2)=RIGHT(BT$40,2),SUM($AV121:AX121),0)+IF(RIGHT(BT$40,2)&gt;RIGHT($K121,2),AX121,0))</f>
        <v>0</v>
      </c>
      <c r="BU121" s="525">
        <f>+IF($K121="Ongoing",AY121,IF(RIGHT($K121,2)=RIGHT(BU$40,2),SUM($AV121:AY121),0)+IF(RIGHT(BU$40,2)&gt;RIGHT($K121,2),AY121,0))</f>
        <v>0</v>
      </c>
      <c r="BV121" s="526">
        <f>+IF($K121="Ongoing",AZ121,IF(RIGHT($K121,2)=RIGHT(BV$40,2),SUM($AV121:AZ121),0)+IF(RIGHT(BV$40,2)&gt;RIGHT($K121,2),AZ121,0))</f>
        <v>0</v>
      </c>
      <c r="BW121" s="524">
        <f>+IF($K121="Ongoing",BA121,IF(RIGHT($K121,2)=RIGHT(BW$40,2),SUM($AV121:BA121),0)+IF(RIGHT(BW$40,2)&gt;RIGHT($K121,2),BA121,0))</f>
        <v>0</v>
      </c>
      <c r="BX121" s="525">
        <f>+IF($K121="Ongoing",BB121,IF(RIGHT($K121,2)=RIGHT(BX$40,2),SUM($AV121:BB121),0)+IF(RIGHT(BX$40,2)&gt;RIGHT($K121,2),BB121,0))</f>
        <v>0</v>
      </c>
      <c r="BY121" s="525">
        <f>+IF($K121="Ongoing",BC121,IF(RIGHT($K121,2)=RIGHT(BY$40,2),SUM($AV121:BC121),0)+IF(RIGHT(BY$40,2)&gt;RIGHT($K121,2),BC121,0))</f>
        <v>0</v>
      </c>
      <c r="BZ121" s="525">
        <f>+IF($K121="Ongoing",BD121,IF(RIGHT($K121,2)=RIGHT(BZ$40,2),SUM($AV121:BD121),0)+IF(RIGHT(BZ$40,2)&gt;RIGHT($K121,2),BD121,0))</f>
        <v>0</v>
      </c>
      <c r="CA121" s="526">
        <f>+IF($K121="Ongoing",BE121,IF(RIGHT($K121,2)=RIGHT(CA$40,2),SUM($AV121:BE121),0)+IF(RIGHT(CA$40,2)&gt;RIGHT($K121,2),BE121,0))</f>
        <v>0</v>
      </c>
      <c r="CB121" s="467"/>
      <c r="CC121" s="524">
        <f>+O121*KeyAssumptionsPriceControl_FO!AF$15</f>
        <v>0</v>
      </c>
      <c r="CD121" s="525">
        <f>+P121*KeyAssumptionsPriceControl_FO!AG$15</f>
        <v>0</v>
      </c>
      <c r="CE121" s="525">
        <f>+Q121*KeyAssumptionsPriceControl_FO!AH$15</f>
        <v>0</v>
      </c>
      <c r="CF121" s="525">
        <f>+R121*KeyAssumptionsPriceControl_FO!AI$15</f>
        <v>0</v>
      </c>
      <c r="CG121" s="526">
        <f>+S121*KeyAssumptionsPriceControl_FO!AJ$15</f>
        <v>0</v>
      </c>
      <c r="CH121" s="524">
        <f>+T121*KeyAssumptionsPriceControl_FO!AK$15</f>
        <v>0</v>
      </c>
      <c r="CI121" s="525">
        <f>+U121*KeyAssumptionsPriceControl_FO!AL$15</f>
        <v>0</v>
      </c>
      <c r="CJ121" s="525">
        <f>+V121*KeyAssumptionsPriceControl_FO!AM$15</f>
        <v>0</v>
      </c>
      <c r="CK121" s="525">
        <f>+W121*KeyAssumptionsPriceControl_FO!AN$15</f>
        <v>0</v>
      </c>
      <c r="CL121" s="526">
        <f>+X121*KeyAssumptionsPriceControl_FO!AO$15</f>
        <v>0</v>
      </c>
      <c r="CM121" s="467"/>
      <c r="CN121" s="524">
        <f t="shared" ca="1" si="53"/>
        <v>0</v>
      </c>
      <c r="CO121" s="525">
        <f t="shared" ca="1" si="51"/>
        <v>0</v>
      </c>
      <c r="CP121" s="525">
        <f t="shared" ca="1" si="51"/>
        <v>0</v>
      </c>
      <c r="CQ121" s="525">
        <f t="shared" ca="1" si="51"/>
        <v>0</v>
      </c>
      <c r="CR121" s="526">
        <f t="shared" ca="1" si="51"/>
        <v>0</v>
      </c>
      <c r="CS121" s="524">
        <f t="shared" ca="1" si="51"/>
        <v>0</v>
      </c>
      <c r="CT121" s="525">
        <f t="shared" ca="1" si="51"/>
        <v>0</v>
      </c>
      <c r="CU121" s="525">
        <f t="shared" ca="1" si="51"/>
        <v>0</v>
      </c>
      <c r="CV121" s="525">
        <f t="shared" ca="1" si="49"/>
        <v>0</v>
      </c>
      <c r="CW121" s="526">
        <f t="shared" ca="1" si="49"/>
        <v>0</v>
      </c>
      <c r="CX121" s="467"/>
    </row>
    <row r="122" spans="2:102">
      <c r="B122" s="502"/>
      <c r="C122" s="1589"/>
      <c r="D122" s="1590"/>
      <c r="E122" s="1591"/>
      <c r="F122" s="1591"/>
      <c r="G122" s="1589"/>
      <c r="H122" s="2226"/>
      <c r="I122" s="2227"/>
      <c r="J122" s="1592"/>
      <c r="K122" s="1593"/>
      <c r="L122" s="1593"/>
      <c r="M122" s="1593"/>
      <c r="N122" s="467"/>
      <c r="O122" s="551"/>
      <c r="P122" s="552"/>
      <c r="Q122" s="552"/>
      <c r="R122" s="552"/>
      <c r="S122" s="553"/>
      <c r="T122" s="551"/>
      <c r="U122" s="552"/>
      <c r="V122" s="552"/>
      <c r="W122" s="552"/>
      <c r="X122" s="553"/>
      <c r="Y122" s="547"/>
      <c r="Z122" s="551"/>
      <c r="AA122" s="552"/>
      <c r="AB122" s="552"/>
      <c r="AC122" s="552"/>
      <c r="AD122" s="553"/>
      <c r="AE122" s="551"/>
      <c r="AF122" s="552"/>
      <c r="AG122" s="552"/>
      <c r="AH122" s="552"/>
      <c r="AI122" s="553"/>
      <c r="AJ122" s="547"/>
      <c r="AK122" s="551"/>
      <c r="AL122" s="552"/>
      <c r="AM122" s="552"/>
      <c r="AN122" s="552"/>
      <c r="AO122" s="553"/>
      <c r="AP122" s="551"/>
      <c r="AQ122" s="552"/>
      <c r="AR122" s="552"/>
      <c r="AS122" s="552"/>
      <c r="AT122" s="553"/>
      <c r="AU122" s="467"/>
      <c r="AV122" s="524">
        <f t="shared" si="47"/>
        <v>0</v>
      </c>
      <c r="AW122" s="525">
        <f t="shared" si="47"/>
        <v>0</v>
      </c>
      <c r="AX122" s="525">
        <f t="shared" si="47"/>
        <v>0</v>
      </c>
      <c r="AY122" s="525">
        <f t="shared" si="47"/>
        <v>0</v>
      </c>
      <c r="AZ122" s="526">
        <f t="shared" si="54"/>
        <v>0</v>
      </c>
      <c r="BA122" s="524">
        <f t="shared" si="54"/>
        <v>0</v>
      </c>
      <c r="BB122" s="525">
        <f t="shared" si="54"/>
        <v>0</v>
      </c>
      <c r="BC122" s="525">
        <f t="shared" si="54"/>
        <v>0</v>
      </c>
      <c r="BD122" s="525">
        <f t="shared" si="54"/>
        <v>0</v>
      </c>
      <c r="BE122" s="526">
        <f t="shared" si="54"/>
        <v>0</v>
      </c>
      <c r="BF122" s="467"/>
      <c r="BG122" s="524">
        <f t="shared" ca="1" si="52"/>
        <v>0</v>
      </c>
      <c r="BH122" s="525">
        <f t="shared" ca="1" si="50"/>
        <v>0</v>
      </c>
      <c r="BI122" s="525">
        <f t="shared" ca="1" si="50"/>
        <v>0</v>
      </c>
      <c r="BJ122" s="525">
        <f t="shared" ca="1" si="50"/>
        <v>0</v>
      </c>
      <c r="BK122" s="526">
        <f t="shared" ca="1" si="50"/>
        <v>0</v>
      </c>
      <c r="BL122" s="524">
        <f t="shared" ca="1" si="50"/>
        <v>0</v>
      </c>
      <c r="BM122" s="525">
        <f t="shared" ca="1" si="50"/>
        <v>0</v>
      </c>
      <c r="BN122" s="525">
        <f t="shared" ca="1" si="50"/>
        <v>0</v>
      </c>
      <c r="BO122" s="525">
        <f t="shared" ca="1" si="48"/>
        <v>0</v>
      </c>
      <c r="BP122" s="526">
        <f t="shared" ca="1" si="48"/>
        <v>0</v>
      </c>
      <c r="BQ122" s="467"/>
      <c r="BR122" s="524">
        <f>+IF($K122="Ongoing",AV122,IF(RIGHT($K122,2)=RIGHT(BR$40,2),SUM($AV122:AV122),0)+IF(RIGHT(BR$40,2)&gt;RIGHT($K122,2),AV122,0))</f>
        <v>0</v>
      </c>
      <c r="BS122" s="525">
        <f>+IF($K122="Ongoing",AW122,IF(RIGHT($K122,2)=RIGHT(BS$40,2),SUM($AV122:AW122),0)+IF(RIGHT(BS$40,2)&gt;RIGHT($K122,2),AW122,0))</f>
        <v>0</v>
      </c>
      <c r="BT122" s="525">
        <f>+IF($K122="Ongoing",AX122,IF(RIGHT($K122,2)=RIGHT(BT$40,2),SUM($AV122:AX122),0)+IF(RIGHT(BT$40,2)&gt;RIGHT($K122,2),AX122,0))</f>
        <v>0</v>
      </c>
      <c r="BU122" s="525">
        <f>+IF($K122="Ongoing",AY122,IF(RIGHT($K122,2)=RIGHT(BU$40,2),SUM($AV122:AY122),0)+IF(RIGHT(BU$40,2)&gt;RIGHT($K122,2),AY122,0))</f>
        <v>0</v>
      </c>
      <c r="BV122" s="526">
        <f>+IF($K122="Ongoing",AZ122,IF(RIGHT($K122,2)=RIGHT(BV$40,2),SUM($AV122:AZ122),0)+IF(RIGHT(BV$40,2)&gt;RIGHT($K122,2),AZ122,0))</f>
        <v>0</v>
      </c>
      <c r="BW122" s="524">
        <f>+IF($K122="Ongoing",BA122,IF(RIGHT($K122,2)=RIGHT(BW$40,2),SUM($AV122:BA122),0)+IF(RIGHT(BW$40,2)&gt;RIGHT($K122,2),BA122,0))</f>
        <v>0</v>
      </c>
      <c r="BX122" s="525">
        <f>+IF($K122="Ongoing",BB122,IF(RIGHT($K122,2)=RIGHT(BX$40,2),SUM($AV122:BB122),0)+IF(RIGHT(BX$40,2)&gt;RIGHT($K122,2),BB122,0))</f>
        <v>0</v>
      </c>
      <c r="BY122" s="525">
        <f>+IF($K122="Ongoing",BC122,IF(RIGHT($K122,2)=RIGHT(BY$40,2),SUM($AV122:BC122),0)+IF(RIGHT(BY$40,2)&gt;RIGHT($K122,2),BC122,0))</f>
        <v>0</v>
      </c>
      <c r="BZ122" s="525">
        <f>+IF($K122="Ongoing",BD122,IF(RIGHT($K122,2)=RIGHT(BZ$40,2),SUM($AV122:BD122),0)+IF(RIGHT(BZ$40,2)&gt;RIGHT($K122,2),BD122,0))</f>
        <v>0</v>
      </c>
      <c r="CA122" s="526">
        <f>+IF($K122="Ongoing",BE122,IF(RIGHT($K122,2)=RIGHT(CA$40,2),SUM($AV122:BE122),0)+IF(RIGHT(CA$40,2)&gt;RIGHT($K122,2),BE122,0))</f>
        <v>0</v>
      </c>
      <c r="CB122" s="467"/>
      <c r="CC122" s="524">
        <f>+O122*KeyAssumptionsPriceControl_FO!AF$15</f>
        <v>0</v>
      </c>
      <c r="CD122" s="525">
        <f>+P122*KeyAssumptionsPriceControl_FO!AG$15</f>
        <v>0</v>
      </c>
      <c r="CE122" s="525">
        <f>+Q122*KeyAssumptionsPriceControl_FO!AH$15</f>
        <v>0</v>
      </c>
      <c r="CF122" s="525">
        <f>+R122*KeyAssumptionsPriceControl_FO!AI$15</f>
        <v>0</v>
      </c>
      <c r="CG122" s="526">
        <f>+S122*KeyAssumptionsPriceControl_FO!AJ$15</f>
        <v>0</v>
      </c>
      <c r="CH122" s="524">
        <f>+T122*KeyAssumptionsPriceControl_FO!AK$15</f>
        <v>0</v>
      </c>
      <c r="CI122" s="525">
        <f>+U122*KeyAssumptionsPriceControl_FO!AL$15</f>
        <v>0</v>
      </c>
      <c r="CJ122" s="525">
        <f>+V122*KeyAssumptionsPriceControl_FO!AM$15</f>
        <v>0</v>
      </c>
      <c r="CK122" s="525">
        <f>+W122*KeyAssumptionsPriceControl_FO!AN$15</f>
        <v>0</v>
      </c>
      <c r="CL122" s="526">
        <f>+X122*KeyAssumptionsPriceControl_FO!AO$15</f>
        <v>0</v>
      </c>
      <c r="CM122" s="467"/>
      <c r="CN122" s="524">
        <f t="shared" ca="1" si="53"/>
        <v>0</v>
      </c>
      <c r="CO122" s="525">
        <f t="shared" ca="1" si="51"/>
        <v>0</v>
      </c>
      <c r="CP122" s="525">
        <f t="shared" ca="1" si="51"/>
        <v>0</v>
      </c>
      <c r="CQ122" s="525">
        <f t="shared" ca="1" si="51"/>
        <v>0</v>
      </c>
      <c r="CR122" s="526">
        <f t="shared" ca="1" si="51"/>
        <v>0</v>
      </c>
      <c r="CS122" s="524">
        <f t="shared" ca="1" si="51"/>
        <v>0</v>
      </c>
      <c r="CT122" s="525">
        <f t="shared" ca="1" si="51"/>
        <v>0</v>
      </c>
      <c r="CU122" s="525">
        <f t="shared" ca="1" si="51"/>
        <v>0</v>
      </c>
      <c r="CV122" s="525">
        <f t="shared" ca="1" si="49"/>
        <v>0</v>
      </c>
      <c r="CW122" s="526">
        <f t="shared" ca="1" si="49"/>
        <v>0</v>
      </c>
      <c r="CX122" s="467"/>
    </row>
    <row r="123" spans="2:102">
      <c r="B123" s="502"/>
      <c r="C123" s="1589"/>
      <c r="D123" s="1590"/>
      <c r="E123" s="1591"/>
      <c r="F123" s="1591"/>
      <c r="G123" s="1589"/>
      <c r="H123" s="2226"/>
      <c r="I123" s="2227"/>
      <c r="J123" s="1592"/>
      <c r="K123" s="1593"/>
      <c r="L123" s="1593"/>
      <c r="M123" s="1593"/>
      <c r="N123" s="467"/>
      <c r="O123" s="551"/>
      <c r="P123" s="552"/>
      <c r="Q123" s="552"/>
      <c r="R123" s="552"/>
      <c r="S123" s="553"/>
      <c r="T123" s="551"/>
      <c r="U123" s="552"/>
      <c r="V123" s="552"/>
      <c r="W123" s="552"/>
      <c r="X123" s="553"/>
      <c r="Y123" s="547"/>
      <c r="Z123" s="551"/>
      <c r="AA123" s="552"/>
      <c r="AB123" s="552"/>
      <c r="AC123" s="552"/>
      <c r="AD123" s="553"/>
      <c r="AE123" s="551"/>
      <c r="AF123" s="552"/>
      <c r="AG123" s="552"/>
      <c r="AH123" s="552"/>
      <c r="AI123" s="553"/>
      <c r="AJ123" s="547"/>
      <c r="AK123" s="551"/>
      <c r="AL123" s="552"/>
      <c r="AM123" s="552"/>
      <c r="AN123" s="552"/>
      <c r="AO123" s="553"/>
      <c r="AP123" s="551"/>
      <c r="AQ123" s="552"/>
      <c r="AR123" s="552"/>
      <c r="AS123" s="552"/>
      <c r="AT123" s="553"/>
      <c r="AU123" s="467"/>
      <c r="AV123" s="524">
        <f t="shared" si="47"/>
        <v>0</v>
      </c>
      <c r="AW123" s="525">
        <f t="shared" si="47"/>
        <v>0</v>
      </c>
      <c r="AX123" s="525">
        <f t="shared" si="47"/>
        <v>0</v>
      </c>
      <c r="AY123" s="525">
        <f t="shared" si="47"/>
        <v>0</v>
      </c>
      <c r="AZ123" s="526">
        <f t="shared" si="54"/>
        <v>0</v>
      </c>
      <c r="BA123" s="524">
        <f t="shared" si="54"/>
        <v>0</v>
      </c>
      <c r="BB123" s="525">
        <f t="shared" si="54"/>
        <v>0</v>
      </c>
      <c r="BC123" s="525">
        <f t="shared" si="54"/>
        <v>0</v>
      </c>
      <c r="BD123" s="525">
        <f t="shared" si="54"/>
        <v>0</v>
      </c>
      <c r="BE123" s="526">
        <f t="shared" si="54"/>
        <v>0</v>
      </c>
      <c r="BF123" s="467"/>
      <c r="BG123" s="524">
        <f t="shared" ca="1" si="52"/>
        <v>0</v>
      </c>
      <c r="BH123" s="525">
        <f t="shared" ca="1" si="50"/>
        <v>0</v>
      </c>
      <c r="BI123" s="525">
        <f t="shared" ca="1" si="50"/>
        <v>0</v>
      </c>
      <c r="BJ123" s="525">
        <f t="shared" ca="1" si="50"/>
        <v>0</v>
      </c>
      <c r="BK123" s="526">
        <f t="shared" ca="1" si="50"/>
        <v>0</v>
      </c>
      <c r="BL123" s="524">
        <f t="shared" ca="1" si="50"/>
        <v>0</v>
      </c>
      <c r="BM123" s="525">
        <f t="shared" ca="1" si="50"/>
        <v>0</v>
      </c>
      <c r="BN123" s="525">
        <f t="shared" ca="1" si="50"/>
        <v>0</v>
      </c>
      <c r="BO123" s="525">
        <f t="shared" ca="1" si="48"/>
        <v>0</v>
      </c>
      <c r="BP123" s="526">
        <f t="shared" ca="1" si="48"/>
        <v>0</v>
      </c>
      <c r="BQ123" s="467"/>
      <c r="BR123" s="524">
        <f>+IF($K123="Ongoing",AV123,IF(RIGHT($K123,2)=RIGHT(BR$40,2),SUM($AV123:AV123),0)+IF(RIGHT(BR$40,2)&gt;RIGHT($K123,2),AV123,0))</f>
        <v>0</v>
      </c>
      <c r="BS123" s="525">
        <f>+IF($K123="Ongoing",AW123,IF(RIGHT($K123,2)=RIGHT(BS$40,2),SUM($AV123:AW123),0)+IF(RIGHT(BS$40,2)&gt;RIGHT($K123,2),AW123,0))</f>
        <v>0</v>
      </c>
      <c r="BT123" s="525">
        <f>+IF($K123="Ongoing",AX123,IF(RIGHT($K123,2)=RIGHT(BT$40,2),SUM($AV123:AX123),0)+IF(RIGHT(BT$40,2)&gt;RIGHT($K123,2),AX123,0))</f>
        <v>0</v>
      </c>
      <c r="BU123" s="525">
        <f>+IF($K123="Ongoing",AY123,IF(RIGHT($K123,2)=RIGHT(BU$40,2),SUM($AV123:AY123),0)+IF(RIGHT(BU$40,2)&gt;RIGHT($K123,2),AY123,0))</f>
        <v>0</v>
      </c>
      <c r="BV123" s="526">
        <f>+IF($K123="Ongoing",AZ123,IF(RIGHT($K123,2)=RIGHT(BV$40,2),SUM($AV123:AZ123),0)+IF(RIGHT(BV$40,2)&gt;RIGHT($K123,2),AZ123,0))</f>
        <v>0</v>
      </c>
      <c r="BW123" s="524">
        <f>+IF($K123="Ongoing",BA123,IF(RIGHT($K123,2)=RIGHT(BW$40,2),SUM($AV123:BA123),0)+IF(RIGHT(BW$40,2)&gt;RIGHT($K123,2),BA123,0))</f>
        <v>0</v>
      </c>
      <c r="BX123" s="525">
        <f>+IF($K123="Ongoing",BB123,IF(RIGHT($K123,2)=RIGHT(BX$40,2),SUM($AV123:BB123),0)+IF(RIGHT(BX$40,2)&gt;RIGHT($K123,2),BB123,0))</f>
        <v>0</v>
      </c>
      <c r="BY123" s="525">
        <f>+IF($K123="Ongoing",BC123,IF(RIGHT($K123,2)=RIGHT(BY$40,2),SUM($AV123:BC123),0)+IF(RIGHT(BY$40,2)&gt;RIGHT($K123,2),BC123,0))</f>
        <v>0</v>
      </c>
      <c r="BZ123" s="525">
        <f>+IF($K123="Ongoing",BD123,IF(RIGHT($K123,2)=RIGHT(BZ$40,2),SUM($AV123:BD123),0)+IF(RIGHT(BZ$40,2)&gt;RIGHT($K123,2),BD123,0))</f>
        <v>0</v>
      </c>
      <c r="CA123" s="526">
        <f>+IF($K123="Ongoing",BE123,IF(RIGHT($K123,2)=RIGHT(CA$40,2),SUM($AV123:BE123),0)+IF(RIGHT(CA$40,2)&gt;RIGHT($K123,2),BE123,0))</f>
        <v>0</v>
      </c>
      <c r="CB123" s="467"/>
      <c r="CC123" s="524">
        <f>+O123*KeyAssumptionsPriceControl_FO!AF$15</f>
        <v>0</v>
      </c>
      <c r="CD123" s="525">
        <f>+P123*KeyAssumptionsPriceControl_FO!AG$15</f>
        <v>0</v>
      </c>
      <c r="CE123" s="525">
        <f>+Q123*KeyAssumptionsPriceControl_FO!AH$15</f>
        <v>0</v>
      </c>
      <c r="CF123" s="525">
        <f>+R123*KeyAssumptionsPriceControl_FO!AI$15</f>
        <v>0</v>
      </c>
      <c r="CG123" s="526">
        <f>+S123*KeyAssumptionsPriceControl_FO!AJ$15</f>
        <v>0</v>
      </c>
      <c r="CH123" s="524">
        <f>+T123*KeyAssumptionsPriceControl_FO!AK$15</f>
        <v>0</v>
      </c>
      <c r="CI123" s="525">
        <f>+U123*KeyAssumptionsPriceControl_FO!AL$15</f>
        <v>0</v>
      </c>
      <c r="CJ123" s="525">
        <f>+V123*KeyAssumptionsPriceControl_FO!AM$15</f>
        <v>0</v>
      </c>
      <c r="CK123" s="525">
        <f>+W123*KeyAssumptionsPriceControl_FO!AN$15</f>
        <v>0</v>
      </c>
      <c r="CL123" s="526">
        <f>+X123*KeyAssumptionsPriceControl_FO!AO$15</f>
        <v>0</v>
      </c>
      <c r="CM123" s="467"/>
      <c r="CN123" s="524">
        <f t="shared" ca="1" si="53"/>
        <v>0</v>
      </c>
      <c r="CO123" s="525">
        <f t="shared" ca="1" si="51"/>
        <v>0</v>
      </c>
      <c r="CP123" s="525">
        <f t="shared" ca="1" si="51"/>
        <v>0</v>
      </c>
      <c r="CQ123" s="525">
        <f t="shared" ca="1" si="51"/>
        <v>0</v>
      </c>
      <c r="CR123" s="526">
        <f t="shared" ca="1" si="51"/>
        <v>0</v>
      </c>
      <c r="CS123" s="524">
        <f t="shared" ca="1" si="51"/>
        <v>0</v>
      </c>
      <c r="CT123" s="525">
        <f t="shared" ca="1" si="51"/>
        <v>0</v>
      </c>
      <c r="CU123" s="525">
        <f t="shared" ca="1" si="51"/>
        <v>0</v>
      </c>
      <c r="CV123" s="525">
        <f t="shared" ca="1" si="49"/>
        <v>0</v>
      </c>
      <c r="CW123" s="526">
        <f t="shared" ca="1" si="49"/>
        <v>0</v>
      </c>
      <c r="CX123" s="467"/>
    </row>
    <row r="124" spans="2:102">
      <c r="B124" s="502"/>
      <c r="C124" s="1589"/>
      <c r="D124" s="1590"/>
      <c r="E124" s="1591"/>
      <c r="F124" s="1591"/>
      <c r="G124" s="1589"/>
      <c r="H124" s="2226"/>
      <c r="I124" s="2227"/>
      <c r="J124" s="1592"/>
      <c r="K124" s="1593"/>
      <c r="L124" s="1593"/>
      <c r="M124" s="1593"/>
      <c r="N124" s="467"/>
      <c r="O124" s="551"/>
      <c r="P124" s="552"/>
      <c r="Q124" s="552"/>
      <c r="R124" s="552"/>
      <c r="S124" s="553"/>
      <c r="T124" s="551"/>
      <c r="U124" s="552"/>
      <c r="V124" s="552"/>
      <c r="W124" s="552"/>
      <c r="X124" s="553"/>
      <c r="Y124" s="547"/>
      <c r="Z124" s="551"/>
      <c r="AA124" s="552"/>
      <c r="AB124" s="552"/>
      <c r="AC124" s="552"/>
      <c r="AD124" s="553"/>
      <c r="AE124" s="551"/>
      <c r="AF124" s="552"/>
      <c r="AG124" s="552"/>
      <c r="AH124" s="552"/>
      <c r="AI124" s="553"/>
      <c r="AJ124" s="547"/>
      <c r="AK124" s="551"/>
      <c r="AL124" s="552"/>
      <c r="AM124" s="552"/>
      <c r="AN124" s="552"/>
      <c r="AO124" s="553"/>
      <c r="AP124" s="551"/>
      <c r="AQ124" s="552"/>
      <c r="AR124" s="552"/>
      <c r="AS124" s="552"/>
      <c r="AT124" s="553"/>
      <c r="AU124" s="467"/>
      <c r="AV124" s="524">
        <f t="shared" si="47"/>
        <v>0</v>
      </c>
      <c r="AW124" s="525">
        <f t="shared" si="47"/>
        <v>0</v>
      </c>
      <c r="AX124" s="525">
        <f t="shared" si="47"/>
        <v>0</v>
      </c>
      <c r="AY124" s="525">
        <f t="shared" si="47"/>
        <v>0</v>
      </c>
      <c r="AZ124" s="526">
        <f t="shared" si="54"/>
        <v>0</v>
      </c>
      <c r="BA124" s="524">
        <f t="shared" si="54"/>
        <v>0</v>
      </c>
      <c r="BB124" s="525">
        <f t="shared" si="54"/>
        <v>0</v>
      </c>
      <c r="BC124" s="525">
        <f t="shared" si="54"/>
        <v>0</v>
      </c>
      <c r="BD124" s="525">
        <f t="shared" si="54"/>
        <v>0</v>
      </c>
      <c r="BE124" s="526">
        <f t="shared" si="54"/>
        <v>0</v>
      </c>
      <c r="BF124" s="467"/>
      <c r="BG124" s="524">
        <f t="shared" ca="1" si="52"/>
        <v>0</v>
      </c>
      <c r="BH124" s="525">
        <f t="shared" ca="1" si="50"/>
        <v>0</v>
      </c>
      <c r="BI124" s="525">
        <f t="shared" ca="1" si="50"/>
        <v>0</v>
      </c>
      <c r="BJ124" s="525">
        <f t="shared" ca="1" si="50"/>
        <v>0</v>
      </c>
      <c r="BK124" s="526">
        <f t="shared" ca="1" si="50"/>
        <v>0</v>
      </c>
      <c r="BL124" s="524">
        <f t="shared" ca="1" si="50"/>
        <v>0</v>
      </c>
      <c r="BM124" s="525">
        <f t="shared" ca="1" si="50"/>
        <v>0</v>
      </c>
      <c r="BN124" s="525">
        <f t="shared" ca="1" si="50"/>
        <v>0</v>
      </c>
      <c r="BO124" s="525">
        <f t="shared" ca="1" si="48"/>
        <v>0</v>
      </c>
      <c r="BP124" s="526">
        <f t="shared" ca="1" si="48"/>
        <v>0</v>
      </c>
      <c r="BQ124" s="467"/>
      <c r="BR124" s="524">
        <f>+IF($K124="Ongoing",AV124,IF(RIGHT($K124,2)=RIGHT(BR$40,2),SUM($AV124:AV124),0)+IF(RIGHT(BR$40,2)&gt;RIGHT($K124,2),AV124,0))</f>
        <v>0</v>
      </c>
      <c r="BS124" s="525">
        <f>+IF($K124="Ongoing",AW124,IF(RIGHT($K124,2)=RIGHT(BS$40,2),SUM($AV124:AW124),0)+IF(RIGHT(BS$40,2)&gt;RIGHT($K124,2),AW124,0))</f>
        <v>0</v>
      </c>
      <c r="BT124" s="525">
        <f>+IF($K124="Ongoing",AX124,IF(RIGHT($K124,2)=RIGHT(BT$40,2),SUM($AV124:AX124),0)+IF(RIGHT(BT$40,2)&gt;RIGHT($K124,2),AX124,0))</f>
        <v>0</v>
      </c>
      <c r="BU124" s="525">
        <f>+IF($K124="Ongoing",AY124,IF(RIGHT($K124,2)=RIGHT(BU$40,2),SUM($AV124:AY124),0)+IF(RIGHT(BU$40,2)&gt;RIGHT($K124,2),AY124,0))</f>
        <v>0</v>
      </c>
      <c r="BV124" s="526">
        <f>+IF($K124="Ongoing",AZ124,IF(RIGHT($K124,2)=RIGHT(BV$40,2),SUM($AV124:AZ124),0)+IF(RIGHT(BV$40,2)&gt;RIGHT($K124,2),AZ124,0))</f>
        <v>0</v>
      </c>
      <c r="BW124" s="524">
        <f>+IF($K124="Ongoing",BA124,IF(RIGHT($K124,2)=RIGHT(BW$40,2),SUM($AV124:BA124),0)+IF(RIGHT(BW$40,2)&gt;RIGHT($K124,2),BA124,0))</f>
        <v>0</v>
      </c>
      <c r="BX124" s="525">
        <f>+IF($K124="Ongoing",BB124,IF(RIGHT($K124,2)=RIGHT(BX$40,2),SUM($AV124:BB124),0)+IF(RIGHT(BX$40,2)&gt;RIGHT($K124,2),BB124,0))</f>
        <v>0</v>
      </c>
      <c r="BY124" s="525">
        <f>+IF($K124="Ongoing",BC124,IF(RIGHT($K124,2)=RIGHT(BY$40,2),SUM($AV124:BC124),0)+IF(RIGHT(BY$40,2)&gt;RIGHT($K124,2),BC124,0))</f>
        <v>0</v>
      </c>
      <c r="BZ124" s="525">
        <f>+IF($K124="Ongoing",BD124,IF(RIGHT($K124,2)=RIGHT(BZ$40,2),SUM($AV124:BD124),0)+IF(RIGHT(BZ$40,2)&gt;RIGHT($K124,2),BD124,0))</f>
        <v>0</v>
      </c>
      <c r="CA124" s="526">
        <f>+IF($K124="Ongoing",BE124,IF(RIGHT($K124,2)=RIGHT(CA$40,2),SUM($AV124:BE124),0)+IF(RIGHT(CA$40,2)&gt;RIGHT($K124,2),BE124,0))</f>
        <v>0</v>
      </c>
      <c r="CB124" s="467"/>
      <c r="CC124" s="524">
        <f>+O124*KeyAssumptionsPriceControl_FO!AF$15</f>
        <v>0</v>
      </c>
      <c r="CD124" s="525">
        <f>+P124*KeyAssumptionsPriceControl_FO!AG$15</f>
        <v>0</v>
      </c>
      <c r="CE124" s="525">
        <f>+Q124*KeyAssumptionsPriceControl_FO!AH$15</f>
        <v>0</v>
      </c>
      <c r="CF124" s="525">
        <f>+R124*KeyAssumptionsPriceControl_FO!AI$15</f>
        <v>0</v>
      </c>
      <c r="CG124" s="526">
        <f>+S124*KeyAssumptionsPriceControl_FO!AJ$15</f>
        <v>0</v>
      </c>
      <c r="CH124" s="524">
        <f>+T124*KeyAssumptionsPriceControl_FO!AK$15</f>
        <v>0</v>
      </c>
      <c r="CI124" s="525">
        <f>+U124*KeyAssumptionsPriceControl_FO!AL$15</f>
        <v>0</v>
      </c>
      <c r="CJ124" s="525">
        <f>+V124*KeyAssumptionsPriceControl_FO!AM$15</f>
        <v>0</v>
      </c>
      <c r="CK124" s="525">
        <f>+W124*KeyAssumptionsPriceControl_FO!AN$15</f>
        <v>0</v>
      </c>
      <c r="CL124" s="526">
        <f>+X124*KeyAssumptionsPriceControl_FO!AO$15</f>
        <v>0</v>
      </c>
      <c r="CM124" s="467"/>
      <c r="CN124" s="524">
        <f t="shared" ca="1" si="53"/>
        <v>0</v>
      </c>
      <c r="CO124" s="525">
        <f t="shared" ca="1" si="51"/>
        <v>0</v>
      </c>
      <c r="CP124" s="525">
        <f t="shared" ca="1" si="51"/>
        <v>0</v>
      </c>
      <c r="CQ124" s="525">
        <f t="shared" ca="1" si="51"/>
        <v>0</v>
      </c>
      <c r="CR124" s="526">
        <f t="shared" ca="1" si="51"/>
        <v>0</v>
      </c>
      <c r="CS124" s="524">
        <f t="shared" ca="1" si="51"/>
        <v>0</v>
      </c>
      <c r="CT124" s="525">
        <f t="shared" ca="1" si="51"/>
        <v>0</v>
      </c>
      <c r="CU124" s="525">
        <f t="shared" ca="1" si="51"/>
        <v>0</v>
      </c>
      <c r="CV124" s="525">
        <f t="shared" ca="1" si="49"/>
        <v>0</v>
      </c>
      <c r="CW124" s="526">
        <f t="shared" ca="1" si="49"/>
        <v>0</v>
      </c>
      <c r="CX124" s="467"/>
    </row>
    <row r="125" spans="2:102">
      <c r="B125" s="502"/>
      <c r="C125" s="1589"/>
      <c r="D125" s="1590"/>
      <c r="E125" s="1591"/>
      <c r="F125" s="1591"/>
      <c r="G125" s="1589"/>
      <c r="H125" s="2226"/>
      <c r="I125" s="2227"/>
      <c r="J125" s="1592"/>
      <c r="K125" s="1593"/>
      <c r="L125" s="1593"/>
      <c r="M125" s="1593"/>
      <c r="N125" s="467"/>
      <c r="O125" s="551"/>
      <c r="P125" s="552"/>
      <c r="Q125" s="552"/>
      <c r="R125" s="552"/>
      <c r="S125" s="553"/>
      <c r="T125" s="551"/>
      <c r="U125" s="552"/>
      <c r="V125" s="552"/>
      <c r="W125" s="552"/>
      <c r="X125" s="553"/>
      <c r="Y125" s="547"/>
      <c r="Z125" s="551"/>
      <c r="AA125" s="552"/>
      <c r="AB125" s="552"/>
      <c r="AC125" s="552"/>
      <c r="AD125" s="553"/>
      <c r="AE125" s="551"/>
      <c r="AF125" s="552"/>
      <c r="AG125" s="552"/>
      <c r="AH125" s="552"/>
      <c r="AI125" s="553"/>
      <c r="AJ125" s="547"/>
      <c r="AK125" s="551"/>
      <c r="AL125" s="552"/>
      <c r="AM125" s="552"/>
      <c r="AN125" s="552"/>
      <c r="AO125" s="553"/>
      <c r="AP125" s="551"/>
      <c r="AQ125" s="552"/>
      <c r="AR125" s="552"/>
      <c r="AS125" s="552"/>
      <c r="AT125" s="553"/>
      <c r="AU125" s="467"/>
      <c r="AV125" s="524">
        <f t="shared" si="47"/>
        <v>0</v>
      </c>
      <c r="AW125" s="525">
        <f t="shared" si="47"/>
        <v>0</v>
      </c>
      <c r="AX125" s="525">
        <f t="shared" si="47"/>
        <v>0</v>
      </c>
      <c r="AY125" s="525">
        <f t="shared" si="47"/>
        <v>0</v>
      </c>
      <c r="AZ125" s="526">
        <f t="shared" si="54"/>
        <v>0</v>
      </c>
      <c r="BA125" s="524">
        <f t="shared" si="54"/>
        <v>0</v>
      </c>
      <c r="BB125" s="525">
        <f t="shared" si="54"/>
        <v>0</v>
      </c>
      <c r="BC125" s="525">
        <f t="shared" si="54"/>
        <v>0</v>
      </c>
      <c r="BD125" s="525">
        <f t="shared" si="54"/>
        <v>0</v>
      </c>
      <c r="BE125" s="526">
        <f t="shared" si="54"/>
        <v>0</v>
      </c>
      <c r="BF125" s="467"/>
      <c r="BG125" s="524">
        <f t="shared" ca="1" si="52"/>
        <v>0</v>
      </c>
      <c r="BH125" s="525">
        <f t="shared" ca="1" si="50"/>
        <v>0</v>
      </c>
      <c r="BI125" s="525">
        <f t="shared" ca="1" si="50"/>
        <v>0</v>
      </c>
      <c r="BJ125" s="525">
        <f t="shared" ca="1" si="50"/>
        <v>0</v>
      </c>
      <c r="BK125" s="526">
        <f t="shared" ref="BK125:BN146" ca="1" si="55">IF($L125=0,0,
IF($L125&lt;=0.5,BV125,
IF(AND($J125="straight line",$L125&lt;1.51),(BU125-((BU125/$L125)*0.5))+BV125/$L125*0.5,
IF($J125="straight line",
IF((LEFT(BK$40,4)*1)-INT($L125)&lt;LEFT($BG$40,4)*1,0,((OFFSET(BV125,0,-INT($L125+0.5),1,1))/$L125)*(IF($L125-INT($L125)&gt;0.5,$L125-0.5-INT($L125),IF($L125-INT($L125)&lt;=0.5,$L125-0.5-INT($L125)+1,0))))
+BV125/$L125*0.5
+SUM(OFFSET(BV125,0,MAX(-INT($L125+(0.5-(10^-12))),-BK$41)+1,1,MIN(INT($L125+(0.5-(10^-12))),BK$41)-1))*1/$L125,
IF($J125="Declining Balance",-$BG$39,0)))))</f>
        <v>0</v>
      </c>
      <c r="BL125" s="524">
        <f t="shared" ca="1" si="55"/>
        <v>0</v>
      </c>
      <c r="BM125" s="525">
        <f t="shared" ca="1" si="55"/>
        <v>0</v>
      </c>
      <c r="BN125" s="525">
        <f t="shared" ca="1" si="55"/>
        <v>0</v>
      </c>
      <c r="BO125" s="525">
        <f t="shared" ca="1" si="48"/>
        <v>0</v>
      </c>
      <c r="BP125" s="526">
        <f t="shared" ca="1" si="48"/>
        <v>0</v>
      </c>
      <c r="BQ125" s="467"/>
      <c r="BR125" s="524">
        <f>+IF($K125="Ongoing",AV125,IF(RIGHT($K125,2)=RIGHT(BR$40,2),SUM($AV125:AV125),0)+IF(RIGHT(BR$40,2)&gt;RIGHT($K125,2),AV125,0))</f>
        <v>0</v>
      </c>
      <c r="BS125" s="525">
        <f>+IF($K125="Ongoing",AW125,IF(RIGHT($K125,2)=RIGHT(BS$40,2),SUM($AV125:AW125),0)+IF(RIGHT(BS$40,2)&gt;RIGHT($K125,2),AW125,0))</f>
        <v>0</v>
      </c>
      <c r="BT125" s="525">
        <f>+IF($K125="Ongoing",AX125,IF(RIGHT($K125,2)=RIGHT(BT$40,2),SUM($AV125:AX125),0)+IF(RIGHT(BT$40,2)&gt;RIGHT($K125,2),AX125,0))</f>
        <v>0</v>
      </c>
      <c r="BU125" s="525">
        <f>+IF($K125="Ongoing",AY125,IF(RIGHT($K125,2)=RIGHT(BU$40,2),SUM($AV125:AY125),0)+IF(RIGHT(BU$40,2)&gt;RIGHT($K125,2),AY125,0))</f>
        <v>0</v>
      </c>
      <c r="BV125" s="526">
        <f>+IF($K125="Ongoing",AZ125,IF(RIGHT($K125,2)=RIGHT(BV$40,2),SUM($AV125:AZ125),0)+IF(RIGHT(BV$40,2)&gt;RIGHT($K125,2),AZ125,0))</f>
        <v>0</v>
      </c>
      <c r="BW125" s="524">
        <f>+IF($K125="Ongoing",BA125,IF(RIGHT($K125,2)=RIGHT(BW$40,2),SUM($AV125:BA125),0)+IF(RIGHT(BW$40,2)&gt;RIGHT($K125,2),BA125,0))</f>
        <v>0</v>
      </c>
      <c r="BX125" s="525">
        <f>+IF($K125="Ongoing",BB125,IF(RIGHT($K125,2)=RIGHT(BX$40,2),SUM($AV125:BB125),0)+IF(RIGHT(BX$40,2)&gt;RIGHT($K125,2),BB125,0))</f>
        <v>0</v>
      </c>
      <c r="BY125" s="525">
        <f>+IF($K125="Ongoing",BC125,IF(RIGHT($K125,2)=RIGHT(BY$40,2),SUM($AV125:BC125),0)+IF(RIGHT(BY$40,2)&gt;RIGHT($K125,2),BC125,0))</f>
        <v>0</v>
      </c>
      <c r="BZ125" s="525">
        <f>+IF($K125="Ongoing",BD125,IF(RIGHT($K125,2)=RIGHT(BZ$40,2),SUM($AV125:BD125),0)+IF(RIGHT(BZ$40,2)&gt;RIGHT($K125,2),BD125,0))</f>
        <v>0</v>
      </c>
      <c r="CA125" s="526">
        <f>+IF($K125="Ongoing",BE125,IF(RIGHT($K125,2)=RIGHT(CA$40,2),SUM($AV125:BE125),0)+IF(RIGHT(CA$40,2)&gt;RIGHT($K125,2),BE125,0))</f>
        <v>0</v>
      </c>
      <c r="CB125" s="467"/>
      <c r="CC125" s="524">
        <f>+O125*KeyAssumptionsPriceControl_FO!AF$15</f>
        <v>0</v>
      </c>
      <c r="CD125" s="525">
        <f>+P125*KeyAssumptionsPriceControl_FO!AG$15</f>
        <v>0</v>
      </c>
      <c r="CE125" s="525">
        <f>+Q125*KeyAssumptionsPriceControl_FO!AH$15</f>
        <v>0</v>
      </c>
      <c r="CF125" s="525">
        <f>+R125*KeyAssumptionsPriceControl_FO!AI$15</f>
        <v>0</v>
      </c>
      <c r="CG125" s="526">
        <f>+S125*KeyAssumptionsPriceControl_FO!AJ$15</f>
        <v>0</v>
      </c>
      <c r="CH125" s="524">
        <f>+T125*KeyAssumptionsPriceControl_FO!AK$15</f>
        <v>0</v>
      </c>
      <c r="CI125" s="525">
        <f>+U125*KeyAssumptionsPriceControl_FO!AL$15</f>
        <v>0</v>
      </c>
      <c r="CJ125" s="525">
        <f>+V125*KeyAssumptionsPriceControl_FO!AM$15</f>
        <v>0</v>
      </c>
      <c r="CK125" s="525">
        <f>+W125*KeyAssumptionsPriceControl_FO!AN$15</f>
        <v>0</v>
      </c>
      <c r="CL125" s="526">
        <f>+X125*KeyAssumptionsPriceControl_FO!AO$15</f>
        <v>0</v>
      </c>
      <c r="CM125" s="467"/>
      <c r="CN125" s="524">
        <f t="shared" ca="1" si="53"/>
        <v>0</v>
      </c>
      <c r="CO125" s="525">
        <f t="shared" ca="1" si="51"/>
        <v>0</v>
      </c>
      <c r="CP125" s="525">
        <f t="shared" ca="1" si="51"/>
        <v>0</v>
      </c>
      <c r="CQ125" s="525">
        <f t="shared" ca="1" si="51"/>
        <v>0</v>
      </c>
      <c r="CR125" s="526">
        <f t="shared" ref="CR125:CU146" ca="1" si="56">IF($M125=0,0,
IF($M125&lt;=0.5,CG125,
IF(AND($J125="straight line",$M125&lt;1.51),(CF125-((CF125/$M125)*0.5))+CG125/$M125*0.5,
IF($J125="straight line",
IF((LEFT(CR$40,4)*1)-INT($M125)&lt;LEFT($CN$40,4)*1,0,((OFFSET(CG125,0,-INT($M125+0.5),1,1))/$M125)*(IF($M125-INT($M125)&gt;0.5,$M125-0.5-INT($M125),IF($M125-INT($M125)&lt;=0.5,$M125-0.5-INT($M125)+1,0))))
+CG125/$M125*0.5
+SUM(OFFSET(CG125,0,MAX(-INT($M125+(0.5-(10^-12))),-CR$41)+1,1,MIN(INT($M125+(0.5-(10^-12))),CR$41)-1))*1/$M125,
IF($J125="Declining Balance",-$CN$39,0)))))</f>
        <v>0</v>
      </c>
      <c r="CS125" s="524">
        <f t="shared" ca="1" si="56"/>
        <v>0</v>
      </c>
      <c r="CT125" s="525">
        <f t="shared" ca="1" si="56"/>
        <v>0</v>
      </c>
      <c r="CU125" s="525">
        <f t="shared" ca="1" si="56"/>
        <v>0</v>
      </c>
      <c r="CV125" s="525">
        <f t="shared" ca="1" si="49"/>
        <v>0</v>
      </c>
      <c r="CW125" s="526">
        <f t="shared" ca="1" si="49"/>
        <v>0</v>
      </c>
      <c r="CX125" s="467"/>
    </row>
    <row r="126" spans="2:102">
      <c r="B126" s="502"/>
      <c r="C126" s="1589"/>
      <c r="D126" s="1590"/>
      <c r="E126" s="1591"/>
      <c r="F126" s="1591"/>
      <c r="G126" s="1589"/>
      <c r="H126" s="2226"/>
      <c r="I126" s="2227"/>
      <c r="J126" s="1592"/>
      <c r="K126" s="1593"/>
      <c r="L126" s="1593"/>
      <c r="M126" s="1593"/>
      <c r="N126" s="467"/>
      <c r="O126" s="551"/>
      <c r="P126" s="552"/>
      <c r="Q126" s="552"/>
      <c r="R126" s="552"/>
      <c r="S126" s="553"/>
      <c r="T126" s="551"/>
      <c r="U126" s="552"/>
      <c r="V126" s="552"/>
      <c r="W126" s="552"/>
      <c r="X126" s="553"/>
      <c r="Y126" s="547"/>
      <c r="Z126" s="551"/>
      <c r="AA126" s="552"/>
      <c r="AB126" s="552"/>
      <c r="AC126" s="552"/>
      <c r="AD126" s="553"/>
      <c r="AE126" s="551"/>
      <c r="AF126" s="552"/>
      <c r="AG126" s="552"/>
      <c r="AH126" s="552"/>
      <c r="AI126" s="553"/>
      <c r="AJ126" s="547"/>
      <c r="AK126" s="551"/>
      <c r="AL126" s="552"/>
      <c r="AM126" s="552"/>
      <c r="AN126" s="552"/>
      <c r="AO126" s="553"/>
      <c r="AP126" s="551"/>
      <c r="AQ126" s="552"/>
      <c r="AR126" s="552"/>
      <c r="AS126" s="552"/>
      <c r="AT126" s="553"/>
      <c r="AU126" s="467"/>
      <c r="AV126" s="524">
        <f t="shared" si="47"/>
        <v>0</v>
      </c>
      <c r="AW126" s="525">
        <f t="shared" si="47"/>
        <v>0</v>
      </c>
      <c r="AX126" s="525">
        <f t="shared" si="47"/>
        <v>0</v>
      </c>
      <c r="AY126" s="525">
        <f t="shared" si="47"/>
        <v>0</v>
      </c>
      <c r="AZ126" s="526">
        <f t="shared" si="54"/>
        <v>0</v>
      </c>
      <c r="BA126" s="524">
        <f t="shared" si="54"/>
        <v>0</v>
      </c>
      <c r="BB126" s="525">
        <f t="shared" si="54"/>
        <v>0</v>
      </c>
      <c r="BC126" s="525">
        <f t="shared" si="54"/>
        <v>0</v>
      </c>
      <c r="BD126" s="525">
        <f t="shared" si="54"/>
        <v>0</v>
      </c>
      <c r="BE126" s="526">
        <f t="shared" si="54"/>
        <v>0</v>
      </c>
      <c r="BF126" s="467"/>
      <c r="BG126" s="524">
        <f t="shared" ca="1" si="52"/>
        <v>0</v>
      </c>
      <c r="BH126" s="525">
        <f t="shared" ref="BH126:BJ146" ca="1" si="57">IF($L126=0,0,
IF($L126&lt;=0.5,BS126,
IF(AND($J126="straight line",$L126&lt;1.51),(BR126-((BR126/$L126)*0.5))+BS126/$L126*0.5,
IF($J126="straight line",
IF((LEFT(BH$40,4)*1)-INT($L126)&lt;LEFT($BG$40,4)*1,0,((OFFSET(BS126,0,-INT($L126+0.5),1,1))/$L126)*(IF($L126-INT($L126)&gt;0.5,$L126-0.5-INT($L126),IF($L126-INT($L126)&lt;=0.5,$L126-0.5-INT($L126)+1,0))))
+BS126/$L126*0.5
+SUM(OFFSET(BS126,0,MAX(-INT($L126+(0.5-(10^-12))),-BH$41)+1,1,MIN(INT($L126+(0.5-(10^-12))),BH$41)-1))*1/$L126,
IF($J126="Declining Balance",-$BG$39,0)))))</f>
        <v>0</v>
      </c>
      <c r="BI126" s="525">
        <f t="shared" ca="1" si="57"/>
        <v>0</v>
      </c>
      <c r="BJ126" s="525">
        <f t="shared" ca="1" si="57"/>
        <v>0</v>
      </c>
      <c r="BK126" s="526">
        <f t="shared" ca="1" si="55"/>
        <v>0</v>
      </c>
      <c r="BL126" s="524">
        <f t="shared" ca="1" si="55"/>
        <v>0</v>
      </c>
      <c r="BM126" s="525">
        <f t="shared" ca="1" si="55"/>
        <v>0</v>
      </c>
      <c r="BN126" s="525">
        <f t="shared" ca="1" si="55"/>
        <v>0</v>
      </c>
      <c r="BO126" s="525">
        <f t="shared" ca="1" si="48"/>
        <v>0</v>
      </c>
      <c r="BP126" s="526">
        <f t="shared" ca="1" si="48"/>
        <v>0</v>
      </c>
      <c r="BQ126" s="467"/>
      <c r="BR126" s="524">
        <f>+IF($K126="Ongoing",AV126,IF(RIGHT($K126,2)=RIGHT(BR$40,2),SUM($AV126:AV126),0)+IF(RIGHT(BR$40,2)&gt;RIGHT($K126,2),AV126,0))</f>
        <v>0</v>
      </c>
      <c r="BS126" s="525">
        <f>+IF($K126="Ongoing",AW126,IF(RIGHT($K126,2)=RIGHT(BS$40,2),SUM($AV126:AW126),0)+IF(RIGHT(BS$40,2)&gt;RIGHT($K126,2),AW126,0))</f>
        <v>0</v>
      </c>
      <c r="BT126" s="525">
        <f>+IF($K126="Ongoing",AX126,IF(RIGHT($K126,2)=RIGHT(BT$40,2),SUM($AV126:AX126),0)+IF(RIGHT(BT$40,2)&gt;RIGHT($K126,2),AX126,0))</f>
        <v>0</v>
      </c>
      <c r="BU126" s="525">
        <f>+IF($K126="Ongoing",AY126,IF(RIGHT($K126,2)=RIGHT(BU$40,2),SUM($AV126:AY126),0)+IF(RIGHT(BU$40,2)&gt;RIGHT($K126,2),AY126,0))</f>
        <v>0</v>
      </c>
      <c r="BV126" s="526">
        <f>+IF($K126="Ongoing",AZ126,IF(RIGHT($K126,2)=RIGHT(BV$40,2),SUM($AV126:AZ126),0)+IF(RIGHT(BV$40,2)&gt;RIGHT($K126,2),AZ126,0))</f>
        <v>0</v>
      </c>
      <c r="BW126" s="524">
        <f>+IF($K126="Ongoing",BA126,IF(RIGHT($K126,2)=RIGHT(BW$40,2),SUM($AV126:BA126),0)+IF(RIGHT(BW$40,2)&gt;RIGHT($K126,2),BA126,0))</f>
        <v>0</v>
      </c>
      <c r="BX126" s="525">
        <f>+IF($K126="Ongoing",BB126,IF(RIGHT($K126,2)=RIGHT(BX$40,2),SUM($AV126:BB126),0)+IF(RIGHT(BX$40,2)&gt;RIGHT($K126,2),BB126,0))</f>
        <v>0</v>
      </c>
      <c r="BY126" s="525">
        <f>+IF($K126="Ongoing",BC126,IF(RIGHT($K126,2)=RIGHT(BY$40,2),SUM($AV126:BC126),0)+IF(RIGHT(BY$40,2)&gt;RIGHT($K126,2),BC126,0))</f>
        <v>0</v>
      </c>
      <c r="BZ126" s="525">
        <f>+IF($K126="Ongoing",BD126,IF(RIGHT($K126,2)=RIGHT(BZ$40,2),SUM($AV126:BD126),0)+IF(RIGHT(BZ$40,2)&gt;RIGHT($K126,2),BD126,0))</f>
        <v>0</v>
      </c>
      <c r="CA126" s="526">
        <f>+IF($K126="Ongoing",BE126,IF(RIGHT($K126,2)=RIGHT(CA$40,2),SUM($AV126:BE126),0)+IF(RIGHT(CA$40,2)&gt;RIGHT($K126,2),BE126,0))</f>
        <v>0</v>
      </c>
      <c r="CB126" s="467"/>
      <c r="CC126" s="524">
        <f>+O126*KeyAssumptionsPriceControl_FO!AF$15</f>
        <v>0</v>
      </c>
      <c r="CD126" s="525">
        <f>+P126*KeyAssumptionsPriceControl_FO!AG$15</f>
        <v>0</v>
      </c>
      <c r="CE126" s="525">
        <f>+Q126*KeyAssumptionsPriceControl_FO!AH$15</f>
        <v>0</v>
      </c>
      <c r="CF126" s="525">
        <f>+R126*KeyAssumptionsPriceControl_FO!AI$15</f>
        <v>0</v>
      </c>
      <c r="CG126" s="526">
        <f>+S126*KeyAssumptionsPriceControl_FO!AJ$15</f>
        <v>0</v>
      </c>
      <c r="CH126" s="524">
        <f>+T126*KeyAssumptionsPriceControl_FO!AK$15</f>
        <v>0</v>
      </c>
      <c r="CI126" s="525">
        <f>+U126*KeyAssumptionsPriceControl_FO!AL$15</f>
        <v>0</v>
      </c>
      <c r="CJ126" s="525">
        <f>+V126*KeyAssumptionsPriceControl_FO!AM$15</f>
        <v>0</v>
      </c>
      <c r="CK126" s="525">
        <f>+W126*KeyAssumptionsPriceControl_FO!AN$15</f>
        <v>0</v>
      </c>
      <c r="CL126" s="526">
        <f>+X126*KeyAssumptionsPriceControl_FO!AO$15</f>
        <v>0</v>
      </c>
      <c r="CM126" s="467"/>
      <c r="CN126" s="524">
        <f t="shared" ca="1" si="53"/>
        <v>0</v>
      </c>
      <c r="CO126" s="525">
        <f t="shared" ref="CO126:CQ146" ca="1" si="58">IF($M126=0,0,
IF($M126&lt;=0.5,CD126,
IF(AND($J126="straight line",$M126&lt;1.51),(CC126-((CC126/$M126)*0.5))+CD126/$M126*0.5,
IF($J126="straight line",
IF((LEFT(CO$40,4)*1)-INT($M126)&lt;LEFT($CN$40,4)*1,0,((OFFSET(CD126,0,-INT($M126+0.5),1,1))/$M126)*(IF($M126-INT($M126)&gt;0.5,$M126-0.5-INT($M126),IF($M126-INT($M126)&lt;=0.5,$M126-0.5-INT($M126)+1,0))))
+CD126/$M126*0.5
+SUM(OFFSET(CD126,0,MAX(-INT($M126+(0.5-(10^-12))),-CO$41)+1,1,MIN(INT($M126+(0.5-(10^-12))),CO$41)-1))*1/$M126,
IF($J126="Declining Balance",-$CN$39,0)))))</f>
        <v>0</v>
      </c>
      <c r="CP126" s="525">
        <f t="shared" ca="1" si="58"/>
        <v>0</v>
      </c>
      <c r="CQ126" s="525">
        <f t="shared" ca="1" si="58"/>
        <v>0</v>
      </c>
      <c r="CR126" s="526">
        <f t="shared" ca="1" si="56"/>
        <v>0</v>
      </c>
      <c r="CS126" s="524">
        <f t="shared" ca="1" si="56"/>
        <v>0</v>
      </c>
      <c r="CT126" s="525">
        <f t="shared" ca="1" si="56"/>
        <v>0</v>
      </c>
      <c r="CU126" s="525">
        <f t="shared" ca="1" si="56"/>
        <v>0</v>
      </c>
      <c r="CV126" s="525">
        <f t="shared" ca="1" si="49"/>
        <v>0</v>
      </c>
      <c r="CW126" s="526">
        <f t="shared" ca="1" si="49"/>
        <v>0</v>
      </c>
      <c r="CX126" s="467"/>
    </row>
    <row r="127" spans="2:102">
      <c r="B127" s="502"/>
      <c r="C127" s="1589"/>
      <c r="D127" s="1590"/>
      <c r="E127" s="1591"/>
      <c r="F127" s="1591"/>
      <c r="G127" s="1589"/>
      <c r="H127" s="2226"/>
      <c r="I127" s="2227"/>
      <c r="J127" s="1592"/>
      <c r="K127" s="1593"/>
      <c r="L127" s="1593"/>
      <c r="M127" s="1593"/>
      <c r="N127" s="467"/>
      <c r="O127" s="551"/>
      <c r="P127" s="552"/>
      <c r="Q127" s="552"/>
      <c r="R127" s="552"/>
      <c r="S127" s="553"/>
      <c r="T127" s="551"/>
      <c r="U127" s="552"/>
      <c r="V127" s="552"/>
      <c r="W127" s="552"/>
      <c r="X127" s="553"/>
      <c r="Y127" s="547"/>
      <c r="Z127" s="551"/>
      <c r="AA127" s="552"/>
      <c r="AB127" s="552"/>
      <c r="AC127" s="552"/>
      <c r="AD127" s="553"/>
      <c r="AE127" s="551"/>
      <c r="AF127" s="552"/>
      <c r="AG127" s="552"/>
      <c r="AH127" s="552"/>
      <c r="AI127" s="553"/>
      <c r="AJ127" s="547"/>
      <c r="AK127" s="551"/>
      <c r="AL127" s="552"/>
      <c r="AM127" s="552"/>
      <c r="AN127" s="552"/>
      <c r="AO127" s="553"/>
      <c r="AP127" s="551"/>
      <c r="AQ127" s="552"/>
      <c r="AR127" s="552"/>
      <c r="AS127" s="552"/>
      <c r="AT127" s="553"/>
      <c r="AU127" s="467"/>
      <c r="AV127" s="524">
        <f t="shared" si="47"/>
        <v>0</v>
      </c>
      <c r="AW127" s="525">
        <f t="shared" si="47"/>
        <v>0</v>
      </c>
      <c r="AX127" s="525">
        <f t="shared" si="47"/>
        <v>0</v>
      </c>
      <c r="AY127" s="525">
        <f t="shared" si="47"/>
        <v>0</v>
      </c>
      <c r="AZ127" s="526">
        <f t="shared" si="54"/>
        <v>0</v>
      </c>
      <c r="BA127" s="524">
        <f t="shared" si="54"/>
        <v>0</v>
      </c>
      <c r="BB127" s="525">
        <f t="shared" si="54"/>
        <v>0</v>
      </c>
      <c r="BC127" s="525">
        <f t="shared" si="54"/>
        <v>0</v>
      </c>
      <c r="BD127" s="525">
        <f t="shared" si="54"/>
        <v>0</v>
      </c>
      <c r="BE127" s="526">
        <f t="shared" si="54"/>
        <v>0</v>
      </c>
      <c r="BF127" s="467"/>
      <c r="BG127" s="524">
        <f t="shared" ca="1" si="52"/>
        <v>0</v>
      </c>
      <c r="BH127" s="525">
        <f t="shared" ca="1" si="57"/>
        <v>0</v>
      </c>
      <c r="BI127" s="525">
        <f t="shared" ca="1" si="57"/>
        <v>0</v>
      </c>
      <c r="BJ127" s="525">
        <f t="shared" ca="1" si="57"/>
        <v>0</v>
      </c>
      <c r="BK127" s="526">
        <f t="shared" ca="1" si="55"/>
        <v>0</v>
      </c>
      <c r="BL127" s="524">
        <f t="shared" ca="1" si="55"/>
        <v>0</v>
      </c>
      <c r="BM127" s="525">
        <f t="shared" ca="1" si="55"/>
        <v>0</v>
      </c>
      <c r="BN127" s="525">
        <f t="shared" ca="1" si="55"/>
        <v>0</v>
      </c>
      <c r="BO127" s="525">
        <f t="shared" ca="1" si="48"/>
        <v>0</v>
      </c>
      <c r="BP127" s="526">
        <f t="shared" ca="1" si="48"/>
        <v>0</v>
      </c>
      <c r="BQ127" s="467"/>
      <c r="BR127" s="524">
        <f>+IF($K127="Ongoing",AV127,IF(RIGHT($K127,2)=RIGHT(BR$40,2),SUM($AV127:AV127),0)+IF(RIGHT(BR$40,2)&gt;RIGHT($K127,2),AV127,0))</f>
        <v>0</v>
      </c>
      <c r="BS127" s="525">
        <f>+IF($K127="Ongoing",AW127,IF(RIGHT($K127,2)=RIGHT(BS$40,2),SUM($AV127:AW127),0)+IF(RIGHT(BS$40,2)&gt;RIGHT($K127,2),AW127,0))</f>
        <v>0</v>
      </c>
      <c r="BT127" s="525">
        <f>+IF($K127="Ongoing",AX127,IF(RIGHT($K127,2)=RIGHT(BT$40,2),SUM($AV127:AX127),0)+IF(RIGHT(BT$40,2)&gt;RIGHT($K127,2),AX127,0))</f>
        <v>0</v>
      </c>
      <c r="BU127" s="525">
        <f>+IF($K127="Ongoing",AY127,IF(RIGHT($K127,2)=RIGHT(BU$40,2),SUM($AV127:AY127),0)+IF(RIGHT(BU$40,2)&gt;RIGHT($K127,2),AY127,0))</f>
        <v>0</v>
      </c>
      <c r="BV127" s="526">
        <f>+IF($K127="Ongoing",AZ127,IF(RIGHT($K127,2)=RIGHT(BV$40,2),SUM($AV127:AZ127),0)+IF(RIGHT(BV$40,2)&gt;RIGHT($K127,2),AZ127,0))</f>
        <v>0</v>
      </c>
      <c r="BW127" s="524">
        <f>+IF($K127="Ongoing",BA127,IF(RIGHT($K127,2)=RIGHT(BW$40,2),SUM($AV127:BA127),0)+IF(RIGHT(BW$40,2)&gt;RIGHT($K127,2),BA127,0))</f>
        <v>0</v>
      </c>
      <c r="BX127" s="525">
        <f>+IF($K127="Ongoing",BB127,IF(RIGHT($K127,2)=RIGHT(BX$40,2),SUM($AV127:BB127),0)+IF(RIGHT(BX$40,2)&gt;RIGHT($K127,2),BB127,0))</f>
        <v>0</v>
      </c>
      <c r="BY127" s="525">
        <f>+IF($K127="Ongoing",BC127,IF(RIGHT($K127,2)=RIGHT(BY$40,2),SUM($AV127:BC127),0)+IF(RIGHT(BY$40,2)&gt;RIGHT($K127,2),BC127,0))</f>
        <v>0</v>
      </c>
      <c r="BZ127" s="525">
        <f>+IF($K127="Ongoing",BD127,IF(RIGHT($K127,2)=RIGHT(BZ$40,2),SUM($AV127:BD127),0)+IF(RIGHT(BZ$40,2)&gt;RIGHT($K127,2),BD127,0))</f>
        <v>0</v>
      </c>
      <c r="CA127" s="526">
        <f>+IF($K127="Ongoing",BE127,IF(RIGHT($K127,2)=RIGHT(CA$40,2),SUM($AV127:BE127),0)+IF(RIGHT(CA$40,2)&gt;RIGHT($K127,2),BE127,0))</f>
        <v>0</v>
      </c>
      <c r="CB127" s="467"/>
      <c r="CC127" s="524">
        <f>+O127*KeyAssumptionsPriceControl_FO!AF$15</f>
        <v>0</v>
      </c>
      <c r="CD127" s="525">
        <f>+P127*KeyAssumptionsPriceControl_FO!AG$15</f>
        <v>0</v>
      </c>
      <c r="CE127" s="525">
        <f>+Q127*KeyAssumptionsPriceControl_FO!AH$15</f>
        <v>0</v>
      </c>
      <c r="CF127" s="525">
        <f>+R127*KeyAssumptionsPriceControl_FO!AI$15</f>
        <v>0</v>
      </c>
      <c r="CG127" s="526">
        <f>+S127*KeyAssumptionsPriceControl_FO!AJ$15</f>
        <v>0</v>
      </c>
      <c r="CH127" s="524">
        <f>+T127*KeyAssumptionsPriceControl_FO!AK$15</f>
        <v>0</v>
      </c>
      <c r="CI127" s="525">
        <f>+U127*KeyAssumptionsPriceControl_FO!AL$15</f>
        <v>0</v>
      </c>
      <c r="CJ127" s="525">
        <f>+V127*KeyAssumptionsPriceControl_FO!AM$15</f>
        <v>0</v>
      </c>
      <c r="CK127" s="525">
        <f>+W127*KeyAssumptionsPriceControl_FO!AN$15</f>
        <v>0</v>
      </c>
      <c r="CL127" s="526">
        <f>+X127*KeyAssumptionsPriceControl_FO!AO$15</f>
        <v>0</v>
      </c>
      <c r="CM127" s="467"/>
      <c r="CN127" s="524">
        <f t="shared" ca="1" si="53"/>
        <v>0</v>
      </c>
      <c r="CO127" s="525">
        <f t="shared" ca="1" si="58"/>
        <v>0</v>
      </c>
      <c r="CP127" s="525">
        <f t="shared" ca="1" si="58"/>
        <v>0</v>
      </c>
      <c r="CQ127" s="525">
        <f t="shared" ca="1" si="58"/>
        <v>0</v>
      </c>
      <c r="CR127" s="526">
        <f t="shared" ca="1" si="56"/>
        <v>0</v>
      </c>
      <c r="CS127" s="524">
        <f t="shared" ca="1" si="56"/>
        <v>0</v>
      </c>
      <c r="CT127" s="525">
        <f t="shared" ca="1" si="56"/>
        <v>0</v>
      </c>
      <c r="CU127" s="525">
        <f t="shared" ca="1" si="56"/>
        <v>0</v>
      </c>
      <c r="CV127" s="525">
        <f t="shared" ca="1" si="49"/>
        <v>0</v>
      </c>
      <c r="CW127" s="526">
        <f t="shared" ca="1" si="49"/>
        <v>0</v>
      </c>
      <c r="CX127" s="467"/>
    </row>
    <row r="128" spans="2:102">
      <c r="B128" s="502"/>
      <c r="C128" s="1589"/>
      <c r="D128" s="1590"/>
      <c r="E128" s="1591"/>
      <c r="F128" s="1591"/>
      <c r="G128" s="1589"/>
      <c r="H128" s="2226"/>
      <c r="I128" s="2227"/>
      <c r="J128" s="1592"/>
      <c r="K128" s="1593"/>
      <c r="L128" s="1593"/>
      <c r="M128" s="1593"/>
      <c r="N128" s="467"/>
      <c r="O128" s="551"/>
      <c r="P128" s="552"/>
      <c r="Q128" s="552"/>
      <c r="R128" s="552"/>
      <c r="S128" s="553"/>
      <c r="T128" s="551"/>
      <c r="U128" s="552"/>
      <c r="V128" s="552"/>
      <c r="W128" s="552"/>
      <c r="X128" s="553"/>
      <c r="Y128" s="547"/>
      <c r="Z128" s="551"/>
      <c r="AA128" s="552"/>
      <c r="AB128" s="552"/>
      <c r="AC128" s="552"/>
      <c r="AD128" s="553"/>
      <c r="AE128" s="551"/>
      <c r="AF128" s="552"/>
      <c r="AG128" s="552"/>
      <c r="AH128" s="552"/>
      <c r="AI128" s="553"/>
      <c r="AJ128" s="547"/>
      <c r="AK128" s="551"/>
      <c r="AL128" s="552"/>
      <c r="AM128" s="552"/>
      <c r="AN128" s="552"/>
      <c r="AO128" s="553"/>
      <c r="AP128" s="551"/>
      <c r="AQ128" s="552"/>
      <c r="AR128" s="552"/>
      <c r="AS128" s="552"/>
      <c r="AT128" s="553"/>
      <c r="AU128" s="467"/>
      <c r="AV128" s="524">
        <f t="shared" si="47"/>
        <v>0</v>
      </c>
      <c r="AW128" s="525">
        <f t="shared" si="47"/>
        <v>0</v>
      </c>
      <c r="AX128" s="525">
        <f t="shared" si="47"/>
        <v>0</v>
      </c>
      <c r="AY128" s="525">
        <f t="shared" si="47"/>
        <v>0</v>
      </c>
      <c r="AZ128" s="526">
        <f t="shared" si="54"/>
        <v>0</v>
      </c>
      <c r="BA128" s="524">
        <f t="shared" si="54"/>
        <v>0</v>
      </c>
      <c r="BB128" s="525">
        <f t="shared" si="54"/>
        <v>0</v>
      </c>
      <c r="BC128" s="525">
        <f t="shared" si="54"/>
        <v>0</v>
      </c>
      <c r="BD128" s="525">
        <f t="shared" si="54"/>
        <v>0</v>
      </c>
      <c r="BE128" s="526">
        <f t="shared" si="54"/>
        <v>0</v>
      </c>
      <c r="BF128" s="467"/>
      <c r="BG128" s="524">
        <f t="shared" ca="1" si="52"/>
        <v>0</v>
      </c>
      <c r="BH128" s="525">
        <f t="shared" ca="1" si="57"/>
        <v>0</v>
      </c>
      <c r="BI128" s="525">
        <f t="shared" ca="1" si="57"/>
        <v>0</v>
      </c>
      <c r="BJ128" s="525">
        <f t="shared" ca="1" si="57"/>
        <v>0</v>
      </c>
      <c r="BK128" s="526">
        <f t="shared" ca="1" si="55"/>
        <v>0</v>
      </c>
      <c r="BL128" s="524">
        <f t="shared" ca="1" si="55"/>
        <v>0</v>
      </c>
      <c r="BM128" s="525">
        <f t="shared" ca="1" si="55"/>
        <v>0</v>
      </c>
      <c r="BN128" s="525">
        <f t="shared" ca="1" si="55"/>
        <v>0</v>
      </c>
      <c r="BO128" s="525">
        <f t="shared" ca="1" si="48"/>
        <v>0</v>
      </c>
      <c r="BP128" s="526">
        <f t="shared" ca="1" si="48"/>
        <v>0</v>
      </c>
      <c r="BQ128" s="467"/>
      <c r="BR128" s="524">
        <f>+IF($K128="Ongoing",AV128,IF(RIGHT($K128,2)=RIGHT(BR$40,2),SUM($AV128:AV128),0)+IF(RIGHT(BR$40,2)&gt;RIGHT($K128,2),AV128,0))</f>
        <v>0</v>
      </c>
      <c r="BS128" s="525">
        <f>+IF($K128="Ongoing",AW128,IF(RIGHT($K128,2)=RIGHT(BS$40,2),SUM($AV128:AW128),0)+IF(RIGHT(BS$40,2)&gt;RIGHT($K128,2),AW128,0))</f>
        <v>0</v>
      </c>
      <c r="BT128" s="525">
        <f>+IF($K128="Ongoing",AX128,IF(RIGHT($K128,2)=RIGHT(BT$40,2),SUM($AV128:AX128),0)+IF(RIGHT(BT$40,2)&gt;RIGHT($K128,2),AX128,0))</f>
        <v>0</v>
      </c>
      <c r="BU128" s="525">
        <f>+IF($K128="Ongoing",AY128,IF(RIGHT($K128,2)=RIGHT(BU$40,2),SUM($AV128:AY128),0)+IF(RIGHT(BU$40,2)&gt;RIGHT($K128,2),AY128,0))</f>
        <v>0</v>
      </c>
      <c r="BV128" s="526">
        <f>+IF($K128="Ongoing",AZ128,IF(RIGHT($K128,2)=RIGHT(BV$40,2),SUM($AV128:AZ128),0)+IF(RIGHT(BV$40,2)&gt;RIGHT($K128,2),AZ128,0))</f>
        <v>0</v>
      </c>
      <c r="BW128" s="524">
        <f>+IF($K128="Ongoing",BA128,IF(RIGHT($K128,2)=RIGHT(BW$40,2),SUM($AV128:BA128),0)+IF(RIGHT(BW$40,2)&gt;RIGHT($K128,2),BA128,0))</f>
        <v>0</v>
      </c>
      <c r="BX128" s="525">
        <f>+IF($K128="Ongoing",BB128,IF(RIGHT($K128,2)=RIGHT(BX$40,2),SUM($AV128:BB128),0)+IF(RIGHT(BX$40,2)&gt;RIGHT($K128,2),BB128,0))</f>
        <v>0</v>
      </c>
      <c r="BY128" s="525">
        <f>+IF($K128="Ongoing",BC128,IF(RIGHT($K128,2)=RIGHT(BY$40,2),SUM($AV128:BC128),0)+IF(RIGHT(BY$40,2)&gt;RIGHT($K128,2),BC128,0))</f>
        <v>0</v>
      </c>
      <c r="BZ128" s="525">
        <f>+IF($K128="Ongoing",BD128,IF(RIGHT($K128,2)=RIGHT(BZ$40,2),SUM($AV128:BD128),0)+IF(RIGHT(BZ$40,2)&gt;RIGHT($K128,2),BD128,0))</f>
        <v>0</v>
      </c>
      <c r="CA128" s="526">
        <f>+IF($K128="Ongoing",BE128,IF(RIGHT($K128,2)=RIGHT(CA$40,2),SUM($AV128:BE128),0)+IF(RIGHT(CA$40,2)&gt;RIGHT($K128,2),BE128,0))</f>
        <v>0</v>
      </c>
      <c r="CB128" s="467"/>
      <c r="CC128" s="524">
        <f>+O128*KeyAssumptionsPriceControl_FO!AF$15</f>
        <v>0</v>
      </c>
      <c r="CD128" s="525">
        <f>+P128*KeyAssumptionsPriceControl_FO!AG$15</f>
        <v>0</v>
      </c>
      <c r="CE128" s="525">
        <f>+Q128*KeyAssumptionsPriceControl_FO!AH$15</f>
        <v>0</v>
      </c>
      <c r="CF128" s="525">
        <f>+R128*KeyAssumptionsPriceControl_FO!AI$15</f>
        <v>0</v>
      </c>
      <c r="CG128" s="526">
        <f>+S128*KeyAssumptionsPriceControl_FO!AJ$15</f>
        <v>0</v>
      </c>
      <c r="CH128" s="524">
        <f>+T128*KeyAssumptionsPriceControl_FO!AK$15</f>
        <v>0</v>
      </c>
      <c r="CI128" s="525">
        <f>+U128*KeyAssumptionsPriceControl_FO!AL$15</f>
        <v>0</v>
      </c>
      <c r="CJ128" s="525">
        <f>+V128*KeyAssumptionsPriceControl_FO!AM$15</f>
        <v>0</v>
      </c>
      <c r="CK128" s="525">
        <f>+W128*KeyAssumptionsPriceControl_FO!AN$15</f>
        <v>0</v>
      </c>
      <c r="CL128" s="526">
        <f>+X128*KeyAssumptionsPriceControl_FO!AO$15</f>
        <v>0</v>
      </c>
      <c r="CM128" s="467"/>
      <c r="CN128" s="524">
        <f t="shared" ca="1" si="53"/>
        <v>0</v>
      </c>
      <c r="CO128" s="525">
        <f t="shared" ca="1" si="58"/>
        <v>0</v>
      </c>
      <c r="CP128" s="525">
        <f t="shared" ca="1" si="58"/>
        <v>0</v>
      </c>
      <c r="CQ128" s="525">
        <f t="shared" ca="1" si="58"/>
        <v>0</v>
      </c>
      <c r="CR128" s="526">
        <f t="shared" ca="1" si="56"/>
        <v>0</v>
      </c>
      <c r="CS128" s="524">
        <f t="shared" ca="1" si="56"/>
        <v>0</v>
      </c>
      <c r="CT128" s="525">
        <f t="shared" ca="1" si="56"/>
        <v>0</v>
      </c>
      <c r="CU128" s="525">
        <f t="shared" ca="1" si="56"/>
        <v>0</v>
      </c>
      <c r="CV128" s="525">
        <f t="shared" ca="1" si="49"/>
        <v>0</v>
      </c>
      <c r="CW128" s="526">
        <f t="shared" ca="1" si="49"/>
        <v>0</v>
      </c>
      <c r="CX128" s="467"/>
    </row>
    <row r="129" spans="2:102">
      <c r="B129" s="502"/>
      <c r="C129" s="1589"/>
      <c r="D129" s="1590"/>
      <c r="E129" s="1591"/>
      <c r="F129" s="1591"/>
      <c r="G129" s="1589"/>
      <c r="H129" s="2226"/>
      <c r="I129" s="2227"/>
      <c r="J129" s="1592"/>
      <c r="K129" s="1593"/>
      <c r="L129" s="1593"/>
      <c r="M129" s="1593"/>
      <c r="N129" s="467"/>
      <c r="O129" s="551"/>
      <c r="P129" s="552"/>
      <c r="Q129" s="552"/>
      <c r="R129" s="552"/>
      <c r="S129" s="553"/>
      <c r="T129" s="551"/>
      <c r="U129" s="552"/>
      <c r="V129" s="552"/>
      <c r="W129" s="552"/>
      <c r="X129" s="553"/>
      <c r="Y129" s="547"/>
      <c r="Z129" s="551"/>
      <c r="AA129" s="552"/>
      <c r="AB129" s="552"/>
      <c r="AC129" s="552"/>
      <c r="AD129" s="553"/>
      <c r="AE129" s="551"/>
      <c r="AF129" s="552"/>
      <c r="AG129" s="552"/>
      <c r="AH129" s="552"/>
      <c r="AI129" s="553"/>
      <c r="AJ129" s="547"/>
      <c r="AK129" s="551"/>
      <c r="AL129" s="552"/>
      <c r="AM129" s="552"/>
      <c r="AN129" s="552"/>
      <c r="AO129" s="553"/>
      <c r="AP129" s="551"/>
      <c r="AQ129" s="552"/>
      <c r="AR129" s="552"/>
      <c r="AS129" s="552"/>
      <c r="AT129" s="553"/>
      <c r="AU129" s="467"/>
      <c r="AV129" s="524">
        <f t="shared" si="47"/>
        <v>0</v>
      </c>
      <c r="AW129" s="525">
        <f t="shared" si="47"/>
        <v>0</v>
      </c>
      <c r="AX129" s="525">
        <f t="shared" si="47"/>
        <v>0</v>
      </c>
      <c r="AY129" s="525">
        <f t="shared" si="47"/>
        <v>0</v>
      </c>
      <c r="AZ129" s="526">
        <f t="shared" si="54"/>
        <v>0</v>
      </c>
      <c r="BA129" s="524">
        <f t="shared" si="54"/>
        <v>0</v>
      </c>
      <c r="BB129" s="525">
        <f t="shared" si="54"/>
        <v>0</v>
      </c>
      <c r="BC129" s="525">
        <f t="shared" si="54"/>
        <v>0</v>
      </c>
      <c r="BD129" s="525">
        <f t="shared" si="54"/>
        <v>0</v>
      </c>
      <c r="BE129" s="526">
        <f t="shared" si="54"/>
        <v>0</v>
      </c>
      <c r="BF129" s="467"/>
      <c r="BG129" s="524">
        <f t="shared" ca="1" si="52"/>
        <v>0</v>
      </c>
      <c r="BH129" s="525">
        <f t="shared" ca="1" si="57"/>
        <v>0</v>
      </c>
      <c r="BI129" s="525">
        <f t="shared" ca="1" si="57"/>
        <v>0</v>
      </c>
      <c r="BJ129" s="525">
        <f t="shared" ca="1" si="57"/>
        <v>0</v>
      </c>
      <c r="BK129" s="526">
        <f t="shared" ca="1" si="55"/>
        <v>0</v>
      </c>
      <c r="BL129" s="524">
        <f t="shared" ca="1" si="55"/>
        <v>0</v>
      </c>
      <c r="BM129" s="525">
        <f t="shared" ca="1" si="55"/>
        <v>0</v>
      </c>
      <c r="BN129" s="525">
        <f t="shared" ca="1" si="55"/>
        <v>0</v>
      </c>
      <c r="BO129" s="525">
        <f t="shared" ca="1" si="48"/>
        <v>0</v>
      </c>
      <c r="BP129" s="526">
        <f t="shared" ca="1" si="48"/>
        <v>0</v>
      </c>
      <c r="BQ129" s="467"/>
      <c r="BR129" s="524">
        <f>+IF($K129="Ongoing",AV129,IF(RIGHT($K129,2)=RIGHT(BR$40,2),SUM($AV129:AV129),0)+IF(RIGHT(BR$40,2)&gt;RIGHT($K129,2),AV129,0))</f>
        <v>0</v>
      </c>
      <c r="BS129" s="525">
        <f>+IF($K129="Ongoing",AW129,IF(RIGHT($K129,2)=RIGHT(BS$40,2),SUM($AV129:AW129),0)+IF(RIGHT(BS$40,2)&gt;RIGHT($K129,2),AW129,0))</f>
        <v>0</v>
      </c>
      <c r="BT129" s="525">
        <f>+IF($K129="Ongoing",AX129,IF(RIGHT($K129,2)=RIGHT(BT$40,2),SUM($AV129:AX129),0)+IF(RIGHT(BT$40,2)&gt;RIGHT($K129,2),AX129,0))</f>
        <v>0</v>
      </c>
      <c r="BU129" s="525">
        <f>+IF($K129="Ongoing",AY129,IF(RIGHT($K129,2)=RIGHT(BU$40,2),SUM($AV129:AY129),0)+IF(RIGHT(BU$40,2)&gt;RIGHT($K129,2),AY129,0))</f>
        <v>0</v>
      </c>
      <c r="BV129" s="526">
        <f>+IF($K129="Ongoing",AZ129,IF(RIGHT($K129,2)=RIGHT(BV$40,2),SUM($AV129:AZ129),0)+IF(RIGHT(BV$40,2)&gt;RIGHT($K129,2),AZ129,0))</f>
        <v>0</v>
      </c>
      <c r="BW129" s="524">
        <f>+IF($K129="Ongoing",BA129,IF(RIGHT($K129,2)=RIGHT(BW$40,2),SUM($AV129:BA129),0)+IF(RIGHT(BW$40,2)&gt;RIGHT($K129,2),BA129,0))</f>
        <v>0</v>
      </c>
      <c r="BX129" s="525">
        <f>+IF($K129="Ongoing",BB129,IF(RIGHT($K129,2)=RIGHT(BX$40,2),SUM($AV129:BB129),0)+IF(RIGHT(BX$40,2)&gt;RIGHT($K129,2),BB129,0))</f>
        <v>0</v>
      </c>
      <c r="BY129" s="525">
        <f>+IF($K129="Ongoing",BC129,IF(RIGHT($K129,2)=RIGHT(BY$40,2),SUM($AV129:BC129),0)+IF(RIGHT(BY$40,2)&gt;RIGHT($K129,2),BC129,0))</f>
        <v>0</v>
      </c>
      <c r="BZ129" s="525">
        <f>+IF($K129="Ongoing",BD129,IF(RIGHT($K129,2)=RIGHT(BZ$40,2),SUM($AV129:BD129),0)+IF(RIGHT(BZ$40,2)&gt;RIGHT($K129,2),BD129,0))</f>
        <v>0</v>
      </c>
      <c r="CA129" s="526">
        <f>+IF($K129="Ongoing",BE129,IF(RIGHT($K129,2)=RIGHT(CA$40,2),SUM($AV129:BE129),0)+IF(RIGHT(CA$40,2)&gt;RIGHT($K129,2),BE129,0))</f>
        <v>0</v>
      </c>
      <c r="CB129" s="467"/>
      <c r="CC129" s="524">
        <f>+O129*KeyAssumptionsPriceControl_FO!AF$15</f>
        <v>0</v>
      </c>
      <c r="CD129" s="525">
        <f>+P129*KeyAssumptionsPriceControl_FO!AG$15</f>
        <v>0</v>
      </c>
      <c r="CE129" s="525">
        <f>+Q129*KeyAssumptionsPriceControl_FO!AH$15</f>
        <v>0</v>
      </c>
      <c r="CF129" s="525">
        <f>+R129*KeyAssumptionsPriceControl_FO!AI$15</f>
        <v>0</v>
      </c>
      <c r="CG129" s="526">
        <f>+S129*KeyAssumptionsPriceControl_FO!AJ$15</f>
        <v>0</v>
      </c>
      <c r="CH129" s="524">
        <f>+T129*KeyAssumptionsPriceControl_FO!AK$15</f>
        <v>0</v>
      </c>
      <c r="CI129" s="525">
        <f>+U129*KeyAssumptionsPriceControl_FO!AL$15</f>
        <v>0</v>
      </c>
      <c r="CJ129" s="525">
        <f>+V129*KeyAssumptionsPriceControl_FO!AM$15</f>
        <v>0</v>
      </c>
      <c r="CK129" s="525">
        <f>+W129*KeyAssumptionsPriceControl_FO!AN$15</f>
        <v>0</v>
      </c>
      <c r="CL129" s="526">
        <f>+X129*KeyAssumptionsPriceControl_FO!AO$15</f>
        <v>0</v>
      </c>
      <c r="CM129" s="467"/>
      <c r="CN129" s="524">
        <f t="shared" ca="1" si="53"/>
        <v>0</v>
      </c>
      <c r="CO129" s="525">
        <f t="shared" ca="1" si="58"/>
        <v>0</v>
      </c>
      <c r="CP129" s="525">
        <f t="shared" ca="1" si="58"/>
        <v>0</v>
      </c>
      <c r="CQ129" s="525">
        <f t="shared" ca="1" si="58"/>
        <v>0</v>
      </c>
      <c r="CR129" s="526">
        <f t="shared" ca="1" si="56"/>
        <v>0</v>
      </c>
      <c r="CS129" s="524">
        <f t="shared" ca="1" si="56"/>
        <v>0</v>
      </c>
      <c r="CT129" s="525">
        <f t="shared" ca="1" si="56"/>
        <v>0</v>
      </c>
      <c r="CU129" s="525">
        <f t="shared" ca="1" si="56"/>
        <v>0</v>
      </c>
      <c r="CV129" s="525">
        <f t="shared" ca="1" si="49"/>
        <v>0</v>
      </c>
      <c r="CW129" s="526">
        <f t="shared" ca="1" si="49"/>
        <v>0</v>
      </c>
      <c r="CX129" s="467"/>
    </row>
    <row r="130" spans="2:102">
      <c r="B130" s="502"/>
      <c r="C130" s="1589"/>
      <c r="D130" s="1590"/>
      <c r="E130" s="1591"/>
      <c r="F130" s="1591"/>
      <c r="G130" s="1589"/>
      <c r="H130" s="2226"/>
      <c r="I130" s="2227"/>
      <c r="J130" s="1592"/>
      <c r="K130" s="1593"/>
      <c r="L130" s="1593"/>
      <c r="M130" s="1593"/>
      <c r="N130" s="467"/>
      <c r="O130" s="551"/>
      <c r="P130" s="552"/>
      <c r="Q130" s="552"/>
      <c r="R130" s="552"/>
      <c r="S130" s="553"/>
      <c r="T130" s="551"/>
      <c r="U130" s="552"/>
      <c r="V130" s="552"/>
      <c r="W130" s="552"/>
      <c r="X130" s="553"/>
      <c r="Y130" s="547"/>
      <c r="Z130" s="551"/>
      <c r="AA130" s="552"/>
      <c r="AB130" s="552"/>
      <c r="AC130" s="552"/>
      <c r="AD130" s="553"/>
      <c r="AE130" s="551"/>
      <c r="AF130" s="552"/>
      <c r="AG130" s="552"/>
      <c r="AH130" s="552"/>
      <c r="AI130" s="553"/>
      <c r="AJ130" s="547"/>
      <c r="AK130" s="551"/>
      <c r="AL130" s="552"/>
      <c r="AM130" s="552"/>
      <c r="AN130" s="552"/>
      <c r="AO130" s="553"/>
      <c r="AP130" s="551"/>
      <c r="AQ130" s="552"/>
      <c r="AR130" s="552"/>
      <c r="AS130" s="552"/>
      <c r="AT130" s="553"/>
      <c r="AU130" s="467"/>
      <c r="AV130" s="524">
        <f t="shared" si="47"/>
        <v>0</v>
      </c>
      <c r="AW130" s="525">
        <f t="shared" si="47"/>
        <v>0</v>
      </c>
      <c r="AX130" s="525">
        <f t="shared" si="47"/>
        <v>0</v>
      </c>
      <c r="AY130" s="525">
        <f t="shared" si="47"/>
        <v>0</v>
      </c>
      <c r="AZ130" s="526">
        <f t="shared" si="54"/>
        <v>0</v>
      </c>
      <c r="BA130" s="524">
        <f t="shared" si="54"/>
        <v>0</v>
      </c>
      <c r="BB130" s="525">
        <f t="shared" si="54"/>
        <v>0</v>
      </c>
      <c r="BC130" s="525">
        <f t="shared" si="54"/>
        <v>0</v>
      </c>
      <c r="BD130" s="525">
        <f t="shared" si="54"/>
        <v>0</v>
      </c>
      <c r="BE130" s="526">
        <f t="shared" si="54"/>
        <v>0</v>
      </c>
      <c r="BF130" s="467"/>
      <c r="BG130" s="524">
        <f t="shared" ca="1" si="52"/>
        <v>0</v>
      </c>
      <c r="BH130" s="525">
        <f t="shared" ca="1" si="57"/>
        <v>0</v>
      </c>
      <c r="BI130" s="525">
        <f t="shared" ca="1" si="57"/>
        <v>0</v>
      </c>
      <c r="BJ130" s="525">
        <f t="shared" ca="1" si="57"/>
        <v>0</v>
      </c>
      <c r="BK130" s="526">
        <f t="shared" ca="1" si="55"/>
        <v>0</v>
      </c>
      <c r="BL130" s="524">
        <f t="shared" ca="1" si="55"/>
        <v>0</v>
      </c>
      <c r="BM130" s="525">
        <f t="shared" ca="1" si="55"/>
        <v>0</v>
      </c>
      <c r="BN130" s="525">
        <f t="shared" ca="1" si="55"/>
        <v>0</v>
      </c>
      <c r="BO130" s="525">
        <f t="shared" ca="1" si="48"/>
        <v>0</v>
      </c>
      <c r="BP130" s="526">
        <f t="shared" ca="1" si="48"/>
        <v>0</v>
      </c>
      <c r="BQ130" s="467"/>
      <c r="BR130" s="524">
        <f>+IF($K130="Ongoing",AV130,IF(RIGHT($K130,2)=RIGHT(BR$40,2),SUM($AV130:AV130),0)+IF(RIGHT(BR$40,2)&gt;RIGHT($K130,2),AV130,0))</f>
        <v>0</v>
      </c>
      <c r="BS130" s="525">
        <f>+IF($K130="Ongoing",AW130,IF(RIGHT($K130,2)=RIGHT(BS$40,2),SUM($AV130:AW130),0)+IF(RIGHT(BS$40,2)&gt;RIGHT($K130,2),AW130,0))</f>
        <v>0</v>
      </c>
      <c r="BT130" s="525">
        <f>+IF($K130="Ongoing",AX130,IF(RIGHT($K130,2)=RIGHT(BT$40,2),SUM($AV130:AX130),0)+IF(RIGHT(BT$40,2)&gt;RIGHT($K130,2),AX130,0))</f>
        <v>0</v>
      </c>
      <c r="BU130" s="525">
        <f>+IF($K130="Ongoing",AY130,IF(RIGHT($K130,2)=RIGHT(BU$40,2),SUM($AV130:AY130),0)+IF(RIGHT(BU$40,2)&gt;RIGHT($K130,2),AY130,0))</f>
        <v>0</v>
      </c>
      <c r="BV130" s="526">
        <f>+IF($K130="Ongoing",AZ130,IF(RIGHT($K130,2)=RIGHT(BV$40,2),SUM($AV130:AZ130),0)+IF(RIGHT(BV$40,2)&gt;RIGHT($K130,2),AZ130,0))</f>
        <v>0</v>
      </c>
      <c r="BW130" s="524">
        <f>+IF($K130="Ongoing",BA130,IF(RIGHT($K130,2)=RIGHT(BW$40,2),SUM($AV130:BA130),0)+IF(RIGHT(BW$40,2)&gt;RIGHT($K130,2),BA130,0))</f>
        <v>0</v>
      </c>
      <c r="BX130" s="525">
        <f>+IF($K130="Ongoing",BB130,IF(RIGHT($K130,2)=RIGHT(BX$40,2),SUM($AV130:BB130),0)+IF(RIGHT(BX$40,2)&gt;RIGHT($K130,2),BB130,0))</f>
        <v>0</v>
      </c>
      <c r="BY130" s="525">
        <f>+IF($K130="Ongoing",BC130,IF(RIGHT($K130,2)=RIGHT(BY$40,2),SUM($AV130:BC130),0)+IF(RIGHT(BY$40,2)&gt;RIGHT($K130,2),BC130,0))</f>
        <v>0</v>
      </c>
      <c r="BZ130" s="525">
        <f>+IF($K130="Ongoing",BD130,IF(RIGHT($K130,2)=RIGHT(BZ$40,2),SUM($AV130:BD130),0)+IF(RIGHT(BZ$40,2)&gt;RIGHT($K130,2),BD130,0))</f>
        <v>0</v>
      </c>
      <c r="CA130" s="526">
        <f>+IF($K130="Ongoing",BE130,IF(RIGHT($K130,2)=RIGHT(CA$40,2),SUM($AV130:BE130),0)+IF(RIGHT(CA$40,2)&gt;RIGHT($K130,2),BE130,0))</f>
        <v>0</v>
      </c>
      <c r="CB130" s="467"/>
      <c r="CC130" s="524">
        <f>+O130*KeyAssumptionsPriceControl_FO!AF$15</f>
        <v>0</v>
      </c>
      <c r="CD130" s="525">
        <f>+P130*KeyAssumptionsPriceControl_FO!AG$15</f>
        <v>0</v>
      </c>
      <c r="CE130" s="525">
        <f>+Q130*KeyAssumptionsPriceControl_FO!AH$15</f>
        <v>0</v>
      </c>
      <c r="CF130" s="525">
        <f>+R130*KeyAssumptionsPriceControl_FO!AI$15</f>
        <v>0</v>
      </c>
      <c r="CG130" s="526">
        <f>+S130*KeyAssumptionsPriceControl_FO!AJ$15</f>
        <v>0</v>
      </c>
      <c r="CH130" s="524">
        <f>+T130*KeyAssumptionsPriceControl_FO!AK$15</f>
        <v>0</v>
      </c>
      <c r="CI130" s="525">
        <f>+U130*KeyAssumptionsPriceControl_FO!AL$15</f>
        <v>0</v>
      </c>
      <c r="CJ130" s="525">
        <f>+V130*KeyAssumptionsPriceControl_FO!AM$15</f>
        <v>0</v>
      </c>
      <c r="CK130" s="525">
        <f>+W130*KeyAssumptionsPriceControl_FO!AN$15</f>
        <v>0</v>
      </c>
      <c r="CL130" s="526">
        <f>+X130*KeyAssumptionsPriceControl_FO!AO$15</f>
        <v>0</v>
      </c>
      <c r="CM130" s="467"/>
      <c r="CN130" s="524">
        <f t="shared" ca="1" si="53"/>
        <v>0</v>
      </c>
      <c r="CO130" s="525">
        <f t="shared" ca="1" si="58"/>
        <v>0</v>
      </c>
      <c r="CP130" s="525">
        <f t="shared" ca="1" si="58"/>
        <v>0</v>
      </c>
      <c r="CQ130" s="525">
        <f t="shared" ca="1" si="58"/>
        <v>0</v>
      </c>
      <c r="CR130" s="526">
        <f t="shared" ca="1" si="56"/>
        <v>0</v>
      </c>
      <c r="CS130" s="524">
        <f t="shared" ca="1" si="56"/>
        <v>0</v>
      </c>
      <c r="CT130" s="525">
        <f t="shared" ca="1" si="56"/>
        <v>0</v>
      </c>
      <c r="CU130" s="525">
        <f t="shared" ca="1" si="56"/>
        <v>0</v>
      </c>
      <c r="CV130" s="525">
        <f t="shared" ca="1" si="49"/>
        <v>0</v>
      </c>
      <c r="CW130" s="526">
        <f t="shared" ca="1" si="49"/>
        <v>0</v>
      </c>
      <c r="CX130" s="467"/>
    </row>
    <row r="131" spans="2:102">
      <c r="B131" s="502"/>
      <c r="C131" s="1589"/>
      <c r="D131" s="1590"/>
      <c r="E131" s="1591"/>
      <c r="F131" s="1591"/>
      <c r="G131" s="1589"/>
      <c r="H131" s="2226"/>
      <c r="I131" s="2227"/>
      <c r="J131" s="1592"/>
      <c r="K131" s="1593"/>
      <c r="L131" s="1593"/>
      <c r="M131" s="1593"/>
      <c r="N131" s="467"/>
      <c r="O131" s="551"/>
      <c r="P131" s="552"/>
      <c r="Q131" s="552"/>
      <c r="R131" s="552"/>
      <c r="S131" s="553"/>
      <c r="T131" s="551"/>
      <c r="U131" s="552"/>
      <c r="V131" s="552"/>
      <c r="W131" s="552"/>
      <c r="X131" s="553"/>
      <c r="Y131" s="547"/>
      <c r="Z131" s="551"/>
      <c r="AA131" s="552"/>
      <c r="AB131" s="552"/>
      <c r="AC131" s="552"/>
      <c r="AD131" s="553"/>
      <c r="AE131" s="551"/>
      <c r="AF131" s="552"/>
      <c r="AG131" s="552"/>
      <c r="AH131" s="552"/>
      <c r="AI131" s="553"/>
      <c r="AJ131" s="547"/>
      <c r="AK131" s="551"/>
      <c r="AL131" s="552"/>
      <c r="AM131" s="552"/>
      <c r="AN131" s="552"/>
      <c r="AO131" s="553"/>
      <c r="AP131" s="551"/>
      <c r="AQ131" s="552"/>
      <c r="AR131" s="552"/>
      <c r="AS131" s="552"/>
      <c r="AT131" s="553"/>
      <c r="AU131" s="467"/>
      <c r="AV131" s="524">
        <f t="shared" si="47"/>
        <v>0</v>
      </c>
      <c r="AW131" s="525">
        <f t="shared" si="47"/>
        <v>0</v>
      </c>
      <c r="AX131" s="525">
        <f t="shared" si="47"/>
        <v>0</v>
      </c>
      <c r="AY131" s="525">
        <f t="shared" si="47"/>
        <v>0</v>
      </c>
      <c r="AZ131" s="526">
        <f t="shared" si="54"/>
        <v>0</v>
      </c>
      <c r="BA131" s="524">
        <f t="shared" si="54"/>
        <v>0</v>
      </c>
      <c r="BB131" s="525">
        <f t="shared" si="54"/>
        <v>0</v>
      </c>
      <c r="BC131" s="525">
        <f t="shared" si="54"/>
        <v>0</v>
      </c>
      <c r="BD131" s="525">
        <f t="shared" si="54"/>
        <v>0</v>
      </c>
      <c r="BE131" s="526">
        <f t="shared" si="54"/>
        <v>0</v>
      </c>
      <c r="BF131" s="467"/>
      <c r="BG131" s="524">
        <f t="shared" ca="1" si="52"/>
        <v>0</v>
      </c>
      <c r="BH131" s="525">
        <f t="shared" ca="1" si="57"/>
        <v>0</v>
      </c>
      <c r="BI131" s="525">
        <f t="shared" ca="1" si="57"/>
        <v>0</v>
      </c>
      <c r="BJ131" s="525">
        <f t="shared" ca="1" si="57"/>
        <v>0</v>
      </c>
      <c r="BK131" s="526">
        <f t="shared" ca="1" si="55"/>
        <v>0</v>
      </c>
      <c r="BL131" s="524">
        <f t="shared" ca="1" si="55"/>
        <v>0</v>
      </c>
      <c r="BM131" s="525">
        <f t="shared" ca="1" si="55"/>
        <v>0</v>
      </c>
      <c r="BN131" s="525">
        <f t="shared" ca="1" si="55"/>
        <v>0</v>
      </c>
      <c r="BO131" s="525">
        <f t="shared" ca="1" si="48"/>
        <v>0</v>
      </c>
      <c r="BP131" s="526">
        <f t="shared" ca="1" si="48"/>
        <v>0</v>
      </c>
      <c r="BQ131" s="467"/>
      <c r="BR131" s="524">
        <f>+IF($K131="Ongoing",AV131,IF(RIGHT($K131,2)=RIGHT(BR$40,2),SUM($AV131:AV131),0)+IF(RIGHT(BR$40,2)&gt;RIGHT($K131,2),AV131,0))</f>
        <v>0</v>
      </c>
      <c r="BS131" s="525">
        <f>+IF($K131="Ongoing",AW131,IF(RIGHT($K131,2)=RIGHT(BS$40,2),SUM($AV131:AW131),0)+IF(RIGHT(BS$40,2)&gt;RIGHT($K131,2),AW131,0))</f>
        <v>0</v>
      </c>
      <c r="BT131" s="525">
        <f>+IF($K131="Ongoing",AX131,IF(RIGHT($K131,2)=RIGHT(BT$40,2),SUM($AV131:AX131),0)+IF(RIGHT(BT$40,2)&gt;RIGHT($K131,2),AX131,0))</f>
        <v>0</v>
      </c>
      <c r="BU131" s="525">
        <f>+IF($K131="Ongoing",AY131,IF(RIGHT($K131,2)=RIGHT(BU$40,2),SUM($AV131:AY131),0)+IF(RIGHT(BU$40,2)&gt;RIGHT($K131,2),AY131,0))</f>
        <v>0</v>
      </c>
      <c r="BV131" s="526">
        <f>+IF($K131="Ongoing",AZ131,IF(RIGHT($K131,2)=RIGHT(BV$40,2),SUM($AV131:AZ131),0)+IF(RIGHT(BV$40,2)&gt;RIGHT($K131,2),AZ131,0))</f>
        <v>0</v>
      </c>
      <c r="BW131" s="524">
        <f>+IF($K131="Ongoing",BA131,IF(RIGHT($K131,2)=RIGHT(BW$40,2),SUM($AV131:BA131),0)+IF(RIGHT(BW$40,2)&gt;RIGHT($K131,2),BA131,0))</f>
        <v>0</v>
      </c>
      <c r="BX131" s="525">
        <f>+IF($K131="Ongoing",BB131,IF(RIGHT($K131,2)=RIGHT(BX$40,2),SUM($AV131:BB131),0)+IF(RIGHT(BX$40,2)&gt;RIGHT($K131,2),BB131,0))</f>
        <v>0</v>
      </c>
      <c r="BY131" s="525">
        <f>+IF($K131="Ongoing",BC131,IF(RIGHT($K131,2)=RIGHT(BY$40,2),SUM($AV131:BC131),0)+IF(RIGHT(BY$40,2)&gt;RIGHT($K131,2),BC131,0))</f>
        <v>0</v>
      </c>
      <c r="BZ131" s="525">
        <f>+IF($K131="Ongoing",BD131,IF(RIGHT($K131,2)=RIGHT(BZ$40,2),SUM($AV131:BD131),0)+IF(RIGHT(BZ$40,2)&gt;RIGHT($K131,2),BD131,0))</f>
        <v>0</v>
      </c>
      <c r="CA131" s="526">
        <f>+IF($K131="Ongoing",BE131,IF(RIGHT($K131,2)=RIGHT(CA$40,2),SUM($AV131:BE131),0)+IF(RIGHT(CA$40,2)&gt;RIGHT($K131,2),BE131,0))</f>
        <v>0</v>
      </c>
      <c r="CB131" s="467"/>
      <c r="CC131" s="524">
        <f>+O131*KeyAssumptionsPriceControl_FO!AF$15</f>
        <v>0</v>
      </c>
      <c r="CD131" s="525">
        <f>+P131*KeyAssumptionsPriceControl_FO!AG$15</f>
        <v>0</v>
      </c>
      <c r="CE131" s="525">
        <f>+Q131*KeyAssumptionsPriceControl_FO!AH$15</f>
        <v>0</v>
      </c>
      <c r="CF131" s="525">
        <f>+R131*KeyAssumptionsPriceControl_FO!AI$15</f>
        <v>0</v>
      </c>
      <c r="CG131" s="526">
        <f>+S131*KeyAssumptionsPriceControl_FO!AJ$15</f>
        <v>0</v>
      </c>
      <c r="CH131" s="524">
        <f>+T131*KeyAssumptionsPriceControl_FO!AK$15</f>
        <v>0</v>
      </c>
      <c r="CI131" s="525">
        <f>+U131*KeyAssumptionsPriceControl_FO!AL$15</f>
        <v>0</v>
      </c>
      <c r="CJ131" s="525">
        <f>+V131*KeyAssumptionsPriceControl_FO!AM$15</f>
        <v>0</v>
      </c>
      <c r="CK131" s="525">
        <f>+W131*KeyAssumptionsPriceControl_FO!AN$15</f>
        <v>0</v>
      </c>
      <c r="CL131" s="526">
        <f>+X131*KeyAssumptionsPriceControl_FO!AO$15</f>
        <v>0</v>
      </c>
      <c r="CM131" s="467"/>
      <c r="CN131" s="524">
        <f t="shared" ca="1" si="53"/>
        <v>0</v>
      </c>
      <c r="CO131" s="525">
        <f t="shared" ca="1" si="58"/>
        <v>0</v>
      </c>
      <c r="CP131" s="525">
        <f t="shared" ca="1" si="58"/>
        <v>0</v>
      </c>
      <c r="CQ131" s="525">
        <f t="shared" ca="1" si="58"/>
        <v>0</v>
      </c>
      <c r="CR131" s="526">
        <f t="shared" ca="1" si="56"/>
        <v>0</v>
      </c>
      <c r="CS131" s="524">
        <f t="shared" ca="1" si="56"/>
        <v>0</v>
      </c>
      <c r="CT131" s="525">
        <f t="shared" ca="1" si="56"/>
        <v>0</v>
      </c>
      <c r="CU131" s="525">
        <f t="shared" ca="1" si="56"/>
        <v>0</v>
      </c>
      <c r="CV131" s="525">
        <f t="shared" ca="1" si="49"/>
        <v>0</v>
      </c>
      <c r="CW131" s="526">
        <f t="shared" ca="1" si="49"/>
        <v>0</v>
      </c>
      <c r="CX131" s="467"/>
    </row>
    <row r="132" spans="2:102">
      <c r="B132" s="502"/>
      <c r="C132" s="1589"/>
      <c r="D132" s="1590"/>
      <c r="E132" s="1591"/>
      <c r="F132" s="1591"/>
      <c r="G132" s="1589"/>
      <c r="H132" s="2226"/>
      <c r="I132" s="2227"/>
      <c r="J132" s="1592"/>
      <c r="K132" s="1593"/>
      <c r="L132" s="1593"/>
      <c r="M132" s="1593"/>
      <c r="N132" s="467"/>
      <c r="O132" s="551"/>
      <c r="P132" s="552"/>
      <c r="Q132" s="552"/>
      <c r="R132" s="552"/>
      <c r="S132" s="553"/>
      <c r="T132" s="551"/>
      <c r="U132" s="552"/>
      <c r="V132" s="552"/>
      <c r="W132" s="552"/>
      <c r="X132" s="553"/>
      <c r="Y132" s="547"/>
      <c r="Z132" s="551"/>
      <c r="AA132" s="552"/>
      <c r="AB132" s="552"/>
      <c r="AC132" s="552"/>
      <c r="AD132" s="553"/>
      <c r="AE132" s="551"/>
      <c r="AF132" s="552"/>
      <c r="AG132" s="552"/>
      <c r="AH132" s="552"/>
      <c r="AI132" s="553"/>
      <c r="AJ132" s="547"/>
      <c r="AK132" s="551"/>
      <c r="AL132" s="552"/>
      <c r="AM132" s="552"/>
      <c r="AN132" s="552"/>
      <c r="AO132" s="553"/>
      <c r="AP132" s="551"/>
      <c r="AQ132" s="552"/>
      <c r="AR132" s="552"/>
      <c r="AS132" s="552"/>
      <c r="AT132" s="553"/>
      <c r="AU132" s="467"/>
      <c r="AV132" s="524">
        <f t="shared" si="47"/>
        <v>0</v>
      </c>
      <c r="AW132" s="525">
        <f t="shared" si="47"/>
        <v>0</v>
      </c>
      <c r="AX132" s="525">
        <f t="shared" si="47"/>
        <v>0</v>
      </c>
      <c r="AY132" s="525">
        <f t="shared" si="47"/>
        <v>0</v>
      </c>
      <c r="AZ132" s="526">
        <f t="shared" si="54"/>
        <v>0</v>
      </c>
      <c r="BA132" s="524">
        <f t="shared" si="54"/>
        <v>0</v>
      </c>
      <c r="BB132" s="525">
        <f t="shared" si="54"/>
        <v>0</v>
      </c>
      <c r="BC132" s="525">
        <f t="shared" si="54"/>
        <v>0</v>
      </c>
      <c r="BD132" s="525">
        <f t="shared" si="54"/>
        <v>0</v>
      </c>
      <c r="BE132" s="526">
        <f t="shared" si="54"/>
        <v>0</v>
      </c>
      <c r="BF132" s="467"/>
      <c r="BG132" s="524">
        <f t="shared" ca="1" si="52"/>
        <v>0</v>
      </c>
      <c r="BH132" s="525">
        <f t="shared" ca="1" si="57"/>
        <v>0</v>
      </c>
      <c r="BI132" s="525">
        <f t="shared" ca="1" si="57"/>
        <v>0</v>
      </c>
      <c r="BJ132" s="525">
        <f t="shared" ca="1" si="57"/>
        <v>0</v>
      </c>
      <c r="BK132" s="526">
        <f t="shared" ca="1" si="55"/>
        <v>0</v>
      </c>
      <c r="BL132" s="524">
        <f t="shared" ca="1" si="55"/>
        <v>0</v>
      </c>
      <c r="BM132" s="525">
        <f t="shared" ca="1" si="55"/>
        <v>0</v>
      </c>
      <c r="BN132" s="525">
        <f t="shared" ca="1" si="55"/>
        <v>0</v>
      </c>
      <c r="BO132" s="525">
        <f t="shared" ca="1" si="48"/>
        <v>0</v>
      </c>
      <c r="BP132" s="526">
        <f t="shared" ca="1" si="48"/>
        <v>0</v>
      </c>
      <c r="BQ132" s="467"/>
      <c r="BR132" s="524">
        <f>+IF($K132="Ongoing",AV132,IF(RIGHT($K132,2)=RIGHT(BR$40,2),SUM($AV132:AV132),0)+IF(RIGHT(BR$40,2)&gt;RIGHT($K132,2),AV132,0))</f>
        <v>0</v>
      </c>
      <c r="BS132" s="525">
        <f>+IF($K132="Ongoing",AW132,IF(RIGHT($K132,2)=RIGHT(BS$40,2),SUM($AV132:AW132),0)+IF(RIGHT(BS$40,2)&gt;RIGHT($K132,2),AW132,0))</f>
        <v>0</v>
      </c>
      <c r="BT132" s="525">
        <f>+IF($K132="Ongoing",AX132,IF(RIGHT($K132,2)=RIGHT(BT$40,2),SUM($AV132:AX132),0)+IF(RIGHT(BT$40,2)&gt;RIGHT($K132,2),AX132,0))</f>
        <v>0</v>
      </c>
      <c r="BU132" s="525">
        <f>+IF($K132="Ongoing",AY132,IF(RIGHT($K132,2)=RIGHT(BU$40,2),SUM($AV132:AY132),0)+IF(RIGHT(BU$40,2)&gt;RIGHT($K132,2),AY132,0))</f>
        <v>0</v>
      </c>
      <c r="BV132" s="526">
        <f>+IF($K132="Ongoing",AZ132,IF(RIGHT($K132,2)=RIGHT(BV$40,2),SUM($AV132:AZ132),0)+IF(RIGHT(BV$40,2)&gt;RIGHT($K132,2),AZ132,0))</f>
        <v>0</v>
      </c>
      <c r="BW132" s="524">
        <f>+IF($K132="Ongoing",BA132,IF(RIGHT($K132,2)=RIGHT(BW$40,2),SUM($AV132:BA132),0)+IF(RIGHT(BW$40,2)&gt;RIGHT($K132,2),BA132,0))</f>
        <v>0</v>
      </c>
      <c r="BX132" s="525">
        <f>+IF($K132="Ongoing",BB132,IF(RIGHT($K132,2)=RIGHT(BX$40,2),SUM($AV132:BB132),0)+IF(RIGHT(BX$40,2)&gt;RIGHT($K132,2),BB132,0))</f>
        <v>0</v>
      </c>
      <c r="BY132" s="525">
        <f>+IF($K132="Ongoing",BC132,IF(RIGHT($K132,2)=RIGHT(BY$40,2),SUM($AV132:BC132),0)+IF(RIGHT(BY$40,2)&gt;RIGHT($K132,2),BC132,0))</f>
        <v>0</v>
      </c>
      <c r="BZ132" s="525">
        <f>+IF($K132="Ongoing",BD132,IF(RIGHT($K132,2)=RIGHT(BZ$40,2),SUM($AV132:BD132),0)+IF(RIGHT(BZ$40,2)&gt;RIGHT($K132,2),BD132,0))</f>
        <v>0</v>
      </c>
      <c r="CA132" s="526">
        <f>+IF($K132="Ongoing",BE132,IF(RIGHT($K132,2)=RIGHT(CA$40,2),SUM($AV132:BE132),0)+IF(RIGHT(CA$40,2)&gt;RIGHT($K132,2),BE132,0))</f>
        <v>0</v>
      </c>
      <c r="CB132" s="467"/>
      <c r="CC132" s="524">
        <f>+O132*KeyAssumptionsPriceControl_FO!AF$15</f>
        <v>0</v>
      </c>
      <c r="CD132" s="525">
        <f>+P132*KeyAssumptionsPriceControl_FO!AG$15</f>
        <v>0</v>
      </c>
      <c r="CE132" s="525">
        <f>+Q132*KeyAssumptionsPriceControl_FO!AH$15</f>
        <v>0</v>
      </c>
      <c r="CF132" s="525">
        <f>+R132*KeyAssumptionsPriceControl_FO!AI$15</f>
        <v>0</v>
      </c>
      <c r="CG132" s="526">
        <f>+S132*KeyAssumptionsPriceControl_FO!AJ$15</f>
        <v>0</v>
      </c>
      <c r="CH132" s="524">
        <f>+T132*KeyAssumptionsPriceControl_FO!AK$15</f>
        <v>0</v>
      </c>
      <c r="CI132" s="525">
        <f>+U132*KeyAssumptionsPriceControl_FO!AL$15</f>
        <v>0</v>
      </c>
      <c r="CJ132" s="525">
        <f>+V132*KeyAssumptionsPriceControl_FO!AM$15</f>
        <v>0</v>
      </c>
      <c r="CK132" s="525">
        <f>+W132*KeyAssumptionsPriceControl_FO!AN$15</f>
        <v>0</v>
      </c>
      <c r="CL132" s="526">
        <f>+X132*KeyAssumptionsPriceControl_FO!AO$15</f>
        <v>0</v>
      </c>
      <c r="CM132" s="467"/>
      <c r="CN132" s="524">
        <f t="shared" ca="1" si="53"/>
        <v>0</v>
      </c>
      <c r="CO132" s="525">
        <f t="shared" ca="1" si="58"/>
        <v>0</v>
      </c>
      <c r="CP132" s="525">
        <f t="shared" ca="1" si="58"/>
        <v>0</v>
      </c>
      <c r="CQ132" s="525">
        <f t="shared" ca="1" si="58"/>
        <v>0</v>
      </c>
      <c r="CR132" s="526">
        <f t="shared" ca="1" si="56"/>
        <v>0</v>
      </c>
      <c r="CS132" s="524">
        <f t="shared" ca="1" si="56"/>
        <v>0</v>
      </c>
      <c r="CT132" s="525">
        <f t="shared" ca="1" si="56"/>
        <v>0</v>
      </c>
      <c r="CU132" s="525">
        <f t="shared" ca="1" si="56"/>
        <v>0</v>
      </c>
      <c r="CV132" s="525">
        <f t="shared" ca="1" si="49"/>
        <v>0</v>
      </c>
      <c r="CW132" s="526">
        <f t="shared" ca="1" si="49"/>
        <v>0</v>
      </c>
      <c r="CX132" s="467"/>
    </row>
    <row r="133" spans="2:102">
      <c r="B133" s="502"/>
      <c r="C133" s="1589"/>
      <c r="D133" s="1590"/>
      <c r="E133" s="1591"/>
      <c r="F133" s="1591"/>
      <c r="G133" s="1589"/>
      <c r="H133" s="2226"/>
      <c r="I133" s="2227"/>
      <c r="J133" s="1592"/>
      <c r="K133" s="1593"/>
      <c r="L133" s="1593"/>
      <c r="M133" s="1593"/>
      <c r="N133" s="467"/>
      <c r="O133" s="551"/>
      <c r="P133" s="552"/>
      <c r="Q133" s="552"/>
      <c r="R133" s="552"/>
      <c r="S133" s="553"/>
      <c r="T133" s="551"/>
      <c r="U133" s="552"/>
      <c r="V133" s="552"/>
      <c r="W133" s="552"/>
      <c r="X133" s="553"/>
      <c r="Y133" s="547"/>
      <c r="Z133" s="551"/>
      <c r="AA133" s="552"/>
      <c r="AB133" s="552"/>
      <c r="AC133" s="552"/>
      <c r="AD133" s="553"/>
      <c r="AE133" s="551"/>
      <c r="AF133" s="552"/>
      <c r="AG133" s="552"/>
      <c r="AH133" s="552"/>
      <c r="AI133" s="553"/>
      <c r="AJ133" s="547"/>
      <c r="AK133" s="551"/>
      <c r="AL133" s="552"/>
      <c r="AM133" s="552"/>
      <c r="AN133" s="552"/>
      <c r="AO133" s="553"/>
      <c r="AP133" s="551"/>
      <c r="AQ133" s="552"/>
      <c r="AR133" s="552"/>
      <c r="AS133" s="552"/>
      <c r="AT133" s="553"/>
      <c r="AU133" s="467"/>
      <c r="AV133" s="524">
        <f t="shared" si="47"/>
        <v>0</v>
      </c>
      <c r="AW133" s="525">
        <f t="shared" si="47"/>
        <v>0</v>
      </c>
      <c r="AX133" s="525">
        <f t="shared" si="47"/>
        <v>0</v>
      </c>
      <c r="AY133" s="525">
        <f t="shared" si="47"/>
        <v>0</v>
      </c>
      <c r="AZ133" s="526">
        <f t="shared" si="54"/>
        <v>0</v>
      </c>
      <c r="BA133" s="524">
        <f t="shared" si="54"/>
        <v>0</v>
      </c>
      <c r="BB133" s="525">
        <f t="shared" si="54"/>
        <v>0</v>
      </c>
      <c r="BC133" s="525">
        <f t="shared" si="54"/>
        <v>0</v>
      </c>
      <c r="BD133" s="525">
        <f t="shared" si="54"/>
        <v>0</v>
      </c>
      <c r="BE133" s="526">
        <f t="shared" si="54"/>
        <v>0</v>
      </c>
      <c r="BF133" s="467"/>
      <c r="BG133" s="524">
        <f t="shared" ca="1" si="52"/>
        <v>0</v>
      </c>
      <c r="BH133" s="525">
        <f t="shared" ca="1" si="57"/>
        <v>0</v>
      </c>
      <c r="BI133" s="525">
        <f t="shared" ca="1" si="57"/>
        <v>0</v>
      </c>
      <c r="BJ133" s="525">
        <f t="shared" ca="1" si="57"/>
        <v>0</v>
      </c>
      <c r="BK133" s="526">
        <f t="shared" ca="1" si="55"/>
        <v>0</v>
      </c>
      <c r="BL133" s="524">
        <f t="shared" ca="1" si="55"/>
        <v>0</v>
      </c>
      <c r="BM133" s="525">
        <f t="shared" ca="1" si="55"/>
        <v>0</v>
      </c>
      <c r="BN133" s="525">
        <f t="shared" ca="1" si="55"/>
        <v>0</v>
      </c>
      <c r="BO133" s="525">
        <f t="shared" ca="1" si="48"/>
        <v>0</v>
      </c>
      <c r="BP133" s="526">
        <f t="shared" ca="1" si="48"/>
        <v>0</v>
      </c>
      <c r="BQ133" s="467"/>
      <c r="BR133" s="524">
        <f>+IF($K133="Ongoing",AV133,IF(RIGHT($K133,2)=RIGHT(BR$40,2),SUM($AV133:AV133),0)+IF(RIGHT(BR$40,2)&gt;RIGHT($K133,2),AV133,0))</f>
        <v>0</v>
      </c>
      <c r="BS133" s="525">
        <f>+IF($K133="Ongoing",AW133,IF(RIGHT($K133,2)=RIGHT(BS$40,2),SUM($AV133:AW133),0)+IF(RIGHT(BS$40,2)&gt;RIGHT($K133,2),AW133,0))</f>
        <v>0</v>
      </c>
      <c r="BT133" s="525">
        <f>+IF($K133="Ongoing",AX133,IF(RIGHT($K133,2)=RIGHT(BT$40,2),SUM($AV133:AX133),0)+IF(RIGHT(BT$40,2)&gt;RIGHT($K133,2),AX133,0))</f>
        <v>0</v>
      </c>
      <c r="BU133" s="525">
        <f>+IF($K133="Ongoing",AY133,IF(RIGHT($K133,2)=RIGHT(BU$40,2),SUM($AV133:AY133),0)+IF(RIGHT(BU$40,2)&gt;RIGHT($K133,2),AY133,0))</f>
        <v>0</v>
      </c>
      <c r="BV133" s="526">
        <f>+IF($K133="Ongoing",AZ133,IF(RIGHT($K133,2)=RIGHT(BV$40,2),SUM($AV133:AZ133),0)+IF(RIGHT(BV$40,2)&gt;RIGHT($K133,2),AZ133,0))</f>
        <v>0</v>
      </c>
      <c r="BW133" s="524">
        <f>+IF($K133="Ongoing",BA133,IF(RIGHT($K133,2)=RIGHT(BW$40,2),SUM($AV133:BA133),0)+IF(RIGHT(BW$40,2)&gt;RIGHT($K133,2),BA133,0))</f>
        <v>0</v>
      </c>
      <c r="BX133" s="525">
        <f>+IF($K133="Ongoing",BB133,IF(RIGHT($K133,2)=RIGHT(BX$40,2),SUM($AV133:BB133),0)+IF(RIGHT(BX$40,2)&gt;RIGHT($K133,2),BB133,0))</f>
        <v>0</v>
      </c>
      <c r="BY133" s="525">
        <f>+IF($K133="Ongoing",BC133,IF(RIGHT($K133,2)=RIGHT(BY$40,2),SUM($AV133:BC133),0)+IF(RIGHT(BY$40,2)&gt;RIGHT($K133,2),BC133,0))</f>
        <v>0</v>
      </c>
      <c r="BZ133" s="525">
        <f>+IF($K133="Ongoing",BD133,IF(RIGHT($K133,2)=RIGHT(BZ$40,2),SUM($AV133:BD133),0)+IF(RIGHT(BZ$40,2)&gt;RIGHT($K133,2),BD133,0))</f>
        <v>0</v>
      </c>
      <c r="CA133" s="526">
        <f>+IF($K133="Ongoing",BE133,IF(RIGHT($K133,2)=RIGHT(CA$40,2),SUM($AV133:BE133),0)+IF(RIGHT(CA$40,2)&gt;RIGHT($K133,2),BE133,0))</f>
        <v>0</v>
      </c>
      <c r="CB133" s="467"/>
      <c r="CC133" s="524">
        <f>+O133*KeyAssumptionsPriceControl_FO!AF$15</f>
        <v>0</v>
      </c>
      <c r="CD133" s="525">
        <f>+P133*KeyAssumptionsPriceControl_FO!AG$15</f>
        <v>0</v>
      </c>
      <c r="CE133" s="525">
        <f>+Q133*KeyAssumptionsPriceControl_FO!AH$15</f>
        <v>0</v>
      </c>
      <c r="CF133" s="525">
        <f>+R133*KeyAssumptionsPriceControl_FO!AI$15</f>
        <v>0</v>
      </c>
      <c r="CG133" s="526">
        <f>+S133*KeyAssumptionsPriceControl_FO!AJ$15</f>
        <v>0</v>
      </c>
      <c r="CH133" s="524">
        <f>+T133*KeyAssumptionsPriceControl_FO!AK$15</f>
        <v>0</v>
      </c>
      <c r="CI133" s="525">
        <f>+U133*KeyAssumptionsPriceControl_FO!AL$15</f>
        <v>0</v>
      </c>
      <c r="CJ133" s="525">
        <f>+V133*KeyAssumptionsPriceControl_FO!AM$15</f>
        <v>0</v>
      </c>
      <c r="CK133" s="525">
        <f>+W133*KeyAssumptionsPriceControl_FO!AN$15</f>
        <v>0</v>
      </c>
      <c r="CL133" s="526">
        <f>+X133*KeyAssumptionsPriceControl_FO!AO$15</f>
        <v>0</v>
      </c>
      <c r="CM133" s="467"/>
      <c r="CN133" s="524">
        <f t="shared" ca="1" si="53"/>
        <v>0</v>
      </c>
      <c r="CO133" s="525">
        <f t="shared" ca="1" si="58"/>
        <v>0</v>
      </c>
      <c r="CP133" s="525">
        <f t="shared" ca="1" si="58"/>
        <v>0</v>
      </c>
      <c r="CQ133" s="525">
        <f t="shared" ca="1" si="58"/>
        <v>0</v>
      </c>
      <c r="CR133" s="526">
        <f t="shared" ca="1" si="56"/>
        <v>0</v>
      </c>
      <c r="CS133" s="524">
        <f t="shared" ca="1" si="56"/>
        <v>0</v>
      </c>
      <c r="CT133" s="525">
        <f t="shared" ca="1" si="56"/>
        <v>0</v>
      </c>
      <c r="CU133" s="525">
        <f t="shared" ca="1" si="56"/>
        <v>0</v>
      </c>
      <c r="CV133" s="525">
        <f t="shared" ca="1" si="49"/>
        <v>0</v>
      </c>
      <c r="CW133" s="526">
        <f t="shared" ca="1" si="49"/>
        <v>0</v>
      </c>
      <c r="CX133" s="467"/>
    </row>
    <row r="134" spans="2:102">
      <c r="B134" s="502"/>
      <c r="C134" s="1589"/>
      <c r="D134" s="1590"/>
      <c r="E134" s="1591"/>
      <c r="F134" s="1591"/>
      <c r="G134" s="1589"/>
      <c r="H134" s="2226"/>
      <c r="I134" s="2227"/>
      <c r="J134" s="1592"/>
      <c r="K134" s="1593"/>
      <c r="L134" s="1593"/>
      <c r="M134" s="1593"/>
      <c r="N134" s="467"/>
      <c r="O134" s="551"/>
      <c r="P134" s="552"/>
      <c r="Q134" s="552"/>
      <c r="R134" s="552"/>
      <c r="S134" s="553"/>
      <c r="T134" s="551"/>
      <c r="U134" s="552"/>
      <c r="V134" s="552"/>
      <c r="W134" s="552"/>
      <c r="X134" s="553"/>
      <c r="Y134" s="547"/>
      <c r="Z134" s="551"/>
      <c r="AA134" s="552"/>
      <c r="AB134" s="552"/>
      <c r="AC134" s="552"/>
      <c r="AD134" s="553"/>
      <c r="AE134" s="551"/>
      <c r="AF134" s="552"/>
      <c r="AG134" s="552"/>
      <c r="AH134" s="552"/>
      <c r="AI134" s="553"/>
      <c r="AJ134" s="547"/>
      <c r="AK134" s="551"/>
      <c r="AL134" s="552"/>
      <c r="AM134" s="552"/>
      <c r="AN134" s="552"/>
      <c r="AO134" s="553"/>
      <c r="AP134" s="551"/>
      <c r="AQ134" s="552"/>
      <c r="AR134" s="552"/>
      <c r="AS134" s="552"/>
      <c r="AT134" s="553"/>
      <c r="AU134" s="467"/>
      <c r="AV134" s="524">
        <f t="shared" si="47"/>
        <v>0</v>
      </c>
      <c r="AW134" s="525">
        <f t="shared" si="47"/>
        <v>0</v>
      </c>
      <c r="AX134" s="525">
        <f t="shared" si="47"/>
        <v>0</v>
      </c>
      <c r="AY134" s="525">
        <f t="shared" si="47"/>
        <v>0</v>
      </c>
      <c r="AZ134" s="526">
        <f t="shared" si="54"/>
        <v>0</v>
      </c>
      <c r="BA134" s="524">
        <f t="shared" si="54"/>
        <v>0</v>
      </c>
      <c r="BB134" s="525">
        <f t="shared" si="54"/>
        <v>0</v>
      </c>
      <c r="BC134" s="525">
        <f t="shared" si="54"/>
        <v>0</v>
      </c>
      <c r="BD134" s="525">
        <f t="shared" si="54"/>
        <v>0</v>
      </c>
      <c r="BE134" s="526">
        <f t="shared" si="54"/>
        <v>0</v>
      </c>
      <c r="BF134" s="467"/>
      <c r="BG134" s="524">
        <f t="shared" ca="1" si="52"/>
        <v>0</v>
      </c>
      <c r="BH134" s="525">
        <f t="shared" ca="1" si="57"/>
        <v>0</v>
      </c>
      <c r="BI134" s="525">
        <f t="shared" ca="1" si="57"/>
        <v>0</v>
      </c>
      <c r="BJ134" s="525">
        <f t="shared" ca="1" si="57"/>
        <v>0</v>
      </c>
      <c r="BK134" s="526">
        <f t="shared" ca="1" si="55"/>
        <v>0</v>
      </c>
      <c r="BL134" s="524">
        <f t="shared" ca="1" si="55"/>
        <v>0</v>
      </c>
      <c r="BM134" s="525">
        <f t="shared" ca="1" si="55"/>
        <v>0</v>
      </c>
      <c r="BN134" s="525">
        <f t="shared" ca="1" si="55"/>
        <v>0</v>
      </c>
      <c r="BO134" s="525">
        <f t="shared" ca="1" si="48"/>
        <v>0</v>
      </c>
      <c r="BP134" s="526">
        <f t="shared" ca="1" si="48"/>
        <v>0</v>
      </c>
      <c r="BQ134" s="467"/>
      <c r="BR134" s="524">
        <f>+IF($K134="Ongoing",AV134,IF(RIGHT($K134,2)=RIGHT(BR$40,2),SUM($AV134:AV134),0)+IF(RIGHT(BR$40,2)&gt;RIGHT($K134,2),AV134,0))</f>
        <v>0</v>
      </c>
      <c r="BS134" s="525">
        <f>+IF($K134="Ongoing",AW134,IF(RIGHT($K134,2)=RIGHT(BS$40,2),SUM($AV134:AW134),0)+IF(RIGHT(BS$40,2)&gt;RIGHT($K134,2),AW134,0))</f>
        <v>0</v>
      </c>
      <c r="BT134" s="525">
        <f>+IF($K134="Ongoing",AX134,IF(RIGHT($K134,2)=RIGHT(BT$40,2),SUM($AV134:AX134),0)+IF(RIGHT(BT$40,2)&gt;RIGHT($K134,2),AX134,0))</f>
        <v>0</v>
      </c>
      <c r="BU134" s="525">
        <f>+IF($K134="Ongoing",AY134,IF(RIGHT($K134,2)=RIGHT(BU$40,2),SUM($AV134:AY134),0)+IF(RIGHT(BU$40,2)&gt;RIGHT($K134,2),AY134,0))</f>
        <v>0</v>
      </c>
      <c r="BV134" s="526">
        <f>+IF($K134="Ongoing",AZ134,IF(RIGHT($K134,2)=RIGHT(BV$40,2),SUM($AV134:AZ134),0)+IF(RIGHT(BV$40,2)&gt;RIGHT($K134,2),AZ134,0))</f>
        <v>0</v>
      </c>
      <c r="BW134" s="524">
        <f>+IF($K134="Ongoing",BA134,IF(RIGHT($K134,2)=RIGHT(BW$40,2),SUM($AV134:BA134),0)+IF(RIGHT(BW$40,2)&gt;RIGHT($K134,2),BA134,0))</f>
        <v>0</v>
      </c>
      <c r="BX134" s="525">
        <f>+IF($K134="Ongoing",BB134,IF(RIGHT($K134,2)=RIGHT(BX$40,2),SUM($AV134:BB134),0)+IF(RIGHT(BX$40,2)&gt;RIGHT($K134,2),BB134,0))</f>
        <v>0</v>
      </c>
      <c r="BY134" s="525">
        <f>+IF($K134="Ongoing",BC134,IF(RIGHT($K134,2)=RIGHT(BY$40,2),SUM($AV134:BC134),0)+IF(RIGHT(BY$40,2)&gt;RIGHT($K134,2),BC134,0))</f>
        <v>0</v>
      </c>
      <c r="BZ134" s="525">
        <f>+IF($K134="Ongoing",BD134,IF(RIGHT($K134,2)=RIGHT(BZ$40,2),SUM($AV134:BD134),0)+IF(RIGHT(BZ$40,2)&gt;RIGHT($K134,2),BD134,0))</f>
        <v>0</v>
      </c>
      <c r="CA134" s="526">
        <f>+IF($K134="Ongoing",BE134,IF(RIGHT($K134,2)=RIGHT(CA$40,2),SUM($AV134:BE134),0)+IF(RIGHT(CA$40,2)&gt;RIGHT($K134,2),BE134,0))</f>
        <v>0</v>
      </c>
      <c r="CB134" s="467"/>
      <c r="CC134" s="524">
        <f>+O134*KeyAssumptionsPriceControl_FO!AF$15</f>
        <v>0</v>
      </c>
      <c r="CD134" s="525">
        <f>+P134*KeyAssumptionsPriceControl_FO!AG$15</f>
        <v>0</v>
      </c>
      <c r="CE134" s="525">
        <f>+Q134*KeyAssumptionsPriceControl_FO!AH$15</f>
        <v>0</v>
      </c>
      <c r="CF134" s="525">
        <f>+R134*KeyAssumptionsPriceControl_FO!AI$15</f>
        <v>0</v>
      </c>
      <c r="CG134" s="526">
        <f>+S134*KeyAssumptionsPriceControl_FO!AJ$15</f>
        <v>0</v>
      </c>
      <c r="CH134" s="524">
        <f>+T134*KeyAssumptionsPriceControl_FO!AK$15</f>
        <v>0</v>
      </c>
      <c r="CI134" s="525">
        <f>+U134*KeyAssumptionsPriceControl_FO!AL$15</f>
        <v>0</v>
      </c>
      <c r="CJ134" s="525">
        <f>+V134*KeyAssumptionsPriceControl_FO!AM$15</f>
        <v>0</v>
      </c>
      <c r="CK134" s="525">
        <f>+W134*KeyAssumptionsPriceControl_FO!AN$15</f>
        <v>0</v>
      </c>
      <c r="CL134" s="526">
        <f>+X134*KeyAssumptionsPriceControl_FO!AO$15</f>
        <v>0</v>
      </c>
      <c r="CM134" s="467"/>
      <c r="CN134" s="524">
        <f t="shared" ca="1" si="53"/>
        <v>0</v>
      </c>
      <c r="CO134" s="525">
        <f t="shared" ca="1" si="58"/>
        <v>0</v>
      </c>
      <c r="CP134" s="525">
        <f t="shared" ca="1" si="58"/>
        <v>0</v>
      </c>
      <c r="CQ134" s="525">
        <f t="shared" ca="1" si="58"/>
        <v>0</v>
      </c>
      <c r="CR134" s="526">
        <f t="shared" ca="1" si="56"/>
        <v>0</v>
      </c>
      <c r="CS134" s="524">
        <f t="shared" ca="1" si="56"/>
        <v>0</v>
      </c>
      <c r="CT134" s="525">
        <f t="shared" ca="1" si="56"/>
        <v>0</v>
      </c>
      <c r="CU134" s="525">
        <f t="shared" ca="1" si="56"/>
        <v>0</v>
      </c>
      <c r="CV134" s="525">
        <f t="shared" ca="1" si="49"/>
        <v>0</v>
      </c>
      <c r="CW134" s="526">
        <f t="shared" ca="1" si="49"/>
        <v>0</v>
      </c>
      <c r="CX134" s="467"/>
    </row>
    <row r="135" spans="2:102">
      <c r="B135" s="502"/>
      <c r="C135" s="1589"/>
      <c r="D135" s="1590"/>
      <c r="E135" s="1591"/>
      <c r="F135" s="1591"/>
      <c r="G135" s="1589"/>
      <c r="H135" s="2226"/>
      <c r="I135" s="2227"/>
      <c r="J135" s="1592"/>
      <c r="K135" s="1593"/>
      <c r="L135" s="1593"/>
      <c r="M135" s="1593"/>
      <c r="N135" s="467"/>
      <c r="O135" s="551"/>
      <c r="P135" s="552"/>
      <c r="Q135" s="552"/>
      <c r="R135" s="552"/>
      <c r="S135" s="553"/>
      <c r="T135" s="551"/>
      <c r="U135" s="552"/>
      <c r="V135" s="552"/>
      <c r="W135" s="552"/>
      <c r="X135" s="553"/>
      <c r="Y135" s="547"/>
      <c r="Z135" s="551"/>
      <c r="AA135" s="552"/>
      <c r="AB135" s="552"/>
      <c r="AC135" s="552"/>
      <c r="AD135" s="553"/>
      <c r="AE135" s="551"/>
      <c r="AF135" s="552"/>
      <c r="AG135" s="552"/>
      <c r="AH135" s="552"/>
      <c r="AI135" s="553"/>
      <c r="AJ135" s="547"/>
      <c r="AK135" s="551"/>
      <c r="AL135" s="552"/>
      <c r="AM135" s="552"/>
      <c r="AN135" s="552"/>
      <c r="AO135" s="553"/>
      <c r="AP135" s="551"/>
      <c r="AQ135" s="552"/>
      <c r="AR135" s="552"/>
      <c r="AS135" s="552"/>
      <c r="AT135" s="553"/>
      <c r="AU135" s="467"/>
      <c r="AV135" s="524">
        <f t="shared" si="47"/>
        <v>0</v>
      </c>
      <c r="AW135" s="525">
        <f t="shared" si="47"/>
        <v>0</v>
      </c>
      <c r="AX135" s="525">
        <f t="shared" si="47"/>
        <v>0</v>
      </c>
      <c r="AY135" s="525">
        <f t="shared" si="47"/>
        <v>0</v>
      </c>
      <c r="AZ135" s="526">
        <f t="shared" si="54"/>
        <v>0</v>
      </c>
      <c r="BA135" s="524">
        <f t="shared" si="54"/>
        <v>0</v>
      </c>
      <c r="BB135" s="525">
        <f t="shared" si="54"/>
        <v>0</v>
      </c>
      <c r="BC135" s="525">
        <f t="shared" si="54"/>
        <v>0</v>
      </c>
      <c r="BD135" s="525">
        <f t="shared" si="54"/>
        <v>0</v>
      </c>
      <c r="BE135" s="526">
        <f t="shared" si="54"/>
        <v>0</v>
      </c>
      <c r="BF135" s="467"/>
      <c r="BG135" s="524">
        <f t="shared" ca="1" si="52"/>
        <v>0</v>
      </c>
      <c r="BH135" s="525">
        <f t="shared" ca="1" si="57"/>
        <v>0</v>
      </c>
      <c r="BI135" s="525">
        <f t="shared" ca="1" si="57"/>
        <v>0</v>
      </c>
      <c r="BJ135" s="525">
        <f t="shared" ca="1" si="57"/>
        <v>0</v>
      </c>
      <c r="BK135" s="526">
        <f t="shared" ca="1" si="55"/>
        <v>0</v>
      </c>
      <c r="BL135" s="524">
        <f t="shared" ca="1" si="55"/>
        <v>0</v>
      </c>
      <c r="BM135" s="525">
        <f t="shared" ca="1" si="55"/>
        <v>0</v>
      </c>
      <c r="BN135" s="525">
        <f t="shared" ca="1" si="55"/>
        <v>0</v>
      </c>
      <c r="BO135" s="525">
        <f t="shared" ca="1" si="48"/>
        <v>0</v>
      </c>
      <c r="BP135" s="526">
        <f t="shared" ca="1" si="48"/>
        <v>0</v>
      </c>
      <c r="BQ135" s="467"/>
      <c r="BR135" s="524">
        <f>+IF($K135="Ongoing",AV135,IF(RIGHT($K135,2)=RIGHT(BR$40,2),SUM($AV135:AV135),0)+IF(RIGHT(BR$40,2)&gt;RIGHT($K135,2),AV135,0))</f>
        <v>0</v>
      </c>
      <c r="BS135" s="525">
        <f>+IF($K135="Ongoing",AW135,IF(RIGHT($K135,2)=RIGHT(BS$40,2),SUM($AV135:AW135),0)+IF(RIGHT(BS$40,2)&gt;RIGHT($K135,2),AW135,0))</f>
        <v>0</v>
      </c>
      <c r="BT135" s="525">
        <f>+IF($K135="Ongoing",AX135,IF(RIGHT($K135,2)=RIGHT(BT$40,2),SUM($AV135:AX135),0)+IF(RIGHT(BT$40,2)&gt;RIGHT($K135,2),AX135,0))</f>
        <v>0</v>
      </c>
      <c r="BU135" s="525">
        <f>+IF($K135="Ongoing",AY135,IF(RIGHT($K135,2)=RIGHT(BU$40,2),SUM($AV135:AY135),0)+IF(RIGHT(BU$40,2)&gt;RIGHT($K135,2),AY135,0))</f>
        <v>0</v>
      </c>
      <c r="BV135" s="526">
        <f>+IF($K135="Ongoing",AZ135,IF(RIGHT($K135,2)=RIGHT(BV$40,2),SUM($AV135:AZ135),0)+IF(RIGHT(BV$40,2)&gt;RIGHT($K135,2),AZ135,0))</f>
        <v>0</v>
      </c>
      <c r="BW135" s="524">
        <f>+IF($K135="Ongoing",BA135,IF(RIGHT($K135,2)=RIGHT(BW$40,2),SUM($AV135:BA135),0)+IF(RIGHT(BW$40,2)&gt;RIGHT($K135,2),BA135,0))</f>
        <v>0</v>
      </c>
      <c r="BX135" s="525">
        <f>+IF($K135="Ongoing",BB135,IF(RIGHT($K135,2)=RIGHT(BX$40,2),SUM($AV135:BB135),0)+IF(RIGHT(BX$40,2)&gt;RIGHT($K135,2),BB135,0))</f>
        <v>0</v>
      </c>
      <c r="BY135" s="525">
        <f>+IF($K135="Ongoing",BC135,IF(RIGHT($K135,2)=RIGHT(BY$40,2),SUM($AV135:BC135),0)+IF(RIGHT(BY$40,2)&gt;RIGHT($K135,2),BC135,0))</f>
        <v>0</v>
      </c>
      <c r="BZ135" s="525">
        <f>+IF($K135="Ongoing",BD135,IF(RIGHT($K135,2)=RIGHT(BZ$40,2),SUM($AV135:BD135),0)+IF(RIGHT(BZ$40,2)&gt;RIGHT($K135,2),BD135,0))</f>
        <v>0</v>
      </c>
      <c r="CA135" s="526">
        <f>+IF($K135="Ongoing",BE135,IF(RIGHT($K135,2)=RIGHT(CA$40,2),SUM($AV135:BE135),0)+IF(RIGHT(CA$40,2)&gt;RIGHT($K135,2),BE135,0))</f>
        <v>0</v>
      </c>
      <c r="CB135" s="467"/>
      <c r="CC135" s="524">
        <f>+O135*KeyAssumptionsPriceControl_FO!AF$15</f>
        <v>0</v>
      </c>
      <c r="CD135" s="525">
        <f>+P135*KeyAssumptionsPriceControl_FO!AG$15</f>
        <v>0</v>
      </c>
      <c r="CE135" s="525">
        <f>+Q135*KeyAssumptionsPriceControl_FO!AH$15</f>
        <v>0</v>
      </c>
      <c r="CF135" s="525">
        <f>+R135*KeyAssumptionsPriceControl_FO!AI$15</f>
        <v>0</v>
      </c>
      <c r="CG135" s="526">
        <f>+S135*KeyAssumptionsPriceControl_FO!AJ$15</f>
        <v>0</v>
      </c>
      <c r="CH135" s="524">
        <f>+T135*KeyAssumptionsPriceControl_FO!AK$15</f>
        <v>0</v>
      </c>
      <c r="CI135" s="525">
        <f>+U135*KeyAssumptionsPriceControl_FO!AL$15</f>
        <v>0</v>
      </c>
      <c r="CJ135" s="525">
        <f>+V135*KeyAssumptionsPriceControl_FO!AM$15</f>
        <v>0</v>
      </c>
      <c r="CK135" s="525">
        <f>+W135*KeyAssumptionsPriceControl_FO!AN$15</f>
        <v>0</v>
      </c>
      <c r="CL135" s="526">
        <f>+X135*KeyAssumptionsPriceControl_FO!AO$15</f>
        <v>0</v>
      </c>
      <c r="CM135" s="467"/>
      <c r="CN135" s="524">
        <f t="shared" ca="1" si="53"/>
        <v>0</v>
      </c>
      <c r="CO135" s="525">
        <f t="shared" ca="1" si="58"/>
        <v>0</v>
      </c>
      <c r="CP135" s="525">
        <f t="shared" ca="1" si="58"/>
        <v>0</v>
      </c>
      <c r="CQ135" s="525">
        <f t="shared" ca="1" si="58"/>
        <v>0</v>
      </c>
      <c r="CR135" s="526">
        <f t="shared" ca="1" si="56"/>
        <v>0</v>
      </c>
      <c r="CS135" s="524">
        <f t="shared" ca="1" si="56"/>
        <v>0</v>
      </c>
      <c r="CT135" s="525">
        <f t="shared" ca="1" si="56"/>
        <v>0</v>
      </c>
      <c r="CU135" s="525">
        <f t="shared" ca="1" si="56"/>
        <v>0</v>
      </c>
      <c r="CV135" s="525">
        <f t="shared" ca="1" si="49"/>
        <v>0</v>
      </c>
      <c r="CW135" s="526">
        <f t="shared" ca="1" si="49"/>
        <v>0</v>
      </c>
      <c r="CX135" s="467"/>
    </row>
    <row r="136" spans="2:102">
      <c r="B136" s="502"/>
      <c r="C136" s="1589"/>
      <c r="D136" s="1590"/>
      <c r="E136" s="1591"/>
      <c r="F136" s="1591"/>
      <c r="G136" s="1589"/>
      <c r="H136" s="2226"/>
      <c r="I136" s="2227"/>
      <c r="J136" s="1592"/>
      <c r="K136" s="1593"/>
      <c r="L136" s="1593"/>
      <c r="M136" s="1593"/>
      <c r="N136" s="467"/>
      <c r="O136" s="551"/>
      <c r="P136" s="552"/>
      <c r="Q136" s="552"/>
      <c r="R136" s="552"/>
      <c r="S136" s="553"/>
      <c r="T136" s="551"/>
      <c r="U136" s="552"/>
      <c r="V136" s="552"/>
      <c r="W136" s="552"/>
      <c r="X136" s="553"/>
      <c r="Y136" s="547"/>
      <c r="Z136" s="551"/>
      <c r="AA136" s="552"/>
      <c r="AB136" s="552"/>
      <c r="AC136" s="552"/>
      <c r="AD136" s="553"/>
      <c r="AE136" s="551"/>
      <c r="AF136" s="552"/>
      <c r="AG136" s="552"/>
      <c r="AH136" s="552"/>
      <c r="AI136" s="553"/>
      <c r="AJ136" s="547"/>
      <c r="AK136" s="551"/>
      <c r="AL136" s="552"/>
      <c r="AM136" s="552"/>
      <c r="AN136" s="552"/>
      <c r="AO136" s="553"/>
      <c r="AP136" s="551"/>
      <c r="AQ136" s="552"/>
      <c r="AR136" s="552"/>
      <c r="AS136" s="552"/>
      <c r="AT136" s="553"/>
      <c r="AU136" s="467"/>
      <c r="AV136" s="524">
        <f t="shared" ref="AV136:AY146" si="59">+O136-Z136-AK136</f>
        <v>0</v>
      </c>
      <c r="AW136" s="525">
        <f t="shared" si="59"/>
        <v>0</v>
      </c>
      <c r="AX136" s="525">
        <f t="shared" si="59"/>
        <v>0</v>
      </c>
      <c r="AY136" s="525">
        <f t="shared" si="59"/>
        <v>0</v>
      </c>
      <c r="AZ136" s="526">
        <f t="shared" si="54"/>
        <v>0</v>
      </c>
      <c r="BA136" s="524">
        <f t="shared" si="54"/>
        <v>0</v>
      </c>
      <c r="BB136" s="525">
        <f t="shared" si="54"/>
        <v>0</v>
      </c>
      <c r="BC136" s="525">
        <f t="shared" si="54"/>
        <v>0</v>
      </c>
      <c r="BD136" s="525">
        <f t="shared" si="54"/>
        <v>0</v>
      </c>
      <c r="BE136" s="526">
        <f t="shared" si="54"/>
        <v>0</v>
      </c>
      <c r="BF136" s="467"/>
      <c r="BG136" s="524">
        <f t="shared" ca="1" si="52"/>
        <v>0</v>
      </c>
      <c r="BH136" s="525">
        <f t="shared" ca="1" si="57"/>
        <v>0</v>
      </c>
      <c r="BI136" s="525">
        <f t="shared" ca="1" si="57"/>
        <v>0</v>
      </c>
      <c r="BJ136" s="525">
        <f t="shared" ca="1" si="57"/>
        <v>0</v>
      </c>
      <c r="BK136" s="526">
        <f t="shared" ca="1" si="55"/>
        <v>0</v>
      </c>
      <c r="BL136" s="524">
        <f t="shared" ca="1" si="55"/>
        <v>0</v>
      </c>
      <c r="BM136" s="525">
        <f t="shared" ca="1" si="55"/>
        <v>0</v>
      </c>
      <c r="BN136" s="525">
        <f t="shared" ca="1" si="55"/>
        <v>0</v>
      </c>
      <c r="BO136" s="525">
        <f t="shared" ca="1" si="48"/>
        <v>0</v>
      </c>
      <c r="BP136" s="526">
        <f t="shared" ca="1" si="48"/>
        <v>0</v>
      </c>
      <c r="BQ136" s="467"/>
      <c r="BR136" s="524">
        <f>+IF($K136="Ongoing",AV136,IF(RIGHT($K136,2)=RIGHT(BR$40,2),SUM($AV136:AV136),0)+IF(RIGHT(BR$40,2)&gt;RIGHT($K136,2),AV136,0))</f>
        <v>0</v>
      </c>
      <c r="BS136" s="525">
        <f>+IF($K136="Ongoing",AW136,IF(RIGHT($K136,2)=RIGHT(BS$40,2),SUM($AV136:AW136),0)+IF(RIGHT(BS$40,2)&gt;RIGHT($K136,2),AW136,0))</f>
        <v>0</v>
      </c>
      <c r="BT136" s="525">
        <f>+IF($K136="Ongoing",AX136,IF(RIGHT($K136,2)=RIGHT(BT$40,2),SUM($AV136:AX136),0)+IF(RIGHT(BT$40,2)&gt;RIGHT($K136,2),AX136,0))</f>
        <v>0</v>
      </c>
      <c r="BU136" s="525">
        <f>+IF($K136="Ongoing",AY136,IF(RIGHT($K136,2)=RIGHT(BU$40,2),SUM($AV136:AY136),0)+IF(RIGHT(BU$40,2)&gt;RIGHT($K136,2),AY136,0))</f>
        <v>0</v>
      </c>
      <c r="BV136" s="526">
        <f>+IF($K136="Ongoing",AZ136,IF(RIGHT($K136,2)=RIGHT(BV$40,2),SUM($AV136:AZ136),0)+IF(RIGHT(BV$40,2)&gt;RIGHT($K136,2),AZ136,0))</f>
        <v>0</v>
      </c>
      <c r="BW136" s="524">
        <f>+IF($K136="Ongoing",BA136,IF(RIGHT($K136,2)=RIGHT(BW$40,2),SUM($AV136:BA136),0)+IF(RIGHT(BW$40,2)&gt;RIGHT($K136,2),BA136,0))</f>
        <v>0</v>
      </c>
      <c r="BX136" s="525">
        <f>+IF($K136="Ongoing",BB136,IF(RIGHT($K136,2)=RIGHT(BX$40,2),SUM($AV136:BB136),0)+IF(RIGHT(BX$40,2)&gt;RIGHT($K136,2),BB136,0))</f>
        <v>0</v>
      </c>
      <c r="BY136" s="525">
        <f>+IF($K136="Ongoing",BC136,IF(RIGHT($K136,2)=RIGHT(BY$40,2),SUM($AV136:BC136),0)+IF(RIGHT(BY$40,2)&gt;RIGHT($K136,2),BC136,0))</f>
        <v>0</v>
      </c>
      <c r="BZ136" s="525">
        <f>+IF($K136="Ongoing",BD136,IF(RIGHT($K136,2)=RIGHT(BZ$40,2),SUM($AV136:BD136),0)+IF(RIGHT(BZ$40,2)&gt;RIGHT($K136,2),BD136,0))</f>
        <v>0</v>
      </c>
      <c r="CA136" s="526">
        <f>+IF($K136="Ongoing",BE136,IF(RIGHT($K136,2)=RIGHT(CA$40,2),SUM($AV136:BE136),0)+IF(RIGHT(CA$40,2)&gt;RIGHT($K136,2),BE136,0))</f>
        <v>0</v>
      </c>
      <c r="CB136" s="467"/>
      <c r="CC136" s="524">
        <f>+O136*KeyAssumptionsPriceControl_FO!AF$15</f>
        <v>0</v>
      </c>
      <c r="CD136" s="525">
        <f>+P136*KeyAssumptionsPriceControl_FO!AG$15</f>
        <v>0</v>
      </c>
      <c r="CE136" s="525">
        <f>+Q136*KeyAssumptionsPriceControl_FO!AH$15</f>
        <v>0</v>
      </c>
      <c r="CF136" s="525">
        <f>+R136*KeyAssumptionsPriceControl_FO!AI$15</f>
        <v>0</v>
      </c>
      <c r="CG136" s="526">
        <f>+S136*KeyAssumptionsPriceControl_FO!AJ$15</f>
        <v>0</v>
      </c>
      <c r="CH136" s="524">
        <f>+T136*KeyAssumptionsPriceControl_FO!AK$15</f>
        <v>0</v>
      </c>
      <c r="CI136" s="525">
        <f>+U136*KeyAssumptionsPriceControl_FO!AL$15</f>
        <v>0</v>
      </c>
      <c r="CJ136" s="525">
        <f>+V136*KeyAssumptionsPriceControl_FO!AM$15</f>
        <v>0</v>
      </c>
      <c r="CK136" s="525">
        <f>+W136*KeyAssumptionsPriceControl_FO!AN$15</f>
        <v>0</v>
      </c>
      <c r="CL136" s="526">
        <f>+X136*KeyAssumptionsPriceControl_FO!AO$15</f>
        <v>0</v>
      </c>
      <c r="CM136" s="467"/>
      <c r="CN136" s="524">
        <f t="shared" ca="1" si="53"/>
        <v>0</v>
      </c>
      <c r="CO136" s="525">
        <f t="shared" ca="1" si="58"/>
        <v>0</v>
      </c>
      <c r="CP136" s="525">
        <f t="shared" ca="1" si="58"/>
        <v>0</v>
      </c>
      <c r="CQ136" s="525">
        <f t="shared" ca="1" si="58"/>
        <v>0</v>
      </c>
      <c r="CR136" s="526">
        <f t="shared" ca="1" si="56"/>
        <v>0</v>
      </c>
      <c r="CS136" s="524">
        <f t="shared" ca="1" si="56"/>
        <v>0</v>
      </c>
      <c r="CT136" s="525">
        <f t="shared" ca="1" si="56"/>
        <v>0</v>
      </c>
      <c r="CU136" s="525">
        <f t="shared" ca="1" si="56"/>
        <v>0</v>
      </c>
      <c r="CV136" s="525">
        <f t="shared" ca="1" si="49"/>
        <v>0</v>
      </c>
      <c r="CW136" s="526">
        <f t="shared" ca="1" si="49"/>
        <v>0</v>
      </c>
      <c r="CX136" s="467"/>
    </row>
    <row r="137" spans="2:102">
      <c r="B137" s="502"/>
      <c r="C137" s="1589"/>
      <c r="D137" s="1590"/>
      <c r="E137" s="1591"/>
      <c r="F137" s="1591"/>
      <c r="G137" s="1589"/>
      <c r="H137" s="2226"/>
      <c r="I137" s="2227"/>
      <c r="J137" s="1592"/>
      <c r="K137" s="1593"/>
      <c r="L137" s="1593"/>
      <c r="M137" s="1593"/>
      <c r="N137" s="467"/>
      <c r="O137" s="551"/>
      <c r="P137" s="552"/>
      <c r="Q137" s="552"/>
      <c r="R137" s="552"/>
      <c r="S137" s="553"/>
      <c r="T137" s="551"/>
      <c r="U137" s="552"/>
      <c r="V137" s="552"/>
      <c r="W137" s="552"/>
      <c r="X137" s="553"/>
      <c r="Y137" s="547"/>
      <c r="Z137" s="551"/>
      <c r="AA137" s="552"/>
      <c r="AB137" s="552"/>
      <c r="AC137" s="552"/>
      <c r="AD137" s="553"/>
      <c r="AE137" s="551"/>
      <c r="AF137" s="552"/>
      <c r="AG137" s="552"/>
      <c r="AH137" s="552"/>
      <c r="AI137" s="553"/>
      <c r="AJ137" s="547"/>
      <c r="AK137" s="551"/>
      <c r="AL137" s="552"/>
      <c r="AM137" s="552"/>
      <c r="AN137" s="552"/>
      <c r="AO137" s="553"/>
      <c r="AP137" s="551"/>
      <c r="AQ137" s="552"/>
      <c r="AR137" s="552"/>
      <c r="AS137" s="552"/>
      <c r="AT137" s="553"/>
      <c r="AU137" s="467"/>
      <c r="AV137" s="524">
        <f t="shared" si="59"/>
        <v>0</v>
      </c>
      <c r="AW137" s="525">
        <f t="shared" si="59"/>
        <v>0</v>
      </c>
      <c r="AX137" s="525">
        <f t="shared" si="59"/>
        <v>0</v>
      </c>
      <c r="AY137" s="525">
        <f t="shared" si="59"/>
        <v>0</v>
      </c>
      <c r="AZ137" s="526">
        <f t="shared" si="54"/>
        <v>0</v>
      </c>
      <c r="BA137" s="524">
        <f t="shared" si="54"/>
        <v>0</v>
      </c>
      <c r="BB137" s="525">
        <f t="shared" si="54"/>
        <v>0</v>
      </c>
      <c r="BC137" s="525">
        <f t="shared" si="54"/>
        <v>0</v>
      </c>
      <c r="BD137" s="525">
        <f t="shared" si="54"/>
        <v>0</v>
      </c>
      <c r="BE137" s="526">
        <f t="shared" si="54"/>
        <v>0</v>
      </c>
      <c r="BF137" s="467"/>
      <c r="BG137" s="524">
        <f t="shared" ca="1" si="52"/>
        <v>0</v>
      </c>
      <c r="BH137" s="525">
        <f t="shared" ca="1" si="57"/>
        <v>0</v>
      </c>
      <c r="BI137" s="525">
        <f t="shared" ca="1" si="57"/>
        <v>0</v>
      </c>
      <c r="BJ137" s="525">
        <f t="shared" ca="1" si="57"/>
        <v>0</v>
      </c>
      <c r="BK137" s="526">
        <f t="shared" ca="1" si="55"/>
        <v>0</v>
      </c>
      <c r="BL137" s="524">
        <f t="shared" ca="1" si="55"/>
        <v>0</v>
      </c>
      <c r="BM137" s="525">
        <f t="shared" ca="1" si="55"/>
        <v>0</v>
      </c>
      <c r="BN137" s="525">
        <f t="shared" ca="1" si="55"/>
        <v>0</v>
      </c>
      <c r="BO137" s="525">
        <f t="shared" ca="1" si="48"/>
        <v>0</v>
      </c>
      <c r="BP137" s="526">
        <f t="shared" ca="1" si="48"/>
        <v>0</v>
      </c>
      <c r="BQ137" s="467"/>
      <c r="BR137" s="524">
        <f>+IF($K137="Ongoing",AV137,IF(RIGHT($K137,2)=RIGHT(BR$40,2),SUM($AV137:AV137),0)+IF(RIGHT(BR$40,2)&gt;RIGHT($K137,2),AV137,0))</f>
        <v>0</v>
      </c>
      <c r="BS137" s="525">
        <f>+IF($K137="Ongoing",AW137,IF(RIGHT($K137,2)=RIGHT(BS$40,2),SUM($AV137:AW137),0)+IF(RIGHT(BS$40,2)&gt;RIGHT($K137,2),AW137,0))</f>
        <v>0</v>
      </c>
      <c r="BT137" s="525">
        <f>+IF($K137="Ongoing",AX137,IF(RIGHT($K137,2)=RIGHT(BT$40,2),SUM($AV137:AX137),0)+IF(RIGHT(BT$40,2)&gt;RIGHT($K137,2),AX137,0))</f>
        <v>0</v>
      </c>
      <c r="BU137" s="525">
        <f>+IF($K137="Ongoing",AY137,IF(RIGHT($K137,2)=RIGHT(BU$40,2),SUM($AV137:AY137),0)+IF(RIGHT(BU$40,2)&gt;RIGHT($K137,2),AY137,0))</f>
        <v>0</v>
      </c>
      <c r="BV137" s="526">
        <f>+IF($K137="Ongoing",AZ137,IF(RIGHT($K137,2)=RIGHT(BV$40,2),SUM($AV137:AZ137),0)+IF(RIGHT(BV$40,2)&gt;RIGHT($K137,2),AZ137,0))</f>
        <v>0</v>
      </c>
      <c r="BW137" s="524">
        <f>+IF($K137="Ongoing",BA137,IF(RIGHT($K137,2)=RIGHT(BW$40,2),SUM($AV137:BA137),0)+IF(RIGHT(BW$40,2)&gt;RIGHT($K137,2),BA137,0))</f>
        <v>0</v>
      </c>
      <c r="BX137" s="525">
        <f>+IF($K137="Ongoing",BB137,IF(RIGHT($K137,2)=RIGHT(BX$40,2),SUM($AV137:BB137),0)+IF(RIGHT(BX$40,2)&gt;RIGHT($K137,2),BB137,0))</f>
        <v>0</v>
      </c>
      <c r="BY137" s="525">
        <f>+IF($K137="Ongoing",BC137,IF(RIGHT($K137,2)=RIGHT(BY$40,2),SUM($AV137:BC137),0)+IF(RIGHT(BY$40,2)&gt;RIGHT($K137,2),BC137,0))</f>
        <v>0</v>
      </c>
      <c r="BZ137" s="525">
        <f>+IF($K137="Ongoing",BD137,IF(RIGHT($K137,2)=RIGHT(BZ$40,2),SUM($AV137:BD137),0)+IF(RIGHT(BZ$40,2)&gt;RIGHT($K137,2),BD137,0))</f>
        <v>0</v>
      </c>
      <c r="CA137" s="526">
        <f>+IF($K137="Ongoing",BE137,IF(RIGHT($K137,2)=RIGHT(CA$40,2),SUM($AV137:BE137),0)+IF(RIGHT(CA$40,2)&gt;RIGHT($K137,2),BE137,0))</f>
        <v>0</v>
      </c>
      <c r="CB137" s="467"/>
      <c r="CC137" s="524">
        <f>+O137*KeyAssumptionsPriceControl_FO!AF$15</f>
        <v>0</v>
      </c>
      <c r="CD137" s="525">
        <f>+P137*KeyAssumptionsPriceControl_FO!AG$15</f>
        <v>0</v>
      </c>
      <c r="CE137" s="525">
        <f>+Q137*KeyAssumptionsPriceControl_FO!AH$15</f>
        <v>0</v>
      </c>
      <c r="CF137" s="525">
        <f>+R137*KeyAssumptionsPriceControl_FO!AI$15</f>
        <v>0</v>
      </c>
      <c r="CG137" s="526">
        <f>+S137*KeyAssumptionsPriceControl_FO!AJ$15</f>
        <v>0</v>
      </c>
      <c r="CH137" s="524">
        <f>+T137*KeyAssumptionsPriceControl_FO!AK$15</f>
        <v>0</v>
      </c>
      <c r="CI137" s="525">
        <f>+U137*KeyAssumptionsPriceControl_FO!AL$15</f>
        <v>0</v>
      </c>
      <c r="CJ137" s="525">
        <f>+V137*KeyAssumptionsPriceControl_FO!AM$15</f>
        <v>0</v>
      </c>
      <c r="CK137" s="525">
        <f>+W137*KeyAssumptionsPriceControl_FO!AN$15</f>
        <v>0</v>
      </c>
      <c r="CL137" s="526">
        <f>+X137*KeyAssumptionsPriceControl_FO!AO$15</f>
        <v>0</v>
      </c>
      <c r="CM137" s="467"/>
      <c r="CN137" s="524">
        <f t="shared" ca="1" si="53"/>
        <v>0</v>
      </c>
      <c r="CO137" s="525">
        <f t="shared" ca="1" si="58"/>
        <v>0</v>
      </c>
      <c r="CP137" s="525">
        <f t="shared" ca="1" si="58"/>
        <v>0</v>
      </c>
      <c r="CQ137" s="525">
        <f t="shared" ca="1" si="58"/>
        <v>0</v>
      </c>
      <c r="CR137" s="526">
        <f t="shared" ca="1" si="56"/>
        <v>0</v>
      </c>
      <c r="CS137" s="524">
        <f t="shared" ca="1" si="56"/>
        <v>0</v>
      </c>
      <c r="CT137" s="525">
        <f t="shared" ca="1" si="56"/>
        <v>0</v>
      </c>
      <c r="CU137" s="525">
        <f t="shared" ca="1" si="56"/>
        <v>0</v>
      </c>
      <c r="CV137" s="525">
        <f t="shared" ca="1" si="49"/>
        <v>0</v>
      </c>
      <c r="CW137" s="526">
        <f t="shared" ca="1" si="49"/>
        <v>0</v>
      </c>
      <c r="CX137" s="467"/>
    </row>
    <row r="138" spans="2:102">
      <c r="B138" s="502"/>
      <c r="C138" s="1589"/>
      <c r="D138" s="1590"/>
      <c r="E138" s="1591"/>
      <c r="F138" s="1591"/>
      <c r="G138" s="1589"/>
      <c r="H138" s="2226"/>
      <c r="I138" s="2227"/>
      <c r="J138" s="1592"/>
      <c r="K138" s="1593"/>
      <c r="L138" s="1593"/>
      <c r="M138" s="1593"/>
      <c r="N138" s="467"/>
      <c r="O138" s="551"/>
      <c r="P138" s="552"/>
      <c r="Q138" s="552"/>
      <c r="R138" s="552"/>
      <c r="S138" s="553"/>
      <c r="T138" s="551"/>
      <c r="U138" s="552"/>
      <c r="V138" s="552"/>
      <c r="W138" s="552"/>
      <c r="X138" s="553"/>
      <c r="Y138" s="547"/>
      <c r="Z138" s="551"/>
      <c r="AA138" s="552"/>
      <c r="AB138" s="552"/>
      <c r="AC138" s="552"/>
      <c r="AD138" s="553"/>
      <c r="AE138" s="551"/>
      <c r="AF138" s="552"/>
      <c r="AG138" s="552"/>
      <c r="AH138" s="552"/>
      <c r="AI138" s="553"/>
      <c r="AJ138" s="547"/>
      <c r="AK138" s="551"/>
      <c r="AL138" s="552"/>
      <c r="AM138" s="552"/>
      <c r="AN138" s="552"/>
      <c r="AO138" s="553"/>
      <c r="AP138" s="551"/>
      <c r="AQ138" s="552"/>
      <c r="AR138" s="552"/>
      <c r="AS138" s="552"/>
      <c r="AT138" s="553"/>
      <c r="AU138" s="467"/>
      <c r="AV138" s="524">
        <f t="shared" si="59"/>
        <v>0</v>
      </c>
      <c r="AW138" s="525">
        <f t="shared" si="59"/>
        <v>0</v>
      </c>
      <c r="AX138" s="525">
        <f t="shared" si="59"/>
        <v>0</v>
      </c>
      <c r="AY138" s="525">
        <f t="shared" si="59"/>
        <v>0</v>
      </c>
      <c r="AZ138" s="526">
        <f t="shared" si="54"/>
        <v>0</v>
      </c>
      <c r="BA138" s="524">
        <f t="shared" si="54"/>
        <v>0</v>
      </c>
      <c r="BB138" s="525">
        <f t="shared" si="54"/>
        <v>0</v>
      </c>
      <c r="BC138" s="525">
        <f t="shared" si="54"/>
        <v>0</v>
      </c>
      <c r="BD138" s="525">
        <f t="shared" si="54"/>
        <v>0</v>
      </c>
      <c r="BE138" s="526">
        <f t="shared" si="54"/>
        <v>0</v>
      </c>
      <c r="BF138" s="467"/>
      <c r="BG138" s="524">
        <f t="shared" ca="1" si="52"/>
        <v>0</v>
      </c>
      <c r="BH138" s="525">
        <f t="shared" ca="1" si="57"/>
        <v>0</v>
      </c>
      <c r="BI138" s="525">
        <f t="shared" ca="1" si="57"/>
        <v>0</v>
      </c>
      <c r="BJ138" s="525">
        <f t="shared" ca="1" si="57"/>
        <v>0</v>
      </c>
      <c r="BK138" s="526">
        <f t="shared" ca="1" si="55"/>
        <v>0</v>
      </c>
      <c r="BL138" s="524">
        <f t="shared" ca="1" si="55"/>
        <v>0</v>
      </c>
      <c r="BM138" s="525">
        <f t="shared" ca="1" si="55"/>
        <v>0</v>
      </c>
      <c r="BN138" s="525">
        <f t="shared" ca="1" si="55"/>
        <v>0</v>
      </c>
      <c r="BO138" s="525">
        <f t="shared" ca="1" si="48"/>
        <v>0</v>
      </c>
      <c r="BP138" s="526">
        <f t="shared" ca="1" si="48"/>
        <v>0</v>
      </c>
      <c r="BQ138" s="467"/>
      <c r="BR138" s="524">
        <f>+IF($K138="Ongoing",AV138,IF(RIGHT($K138,2)=RIGHT(BR$40,2),SUM($AV138:AV138),0)+IF(RIGHT(BR$40,2)&gt;RIGHT($K138,2),AV138,0))</f>
        <v>0</v>
      </c>
      <c r="BS138" s="525">
        <f>+IF($K138="Ongoing",AW138,IF(RIGHT($K138,2)=RIGHT(BS$40,2),SUM($AV138:AW138),0)+IF(RIGHT(BS$40,2)&gt;RIGHT($K138,2),AW138,0))</f>
        <v>0</v>
      </c>
      <c r="BT138" s="525">
        <f>+IF($K138="Ongoing",AX138,IF(RIGHT($K138,2)=RIGHT(BT$40,2),SUM($AV138:AX138),0)+IF(RIGHT(BT$40,2)&gt;RIGHT($K138,2),AX138,0))</f>
        <v>0</v>
      </c>
      <c r="BU138" s="525">
        <f>+IF($K138="Ongoing",AY138,IF(RIGHT($K138,2)=RIGHT(BU$40,2),SUM($AV138:AY138),0)+IF(RIGHT(BU$40,2)&gt;RIGHT($K138,2),AY138,0))</f>
        <v>0</v>
      </c>
      <c r="BV138" s="526">
        <f>+IF($K138="Ongoing",AZ138,IF(RIGHT($K138,2)=RIGHT(BV$40,2),SUM($AV138:AZ138),0)+IF(RIGHT(BV$40,2)&gt;RIGHT($K138,2),AZ138,0))</f>
        <v>0</v>
      </c>
      <c r="BW138" s="524">
        <f>+IF($K138="Ongoing",BA138,IF(RIGHT($K138,2)=RIGHT(BW$40,2),SUM($AV138:BA138),0)+IF(RIGHT(BW$40,2)&gt;RIGHT($K138,2),BA138,0))</f>
        <v>0</v>
      </c>
      <c r="BX138" s="525">
        <f>+IF($K138="Ongoing",BB138,IF(RIGHT($K138,2)=RIGHT(BX$40,2),SUM($AV138:BB138),0)+IF(RIGHT(BX$40,2)&gt;RIGHT($K138,2),BB138,0))</f>
        <v>0</v>
      </c>
      <c r="BY138" s="525">
        <f>+IF($K138="Ongoing",BC138,IF(RIGHT($K138,2)=RIGHT(BY$40,2),SUM($AV138:BC138),0)+IF(RIGHT(BY$40,2)&gt;RIGHT($K138,2),BC138,0))</f>
        <v>0</v>
      </c>
      <c r="BZ138" s="525">
        <f>+IF($K138="Ongoing",BD138,IF(RIGHT($K138,2)=RIGHT(BZ$40,2),SUM($AV138:BD138),0)+IF(RIGHT(BZ$40,2)&gt;RIGHT($K138,2),BD138,0))</f>
        <v>0</v>
      </c>
      <c r="CA138" s="526">
        <f>+IF($K138="Ongoing",BE138,IF(RIGHT($K138,2)=RIGHT(CA$40,2),SUM($AV138:BE138),0)+IF(RIGHT(CA$40,2)&gt;RIGHT($K138,2),BE138,0))</f>
        <v>0</v>
      </c>
      <c r="CB138" s="467"/>
      <c r="CC138" s="524">
        <f>+O138*KeyAssumptionsPriceControl_FO!AF$15</f>
        <v>0</v>
      </c>
      <c r="CD138" s="525">
        <f>+P138*KeyAssumptionsPriceControl_FO!AG$15</f>
        <v>0</v>
      </c>
      <c r="CE138" s="525">
        <f>+Q138*KeyAssumptionsPriceControl_FO!AH$15</f>
        <v>0</v>
      </c>
      <c r="CF138" s="525">
        <f>+R138*KeyAssumptionsPriceControl_FO!AI$15</f>
        <v>0</v>
      </c>
      <c r="CG138" s="526">
        <f>+S138*KeyAssumptionsPriceControl_FO!AJ$15</f>
        <v>0</v>
      </c>
      <c r="CH138" s="524">
        <f>+T138*KeyAssumptionsPriceControl_FO!AK$15</f>
        <v>0</v>
      </c>
      <c r="CI138" s="525">
        <f>+U138*KeyAssumptionsPriceControl_FO!AL$15</f>
        <v>0</v>
      </c>
      <c r="CJ138" s="525">
        <f>+V138*KeyAssumptionsPriceControl_FO!AM$15</f>
        <v>0</v>
      </c>
      <c r="CK138" s="525">
        <f>+W138*KeyAssumptionsPriceControl_FO!AN$15</f>
        <v>0</v>
      </c>
      <c r="CL138" s="526">
        <f>+X138*KeyAssumptionsPriceControl_FO!AO$15</f>
        <v>0</v>
      </c>
      <c r="CM138" s="467"/>
      <c r="CN138" s="524">
        <f t="shared" ca="1" si="53"/>
        <v>0</v>
      </c>
      <c r="CO138" s="525">
        <f t="shared" ca="1" si="58"/>
        <v>0</v>
      </c>
      <c r="CP138" s="525">
        <f t="shared" ca="1" si="58"/>
        <v>0</v>
      </c>
      <c r="CQ138" s="525">
        <f t="shared" ca="1" si="58"/>
        <v>0</v>
      </c>
      <c r="CR138" s="526">
        <f t="shared" ca="1" si="56"/>
        <v>0</v>
      </c>
      <c r="CS138" s="524">
        <f t="shared" ca="1" si="56"/>
        <v>0</v>
      </c>
      <c r="CT138" s="525">
        <f t="shared" ca="1" si="56"/>
        <v>0</v>
      </c>
      <c r="CU138" s="525">
        <f t="shared" ca="1" si="56"/>
        <v>0</v>
      </c>
      <c r="CV138" s="525">
        <f t="shared" ca="1" si="49"/>
        <v>0</v>
      </c>
      <c r="CW138" s="526">
        <f t="shared" ca="1" si="49"/>
        <v>0</v>
      </c>
      <c r="CX138" s="467"/>
    </row>
    <row r="139" spans="2:102">
      <c r="B139" s="502"/>
      <c r="C139" s="1589"/>
      <c r="D139" s="1590"/>
      <c r="E139" s="1591"/>
      <c r="F139" s="1591"/>
      <c r="G139" s="1589"/>
      <c r="H139" s="2226"/>
      <c r="I139" s="2227"/>
      <c r="J139" s="1592"/>
      <c r="K139" s="1593"/>
      <c r="L139" s="1593"/>
      <c r="M139" s="1593"/>
      <c r="N139" s="467"/>
      <c r="O139" s="551"/>
      <c r="P139" s="552"/>
      <c r="Q139" s="552"/>
      <c r="R139" s="552"/>
      <c r="S139" s="553"/>
      <c r="T139" s="551"/>
      <c r="U139" s="552"/>
      <c r="V139" s="552"/>
      <c r="W139" s="552"/>
      <c r="X139" s="553"/>
      <c r="Y139" s="547"/>
      <c r="Z139" s="551"/>
      <c r="AA139" s="552"/>
      <c r="AB139" s="552"/>
      <c r="AC139" s="552"/>
      <c r="AD139" s="553"/>
      <c r="AE139" s="551"/>
      <c r="AF139" s="552"/>
      <c r="AG139" s="552"/>
      <c r="AH139" s="552"/>
      <c r="AI139" s="553"/>
      <c r="AJ139" s="547"/>
      <c r="AK139" s="551"/>
      <c r="AL139" s="552"/>
      <c r="AM139" s="552"/>
      <c r="AN139" s="552"/>
      <c r="AO139" s="553"/>
      <c r="AP139" s="551"/>
      <c r="AQ139" s="552"/>
      <c r="AR139" s="552"/>
      <c r="AS139" s="552"/>
      <c r="AT139" s="553"/>
      <c r="AU139" s="467"/>
      <c r="AV139" s="524">
        <f t="shared" si="59"/>
        <v>0</v>
      </c>
      <c r="AW139" s="525">
        <f t="shared" si="59"/>
        <v>0</v>
      </c>
      <c r="AX139" s="525">
        <f t="shared" si="59"/>
        <v>0</v>
      </c>
      <c r="AY139" s="525">
        <f t="shared" si="59"/>
        <v>0</v>
      </c>
      <c r="AZ139" s="526">
        <f t="shared" si="54"/>
        <v>0</v>
      </c>
      <c r="BA139" s="524">
        <f t="shared" si="54"/>
        <v>0</v>
      </c>
      <c r="BB139" s="525">
        <f t="shared" si="54"/>
        <v>0</v>
      </c>
      <c r="BC139" s="525">
        <f t="shared" si="54"/>
        <v>0</v>
      </c>
      <c r="BD139" s="525">
        <f t="shared" si="54"/>
        <v>0</v>
      </c>
      <c r="BE139" s="526">
        <f t="shared" si="54"/>
        <v>0</v>
      </c>
      <c r="BF139" s="467"/>
      <c r="BG139" s="524">
        <f t="shared" ca="1" si="52"/>
        <v>0</v>
      </c>
      <c r="BH139" s="525">
        <f t="shared" ca="1" si="57"/>
        <v>0</v>
      </c>
      <c r="BI139" s="525">
        <f t="shared" ca="1" si="57"/>
        <v>0</v>
      </c>
      <c r="BJ139" s="525">
        <f t="shared" ca="1" si="57"/>
        <v>0</v>
      </c>
      <c r="BK139" s="526">
        <f t="shared" ca="1" si="55"/>
        <v>0</v>
      </c>
      <c r="BL139" s="524">
        <f t="shared" ca="1" si="55"/>
        <v>0</v>
      </c>
      <c r="BM139" s="525">
        <f t="shared" ca="1" si="55"/>
        <v>0</v>
      </c>
      <c r="BN139" s="525">
        <f t="shared" ca="1" si="55"/>
        <v>0</v>
      </c>
      <c r="BO139" s="525">
        <f t="shared" ca="1" si="48"/>
        <v>0</v>
      </c>
      <c r="BP139" s="526">
        <f t="shared" ca="1" si="48"/>
        <v>0</v>
      </c>
      <c r="BQ139" s="467"/>
      <c r="BR139" s="524">
        <f>+IF($K139="Ongoing",AV139,IF(RIGHT($K139,2)=RIGHT(BR$40,2),SUM($AV139:AV139),0)+IF(RIGHT(BR$40,2)&gt;RIGHT($K139,2),AV139,0))</f>
        <v>0</v>
      </c>
      <c r="BS139" s="525">
        <f>+IF($K139="Ongoing",AW139,IF(RIGHT($K139,2)=RIGHT(BS$40,2),SUM($AV139:AW139),0)+IF(RIGHT(BS$40,2)&gt;RIGHT($K139,2),AW139,0))</f>
        <v>0</v>
      </c>
      <c r="BT139" s="525">
        <f>+IF($K139="Ongoing",AX139,IF(RIGHT($K139,2)=RIGHT(BT$40,2),SUM($AV139:AX139),0)+IF(RIGHT(BT$40,2)&gt;RIGHT($K139,2),AX139,0))</f>
        <v>0</v>
      </c>
      <c r="BU139" s="525">
        <f>+IF($K139="Ongoing",AY139,IF(RIGHT($K139,2)=RIGHT(BU$40,2),SUM($AV139:AY139),0)+IF(RIGHT(BU$40,2)&gt;RIGHT($K139,2),AY139,0))</f>
        <v>0</v>
      </c>
      <c r="BV139" s="526">
        <f>+IF($K139="Ongoing",AZ139,IF(RIGHT($K139,2)=RIGHT(BV$40,2),SUM($AV139:AZ139),0)+IF(RIGHT(BV$40,2)&gt;RIGHT($K139,2),AZ139,0))</f>
        <v>0</v>
      </c>
      <c r="BW139" s="524">
        <f>+IF($K139="Ongoing",BA139,IF(RIGHT($K139,2)=RIGHT(BW$40,2),SUM($AV139:BA139),0)+IF(RIGHT(BW$40,2)&gt;RIGHT($K139,2),BA139,0))</f>
        <v>0</v>
      </c>
      <c r="BX139" s="525">
        <f>+IF($K139="Ongoing",BB139,IF(RIGHT($K139,2)=RIGHT(BX$40,2),SUM($AV139:BB139),0)+IF(RIGHT(BX$40,2)&gt;RIGHT($K139,2),BB139,0))</f>
        <v>0</v>
      </c>
      <c r="BY139" s="525">
        <f>+IF($K139="Ongoing",BC139,IF(RIGHT($K139,2)=RIGHT(BY$40,2),SUM($AV139:BC139),0)+IF(RIGHT(BY$40,2)&gt;RIGHT($K139,2),BC139,0))</f>
        <v>0</v>
      </c>
      <c r="BZ139" s="525">
        <f>+IF($K139="Ongoing",BD139,IF(RIGHT($K139,2)=RIGHT(BZ$40,2),SUM($AV139:BD139),0)+IF(RIGHT(BZ$40,2)&gt;RIGHT($K139,2),BD139,0))</f>
        <v>0</v>
      </c>
      <c r="CA139" s="526">
        <f>+IF($K139="Ongoing",BE139,IF(RIGHT($K139,2)=RIGHT(CA$40,2),SUM($AV139:BE139),0)+IF(RIGHT(CA$40,2)&gt;RIGHT($K139,2),BE139,0))</f>
        <v>0</v>
      </c>
      <c r="CB139" s="467"/>
      <c r="CC139" s="524">
        <f>+O139*KeyAssumptionsPriceControl_FO!AF$15</f>
        <v>0</v>
      </c>
      <c r="CD139" s="525">
        <f>+P139*KeyAssumptionsPriceControl_FO!AG$15</f>
        <v>0</v>
      </c>
      <c r="CE139" s="525">
        <f>+Q139*KeyAssumptionsPriceControl_FO!AH$15</f>
        <v>0</v>
      </c>
      <c r="CF139" s="525">
        <f>+R139*KeyAssumptionsPriceControl_FO!AI$15</f>
        <v>0</v>
      </c>
      <c r="CG139" s="526">
        <f>+S139*KeyAssumptionsPriceControl_FO!AJ$15</f>
        <v>0</v>
      </c>
      <c r="CH139" s="524">
        <f>+T139*KeyAssumptionsPriceControl_FO!AK$15</f>
        <v>0</v>
      </c>
      <c r="CI139" s="525">
        <f>+U139*KeyAssumptionsPriceControl_FO!AL$15</f>
        <v>0</v>
      </c>
      <c r="CJ139" s="525">
        <f>+V139*KeyAssumptionsPriceControl_FO!AM$15</f>
        <v>0</v>
      </c>
      <c r="CK139" s="525">
        <f>+W139*KeyAssumptionsPriceControl_FO!AN$15</f>
        <v>0</v>
      </c>
      <c r="CL139" s="526">
        <f>+X139*KeyAssumptionsPriceControl_FO!AO$15</f>
        <v>0</v>
      </c>
      <c r="CM139" s="467"/>
      <c r="CN139" s="524">
        <f t="shared" ca="1" si="53"/>
        <v>0</v>
      </c>
      <c r="CO139" s="525">
        <f t="shared" ca="1" si="58"/>
        <v>0</v>
      </c>
      <c r="CP139" s="525">
        <f t="shared" ca="1" si="58"/>
        <v>0</v>
      </c>
      <c r="CQ139" s="525">
        <f t="shared" ca="1" si="58"/>
        <v>0</v>
      </c>
      <c r="CR139" s="526">
        <f t="shared" ca="1" si="56"/>
        <v>0</v>
      </c>
      <c r="CS139" s="524">
        <f t="shared" ca="1" si="56"/>
        <v>0</v>
      </c>
      <c r="CT139" s="525">
        <f t="shared" ca="1" si="56"/>
        <v>0</v>
      </c>
      <c r="CU139" s="525">
        <f t="shared" ca="1" si="56"/>
        <v>0</v>
      </c>
      <c r="CV139" s="525">
        <f t="shared" ca="1" si="49"/>
        <v>0</v>
      </c>
      <c r="CW139" s="526">
        <f t="shared" ca="1" si="49"/>
        <v>0</v>
      </c>
      <c r="CX139" s="467"/>
    </row>
    <row r="140" spans="2:102">
      <c r="B140" s="502"/>
      <c r="C140" s="1589"/>
      <c r="D140" s="1590"/>
      <c r="E140" s="1591"/>
      <c r="F140" s="1591"/>
      <c r="G140" s="1589"/>
      <c r="H140" s="2226"/>
      <c r="I140" s="2227"/>
      <c r="J140" s="1592"/>
      <c r="K140" s="1593"/>
      <c r="L140" s="1593"/>
      <c r="M140" s="1593"/>
      <c r="N140" s="467"/>
      <c r="O140" s="551"/>
      <c r="P140" s="552"/>
      <c r="Q140" s="552"/>
      <c r="R140" s="552"/>
      <c r="S140" s="553"/>
      <c r="T140" s="551"/>
      <c r="U140" s="552"/>
      <c r="V140" s="552"/>
      <c r="W140" s="552"/>
      <c r="X140" s="553"/>
      <c r="Y140" s="547"/>
      <c r="Z140" s="551"/>
      <c r="AA140" s="552"/>
      <c r="AB140" s="552"/>
      <c r="AC140" s="552"/>
      <c r="AD140" s="553"/>
      <c r="AE140" s="551"/>
      <c r="AF140" s="552"/>
      <c r="AG140" s="552"/>
      <c r="AH140" s="552"/>
      <c r="AI140" s="553"/>
      <c r="AJ140" s="547"/>
      <c r="AK140" s="551"/>
      <c r="AL140" s="552"/>
      <c r="AM140" s="552"/>
      <c r="AN140" s="552"/>
      <c r="AO140" s="553"/>
      <c r="AP140" s="551"/>
      <c r="AQ140" s="552"/>
      <c r="AR140" s="552"/>
      <c r="AS140" s="552"/>
      <c r="AT140" s="553"/>
      <c r="AU140" s="467"/>
      <c r="AV140" s="524">
        <f t="shared" si="59"/>
        <v>0</v>
      </c>
      <c r="AW140" s="525">
        <f t="shared" si="59"/>
        <v>0</v>
      </c>
      <c r="AX140" s="525">
        <f t="shared" si="59"/>
        <v>0</v>
      </c>
      <c r="AY140" s="525">
        <f t="shared" si="59"/>
        <v>0</v>
      </c>
      <c r="AZ140" s="526">
        <f t="shared" si="54"/>
        <v>0</v>
      </c>
      <c r="BA140" s="524">
        <f t="shared" si="54"/>
        <v>0</v>
      </c>
      <c r="BB140" s="525">
        <f t="shared" si="54"/>
        <v>0</v>
      </c>
      <c r="BC140" s="525">
        <f t="shared" si="54"/>
        <v>0</v>
      </c>
      <c r="BD140" s="525">
        <f t="shared" si="54"/>
        <v>0</v>
      </c>
      <c r="BE140" s="526">
        <f t="shared" si="54"/>
        <v>0</v>
      </c>
      <c r="BF140" s="467"/>
      <c r="BG140" s="524">
        <f t="shared" ca="1" si="52"/>
        <v>0</v>
      </c>
      <c r="BH140" s="525">
        <f t="shared" ca="1" si="57"/>
        <v>0</v>
      </c>
      <c r="BI140" s="525">
        <f t="shared" ca="1" si="57"/>
        <v>0</v>
      </c>
      <c r="BJ140" s="525">
        <f t="shared" ca="1" si="57"/>
        <v>0</v>
      </c>
      <c r="BK140" s="526">
        <f t="shared" ca="1" si="55"/>
        <v>0</v>
      </c>
      <c r="BL140" s="524">
        <f t="shared" ca="1" si="55"/>
        <v>0</v>
      </c>
      <c r="BM140" s="525">
        <f t="shared" ca="1" si="55"/>
        <v>0</v>
      </c>
      <c r="BN140" s="525">
        <f t="shared" ca="1" si="55"/>
        <v>0</v>
      </c>
      <c r="BO140" s="525">
        <f t="shared" ca="1" si="48"/>
        <v>0</v>
      </c>
      <c r="BP140" s="526">
        <f t="shared" ca="1" si="48"/>
        <v>0</v>
      </c>
      <c r="BQ140" s="467"/>
      <c r="BR140" s="524">
        <f>+IF($K140="Ongoing",AV140,IF(RIGHT($K140,2)=RIGHT(BR$40,2),SUM($AV140:AV140),0)+IF(RIGHT(BR$40,2)&gt;RIGHT($K140,2),AV140,0))</f>
        <v>0</v>
      </c>
      <c r="BS140" s="525">
        <f>+IF($K140="Ongoing",AW140,IF(RIGHT($K140,2)=RIGHT(BS$40,2),SUM($AV140:AW140),0)+IF(RIGHT(BS$40,2)&gt;RIGHT($K140,2),AW140,0))</f>
        <v>0</v>
      </c>
      <c r="BT140" s="525">
        <f>+IF($K140="Ongoing",AX140,IF(RIGHT($K140,2)=RIGHT(BT$40,2),SUM($AV140:AX140),0)+IF(RIGHT(BT$40,2)&gt;RIGHT($K140,2),AX140,0))</f>
        <v>0</v>
      </c>
      <c r="BU140" s="525">
        <f>+IF($K140="Ongoing",AY140,IF(RIGHT($K140,2)=RIGHT(BU$40,2),SUM($AV140:AY140),0)+IF(RIGHT(BU$40,2)&gt;RIGHT($K140,2),AY140,0))</f>
        <v>0</v>
      </c>
      <c r="BV140" s="526">
        <f>+IF($K140="Ongoing",AZ140,IF(RIGHT($K140,2)=RIGHT(BV$40,2),SUM($AV140:AZ140),0)+IF(RIGHT(BV$40,2)&gt;RIGHT($K140,2),AZ140,0))</f>
        <v>0</v>
      </c>
      <c r="BW140" s="524">
        <f>+IF($K140="Ongoing",BA140,IF(RIGHT($K140,2)=RIGHT(BW$40,2),SUM($AV140:BA140),0)+IF(RIGHT(BW$40,2)&gt;RIGHT($K140,2),BA140,0))</f>
        <v>0</v>
      </c>
      <c r="BX140" s="525">
        <f>+IF($K140="Ongoing",BB140,IF(RIGHT($K140,2)=RIGHT(BX$40,2),SUM($AV140:BB140),0)+IF(RIGHT(BX$40,2)&gt;RIGHT($K140,2),BB140,0))</f>
        <v>0</v>
      </c>
      <c r="BY140" s="525">
        <f>+IF($K140="Ongoing",BC140,IF(RIGHT($K140,2)=RIGHT(BY$40,2),SUM($AV140:BC140),0)+IF(RIGHT(BY$40,2)&gt;RIGHT($K140,2),BC140,0))</f>
        <v>0</v>
      </c>
      <c r="BZ140" s="525">
        <f>+IF($K140="Ongoing",BD140,IF(RIGHT($K140,2)=RIGHT(BZ$40,2),SUM($AV140:BD140),0)+IF(RIGHT(BZ$40,2)&gt;RIGHT($K140,2),BD140,0))</f>
        <v>0</v>
      </c>
      <c r="CA140" s="526">
        <f>+IF($K140="Ongoing",BE140,IF(RIGHT($K140,2)=RIGHT(CA$40,2),SUM($AV140:BE140),0)+IF(RIGHT(CA$40,2)&gt;RIGHT($K140,2),BE140,0))</f>
        <v>0</v>
      </c>
      <c r="CB140" s="467"/>
      <c r="CC140" s="524">
        <f>+O140*KeyAssumptionsPriceControl_FO!AF$15</f>
        <v>0</v>
      </c>
      <c r="CD140" s="525">
        <f>+P140*KeyAssumptionsPriceControl_FO!AG$15</f>
        <v>0</v>
      </c>
      <c r="CE140" s="525">
        <f>+Q140*KeyAssumptionsPriceControl_FO!AH$15</f>
        <v>0</v>
      </c>
      <c r="CF140" s="525">
        <f>+R140*KeyAssumptionsPriceControl_FO!AI$15</f>
        <v>0</v>
      </c>
      <c r="CG140" s="526">
        <f>+S140*KeyAssumptionsPriceControl_FO!AJ$15</f>
        <v>0</v>
      </c>
      <c r="CH140" s="524">
        <f>+T140*KeyAssumptionsPriceControl_FO!AK$15</f>
        <v>0</v>
      </c>
      <c r="CI140" s="525">
        <f>+U140*KeyAssumptionsPriceControl_FO!AL$15</f>
        <v>0</v>
      </c>
      <c r="CJ140" s="525">
        <f>+V140*KeyAssumptionsPriceControl_FO!AM$15</f>
        <v>0</v>
      </c>
      <c r="CK140" s="525">
        <f>+W140*KeyAssumptionsPriceControl_FO!AN$15</f>
        <v>0</v>
      </c>
      <c r="CL140" s="526">
        <f>+X140*KeyAssumptionsPriceControl_FO!AO$15</f>
        <v>0</v>
      </c>
      <c r="CM140" s="467"/>
      <c r="CN140" s="524">
        <f t="shared" ca="1" si="53"/>
        <v>0</v>
      </c>
      <c r="CO140" s="525">
        <f t="shared" ca="1" si="58"/>
        <v>0</v>
      </c>
      <c r="CP140" s="525">
        <f t="shared" ca="1" si="58"/>
        <v>0</v>
      </c>
      <c r="CQ140" s="525">
        <f t="shared" ca="1" si="58"/>
        <v>0</v>
      </c>
      <c r="CR140" s="526">
        <f t="shared" ca="1" si="56"/>
        <v>0</v>
      </c>
      <c r="CS140" s="524">
        <f t="shared" ca="1" si="56"/>
        <v>0</v>
      </c>
      <c r="CT140" s="525">
        <f t="shared" ca="1" si="56"/>
        <v>0</v>
      </c>
      <c r="CU140" s="525">
        <f t="shared" ca="1" si="56"/>
        <v>0</v>
      </c>
      <c r="CV140" s="525">
        <f t="shared" ca="1" si="49"/>
        <v>0</v>
      </c>
      <c r="CW140" s="526">
        <f t="shared" ca="1" si="49"/>
        <v>0</v>
      </c>
      <c r="CX140" s="467"/>
    </row>
    <row r="141" spans="2:102">
      <c r="B141" s="502"/>
      <c r="C141" s="1589"/>
      <c r="D141" s="1590"/>
      <c r="E141" s="1591"/>
      <c r="F141" s="1591"/>
      <c r="G141" s="1589"/>
      <c r="H141" s="2226"/>
      <c r="I141" s="2227"/>
      <c r="J141" s="1592"/>
      <c r="K141" s="1593"/>
      <c r="L141" s="1593"/>
      <c r="M141" s="1593"/>
      <c r="N141" s="467"/>
      <c r="O141" s="551"/>
      <c r="P141" s="552"/>
      <c r="Q141" s="552"/>
      <c r="R141" s="552"/>
      <c r="S141" s="553"/>
      <c r="T141" s="551"/>
      <c r="U141" s="552"/>
      <c r="V141" s="552"/>
      <c r="W141" s="552"/>
      <c r="X141" s="553"/>
      <c r="Y141" s="547"/>
      <c r="Z141" s="551"/>
      <c r="AA141" s="552"/>
      <c r="AB141" s="552"/>
      <c r="AC141" s="552"/>
      <c r="AD141" s="553"/>
      <c r="AE141" s="551"/>
      <c r="AF141" s="552"/>
      <c r="AG141" s="552"/>
      <c r="AH141" s="552"/>
      <c r="AI141" s="553"/>
      <c r="AJ141" s="547"/>
      <c r="AK141" s="551"/>
      <c r="AL141" s="552"/>
      <c r="AM141" s="552"/>
      <c r="AN141" s="552"/>
      <c r="AO141" s="553"/>
      <c r="AP141" s="551"/>
      <c r="AQ141" s="552"/>
      <c r="AR141" s="552"/>
      <c r="AS141" s="552"/>
      <c r="AT141" s="553"/>
      <c r="AU141" s="467"/>
      <c r="AV141" s="524">
        <f t="shared" si="59"/>
        <v>0</v>
      </c>
      <c r="AW141" s="525">
        <f t="shared" si="59"/>
        <v>0</v>
      </c>
      <c r="AX141" s="525">
        <f t="shared" si="59"/>
        <v>0</v>
      </c>
      <c r="AY141" s="525">
        <f t="shared" si="59"/>
        <v>0</v>
      </c>
      <c r="AZ141" s="526">
        <f t="shared" si="54"/>
        <v>0</v>
      </c>
      <c r="BA141" s="524">
        <f t="shared" si="54"/>
        <v>0</v>
      </c>
      <c r="BB141" s="525">
        <f t="shared" si="54"/>
        <v>0</v>
      </c>
      <c r="BC141" s="525">
        <f t="shared" si="54"/>
        <v>0</v>
      </c>
      <c r="BD141" s="525">
        <f t="shared" si="54"/>
        <v>0</v>
      </c>
      <c r="BE141" s="526">
        <f t="shared" si="54"/>
        <v>0</v>
      </c>
      <c r="BF141" s="467"/>
      <c r="BG141" s="524">
        <f t="shared" ca="1" si="52"/>
        <v>0</v>
      </c>
      <c r="BH141" s="525">
        <f t="shared" ca="1" si="57"/>
        <v>0</v>
      </c>
      <c r="BI141" s="525">
        <f t="shared" ca="1" si="57"/>
        <v>0</v>
      </c>
      <c r="BJ141" s="525">
        <f t="shared" ca="1" si="57"/>
        <v>0</v>
      </c>
      <c r="BK141" s="526">
        <f t="shared" ca="1" si="55"/>
        <v>0</v>
      </c>
      <c r="BL141" s="524">
        <f t="shared" ca="1" si="55"/>
        <v>0</v>
      </c>
      <c r="BM141" s="525">
        <f t="shared" ca="1" si="55"/>
        <v>0</v>
      </c>
      <c r="BN141" s="525">
        <f t="shared" ca="1" si="55"/>
        <v>0</v>
      </c>
      <c r="BO141" s="525">
        <f t="shared" ca="1" si="48"/>
        <v>0</v>
      </c>
      <c r="BP141" s="526">
        <f t="shared" ca="1" si="48"/>
        <v>0</v>
      </c>
      <c r="BQ141" s="467"/>
      <c r="BR141" s="524">
        <f>+IF($K141="Ongoing",AV141,IF(RIGHT($K141,2)=RIGHT(BR$40,2),SUM($AV141:AV141),0)+IF(RIGHT(BR$40,2)&gt;RIGHT($K141,2),AV141,0))</f>
        <v>0</v>
      </c>
      <c r="BS141" s="525">
        <f>+IF($K141="Ongoing",AW141,IF(RIGHT($K141,2)=RIGHT(BS$40,2),SUM($AV141:AW141),0)+IF(RIGHT(BS$40,2)&gt;RIGHT($K141,2),AW141,0))</f>
        <v>0</v>
      </c>
      <c r="BT141" s="525">
        <f>+IF($K141="Ongoing",AX141,IF(RIGHT($K141,2)=RIGHT(BT$40,2),SUM($AV141:AX141),0)+IF(RIGHT(BT$40,2)&gt;RIGHT($K141,2),AX141,0))</f>
        <v>0</v>
      </c>
      <c r="BU141" s="525">
        <f>+IF($K141="Ongoing",AY141,IF(RIGHT($K141,2)=RIGHT(BU$40,2),SUM($AV141:AY141),0)+IF(RIGHT(BU$40,2)&gt;RIGHT($K141,2),AY141,0))</f>
        <v>0</v>
      </c>
      <c r="BV141" s="526">
        <f>+IF($K141="Ongoing",AZ141,IF(RIGHT($K141,2)=RIGHT(BV$40,2),SUM($AV141:AZ141),0)+IF(RIGHT(BV$40,2)&gt;RIGHT($K141,2),AZ141,0))</f>
        <v>0</v>
      </c>
      <c r="BW141" s="524">
        <f>+IF($K141="Ongoing",BA141,IF(RIGHT($K141,2)=RIGHT(BW$40,2),SUM($AV141:BA141),0)+IF(RIGHT(BW$40,2)&gt;RIGHT($K141,2),BA141,0))</f>
        <v>0</v>
      </c>
      <c r="BX141" s="525">
        <f>+IF($K141="Ongoing",BB141,IF(RIGHT($K141,2)=RIGHT(BX$40,2),SUM($AV141:BB141),0)+IF(RIGHT(BX$40,2)&gt;RIGHT($K141,2),BB141,0))</f>
        <v>0</v>
      </c>
      <c r="BY141" s="525">
        <f>+IF($K141="Ongoing",BC141,IF(RIGHT($K141,2)=RIGHT(BY$40,2),SUM($AV141:BC141),0)+IF(RIGHT(BY$40,2)&gt;RIGHT($K141,2),BC141,0))</f>
        <v>0</v>
      </c>
      <c r="BZ141" s="525">
        <f>+IF($K141="Ongoing",BD141,IF(RIGHT($K141,2)=RIGHT(BZ$40,2),SUM($AV141:BD141),0)+IF(RIGHT(BZ$40,2)&gt;RIGHT($K141,2),BD141,0))</f>
        <v>0</v>
      </c>
      <c r="CA141" s="526">
        <f>+IF($K141="Ongoing",BE141,IF(RIGHT($K141,2)=RIGHT(CA$40,2),SUM($AV141:BE141),0)+IF(RIGHT(CA$40,2)&gt;RIGHT($K141,2),BE141,0))</f>
        <v>0</v>
      </c>
      <c r="CB141" s="467"/>
      <c r="CC141" s="524">
        <f>+O141*KeyAssumptionsPriceControl_FO!AF$15</f>
        <v>0</v>
      </c>
      <c r="CD141" s="525">
        <f>+P141*KeyAssumptionsPriceControl_FO!AG$15</f>
        <v>0</v>
      </c>
      <c r="CE141" s="525">
        <f>+Q141*KeyAssumptionsPriceControl_FO!AH$15</f>
        <v>0</v>
      </c>
      <c r="CF141" s="525">
        <f>+R141*KeyAssumptionsPriceControl_FO!AI$15</f>
        <v>0</v>
      </c>
      <c r="CG141" s="526">
        <f>+S141*KeyAssumptionsPriceControl_FO!AJ$15</f>
        <v>0</v>
      </c>
      <c r="CH141" s="524">
        <f>+T141*KeyAssumptionsPriceControl_FO!AK$15</f>
        <v>0</v>
      </c>
      <c r="CI141" s="525">
        <f>+U141*KeyAssumptionsPriceControl_FO!AL$15</f>
        <v>0</v>
      </c>
      <c r="CJ141" s="525">
        <f>+V141*KeyAssumptionsPriceControl_FO!AM$15</f>
        <v>0</v>
      </c>
      <c r="CK141" s="525">
        <f>+W141*KeyAssumptionsPriceControl_FO!AN$15</f>
        <v>0</v>
      </c>
      <c r="CL141" s="526">
        <f>+X141*KeyAssumptionsPriceControl_FO!AO$15</f>
        <v>0</v>
      </c>
      <c r="CM141" s="467"/>
      <c r="CN141" s="524">
        <f t="shared" ca="1" si="53"/>
        <v>0</v>
      </c>
      <c r="CO141" s="525">
        <f t="shared" ca="1" si="58"/>
        <v>0</v>
      </c>
      <c r="CP141" s="525">
        <f t="shared" ca="1" si="58"/>
        <v>0</v>
      </c>
      <c r="CQ141" s="525">
        <f t="shared" ca="1" si="58"/>
        <v>0</v>
      </c>
      <c r="CR141" s="526">
        <f t="shared" ca="1" si="56"/>
        <v>0</v>
      </c>
      <c r="CS141" s="524">
        <f t="shared" ca="1" si="56"/>
        <v>0</v>
      </c>
      <c r="CT141" s="525">
        <f t="shared" ca="1" si="56"/>
        <v>0</v>
      </c>
      <c r="CU141" s="525">
        <f t="shared" ca="1" si="56"/>
        <v>0</v>
      </c>
      <c r="CV141" s="525">
        <f t="shared" ca="1" si="49"/>
        <v>0</v>
      </c>
      <c r="CW141" s="526">
        <f t="shared" ca="1" si="49"/>
        <v>0</v>
      </c>
      <c r="CX141" s="467"/>
    </row>
    <row r="142" spans="2:102">
      <c r="B142" s="502"/>
      <c r="C142" s="1589"/>
      <c r="D142" s="1590"/>
      <c r="E142" s="1591"/>
      <c r="F142" s="1591"/>
      <c r="G142" s="1589"/>
      <c r="H142" s="2226"/>
      <c r="I142" s="2227"/>
      <c r="J142" s="1592"/>
      <c r="K142" s="1593"/>
      <c r="L142" s="1593"/>
      <c r="M142" s="1593"/>
      <c r="N142" s="467"/>
      <c r="O142" s="551"/>
      <c r="P142" s="552"/>
      <c r="Q142" s="552"/>
      <c r="R142" s="552"/>
      <c r="S142" s="553"/>
      <c r="T142" s="551"/>
      <c r="U142" s="552"/>
      <c r="V142" s="552"/>
      <c r="W142" s="552"/>
      <c r="X142" s="553"/>
      <c r="Y142" s="547"/>
      <c r="Z142" s="551"/>
      <c r="AA142" s="552"/>
      <c r="AB142" s="552"/>
      <c r="AC142" s="552"/>
      <c r="AD142" s="553"/>
      <c r="AE142" s="551"/>
      <c r="AF142" s="552"/>
      <c r="AG142" s="552"/>
      <c r="AH142" s="552"/>
      <c r="AI142" s="553"/>
      <c r="AJ142" s="547"/>
      <c r="AK142" s="551"/>
      <c r="AL142" s="552"/>
      <c r="AM142" s="552"/>
      <c r="AN142" s="552"/>
      <c r="AO142" s="553"/>
      <c r="AP142" s="551"/>
      <c r="AQ142" s="552"/>
      <c r="AR142" s="552"/>
      <c r="AS142" s="552"/>
      <c r="AT142" s="553"/>
      <c r="AU142" s="467"/>
      <c r="AV142" s="524">
        <f t="shared" si="59"/>
        <v>0</v>
      </c>
      <c r="AW142" s="525">
        <f t="shared" si="59"/>
        <v>0</v>
      </c>
      <c r="AX142" s="525">
        <f t="shared" si="59"/>
        <v>0</v>
      </c>
      <c r="AY142" s="525">
        <f t="shared" si="59"/>
        <v>0</v>
      </c>
      <c r="AZ142" s="526">
        <f t="shared" si="54"/>
        <v>0</v>
      </c>
      <c r="BA142" s="524">
        <f t="shared" si="54"/>
        <v>0</v>
      </c>
      <c r="BB142" s="525">
        <f t="shared" si="54"/>
        <v>0</v>
      </c>
      <c r="BC142" s="525">
        <f t="shared" si="54"/>
        <v>0</v>
      </c>
      <c r="BD142" s="525">
        <f t="shared" si="54"/>
        <v>0</v>
      </c>
      <c r="BE142" s="526">
        <f t="shared" si="54"/>
        <v>0</v>
      </c>
      <c r="BF142" s="467"/>
      <c r="BG142" s="524">
        <f t="shared" ca="1" si="52"/>
        <v>0</v>
      </c>
      <c r="BH142" s="525">
        <f t="shared" ca="1" si="57"/>
        <v>0</v>
      </c>
      <c r="BI142" s="525">
        <f t="shared" ca="1" si="57"/>
        <v>0</v>
      </c>
      <c r="BJ142" s="525">
        <f t="shared" ca="1" si="57"/>
        <v>0</v>
      </c>
      <c r="BK142" s="526">
        <f t="shared" ca="1" si="55"/>
        <v>0</v>
      </c>
      <c r="BL142" s="524">
        <f t="shared" ca="1" si="55"/>
        <v>0</v>
      </c>
      <c r="BM142" s="525">
        <f t="shared" ca="1" si="55"/>
        <v>0</v>
      </c>
      <c r="BN142" s="525">
        <f t="shared" ca="1" si="55"/>
        <v>0</v>
      </c>
      <c r="BO142" s="525">
        <f t="shared" ca="1" si="48"/>
        <v>0</v>
      </c>
      <c r="BP142" s="526">
        <f t="shared" ca="1" si="48"/>
        <v>0</v>
      </c>
      <c r="BQ142" s="467"/>
      <c r="BR142" s="524">
        <f>+IF($K142="Ongoing",AV142,IF(RIGHT($K142,2)=RIGHT(BR$40,2),SUM($AV142:AV142),0)+IF(RIGHT(BR$40,2)&gt;RIGHT($K142,2),AV142,0))</f>
        <v>0</v>
      </c>
      <c r="BS142" s="525">
        <f>+IF($K142="Ongoing",AW142,IF(RIGHT($K142,2)=RIGHT(BS$40,2),SUM($AV142:AW142),0)+IF(RIGHT(BS$40,2)&gt;RIGHT($K142,2),AW142,0))</f>
        <v>0</v>
      </c>
      <c r="BT142" s="525">
        <f>+IF($K142="Ongoing",AX142,IF(RIGHT($K142,2)=RIGHT(BT$40,2),SUM($AV142:AX142),0)+IF(RIGHT(BT$40,2)&gt;RIGHT($K142,2),AX142,0))</f>
        <v>0</v>
      </c>
      <c r="BU142" s="525">
        <f>+IF($K142="Ongoing",AY142,IF(RIGHT($K142,2)=RIGHT(BU$40,2),SUM($AV142:AY142),0)+IF(RIGHT(BU$40,2)&gt;RIGHT($K142,2),AY142,0))</f>
        <v>0</v>
      </c>
      <c r="BV142" s="526">
        <f>+IF($K142="Ongoing",AZ142,IF(RIGHT($K142,2)=RIGHT(BV$40,2),SUM($AV142:AZ142),0)+IF(RIGHT(BV$40,2)&gt;RIGHT($K142,2),AZ142,0))</f>
        <v>0</v>
      </c>
      <c r="BW142" s="524">
        <f>+IF($K142="Ongoing",BA142,IF(RIGHT($K142,2)=RIGHT(BW$40,2),SUM($AV142:BA142),0)+IF(RIGHT(BW$40,2)&gt;RIGHT($K142,2),BA142,0))</f>
        <v>0</v>
      </c>
      <c r="BX142" s="525">
        <f>+IF($K142="Ongoing",BB142,IF(RIGHT($K142,2)=RIGHT(BX$40,2),SUM($AV142:BB142),0)+IF(RIGHT(BX$40,2)&gt;RIGHT($K142,2),BB142,0))</f>
        <v>0</v>
      </c>
      <c r="BY142" s="525">
        <f>+IF($K142="Ongoing",BC142,IF(RIGHT($K142,2)=RIGHT(BY$40,2),SUM($AV142:BC142),0)+IF(RIGHT(BY$40,2)&gt;RIGHT($K142,2),BC142,0))</f>
        <v>0</v>
      </c>
      <c r="BZ142" s="525">
        <f>+IF($K142="Ongoing",BD142,IF(RIGHT($K142,2)=RIGHT(BZ$40,2),SUM($AV142:BD142),0)+IF(RIGHT(BZ$40,2)&gt;RIGHT($K142,2),BD142,0))</f>
        <v>0</v>
      </c>
      <c r="CA142" s="526">
        <f>+IF($K142="Ongoing",BE142,IF(RIGHT($K142,2)=RIGHT(CA$40,2),SUM($AV142:BE142),0)+IF(RIGHT(CA$40,2)&gt;RIGHT($K142,2),BE142,0))</f>
        <v>0</v>
      </c>
      <c r="CB142" s="467"/>
      <c r="CC142" s="524">
        <f>+O142*KeyAssumptionsPriceControl_FO!AF$15</f>
        <v>0</v>
      </c>
      <c r="CD142" s="525">
        <f>+P142*KeyAssumptionsPriceControl_FO!AG$15</f>
        <v>0</v>
      </c>
      <c r="CE142" s="525">
        <f>+Q142*KeyAssumptionsPriceControl_FO!AH$15</f>
        <v>0</v>
      </c>
      <c r="CF142" s="525">
        <f>+R142*KeyAssumptionsPriceControl_FO!AI$15</f>
        <v>0</v>
      </c>
      <c r="CG142" s="526">
        <f>+S142*KeyAssumptionsPriceControl_FO!AJ$15</f>
        <v>0</v>
      </c>
      <c r="CH142" s="524">
        <f>+T142*KeyAssumptionsPriceControl_FO!AK$15</f>
        <v>0</v>
      </c>
      <c r="CI142" s="525">
        <f>+U142*KeyAssumptionsPriceControl_FO!AL$15</f>
        <v>0</v>
      </c>
      <c r="CJ142" s="525">
        <f>+V142*KeyAssumptionsPriceControl_FO!AM$15</f>
        <v>0</v>
      </c>
      <c r="CK142" s="525">
        <f>+W142*KeyAssumptionsPriceControl_FO!AN$15</f>
        <v>0</v>
      </c>
      <c r="CL142" s="526">
        <f>+X142*KeyAssumptionsPriceControl_FO!AO$15</f>
        <v>0</v>
      </c>
      <c r="CM142" s="467"/>
      <c r="CN142" s="524">
        <f t="shared" ca="1" si="53"/>
        <v>0</v>
      </c>
      <c r="CO142" s="525">
        <f t="shared" ca="1" si="58"/>
        <v>0</v>
      </c>
      <c r="CP142" s="525">
        <f t="shared" ca="1" si="58"/>
        <v>0</v>
      </c>
      <c r="CQ142" s="525">
        <f t="shared" ca="1" si="58"/>
        <v>0</v>
      </c>
      <c r="CR142" s="526">
        <f t="shared" ca="1" si="56"/>
        <v>0</v>
      </c>
      <c r="CS142" s="524">
        <f t="shared" ca="1" si="56"/>
        <v>0</v>
      </c>
      <c r="CT142" s="525">
        <f t="shared" ca="1" si="56"/>
        <v>0</v>
      </c>
      <c r="CU142" s="525">
        <f t="shared" ca="1" si="56"/>
        <v>0</v>
      </c>
      <c r="CV142" s="525">
        <f t="shared" ca="1" si="49"/>
        <v>0</v>
      </c>
      <c r="CW142" s="526">
        <f t="shared" ca="1" si="49"/>
        <v>0</v>
      </c>
      <c r="CX142" s="467"/>
    </row>
    <row r="143" spans="2:102">
      <c r="B143" s="502"/>
      <c r="C143" s="1589"/>
      <c r="D143" s="1590"/>
      <c r="E143" s="1591"/>
      <c r="F143" s="1591"/>
      <c r="G143" s="1589"/>
      <c r="H143" s="2226"/>
      <c r="I143" s="2227"/>
      <c r="J143" s="1592"/>
      <c r="K143" s="1593"/>
      <c r="L143" s="1593"/>
      <c r="M143" s="1593"/>
      <c r="N143" s="467"/>
      <c r="O143" s="551"/>
      <c r="P143" s="552"/>
      <c r="Q143" s="552"/>
      <c r="R143" s="552"/>
      <c r="S143" s="553"/>
      <c r="T143" s="551"/>
      <c r="U143" s="552"/>
      <c r="V143" s="552"/>
      <c r="W143" s="552"/>
      <c r="X143" s="553"/>
      <c r="Y143" s="547"/>
      <c r="Z143" s="551"/>
      <c r="AA143" s="552"/>
      <c r="AB143" s="552"/>
      <c r="AC143" s="552"/>
      <c r="AD143" s="553"/>
      <c r="AE143" s="551"/>
      <c r="AF143" s="552"/>
      <c r="AG143" s="552"/>
      <c r="AH143" s="552"/>
      <c r="AI143" s="553"/>
      <c r="AJ143" s="547"/>
      <c r="AK143" s="551"/>
      <c r="AL143" s="552"/>
      <c r="AM143" s="552"/>
      <c r="AN143" s="552"/>
      <c r="AO143" s="553"/>
      <c r="AP143" s="551"/>
      <c r="AQ143" s="552"/>
      <c r="AR143" s="552"/>
      <c r="AS143" s="552"/>
      <c r="AT143" s="553"/>
      <c r="AU143" s="467"/>
      <c r="AV143" s="524">
        <f t="shared" si="59"/>
        <v>0</v>
      </c>
      <c r="AW143" s="525">
        <f t="shared" si="59"/>
        <v>0</v>
      </c>
      <c r="AX143" s="525">
        <f t="shared" si="59"/>
        <v>0</v>
      </c>
      <c r="AY143" s="525">
        <f t="shared" si="59"/>
        <v>0</v>
      </c>
      <c r="AZ143" s="526">
        <f t="shared" si="54"/>
        <v>0</v>
      </c>
      <c r="BA143" s="524">
        <f t="shared" si="54"/>
        <v>0</v>
      </c>
      <c r="BB143" s="525">
        <f t="shared" si="54"/>
        <v>0</v>
      </c>
      <c r="BC143" s="525">
        <f t="shared" si="54"/>
        <v>0</v>
      </c>
      <c r="BD143" s="525">
        <f t="shared" si="54"/>
        <v>0</v>
      </c>
      <c r="BE143" s="526">
        <f t="shared" si="54"/>
        <v>0</v>
      </c>
      <c r="BF143" s="467"/>
      <c r="BG143" s="524">
        <f t="shared" ca="1" si="52"/>
        <v>0</v>
      </c>
      <c r="BH143" s="525">
        <f t="shared" ca="1" si="57"/>
        <v>0</v>
      </c>
      <c r="BI143" s="525">
        <f t="shared" ca="1" si="57"/>
        <v>0</v>
      </c>
      <c r="BJ143" s="525">
        <f t="shared" ca="1" si="57"/>
        <v>0</v>
      </c>
      <c r="BK143" s="526">
        <f t="shared" ca="1" si="55"/>
        <v>0</v>
      </c>
      <c r="BL143" s="524">
        <f t="shared" ca="1" si="55"/>
        <v>0</v>
      </c>
      <c r="BM143" s="525">
        <f t="shared" ca="1" si="55"/>
        <v>0</v>
      </c>
      <c r="BN143" s="525">
        <f t="shared" ca="1" si="55"/>
        <v>0</v>
      </c>
      <c r="BO143" s="525">
        <f t="shared" ca="1" si="48"/>
        <v>0</v>
      </c>
      <c r="BP143" s="526">
        <f t="shared" ca="1" si="48"/>
        <v>0</v>
      </c>
      <c r="BQ143" s="467"/>
      <c r="BR143" s="524">
        <f>+IF($K143="Ongoing",AV143,IF(RIGHT($K143,2)=RIGHT(BR$40,2),SUM($AV143:AV143),0)+IF(RIGHT(BR$40,2)&gt;RIGHT($K143,2),AV143,0))</f>
        <v>0</v>
      </c>
      <c r="BS143" s="525">
        <f>+IF($K143="Ongoing",AW143,IF(RIGHT($K143,2)=RIGHT(BS$40,2),SUM($AV143:AW143),0)+IF(RIGHT(BS$40,2)&gt;RIGHT($K143,2),AW143,0))</f>
        <v>0</v>
      </c>
      <c r="BT143" s="525">
        <f>+IF($K143="Ongoing",AX143,IF(RIGHT($K143,2)=RIGHT(BT$40,2),SUM($AV143:AX143),0)+IF(RIGHT(BT$40,2)&gt;RIGHT($K143,2),AX143,0))</f>
        <v>0</v>
      </c>
      <c r="BU143" s="525">
        <f>+IF($K143="Ongoing",AY143,IF(RIGHT($K143,2)=RIGHT(BU$40,2),SUM($AV143:AY143),0)+IF(RIGHT(BU$40,2)&gt;RIGHT($K143,2),AY143,0))</f>
        <v>0</v>
      </c>
      <c r="BV143" s="526">
        <f>+IF($K143="Ongoing",AZ143,IF(RIGHT($K143,2)=RIGHT(BV$40,2),SUM($AV143:AZ143),0)+IF(RIGHT(BV$40,2)&gt;RIGHT($K143,2),AZ143,0))</f>
        <v>0</v>
      </c>
      <c r="BW143" s="524">
        <f>+IF($K143="Ongoing",BA143,IF(RIGHT($K143,2)=RIGHT(BW$40,2),SUM($AV143:BA143),0)+IF(RIGHT(BW$40,2)&gt;RIGHT($K143,2),BA143,0))</f>
        <v>0</v>
      </c>
      <c r="BX143" s="525">
        <f>+IF($K143="Ongoing",BB143,IF(RIGHT($K143,2)=RIGHT(BX$40,2),SUM($AV143:BB143),0)+IF(RIGHT(BX$40,2)&gt;RIGHT($K143,2),BB143,0))</f>
        <v>0</v>
      </c>
      <c r="BY143" s="525">
        <f>+IF($K143="Ongoing",BC143,IF(RIGHT($K143,2)=RIGHT(BY$40,2),SUM($AV143:BC143),0)+IF(RIGHT(BY$40,2)&gt;RIGHT($K143,2),BC143,0))</f>
        <v>0</v>
      </c>
      <c r="BZ143" s="525">
        <f>+IF($K143="Ongoing",BD143,IF(RIGHT($K143,2)=RIGHT(BZ$40,2),SUM($AV143:BD143),0)+IF(RIGHT(BZ$40,2)&gt;RIGHT($K143,2),BD143,0))</f>
        <v>0</v>
      </c>
      <c r="CA143" s="526">
        <f>+IF($K143="Ongoing",BE143,IF(RIGHT($K143,2)=RIGHT(CA$40,2),SUM($AV143:BE143),0)+IF(RIGHT(CA$40,2)&gt;RIGHT($K143,2),BE143,0))</f>
        <v>0</v>
      </c>
      <c r="CB143" s="467"/>
      <c r="CC143" s="524">
        <f>+O143*KeyAssumptionsPriceControl_FO!AF$15</f>
        <v>0</v>
      </c>
      <c r="CD143" s="525">
        <f>+P143*KeyAssumptionsPriceControl_FO!AG$15</f>
        <v>0</v>
      </c>
      <c r="CE143" s="525">
        <f>+Q143*KeyAssumptionsPriceControl_FO!AH$15</f>
        <v>0</v>
      </c>
      <c r="CF143" s="525">
        <f>+R143*KeyAssumptionsPriceControl_FO!AI$15</f>
        <v>0</v>
      </c>
      <c r="CG143" s="526">
        <f>+S143*KeyAssumptionsPriceControl_FO!AJ$15</f>
        <v>0</v>
      </c>
      <c r="CH143" s="524">
        <f>+T143*KeyAssumptionsPriceControl_FO!AK$15</f>
        <v>0</v>
      </c>
      <c r="CI143" s="525">
        <f>+U143*KeyAssumptionsPriceControl_FO!AL$15</f>
        <v>0</v>
      </c>
      <c r="CJ143" s="525">
        <f>+V143*KeyAssumptionsPriceControl_FO!AM$15</f>
        <v>0</v>
      </c>
      <c r="CK143" s="525">
        <f>+W143*KeyAssumptionsPriceControl_FO!AN$15</f>
        <v>0</v>
      </c>
      <c r="CL143" s="526">
        <f>+X143*KeyAssumptionsPriceControl_FO!AO$15</f>
        <v>0</v>
      </c>
      <c r="CM143" s="467"/>
      <c r="CN143" s="524">
        <f t="shared" ca="1" si="53"/>
        <v>0</v>
      </c>
      <c r="CO143" s="525">
        <f t="shared" ca="1" si="58"/>
        <v>0</v>
      </c>
      <c r="CP143" s="525">
        <f t="shared" ca="1" si="58"/>
        <v>0</v>
      </c>
      <c r="CQ143" s="525">
        <f t="shared" ca="1" si="58"/>
        <v>0</v>
      </c>
      <c r="CR143" s="526">
        <f t="shared" ca="1" si="56"/>
        <v>0</v>
      </c>
      <c r="CS143" s="524">
        <f t="shared" ca="1" si="56"/>
        <v>0</v>
      </c>
      <c r="CT143" s="525">
        <f t="shared" ca="1" si="56"/>
        <v>0</v>
      </c>
      <c r="CU143" s="525">
        <f t="shared" ca="1" si="56"/>
        <v>0</v>
      </c>
      <c r="CV143" s="525">
        <f t="shared" ca="1" si="49"/>
        <v>0</v>
      </c>
      <c r="CW143" s="526">
        <f t="shared" ca="1" si="49"/>
        <v>0</v>
      </c>
      <c r="CX143" s="467"/>
    </row>
    <row r="144" spans="2:102">
      <c r="B144" s="502"/>
      <c r="C144" s="1589"/>
      <c r="D144" s="1590"/>
      <c r="E144" s="1591"/>
      <c r="F144" s="1591"/>
      <c r="G144" s="1589"/>
      <c r="H144" s="2226"/>
      <c r="I144" s="2227"/>
      <c r="J144" s="1592"/>
      <c r="K144" s="1593"/>
      <c r="L144" s="1593"/>
      <c r="M144" s="1593"/>
      <c r="N144" s="467"/>
      <c r="O144" s="551"/>
      <c r="P144" s="552"/>
      <c r="Q144" s="552"/>
      <c r="R144" s="552"/>
      <c r="S144" s="553"/>
      <c r="T144" s="551"/>
      <c r="U144" s="552"/>
      <c r="V144" s="552"/>
      <c r="W144" s="552"/>
      <c r="X144" s="553"/>
      <c r="Y144" s="547"/>
      <c r="Z144" s="551"/>
      <c r="AA144" s="552"/>
      <c r="AB144" s="552"/>
      <c r="AC144" s="552"/>
      <c r="AD144" s="553"/>
      <c r="AE144" s="551"/>
      <c r="AF144" s="552"/>
      <c r="AG144" s="552"/>
      <c r="AH144" s="552"/>
      <c r="AI144" s="553"/>
      <c r="AJ144" s="547"/>
      <c r="AK144" s="551"/>
      <c r="AL144" s="552"/>
      <c r="AM144" s="552"/>
      <c r="AN144" s="552"/>
      <c r="AO144" s="553"/>
      <c r="AP144" s="551"/>
      <c r="AQ144" s="552"/>
      <c r="AR144" s="552"/>
      <c r="AS144" s="552"/>
      <c r="AT144" s="553"/>
      <c r="AU144" s="467"/>
      <c r="AV144" s="524">
        <f t="shared" si="59"/>
        <v>0</v>
      </c>
      <c r="AW144" s="525">
        <f t="shared" si="59"/>
        <v>0</v>
      </c>
      <c r="AX144" s="525">
        <f t="shared" si="59"/>
        <v>0</v>
      </c>
      <c r="AY144" s="525">
        <f t="shared" si="59"/>
        <v>0</v>
      </c>
      <c r="AZ144" s="526">
        <f t="shared" si="54"/>
        <v>0</v>
      </c>
      <c r="BA144" s="524">
        <f t="shared" si="54"/>
        <v>0</v>
      </c>
      <c r="BB144" s="525">
        <f t="shared" si="54"/>
        <v>0</v>
      </c>
      <c r="BC144" s="525">
        <f t="shared" si="54"/>
        <v>0</v>
      </c>
      <c r="BD144" s="525">
        <f t="shared" si="54"/>
        <v>0</v>
      </c>
      <c r="BE144" s="526">
        <f t="shared" si="54"/>
        <v>0</v>
      </c>
      <c r="BF144" s="467"/>
      <c r="BG144" s="524">
        <f t="shared" ca="1" si="52"/>
        <v>0</v>
      </c>
      <c r="BH144" s="525">
        <f t="shared" ca="1" si="57"/>
        <v>0</v>
      </c>
      <c r="BI144" s="525">
        <f t="shared" ca="1" si="57"/>
        <v>0</v>
      </c>
      <c r="BJ144" s="525">
        <f t="shared" ca="1" si="57"/>
        <v>0</v>
      </c>
      <c r="BK144" s="526">
        <f t="shared" ca="1" si="55"/>
        <v>0</v>
      </c>
      <c r="BL144" s="524">
        <f t="shared" ca="1" si="55"/>
        <v>0</v>
      </c>
      <c r="BM144" s="525">
        <f t="shared" ca="1" si="55"/>
        <v>0</v>
      </c>
      <c r="BN144" s="525">
        <f t="shared" ca="1" si="55"/>
        <v>0</v>
      </c>
      <c r="BO144" s="525">
        <f t="shared" ca="1" si="48"/>
        <v>0</v>
      </c>
      <c r="BP144" s="526">
        <f t="shared" ca="1" si="48"/>
        <v>0</v>
      </c>
      <c r="BQ144" s="467"/>
      <c r="BR144" s="524">
        <f>+IF($K144="Ongoing",AV144,IF(RIGHT($K144,2)=RIGHT(BR$40,2),SUM($AV144:AV144),0)+IF(RIGHT(BR$40,2)&gt;RIGHT($K144,2),AV144,0))</f>
        <v>0</v>
      </c>
      <c r="BS144" s="525">
        <f>+IF($K144="Ongoing",AW144,IF(RIGHT($K144,2)=RIGHT(BS$40,2),SUM($AV144:AW144),0)+IF(RIGHT(BS$40,2)&gt;RIGHT($K144,2),AW144,0))</f>
        <v>0</v>
      </c>
      <c r="BT144" s="525">
        <f>+IF($K144="Ongoing",AX144,IF(RIGHT($K144,2)=RIGHT(BT$40,2),SUM($AV144:AX144),0)+IF(RIGHT(BT$40,2)&gt;RIGHT($K144,2),AX144,0))</f>
        <v>0</v>
      </c>
      <c r="BU144" s="525">
        <f>+IF($K144="Ongoing",AY144,IF(RIGHT($K144,2)=RIGHT(BU$40,2),SUM($AV144:AY144),0)+IF(RIGHT(BU$40,2)&gt;RIGHT($K144,2),AY144,0))</f>
        <v>0</v>
      </c>
      <c r="BV144" s="526">
        <f>+IF($K144="Ongoing",AZ144,IF(RIGHT($K144,2)=RIGHT(BV$40,2),SUM($AV144:AZ144),0)+IF(RIGHT(BV$40,2)&gt;RIGHT($K144,2),AZ144,0))</f>
        <v>0</v>
      </c>
      <c r="BW144" s="524">
        <f>+IF($K144="Ongoing",BA144,IF(RIGHT($K144,2)=RIGHT(BW$40,2),SUM($AV144:BA144),0)+IF(RIGHT(BW$40,2)&gt;RIGHT($K144,2),BA144,0))</f>
        <v>0</v>
      </c>
      <c r="BX144" s="525">
        <f>+IF($K144="Ongoing",BB144,IF(RIGHT($K144,2)=RIGHT(BX$40,2),SUM($AV144:BB144),0)+IF(RIGHT(BX$40,2)&gt;RIGHT($K144,2),BB144,0))</f>
        <v>0</v>
      </c>
      <c r="BY144" s="525">
        <f>+IF($K144="Ongoing",BC144,IF(RIGHT($K144,2)=RIGHT(BY$40,2),SUM($AV144:BC144),0)+IF(RIGHT(BY$40,2)&gt;RIGHT($K144,2),BC144,0))</f>
        <v>0</v>
      </c>
      <c r="BZ144" s="525">
        <f>+IF($K144="Ongoing",BD144,IF(RIGHT($K144,2)=RIGHT(BZ$40,2),SUM($AV144:BD144),0)+IF(RIGHT(BZ$40,2)&gt;RIGHT($K144,2),BD144,0))</f>
        <v>0</v>
      </c>
      <c r="CA144" s="526">
        <f>+IF($K144="Ongoing",BE144,IF(RIGHT($K144,2)=RIGHT(CA$40,2),SUM($AV144:BE144),0)+IF(RIGHT(CA$40,2)&gt;RIGHT($K144,2),BE144,0))</f>
        <v>0</v>
      </c>
      <c r="CB144" s="467"/>
      <c r="CC144" s="524">
        <f>+O144*KeyAssumptionsPriceControl_FO!AF$15</f>
        <v>0</v>
      </c>
      <c r="CD144" s="525">
        <f>+P144*KeyAssumptionsPriceControl_FO!AG$15</f>
        <v>0</v>
      </c>
      <c r="CE144" s="525">
        <f>+Q144*KeyAssumptionsPriceControl_FO!AH$15</f>
        <v>0</v>
      </c>
      <c r="CF144" s="525">
        <f>+R144*KeyAssumptionsPriceControl_FO!AI$15</f>
        <v>0</v>
      </c>
      <c r="CG144" s="526">
        <f>+S144*KeyAssumptionsPriceControl_FO!AJ$15</f>
        <v>0</v>
      </c>
      <c r="CH144" s="524">
        <f>+T144*KeyAssumptionsPriceControl_FO!AK$15</f>
        <v>0</v>
      </c>
      <c r="CI144" s="525">
        <f>+U144*KeyAssumptionsPriceControl_FO!AL$15</f>
        <v>0</v>
      </c>
      <c r="CJ144" s="525">
        <f>+V144*KeyAssumptionsPriceControl_FO!AM$15</f>
        <v>0</v>
      </c>
      <c r="CK144" s="525">
        <f>+W144*KeyAssumptionsPriceControl_FO!AN$15</f>
        <v>0</v>
      </c>
      <c r="CL144" s="526">
        <f>+X144*KeyAssumptionsPriceControl_FO!AO$15</f>
        <v>0</v>
      </c>
      <c r="CM144" s="467"/>
      <c r="CN144" s="524">
        <f t="shared" ca="1" si="53"/>
        <v>0</v>
      </c>
      <c r="CO144" s="525">
        <f t="shared" ca="1" si="58"/>
        <v>0</v>
      </c>
      <c r="CP144" s="525">
        <f t="shared" ca="1" si="58"/>
        <v>0</v>
      </c>
      <c r="CQ144" s="525">
        <f t="shared" ca="1" si="58"/>
        <v>0</v>
      </c>
      <c r="CR144" s="526">
        <f t="shared" ca="1" si="56"/>
        <v>0</v>
      </c>
      <c r="CS144" s="524">
        <f t="shared" ca="1" si="56"/>
        <v>0</v>
      </c>
      <c r="CT144" s="525">
        <f t="shared" ca="1" si="56"/>
        <v>0</v>
      </c>
      <c r="CU144" s="525">
        <f t="shared" ca="1" si="56"/>
        <v>0</v>
      </c>
      <c r="CV144" s="525">
        <f t="shared" ca="1" si="49"/>
        <v>0</v>
      </c>
      <c r="CW144" s="526">
        <f t="shared" ca="1" si="49"/>
        <v>0</v>
      </c>
      <c r="CX144" s="467"/>
    </row>
    <row r="145" spans="2:102">
      <c r="B145" s="502"/>
      <c r="C145" s="1589"/>
      <c r="D145" s="1590"/>
      <c r="E145" s="1591"/>
      <c r="F145" s="1591"/>
      <c r="G145" s="1589"/>
      <c r="H145" s="2226"/>
      <c r="I145" s="2227"/>
      <c r="J145" s="1592"/>
      <c r="K145" s="1593"/>
      <c r="L145" s="1593"/>
      <c r="M145" s="1593"/>
      <c r="N145" s="467"/>
      <c r="O145" s="1610"/>
      <c r="P145" s="1575"/>
      <c r="Q145" s="1575"/>
      <c r="R145" s="1575"/>
      <c r="S145" s="1576"/>
      <c r="T145" s="1610"/>
      <c r="U145" s="1575"/>
      <c r="V145" s="1575"/>
      <c r="W145" s="1575"/>
      <c r="X145" s="1576"/>
      <c r="Y145" s="547"/>
      <c r="Z145" s="551"/>
      <c r="AA145" s="552"/>
      <c r="AB145" s="552"/>
      <c r="AC145" s="552"/>
      <c r="AD145" s="553"/>
      <c r="AE145" s="551"/>
      <c r="AF145" s="552"/>
      <c r="AG145" s="552"/>
      <c r="AH145" s="552"/>
      <c r="AI145" s="553"/>
      <c r="AJ145" s="547"/>
      <c r="AK145" s="551"/>
      <c r="AL145" s="552"/>
      <c r="AM145" s="552"/>
      <c r="AN145" s="552"/>
      <c r="AO145" s="553"/>
      <c r="AP145" s="551"/>
      <c r="AQ145" s="552"/>
      <c r="AR145" s="552"/>
      <c r="AS145" s="552"/>
      <c r="AT145" s="553"/>
      <c r="AU145" s="467"/>
      <c r="AV145" s="524">
        <f t="shared" si="59"/>
        <v>0</v>
      </c>
      <c r="AW145" s="525">
        <f t="shared" si="59"/>
        <v>0</v>
      </c>
      <c r="AX145" s="525">
        <f t="shared" si="59"/>
        <v>0</v>
      </c>
      <c r="AY145" s="525">
        <f t="shared" si="59"/>
        <v>0</v>
      </c>
      <c r="AZ145" s="526">
        <f t="shared" si="54"/>
        <v>0</v>
      </c>
      <c r="BA145" s="524">
        <f t="shared" si="54"/>
        <v>0</v>
      </c>
      <c r="BB145" s="525">
        <f t="shared" si="54"/>
        <v>0</v>
      </c>
      <c r="BC145" s="525">
        <f t="shared" si="54"/>
        <v>0</v>
      </c>
      <c r="BD145" s="525">
        <f t="shared" si="54"/>
        <v>0</v>
      </c>
      <c r="BE145" s="526">
        <f t="shared" si="54"/>
        <v>0</v>
      </c>
      <c r="BF145" s="467"/>
      <c r="BG145" s="524">
        <f t="shared" ca="1" si="52"/>
        <v>0</v>
      </c>
      <c r="BH145" s="525">
        <f t="shared" ca="1" si="57"/>
        <v>0</v>
      </c>
      <c r="BI145" s="525">
        <f t="shared" ca="1" si="57"/>
        <v>0</v>
      </c>
      <c r="BJ145" s="525">
        <f t="shared" ca="1" si="57"/>
        <v>0</v>
      </c>
      <c r="BK145" s="526">
        <f t="shared" ca="1" si="55"/>
        <v>0</v>
      </c>
      <c r="BL145" s="524">
        <f t="shared" ca="1" si="55"/>
        <v>0</v>
      </c>
      <c r="BM145" s="525">
        <f t="shared" ca="1" si="55"/>
        <v>0</v>
      </c>
      <c r="BN145" s="525">
        <f t="shared" ca="1" si="55"/>
        <v>0</v>
      </c>
      <c r="BO145" s="525">
        <f t="shared" ca="1" si="48"/>
        <v>0</v>
      </c>
      <c r="BP145" s="526">
        <f t="shared" ca="1" si="48"/>
        <v>0</v>
      </c>
      <c r="BQ145" s="467"/>
      <c r="BR145" s="524">
        <f>+IF($K145="Ongoing",AV145,IF(RIGHT($K145,2)=RIGHT(BR$40,2),SUM($AV145:AV145),0)+IF(RIGHT(BR$40,2)&gt;RIGHT($K145,2),AV145,0))</f>
        <v>0</v>
      </c>
      <c r="BS145" s="525">
        <f>+IF($K145="Ongoing",AW145,IF(RIGHT($K145,2)=RIGHT(BS$40,2),SUM($AV145:AW145),0)+IF(RIGHT(BS$40,2)&gt;RIGHT($K145,2),AW145,0))</f>
        <v>0</v>
      </c>
      <c r="BT145" s="525">
        <f>+IF($K145="Ongoing",AX145,IF(RIGHT($K145,2)=RIGHT(BT$40,2),SUM($AV145:AX145),0)+IF(RIGHT(BT$40,2)&gt;RIGHT($K145,2),AX145,0))</f>
        <v>0</v>
      </c>
      <c r="BU145" s="525">
        <f>+IF($K145="Ongoing",AY145,IF(RIGHT($K145,2)=RIGHT(BU$40,2),SUM($AV145:AY145),0)+IF(RIGHT(BU$40,2)&gt;RIGHT($K145,2),AY145,0))</f>
        <v>0</v>
      </c>
      <c r="BV145" s="526">
        <f>+IF($K145="Ongoing",AZ145,IF(RIGHT($K145,2)=RIGHT(BV$40,2),SUM($AV145:AZ145),0)+IF(RIGHT(BV$40,2)&gt;RIGHT($K145,2),AZ145,0))</f>
        <v>0</v>
      </c>
      <c r="BW145" s="524">
        <f>+IF($K145="Ongoing",BA145,IF(RIGHT($K145,2)=RIGHT(BW$40,2),SUM($AV145:BA145),0)+IF(RIGHT(BW$40,2)&gt;RIGHT($K145,2),BA145,0))</f>
        <v>0</v>
      </c>
      <c r="BX145" s="525">
        <f>+IF($K145="Ongoing",BB145,IF(RIGHT($K145,2)=RIGHT(BX$40,2),SUM($AV145:BB145),0)+IF(RIGHT(BX$40,2)&gt;RIGHT($K145,2),BB145,0))</f>
        <v>0</v>
      </c>
      <c r="BY145" s="525">
        <f>+IF($K145="Ongoing",BC145,IF(RIGHT($K145,2)=RIGHT(BY$40,2),SUM($AV145:BC145),0)+IF(RIGHT(BY$40,2)&gt;RIGHT($K145,2),BC145,0))</f>
        <v>0</v>
      </c>
      <c r="BZ145" s="525">
        <f>+IF($K145="Ongoing",BD145,IF(RIGHT($K145,2)=RIGHT(BZ$40,2),SUM($AV145:BD145),0)+IF(RIGHT(BZ$40,2)&gt;RIGHT($K145,2),BD145,0))</f>
        <v>0</v>
      </c>
      <c r="CA145" s="526">
        <f>+IF($K145="Ongoing",BE145,IF(RIGHT($K145,2)=RIGHT(CA$40,2),SUM($AV145:BE145),0)+IF(RIGHT(CA$40,2)&gt;RIGHT($K145,2),BE145,0))</f>
        <v>0</v>
      </c>
      <c r="CB145" s="467"/>
      <c r="CC145" s="524">
        <f>+O145*KeyAssumptionsPriceControl_FO!AF$15</f>
        <v>0</v>
      </c>
      <c r="CD145" s="525">
        <f>+P145*KeyAssumptionsPriceControl_FO!AG$15</f>
        <v>0</v>
      </c>
      <c r="CE145" s="525">
        <f>+Q145*KeyAssumptionsPriceControl_FO!AH$15</f>
        <v>0</v>
      </c>
      <c r="CF145" s="525">
        <f>+R145*KeyAssumptionsPriceControl_FO!AI$15</f>
        <v>0</v>
      </c>
      <c r="CG145" s="526">
        <f>+S145*KeyAssumptionsPriceControl_FO!AJ$15</f>
        <v>0</v>
      </c>
      <c r="CH145" s="524">
        <f>+T145*KeyAssumptionsPriceControl_FO!AK$15</f>
        <v>0</v>
      </c>
      <c r="CI145" s="525">
        <f>+U145*KeyAssumptionsPriceControl_FO!AL$15</f>
        <v>0</v>
      </c>
      <c r="CJ145" s="525">
        <f>+V145*KeyAssumptionsPriceControl_FO!AM$15</f>
        <v>0</v>
      </c>
      <c r="CK145" s="525">
        <f>+W145*KeyAssumptionsPriceControl_FO!AN$15</f>
        <v>0</v>
      </c>
      <c r="CL145" s="526">
        <f>+X145*KeyAssumptionsPriceControl_FO!AO$15</f>
        <v>0</v>
      </c>
      <c r="CM145" s="467"/>
      <c r="CN145" s="524">
        <f t="shared" ca="1" si="53"/>
        <v>0</v>
      </c>
      <c r="CO145" s="525">
        <f t="shared" ca="1" si="58"/>
        <v>0</v>
      </c>
      <c r="CP145" s="525">
        <f t="shared" ca="1" si="58"/>
        <v>0</v>
      </c>
      <c r="CQ145" s="525">
        <f t="shared" ca="1" si="58"/>
        <v>0</v>
      </c>
      <c r="CR145" s="526">
        <f t="shared" ca="1" si="56"/>
        <v>0</v>
      </c>
      <c r="CS145" s="524">
        <f t="shared" ca="1" si="56"/>
        <v>0</v>
      </c>
      <c r="CT145" s="525">
        <f t="shared" ca="1" si="56"/>
        <v>0</v>
      </c>
      <c r="CU145" s="525">
        <f t="shared" ca="1" si="56"/>
        <v>0</v>
      </c>
      <c r="CV145" s="525">
        <f t="shared" ca="1" si="49"/>
        <v>0</v>
      </c>
      <c r="CW145" s="526">
        <f t="shared" ca="1" si="49"/>
        <v>0</v>
      </c>
      <c r="CX145" s="467"/>
    </row>
    <row r="146" spans="2:102" ht="12.75" thickBot="1">
      <c r="B146" s="467"/>
      <c r="C146" s="1526"/>
      <c r="D146" s="1527"/>
      <c r="E146" s="1528"/>
      <c r="F146" s="1528"/>
      <c r="G146" s="1526"/>
      <c r="H146" s="2228"/>
      <c r="I146" s="2229"/>
      <c r="J146" s="1529"/>
      <c r="K146" s="1530"/>
      <c r="L146" s="1530"/>
      <c r="M146" s="1530"/>
      <c r="N146" s="467"/>
      <c r="O146" s="554"/>
      <c r="P146" s="555"/>
      <c r="Q146" s="555"/>
      <c r="R146" s="555"/>
      <c r="S146" s="556"/>
      <c r="T146" s="554"/>
      <c r="U146" s="555"/>
      <c r="V146" s="555"/>
      <c r="W146" s="555"/>
      <c r="X146" s="556"/>
      <c r="Y146" s="547"/>
      <c r="Z146" s="554"/>
      <c r="AA146" s="555"/>
      <c r="AB146" s="555"/>
      <c r="AC146" s="555"/>
      <c r="AD146" s="556"/>
      <c r="AE146" s="554"/>
      <c r="AF146" s="555"/>
      <c r="AG146" s="555"/>
      <c r="AH146" s="555"/>
      <c r="AI146" s="556"/>
      <c r="AJ146" s="547"/>
      <c r="AK146" s="554"/>
      <c r="AL146" s="555"/>
      <c r="AM146" s="555"/>
      <c r="AN146" s="555"/>
      <c r="AO146" s="556"/>
      <c r="AP146" s="554"/>
      <c r="AQ146" s="555"/>
      <c r="AR146" s="555"/>
      <c r="AS146" s="555"/>
      <c r="AT146" s="556"/>
      <c r="AU146" s="467"/>
      <c r="AV146" s="527">
        <f t="shared" si="59"/>
        <v>0</v>
      </c>
      <c r="AW146" s="528">
        <f t="shared" si="59"/>
        <v>0</v>
      </c>
      <c r="AX146" s="528">
        <f t="shared" si="59"/>
        <v>0</v>
      </c>
      <c r="AY146" s="528">
        <f t="shared" si="59"/>
        <v>0</v>
      </c>
      <c r="AZ146" s="529">
        <f t="shared" si="54"/>
        <v>0</v>
      </c>
      <c r="BA146" s="527">
        <f t="shared" si="54"/>
        <v>0</v>
      </c>
      <c r="BB146" s="528">
        <f t="shared" si="54"/>
        <v>0</v>
      </c>
      <c r="BC146" s="528">
        <f t="shared" si="54"/>
        <v>0</v>
      </c>
      <c r="BD146" s="528">
        <f t="shared" si="54"/>
        <v>0</v>
      </c>
      <c r="BE146" s="529">
        <f t="shared" si="54"/>
        <v>0</v>
      </c>
      <c r="BF146" s="467"/>
      <c r="BG146" s="527">
        <f t="shared" ca="1" si="52"/>
        <v>0</v>
      </c>
      <c r="BH146" s="528">
        <f t="shared" ca="1" si="57"/>
        <v>0</v>
      </c>
      <c r="BI146" s="528">
        <f t="shared" ca="1" si="57"/>
        <v>0</v>
      </c>
      <c r="BJ146" s="528">
        <f t="shared" ca="1" si="57"/>
        <v>0</v>
      </c>
      <c r="BK146" s="529">
        <f t="shared" ca="1" si="55"/>
        <v>0</v>
      </c>
      <c r="BL146" s="527">
        <f t="shared" ca="1" si="55"/>
        <v>0</v>
      </c>
      <c r="BM146" s="528">
        <f t="shared" ca="1" si="55"/>
        <v>0</v>
      </c>
      <c r="BN146" s="528">
        <f t="shared" ca="1" si="55"/>
        <v>0</v>
      </c>
      <c r="BO146" s="528">
        <f t="shared" ca="1" si="48"/>
        <v>0</v>
      </c>
      <c r="BP146" s="529">
        <f t="shared" ca="1" si="48"/>
        <v>0</v>
      </c>
      <c r="BQ146" s="467"/>
      <c r="BR146" s="527">
        <f>+IF($K146="Ongoing",AV146,IF(RIGHT($K146,2)=RIGHT(BR$40,2),SUM($AV146:AV146),0)+IF(RIGHT(BR$40,2)&gt;RIGHT($K146,2),AV146,0))</f>
        <v>0</v>
      </c>
      <c r="BS146" s="528">
        <f>+IF($K146="Ongoing",AW146,IF(RIGHT($K146,2)=RIGHT(BS$40,2),SUM($AV146:AW146),0)+IF(RIGHT(BS$40,2)&gt;RIGHT($K146,2),AW146,0))</f>
        <v>0</v>
      </c>
      <c r="BT146" s="528">
        <f>+IF($K146="Ongoing",AX146,IF(RIGHT($K146,2)=RIGHT(BT$40,2),SUM($AV146:AX146),0)+IF(RIGHT(BT$40,2)&gt;RIGHT($K146,2),AX146,0))</f>
        <v>0</v>
      </c>
      <c r="BU146" s="528">
        <f>+IF($K146="Ongoing",AY146,IF(RIGHT($K146,2)=RIGHT(BU$40,2),SUM($AV146:AY146),0)+IF(RIGHT(BU$40,2)&gt;RIGHT($K146,2),AY146,0))</f>
        <v>0</v>
      </c>
      <c r="BV146" s="529">
        <f>+IF($K146="Ongoing",AZ146,IF(RIGHT($K146,2)=RIGHT(BV$40,2),SUM($AV146:AZ146),0)+IF(RIGHT(BV$40,2)&gt;RIGHT($K146,2),AZ146,0))</f>
        <v>0</v>
      </c>
      <c r="BW146" s="527">
        <f>+IF($K146="Ongoing",BA146,IF(RIGHT($K146,2)=RIGHT(BW$40,2),SUM($AV146:BA146),0)+IF(RIGHT(BW$40,2)&gt;RIGHT($K146,2),BA146,0))</f>
        <v>0</v>
      </c>
      <c r="BX146" s="528">
        <f>+IF($K146="Ongoing",BB146,IF(RIGHT($K146,2)=RIGHT(BX$40,2),SUM($AV146:BB146),0)+IF(RIGHT(BX$40,2)&gt;RIGHT($K146,2),BB146,0))</f>
        <v>0</v>
      </c>
      <c r="BY146" s="528">
        <f>+IF($K146="Ongoing",BC146,IF(RIGHT($K146,2)=RIGHT(BY$40,2),SUM($AV146:BC146),0)+IF(RIGHT(BY$40,2)&gt;RIGHT($K146,2),BC146,0))</f>
        <v>0</v>
      </c>
      <c r="BZ146" s="528">
        <f>+IF($K146="Ongoing",BD146,IF(RIGHT($K146,2)=RIGHT(BZ$40,2),SUM($AV146:BD146),0)+IF(RIGHT(BZ$40,2)&gt;RIGHT($K146,2),BD146,0))</f>
        <v>0</v>
      </c>
      <c r="CA146" s="529">
        <f>+IF($K146="Ongoing",BE146,IF(RIGHT($K146,2)=RIGHT(CA$40,2),SUM($AV146:BE146),0)+IF(RIGHT(CA$40,2)&gt;RIGHT($K146,2),BE146,0))</f>
        <v>0</v>
      </c>
      <c r="CB146" s="467"/>
      <c r="CC146" s="527">
        <f>+O146*KeyAssumptionsPriceControl_FO!AF$15</f>
        <v>0</v>
      </c>
      <c r="CD146" s="528">
        <f>+P146*KeyAssumptionsPriceControl_FO!AG$15</f>
        <v>0</v>
      </c>
      <c r="CE146" s="528">
        <f>+Q146*KeyAssumptionsPriceControl_FO!AH$15</f>
        <v>0</v>
      </c>
      <c r="CF146" s="528">
        <f>+R146*KeyAssumptionsPriceControl_FO!AI$15</f>
        <v>0</v>
      </c>
      <c r="CG146" s="529">
        <f>+S146*KeyAssumptionsPriceControl_FO!AJ$15</f>
        <v>0</v>
      </c>
      <c r="CH146" s="527">
        <f>+T146*KeyAssumptionsPriceControl_FO!AK$15</f>
        <v>0</v>
      </c>
      <c r="CI146" s="528">
        <f>+U146*KeyAssumptionsPriceControl_FO!AL$15</f>
        <v>0</v>
      </c>
      <c r="CJ146" s="528">
        <f>+V146*KeyAssumptionsPriceControl_FO!AM$15</f>
        <v>0</v>
      </c>
      <c r="CK146" s="528">
        <f>+W146*KeyAssumptionsPriceControl_FO!AN$15</f>
        <v>0</v>
      </c>
      <c r="CL146" s="529">
        <f>+X146*KeyAssumptionsPriceControl_FO!AO$15</f>
        <v>0</v>
      </c>
      <c r="CM146" s="467"/>
      <c r="CN146" s="527">
        <f t="shared" ca="1" si="53"/>
        <v>0</v>
      </c>
      <c r="CO146" s="528">
        <f t="shared" ca="1" si="58"/>
        <v>0</v>
      </c>
      <c r="CP146" s="528">
        <f t="shared" ca="1" si="58"/>
        <v>0</v>
      </c>
      <c r="CQ146" s="528">
        <f t="shared" ca="1" si="58"/>
        <v>0</v>
      </c>
      <c r="CR146" s="529">
        <f t="shared" ca="1" si="56"/>
        <v>0</v>
      </c>
      <c r="CS146" s="527">
        <f t="shared" ca="1" si="56"/>
        <v>0</v>
      </c>
      <c r="CT146" s="528">
        <f t="shared" ca="1" si="56"/>
        <v>0</v>
      </c>
      <c r="CU146" s="528">
        <f t="shared" ca="1" si="56"/>
        <v>0</v>
      </c>
      <c r="CV146" s="528">
        <f t="shared" ca="1" si="49"/>
        <v>0</v>
      </c>
      <c r="CW146" s="529">
        <f t="shared" ca="1" si="49"/>
        <v>0</v>
      </c>
      <c r="CX146" s="467"/>
    </row>
    <row r="147" spans="2:102">
      <c r="B147" s="467"/>
      <c r="C147" s="547"/>
      <c r="D147" s="547"/>
      <c r="E147" s="547"/>
      <c r="F147" s="547"/>
      <c r="G147" s="547"/>
      <c r="H147" s="547"/>
      <c r="I147" s="547"/>
      <c r="J147" s="547"/>
      <c r="K147" s="547"/>
      <c r="L147" s="547"/>
      <c r="M147" s="547"/>
      <c r="N147" s="467"/>
      <c r="O147" s="547"/>
      <c r="P147" s="547"/>
      <c r="Q147" s="547"/>
      <c r="R147" s="547"/>
      <c r="S147" s="547"/>
      <c r="T147" s="547"/>
      <c r="U147" s="547"/>
      <c r="V147" s="547"/>
      <c r="W147" s="547"/>
      <c r="X147" s="547"/>
      <c r="Y147" s="547"/>
      <c r="Z147" s="547"/>
      <c r="AA147" s="547"/>
      <c r="AB147" s="547"/>
      <c r="AC147" s="547"/>
      <c r="AD147" s="547"/>
      <c r="AE147" s="547"/>
      <c r="AF147" s="547"/>
      <c r="AG147" s="547"/>
      <c r="AH147" s="547"/>
      <c r="AI147" s="547"/>
      <c r="AJ147" s="547"/>
      <c r="AK147" s="547"/>
      <c r="AL147" s="547"/>
      <c r="AM147" s="547"/>
      <c r="AN147" s="547"/>
      <c r="AO147" s="547"/>
      <c r="AP147" s="547"/>
      <c r="AQ147" s="547"/>
      <c r="AR147" s="547"/>
      <c r="AS147" s="547"/>
      <c r="AT147" s="547"/>
      <c r="AU147" s="467"/>
      <c r="AV147" s="467"/>
      <c r="AW147" s="467"/>
      <c r="AX147" s="467"/>
      <c r="AY147" s="467"/>
      <c r="AZ147" s="467"/>
      <c r="BA147" s="467"/>
      <c r="BB147" s="467"/>
      <c r="BC147" s="467"/>
      <c r="BD147" s="467"/>
      <c r="BE147" s="467"/>
      <c r="BF147" s="467"/>
      <c r="BG147" s="467"/>
      <c r="BH147" s="467"/>
      <c r="BI147" s="467"/>
      <c r="BJ147" s="467"/>
      <c r="BK147" s="467"/>
      <c r="BL147" s="467"/>
      <c r="BM147" s="467"/>
      <c r="BN147" s="467"/>
      <c r="BO147" s="467"/>
      <c r="BP147" s="467"/>
      <c r="BQ147" s="467"/>
      <c r="BR147" s="467"/>
      <c r="BS147" s="467"/>
      <c r="BT147" s="467"/>
      <c r="BU147" s="467"/>
      <c r="BV147" s="467"/>
      <c r="BW147" s="467"/>
      <c r="BX147" s="467"/>
      <c r="BY147" s="467"/>
      <c r="BZ147" s="467"/>
      <c r="CA147" s="467"/>
      <c r="CB147" s="467"/>
      <c r="CC147" s="467"/>
      <c r="CD147" s="467"/>
      <c r="CE147" s="467"/>
      <c r="CF147" s="467"/>
      <c r="CG147" s="467"/>
      <c r="CH147" s="467"/>
      <c r="CI147" s="467"/>
      <c r="CJ147" s="467"/>
      <c r="CK147" s="467"/>
      <c r="CL147" s="467"/>
      <c r="CM147" s="467"/>
      <c r="CN147" s="467"/>
      <c r="CO147" s="467"/>
      <c r="CP147" s="467"/>
      <c r="CQ147" s="467"/>
      <c r="CR147" s="467"/>
      <c r="CS147" s="467"/>
      <c r="CT147" s="467"/>
      <c r="CU147" s="467"/>
      <c r="CV147" s="467"/>
      <c r="CW147" s="467"/>
      <c r="CX147" s="467"/>
    </row>
    <row r="148" spans="2:102">
      <c r="B148" s="467"/>
      <c r="C148" s="501"/>
      <c r="D148" s="467"/>
      <c r="E148" s="467"/>
      <c r="F148" s="467"/>
      <c r="G148" s="467"/>
      <c r="H148" s="467"/>
      <c r="I148" s="467"/>
      <c r="J148" s="467"/>
      <c r="K148" s="467"/>
      <c r="L148" s="467"/>
      <c r="M148" s="467"/>
      <c r="N148" s="467"/>
      <c r="O148" s="467"/>
      <c r="P148" s="467"/>
      <c r="Q148" s="467"/>
      <c r="R148" s="467"/>
      <c r="S148" s="467"/>
      <c r="T148" s="467"/>
      <c r="U148" s="467"/>
      <c r="V148" s="467"/>
      <c r="W148" s="467"/>
      <c r="X148" s="467"/>
      <c r="Y148" s="467"/>
      <c r="Z148" s="467"/>
      <c r="AA148" s="467"/>
      <c r="AB148" s="467"/>
      <c r="AC148" s="467"/>
      <c r="AD148" s="467"/>
      <c r="AE148" s="467"/>
      <c r="AF148" s="467"/>
      <c r="AG148" s="467"/>
      <c r="AH148" s="467"/>
      <c r="AI148" s="467"/>
      <c r="AJ148" s="467"/>
      <c r="AK148" s="467"/>
      <c r="AL148" s="467"/>
      <c r="AM148" s="467"/>
      <c r="AN148" s="467"/>
      <c r="AO148" s="467"/>
      <c r="AP148" s="467"/>
      <c r="AQ148" s="467"/>
      <c r="AR148" s="467"/>
      <c r="AS148" s="467"/>
      <c r="AT148" s="467"/>
      <c r="AU148" s="467"/>
      <c r="AV148" s="467"/>
      <c r="AW148" s="467"/>
      <c r="AX148" s="467"/>
      <c r="AY148" s="467"/>
      <c r="AZ148" s="467"/>
      <c r="BA148" s="467"/>
      <c r="BB148" s="467"/>
      <c r="BC148" s="467"/>
      <c r="BD148" s="467"/>
      <c r="BE148" s="467"/>
      <c r="BF148" s="467"/>
      <c r="BG148" s="467"/>
      <c r="BH148" s="467"/>
      <c r="BI148" s="467"/>
      <c r="BJ148" s="467"/>
      <c r="BK148" s="467"/>
      <c r="BL148" s="467"/>
      <c r="BM148" s="467"/>
      <c r="BN148" s="467"/>
      <c r="BO148" s="467"/>
      <c r="BP148" s="467"/>
      <c r="BQ148" s="467"/>
      <c r="BR148" s="467"/>
      <c r="BS148" s="467"/>
      <c r="BT148" s="467"/>
      <c r="BU148" s="467"/>
      <c r="BV148" s="467"/>
      <c r="BW148" s="467"/>
      <c r="BX148" s="467"/>
      <c r="BY148" s="467"/>
      <c r="BZ148" s="467"/>
      <c r="CA148" s="467"/>
      <c r="CB148" s="467"/>
      <c r="CC148" s="467"/>
      <c r="CD148" s="467"/>
      <c r="CE148" s="467"/>
      <c r="CF148" s="467"/>
      <c r="CG148" s="467"/>
      <c r="CH148" s="467"/>
      <c r="CI148" s="467"/>
      <c r="CJ148" s="467"/>
      <c r="CK148" s="467"/>
      <c r="CL148" s="467"/>
      <c r="CM148" s="467"/>
      <c r="CN148" s="467"/>
      <c r="CO148" s="467"/>
      <c r="CP148" s="467"/>
      <c r="CQ148" s="467"/>
      <c r="CR148" s="467"/>
      <c r="CS148" s="467"/>
      <c r="CT148" s="467"/>
      <c r="CU148" s="467"/>
      <c r="CV148" s="467"/>
      <c r="CW148" s="467"/>
      <c r="CX148" s="467"/>
    </row>
    <row r="149" spans="2:102">
      <c r="B149" s="467"/>
      <c r="C149" s="467"/>
      <c r="D149" s="467"/>
      <c r="E149" s="467"/>
      <c r="F149" s="467"/>
      <c r="G149" s="467"/>
      <c r="H149" s="467"/>
      <c r="I149" s="467"/>
      <c r="J149" s="467"/>
      <c r="K149" s="467"/>
      <c r="L149" s="467"/>
      <c r="M149" s="467"/>
      <c r="N149" s="467"/>
      <c r="O149" s="467"/>
      <c r="P149" s="467"/>
      <c r="R149" s="467"/>
      <c r="S149" s="467"/>
      <c r="T149" s="467"/>
      <c r="U149" s="467"/>
      <c r="V149" s="467"/>
      <c r="W149" s="467"/>
      <c r="X149" s="467"/>
      <c r="Y149" s="467"/>
      <c r="Z149" s="467"/>
      <c r="AA149" s="467"/>
      <c r="AB149" s="467"/>
      <c r="AC149" s="467"/>
      <c r="AD149" s="467"/>
      <c r="AE149" s="467"/>
      <c r="AF149" s="467"/>
      <c r="AG149" s="467"/>
      <c r="AH149" s="467"/>
      <c r="AI149" s="467"/>
      <c r="AJ149" s="467"/>
      <c r="AK149" s="467"/>
      <c r="AL149" s="467"/>
      <c r="AM149" s="467"/>
      <c r="AN149" s="467"/>
      <c r="AO149" s="467"/>
      <c r="AP149" s="467"/>
      <c r="AQ149" s="467"/>
      <c r="AR149" s="467"/>
      <c r="AS149" s="467"/>
      <c r="AT149" s="467"/>
      <c r="AU149" s="467"/>
      <c r="AV149" s="467"/>
      <c r="AW149" s="467"/>
      <c r="AX149" s="467"/>
      <c r="AY149" s="467"/>
      <c r="AZ149" s="467"/>
      <c r="BA149" s="467"/>
      <c r="BB149" s="467"/>
      <c r="BC149" s="467"/>
      <c r="BD149" s="467"/>
      <c r="BE149" s="467"/>
      <c r="BF149" s="467"/>
      <c r="BG149" s="467"/>
      <c r="BH149" s="467"/>
      <c r="BI149" s="467"/>
      <c r="BJ149" s="467"/>
      <c r="BK149" s="467"/>
      <c r="BL149" s="467"/>
      <c r="BM149" s="467"/>
      <c r="BN149" s="467"/>
      <c r="BO149" s="467"/>
      <c r="BP149" s="467"/>
      <c r="BQ149" s="467"/>
      <c r="BR149" s="467"/>
      <c r="BS149" s="467"/>
      <c r="BT149" s="467"/>
      <c r="BU149" s="467"/>
      <c r="BV149" s="467"/>
      <c r="BW149" s="467"/>
      <c r="BX149" s="467"/>
      <c r="BY149" s="467"/>
      <c r="BZ149" s="467"/>
      <c r="CA149" s="467"/>
      <c r="CB149" s="467"/>
      <c r="CC149" s="467"/>
      <c r="CD149" s="467"/>
      <c r="CE149" s="467"/>
      <c r="CF149" s="467"/>
      <c r="CG149" s="467"/>
      <c r="CH149" s="467"/>
      <c r="CI149" s="467"/>
      <c r="CJ149" s="467"/>
      <c r="CK149" s="467"/>
      <c r="CL149" s="467"/>
      <c r="CM149" s="467"/>
      <c r="CN149" s="467"/>
      <c r="CO149" s="467"/>
      <c r="CP149" s="467"/>
      <c r="CQ149" s="467"/>
      <c r="CR149" s="467"/>
      <c r="CS149" s="467"/>
      <c r="CT149" s="467"/>
      <c r="CU149" s="467"/>
      <c r="CV149" s="467"/>
      <c r="CW149" s="467"/>
      <c r="CX149" s="467"/>
    </row>
    <row r="150" spans="2:102">
      <c r="B150" s="467"/>
      <c r="C150" s="467"/>
      <c r="D150" s="467"/>
      <c r="E150" s="467"/>
      <c r="F150" s="467"/>
      <c r="G150" s="467"/>
      <c r="H150" s="467"/>
      <c r="I150" s="467"/>
      <c r="J150" s="467"/>
      <c r="K150" s="467"/>
      <c r="L150" s="467"/>
      <c r="M150" s="113"/>
      <c r="O150" s="1577"/>
      <c r="P150" s="500"/>
      <c r="Q150" s="1577"/>
      <c r="R150" s="1577"/>
      <c r="S150" s="467"/>
      <c r="T150" s="467"/>
      <c r="U150" s="467"/>
      <c r="V150" s="467"/>
      <c r="W150" s="467"/>
      <c r="X150" s="467"/>
      <c r="Y150" s="467"/>
      <c r="Z150" s="467"/>
      <c r="AA150" s="467"/>
      <c r="AB150" s="467"/>
      <c r="AC150" s="467"/>
      <c r="AD150" s="467"/>
      <c r="AE150" s="467"/>
      <c r="AF150" s="467"/>
      <c r="AG150" s="467"/>
      <c r="AH150" s="467"/>
      <c r="AI150" s="467"/>
      <c r="AJ150" s="467"/>
      <c r="AK150" s="467"/>
      <c r="AL150" s="467"/>
      <c r="AM150" s="467"/>
      <c r="AN150" s="467"/>
      <c r="AO150" s="467"/>
      <c r="AP150" s="467"/>
      <c r="AQ150" s="467"/>
      <c r="AR150" s="467"/>
      <c r="AS150" s="467"/>
      <c r="AT150" s="467"/>
      <c r="AU150" s="467"/>
      <c r="AV150" s="467"/>
      <c r="AW150" s="467"/>
      <c r="AX150" s="467"/>
      <c r="AY150" s="467"/>
      <c r="AZ150" s="467"/>
      <c r="BA150" s="467"/>
      <c r="BB150" s="467"/>
      <c r="BC150" s="467"/>
      <c r="BD150" s="467"/>
      <c r="BE150" s="467"/>
      <c r="BF150" s="467"/>
      <c r="BG150" s="467"/>
      <c r="BH150" s="467"/>
      <c r="BI150" s="467"/>
      <c r="BJ150" s="467"/>
      <c r="BK150" s="467"/>
      <c r="BL150" s="467"/>
      <c r="BM150" s="467"/>
      <c r="BN150" s="467"/>
      <c r="BO150" s="467"/>
      <c r="BP150" s="467"/>
      <c r="BQ150" s="467"/>
      <c r="BR150" s="467"/>
      <c r="BS150" s="467"/>
      <c r="BT150" s="467"/>
      <c r="BU150" s="467"/>
      <c r="BV150" s="467"/>
      <c r="BW150" s="467"/>
      <c r="BX150" s="467"/>
      <c r="BY150" s="467"/>
      <c r="BZ150" s="467"/>
      <c r="CA150" s="467"/>
      <c r="CB150" s="467"/>
      <c r="CC150" s="467"/>
      <c r="CD150" s="467"/>
      <c r="CE150" s="467"/>
      <c r="CF150" s="467"/>
      <c r="CG150" s="467"/>
      <c r="CH150" s="467"/>
      <c r="CI150" s="467"/>
      <c r="CJ150" s="467"/>
      <c r="CK150" s="467"/>
      <c r="CL150" s="467"/>
      <c r="CM150" s="467"/>
      <c r="CN150" s="467"/>
      <c r="CO150" s="467"/>
      <c r="CP150" s="467"/>
      <c r="CQ150" s="467"/>
      <c r="CR150" s="467"/>
      <c r="CS150" s="467"/>
      <c r="CT150" s="467"/>
      <c r="CU150" s="467"/>
      <c r="CV150" s="467"/>
      <c r="CW150" s="467"/>
      <c r="CX150" s="467"/>
    </row>
    <row r="151" spans="2:102">
      <c r="B151" s="467"/>
      <c r="C151" s="467"/>
      <c r="D151" s="1611"/>
      <c r="E151" s="1612"/>
      <c r="F151" s="1612"/>
      <c r="G151" s="1612"/>
      <c r="H151" s="1612"/>
      <c r="I151" s="1612"/>
      <c r="J151" s="1612"/>
      <c r="K151" s="1612"/>
      <c r="L151" s="1612"/>
      <c r="M151" s="113"/>
      <c r="O151" s="1577"/>
      <c r="P151" s="500"/>
      <c r="Q151" s="1577"/>
      <c r="R151" s="1577"/>
      <c r="S151" s="467"/>
      <c r="T151" s="467"/>
      <c r="U151" s="467"/>
      <c r="V151" s="467"/>
      <c r="W151" s="467"/>
      <c r="X151" s="467"/>
      <c r="Y151" s="467"/>
      <c r="Z151" s="467"/>
      <c r="AA151" s="467"/>
      <c r="AB151" s="467"/>
      <c r="AC151" s="467"/>
      <c r="AD151" s="467"/>
      <c r="AE151" s="467"/>
      <c r="AF151" s="467"/>
      <c r="AG151" s="467"/>
      <c r="AH151" s="467"/>
      <c r="AI151" s="467"/>
      <c r="AJ151" s="467"/>
      <c r="AK151" s="467"/>
      <c r="AL151" s="467"/>
      <c r="AM151" s="467"/>
      <c r="AN151" s="467"/>
      <c r="AO151" s="467"/>
      <c r="AP151" s="467"/>
      <c r="AQ151" s="467"/>
      <c r="AR151" s="467"/>
      <c r="AS151" s="467"/>
      <c r="AT151" s="467"/>
      <c r="AU151" s="467"/>
      <c r="AV151" s="467"/>
      <c r="AW151" s="467"/>
      <c r="AX151" s="467"/>
      <c r="AY151" s="467"/>
      <c r="AZ151" s="467"/>
      <c r="BA151" s="467"/>
      <c r="BB151" s="467"/>
      <c r="BC151" s="467"/>
      <c r="BD151" s="467"/>
      <c r="BE151" s="467"/>
      <c r="BF151" s="467"/>
      <c r="BG151" s="467"/>
      <c r="BH151" s="467"/>
      <c r="BI151" s="467"/>
      <c r="BJ151" s="467"/>
      <c r="BK151" s="467"/>
      <c r="BL151" s="467"/>
      <c r="BM151" s="467"/>
      <c r="BN151" s="467"/>
      <c r="BO151" s="467"/>
      <c r="BP151" s="467"/>
      <c r="BQ151" s="467"/>
      <c r="BR151" s="467"/>
      <c r="BS151" s="467"/>
      <c r="BT151" s="467"/>
      <c r="BU151" s="467"/>
      <c r="BV151" s="467"/>
      <c r="BW151" s="467"/>
      <c r="BX151" s="467"/>
      <c r="BY151" s="467"/>
      <c r="BZ151" s="467"/>
      <c r="CA151" s="467"/>
      <c r="CB151" s="467"/>
      <c r="CC151" s="467"/>
      <c r="CD151" s="467"/>
      <c r="CE151" s="467"/>
      <c r="CF151" s="467"/>
      <c r="CG151" s="467"/>
      <c r="CH151" s="467"/>
      <c r="CI151" s="467"/>
      <c r="CJ151" s="467"/>
      <c r="CK151" s="467"/>
      <c r="CL151" s="467"/>
      <c r="CM151" s="467"/>
      <c r="CN151" s="467"/>
      <c r="CO151" s="467"/>
      <c r="CP151" s="467"/>
      <c r="CQ151" s="467"/>
      <c r="CR151" s="467"/>
      <c r="CS151" s="467"/>
      <c r="CT151" s="467"/>
      <c r="CU151" s="467"/>
      <c r="CV151" s="467"/>
      <c r="CW151" s="467"/>
      <c r="CX151" s="467"/>
    </row>
    <row r="152" spans="2:102">
      <c r="B152" s="467"/>
      <c r="C152" s="467"/>
      <c r="D152" s="467"/>
      <c r="E152" s="467"/>
      <c r="F152" s="467"/>
      <c r="G152" s="467"/>
      <c r="H152" s="467"/>
      <c r="I152" s="467"/>
      <c r="J152" s="467"/>
      <c r="K152" s="467"/>
      <c r="L152" s="467"/>
      <c r="M152" s="113"/>
      <c r="O152" s="1577"/>
      <c r="P152" s="500"/>
      <c r="Q152" s="1577"/>
      <c r="R152" s="1577"/>
      <c r="S152" s="467"/>
      <c r="T152" s="467"/>
      <c r="U152" s="467"/>
      <c r="V152" s="467"/>
      <c r="W152" s="467"/>
      <c r="X152" s="467"/>
      <c r="Y152" s="467"/>
      <c r="Z152" s="467"/>
      <c r="AA152" s="467"/>
      <c r="AB152" s="467"/>
      <c r="AC152" s="467"/>
      <c r="AD152" s="467"/>
      <c r="AE152" s="467"/>
      <c r="AF152" s="467"/>
      <c r="AG152" s="467"/>
      <c r="AH152" s="467"/>
      <c r="AI152" s="467"/>
      <c r="AJ152" s="467"/>
      <c r="AK152" s="467"/>
      <c r="AL152" s="467"/>
      <c r="AM152" s="467"/>
      <c r="AN152" s="467"/>
      <c r="AO152" s="467"/>
      <c r="AP152" s="467"/>
      <c r="AQ152" s="467"/>
      <c r="AR152" s="467"/>
      <c r="AS152" s="467"/>
      <c r="AT152" s="467"/>
      <c r="AU152" s="467"/>
      <c r="AV152" s="467"/>
      <c r="AW152" s="467"/>
      <c r="AX152" s="467"/>
      <c r="AY152" s="467"/>
      <c r="AZ152" s="467"/>
      <c r="BA152" s="467"/>
      <c r="BB152" s="467"/>
      <c r="BC152" s="467"/>
      <c r="BD152" s="467"/>
      <c r="BE152" s="467"/>
      <c r="BF152" s="467"/>
      <c r="BG152" s="467"/>
      <c r="BH152" s="467"/>
      <c r="BI152" s="467"/>
      <c r="BJ152" s="467"/>
      <c r="BK152" s="467"/>
      <c r="BL152" s="467"/>
      <c r="BM152" s="467"/>
      <c r="BN152" s="467"/>
      <c r="BO152" s="467"/>
      <c r="BP152" s="467"/>
      <c r="BQ152" s="467"/>
      <c r="BR152" s="467"/>
      <c r="BS152" s="467"/>
      <c r="BT152" s="467"/>
      <c r="BU152" s="467"/>
      <c r="BV152" s="467"/>
      <c r="BW152" s="467"/>
      <c r="BX152" s="467"/>
      <c r="BY152" s="467"/>
      <c r="BZ152" s="467"/>
      <c r="CA152" s="467"/>
      <c r="CB152" s="467"/>
      <c r="CC152" s="467"/>
      <c r="CD152" s="467"/>
      <c r="CE152" s="467"/>
      <c r="CF152" s="467"/>
      <c r="CG152" s="467"/>
      <c r="CH152" s="467"/>
      <c r="CI152" s="467"/>
      <c r="CJ152" s="467"/>
      <c r="CK152" s="467"/>
      <c r="CL152" s="467"/>
      <c r="CM152" s="467"/>
      <c r="CN152" s="467"/>
      <c r="CO152" s="467"/>
      <c r="CP152" s="467"/>
      <c r="CQ152" s="467"/>
      <c r="CR152" s="467"/>
      <c r="CS152" s="467"/>
      <c r="CT152" s="467"/>
      <c r="CU152" s="467"/>
      <c r="CV152" s="467"/>
      <c r="CW152" s="467"/>
      <c r="CX152" s="467"/>
    </row>
    <row r="153" spans="2:102">
      <c r="B153" s="467"/>
      <c r="C153" s="467"/>
      <c r="D153" s="467"/>
      <c r="E153" s="467"/>
      <c r="F153" s="467"/>
      <c r="G153" s="467"/>
      <c r="H153" s="467"/>
      <c r="I153" s="467"/>
      <c r="J153" s="467"/>
      <c r="K153" s="467"/>
      <c r="L153" s="467"/>
      <c r="M153" s="113"/>
      <c r="O153" s="1577"/>
      <c r="P153" s="500"/>
      <c r="Q153" s="1577"/>
      <c r="R153" s="1577"/>
      <c r="S153" s="467"/>
      <c r="T153" s="467"/>
      <c r="U153" s="467"/>
      <c r="V153" s="467"/>
      <c r="W153" s="467"/>
      <c r="X153" s="467"/>
      <c r="Y153" s="467"/>
      <c r="Z153" s="467"/>
      <c r="AA153" s="467"/>
      <c r="AB153" s="467"/>
      <c r="AC153" s="467"/>
      <c r="AD153" s="467"/>
      <c r="AE153" s="467"/>
      <c r="AF153" s="467"/>
      <c r="AG153" s="467"/>
      <c r="AH153" s="467"/>
      <c r="AI153" s="467"/>
      <c r="AJ153" s="467"/>
      <c r="AK153" s="467"/>
      <c r="AL153" s="467"/>
      <c r="AM153" s="467"/>
      <c r="AN153" s="467"/>
      <c r="AO153" s="467"/>
      <c r="AP153" s="467"/>
      <c r="AQ153" s="467"/>
      <c r="AR153" s="467"/>
      <c r="AS153" s="467"/>
      <c r="AT153" s="467"/>
      <c r="AU153" s="467"/>
      <c r="AV153" s="467"/>
      <c r="AW153" s="467"/>
      <c r="AX153" s="467"/>
      <c r="AY153" s="467"/>
      <c r="AZ153" s="467"/>
      <c r="BA153" s="467"/>
      <c r="BB153" s="467"/>
      <c r="BC153" s="467"/>
      <c r="BD153" s="467"/>
      <c r="BE153" s="467"/>
      <c r="BF153" s="467"/>
      <c r="BG153" s="467"/>
      <c r="BH153" s="467"/>
      <c r="BI153" s="467"/>
      <c r="BJ153" s="467"/>
      <c r="BK153" s="467"/>
      <c r="BL153" s="467"/>
      <c r="BM153" s="467"/>
      <c r="BN153" s="467"/>
      <c r="BO153" s="467"/>
      <c r="BP153" s="467"/>
      <c r="BQ153" s="467"/>
      <c r="BR153" s="467"/>
      <c r="BS153" s="467"/>
      <c r="BT153" s="467"/>
      <c r="BU153" s="467"/>
      <c r="BV153" s="467"/>
      <c r="BW153" s="467"/>
      <c r="BX153" s="467"/>
      <c r="BY153" s="467"/>
      <c r="BZ153" s="467"/>
      <c r="CA153" s="467"/>
      <c r="CB153" s="467"/>
      <c r="CC153" s="467"/>
      <c r="CD153" s="467"/>
      <c r="CE153" s="467"/>
      <c r="CF153" s="467"/>
      <c r="CG153" s="467"/>
      <c r="CH153" s="467"/>
      <c r="CI153" s="467"/>
      <c r="CJ153" s="467"/>
      <c r="CK153" s="467"/>
      <c r="CL153" s="467"/>
      <c r="CM153" s="467"/>
      <c r="CN153" s="467"/>
      <c r="CO153" s="467"/>
      <c r="CP153" s="467"/>
      <c r="CQ153" s="467"/>
      <c r="CR153" s="467"/>
      <c r="CS153" s="467"/>
      <c r="CT153" s="467"/>
      <c r="CU153" s="467"/>
      <c r="CV153" s="467"/>
      <c r="CW153" s="467"/>
      <c r="CX153" s="467"/>
    </row>
    <row r="154" spans="2:102">
      <c r="B154" s="467"/>
      <c r="C154" s="467"/>
      <c r="D154" s="467"/>
      <c r="E154" s="467"/>
      <c r="F154" s="467"/>
      <c r="G154" s="467"/>
      <c r="H154" s="467"/>
      <c r="I154" s="467"/>
      <c r="J154" s="467"/>
      <c r="K154" s="467"/>
      <c r="L154" s="467"/>
      <c r="M154" s="1578"/>
      <c r="N154" s="467"/>
      <c r="O154" s="1577"/>
      <c r="P154" s="500"/>
      <c r="Q154" s="1577"/>
      <c r="R154" s="1577"/>
      <c r="S154" s="467"/>
      <c r="T154" s="467"/>
      <c r="U154" s="467"/>
      <c r="V154" s="467"/>
      <c r="W154" s="467"/>
      <c r="X154" s="467"/>
      <c r="Y154" s="467"/>
      <c r="Z154" s="467"/>
      <c r="AA154" s="467"/>
      <c r="AB154" s="467"/>
      <c r="AC154" s="467"/>
      <c r="AD154" s="467"/>
      <c r="AE154" s="467"/>
      <c r="AF154" s="467"/>
      <c r="AG154" s="467"/>
      <c r="AH154" s="467"/>
      <c r="AI154" s="467"/>
      <c r="AJ154" s="467"/>
      <c r="AK154" s="467"/>
      <c r="AL154" s="467"/>
      <c r="AM154" s="467"/>
      <c r="AN154" s="467"/>
      <c r="AO154" s="467"/>
      <c r="AP154" s="467"/>
      <c r="AQ154" s="467"/>
      <c r="AR154" s="467"/>
      <c r="AS154" s="467"/>
      <c r="AT154" s="467"/>
      <c r="AU154" s="467"/>
      <c r="AV154" s="467"/>
      <c r="AW154" s="467"/>
      <c r="AX154" s="467"/>
      <c r="AY154" s="467"/>
      <c r="AZ154" s="467"/>
      <c r="BA154" s="467"/>
      <c r="BB154" s="467"/>
      <c r="BC154" s="467"/>
      <c r="BD154" s="467"/>
      <c r="BE154" s="467"/>
      <c r="BF154" s="467"/>
      <c r="BG154" s="467"/>
      <c r="BH154" s="467"/>
      <c r="BI154" s="467"/>
      <c r="BJ154" s="467"/>
      <c r="BK154" s="467"/>
      <c r="BL154" s="467"/>
      <c r="BM154" s="467"/>
      <c r="BN154" s="467"/>
      <c r="BO154" s="467"/>
      <c r="BP154" s="467"/>
      <c r="BQ154" s="467"/>
      <c r="BR154" s="467"/>
      <c r="BS154" s="467"/>
      <c r="BT154" s="467"/>
      <c r="BU154" s="467"/>
      <c r="BV154" s="467"/>
      <c r="BW154" s="467"/>
      <c r="BX154" s="467"/>
      <c r="BY154" s="467"/>
      <c r="BZ154" s="467"/>
      <c r="CA154" s="467"/>
      <c r="CB154" s="467"/>
      <c r="CC154" s="467"/>
      <c r="CD154" s="467"/>
      <c r="CE154" s="467"/>
      <c r="CF154" s="467"/>
      <c r="CG154" s="467"/>
      <c r="CH154" s="467"/>
      <c r="CI154" s="467"/>
      <c r="CJ154" s="467"/>
      <c r="CK154" s="467"/>
      <c r="CL154" s="467"/>
      <c r="CM154" s="467"/>
      <c r="CN154" s="467"/>
      <c r="CO154" s="467"/>
      <c r="CP154" s="467"/>
      <c r="CQ154" s="467"/>
      <c r="CR154" s="467"/>
      <c r="CS154" s="467"/>
      <c r="CT154" s="467"/>
      <c r="CU154" s="467"/>
      <c r="CV154" s="467"/>
      <c r="CW154" s="467"/>
      <c r="CX154" s="467"/>
    </row>
    <row r="155" spans="2:102">
      <c r="B155" s="467"/>
      <c r="C155" s="467"/>
      <c r="D155" s="467"/>
      <c r="E155" s="467"/>
      <c r="F155" s="467"/>
      <c r="G155" s="467"/>
      <c r="H155" s="467"/>
      <c r="I155" s="467"/>
      <c r="J155" s="467"/>
      <c r="K155" s="467"/>
      <c r="L155" s="467"/>
      <c r="M155" s="1578"/>
      <c r="N155" s="467"/>
      <c r="O155" s="1577"/>
      <c r="P155" s="500"/>
      <c r="Q155" s="1577"/>
      <c r="R155" s="1577"/>
      <c r="S155" s="467"/>
      <c r="T155" s="467"/>
      <c r="U155" s="467"/>
      <c r="V155" s="467"/>
      <c r="W155" s="467"/>
      <c r="X155" s="467"/>
      <c r="Y155" s="467"/>
      <c r="Z155" s="467"/>
      <c r="AA155" s="467"/>
      <c r="AB155" s="467"/>
      <c r="AC155" s="467"/>
      <c r="AD155" s="467"/>
      <c r="AE155" s="467"/>
      <c r="AF155" s="467"/>
      <c r="AG155" s="467"/>
      <c r="AH155" s="467"/>
      <c r="AI155" s="467"/>
      <c r="AJ155" s="467"/>
      <c r="AK155" s="467"/>
      <c r="AL155" s="467"/>
      <c r="AM155" s="467"/>
      <c r="AN155" s="467"/>
      <c r="AO155" s="467"/>
      <c r="AP155" s="467"/>
      <c r="AQ155" s="467"/>
      <c r="AR155" s="467"/>
      <c r="AS155" s="467"/>
      <c r="AT155" s="467"/>
      <c r="AU155" s="467"/>
      <c r="AV155" s="467"/>
      <c r="AW155" s="467"/>
      <c r="AX155" s="467"/>
      <c r="AY155" s="467"/>
      <c r="AZ155" s="467"/>
      <c r="BA155" s="467"/>
      <c r="BB155" s="467"/>
      <c r="BC155" s="467"/>
      <c r="BD155" s="467"/>
      <c r="BE155" s="467"/>
      <c r="BF155" s="467"/>
      <c r="BG155" s="467"/>
      <c r="BH155" s="467"/>
      <c r="BI155" s="467"/>
      <c r="BJ155" s="467"/>
      <c r="BK155" s="467"/>
      <c r="BL155" s="467"/>
      <c r="BM155" s="467"/>
      <c r="BN155" s="467"/>
      <c r="BO155" s="467"/>
      <c r="BP155" s="467"/>
      <c r="BQ155" s="467"/>
      <c r="BR155" s="467"/>
      <c r="BS155" s="467"/>
      <c r="BT155" s="467"/>
      <c r="BU155" s="467"/>
      <c r="BV155" s="467"/>
      <c r="BW155" s="467"/>
      <c r="BX155" s="467"/>
      <c r="BY155" s="467"/>
      <c r="BZ155" s="467"/>
      <c r="CA155" s="467"/>
      <c r="CB155" s="467"/>
      <c r="CC155" s="467"/>
      <c r="CD155" s="467"/>
      <c r="CE155" s="467"/>
      <c r="CF155" s="467"/>
      <c r="CG155" s="467"/>
      <c r="CH155" s="467"/>
      <c r="CI155" s="467"/>
      <c r="CJ155" s="467"/>
      <c r="CK155" s="467"/>
      <c r="CL155" s="467"/>
      <c r="CM155" s="467"/>
      <c r="CN155" s="467"/>
      <c r="CO155" s="467"/>
      <c r="CP155" s="467"/>
      <c r="CQ155" s="467"/>
      <c r="CR155" s="467"/>
      <c r="CS155" s="467"/>
      <c r="CT155" s="467"/>
      <c r="CU155" s="467"/>
      <c r="CV155" s="467"/>
      <c r="CW155" s="467"/>
      <c r="CX155" s="467"/>
    </row>
    <row r="156" spans="2:102">
      <c r="B156" s="467"/>
      <c r="C156" s="467"/>
      <c r="D156" s="467"/>
      <c r="E156" s="467"/>
      <c r="F156" s="467"/>
      <c r="G156" s="467"/>
      <c r="H156" s="467"/>
      <c r="I156" s="467"/>
      <c r="J156" s="467"/>
      <c r="K156" s="467"/>
      <c r="L156" s="467"/>
      <c r="M156" s="1578"/>
      <c r="N156" s="467"/>
      <c r="O156" s="1577"/>
      <c r="P156" s="500"/>
      <c r="Q156" s="1577"/>
      <c r="R156" s="1577"/>
      <c r="S156" s="467"/>
      <c r="T156" s="467"/>
      <c r="U156" s="467"/>
      <c r="V156" s="467"/>
      <c r="W156" s="467"/>
      <c r="X156" s="467"/>
      <c r="Y156" s="467"/>
      <c r="Z156" s="467"/>
      <c r="AA156" s="467"/>
      <c r="AB156" s="467"/>
      <c r="AC156" s="467"/>
      <c r="AD156" s="467"/>
      <c r="AE156" s="467"/>
      <c r="AF156" s="467"/>
      <c r="AG156" s="467"/>
      <c r="AH156" s="467"/>
      <c r="AI156" s="467"/>
      <c r="AJ156" s="467"/>
      <c r="AK156" s="467"/>
      <c r="AL156" s="467"/>
      <c r="AM156" s="467"/>
      <c r="AN156" s="467"/>
      <c r="AO156" s="467"/>
      <c r="AP156" s="467"/>
      <c r="AQ156" s="467"/>
      <c r="AR156" s="467"/>
      <c r="AS156" s="467"/>
      <c r="AT156" s="467"/>
      <c r="AU156" s="467"/>
      <c r="AV156" s="467"/>
      <c r="AW156" s="467"/>
      <c r="AX156" s="467"/>
      <c r="AY156" s="467"/>
      <c r="AZ156" s="467"/>
      <c r="BA156" s="467"/>
      <c r="BB156" s="467"/>
      <c r="BC156" s="467"/>
      <c r="BD156" s="467"/>
      <c r="BE156" s="467"/>
      <c r="BF156" s="467"/>
      <c r="BG156" s="467"/>
      <c r="BH156" s="467"/>
      <c r="BI156" s="467"/>
      <c r="BJ156" s="467"/>
      <c r="BK156" s="467"/>
      <c r="BL156" s="467"/>
      <c r="BM156" s="467"/>
      <c r="BN156" s="467"/>
      <c r="BO156" s="467"/>
      <c r="BP156" s="467"/>
      <c r="BQ156" s="467"/>
      <c r="BR156" s="467"/>
      <c r="BS156" s="467"/>
      <c r="BT156" s="467"/>
      <c r="BU156" s="467"/>
      <c r="BV156" s="467"/>
      <c r="BW156" s="467"/>
      <c r="BX156" s="467"/>
      <c r="BY156" s="467"/>
      <c r="BZ156" s="467"/>
      <c r="CA156" s="467"/>
      <c r="CB156" s="467"/>
      <c r="CC156" s="467"/>
      <c r="CD156" s="467"/>
      <c r="CE156" s="467"/>
      <c r="CF156" s="467"/>
      <c r="CG156" s="467"/>
      <c r="CH156" s="467"/>
      <c r="CI156" s="467"/>
      <c r="CJ156" s="467"/>
      <c r="CK156" s="467"/>
      <c r="CL156" s="467"/>
      <c r="CM156" s="467"/>
      <c r="CN156" s="467"/>
      <c r="CO156" s="467"/>
      <c r="CP156" s="467"/>
      <c r="CQ156" s="467"/>
      <c r="CR156" s="467"/>
      <c r="CS156" s="467"/>
      <c r="CT156" s="467"/>
      <c r="CU156" s="467"/>
      <c r="CV156" s="467"/>
      <c r="CW156" s="467"/>
      <c r="CX156" s="467"/>
    </row>
    <row r="157" spans="2:102">
      <c r="B157" s="467"/>
      <c r="C157" s="467"/>
      <c r="D157" s="467"/>
      <c r="E157" s="467"/>
      <c r="F157" s="467"/>
      <c r="G157" s="467"/>
      <c r="H157" s="467"/>
      <c r="I157" s="467"/>
      <c r="J157" s="467"/>
      <c r="K157" s="467"/>
      <c r="L157" s="467"/>
      <c r="M157" s="1578"/>
      <c r="N157" s="467"/>
      <c r="O157" s="1577"/>
      <c r="P157" s="500"/>
      <c r="Q157" s="1577"/>
      <c r="R157" s="1577"/>
      <c r="S157" s="467"/>
      <c r="T157" s="467"/>
      <c r="U157" s="467"/>
      <c r="V157" s="467"/>
      <c r="W157" s="467"/>
      <c r="X157" s="467"/>
      <c r="Y157" s="467"/>
      <c r="Z157" s="467"/>
      <c r="AA157" s="467"/>
      <c r="AB157" s="467"/>
      <c r="AC157" s="467"/>
      <c r="AD157" s="467"/>
      <c r="AE157" s="467"/>
      <c r="AF157" s="467"/>
      <c r="AG157" s="467"/>
      <c r="AH157" s="467"/>
      <c r="AI157" s="467"/>
      <c r="AJ157" s="467"/>
      <c r="AK157" s="467"/>
      <c r="AL157" s="467"/>
      <c r="AM157" s="467"/>
      <c r="AN157" s="467"/>
      <c r="AO157" s="467"/>
      <c r="AP157" s="467"/>
      <c r="AQ157" s="467"/>
      <c r="AR157" s="467"/>
      <c r="AS157" s="467"/>
      <c r="AT157" s="467"/>
      <c r="AU157" s="467"/>
      <c r="AV157" s="467"/>
      <c r="AW157" s="467"/>
      <c r="AX157" s="467"/>
      <c r="AY157" s="467"/>
      <c r="AZ157" s="467"/>
      <c r="BA157" s="467"/>
      <c r="BB157" s="467"/>
      <c r="BC157" s="467"/>
      <c r="BD157" s="467"/>
      <c r="BE157" s="467"/>
      <c r="BF157" s="467"/>
      <c r="BG157" s="467"/>
      <c r="BH157" s="467"/>
      <c r="BI157" s="467"/>
      <c r="BJ157" s="467"/>
      <c r="BK157" s="467"/>
      <c r="BL157" s="467"/>
      <c r="BM157" s="467"/>
      <c r="BN157" s="467"/>
      <c r="BO157" s="467"/>
      <c r="BP157" s="467"/>
      <c r="BQ157" s="467"/>
      <c r="BR157" s="467"/>
      <c r="BS157" s="467"/>
      <c r="BT157" s="467"/>
      <c r="BU157" s="467"/>
      <c r="BV157" s="467"/>
      <c r="BW157" s="467"/>
      <c r="BX157" s="467"/>
      <c r="BY157" s="467"/>
      <c r="BZ157" s="467"/>
      <c r="CA157" s="467"/>
      <c r="CB157" s="467"/>
      <c r="CC157" s="467"/>
      <c r="CD157" s="467"/>
      <c r="CE157" s="467"/>
      <c r="CF157" s="467"/>
      <c r="CG157" s="467"/>
      <c r="CH157" s="467"/>
      <c r="CI157" s="467"/>
      <c r="CJ157" s="467"/>
      <c r="CK157" s="467"/>
      <c r="CL157" s="467"/>
      <c r="CM157" s="467"/>
      <c r="CN157" s="467"/>
      <c r="CO157" s="467"/>
      <c r="CP157" s="467"/>
      <c r="CQ157" s="467"/>
      <c r="CR157" s="467"/>
      <c r="CS157" s="467"/>
      <c r="CT157" s="467"/>
      <c r="CU157" s="467"/>
      <c r="CV157" s="467"/>
      <c r="CW157" s="467"/>
      <c r="CX157" s="467"/>
    </row>
    <row r="158" spans="2:102">
      <c r="B158" s="467"/>
      <c r="C158" s="467"/>
      <c r="D158" s="467"/>
      <c r="E158" s="467"/>
      <c r="F158" s="467"/>
      <c r="G158" s="467"/>
      <c r="H158" s="467"/>
      <c r="I158" s="467"/>
      <c r="J158" s="467"/>
      <c r="K158" s="467"/>
      <c r="L158" s="467"/>
      <c r="M158" s="467"/>
      <c r="N158" s="467"/>
      <c r="O158" s="467"/>
      <c r="P158" s="467"/>
      <c r="Q158" s="467"/>
      <c r="R158" s="467"/>
      <c r="S158" s="467"/>
      <c r="T158" s="467"/>
      <c r="U158" s="467"/>
      <c r="V158" s="467"/>
      <c r="W158" s="467"/>
      <c r="X158" s="467"/>
      <c r="Y158" s="467"/>
      <c r="Z158" s="467"/>
      <c r="AA158" s="467"/>
      <c r="AB158" s="467"/>
      <c r="AC158" s="467"/>
      <c r="AD158" s="467"/>
      <c r="AE158" s="467"/>
      <c r="AF158" s="467"/>
      <c r="AG158" s="467"/>
      <c r="AH158" s="467"/>
      <c r="AI158" s="467"/>
      <c r="AJ158" s="467"/>
      <c r="AK158" s="467"/>
      <c r="AL158" s="467"/>
      <c r="AM158" s="467"/>
      <c r="AN158" s="467"/>
      <c r="AO158" s="467"/>
      <c r="AP158" s="467"/>
      <c r="AQ158" s="467"/>
      <c r="AR158" s="467"/>
      <c r="AS158" s="467"/>
      <c r="AT158" s="467"/>
      <c r="AU158" s="467"/>
      <c r="AV158" s="467"/>
      <c r="AW158" s="467"/>
      <c r="AX158" s="467"/>
      <c r="AY158" s="467"/>
      <c r="AZ158" s="467"/>
      <c r="BA158" s="467"/>
      <c r="BB158" s="467"/>
      <c r="BC158" s="467"/>
      <c r="BD158" s="467"/>
      <c r="BE158" s="467"/>
      <c r="BF158" s="467"/>
      <c r="BG158" s="467"/>
      <c r="BH158" s="467"/>
      <c r="BI158" s="467"/>
      <c r="BJ158" s="467"/>
      <c r="BK158" s="467"/>
      <c r="BL158" s="467"/>
      <c r="BM158" s="467"/>
      <c r="BN158" s="467"/>
      <c r="BO158" s="467"/>
      <c r="BP158" s="467"/>
      <c r="BQ158" s="467"/>
      <c r="BR158" s="467"/>
      <c r="BS158" s="467"/>
      <c r="BT158" s="467"/>
      <c r="BU158" s="467"/>
      <c r="BV158" s="467"/>
      <c r="BW158" s="467"/>
      <c r="BX158" s="467"/>
      <c r="BY158" s="467"/>
      <c r="BZ158" s="467"/>
      <c r="CA158" s="467"/>
      <c r="CB158" s="467"/>
      <c r="CC158" s="467"/>
      <c r="CD158" s="467"/>
      <c r="CE158" s="467"/>
      <c r="CF158" s="467"/>
      <c r="CG158" s="467"/>
      <c r="CH158" s="467"/>
      <c r="CI158" s="467"/>
      <c r="CJ158" s="467"/>
      <c r="CK158" s="467"/>
      <c r="CL158" s="467"/>
      <c r="CM158" s="467"/>
      <c r="CN158" s="467"/>
      <c r="CO158" s="467"/>
      <c r="CP158" s="467"/>
      <c r="CQ158" s="467"/>
      <c r="CR158" s="467"/>
      <c r="CS158" s="467"/>
      <c r="CT158" s="467"/>
      <c r="CU158" s="467"/>
      <c r="CV158" s="467"/>
      <c r="CW158" s="467"/>
      <c r="CX158" s="467"/>
    </row>
    <row r="159" spans="2:102">
      <c r="B159" s="467"/>
      <c r="C159" s="467"/>
      <c r="D159" s="467"/>
      <c r="E159" s="467"/>
      <c r="F159" s="467"/>
      <c r="G159" s="467"/>
      <c r="H159" s="467"/>
      <c r="I159" s="467"/>
      <c r="J159" s="467"/>
      <c r="K159" s="467"/>
      <c r="L159" s="467"/>
      <c r="M159" s="1578"/>
      <c r="N159" s="467"/>
      <c r="O159" s="1577"/>
      <c r="P159" s="772"/>
      <c r="Q159" s="1577"/>
      <c r="R159" s="1579"/>
      <c r="S159" s="467"/>
      <c r="T159" s="467"/>
      <c r="U159" s="467"/>
      <c r="V159" s="467"/>
      <c r="W159" s="467"/>
      <c r="X159" s="467"/>
      <c r="Y159" s="467"/>
      <c r="Z159" s="467"/>
      <c r="AA159" s="467"/>
      <c r="AB159" s="467"/>
      <c r="AC159" s="467"/>
      <c r="AD159" s="467"/>
      <c r="AE159" s="467"/>
      <c r="AF159" s="467"/>
      <c r="AG159" s="467"/>
      <c r="AH159" s="467"/>
      <c r="AI159" s="467"/>
      <c r="AJ159" s="467"/>
      <c r="AK159" s="467"/>
      <c r="AL159" s="467"/>
      <c r="AM159" s="467"/>
      <c r="AN159" s="467"/>
      <c r="AO159" s="467"/>
      <c r="AP159" s="467"/>
      <c r="AQ159" s="467"/>
      <c r="AR159" s="467"/>
      <c r="AS159" s="467"/>
      <c r="AT159" s="467"/>
      <c r="AU159" s="467"/>
      <c r="AV159" s="467"/>
      <c r="AW159" s="467"/>
      <c r="AX159" s="467"/>
      <c r="AY159" s="467"/>
      <c r="AZ159" s="467"/>
      <c r="BA159" s="467"/>
      <c r="BB159" s="467"/>
      <c r="BC159" s="467"/>
      <c r="BD159" s="467"/>
      <c r="BE159" s="467"/>
      <c r="BF159" s="467"/>
      <c r="BG159" s="467"/>
      <c r="BH159" s="467"/>
      <c r="BI159" s="467"/>
      <c r="BJ159" s="467"/>
      <c r="BK159" s="467"/>
      <c r="BL159" s="467"/>
      <c r="BM159" s="467"/>
      <c r="BN159" s="467"/>
      <c r="BO159" s="467"/>
      <c r="BP159" s="467"/>
      <c r="BQ159" s="467"/>
      <c r="BR159" s="467"/>
      <c r="BS159" s="467"/>
      <c r="BT159" s="467"/>
      <c r="BU159" s="467"/>
      <c r="BV159" s="467"/>
      <c r="BW159" s="467"/>
      <c r="BX159" s="467"/>
      <c r="BY159" s="467"/>
      <c r="BZ159" s="467"/>
      <c r="CA159" s="467"/>
      <c r="CB159" s="467"/>
      <c r="CC159" s="467"/>
      <c r="CD159" s="467"/>
      <c r="CE159" s="467"/>
      <c r="CF159" s="467"/>
      <c r="CG159" s="467"/>
      <c r="CH159" s="467"/>
      <c r="CI159" s="467"/>
      <c r="CJ159" s="467"/>
      <c r="CK159" s="467"/>
      <c r="CL159" s="467"/>
      <c r="CM159" s="467"/>
      <c r="CN159" s="467"/>
      <c r="CO159" s="467"/>
      <c r="CP159" s="467"/>
      <c r="CQ159" s="467"/>
      <c r="CR159" s="467"/>
      <c r="CS159" s="467"/>
      <c r="CT159" s="467"/>
      <c r="CU159" s="467"/>
      <c r="CV159" s="467"/>
      <c r="CW159" s="467"/>
      <c r="CX159" s="467"/>
    </row>
    <row r="160" spans="2:102">
      <c r="B160" s="467"/>
      <c r="C160" s="467"/>
      <c r="D160" s="467"/>
      <c r="E160" s="467"/>
      <c r="F160" s="467"/>
      <c r="G160" s="467"/>
      <c r="H160" s="467"/>
      <c r="I160" s="467"/>
      <c r="J160" s="467"/>
      <c r="K160" s="467"/>
      <c r="L160" s="467"/>
      <c r="M160" s="467"/>
      <c r="N160" s="467"/>
      <c r="P160" s="467"/>
      <c r="Q160" s="467"/>
      <c r="R160" s="467"/>
      <c r="S160" s="467"/>
      <c r="T160" s="467"/>
      <c r="U160" s="467"/>
      <c r="V160" s="467"/>
      <c r="W160" s="467"/>
      <c r="X160" s="467"/>
      <c r="Y160" s="467"/>
      <c r="Z160" s="467"/>
      <c r="AA160" s="467"/>
      <c r="AB160" s="467"/>
      <c r="AC160" s="467"/>
      <c r="AD160" s="467"/>
      <c r="AE160" s="467"/>
      <c r="AF160" s="467"/>
      <c r="AG160" s="467"/>
      <c r="AH160" s="467"/>
      <c r="AI160" s="467"/>
      <c r="AJ160" s="467"/>
      <c r="AK160" s="467"/>
      <c r="AL160" s="467"/>
      <c r="AM160" s="467"/>
      <c r="AN160" s="467"/>
      <c r="AO160" s="467"/>
      <c r="AP160" s="467"/>
      <c r="AQ160" s="467"/>
      <c r="AR160" s="467"/>
      <c r="AS160" s="467"/>
      <c r="AT160" s="467"/>
      <c r="AU160" s="467"/>
      <c r="AV160" s="467"/>
      <c r="AW160" s="467"/>
      <c r="AX160" s="467"/>
      <c r="AY160" s="467"/>
      <c r="AZ160" s="467"/>
      <c r="BA160" s="467"/>
      <c r="BB160" s="467"/>
      <c r="BC160" s="467"/>
      <c r="BD160" s="467"/>
      <c r="BE160" s="467"/>
      <c r="BF160" s="467"/>
      <c r="BG160" s="467"/>
      <c r="BH160" s="467"/>
      <c r="BI160" s="467"/>
      <c r="BJ160" s="467"/>
      <c r="BK160" s="467"/>
      <c r="BL160" s="467"/>
      <c r="BM160" s="467"/>
      <c r="BN160" s="467"/>
      <c r="BO160" s="467"/>
      <c r="BP160" s="467"/>
      <c r="BQ160" s="467"/>
      <c r="BR160" s="467"/>
      <c r="BS160" s="467"/>
      <c r="BT160" s="467"/>
      <c r="BU160" s="467"/>
      <c r="BV160" s="467"/>
      <c r="BW160" s="467"/>
      <c r="BX160" s="467"/>
      <c r="BY160" s="467"/>
      <c r="BZ160" s="467"/>
      <c r="CA160" s="467"/>
      <c r="CB160" s="467"/>
      <c r="CC160" s="467"/>
      <c r="CD160" s="467"/>
      <c r="CE160" s="467"/>
      <c r="CF160" s="467"/>
      <c r="CG160" s="467"/>
      <c r="CH160" s="467"/>
      <c r="CI160" s="467"/>
      <c r="CJ160" s="467"/>
      <c r="CK160" s="467"/>
      <c r="CL160" s="467"/>
      <c r="CM160" s="467"/>
      <c r="CN160" s="467"/>
      <c r="CO160" s="467"/>
      <c r="CP160" s="467"/>
      <c r="CQ160" s="467"/>
      <c r="CR160" s="467"/>
      <c r="CS160" s="467"/>
      <c r="CT160" s="467"/>
      <c r="CU160" s="467"/>
      <c r="CV160" s="467"/>
      <c r="CW160" s="467"/>
      <c r="CX160" s="467"/>
    </row>
    <row r="161" spans="2:102">
      <c r="B161" s="467"/>
      <c r="C161" s="467"/>
      <c r="D161" s="467"/>
      <c r="E161" s="467"/>
      <c r="F161" s="467"/>
      <c r="G161" s="467"/>
      <c r="H161" s="467"/>
      <c r="I161" s="467"/>
      <c r="J161" s="467"/>
      <c r="K161" s="467"/>
      <c r="L161" s="467"/>
      <c r="M161" s="467"/>
      <c r="N161" s="467"/>
      <c r="O161" s="467"/>
      <c r="P161" s="467"/>
      <c r="Q161" s="467"/>
      <c r="R161" s="467"/>
      <c r="S161" s="467"/>
      <c r="T161" s="467"/>
      <c r="U161" s="467"/>
      <c r="V161" s="467"/>
      <c r="W161" s="467"/>
      <c r="X161" s="467"/>
      <c r="Y161" s="467"/>
      <c r="Z161" s="467"/>
      <c r="AA161" s="467"/>
      <c r="AB161" s="467"/>
      <c r="AC161" s="467"/>
      <c r="AD161" s="467"/>
      <c r="AE161" s="467"/>
      <c r="AF161" s="467"/>
      <c r="AG161" s="467"/>
      <c r="AH161" s="467"/>
      <c r="AI161" s="467"/>
      <c r="AJ161" s="467"/>
      <c r="AK161" s="467"/>
      <c r="AL161" s="467"/>
      <c r="AM161" s="467"/>
      <c r="AN161" s="467"/>
      <c r="AO161" s="467"/>
      <c r="AP161" s="467"/>
      <c r="AQ161" s="467"/>
      <c r="AR161" s="467"/>
      <c r="AS161" s="467"/>
      <c r="AT161" s="467"/>
      <c r="AU161" s="467"/>
      <c r="AV161" s="467"/>
      <c r="AW161" s="467"/>
      <c r="AX161" s="467"/>
      <c r="AY161" s="467"/>
      <c r="AZ161" s="467"/>
      <c r="BA161" s="467"/>
      <c r="BB161" s="467"/>
      <c r="BC161" s="467"/>
      <c r="BD161" s="467"/>
      <c r="BE161" s="467"/>
      <c r="BF161" s="467"/>
      <c r="BG161" s="467"/>
      <c r="BH161" s="467"/>
      <c r="BI161" s="467"/>
      <c r="BJ161" s="467"/>
      <c r="BK161" s="467"/>
      <c r="BL161" s="467"/>
      <c r="BM161" s="467"/>
      <c r="BN161" s="467"/>
      <c r="BO161" s="467"/>
      <c r="BP161" s="467"/>
      <c r="BQ161" s="467"/>
      <c r="BR161" s="467"/>
      <c r="BS161" s="467"/>
      <c r="BT161" s="467"/>
      <c r="BU161" s="467"/>
      <c r="BV161" s="467"/>
      <c r="BW161" s="467"/>
      <c r="BX161" s="467"/>
      <c r="BY161" s="467"/>
      <c r="BZ161" s="467"/>
      <c r="CA161" s="467"/>
      <c r="CB161" s="467"/>
      <c r="CC161" s="467"/>
      <c r="CD161" s="467"/>
      <c r="CE161" s="467"/>
      <c r="CF161" s="467"/>
      <c r="CG161" s="467"/>
      <c r="CH161" s="467"/>
      <c r="CI161" s="467"/>
      <c r="CJ161" s="467"/>
      <c r="CK161" s="467"/>
      <c r="CL161" s="467"/>
      <c r="CM161" s="467"/>
      <c r="CN161" s="467"/>
      <c r="CO161" s="467"/>
      <c r="CP161" s="467"/>
      <c r="CQ161" s="467"/>
      <c r="CR161" s="467"/>
      <c r="CS161" s="467"/>
      <c r="CT161" s="467"/>
      <c r="CU161" s="467"/>
      <c r="CV161" s="467"/>
      <c r="CW161" s="467"/>
      <c r="CX161" s="467"/>
    </row>
    <row r="162" spans="2:102">
      <c r="B162" s="467"/>
      <c r="C162" s="467"/>
      <c r="D162" s="467"/>
      <c r="E162" s="467"/>
      <c r="F162" s="467"/>
      <c r="G162" s="467"/>
      <c r="H162" s="467"/>
      <c r="I162" s="467"/>
      <c r="J162" s="467"/>
      <c r="K162" s="467"/>
      <c r="L162" s="467"/>
      <c r="M162" s="467"/>
      <c r="N162" s="467"/>
      <c r="O162" s="467"/>
      <c r="P162" s="467"/>
      <c r="Q162" s="467"/>
      <c r="R162" s="467"/>
      <c r="S162" s="467"/>
      <c r="T162" s="467"/>
      <c r="U162" s="467"/>
      <c r="V162" s="467"/>
      <c r="W162" s="467"/>
      <c r="X162" s="467"/>
      <c r="Y162" s="467"/>
      <c r="Z162" s="467"/>
      <c r="AA162" s="467"/>
      <c r="AB162" s="467"/>
      <c r="AC162" s="467"/>
      <c r="AD162" s="467"/>
      <c r="AE162" s="467"/>
      <c r="AF162" s="467"/>
      <c r="AG162" s="467"/>
      <c r="AH162" s="467"/>
      <c r="AI162" s="467"/>
      <c r="AJ162" s="467"/>
      <c r="AK162" s="467"/>
      <c r="AL162" s="467"/>
      <c r="AM162" s="467"/>
      <c r="AN162" s="467"/>
      <c r="AO162" s="467"/>
      <c r="AP162" s="467"/>
      <c r="AQ162" s="467"/>
      <c r="AR162" s="467"/>
      <c r="AS162" s="467"/>
      <c r="AT162" s="467"/>
      <c r="AU162" s="467"/>
      <c r="AV162" s="467"/>
      <c r="AW162" s="467"/>
      <c r="AX162" s="467"/>
      <c r="AY162" s="467"/>
      <c r="AZ162" s="467"/>
      <c r="BA162" s="467"/>
      <c r="BB162" s="467"/>
      <c r="BC162" s="467"/>
      <c r="BD162" s="467"/>
      <c r="BE162" s="467"/>
      <c r="BF162" s="467"/>
      <c r="BG162" s="467"/>
      <c r="BH162" s="467"/>
      <c r="BI162" s="467"/>
      <c r="BJ162" s="467"/>
      <c r="BK162" s="467"/>
      <c r="BL162" s="467"/>
      <c r="BM162" s="467"/>
      <c r="BN162" s="467"/>
      <c r="BO162" s="467"/>
      <c r="BP162" s="467"/>
      <c r="BQ162" s="467"/>
      <c r="BR162" s="467"/>
      <c r="BS162" s="467"/>
      <c r="BT162" s="467"/>
      <c r="BU162" s="467"/>
      <c r="BV162" s="467"/>
      <c r="BW162" s="467"/>
      <c r="BX162" s="467"/>
      <c r="BY162" s="467"/>
      <c r="BZ162" s="467"/>
      <c r="CA162" s="467"/>
      <c r="CB162" s="467"/>
      <c r="CC162" s="467"/>
      <c r="CD162" s="467"/>
      <c r="CE162" s="467"/>
      <c r="CF162" s="467"/>
      <c r="CG162" s="467"/>
      <c r="CH162" s="467"/>
      <c r="CI162" s="467"/>
      <c r="CJ162" s="467"/>
      <c r="CK162" s="467"/>
      <c r="CL162" s="467"/>
      <c r="CM162" s="467"/>
      <c r="CN162" s="467"/>
      <c r="CO162" s="467"/>
      <c r="CP162" s="467"/>
      <c r="CQ162" s="467"/>
      <c r="CR162" s="467"/>
      <c r="CS162" s="467"/>
      <c r="CT162" s="467"/>
      <c r="CU162" s="467"/>
      <c r="CV162" s="467"/>
      <c r="CW162" s="467"/>
      <c r="CX162" s="467"/>
    </row>
    <row r="163" spans="2:102">
      <c r="B163" s="467"/>
      <c r="C163" s="467"/>
      <c r="D163" s="467"/>
      <c r="E163" s="467"/>
      <c r="F163" s="467"/>
      <c r="G163" s="467"/>
      <c r="H163" s="467"/>
      <c r="I163" s="467"/>
      <c r="J163" s="467"/>
      <c r="K163" s="467"/>
      <c r="L163" s="467"/>
      <c r="M163" s="467"/>
      <c r="N163" s="467"/>
      <c r="O163" s="467"/>
      <c r="P163" s="467"/>
      <c r="Q163" s="467"/>
      <c r="R163" s="467"/>
      <c r="S163" s="467"/>
      <c r="T163" s="467"/>
      <c r="U163" s="467"/>
      <c r="V163" s="467"/>
      <c r="W163" s="467"/>
      <c r="X163" s="467"/>
      <c r="Y163" s="467"/>
      <c r="Z163" s="467"/>
      <c r="AA163" s="467"/>
      <c r="AB163" s="467"/>
      <c r="AC163" s="467"/>
      <c r="AD163" s="467"/>
      <c r="AE163" s="467"/>
      <c r="AF163" s="467"/>
      <c r="AG163" s="467"/>
      <c r="AH163" s="467"/>
      <c r="AI163" s="467"/>
      <c r="AJ163" s="467"/>
      <c r="AK163" s="467"/>
      <c r="AL163" s="467"/>
      <c r="AM163" s="467"/>
      <c r="AN163" s="467"/>
      <c r="AO163" s="467"/>
      <c r="AP163" s="467"/>
      <c r="AQ163" s="467"/>
      <c r="AR163" s="467"/>
      <c r="AS163" s="467"/>
      <c r="AT163" s="467"/>
      <c r="AU163" s="467"/>
      <c r="AV163" s="467"/>
      <c r="AW163" s="467"/>
      <c r="AX163" s="467"/>
      <c r="AY163" s="467"/>
      <c r="AZ163" s="467"/>
      <c r="BA163" s="467"/>
      <c r="BB163" s="467"/>
      <c r="BC163" s="467"/>
      <c r="BD163" s="467"/>
      <c r="BE163" s="467"/>
      <c r="BF163" s="467"/>
      <c r="BG163" s="467"/>
      <c r="BH163" s="467"/>
      <c r="BI163" s="467"/>
      <c r="BJ163" s="467"/>
      <c r="BK163" s="467"/>
      <c r="BL163" s="467"/>
      <c r="BM163" s="467"/>
      <c r="BN163" s="467"/>
      <c r="BO163" s="467"/>
      <c r="BP163" s="467"/>
      <c r="BQ163" s="467"/>
      <c r="BR163" s="467"/>
      <c r="BS163" s="467"/>
      <c r="BT163" s="467"/>
      <c r="BU163" s="467"/>
      <c r="BV163" s="467"/>
      <c r="BW163" s="467"/>
      <c r="BX163" s="467"/>
      <c r="BY163" s="467"/>
      <c r="BZ163" s="467"/>
      <c r="CA163" s="467"/>
      <c r="CB163" s="467"/>
      <c r="CC163" s="467"/>
      <c r="CD163" s="467"/>
      <c r="CE163" s="467"/>
      <c r="CF163" s="467"/>
      <c r="CG163" s="467"/>
      <c r="CH163" s="467"/>
      <c r="CI163" s="467"/>
      <c r="CJ163" s="467"/>
      <c r="CK163" s="467"/>
      <c r="CL163" s="467"/>
      <c r="CM163" s="467"/>
      <c r="CN163" s="467"/>
      <c r="CO163" s="467"/>
      <c r="CP163" s="467"/>
      <c r="CQ163" s="467"/>
      <c r="CR163" s="467"/>
      <c r="CS163" s="467"/>
      <c r="CT163" s="467"/>
      <c r="CU163" s="467"/>
      <c r="CV163" s="467"/>
      <c r="CW163" s="467"/>
      <c r="CX163" s="467"/>
    </row>
    <row r="164" spans="2:102">
      <c r="B164" s="467"/>
      <c r="C164" s="467"/>
      <c r="D164" s="467"/>
      <c r="E164" s="467"/>
      <c r="F164" s="467"/>
      <c r="G164" s="467"/>
      <c r="H164" s="467"/>
      <c r="I164" s="467"/>
      <c r="J164" s="467"/>
      <c r="K164" s="467"/>
      <c r="L164" s="467"/>
      <c r="M164" s="467"/>
      <c r="N164" s="467"/>
      <c r="O164" s="467"/>
      <c r="P164" s="467"/>
      <c r="Q164" s="467"/>
      <c r="R164" s="467"/>
      <c r="S164" s="467"/>
      <c r="T164" s="467"/>
      <c r="U164" s="467"/>
      <c r="V164" s="467"/>
      <c r="W164" s="467"/>
      <c r="X164" s="467"/>
      <c r="Y164" s="467"/>
      <c r="Z164" s="467"/>
      <c r="AA164" s="467"/>
      <c r="AB164" s="467"/>
      <c r="AC164" s="467"/>
      <c r="AD164" s="467"/>
      <c r="AE164" s="467"/>
      <c r="AF164" s="467"/>
      <c r="AG164" s="467"/>
      <c r="AH164" s="467"/>
      <c r="AI164" s="467"/>
      <c r="AJ164" s="467"/>
      <c r="AK164" s="467"/>
      <c r="AL164" s="467"/>
      <c r="AM164" s="467"/>
      <c r="AN164" s="467"/>
      <c r="AO164" s="467"/>
      <c r="AP164" s="467"/>
      <c r="AQ164" s="467"/>
      <c r="AR164" s="467"/>
      <c r="AS164" s="467"/>
      <c r="AT164" s="467"/>
      <c r="AU164" s="467"/>
      <c r="AV164" s="467"/>
      <c r="AW164" s="467"/>
      <c r="AX164" s="467"/>
      <c r="AY164" s="467"/>
      <c r="AZ164" s="467"/>
      <c r="BA164" s="467"/>
      <c r="BB164" s="467"/>
      <c r="BC164" s="467"/>
      <c r="BD164" s="467"/>
      <c r="BE164" s="467"/>
      <c r="BF164" s="467"/>
      <c r="BG164" s="467"/>
      <c r="BH164" s="467"/>
      <c r="BI164" s="467"/>
      <c r="BJ164" s="467"/>
      <c r="BK164" s="467"/>
      <c r="BL164" s="467"/>
      <c r="BM164" s="467"/>
      <c r="BN164" s="467"/>
      <c r="BO164" s="467"/>
      <c r="BP164" s="467"/>
      <c r="BQ164" s="467"/>
      <c r="BR164" s="467"/>
      <c r="BS164" s="467"/>
      <c r="BT164" s="467"/>
      <c r="BU164" s="467"/>
      <c r="BV164" s="467"/>
      <c r="BW164" s="467"/>
      <c r="BX164" s="467"/>
      <c r="BY164" s="467"/>
      <c r="BZ164" s="467"/>
      <c r="CA164" s="467"/>
      <c r="CB164" s="467"/>
      <c r="CC164" s="467"/>
      <c r="CD164" s="467"/>
      <c r="CE164" s="467"/>
      <c r="CF164" s="467"/>
      <c r="CG164" s="467"/>
      <c r="CH164" s="467"/>
      <c r="CI164" s="467"/>
      <c r="CJ164" s="467"/>
      <c r="CK164" s="467"/>
      <c r="CL164" s="467"/>
      <c r="CM164" s="467"/>
      <c r="CN164" s="467"/>
      <c r="CO164" s="467"/>
      <c r="CP164" s="467"/>
      <c r="CQ164" s="467"/>
      <c r="CR164" s="467"/>
      <c r="CS164" s="467"/>
      <c r="CT164" s="467"/>
      <c r="CU164" s="467"/>
      <c r="CV164" s="467"/>
      <c r="CW164" s="467"/>
      <c r="CX164" s="467"/>
    </row>
    <row r="165" spans="2:102">
      <c r="B165" s="467"/>
      <c r="C165" s="467"/>
      <c r="D165" s="467"/>
      <c r="E165" s="467"/>
      <c r="F165" s="467"/>
      <c r="G165" s="467"/>
      <c r="H165" s="467"/>
      <c r="I165" s="467"/>
      <c r="J165" s="467"/>
      <c r="K165" s="467"/>
      <c r="L165" s="467"/>
      <c r="M165" s="467"/>
      <c r="N165" s="467"/>
      <c r="O165" s="467"/>
      <c r="P165" s="467"/>
      <c r="Q165" s="467"/>
      <c r="R165" s="467"/>
      <c r="S165" s="467"/>
      <c r="T165" s="467"/>
      <c r="U165" s="467"/>
      <c r="V165" s="467"/>
      <c r="W165" s="467"/>
      <c r="X165" s="467"/>
      <c r="Y165" s="467"/>
      <c r="Z165" s="467"/>
      <c r="AA165" s="467"/>
      <c r="AB165" s="467"/>
      <c r="AC165" s="467"/>
      <c r="AD165" s="467"/>
      <c r="AE165" s="467"/>
      <c r="AF165" s="467"/>
      <c r="AG165" s="467"/>
      <c r="AH165" s="467"/>
      <c r="AI165" s="467"/>
      <c r="AJ165" s="467"/>
      <c r="AK165" s="467"/>
      <c r="AL165" s="467"/>
      <c r="AM165" s="467"/>
      <c r="AN165" s="467"/>
      <c r="AO165" s="467"/>
      <c r="AP165" s="467"/>
      <c r="AQ165" s="467"/>
      <c r="AR165" s="467"/>
      <c r="AS165" s="467"/>
      <c r="AT165" s="467"/>
      <c r="AU165" s="467"/>
      <c r="AV165" s="467"/>
      <c r="AW165" s="467"/>
      <c r="AX165" s="467"/>
      <c r="AY165" s="467"/>
      <c r="AZ165" s="467"/>
      <c r="BA165" s="467"/>
      <c r="BB165" s="467"/>
      <c r="BC165" s="467"/>
      <c r="BD165" s="467"/>
      <c r="BE165" s="467"/>
      <c r="BF165" s="467"/>
      <c r="BG165" s="467"/>
      <c r="BH165" s="467"/>
      <c r="BI165" s="467"/>
      <c r="BJ165" s="467"/>
      <c r="BK165" s="467"/>
      <c r="BL165" s="467"/>
      <c r="BM165" s="467"/>
      <c r="BN165" s="467"/>
      <c r="BO165" s="467"/>
      <c r="BP165" s="467"/>
      <c r="BQ165" s="467"/>
      <c r="BR165" s="467"/>
      <c r="BS165" s="467"/>
      <c r="BT165" s="467"/>
      <c r="BU165" s="467"/>
      <c r="BV165" s="467"/>
      <c r="BW165" s="467"/>
      <c r="BX165" s="467"/>
      <c r="BY165" s="467"/>
      <c r="BZ165" s="467"/>
      <c r="CA165" s="467"/>
      <c r="CB165" s="467"/>
      <c r="CC165" s="467"/>
      <c r="CD165" s="467"/>
      <c r="CE165" s="467"/>
      <c r="CF165" s="467"/>
      <c r="CG165" s="467"/>
      <c r="CH165" s="467"/>
      <c r="CI165" s="467"/>
      <c r="CJ165" s="467"/>
      <c r="CK165" s="467"/>
      <c r="CL165" s="467"/>
      <c r="CM165" s="467"/>
      <c r="CN165" s="467"/>
      <c r="CO165" s="467"/>
      <c r="CP165" s="467"/>
      <c r="CQ165" s="467"/>
      <c r="CR165" s="467"/>
      <c r="CS165" s="467"/>
      <c r="CT165" s="467"/>
      <c r="CU165" s="467"/>
      <c r="CV165" s="467"/>
      <c r="CW165" s="467"/>
      <c r="CX165" s="467"/>
    </row>
    <row r="166" spans="2:102">
      <c r="B166" s="467"/>
      <c r="C166" s="467"/>
      <c r="D166" s="467"/>
      <c r="E166" s="467"/>
      <c r="F166" s="467"/>
      <c r="G166" s="467"/>
      <c r="H166" s="467"/>
      <c r="I166" s="467"/>
      <c r="J166" s="467"/>
      <c r="K166" s="467"/>
      <c r="L166" s="467"/>
      <c r="M166" s="467"/>
      <c r="N166" s="467"/>
      <c r="O166" s="467"/>
      <c r="P166" s="467"/>
      <c r="Q166" s="467"/>
      <c r="R166" s="467"/>
      <c r="S166" s="467"/>
      <c r="T166" s="467"/>
      <c r="U166" s="467"/>
      <c r="V166" s="467"/>
      <c r="W166" s="467"/>
      <c r="X166" s="467"/>
      <c r="Y166" s="467"/>
      <c r="Z166" s="467"/>
      <c r="AA166" s="467"/>
      <c r="AB166" s="467"/>
      <c r="AC166" s="467"/>
      <c r="AD166" s="467"/>
      <c r="AE166" s="467"/>
      <c r="AF166" s="467"/>
      <c r="AG166" s="467"/>
      <c r="AH166" s="467"/>
      <c r="AI166" s="467"/>
      <c r="AJ166" s="467"/>
      <c r="AK166" s="467"/>
      <c r="AL166" s="467"/>
      <c r="AM166" s="467"/>
      <c r="AN166" s="467"/>
      <c r="AO166" s="467"/>
      <c r="AP166" s="467"/>
      <c r="AQ166" s="467"/>
      <c r="AR166" s="467"/>
      <c r="AS166" s="467"/>
      <c r="AT166" s="467"/>
      <c r="AU166" s="467"/>
      <c r="AV166" s="467"/>
      <c r="AW166" s="467"/>
      <c r="AX166" s="467"/>
      <c r="AY166" s="467"/>
      <c r="AZ166" s="467"/>
      <c r="BA166" s="467"/>
      <c r="BB166" s="467"/>
      <c r="BC166" s="467"/>
      <c r="BD166" s="467"/>
      <c r="BE166" s="467"/>
      <c r="BF166" s="467"/>
      <c r="BG166" s="467"/>
      <c r="BH166" s="467"/>
      <c r="BI166" s="467"/>
      <c r="BJ166" s="467"/>
      <c r="BK166" s="467"/>
      <c r="BL166" s="467"/>
      <c r="BM166" s="467"/>
      <c r="BN166" s="467"/>
      <c r="BO166" s="467"/>
      <c r="BP166" s="467"/>
      <c r="BQ166" s="467"/>
      <c r="BR166" s="467"/>
      <c r="BS166" s="467"/>
      <c r="BT166" s="467"/>
      <c r="BU166" s="467"/>
      <c r="BV166" s="467"/>
      <c r="BW166" s="467"/>
      <c r="BX166" s="467"/>
      <c r="BY166" s="467"/>
      <c r="BZ166" s="467"/>
      <c r="CA166" s="467"/>
      <c r="CB166" s="467"/>
      <c r="CC166" s="467"/>
      <c r="CD166" s="467"/>
      <c r="CE166" s="467"/>
      <c r="CF166" s="467"/>
      <c r="CG166" s="467"/>
      <c r="CH166" s="467"/>
      <c r="CI166" s="467"/>
      <c r="CJ166" s="467"/>
      <c r="CK166" s="467"/>
      <c r="CL166" s="467"/>
      <c r="CM166" s="467"/>
      <c r="CN166" s="467"/>
      <c r="CO166" s="467"/>
      <c r="CP166" s="467"/>
      <c r="CQ166" s="467"/>
      <c r="CR166" s="467"/>
      <c r="CS166" s="467"/>
      <c r="CT166" s="467"/>
      <c r="CU166" s="467"/>
      <c r="CV166" s="467"/>
      <c r="CW166" s="467"/>
      <c r="CX166" s="467"/>
    </row>
  </sheetData>
  <sheetProtection algorithmName="SHA-512" hashValue="aTd4m88FffNRknNhoS7JDFsht3j446FIY470Xa4+0z2sbwwBLSRSUN9n52g6JnxHKcll3nwl0vt+dy6XpSbOyg==" saltValue="8beUx6Sy+NCjWtaGx8D9Mg==" spinCount="100000" sheet="1" objects="1" scenarios="1"/>
  <mergeCells count="102">
    <mergeCell ref="H142:I142"/>
    <mergeCell ref="H143:I143"/>
    <mergeCell ref="H144:I144"/>
    <mergeCell ref="H145:I145"/>
    <mergeCell ref="H146:I146"/>
    <mergeCell ref="H141:I141"/>
    <mergeCell ref="H130:I130"/>
    <mergeCell ref="H131:I131"/>
    <mergeCell ref="H132:I132"/>
    <mergeCell ref="H133:I133"/>
    <mergeCell ref="H134:I134"/>
    <mergeCell ref="H135:I135"/>
    <mergeCell ref="H136:I136"/>
    <mergeCell ref="H137:I137"/>
    <mergeCell ref="H138:I138"/>
    <mergeCell ref="H139:I139"/>
    <mergeCell ref="H140:I140"/>
    <mergeCell ref="H129:I129"/>
    <mergeCell ref="H118:I118"/>
    <mergeCell ref="H119:I119"/>
    <mergeCell ref="H120:I120"/>
    <mergeCell ref="H121:I121"/>
    <mergeCell ref="H122:I122"/>
    <mergeCell ref="H123:I123"/>
    <mergeCell ref="H124:I124"/>
    <mergeCell ref="H125:I125"/>
    <mergeCell ref="H126:I126"/>
    <mergeCell ref="H127:I127"/>
    <mergeCell ref="H128:I128"/>
    <mergeCell ref="H117:I117"/>
    <mergeCell ref="H106:I106"/>
    <mergeCell ref="H107:I107"/>
    <mergeCell ref="H108:I108"/>
    <mergeCell ref="H109:I109"/>
    <mergeCell ref="H110:I110"/>
    <mergeCell ref="H111:I111"/>
    <mergeCell ref="H112:I112"/>
    <mergeCell ref="H113:I113"/>
    <mergeCell ref="H114:I114"/>
    <mergeCell ref="H115:I115"/>
    <mergeCell ref="H116:I116"/>
    <mergeCell ref="H105:I105"/>
    <mergeCell ref="H94:I94"/>
    <mergeCell ref="H95:I95"/>
    <mergeCell ref="H96:I96"/>
    <mergeCell ref="H97:I97"/>
    <mergeCell ref="H98:I98"/>
    <mergeCell ref="H99:I99"/>
    <mergeCell ref="H100:I100"/>
    <mergeCell ref="H101:I101"/>
    <mergeCell ref="H102:I102"/>
    <mergeCell ref="H103:I103"/>
    <mergeCell ref="H104:I104"/>
    <mergeCell ref="H93:I93"/>
    <mergeCell ref="H82:I82"/>
    <mergeCell ref="H83:I83"/>
    <mergeCell ref="H84:I84"/>
    <mergeCell ref="H85:I85"/>
    <mergeCell ref="H86:I86"/>
    <mergeCell ref="H87:I87"/>
    <mergeCell ref="H88:I88"/>
    <mergeCell ref="H89:I89"/>
    <mergeCell ref="H90:I90"/>
    <mergeCell ref="H91:I91"/>
    <mergeCell ref="H92:I92"/>
    <mergeCell ref="H81:I81"/>
    <mergeCell ref="H70:I70"/>
    <mergeCell ref="H71:I71"/>
    <mergeCell ref="H72:I72"/>
    <mergeCell ref="H73:I73"/>
    <mergeCell ref="H74:I74"/>
    <mergeCell ref="H75:I75"/>
    <mergeCell ref="H76:I76"/>
    <mergeCell ref="H77:I77"/>
    <mergeCell ref="H78:I78"/>
    <mergeCell ref="H79:I79"/>
    <mergeCell ref="H80:I80"/>
    <mergeCell ref="H69:I69"/>
    <mergeCell ref="H58:I58"/>
    <mergeCell ref="H59:I59"/>
    <mergeCell ref="H60:I60"/>
    <mergeCell ref="H61:I61"/>
    <mergeCell ref="H62:I62"/>
    <mergeCell ref="H63:I63"/>
    <mergeCell ref="H64:I64"/>
    <mergeCell ref="H65:I65"/>
    <mergeCell ref="H66:I66"/>
    <mergeCell ref="H67:I67"/>
    <mergeCell ref="H68:I68"/>
    <mergeCell ref="P9:Q9"/>
    <mergeCell ref="S9:T9"/>
    <mergeCell ref="H57:I57"/>
    <mergeCell ref="H43:I43"/>
    <mergeCell ref="H44:I44"/>
    <mergeCell ref="H45:I45"/>
    <mergeCell ref="H46:I46"/>
    <mergeCell ref="H47:I47"/>
    <mergeCell ref="H48:I48"/>
    <mergeCell ref="H49:I49"/>
    <mergeCell ref="H50:I50"/>
    <mergeCell ref="H51:I51"/>
    <mergeCell ref="H55:I55"/>
  </mergeCells>
  <conditionalFormatting sqref="C57:C146">
    <cfRule type="containsText" dxfId="86" priority="4" operator="containsText" text="[Capex Item - Significant Project / Capital Program / Other Capex]">
      <formula>NOT(ISERROR(SEARCH("[Capex Item - Significant Project / Capital Program / Other Capex]",C57)))</formula>
    </cfRule>
  </conditionalFormatting>
  <conditionalFormatting sqref="D27:M27">
    <cfRule type="cellIs" dxfId="85" priority="1" operator="equal">
      <formula>0</formula>
    </cfRule>
    <cfRule type="containsText" dxfId="84" priority="2" operator="containsText" text="FALSE">
      <formula>NOT(ISERROR(SEARCH("FALSE",D27)))</formula>
    </cfRule>
  </conditionalFormatting>
  <conditionalFormatting sqref="D28:M29">
    <cfRule type="containsText" dxfId="83" priority="28" operator="containsText" text="FALSE">
      <formula>NOT(ISERROR(SEARCH("FALSE",D28)))</formula>
    </cfRule>
  </conditionalFormatting>
  <conditionalFormatting sqref="E43:E56">
    <cfRule type="containsText" dxfId="82" priority="27" operator="containsText" text="[Service]">
      <formula>NOT(ISERROR(SEARCH("[Service]",E43)))</formula>
    </cfRule>
  </conditionalFormatting>
  <conditionalFormatting sqref="E57:E146">
    <cfRule type="containsText" dxfId="81" priority="8" operator="containsText" text="[Service]">
      <formula>NOT(ISERROR(SEARCH("[Service]",E57)))</formula>
    </cfRule>
  </conditionalFormatting>
  <conditionalFormatting sqref="F43:F56">
    <cfRule type="containsText" dxfId="80" priority="26" operator="containsText" text="[Major Cost Driver]">
      <formula>NOT(ISERROR(SEARCH("[Major Cost Driver]",F43)))</formula>
    </cfRule>
  </conditionalFormatting>
  <conditionalFormatting sqref="F57:F146">
    <cfRule type="containsText" dxfId="79" priority="7" operator="containsText" text="[Major Cost Driver]">
      <formula>NOT(ISERROR(SEARCH("[Major Cost Driver]",F57)))</formula>
    </cfRule>
  </conditionalFormatting>
  <conditionalFormatting sqref="G43:G56">
    <cfRule type="containsText" dxfId="78" priority="25" operator="containsText" text="[Asset category]">
      <formula>NOT(ISERROR(SEARCH("[Asset category]",G43)))</formula>
    </cfRule>
  </conditionalFormatting>
  <conditionalFormatting sqref="G57:G146">
    <cfRule type="containsText" dxfId="77" priority="6" operator="containsText" text="[Asset category]">
      <formula>NOT(ISERROR(SEARCH("[Asset category]",G57)))</formula>
    </cfRule>
  </conditionalFormatting>
  <conditionalFormatting sqref="H43:I56">
    <cfRule type="containsText" dxfId="76" priority="24" operator="containsText" text="[Capital type]">
      <formula>NOT(ISERROR(SEARCH("[Capital type]",H43)))</formula>
    </cfRule>
  </conditionalFormatting>
  <conditionalFormatting sqref="H57:I146">
    <cfRule type="containsText" dxfId="75" priority="5" operator="containsText" text="[Capital type]">
      <formula>NOT(ISERROR(SEARCH("[Capital type]",H57)))</formula>
    </cfRule>
  </conditionalFormatting>
  <conditionalFormatting sqref="K43:K56">
    <cfRule type="containsText" dxfId="74" priority="21" operator="containsText" text="[Year finalised?]">
      <formula>NOT(ISERROR(SEARCH("[Year finalised?]",K43)))</formula>
    </cfRule>
  </conditionalFormatting>
  <conditionalFormatting sqref="K57:K146">
    <cfRule type="containsText" dxfId="73" priority="3" operator="containsText" text="[Year finalised?]">
      <formula>NOT(ISERROR(SEARCH("[Year finalised?]",K57)))</formula>
    </cfRule>
  </conditionalFormatting>
  <dataValidations count="6">
    <dataValidation type="list" allowBlank="1" showInputMessage="1" showErrorMessage="1" sqref="K43:K55 K57:K146" xr:uid="{00000000-0002-0000-0600-000000000000}">
      <formula1>Depr_Deferral</formula1>
    </dataValidation>
    <dataValidation type="list" allowBlank="1" showInputMessage="1" showErrorMessage="1" sqref="E43:E55 E57:E146" xr:uid="{00000000-0002-0000-0600-000001000000}">
      <formula1>Asset_Class</formula1>
    </dataValidation>
    <dataValidation type="list" allowBlank="1" showInputMessage="1" showErrorMessage="1" sqref="F43:F55 F57:F146" xr:uid="{00000000-0002-0000-0600-000002000000}">
      <formula1>Cost_Driver</formula1>
    </dataValidation>
    <dataValidation type="list" allowBlank="1" showInputMessage="1" showErrorMessage="1" sqref="J43:J55 J57:J146" xr:uid="{00000000-0002-0000-0600-000003000000}">
      <formula1>Depreciation_Method</formula1>
    </dataValidation>
    <dataValidation type="list" allowBlank="1" showInputMessage="1" showErrorMessage="1" sqref="H57:I146 H43:I55" xr:uid="{00000000-0002-0000-0600-000004000000}">
      <formula1>Capital_Type</formula1>
    </dataValidation>
    <dataValidation type="list" allowBlank="1" showInputMessage="1" showErrorMessage="1" sqref="G43:G55 G57:G146" xr:uid="{00000000-0002-0000-0600-000005000000}">
      <formula1>Asset_category</formula1>
    </dataValidation>
  </dataValidations>
  <hyperlinks>
    <hyperlink ref="B3" location="HL_Home" tooltip="Go to Table of Contents" display="HL_Home" xr:uid="{00000000-0004-0000-0600-000000000000}"/>
  </hyperlinks>
  <pageMargins left="0.7" right="0.7" top="0.75" bottom="0.75" header="0.3" footer="0.3"/>
  <pageSetup paperSize="9" orientation="portrait" r:id="rId1"/>
  <headerFooter>
    <oddHeader>&amp;C&amp;"Calibri"&amp;12&amp;KFF0000 OFFICIAL&amp;1#_x000D_&amp;"Arial"&amp;8&amp;K000000&amp;B&amp;"Arial"&amp;12&amp;Kff0000​‌OFFICIAL‌​</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pageSetUpPr autoPageBreaks="0"/>
  </sheetPr>
  <dimension ref="A1:AZ114"/>
  <sheetViews>
    <sheetView showGridLines="0" zoomScaleNormal="100" workbookViewId="0">
      <pane xSplit="8" ySplit="7" topLeftCell="I8" activePane="bottomRight" state="frozen"/>
      <selection activeCell="R43" sqref="R43"/>
      <selection pane="topRight" activeCell="R43" sqref="R43"/>
      <selection pane="bottomLeft" activeCell="R43" sqref="R43"/>
      <selection pane="bottomRight" activeCell="W44" sqref="W44"/>
    </sheetView>
  </sheetViews>
  <sheetFormatPr defaultColWidth="10.83203125" defaultRowHeight="12" outlineLevelCol="1"/>
  <cols>
    <col min="1" max="5" width="3.83203125" style="70" customWidth="1"/>
    <col min="6" max="9" width="10.83203125" style="70" customWidth="1"/>
    <col min="10" max="14" width="10.83203125" style="70" hidden="1" customWidth="1" outlineLevel="1"/>
    <col min="15" max="15" width="10.83203125" style="70" customWidth="1" collapsed="1"/>
    <col min="16" max="22" width="10.83203125" style="70" customWidth="1"/>
    <col min="23" max="23" width="11.5" style="70" customWidth="1"/>
    <col min="24" max="28" width="10.83203125" style="70" customWidth="1"/>
    <col min="29" max="30" width="9.83203125" style="70" customWidth="1"/>
    <col min="31" max="33" width="10.83203125" style="70"/>
    <col min="34" max="34" width="5.1640625" style="70" customWidth="1"/>
    <col min="35" max="35" width="3.6640625" style="70" bestFit="1" customWidth="1"/>
    <col min="36" max="37" width="10.83203125" style="70"/>
    <col min="38" max="38" width="17" style="70" customWidth="1"/>
    <col min="39" max="16384" width="10.83203125" style="70"/>
  </cols>
  <sheetData>
    <row r="1" spans="1:52" ht="15">
      <c r="A1" s="152">
        <v>80</v>
      </c>
      <c r="B1" s="153" t="s">
        <v>535</v>
      </c>
      <c r="R1" s="378"/>
      <c r="Y1" s="559"/>
    </row>
    <row r="2" spans="1:52" ht="12.75">
      <c r="B2" s="155" t="str">
        <f>+Contents!H7</f>
        <v>North East Water</v>
      </c>
      <c r="N2" s="560"/>
      <c r="R2" s="378"/>
      <c r="Y2" s="89"/>
    </row>
    <row r="3" spans="1:52">
      <c r="B3" s="2212" t="s">
        <v>0</v>
      </c>
      <c r="C3" s="2212"/>
      <c r="D3" s="2212"/>
      <c r="E3" s="2212"/>
      <c r="F3" s="2212"/>
      <c r="G3" s="71"/>
      <c r="W3" s="561"/>
    </row>
    <row r="4" spans="1:52">
      <c r="A4" s="160"/>
      <c r="B4" s="72"/>
      <c r="C4" s="73"/>
      <c r="F4" s="60"/>
      <c r="K4" s="63"/>
      <c r="L4" s="149"/>
      <c r="M4" s="149" t="s">
        <v>274</v>
      </c>
      <c r="N4" s="149"/>
      <c r="O4" s="149"/>
      <c r="P4" s="1619"/>
      <c r="Q4" s="150"/>
      <c r="R4" s="150"/>
      <c r="S4" s="150"/>
      <c r="T4" s="1619" t="s">
        <v>334</v>
      </c>
      <c r="U4" s="150"/>
      <c r="V4" s="150"/>
      <c r="W4" s="150"/>
      <c r="X4" s="1619"/>
      <c r="Y4" s="150"/>
      <c r="Z4" s="150" t="s">
        <v>465</v>
      </c>
      <c r="AA4" s="150"/>
      <c r="AB4" s="62"/>
      <c r="AC4" s="64"/>
      <c r="AD4" s="64"/>
      <c r="AE4" s="150" t="s">
        <v>949</v>
      </c>
      <c r="AF4" s="63"/>
      <c r="AG4" s="62"/>
    </row>
    <row r="6" spans="1:52">
      <c r="B6" s="161"/>
      <c r="I6" s="66">
        <v>2014</v>
      </c>
      <c r="J6" s="66">
        <v>2015</v>
      </c>
      <c r="K6" s="66">
        <v>2016</v>
      </c>
      <c r="L6" s="66">
        <v>2017</v>
      </c>
      <c r="M6" s="66">
        <v>2018</v>
      </c>
      <c r="N6" s="66">
        <v>2019</v>
      </c>
      <c r="O6" s="66">
        <v>2020</v>
      </c>
      <c r="P6" s="66">
        <v>2021</v>
      </c>
      <c r="Q6" s="66">
        <v>2022</v>
      </c>
      <c r="R6" s="66">
        <v>2023</v>
      </c>
      <c r="S6" s="67">
        <v>2024</v>
      </c>
      <c r="T6" s="67">
        <v>2025</v>
      </c>
      <c r="U6" s="67">
        <v>2026</v>
      </c>
      <c r="V6" s="67">
        <v>2027</v>
      </c>
      <c r="W6" s="67">
        <v>2028</v>
      </c>
      <c r="X6" s="67">
        <f>W6+1</f>
        <v>2029</v>
      </c>
      <c r="Y6" s="67">
        <f>X6+1</f>
        <v>2030</v>
      </c>
      <c r="Z6" s="67">
        <f t="shared" ref="Z6:AG6" si="0">Y6+1</f>
        <v>2031</v>
      </c>
      <c r="AA6" s="67">
        <f t="shared" si="0"/>
        <v>2032</v>
      </c>
      <c r="AB6" s="67">
        <f t="shared" si="0"/>
        <v>2033</v>
      </c>
      <c r="AC6" s="67">
        <f t="shared" si="0"/>
        <v>2034</v>
      </c>
      <c r="AD6" s="67">
        <f t="shared" si="0"/>
        <v>2035</v>
      </c>
      <c r="AE6" s="67">
        <f t="shared" si="0"/>
        <v>2036</v>
      </c>
      <c r="AF6" s="67">
        <f t="shared" si="0"/>
        <v>2037</v>
      </c>
      <c r="AG6" s="67">
        <f t="shared" si="0"/>
        <v>2038</v>
      </c>
    </row>
    <row r="7" spans="1:52">
      <c r="B7" s="74" t="str">
        <f>Opex_FO!$B$6</f>
        <v>$m, 01/01/26</v>
      </c>
      <c r="C7" s="75"/>
      <c r="D7" s="75"/>
      <c r="E7" s="75"/>
      <c r="F7" s="75"/>
      <c r="G7" s="75"/>
      <c r="H7" s="75"/>
      <c r="K7" s="342" t="str">
        <f t="shared" ref="K7:X7" si="1">+CONCATENATE(I6-1,"-",RIGHT(I6,2))</f>
        <v>2013-14</v>
      </c>
      <c r="L7" s="342" t="str">
        <f t="shared" si="1"/>
        <v>2014-15</v>
      </c>
      <c r="M7" s="342" t="str">
        <f t="shared" si="1"/>
        <v>2015-16</v>
      </c>
      <c r="N7" s="342" t="str">
        <f t="shared" si="1"/>
        <v>2016-17</v>
      </c>
      <c r="O7" s="342" t="str">
        <f t="shared" si="1"/>
        <v>2017-18</v>
      </c>
      <c r="P7" s="342" t="str">
        <f t="shared" si="1"/>
        <v>2018-19</v>
      </c>
      <c r="Q7" s="342" t="str">
        <f t="shared" si="1"/>
        <v>2019-20</v>
      </c>
      <c r="R7" s="342" t="str">
        <f t="shared" si="1"/>
        <v>2020-21</v>
      </c>
      <c r="S7" s="342" t="str">
        <f t="shared" si="1"/>
        <v>2021-22</v>
      </c>
      <c r="T7" s="342" t="str">
        <f t="shared" si="1"/>
        <v>2022-23</v>
      </c>
      <c r="U7" s="342" t="str">
        <f t="shared" si="1"/>
        <v>2023-24</v>
      </c>
      <c r="V7" s="342" t="str">
        <f t="shared" si="1"/>
        <v>2024-25</v>
      </c>
      <c r="W7" s="342" t="str">
        <f t="shared" si="1"/>
        <v>2025-26</v>
      </c>
      <c r="X7" s="2129" t="str">
        <f t="shared" si="1"/>
        <v>2026-27</v>
      </c>
      <c r="Y7" s="342" t="str">
        <f t="shared" ref="Y7:AG7" si="2">+CONCATENATE(W6-1,"-",RIGHT(W6,2))</f>
        <v>2027-28</v>
      </c>
      <c r="Z7" s="342" t="str">
        <f t="shared" si="2"/>
        <v>2028-29</v>
      </c>
      <c r="AA7" s="342" t="str">
        <f t="shared" si="2"/>
        <v>2029-30</v>
      </c>
      <c r="AB7" s="342" t="str">
        <f t="shared" si="2"/>
        <v>2030-31</v>
      </c>
      <c r="AC7" s="342" t="str">
        <f t="shared" si="2"/>
        <v>2031-32</v>
      </c>
      <c r="AD7" s="342" t="str">
        <f t="shared" si="2"/>
        <v>2032-33</v>
      </c>
      <c r="AE7" s="342" t="str">
        <f t="shared" si="2"/>
        <v>2033-34</v>
      </c>
      <c r="AF7" s="342" t="str">
        <f t="shared" si="2"/>
        <v>2034-35</v>
      </c>
      <c r="AG7" s="342" t="str">
        <f t="shared" si="2"/>
        <v>2035-36</v>
      </c>
    </row>
    <row r="8" spans="1:52" ht="12.75" thickBot="1"/>
    <row r="9" spans="1:52">
      <c r="C9" s="166"/>
      <c r="D9" s="167"/>
      <c r="E9" s="167"/>
      <c r="F9" s="167"/>
      <c r="G9" s="167"/>
      <c r="H9" s="167"/>
      <c r="I9" s="167"/>
      <c r="J9" s="167"/>
      <c r="K9" s="167"/>
      <c r="L9" s="167"/>
      <c r="M9" s="167"/>
      <c r="N9" s="167"/>
      <c r="O9" s="167"/>
      <c r="P9" s="167"/>
      <c r="Q9" s="167"/>
      <c r="R9" s="167"/>
      <c r="S9" s="167"/>
      <c r="T9" s="167"/>
      <c r="U9" s="167"/>
      <c r="V9" s="167"/>
      <c r="W9" s="1815"/>
      <c r="X9" s="167"/>
      <c r="Y9" s="167"/>
      <c r="Z9" s="167"/>
      <c r="AA9" s="167"/>
      <c r="AB9" s="1815"/>
      <c r="AC9" s="167"/>
      <c r="AD9" s="167"/>
      <c r="AE9" s="167"/>
      <c r="AF9" s="167"/>
      <c r="AG9" s="167"/>
      <c r="AH9" s="168"/>
      <c r="AJ9" s="1782" t="s">
        <v>998</v>
      </c>
    </row>
    <row r="10" spans="1:52" ht="12.75" customHeight="1" thickBot="1">
      <c r="C10" s="169"/>
      <c r="D10" s="170" t="s">
        <v>537</v>
      </c>
      <c r="R10" s="128"/>
      <c r="W10" s="81"/>
      <c r="AB10" s="81"/>
      <c r="AH10" s="171"/>
      <c r="AJ10" s="1783" t="s">
        <v>1002</v>
      </c>
      <c r="AZ10" s="70">
        <v>2</v>
      </c>
    </row>
    <row r="11" spans="1:52" ht="11.25" customHeight="1">
      <c r="C11" s="169"/>
      <c r="D11" s="74"/>
      <c r="E11" s="74"/>
      <c r="F11" s="74"/>
      <c r="G11" s="74"/>
      <c r="H11" s="74"/>
      <c r="I11" s="74"/>
      <c r="K11" s="74"/>
      <c r="L11" s="74"/>
      <c r="M11" s="74"/>
      <c r="N11" s="74"/>
      <c r="O11" s="74"/>
      <c r="P11" s="74"/>
      <c r="Q11" s="74"/>
      <c r="R11" s="74"/>
      <c r="S11" s="74"/>
      <c r="T11" s="74"/>
      <c r="U11" s="74"/>
      <c r="V11" s="74"/>
      <c r="W11" s="81"/>
      <c r="X11" s="74"/>
      <c r="Y11" s="74"/>
      <c r="Z11" s="74"/>
      <c r="AA11" s="74"/>
      <c r="AB11" s="106"/>
      <c r="AC11" s="74"/>
      <c r="AD11" s="74"/>
      <c r="AE11" s="74"/>
      <c r="AF11" s="74"/>
      <c r="AG11" s="74"/>
      <c r="AH11" s="171"/>
      <c r="AJ11" s="1784" t="s">
        <v>1003</v>
      </c>
      <c r="AK11" s="1785"/>
      <c r="AL11" s="1785"/>
      <c r="AM11" s="1785"/>
      <c r="AN11" s="1786"/>
    </row>
    <row r="12" spans="1:52">
      <c r="C12" s="169"/>
      <c r="D12" s="74"/>
      <c r="E12" s="74" t="s">
        <v>20</v>
      </c>
      <c r="F12" s="74"/>
      <c r="G12" s="74"/>
      <c r="H12" s="74"/>
      <c r="I12" s="74"/>
      <c r="J12" s="349">
        <f t="shared" ref="J12:R12" si="3">+J42</f>
        <v>0</v>
      </c>
      <c r="K12" s="349">
        <f t="shared" si="3"/>
        <v>0</v>
      </c>
      <c r="L12" s="349">
        <f t="shared" si="3"/>
        <v>0</v>
      </c>
      <c r="M12" s="349">
        <f t="shared" si="3"/>
        <v>0</v>
      </c>
      <c r="N12" s="349">
        <f t="shared" si="3"/>
        <v>0</v>
      </c>
      <c r="O12" s="349">
        <f>+O42</f>
        <v>13.858851955656109</v>
      </c>
      <c r="P12" s="349">
        <f t="shared" si="3"/>
        <v>8.8715923374777965</v>
      </c>
      <c r="Q12" s="349">
        <f t="shared" si="3"/>
        <v>14.898155760736197</v>
      </c>
      <c r="R12" s="349">
        <f t="shared" si="3"/>
        <v>17.851569935145793</v>
      </c>
      <c r="S12" s="349">
        <f>+S42</f>
        <v>21.247998458015267</v>
      </c>
      <c r="T12" s="349">
        <f t="shared" ref="T12:AB12" si="4">+T42</f>
        <v>15.902484067796607</v>
      </c>
      <c r="U12" s="349">
        <f t="shared" si="4"/>
        <v>16.848682814479638</v>
      </c>
      <c r="V12" s="349">
        <f t="shared" si="4"/>
        <v>20.237493280524014</v>
      </c>
      <c r="W12" s="388">
        <f>+W42</f>
        <v>24.322946000000005</v>
      </c>
      <c r="X12" s="349">
        <f t="shared" si="4"/>
        <v>21.345402999999997</v>
      </c>
      <c r="Y12" s="349">
        <f t="shared" si="4"/>
        <v>20.609200000000001</v>
      </c>
      <c r="Z12" s="349">
        <f t="shared" si="4"/>
        <v>27.6389</v>
      </c>
      <c r="AA12" s="349">
        <f t="shared" si="4"/>
        <v>30.192827000000005</v>
      </c>
      <c r="AB12" s="388">
        <f t="shared" si="4"/>
        <v>30.617599999999999</v>
      </c>
      <c r="AC12" s="349">
        <f>+AC42</f>
        <v>16.448999999999998</v>
      </c>
      <c r="AD12" s="349">
        <f>+AD42</f>
        <v>24.348999999999997</v>
      </c>
      <c r="AE12" s="349">
        <f>+AE42</f>
        <v>15.449</v>
      </c>
      <c r="AF12" s="349">
        <f>+AF42</f>
        <v>14.498999999999999</v>
      </c>
      <c r="AG12" s="349">
        <f>+AG42</f>
        <v>14.498999999999999</v>
      </c>
      <c r="AH12" s="171"/>
      <c r="AI12" s="70" t="s">
        <v>1053</v>
      </c>
      <c r="AJ12" s="1787"/>
      <c r="AK12" s="423"/>
      <c r="AL12" s="423"/>
      <c r="AM12" s="423"/>
      <c r="AN12" s="1788"/>
    </row>
    <row r="13" spans="1:52">
      <c r="C13" s="169"/>
      <c r="D13" s="74"/>
      <c r="E13" s="74" t="s">
        <v>21</v>
      </c>
      <c r="F13" s="74"/>
      <c r="G13" s="74"/>
      <c r="H13" s="74"/>
      <c r="I13" s="74"/>
      <c r="J13" s="349">
        <f t="shared" ref="J13:R13" si="5">+J49</f>
        <v>0</v>
      </c>
      <c r="K13" s="349">
        <f t="shared" si="5"/>
        <v>0</v>
      </c>
      <c r="L13" s="349">
        <f t="shared" si="5"/>
        <v>0</v>
      </c>
      <c r="M13" s="349">
        <f t="shared" si="5"/>
        <v>0</v>
      </c>
      <c r="N13" s="349">
        <f t="shared" si="5"/>
        <v>0</v>
      </c>
      <c r="O13" s="349">
        <f t="shared" si="5"/>
        <v>9.5740034416289568</v>
      </c>
      <c r="P13" s="349">
        <f t="shared" si="5"/>
        <v>8.9797932615452929</v>
      </c>
      <c r="Q13" s="349">
        <f t="shared" si="5"/>
        <v>14.6659255398773</v>
      </c>
      <c r="R13" s="349">
        <f t="shared" si="5"/>
        <v>12.901214391509434</v>
      </c>
      <c r="S13" s="349">
        <f>+S49</f>
        <v>29.699667256997451</v>
      </c>
      <c r="T13" s="349">
        <f t="shared" ref="T13:AB13" si="6">+T49</f>
        <v>22.647424601694912</v>
      </c>
      <c r="U13" s="349">
        <f t="shared" si="6"/>
        <v>28.685352032805433</v>
      </c>
      <c r="V13" s="349">
        <f t="shared" si="6"/>
        <v>61.397464079978171</v>
      </c>
      <c r="W13" s="388">
        <f>+W49</f>
        <v>61.071293999999995</v>
      </c>
      <c r="X13" s="349">
        <f t="shared" si="6"/>
        <v>32.777999999999999</v>
      </c>
      <c r="Y13" s="349">
        <f t="shared" si="6"/>
        <v>37.670000000000009</v>
      </c>
      <c r="Z13" s="349">
        <f t="shared" si="6"/>
        <v>16.490000000000002</v>
      </c>
      <c r="AA13" s="349">
        <f t="shared" si="6"/>
        <v>20.840000000000003</v>
      </c>
      <c r="AB13" s="388">
        <f t="shared" si="6"/>
        <v>41.548999999999999</v>
      </c>
      <c r="AC13" s="349">
        <f>+AC49</f>
        <v>47.93</v>
      </c>
      <c r="AD13" s="349">
        <f>+AD49</f>
        <v>37.75</v>
      </c>
      <c r="AE13" s="349">
        <f>+AE49</f>
        <v>37.117000000000004</v>
      </c>
      <c r="AF13" s="349">
        <f>+AF49</f>
        <v>49.75</v>
      </c>
      <c r="AG13" s="349">
        <f>+AG49</f>
        <v>39.75</v>
      </c>
      <c r="AH13" s="171"/>
      <c r="AI13" s="70" t="s">
        <v>1053</v>
      </c>
      <c r="AJ13" s="1789"/>
      <c r="AK13" s="1790"/>
      <c r="AL13" s="1790"/>
      <c r="AM13" s="1790"/>
      <c r="AN13" s="1791"/>
    </row>
    <row r="14" spans="1:52">
      <c r="C14" s="169"/>
      <c r="D14" s="74"/>
      <c r="E14" s="74" t="s">
        <v>275</v>
      </c>
      <c r="F14" s="74"/>
      <c r="G14" s="74"/>
      <c r="H14" s="74"/>
      <c r="I14" s="74"/>
      <c r="J14" s="349">
        <f t="shared" ref="J14:R14" si="7">+J56</f>
        <v>0</v>
      </c>
      <c r="K14" s="349">
        <f t="shared" si="7"/>
        <v>0</v>
      </c>
      <c r="L14" s="349">
        <f t="shared" si="7"/>
        <v>0</v>
      </c>
      <c r="M14" s="349">
        <f t="shared" si="7"/>
        <v>0</v>
      </c>
      <c r="N14" s="349">
        <f t="shared" si="7"/>
        <v>0</v>
      </c>
      <c r="O14" s="349">
        <f t="shared" si="7"/>
        <v>0</v>
      </c>
      <c r="P14" s="349">
        <f t="shared" si="7"/>
        <v>0</v>
      </c>
      <c r="Q14" s="349">
        <f t="shared" si="7"/>
        <v>0</v>
      </c>
      <c r="R14" s="349">
        <f t="shared" si="7"/>
        <v>0</v>
      </c>
      <c r="S14" s="349">
        <f>+S56</f>
        <v>0</v>
      </c>
      <c r="T14" s="349">
        <f t="shared" ref="T14:AB14" si="8">+T56</f>
        <v>0</v>
      </c>
      <c r="U14" s="349">
        <f t="shared" si="8"/>
        <v>0</v>
      </c>
      <c r="V14" s="349">
        <f t="shared" si="8"/>
        <v>0</v>
      </c>
      <c r="W14" s="388">
        <f>+W56</f>
        <v>0</v>
      </c>
      <c r="X14" s="349">
        <f t="shared" si="8"/>
        <v>0</v>
      </c>
      <c r="Y14" s="349">
        <f t="shared" si="8"/>
        <v>0</v>
      </c>
      <c r="Z14" s="349">
        <f t="shared" si="8"/>
        <v>0</v>
      </c>
      <c r="AA14" s="349">
        <f t="shared" si="8"/>
        <v>0</v>
      </c>
      <c r="AB14" s="388">
        <f t="shared" si="8"/>
        <v>0</v>
      </c>
      <c r="AC14" s="349">
        <f>+AC56</f>
        <v>0</v>
      </c>
      <c r="AD14" s="349">
        <f>+AD56</f>
        <v>0</v>
      </c>
      <c r="AE14" s="349">
        <f>+AE56</f>
        <v>0</v>
      </c>
      <c r="AF14" s="349">
        <f>+AF56</f>
        <v>0</v>
      </c>
      <c r="AG14" s="349">
        <f>+AG56</f>
        <v>0</v>
      </c>
      <c r="AH14" s="171"/>
      <c r="AI14" s="70" t="s">
        <v>1053</v>
      </c>
      <c r="AJ14" s="1789"/>
      <c r="AK14" s="423"/>
      <c r="AL14" s="423"/>
      <c r="AM14" s="423"/>
      <c r="AN14" s="1788"/>
    </row>
    <row r="15" spans="1:52">
      <c r="C15" s="169"/>
      <c r="D15" s="74"/>
      <c r="E15" s="74" t="s">
        <v>350</v>
      </c>
      <c r="F15" s="74"/>
      <c r="G15" s="74"/>
      <c r="H15" s="74"/>
      <c r="I15" s="74"/>
      <c r="J15" s="349">
        <f t="shared" ref="J15:R15" si="9">+J63</f>
        <v>0</v>
      </c>
      <c r="K15" s="349">
        <f t="shared" si="9"/>
        <v>0</v>
      </c>
      <c r="L15" s="349">
        <f t="shared" si="9"/>
        <v>0</v>
      </c>
      <c r="M15" s="349">
        <f t="shared" si="9"/>
        <v>0</v>
      </c>
      <c r="N15" s="349">
        <f t="shared" si="9"/>
        <v>0</v>
      </c>
      <c r="O15" s="349">
        <f t="shared" si="9"/>
        <v>0</v>
      </c>
      <c r="P15" s="349">
        <f t="shared" si="9"/>
        <v>0</v>
      </c>
      <c r="Q15" s="349">
        <f t="shared" si="9"/>
        <v>0</v>
      </c>
      <c r="R15" s="349">
        <f t="shared" si="9"/>
        <v>0</v>
      </c>
      <c r="S15" s="349">
        <f>+S63</f>
        <v>0</v>
      </c>
      <c r="T15" s="349">
        <f t="shared" ref="T15:AB15" si="10">+T63</f>
        <v>0</v>
      </c>
      <c r="U15" s="349">
        <f t="shared" si="10"/>
        <v>0</v>
      </c>
      <c r="V15" s="349">
        <f t="shared" si="10"/>
        <v>0</v>
      </c>
      <c r="W15" s="388">
        <f>+W63</f>
        <v>0</v>
      </c>
      <c r="X15" s="349">
        <f t="shared" si="10"/>
        <v>0</v>
      </c>
      <c r="Y15" s="349">
        <f t="shared" si="10"/>
        <v>0</v>
      </c>
      <c r="Z15" s="349">
        <f t="shared" si="10"/>
        <v>0</v>
      </c>
      <c r="AA15" s="349">
        <f t="shared" si="10"/>
        <v>0</v>
      </c>
      <c r="AB15" s="388">
        <f t="shared" si="10"/>
        <v>0</v>
      </c>
      <c r="AC15" s="349">
        <f>+AC63</f>
        <v>0</v>
      </c>
      <c r="AD15" s="349">
        <f>+AD63</f>
        <v>0</v>
      </c>
      <c r="AE15" s="349">
        <f>+AE63</f>
        <v>0</v>
      </c>
      <c r="AF15" s="349">
        <f>+AF63</f>
        <v>0</v>
      </c>
      <c r="AG15" s="349">
        <f>+AG63</f>
        <v>0</v>
      </c>
      <c r="AH15" s="171"/>
      <c r="AI15" s="70" t="s">
        <v>1053</v>
      </c>
      <c r="AJ15" s="1789"/>
      <c r="AK15" s="423"/>
      <c r="AL15" s="1792" t="s">
        <v>999</v>
      </c>
      <c r="AM15" s="1793">
        <f>IF(Pre_RP_Estimate = 2,Capex_FO_AC!W22,Capex_FO_AC!W17)</f>
        <v>13.967881085972849</v>
      </c>
      <c r="AN15" s="1788"/>
      <c r="AO15" s="70" t="s">
        <v>1053</v>
      </c>
    </row>
    <row r="16" spans="1:52" ht="12.75" thickBot="1">
      <c r="C16" s="169"/>
      <c r="D16" s="74"/>
      <c r="E16" s="74" t="s">
        <v>351</v>
      </c>
      <c r="F16" s="74"/>
      <c r="G16" s="74"/>
      <c r="H16" s="74"/>
      <c r="I16" s="74"/>
      <c r="J16" s="349">
        <f t="shared" ref="J16:R16" si="11">+J70</f>
        <v>0</v>
      </c>
      <c r="K16" s="349">
        <f t="shared" si="11"/>
        <v>0</v>
      </c>
      <c r="L16" s="349">
        <f t="shared" si="11"/>
        <v>0</v>
      </c>
      <c r="M16" s="349">
        <f t="shared" si="11"/>
        <v>0</v>
      </c>
      <c r="N16" s="349">
        <f t="shared" si="11"/>
        <v>0</v>
      </c>
      <c r="O16" s="349">
        <f t="shared" si="11"/>
        <v>0</v>
      </c>
      <c r="P16" s="349">
        <f t="shared" si="11"/>
        <v>0</v>
      </c>
      <c r="Q16" s="349">
        <f t="shared" si="11"/>
        <v>0</v>
      </c>
      <c r="R16" s="349">
        <f t="shared" si="11"/>
        <v>0</v>
      </c>
      <c r="S16" s="349">
        <f>+S70</f>
        <v>0</v>
      </c>
      <c r="T16" s="349">
        <f t="shared" ref="T16:AB16" si="12">+T70</f>
        <v>0</v>
      </c>
      <c r="U16" s="349">
        <f t="shared" si="12"/>
        <v>0</v>
      </c>
      <c r="V16" s="349">
        <f t="shared" si="12"/>
        <v>0</v>
      </c>
      <c r="W16" s="388">
        <f>+W70</f>
        <v>0</v>
      </c>
      <c r="X16" s="349">
        <f t="shared" si="12"/>
        <v>0</v>
      </c>
      <c r="Y16" s="349">
        <f t="shared" si="12"/>
        <v>0</v>
      </c>
      <c r="Z16" s="349">
        <f t="shared" si="12"/>
        <v>0</v>
      </c>
      <c r="AA16" s="349">
        <f t="shared" si="12"/>
        <v>0</v>
      </c>
      <c r="AB16" s="388">
        <f t="shared" si="12"/>
        <v>0</v>
      </c>
      <c r="AC16" s="349">
        <f>+AC70</f>
        <v>0</v>
      </c>
      <c r="AD16" s="349">
        <f>+AD70</f>
        <v>0</v>
      </c>
      <c r="AE16" s="349">
        <f>+AE70</f>
        <v>0</v>
      </c>
      <c r="AF16" s="349">
        <f>+AF70</f>
        <v>0</v>
      </c>
      <c r="AG16" s="349">
        <f>+AG70</f>
        <v>0</v>
      </c>
      <c r="AH16" s="171"/>
      <c r="AI16" s="70" t="s">
        <v>1053</v>
      </c>
      <c r="AJ16" s="1794"/>
      <c r="AK16" s="1795"/>
      <c r="AL16" s="1795"/>
      <c r="AM16" s="1795"/>
      <c r="AN16" s="1796"/>
    </row>
    <row r="17" spans="3:41" ht="12.75" thickBot="1">
      <c r="C17" s="169"/>
      <c r="D17" s="74"/>
      <c r="E17" s="112" t="s">
        <v>517</v>
      </c>
      <c r="F17" s="112"/>
      <c r="G17" s="112"/>
      <c r="H17" s="112"/>
      <c r="I17" s="112"/>
      <c r="J17" s="350">
        <f t="shared" ref="J17:AB17" si="13">+SUM(J12:J16)</f>
        <v>0</v>
      </c>
      <c r="K17" s="350">
        <f t="shared" si="13"/>
        <v>0</v>
      </c>
      <c r="L17" s="350">
        <f t="shared" si="13"/>
        <v>0</v>
      </c>
      <c r="M17" s="350">
        <f t="shared" si="13"/>
        <v>0</v>
      </c>
      <c r="N17" s="350">
        <f t="shared" si="13"/>
        <v>0</v>
      </c>
      <c r="O17" s="1816">
        <f t="shared" si="13"/>
        <v>23.432855397285067</v>
      </c>
      <c r="P17" s="350">
        <f t="shared" si="13"/>
        <v>17.851385599023089</v>
      </c>
      <c r="Q17" s="350">
        <f t="shared" si="13"/>
        <v>29.564081300613495</v>
      </c>
      <c r="R17" s="350">
        <f t="shared" si="13"/>
        <v>30.752784326655227</v>
      </c>
      <c r="S17" s="350">
        <f t="shared" si="13"/>
        <v>50.947665715012718</v>
      </c>
      <c r="T17" s="350">
        <f t="shared" si="13"/>
        <v>38.549908669491515</v>
      </c>
      <c r="U17" s="350">
        <f t="shared" si="13"/>
        <v>45.534034847285071</v>
      </c>
      <c r="V17" s="350">
        <f t="shared" si="13"/>
        <v>81.634957360502185</v>
      </c>
      <c r="W17" s="1816">
        <f>+SUM(W12:W16)</f>
        <v>85.394239999999996</v>
      </c>
      <c r="X17" s="350">
        <f t="shared" si="13"/>
        <v>54.123402999999996</v>
      </c>
      <c r="Y17" s="350">
        <f t="shared" si="13"/>
        <v>58.27920000000001</v>
      </c>
      <c r="Z17" s="350">
        <f t="shared" si="13"/>
        <v>44.128900000000002</v>
      </c>
      <c r="AA17" s="350">
        <f t="shared" si="13"/>
        <v>51.032827000000012</v>
      </c>
      <c r="AB17" s="1816">
        <f t="shared" si="13"/>
        <v>72.166600000000003</v>
      </c>
      <c r="AC17" s="350">
        <f>+SUM(AC12:AC16)</f>
        <v>64.378999999999991</v>
      </c>
      <c r="AD17" s="350">
        <f>+SUM(AD12:AD16)</f>
        <v>62.098999999999997</v>
      </c>
      <c r="AE17" s="350">
        <f>+SUM(AE12:AE16)</f>
        <v>52.566000000000003</v>
      </c>
      <c r="AF17" s="350">
        <f>+SUM(AF12:AF16)</f>
        <v>64.248999999999995</v>
      </c>
      <c r="AG17" s="350">
        <f>+SUM(AG12:AG16)</f>
        <v>54.248999999999995</v>
      </c>
      <c r="AH17" s="171"/>
      <c r="AI17" s="70" t="s">
        <v>1053</v>
      </c>
      <c r="AJ17" s="1613" t="str">
        <f>IF(Pre_RP_Estimate=1,"^Please contact ESC to explain the reasons for this selection","")</f>
        <v/>
      </c>
    </row>
    <row r="18" spans="3:41" ht="13.5" thickBot="1">
      <c r="C18" s="169"/>
      <c r="D18" s="74"/>
      <c r="E18" s="112"/>
      <c r="F18" s="112"/>
      <c r="G18" s="112"/>
      <c r="H18" s="112"/>
      <c r="I18" s="112"/>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171"/>
      <c r="AJ18" s="1783" t="s">
        <v>1007</v>
      </c>
      <c r="AN18" s="1797"/>
    </row>
    <row r="19" spans="3:41">
      <c r="C19" s="169"/>
      <c r="D19" s="74"/>
      <c r="E19" s="112"/>
      <c r="F19" s="112"/>
      <c r="G19" s="112"/>
      <c r="H19" s="112"/>
      <c r="I19" s="112"/>
      <c r="J19" s="349"/>
      <c r="K19" s="349"/>
      <c r="L19" s="349"/>
      <c r="M19" s="349"/>
      <c r="N19" s="349"/>
      <c r="O19" s="349"/>
      <c r="P19" s="349"/>
      <c r="Q19" s="349"/>
      <c r="R19" s="349"/>
      <c r="S19" s="349"/>
      <c r="U19" s="349"/>
      <c r="V19" s="378" t="s">
        <v>1004</v>
      </c>
      <c r="W19" s="589">
        <f>SUM(P17:W17)</f>
        <v>380.22905781858333</v>
      </c>
      <c r="X19" s="349"/>
      <c r="Y19" s="349"/>
      <c r="Z19" s="349"/>
      <c r="AA19" s="349" t="s">
        <v>1005</v>
      </c>
      <c r="AB19" s="589">
        <f>SUM(X17:AB17)</f>
        <v>279.73093</v>
      </c>
      <c r="AC19" s="349"/>
      <c r="AD19" s="349"/>
      <c r="AE19" s="349"/>
      <c r="AF19" s="349"/>
      <c r="AG19" s="349"/>
      <c r="AH19" s="171"/>
      <c r="AJ19" s="1798"/>
      <c r="AK19" s="1799"/>
      <c r="AL19" s="1799"/>
      <c r="AM19" s="1800"/>
      <c r="AN19" s="1801"/>
    </row>
    <row r="20" spans="3:41" s="84" customFormat="1">
      <c r="C20" s="562"/>
      <c r="D20" s="359"/>
      <c r="E20" s="74"/>
      <c r="F20" s="74"/>
      <c r="G20" s="74"/>
      <c r="H20" s="74"/>
      <c r="I20" s="74"/>
      <c r="J20" s="74"/>
      <c r="K20" s="74"/>
      <c r="L20" s="74"/>
      <c r="M20" s="74"/>
      <c r="N20" s="563"/>
      <c r="O20" s="563"/>
      <c r="P20" s="563"/>
      <c r="Q20" s="563"/>
      <c r="R20" s="563"/>
      <c r="S20" s="563"/>
      <c r="T20" s="70"/>
      <c r="U20" s="563"/>
      <c r="V20" s="378" t="s">
        <v>1010</v>
      </c>
      <c r="W20" s="2136">
        <f>SUM(P22:W22)</f>
        <v>179.91083370678729</v>
      </c>
      <c r="X20" s="74"/>
      <c r="Y20" s="74"/>
      <c r="Z20" s="74"/>
      <c r="AA20" s="378" t="s">
        <v>1010</v>
      </c>
      <c r="AB20" s="2136">
        <f>SUM(X22:AB22)</f>
        <v>50.59597466063348</v>
      </c>
      <c r="AD20" s="563"/>
      <c r="AE20" s="563"/>
      <c r="AF20" s="563"/>
      <c r="AG20" s="563"/>
      <c r="AH20" s="564"/>
      <c r="AJ20" s="1802"/>
      <c r="AK20" s="1803" t="s">
        <v>1008</v>
      </c>
      <c r="AL20" s="310"/>
      <c r="AM20" s="1804">
        <f>SUM(O17:V17)</f>
        <v>318.2676732158684</v>
      </c>
      <c r="AN20" s="1805"/>
    </row>
    <row r="21" spans="3:41" s="84" customFormat="1">
      <c r="C21" s="562"/>
      <c r="D21" s="359"/>
      <c r="E21" s="74"/>
      <c r="F21" s="74"/>
      <c r="G21" s="74"/>
      <c r="H21" s="74"/>
      <c r="I21" s="74"/>
      <c r="J21" s="74"/>
      <c r="K21" s="74"/>
      <c r="L21" s="74"/>
      <c r="M21" s="563"/>
      <c r="N21" s="563"/>
      <c r="O21" s="563"/>
      <c r="P21" s="563"/>
      <c r="Q21" s="563"/>
      <c r="R21" s="563"/>
      <c r="S21" s="563"/>
      <c r="T21" s="70"/>
      <c r="U21" s="563"/>
      <c r="V21" s="378"/>
      <c r="W21" s="378"/>
      <c r="X21" s="74"/>
      <c r="Y21" s="74"/>
      <c r="Z21" s="74"/>
      <c r="AA21" s="378"/>
      <c r="AB21" s="1511"/>
      <c r="AD21" s="563"/>
      <c r="AE21" s="563"/>
      <c r="AF21" s="563"/>
      <c r="AG21" s="563"/>
      <c r="AH21" s="564"/>
      <c r="AJ21" s="1802"/>
      <c r="AK21" s="1803" t="s">
        <v>1009</v>
      </c>
      <c r="AL21" s="310"/>
      <c r="AM21" s="1806">
        <f>SUM(O22:V22)</f>
        <v>181.3622078760697</v>
      </c>
      <c r="AN21" s="1788"/>
      <c r="AO21" s="84" t="s">
        <v>1053</v>
      </c>
    </row>
    <row r="22" spans="3:41" s="84" customFormat="1">
      <c r="C22" s="562"/>
      <c r="D22" s="359"/>
      <c r="E22" s="104" t="s">
        <v>997</v>
      </c>
      <c r="F22" s="74"/>
      <c r="G22" s="74"/>
      <c r="H22" s="74"/>
      <c r="I22" s="74"/>
      <c r="J22" s="74"/>
      <c r="K22" s="74"/>
      <c r="L22" s="74"/>
      <c r="M22" s="563"/>
      <c r="N22" s="563"/>
      <c r="O22" s="1855">
        <f>SUM('Determination Lookup'!I13:I17)</f>
        <v>15.419255255255255</v>
      </c>
      <c r="P22" s="1854">
        <f>SUM('Determination Lookup'!J13:J17)</f>
        <v>20.358994593665155</v>
      </c>
      <c r="Q22" s="1854">
        <f>SUM('Determination Lookup'!K13:K17)</f>
        <v>26.414381348416285</v>
      </c>
      <c r="R22" s="1854">
        <f>SUM('Determination Lookup'!L13:L17)</f>
        <v>28.49783766244343</v>
      </c>
      <c r="S22" s="1854">
        <f>SUM('Determination Lookup'!M13:M17)</f>
        <v>32.284592896832571</v>
      </c>
      <c r="T22" s="1854">
        <f>SUM('Determination Lookup'!N13:N17)</f>
        <v>20.546128140271492</v>
      </c>
      <c r="U22" s="1854">
        <f>SUM('Determination Lookup'!O13:O17)</f>
        <v>19.68022596108597</v>
      </c>
      <c r="V22" s="1854">
        <f>SUM('Determination Lookup'!P13:P17)</f>
        <v>18.160792018099542</v>
      </c>
      <c r="W22" s="1855">
        <f>SUM('Determination Lookup'!Q13:Q17)</f>
        <v>13.967881085972849</v>
      </c>
      <c r="X22" s="1854">
        <f>SUM('Determination Lookup'!R13:R17)</f>
        <v>24.840871493212667</v>
      </c>
      <c r="Y22" s="1854">
        <f>SUM('Determination Lookup'!S13:S17)</f>
        <v>25.755103167420813</v>
      </c>
      <c r="Z22" s="1768"/>
      <c r="AA22" s="1768"/>
      <c r="AB22" s="1928"/>
      <c r="AC22" s="1768"/>
      <c r="AD22" s="1768"/>
      <c r="AE22" s="1768"/>
      <c r="AF22" s="1768"/>
      <c r="AG22" s="1768"/>
      <c r="AH22" s="564"/>
      <c r="AI22" s="84" t="s">
        <v>1053</v>
      </c>
      <c r="AJ22" s="1802"/>
      <c r="AK22" s="1807" t="s">
        <v>1000</v>
      </c>
      <c r="AL22" s="310"/>
      <c r="AM22" s="1808">
        <f>AM20-AM21</f>
        <v>136.9054653397987</v>
      </c>
      <c r="AN22" s="1788"/>
    </row>
    <row r="23" spans="3:41" s="84" customFormat="1">
      <c r="C23" s="562"/>
      <c r="D23" s="359"/>
      <c r="E23" s="84" t="s">
        <v>1006</v>
      </c>
      <c r="F23" s="74"/>
      <c r="G23" s="74"/>
      <c r="H23" s="74"/>
      <c r="I23" s="74"/>
      <c r="J23" s="74"/>
      <c r="K23" s="74"/>
      <c r="L23" s="74"/>
      <c r="M23" s="563"/>
      <c r="N23" s="563"/>
      <c r="O23" s="1817">
        <f>IF(O22=0,"-",(O17/O22-1))</f>
        <v>0.51971382595139182</v>
      </c>
      <c r="P23" s="1769">
        <f t="shared" ref="P23:AG23" si="14">IF(P22=0,"-",(P17/P22-1))</f>
        <v>-0.1231695889060419</v>
      </c>
      <c r="Q23" s="1769">
        <f t="shared" si="14"/>
        <v>0.11924185960107891</v>
      </c>
      <c r="R23" s="1769">
        <f t="shared" si="14"/>
        <v>7.9126939065399027E-2</v>
      </c>
      <c r="S23" s="1769">
        <f t="shared" si="14"/>
        <v>0.57807985616604052</v>
      </c>
      <c r="T23" s="1769">
        <f t="shared" si="14"/>
        <v>0.87626147400159859</v>
      </c>
      <c r="U23" s="1769">
        <f t="shared" si="14"/>
        <v>1.3136947175972602</v>
      </c>
      <c r="V23" s="1769">
        <f t="shared" si="14"/>
        <v>3.4951209880682823</v>
      </c>
      <c r="W23" s="1817">
        <f t="shared" si="14"/>
        <v>5.1136144755525299</v>
      </c>
      <c r="X23" s="1769">
        <f t="shared" si="14"/>
        <v>1.1788045163708634</v>
      </c>
      <c r="Y23" s="1769">
        <f t="shared" si="14"/>
        <v>1.2628214541078169</v>
      </c>
      <c r="Z23" s="1769" t="str">
        <f t="shared" si="14"/>
        <v>-</v>
      </c>
      <c r="AA23" s="1769" t="str">
        <f t="shared" si="14"/>
        <v>-</v>
      </c>
      <c r="AB23" s="1817" t="str">
        <f t="shared" si="14"/>
        <v>-</v>
      </c>
      <c r="AC23" s="1769" t="str">
        <f t="shared" si="14"/>
        <v>-</v>
      </c>
      <c r="AD23" s="1769" t="str">
        <f t="shared" si="14"/>
        <v>-</v>
      </c>
      <c r="AE23" s="1769" t="str">
        <f t="shared" si="14"/>
        <v>-</v>
      </c>
      <c r="AF23" s="1769" t="str">
        <f t="shared" si="14"/>
        <v>-</v>
      </c>
      <c r="AG23" s="1769" t="str">
        <f t="shared" si="14"/>
        <v>-</v>
      </c>
      <c r="AH23" s="564"/>
      <c r="AI23" s="84" t="s">
        <v>1053</v>
      </c>
      <c r="AJ23" s="1809"/>
      <c r="AK23" s="1803" t="s">
        <v>1001</v>
      </c>
      <c r="AL23" s="310"/>
      <c r="AM23" s="1810">
        <f>AM22/AM21</f>
        <v>0.75487317309982438</v>
      </c>
      <c r="AN23" s="1811"/>
    </row>
    <row r="24" spans="3:41" ht="12.75" thickBot="1">
      <c r="C24" s="169"/>
      <c r="D24" s="74"/>
      <c r="E24" s="74"/>
      <c r="F24" s="74"/>
      <c r="G24" s="74"/>
      <c r="H24" s="74"/>
      <c r="I24" s="74"/>
      <c r="J24" s="349"/>
      <c r="K24" s="349"/>
      <c r="L24" s="349"/>
      <c r="M24" s="349"/>
      <c r="N24" s="349"/>
      <c r="O24" s="349"/>
      <c r="P24" s="349"/>
      <c r="Q24" s="349"/>
      <c r="R24" s="349"/>
      <c r="S24" s="349"/>
      <c r="T24" s="349"/>
      <c r="U24" s="349"/>
      <c r="V24" s="349"/>
      <c r="W24" s="388"/>
      <c r="X24" s="349"/>
      <c r="Y24" s="349"/>
      <c r="Z24" s="349"/>
      <c r="AA24" s="1514"/>
      <c r="AB24" s="1929"/>
      <c r="AC24" s="1511"/>
      <c r="AD24" s="349"/>
      <c r="AE24" s="349"/>
      <c r="AF24" s="349"/>
      <c r="AG24" s="349"/>
      <c r="AH24" s="171"/>
      <c r="AJ24" s="1812"/>
      <c r="AK24" s="1813"/>
      <c r="AL24" s="1813"/>
      <c r="AM24" s="1813"/>
      <c r="AN24" s="1814"/>
    </row>
    <row r="25" spans="3:41">
      <c r="C25" s="169"/>
      <c r="D25" s="74"/>
      <c r="E25" s="74" t="s">
        <v>19</v>
      </c>
      <c r="F25" s="74"/>
      <c r="G25" s="74"/>
      <c r="H25" s="74"/>
      <c r="I25" s="74"/>
      <c r="J25" s="349">
        <f t="shared" ref="J25:S25" si="15">+J82</f>
        <v>0</v>
      </c>
      <c r="K25" s="349">
        <f t="shared" si="15"/>
        <v>0</v>
      </c>
      <c r="L25" s="349">
        <f t="shared" si="15"/>
        <v>0</v>
      </c>
      <c r="M25" s="349">
        <f t="shared" si="15"/>
        <v>0</v>
      </c>
      <c r="N25" s="349">
        <f t="shared" si="15"/>
        <v>0</v>
      </c>
      <c r="O25" s="349">
        <f t="shared" si="15"/>
        <v>0</v>
      </c>
      <c r="P25" s="349">
        <f t="shared" si="15"/>
        <v>0</v>
      </c>
      <c r="Q25" s="349">
        <f t="shared" si="15"/>
        <v>0</v>
      </c>
      <c r="R25" s="349">
        <f t="shared" si="15"/>
        <v>0.43440823327615774</v>
      </c>
      <c r="S25" s="349">
        <f t="shared" si="15"/>
        <v>0.286412213740458</v>
      </c>
      <c r="T25" s="349">
        <f>+T82</f>
        <v>0.22711864406779658</v>
      </c>
      <c r="U25" s="349">
        <f t="shared" ref="U25:AB25" si="16">+U82</f>
        <v>1.0488834841628958</v>
      </c>
      <c r="V25" s="349">
        <f t="shared" si="16"/>
        <v>1.3501670305676856</v>
      </c>
      <c r="W25" s="388">
        <f t="shared" si="16"/>
        <v>0</v>
      </c>
      <c r="X25" s="349">
        <f t="shared" si="16"/>
        <v>1</v>
      </c>
      <c r="Y25" s="349">
        <f t="shared" si="16"/>
        <v>3.0949999999999998</v>
      </c>
      <c r="Z25" s="349">
        <f t="shared" si="16"/>
        <v>0.40500000000000003</v>
      </c>
      <c r="AA25" s="349">
        <f t="shared" si="16"/>
        <v>0</v>
      </c>
      <c r="AB25" s="388">
        <f t="shared" si="16"/>
        <v>0</v>
      </c>
      <c r="AC25" s="349">
        <f>+AC82</f>
        <v>0</v>
      </c>
      <c r="AD25" s="349">
        <f>+AD82</f>
        <v>0</v>
      </c>
      <c r="AE25" s="349">
        <f>+AE82</f>
        <v>0</v>
      </c>
      <c r="AF25" s="349">
        <f>+AF82</f>
        <v>0</v>
      </c>
      <c r="AG25" s="349">
        <f>+AG82</f>
        <v>0</v>
      </c>
      <c r="AH25" s="171"/>
      <c r="AI25" s="70" t="s">
        <v>1053</v>
      </c>
    </row>
    <row r="26" spans="3:41">
      <c r="C26" s="169"/>
      <c r="D26" s="74"/>
      <c r="E26" s="74" t="s">
        <v>22</v>
      </c>
      <c r="F26" s="74"/>
      <c r="G26" s="74"/>
      <c r="H26" s="74"/>
      <c r="I26" s="74"/>
      <c r="J26" s="349">
        <f t="shared" ref="J26:S26" si="17">+J90</f>
        <v>0</v>
      </c>
      <c r="K26" s="349">
        <f t="shared" si="17"/>
        <v>0</v>
      </c>
      <c r="L26" s="349">
        <f t="shared" si="17"/>
        <v>0</v>
      </c>
      <c r="M26" s="349">
        <f t="shared" si="17"/>
        <v>0</v>
      </c>
      <c r="N26" s="349">
        <f t="shared" si="17"/>
        <v>0</v>
      </c>
      <c r="O26" s="349">
        <f t="shared" si="17"/>
        <v>2.6926542081447966</v>
      </c>
      <c r="P26" s="349">
        <f t="shared" si="17"/>
        <v>3.2700879218472467</v>
      </c>
      <c r="Q26" s="349">
        <f t="shared" si="17"/>
        <v>3.1617423312883437</v>
      </c>
      <c r="R26" s="349">
        <f t="shared" si="17"/>
        <v>4.3923499142367071</v>
      </c>
      <c r="S26" s="349">
        <f t="shared" si="17"/>
        <v>3.4429134860050885</v>
      </c>
      <c r="T26" s="349">
        <f>+T90</f>
        <v>4.3686271186440671</v>
      </c>
      <c r="U26" s="349">
        <f t="shared" ref="U26:AB26" si="18">+U90</f>
        <v>4.1053416289592759</v>
      </c>
      <c r="V26" s="349">
        <f t="shared" si="18"/>
        <v>4.3860122227074232</v>
      </c>
      <c r="W26" s="388">
        <f t="shared" si="18"/>
        <v>3.5</v>
      </c>
      <c r="X26" s="349">
        <f t="shared" si="18"/>
        <v>4.3159999999999998</v>
      </c>
      <c r="Y26" s="349">
        <f t="shared" si="18"/>
        <v>4.38</v>
      </c>
      <c r="Z26" s="349">
        <f t="shared" si="18"/>
        <v>4.4459999999999997</v>
      </c>
      <c r="AA26" s="349">
        <f t="shared" si="18"/>
        <v>4.5140000000000002</v>
      </c>
      <c r="AB26" s="388">
        <f t="shared" si="18"/>
        <v>4.5839999999999996</v>
      </c>
      <c r="AC26" s="349">
        <f>+AC90</f>
        <v>4.6559999999999997</v>
      </c>
      <c r="AD26" s="349">
        <f>+AD90</f>
        <v>4.7300000000000004</v>
      </c>
      <c r="AE26" s="349">
        <f>+AE90</f>
        <v>4.806</v>
      </c>
      <c r="AF26" s="349">
        <f>+AF90</f>
        <v>4.883</v>
      </c>
      <c r="AG26" s="349">
        <f>+AG90</f>
        <v>4.9640000000000004</v>
      </c>
      <c r="AH26" s="171"/>
      <c r="AI26" s="70" t="s">
        <v>1053</v>
      </c>
    </row>
    <row r="27" spans="3:41">
      <c r="C27" s="169"/>
      <c r="D27" s="74"/>
      <c r="E27" s="74"/>
      <c r="F27" s="74"/>
      <c r="G27" s="74"/>
      <c r="H27" s="74"/>
      <c r="I27" s="74"/>
      <c r="J27" s="349"/>
      <c r="K27" s="349"/>
      <c r="L27" s="349"/>
      <c r="M27" s="349"/>
      <c r="N27" s="349"/>
      <c r="O27" s="349"/>
      <c r="P27" s="349"/>
      <c r="Q27" s="349"/>
      <c r="R27" s="349"/>
      <c r="S27" s="349"/>
      <c r="T27" s="349"/>
      <c r="U27" s="349"/>
      <c r="V27" s="349"/>
      <c r="W27" s="388"/>
      <c r="X27" s="349"/>
      <c r="Y27" s="349"/>
      <c r="Z27" s="349"/>
      <c r="AA27" s="349"/>
      <c r="AB27" s="388"/>
      <c r="AC27" s="349"/>
      <c r="AD27" s="349"/>
      <c r="AE27" s="349"/>
      <c r="AF27" s="349"/>
      <c r="AG27" s="349"/>
      <c r="AH27" s="171"/>
    </row>
    <row r="28" spans="3:41">
      <c r="C28" s="169"/>
      <c r="D28" s="74"/>
      <c r="E28" s="74" t="s">
        <v>61</v>
      </c>
      <c r="F28" s="74"/>
      <c r="G28" s="74"/>
      <c r="H28" s="74"/>
      <c r="I28" s="74"/>
      <c r="J28" s="349">
        <f>+J94</f>
        <v>0</v>
      </c>
      <c r="K28" s="349">
        <f>+K94</f>
        <v>0</v>
      </c>
      <c r="L28" s="349">
        <f t="shared" ref="L28:W28" si="19">+L94</f>
        <v>0</v>
      </c>
      <c r="M28" s="349">
        <f t="shared" si="19"/>
        <v>0</v>
      </c>
      <c r="N28" s="349">
        <f t="shared" si="19"/>
        <v>0</v>
      </c>
      <c r="O28" s="349">
        <f t="shared" si="19"/>
        <v>5.6636524886877826</v>
      </c>
      <c r="P28" s="349">
        <f t="shared" si="19"/>
        <v>4.5108969804618111</v>
      </c>
      <c r="Q28" s="349">
        <f t="shared" si="19"/>
        <v>7.6873251533742328</v>
      </c>
      <c r="R28" s="349">
        <f>+R94</f>
        <v>7.411487135506003</v>
      </c>
      <c r="S28" s="349">
        <f t="shared" si="19"/>
        <v>7.5732162849872768</v>
      </c>
      <c r="T28" s="349">
        <f t="shared" si="19"/>
        <v>10.665491525423727</v>
      </c>
      <c r="U28" s="349">
        <f t="shared" si="19"/>
        <v>8.2149276018099542</v>
      </c>
      <c r="V28" s="349">
        <f t="shared" si="19"/>
        <v>10.905460388646288</v>
      </c>
      <c r="W28" s="388">
        <f t="shared" si="19"/>
        <v>8.5</v>
      </c>
      <c r="X28" s="349">
        <f t="shared" ref="X28:AG28" si="20">+X94</f>
        <v>6.7</v>
      </c>
      <c r="Y28" s="349">
        <f t="shared" si="20"/>
        <v>6.7</v>
      </c>
      <c r="Z28" s="349">
        <f t="shared" si="20"/>
        <v>6.7</v>
      </c>
      <c r="AA28" s="349">
        <f t="shared" si="20"/>
        <v>6.7</v>
      </c>
      <c r="AB28" s="388">
        <f t="shared" si="20"/>
        <v>6.7</v>
      </c>
      <c r="AC28" s="349">
        <f t="shared" si="20"/>
        <v>6.7</v>
      </c>
      <c r="AD28" s="349">
        <f t="shared" si="20"/>
        <v>6.7</v>
      </c>
      <c r="AE28" s="349">
        <f t="shared" si="20"/>
        <v>6.7</v>
      </c>
      <c r="AF28" s="349">
        <f t="shared" si="20"/>
        <v>6.7</v>
      </c>
      <c r="AG28" s="349">
        <f t="shared" si="20"/>
        <v>6.7</v>
      </c>
      <c r="AH28" s="171"/>
      <c r="AI28" s="70" t="s">
        <v>1053</v>
      </c>
    </row>
    <row r="29" spans="3:41">
      <c r="C29" s="169"/>
      <c r="D29" s="74"/>
      <c r="E29" s="74" t="s">
        <v>18</v>
      </c>
      <c r="F29" s="74"/>
      <c r="G29" s="74"/>
      <c r="H29" s="74"/>
      <c r="I29" s="74"/>
      <c r="J29" s="349">
        <f>+J97</f>
        <v>0</v>
      </c>
      <c r="K29" s="349">
        <f t="shared" ref="K29:W29" si="21">+K97</f>
        <v>0</v>
      </c>
      <c r="L29" s="349">
        <f t="shared" si="21"/>
        <v>0</v>
      </c>
      <c r="M29" s="349">
        <f t="shared" si="21"/>
        <v>0</v>
      </c>
      <c r="N29" s="349">
        <f t="shared" si="21"/>
        <v>0</v>
      </c>
      <c r="O29" s="349">
        <f t="shared" si="21"/>
        <v>0.64174479638009041</v>
      </c>
      <c r="P29" s="349">
        <f t="shared" si="21"/>
        <v>0.82595648312611014</v>
      </c>
      <c r="Q29" s="349">
        <f t="shared" si="21"/>
        <v>0.65972392638036814</v>
      </c>
      <c r="R29" s="349">
        <f>+R97</f>
        <v>0.52732332761578038</v>
      </c>
      <c r="S29" s="349">
        <f t="shared" si="21"/>
        <v>0.18736132315521628</v>
      </c>
      <c r="T29" s="349">
        <f t="shared" si="21"/>
        <v>0.20894915254237284</v>
      </c>
      <c r="U29" s="349">
        <f t="shared" si="21"/>
        <v>0.52205429864253394</v>
      </c>
      <c r="V29" s="349">
        <f t="shared" si="21"/>
        <v>3.2582187772925757E-2</v>
      </c>
      <c r="W29" s="388">
        <f t="shared" si="21"/>
        <v>0.5</v>
      </c>
      <c r="X29" s="349">
        <f t="shared" ref="X29:AG29" si="22">+X97</f>
        <v>0.5</v>
      </c>
      <c r="Y29" s="349">
        <f t="shared" si="22"/>
        <v>0.5</v>
      </c>
      <c r="Z29" s="349">
        <f t="shared" si="22"/>
        <v>0.5</v>
      </c>
      <c r="AA29" s="349">
        <f t="shared" si="22"/>
        <v>0.5</v>
      </c>
      <c r="AB29" s="388">
        <f t="shared" si="22"/>
        <v>0.5</v>
      </c>
      <c r="AC29" s="349">
        <f t="shared" si="22"/>
        <v>0.5</v>
      </c>
      <c r="AD29" s="349">
        <f t="shared" si="22"/>
        <v>0.5</v>
      </c>
      <c r="AE29" s="349">
        <f t="shared" si="22"/>
        <v>0.5</v>
      </c>
      <c r="AF29" s="349">
        <f t="shared" si="22"/>
        <v>0.5</v>
      </c>
      <c r="AG29" s="349">
        <f t="shared" si="22"/>
        <v>0.5</v>
      </c>
      <c r="AH29" s="171"/>
      <c r="AI29" s="70" t="s">
        <v>1053</v>
      </c>
    </row>
    <row r="30" spans="3:41">
      <c r="C30" s="169"/>
      <c r="D30" s="74"/>
      <c r="E30" s="74" t="s">
        <v>135</v>
      </c>
      <c r="F30" s="74"/>
      <c r="G30" s="74"/>
      <c r="H30" s="74"/>
      <c r="I30" s="74"/>
      <c r="J30" s="349">
        <f>J98</f>
        <v>0</v>
      </c>
      <c r="K30" s="349">
        <f t="shared" ref="K30:W30" si="23">K98</f>
        <v>0</v>
      </c>
      <c r="L30" s="349">
        <f t="shared" si="23"/>
        <v>0</v>
      </c>
      <c r="M30" s="349">
        <f t="shared" si="23"/>
        <v>0</v>
      </c>
      <c r="N30" s="349">
        <f t="shared" si="23"/>
        <v>0</v>
      </c>
      <c r="O30" s="349">
        <f t="shared" si="23"/>
        <v>-1.0313755656108596</v>
      </c>
      <c r="P30" s="349">
        <f t="shared" si="23"/>
        <v>-1.6819023090586145</v>
      </c>
      <c r="Q30" s="349">
        <f t="shared" si="23"/>
        <v>-2.0889202453987727</v>
      </c>
      <c r="R30" s="349">
        <f>R98</f>
        <v>-1.6664382504288162</v>
      </c>
      <c r="S30" s="349">
        <f t="shared" si="23"/>
        <v>-0.54179643765903307</v>
      </c>
      <c r="T30" s="349">
        <f t="shared" si="23"/>
        <v>-0.80740677966101682</v>
      </c>
      <c r="U30" s="349">
        <f t="shared" si="23"/>
        <v>-0.54752036199095022</v>
      </c>
      <c r="V30" s="349">
        <f t="shared" si="23"/>
        <v>-0.18329912663755457</v>
      </c>
      <c r="W30" s="388">
        <f t="shared" si="23"/>
        <v>-0.5</v>
      </c>
      <c r="X30" s="349">
        <f t="shared" ref="X30:AG30" si="24">X98</f>
        <v>-0.5</v>
      </c>
      <c r="Y30" s="349">
        <f t="shared" si="24"/>
        <v>-0.5</v>
      </c>
      <c r="Z30" s="349">
        <f t="shared" si="24"/>
        <v>-0.5</v>
      </c>
      <c r="AA30" s="349">
        <f t="shared" si="24"/>
        <v>-0.5</v>
      </c>
      <c r="AB30" s="388">
        <f t="shared" si="24"/>
        <v>-0.5</v>
      </c>
      <c r="AC30" s="349">
        <f t="shared" si="24"/>
        <v>-0.5</v>
      </c>
      <c r="AD30" s="349">
        <f t="shared" si="24"/>
        <v>-0.5</v>
      </c>
      <c r="AE30" s="349">
        <f t="shared" si="24"/>
        <v>-0.5</v>
      </c>
      <c r="AF30" s="349">
        <f t="shared" si="24"/>
        <v>-0.5</v>
      </c>
      <c r="AG30" s="349">
        <f t="shared" si="24"/>
        <v>-0.5</v>
      </c>
      <c r="AH30" s="171"/>
      <c r="AI30" s="70" t="s">
        <v>1053</v>
      </c>
    </row>
    <row r="31" spans="3:41" ht="12.75" thickBot="1">
      <c r="C31" s="182"/>
      <c r="D31" s="199"/>
      <c r="E31" s="199"/>
      <c r="F31" s="199"/>
      <c r="G31" s="199"/>
      <c r="H31" s="199"/>
      <c r="I31" s="199"/>
      <c r="J31" s="565"/>
      <c r="K31" s="565"/>
      <c r="L31" s="565"/>
      <c r="M31" s="565"/>
      <c r="N31" s="565"/>
      <c r="O31" s="565"/>
      <c r="P31" s="565"/>
      <c r="Q31" s="565"/>
      <c r="R31" s="565"/>
      <c r="S31" s="565"/>
      <c r="T31" s="565"/>
      <c r="U31" s="565"/>
      <c r="V31" s="565"/>
      <c r="W31" s="1818"/>
      <c r="X31" s="565"/>
      <c r="Y31" s="565"/>
      <c r="Z31" s="565"/>
      <c r="AA31" s="565"/>
      <c r="AB31" s="1818"/>
      <c r="AC31" s="565"/>
      <c r="AD31" s="565"/>
      <c r="AE31" s="565"/>
      <c r="AF31" s="565"/>
      <c r="AG31" s="565"/>
      <c r="AH31" s="186"/>
    </row>
    <row r="32" spans="3:41">
      <c r="C32" s="74"/>
      <c r="D32" s="74"/>
      <c r="E32" s="74"/>
      <c r="F32" s="74"/>
      <c r="G32" s="74"/>
      <c r="H32" s="74"/>
      <c r="I32" s="74"/>
      <c r="J32" s="375"/>
      <c r="K32" s="375"/>
      <c r="L32" s="375"/>
      <c r="M32" s="375"/>
      <c r="N32" s="375"/>
      <c r="O32" s="375"/>
      <c r="P32" s="375"/>
      <c r="Q32" s="375"/>
      <c r="R32" s="375"/>
      <c r="S32" s="375"/>
      <c r="T32" s="375"/>
      <c r="U32" s="375"/>
      <c r="V32" s="566"/>
      <c r="W32" s="566"/>
      <c r="X32" s="375"/>
      <c r="Y32" s="375"/>
      <c r="Z32" s="375"/>
      <c r="AA32" s="375"/>
      <c r="AB32" s="375"/>
    </row>
    <row r="33" spans="2:34">
      <c r="D33" s="74"/>
      <c r="E33" s="74"/>
      <c r="F33" s="74"/>
      <c r="G33" s="74"/>
      <c r="H33" s="74"/>
      <c r="I33" s="74"/>
      <c r="J33" s="375"/>
      <c r="K33" s="375"/>
      <c r="L33" s="375"/>
      <c r="M33" s="375"/>
      <c r="N33" s="559"/>
      <c r="O33" s="399"/>
      <c r="P33" s="399"/>
      <c r="Q33" s="399"/>
      <c r="R33" s="375"/>
      <c r="S33" s="375"/>
      <c r="T33" s="375"/>
      <c r="U33" s="375"/>
      <c r="W33" s="358" t="s">
        <v>538</v>
      </c>
      <c r="X33" s="567">
        <f>+'Capex_FO input'!D30</f>
        <v>54.123403000000003</v>
      </c>
      <c r="Y33" s="568">
        <f>+'Capex_FO input'!E30</f>
        <v>58.279200000000003</v>
      </c>
      <c r="Z33" s="568">
        <f>+'Capex_FO input'!F30</f>
        <v>44.128899999999994</v>
      </c>
      <c r="AA33" s="568">
        <f>+'Capex_FO input'!G30</f>
        <v>51.032826999999997</v>
      </c>
      <c r="AB33" s="568">
        <f>+'Capex_FO input'!H30</f>
        <v>72.166600000000003</v>
      </c>
      <c r="AC33" s="567">
        <f>+'Capex_FO input'!I30</f>
        <v>64.379000000000005</v>
      </c>
      <c r="AD33" s="568">
        <f>+'Capex_FO input'!J30</f>
        <v>62.099000000000004</v>
      </c>
      <c r="AE33" s="568">
        <f>+'Capex_FO input'!K30</f>
        <v>52.566000000000003</v>
      </c>
      <c r="AF33" s="568">
        <f>+'Capex_FO input'!L30</f>
        <v>64.249000000000009</v>
      </c>
      <c r="AG33" s="569">
        <f>+'Capex_FO input'!M30</f>
        <v>54.249000000000002</v>
      </c>
    </row>
    <row r="34" spans="2:34">
      <c r="L34" s="375"/>
      <c r="M34" s="375"/>
      <c r="N34" s="399"/>
      <c r="O34" s="399"/>
      <c r="P34" s="399"/>
      <c r="Q34" s="399"/>
      <c r="R34" s="375"/>
      <c r="S34" s="375"/>
      <c r="T34" s="375"/>
      <c r="U34" s="375"/>
      <c r="W34" s="358" t="s">
        <v>539</v>
      </c>
      <c r="X34" s="570">
        <f>+X33-X17</f>
        <v>0</v>
      </c>
      <c r="Y34" s="571">
        <f t="shared" ref="Y34:AG34" si="25">+Y33-Y17</f>
        <v>0</v>
      </c>
      <c r="Z34" s="571">
        <f t="shared" si="25"/>
        <v>0</v>
      </c>
      <c r="AA34" s="571">
        <f t="shared" si="25"/>
        <v>0</v>
      </c>
      <c r="AB34" s="571">
        <f t="shared" si="25"/>
        <v>0</v>
      </c>
      <c r="AC34" s="570">
        <f t="shared" si="25"/>
        <v>0</v>
      </c>
      <c r="AD34" s="571">
        <f t="shared" si="25"/>
        <v>0</v>
      </c>
      <c r="AE34" s="571">
        <f t="shared" si="25"/>
        <v>0</v>
      </c>
      <c r="AF34" s="571">
        <f t="shared" si="25"/>
        <v>0</v>
      </c>
      <c r="AG34" s="572">
        <f t="shared" si="25"/>
        <v>0</v>
      </c>
    </row>
    <row r="35" spans="2:34">
      <c r="B35" s="377" t="s">
        <v>570</v>
      </c>
      <c r="L35" s="375"/>
      <c r="M35" s="375"/>
      <c r="N35" s="375"/>
      <c r="O35" s="375"/>
      <c r="P35" s="375"/>
      <c r="Q35" s="375"/>
      <c r="R35" s="375"/>
      <c r="S35" s="375"/>
      <c r="T35" s="375"/>
      <c r="U35" s="375"/>
      <c r="V35" s="566"/>
      <c r="W35" s="358" t="s">
        <v>540</v>
      </c>
      <c r="X35" s="1781">
        <f>IF(X33=X17,0,1)</f>
        <v>0</v>
      </c>
      <c r="Y35" s="1781">
        <f t="shared" ref="Y35:AG35" si="26">IF(Y33=Y17,0,1)</f>
        <v>0</v>
      </c>
      <c r="Z35" s="1781">
        <f t="shared" si="26"/>
        <v>0</v>
      </c>
      <c r="AA35" s="1781">
        <f t="shared" si="26"/>
        <v>0</v>
      </c>
      <c r="AB35" s="1781">
        <f t="shared" si="26"/>
        <v>0</v>
      </c>
      <c r="AC35" s="1781">
        <f t="shared" si="26"/>
        <v>0</v>
      </c>
      <c r="AD35" s="1781">
        <f t="shared" si="26"/>
        <v>0</v>
      </c>
      <c r="AE35" s="1781">
        <f t="shared" si="26"/>
        <v>0</v>
      </c>
      <c r="AF35" s="1781">
        <f t="shared" si="26"/>
        <v>0</v>
      </c>
      <c r="AG35" s="1781">
        <f t="shared" si="26"/>
        <v>0</v>
      </c>
      <c r="AH35" s="323"/>
    </row>
    <row r="36" spans="2:34">
      <c r="J36" s="375"/>
      <c r="K36" s="375"/>
      <c r="L36" s="375"/>
      <c r="M36" s="375"/>
      <c r="N36" s="375"/>
      <c r="O36" s="375"/>
      <c r="P36" s="375"/>
      <c r="Q36" s="375"/>
      <c r="R36" s="375"/>
      <c r="S36" s="375"/>
      <c r="T36" s="375"/>
      <c r="U36" s="375"/>
      <c r="V36" s="375"/>
      <c r="W36" s="375"/>
      <c r="X36" s="375"/>
      <c r="Y36" s="375"/>
      <c r="Z36" s="375"/>
      <c r="AA36" s="375"/>
      <c r="AB36" s="375"/>
    </row>
    <row r="37" spans="2:34">
      <c r="C37" s="380" t="str">
        <f>E12</f>
        <v>Water</v>
      </c>
      <c r="J37" s="573"/>
      <c r="K37" s="573"/>
      <c r="L37" s="573"/>
      <c r="M37" s="573"/>
      <c r="N37" s="382"/>
      <c r="O37" s="382"/>
      <c r="P37" s="382"/>
      <c r="Q37" s="382"/>
      <c r="R37" s="573"/>
      <c r="S37" s="382"/>
      <c r="T37" s="382"/>
      <c r="U37" s="382"/>
      <c r="V37" s="382"/>
      <c r="W37" s="382"/>
      <c r="X37" s="382"/>
      <c r="Y37" s="382"/>
      <c r="Z37" s="382"/>
      <c r="AA37" s="382"/>
      <c r="AB37" s="382"/>
    </row>
    <row r="38" spans="2:34">
      <c r="D38" s="383" t="s">
        <v>13</v>
      </c>
      <c r="J38" s="574"/>
      <c r="K38" s="384"/>
      <c r="L38" s="385"/>
      <c r="M38" s="385"/>
      <c r="N38" s="384"/>
      <c r="O38" s="428">
        <v>3.6834865276018096</v>
      </c>
      <c r="P38" s="428">
        <v>1.7148693436944935</v>
      </c>
      <c r="Q38" s="429">
        <v>6.1853754662576685</v>
      </c>
      <c r="R38" s="429">
        <v>7.6276478759691244</v>
      </c>
      <c r="S38" s="429">
        <v>4.7921095343511455</v>
      </c>
      <c r="T38" s="429">
        <v>2.2869030508474575</v>
      </c>
      <c r="U38" s="429">
        <v>2.0428175701357465</v>
      </c>
      <c r="V38" s="429">
        <v>3.2992307690174667</v>
      </c>
      <c r="W38" s="430">
        <v>4.7140000000000004</v>
      </c>
      <c r="X38" s="575">
        <f>+SUMIFS('Capex_FO input'!O$43:O$1021,'Capex_FO input'!$E$43:$E$1021,Capex_FO_AC!$C$37,'Capex_FO input'!$G$43:$G$1021,Capex_FO_AC!$D$38)</f>
        <v>5.6400000000000006</v>
      </c>
      <c r="Y38" s="575">
        <f>+SUMIFS('Capex_FO input'!P$43:P$1021,'Capex_FO input'!$E$43:$E$1021,Capex_FO_AC!$C$37,'Capex_FO input'!$G$43:$G$1021,Capex_FO_AC!$D$38)</f>
        <v>5.8100000000000005</v>
      </c>
      <c r="Z38" s="575">
        <f>+SUMIFS('Capex_FO input'!Q$43:Q$1021,'Capex_FO input'!$E$43:$E$1021,Capex_FO_AC!$C$37,'Capex_FO input'!$G$43:$G$1021,Capex_FO_AC!$D$38)</f>
        <v>0.94</v>
      </c>
      <c r="AA38" s="575">
        <f>+SUMIFS('Capex_FO input'!R$43:R$1021,'Capex_FO input'!$E$43:$E$1021,Capex_FO_AC!$C$37,'Capex_FO input'!$G$43:$G$1021,Capex_FO_AC!$D$38)</f>
        <v>0.94</v>
      </c>
      <c r="AB38" s="576">
        <f>+SUMIFS('Capex_FO input'!S$43:S$1021,'Capex_FO input'!$E$43:$E$1021,Capex_FO_AC!$C$37,'Capex_FO input'!$G$43:$G$1021,Capex_FO_AC!$D$38)</f>
        <v>0.94</v>
      </c>
      <c r="AC38" s="575">
        <f>+SUMIFS('Capex_FO input'!T$43:T$1021,'Capex_FO input'!$E$43:$E$1021,Capex_FO_AC!$C$37,'Capex_FO input'!$G$43:$G$1021,Capex_FO_AC!$D$38)</f>
        <v>0.94</v>
      </c>
      <c r="AD38" s="575">
        <f>+SUMIFS('Capex_FO input'!U$43:U$1021,'Capex_FO input'!$E$43:$E$1021,Capex_FO_AC!$C$37,'Capex_FO input'!$G$43:$G$1021,Capex_FO_AC!$D$38)</f>
        <v>0.94</v>
      </c>
      <c r="AE38" s="575">
        <f>+SUMIFS('Capex_FO input'!V$43:V$1021,'Capex_FO input'!$E$43:$E$1021,Capex_FO_AC!$C$37,'Capex_FO input'!$G$43:$G$1021,Capex_FO_AC!$D$38)</f>
        <v>0.94</v>
      </c>
      <c r="AF38" s="575">
        <f>+SUMIFS('Capex_FO input'!W$43:W$1021,'Capex_FO input'!$E$43:$E$1021,Capex_FO_AC!$C$37,'Capex_FO input'!$G$43:$G$1021,Capex_FO_AC!$D$38)</f>
        <v>0.94</v>
      </c>
      <c r="AG38" s="576">
        <f>+SUMIFS('Capex_FO input'!X$43:X$1021,'Capex_FO input'!$E$43:$E$1021,Capex_FO_AC!$C$37,'Capex_FO input'!$G$43:$G$1021,Capex_FO_AC!$D$38)</f>
        <v>0.94</v>
      </c>
      <c r="AH38" s="70" t="s">
        <v>1053</v>
      </c>
    </row>
    <row r="39" spans="2:34">
      <c r="D39" s="383" t="s">
        <v>14</v>
      </c>
      <c r="J39" s="577"/>
      <c r="K39" s="387"/>
      <c r="L39" s="349"/>
      <c r="M39" s="349"/>
      <c r="N39" s="387"/>
      <c r="O39" s="431">
        <v>2.630388409954751</v>
      </c>
      <c r="P39" s="431">
        <v>4.106974270870337</v>
      </c>
      <c r="Q39" s="432">
        <v>4.5074817239263805</v>
      </c>
      <c r="R39" s="432">
        <v>3.3079438816466551</v>
      </c>
      <c r="S39" s="432">
        <v>6.7246831068702297</v>
      </c>
      <c r="T39" s="432">
        <v>7.1478382203389828</v>
      </c>
      <c r="U39" s="432">
        <v>5.9393151968325792</v>
      </c>
      <c r="V39" s="432">
        <v>7.7415412089956321</v>
      </c>
      <c r="W39" s="433">
        <v>7.9399999999999995</v>
      </c>
      <c r="X39" s="578">
        <f>+SUMIFS('Capex_FO input'!O$43:O$1021,'Capex_FO input'!$E$43:$E$1021,Capex_FO_AC!$C$37,'Capex_FO input'!$G$43:$G$1021,Capex_FO_AC!$D$39)</f>
        <v>6.7440299999999995</v>
      </c>
      <c r="Y39" s="578">
        <f>+SUMIFS('Capex_FO input'!P$43:P$1021,'Capex_FO input'!$E$43:$E$1021,Capex_FO_AC!$C$37,'Capex_FO input'!$G$43:$G$1021,Capex_FO_AC!$D$39)</f>
        <v>7.4987000000000004</v>
      </c>
      <c r="Z39" s="578">
        <f>+SUMIFS('Capex_FO input'!Q$43:Q$1021,'Capex_FO input'!$E$43:$E$1021,Capex_FO_AC!$C$37,'Capex_FO input'!$G$43:$G$1021,Capex_FO_AC!$D$39)</f>
        <v>11.863999999999999</v>
      </c>
      <c r="AA39" s="578">
        <f>+SUMIFS('Capex_FO input'!R$43:R$1021,'Capex_FO input'!$E$43:$E$1021,Capex_FO_AC!$C$37,'Capex_FO input'!$G$43:$G$1021,Capex_FO_AC!$D$39)</f>
        <v>12.715999999999999</v>
      </c>
      <c r="AB39" s="579">
        <f>+SUMIFS('Capex_FO input'!S$43:S$1021,'Capex_FO input'!$E$43:$E$1021,Capex_FO_AC!$C$37,'Capex_FO input'!$G$43:$G$1021,Capex_FO_AC!$D$39)</f>
        <v>16.655000000000001</v>
      </c>
      <c r="AC39" s="578">
        <f>+SUMIFS('Capex_FO input'!T$43:T$1021,'Capex_FO input'!$E$43:$E$1021,Capex_FO_AC!$C$37,'Capex_FO input'!$G$43:$G$1021,Capex_FO_AC!$D$39)</f>
        <v>5.0999999999999996</v>
      </c>
      <c r="AD39" s="578">
        <f>+SUMIFS('Capex_FO input'!U$43:U$1021,'Capex_FO input'!$E$43:$E$1021,Capex_FO_AC!$C$37,'Capex_FO input'!$G$43:$G$1021,Capex_FO_AC!$D$39)</f>
        <v>14</v>
      </c>
      <c r="AE39" s="578">
        <f>+SUMIFS('Capex_FO input'!V$43:V$1021,'Capex_FO input'!$E$43:$E$1021,Capex_FO_AC!$C$37,'Capex_FO input'!$G$43:$G$1021,Capex_FO_AC!$D$39)</f>
        <v>5.0999999999999996</v>
      </c>
      <c r="AF39" s="578">
        <f>+SUMIFS('Capex_FO input'!W$43:W$1021,'Capex_FO input'!$E$43:$E$1021,Capex_FO_AC!$C$37,'Capex_FO input'!$G$43:$G$1021,Capex_FO_AC!$D$39)</f>
        <v>4.0999999999999996</v>
      </c>
      <c r="AG39" s="579">
        <f>+SUMIFS('Capex_FO input'!X$43:X$1021,'Capex_FO input'!$E$43:$E$1021,Capex_FO_AC!$C$37,'Capex_FO input'!$G$43:$G$1021,Capex_FO_AC!$D$39)</f>
        <v>4.0999999999999996</v>
      </c>
      <c r="AH39" s="70" t="s">
        <v>1053</v>
      </c>
    </row>
    <row r="40" spans="2:34">
      <c r="D40" s="383" t="s">
        <v>6</v>
      </c>
      <c r="J40" s="577"/>
      <c r="K40" s="387"/>
      <c r="L40" s="349"/>
      <c r="M40" s="349"/>
      <c r="N40" s="387"/>
      <c r="O40" s="431">
        <v>5.0575117954751132</v>
      </c>
      <c r="P40" s="431">
        <v>1.2066536962699821</v>
      </c>
      <c r="Q40" s="432">
        <v>1.7698691226993863</v>
      </c>
      <c r="R40" s="432">
        <v>2.8253006475128637</v>
      </c>
      <c r="S40" s="432">
        <v>2.1937910585241731</v>
      </c>
      <c r="T40" s="432">
        <v>1.2735394067796608</v>
      </c>
      <c r="U40" s="432">
        <v>3.8412468800904982</v>
      </c>
      <c r="V40" s="432">
        <v>6.7139909531659381</v>
      </c>
      <c r="W40" s="433">
        <v>9.600946000000004</v>
      </c>
      <c r="X40" s="578">
        <f>+SUMIFS('Capex_FO input'!O$43:O$1021,'Capex_FO input'!$E$43:$E$1021,Capex_FO_AC!$C$37,'Capex_FO input'!$G$43:$G$1021,Capex_FO_AC!$D$40)</f>
        <v>5.4899999999999993</v>
      </c>
      <c r="Y40" s="578">
        <f>+SUMIFS('Capex_FO input'!P$43:P$1021,'Capex_FO input'!$E$43:$E$1021,Capex_FO_AC!$C$37,'Capex_FO input'!$G$43:$G$1021,Capex_FO_AC!$D$40)</f>
        <v>4.2699999999999996</v>
      </c>
      <c r="Z40" s="578">
        <f>+SUMIFS('Capex_FO input'!Q$43:Q$1021,'Capex_FO input'!$E$43:$E$1021,Capex_FO_AC!$C$37,'Capex_FO input'!$G$43:$G$1021,Capex_FO_AC!$D$40)</f>
        <v>11.89</v>
      </c>
      <c r="AA40" s="578">
        <f>+SUMIFS('Capex_FO input'!R$43:R$1021,'Capex_FO input'!$E$43:$E$1021,Capex_FO_AC!$C$37,'Capex_FO input'!$G$43:$G$1021,Capex_FO_AC!$D$40)</f>
        <v>12.300000000000002</v>
      </c>
      <c r="AB40" s="579">
        <f>+SUMIFS('Capex_FO input'!S$43:S$1021,'Capex_FO input'!$E$43:$E$1021,Capex_FO_AC!$C$37,'Capex_FO input'!$G$43:$G$1021,Capex_FO_AC!$D$40)</f>
        <v>7.8899999999999988</v>
      </c>
      <c r="AC40" s="578">
        <f>+SUMIFS('Capex_FO input'!T$43:T$1021,'Capex_FO input'!$E$43:$E$1021,Capex_FO_AC!$C$37,'Capex_FO input'!$G$43:$G$1021,Capex_FO_AC!$D$40)</f>
        <v>6</v>
      </c>
      <c r="AD40" s="578">
        <f>+SUMIFS('Capex_FO input'!U$43:U$1021,'Capex_FO input'!$E$43:$E$1021,Capex_FO_AC!$C$37,'Capex_FO input'!$G$43:$G$1021,Capex_FO_AC!$D$40)</f>
        <v>5</v>
      </c>
      <c r="AE40" s="578">
        <f>+SUMIFS('Capex_FO input'!V$43:V$1021,'Capex_FO input'!$E$43:$E$1021,Capex_FO_AC!$C$37,'Capex_FO input'!$G$43:$G$1021,Capex_FO_AC!$D$40)</f>
        <v>5</v>
      </c>
      <c r="AF40" s="578">
        <f>+SUMIFS('Capex_FO input'!W$43:W$1021,'Capex_FO input'!$E$43:$E$1021,Capex_FO_AC!$C$37,'Capex_FO input'!$G$43:$G$1021,Capex_FO_AC!$D$40)</f>
        <v>5</v>
      </c>
      <c r="AG40" s="579">
        <f>+SUMIFS('Capex_FO input'!X$43:X$1021,'Capex_FO input'!$E$43:$E$1021,Capex_FO_AC!$C$37,'Capex_FO input'!$G$43:$G$1021,Capex_FO_AC!$D$40)</f>
        <v>5</v>
      </c>
      <c r="AH40" s="70" t="s">
        <v>1053</v>
      </c>
    </row>
    <row r="41" spans="2:34">
      <c r="D41" s="383" t="s">
        <v>10</v>
      </c>
      <c r="J41" s="580"/>
      <c r="K41" s="392"/>
      <c r="L41" s="393"/>
      <c r="M41" s="393"/>
      <c r="N41" s="392"/>
      <c r="O41" s="434">
        <v>2.4874652226244343</v>
      </c>
      <c r="P41" s="434">
        <v>1.843095026642984</v>
      </c>
      <c r="Q41" s="435">
        <v>2.4354294478527607</v>
      </c>
      <c r="R41" s="435">
        <v>4.0906775300171523</v>
      </c>
      <c r="S41" s="435">
        <v>7.53741475826972</v>
      </c>
      <c r="T41" s="435">
        <v>5.1942033898305073</v>
      </c>
      <c r="U41" s="435">
        <v>5.0253031674208142</v>
      </c>
      <c r="V41" s="435">
        <v>2.4827303493449779</v>
      </c>
      <c r="W41" s="436">
        <v>2.0680000000000001</v>
      </c>
      <c r="X41" s="581">
        <f>+SUMIFS('Capex_FO input'!O$43:O$1021,'Capex_FO input'!$E$43:$E$1021,Capex_FO_AC!$C$37,'Capex_FO input'!$G$43:$G$1021,Capex_FO_AC!$D$41)</f>
        <v>3.4713730000000003</v>
      </c>
      <c r="Y41" s="581">
        <f>+SUMIFS('Capex_FO input'!P$43:P$1021,'Capex_FO input'!$E$43:$E$1021,Capex_FO_AC!$C$37,'Capex_FO input'!$G$43:$G$1021,Capex_FO_AC!$D$41)</f>
        <v>3.0305</v>
      </c>
      <c r="Z41" s="581">
        <f>+SUMIFS('Capex_FO input'!Q$43:Q$1021,'Capex_FO input'!$E$43:$E$1021,Capex_FO_AC!$C$37,'Capex_FO input'!$G$43:$G$1021,Capex_FO_AC!$D$41)</f>
        <v>2.9449000000000001</v>
      </c>
      <c r="AA41" s="581">
        <f>+SUMIFS('Capex_FO input'!R$43:R$1021,'Capex_FO input'!$E$43:$E$1021,Capex_FO_AC!$C$37,'Capex_FO input'!$G$43:$G$1021,Capex_FO_AC!$D$41)</f>
        <v>4.2368270000000008</v>
      </c>
      <c r="AB41" s="582">
        <f>+SUMIFS('Capex_FO input'!S$43:S$1021,'Capex_FO input'!$E$43:$E$1021,Capex_FO_AC!$C$37,'Capex_FO input'!$G$43:$G$1021,Capex_FO_AC!$D$41)</f>
        <v>5.1326000000000001</v>
      </c>
      <c r="AC41" s="581">
        <f>+SUMIFS('Capex_FO input'!T$43:T$1021,'Capex_FO input'!$E$43:$E$1021,Capex_FO_AC!$C$37,'Capex_FO input'!$G$43:$G$1021,Capex_FO_AC!$D$41)</f>
        <v>4.4090000000000007</v>
      </c>
      <c r="AD41" s="581">
        <f>+SUMIFS('Capex_FO input'!U$43:U$1021,'Capex_FO input'!$E$43:$E$1021,Capex_FO_AC!$C$37,'Capex_FO input'!$G$43:$G$1021,Capex_FO_AC!$D$41)</f>
        <v>4.4090000000000007</v>
      </c>
      <c r="AE41" s="581">
        <f>+SUMIFS('Capex_FO input'!V$43:V$1021,'Capex_FO input'!$E$43:$E$1021,Capex_FO_AC!$C$37,'Capex_FO input'!$G$43:$G$1021,Capex_FO_AC!$D$41)</f>
        <v>4.4090000000000007</v>
      </c>
      <c r="AF41" s="581">
        <f>+SUMIFS('Capex_FO input'!W$43:W$1021,'Capex_FO input'!$E$43:$E$1021,Capex_FO_AC!$C$37,'Capex_FO input'!$G$43:$G$1021,Capex_FO_AC!$D$41)</f>
        <v>4.4590000000000005</v>
      </c>
      <c r="AG41" s="582">
        <f>+SUMIFS('Capex_FO input'!X$43:X$1021,'Capex_FO input'!$E$43:$E$1021,Capex_FO_AC!$C$37,'Capex_FO input'!$G$43:$G$1021,Capex_FO_AC!$D$41)</f>
        <v>4.4590000000000005</v>
      </c>
      <c r="AH41" s="70" t="s">
        <v>1053</v>
      </c>
    </row>
    <row r="42" spans="2:34">
      <c r="C42" s="380" t="str">
        <f>+CONCATENATE("Total ",C37)</f>
        <v>Total Water</v>
      </c>
      <c r="J42" s="349">
        <f>+SUM(J38:J41)</f>
        <v>0</v>
      </c>
      <c r="K42" s="349">
        <f>+SUM(K38:K41)</f>
        <v>0</v>
      </c>
      <c r="L42" s="349">
        <f t="shared" ref="L42:W42" si="27">+SUM(L38:L41)</f>
        <v>0</v>
      </c>
      <c r="M42" s="349">
        <f t="shared" si="27"/>
        <v>0</v>
      </c>
      <c r="N42" s="349">
        <f t="shared" si="27"/>
        <v>0</v>
      </c>
      <c r="O42" s="378">
        <f>+SUM(O38:O41)</f>
        <v>13.858851955656109</v>
      </c>
      <c r="P42" s="378">
        <f>+SUM(P38:P41)</f>
        <v>8.8715923374777965</v>
      </c>
      <c r="Q42" s="378">
        <f>+SUM(Q38:Q41)</f>
        <v>14.898155760736197</v>
      </c>
      <c r="R42" s="378">
        <f t="shared" si="27"/>
        <v>17.851569935145793</v>
      </c>
      <c r="S42" s="378">
        <f t="shared" si="27"/>
        <v>21.247998458015267</v>
      </c>
      <c r="T42" s="378">
        <f t="shared" si="27"/>
        <v>15.902484067796607</v>
      </c>
      <c r="U42" s="378">
        <f t="shared" si="27"/>
        <v>16.848682814479638</v>
      </c>
      <c r="V42" s="378">
        <f t="shared" si="27"/>
        <v>20.237493280524014</v>
      </c>
      <c r="W42" s="378">
        <f t="shared" si="27"/>
        <v>24.322946000000005</v>
      </c>
      <c r="X42" s="378">
        <f t="shared" ref="X42:AG42" si="28">+SUM(X38:X41)</f>
        <v>21.345402999999997</v>
      </c>
      <c r="Y42" s="378">
        <f t="shared" si="28"/>
        <v>20.609200000000001</v>
      </c>
      <c r="Z42" s="378">
        <f t="shared" si="28"/>
        <v>27.6389</v>
      </c>
      <c r="AA42" s="378">
        <f t="shared" si="28"/>
        <v>30.192827000000005</v>
      </c>
      <c r="AB42" s="378">
        <f t="shared" si="28"/>
        <v>30.617599999999999</v>
      </c>
      <c r="AC42" s="378">
        <f t="shared" si="28"/>
        <v>16.448999999999998</v>
      </c>
      <c r="AD42" s="378">
        <f t="shared" si="28"/>
        <v>24.348999999999997</v>
      </c>
      <c r="AE42" s="378">
        <f t="shared" si="28"/>
        <v>15.449</v>
      </c>
      <c r="AF42" s="378">
        <f t="shared" si="28"/>
        <v>14.498999999999999</v>
      </c>
      <c r="AG42" s="378">
        <f t="shared" si="28"/>
        <v>14.498999999999999</v>
      </c>
      <c r="AH42" s="70" t="s">
        <v>1053</v>
      </c>
    </row>
    <row r="43" spans="2:34">
      <c r="J43" s="349"/>
      <c r="K43" s="349"/>
      <c r="L43" s="349"/>
      <c r="M43" s="349"/>
      <c r="N43" s="349"/>
      <c r="O43" s="349"/>
      <c r="P43" s="349"/>
      <c r="Q43" s="349"/>
      <c r="R43" s="349"/>
      <c r="S43" s="378"/>
      <c r="T43" s="378"/>
      <c r="U43" s="378"/>
      <c r="V43" s="378"/>
      <c r="W43" s="1776">
        <f>SUM(P42:W42)</f>
        <v>140.1809226541753</v>
      </c>
      <c r="X43" s="378"/>
      <c r="Y43" s="378"/>
      <c r="Z43" s="378"/>
      <c r="AA43" s="378"/>
      <c r="AB43" s="1776">
        <f>SUM(X42:AB42)</f>
        <v>130.40393</v>
      </c>
      <c r="AC43" s="378"/>
      <c r="AD43" s="378"/>
      <c r="AE43" s="378"/>
      <c r="AF43" s="378"/>
      <c r="AG43" s="1776">
        <f>SUM(AC42:AG42)</f>
        <v>85.24499999999999</v>
      </c>
      <c r="AH43" s="70" t="s">
        <v>1053</v>
      </c>
    </row>
    <row r="44" spans="2:34">
      <c r="C44" s="380" t="str">
        <f>E13</f>
        <v>Sewerage</v>
      </c>
      <c r="J44" s="349"/>
      <c r="K44" s="349"/>
      <c r="L44" s="349"/>
      <c r="M44" s="349"/>
      <c r="N44" s="349"/>
      <c r="O44" s="349"/>
      <c r="P44" s="349"/>
      <c r="Q44" s="349"/>
      <c r="R44" s="349"/>
      <c r="S44" s="378"/>
      <c r="T44" s="378"/>
      <c r="U44" s="378"/>
      <c r="V44" s="378"/>
      <c r="W44" s="378"/>
      <c r="X44" s="378"/>
      <c r="Y44" s="378"/>
      <c r="Z44" s="378"/>
      <c r="AA44" s="378"/>
      <c r="AB44" s="378"/>
      <c r="AC44" s="378"/>
      <c r="AD44" s="378"/>
      <c r="AE44" s="378"/>
      <c r="AF44" s="378"/>
      <c r="AG44" s="378"/>
    </row>
    <row r="45" spans="2:34">
      <c r="D45" s="383" t="str">
        <f>+D38</f>
        <v>Headworks</v>
      </c>
      <c r="J45" s="574"/>
      <c r="K45" s="384"/>
      <c r="L45" s="385"/>
      <c r="M45" s="386"/>
      <c r="N45" s="384"/>
      <c r="O45" s="428">
        <v>0</v>
      </c>
      <c r="P45" s="428">
        <v>0</v>
      </c>
      <c r="Q45" s="429">
        <v>0</v>
      </c>
      <c r="R45" s="429">
        <v>0</v>
      </c>
      <c r="S45" s="429">
        <v>0</v>
      </c>
      <c r="T45" s="429">
        <v>0</v>
      </c>
      <c r="U45" s="429">
        <v>0</v>
      </c>
      <c r="V45" s="429">
        <v>0</v>
      </c>
      <c r="W45" s="430">
        <v>0</v>
      </c>
      <c r="X45" s="575">
        <f>+SUMIFS('Capex_FO input'!O$43:O$1021,'Capex_FO input'!$E$43:$E$1021,Capex_FO_AC!$C$44,'Capex_FO input'!$G$43:$G$1021,Capex_FO_AC!$D$45)</f>
        <v>0</v>
      </c>
      <c r="Y45" s="575">
        <f>+SUMIFS('Capex_FO input'!P$43:P$1021,'Capex_FO input'!$E$43:$E$1021,Capex_FO_AC!$C$44,'Capex_FO input'!$G$43:$G$1021,Capex_FO_AC!$D$45)</f>
        <v>0</v>
      </c>
      <c r="Z45" s="575">
        <f>+SUMIFS('Capex_FO input'!Q$43:Q$1021,'Capex_FO input'!$E$43:$E$1021,Capex_FO_AC!$C$44,'Capex_FO input'!$G$43:$G$1021,Capex_FO_AC!$D$45)</f>
        <v>0</v>
      </c>
      <c r="AA45" s="575">
        <f>+SUMIFS('Capex_FO input'!R$43:R$1021,'Capex_FO input'!$E$43:$E$1021,Capex_FO_AC!$C$44,'Capex_FO input'!$G$43:$G$1021,Capex_FO_AC!$D$45)</f>
        <v>0</v>
      </c>
      <c r="AB45" s="576">
        <f>+SUMIFS('Capex_FO input'!S$43:S$1021,'Capex_FO input'!$E$43:$E$1021,Capex_FO_AC!$C$44,'Capex_FO input'!$G$43:$G$1021,Capex_FO_AC!$D$45)</f>
        <v>0</v>
      </c>
      <c r="AC45" s="575">
        <f>+SUMIFS('Capex_FO input'!T$43:T$1021,'Capex_FO input'!$E$43:$E$1021,Capex_FO_AC!$C$44,'Capex_FO input'!$G$43:$G$1021,Capex_FO_AC!$D$45)</f>
        <v>0</v>
      </c>
      <c r="AD45" s="575">
        <f>+SUMIFS('Capex_FO input'!U$43:U$1021,'Capex_FO input'!$E$43:$E$1021,Capex_FO_AC!$C$44,'Capex_FO input'!$G$43:$G$1021,Capex_FO_AC!$D$45)</f>
        <v>0</v>
      </c>
      <c r="AE45" s="575">
        <f>+SUMIFS('Capex_FO input'!V$43:V$1021,'Capex_FO input'!$E$43:$E$1021,Capex_FO_AC!$C$44,'Capex_FO input'!$G$43:$G$1021,Capex_FO_AC!$D$45)</f>
        <v>0</v>
      </c>
      <c r="AF45" s="575">
        <f>+SUMIFS('Capex_FO input'!W$43:W$1021,'Capex_FO input'!$E$43:$E$1021,Capex_FO_AC!$C$44,'Capex_FO input'!$G$43:$G$1021,Capex_FO_AC!$D$45)</f>
        <v>0</v>
      </c>
      <c r="AG45" s="576">
        <f>+SUMIFS('Capex_FO input'!X$43:X$1021,'Capex_FO input'!$E$43:$E$1021,Capex_FO_AC!$C$44,'Capex_FO input'!$G$43:$G$1021,Capex_FO_AC!$D$45)</f>
        <v>0</v>
      </c>
      <c r="AH45" s="70" t="s">
        <v>1053</v>
      </c>
    </row>
    <row r="46" spans="2:34">
      <c r="D46" s="383" t="str">
        <f>+D39</f>
        <v>Pipelines/network</v>
      </c>
      <c r="J46" s="577"/>
      <c r="K46" s="387"/>
      <c r="L46" s="349"/>
      <c r="M46" s="388"/>
      <c r="N46" s="387"/>
      <c r="O46" s="431">
        <v>2.6627264904977372</v>
      </c>
      <c r="P46" s="431">
        <v>0.29944483747779749</v>
      </c>
      <c r="Q46" s="432">
        <v>0.77856918404907971</v>
      </c>
      <c r="R46" s="432">
        <v>1.876304487993139</v>
      </c>
      <c r="S46" s="432">
        <v>6.593167391857504</v>
      </c>
      <c r="T46" s="432">
        <v>6.7799321355932189</v>
      </c>
      <c r="U46" s="432">
        <v>8.3418090791855235</v>
      </c>
      <c r="V46" s="432">
        <v>20.10198481355895</v>
      </c>
      <c r="W46" s="433">
        <v>13.461798</v>
      </c>
      <c r="X46" s="578">
        <f>+SUMIFS('Capex_FO input'!O$43:O$1021,'Capex_FO input'!$E$43:$E$1021,Capex_FO_AC!$C$44,'Capex_FO input'!$G$43:$G$1021,Capex_FO_AC!$D$46)</f>
        <v>11.17</v>
      </c>
      <c r="Y46" s="578">
        <f>+SUMIFS('Capex_FO input'!P$43:P$1021,'Capex_FO input'!$E$43:$E$1021,Capex_FO_AC!$C$44,'Capex_FO input'!$G$43:$G$1021,Capex_FO_AC!$D$46)</f>
        <v>8.48</v>
      </c>
      <c r="Z46" s="578">
        <f>+SUMIFS('Capex_FO input'!Q$43:Q$1021,'Capex_FO input'!$E$43:$E$1021,Capex_FO_AC!$C$44,'Capex_FO input'!$G$43:$G$1021,Capex_FO_AC!$D$46)</f>
        <v>2.67</v>
      </c>
      <c r="AA46" s="578">
        <f>+SUMIFS('Capex_FO input'!R$43:R$1021,'Capex_FO input'!$E$43:$E$1021,Capex_FO_AC!$C$44,'Capex_FO input'!$G$43:$G$1021,Capex_FO_AC!$D$46)</f>
        <v>15.76</v>
      </c>
      <c r="AB46" s="579">
        <f>+SUMIFS('Capex_FO input'!S$43:S$1021,'Capex_FO input'!$E$43:$E$1021,Capex_FO_AC!$C$44,'Capex_FO input'!$G$43:$G$1021,Capex_FO_AC!$D$46)</f>
        <v>34.619</v>
      </c>
      <c r="AC46" s="578">
        <f>+SUMIFS('Capex_FO input'!T$43:T$1021,'Capex_FO input'!$E$43:$E$1021,Capex_FO_AC!$C$44,'Capex_FO input'!$G$43:$G$1021,Capex_FO_AC!$D$46)</f>
        <v>44.83</v>
      </c>
      <c r="AD46" s="578">
        <f>+SUMIFS('Capex_FO input'!U$43:U$1021,'Capex_FO input'!$E$43:$E$1021,Capex_FO_AC!$C$44,'Capex_FO input'!$G$43:$G$1021,Capex_FO_AC!$D$46)</f>
        <v>34.65</v>
      </c>
      <c r="AE46" s="578">
        <f>+SUMIFS('Capex_FO input'!V$43:V$1021,'Capex_FO input'!$E$43:$E$1021,Capex_FO_AC!$C$44,'Capex_FO input'!$G$43:$G$1021,Capex_FO_AC!$D$46)</f>
        <v>34.017000000000003</v>
      </c>
      <c r="AF46" s="578">
        <f>+SUMIFS('Capex_FO input'!W$43:W$1021,'Capex_FO input'!$E$43:$E$1021,Capex_FO_AC!$C$44,'Capex_FO input'!$G$43:$G$1021,Capex_FO_AC!$D$46)</f>
        <v>46.65</v>
      </c>
      <c r="AG46" s="579">
        <f>+SUMIFS('Capex_FO input'!X$43:X$1021,'Capex_FO input'!$E$43:$E$1021,Capex_FO_AC!$C$44,'Capex_FO input'!$G$43:$G$1021,Capex_FO_AC!$D$46)</f>
        <v>36.65</v>
      </c>
      <c r="AH46" s="70" t="s">
        <v>1053</v>
      </c>
    </row>
    <row r="47" spans="2:34">
      <c r="D47" s="383" t="str">
        <f>+D40</f>
        <v>Treatment</v>
      </c>
      <c r="J47" s="577"/>
      <c r="K47" s="387"/>
      <c r="L47" s="349"/>
      <c r="M47" s="388"/>
      <c r="N47" s="387"/>
      <c r="O47" s="431">
        <v>5.1826864099547505</v>
      </c>
      <c r="P47" s="431">
        <v>6.8371490595026643</v>
      </c>
      <c r="Q47" s="432">
        <v>11.451540938650307</v>
      </c>
      <c r="R47" s="432">
        <v>6.9340205994854198</v>
      </c>
      <c r="S47" s="432">
        <v>15.569193704834603</v>
      </c>
      <c r="T47" s="432">
        <v>10.673721169491525</v>
      </c>
      <c r="U47" s="432">
        <v>15.31825835520362</v>
      </c>
      <c r="V47" s="432">
        <v>38.812694797751099</v>
      </c>
      <c r="W47" s="433">
        <v>45.541462999999993</v>
      </c>
      <c r="X47" s="578">
        <f>+SUMIFS('Capex_FO input'!O$43:O$1021,'Capex_FO input'!$E$43:$E$1021,Capex_FO_AC!$C$44,'Capex_FO input'!$G$43:$G$1021,Capex_FO_AC!$D$47)</f>
        <v>21.257999999999999</v>
      </c>
      <c r="Y47" s="578">
        <f>+SUMIFS('Capex_FO input'!P$43:P$1021,'Capex_FO input'!$E$43:$E$1021,Capex_FO_AC!$C$44,'Capex_FO input'!$G$43:$G$1021,Capex_FO_AC!$D$47)</f>
        <v>29.090000000000003</v>
      </c>
      <c r="Z47" s="578">
        <f>+SUMIFS('Capex_FO input'!Q$43:Q$1021,'Capex_FO input'!$E$43:$E$1021,Capex_FO_AC!$C$44,'Capex_FO input'!$G$43:$G$1021,Capex_FO_AC!$D$47)</f>
        <v>13.719999999999999</v>
      </c>
      <c r="AA47" s="578">
        <f>+SUMIFS('Capex_FO input'!R$43:R$1021,'Capex_FO input'!$E$43:$E$1021,Capex_FO_AC!$C$44,'Capex_FO input'!$G$43:$G$1021,Capex_FO_AC!$D$47)</f>
        <v>4.9800000000000004</v>
      </c>
      <c r="AB47" s="579">
        <f>+SUMIFS('Capex_FO input'!S$43:S$1021,'Capex_FO input'!$E$43:$E$1021,Capex_FO_AC!$C$44,'Capex_FO input'!$G$43:$G$1021,Capex_FO_AC!$D$47)</f>
        <v>6.83</v>
      </c>
      <c r="AC47" s="578">
        <f>+SUMIFS('Capex_FO input'!T$43:T$1021,'Capex_FO input'!$E$43:$E$1021,Capex_FO_AC!$C$44,'Capex_FO input'!$G$43:$G$1021,Capex_FO_AC!$D$47)</f>
        <v>3</v>
      </c>
      <c r="AD47" s="578">
        <f>+SUMIFS('Capex_FO input'!U$43:U$1021,'Capex_FO input'!$E$43:$E$1021,Capex_FO_AC!$C$44,'Capex_FO input'!$G$43:$G$1021,Capex_FO_AC!$D$47)</f>
        <v>3</v>
      </c>
      <c r="AE47" s="578">
        <f>+SUMIFS('Capex_FO input'!V$43:V$1021,'Capex_FO input'!$E$43:$E$1021,Capex_FO_AC!$C$44,'Capex_FO input'!$G$43:$G$1021,Capex_FO_AC!$D$47)</f>
        <v>3</v>
      </c>
      <c r="AF47" s="578">
        <f>+SUMIFS('Capex_FO input'!W$43:W$1021,'Capex_FO input'!$E$43:$E$1021,Capex_FO_AC!$C$44,'Capex_FO input'!$G$43:$G$1021,Capex_FO_AC!$D$47)</f>
        <v>3</v>
      </c>
      <c r="AG47" s="579">
        <f>+SUMIFS('Capex_FO input'!X$43:X$1021,'Capex_FO input'!$E$43:$E$1021,Capex_FO_AC!$C$44,'Capex_FO input'!$G$43:$G$1021,Capex_FO_AC!$D$47)</f>
        <v>3</v>
      </c>
      <c r="AH47" s="70" t="s">
        <v>1053</v>
      </c>
    </row>
    <row r="48" spans="2:34">
      <c r="D48" s="383" t="str">
        <f>+D41</f>
        <v>Corporate</v>
      </c>
      <c r="J48" s="580"/>
      <c r="K48" s="392"/>
      <c r="L48" s="393"/>
      <c r="M48" s="394"/>
      <c r="N48" s="392"/>
      <c r="O48" s="434">
        <v>1.7285905411764704</v>
      </c>
      <c r="P48" s="434">
        <v>1.843199364564831</v>
      </c>
      <c r="Q48" s="435">
        <v>2.4358154171779138</v>
      </c>
      <c r="R48" s="435">
        <v>4.0908893040308749</v>
      </c>
      <c r="S48" s="435">
        <v>7.5373061603053424</v>
      </c>
      <c r="T48" s="435">
        <v>5.1937712966101683</v>
      </c>
      <c r="U48" s="435">
        <v>5.0252845984162899</v>
      </c>
      <c r="V48" s="435">
        <v>2.4827844686681222</v>
      </c>
      <c r="W48" s="436">
        <v>2.0680329999999998</v>
      </c>
      <c r="X48" s="581">
        <f>+SUMIFS('Capex_FO input'!O$43:O$1021,'Capex_FO input'!$E$43:$E$1021,Capex_FO_AC!$C$44,'Capex_FO input'!$G$43:$G$1021,Capex_FO_AC!$D$48)</f>
        <v>0.35</v>
      </c>
      <c r="Y48" s="581">
        <f>+SUMIFS('Capex_FO input'!P$43:P$1021,'Capex_FO input'!$E$43:$E$1021,Capex_FO_AC!$C$44,'Capex_FO input'!$G$43:$G$1021,Capex_FO_AC!$D$48)</f>
        <v>0.1</v>
      </c>
      <c r="Z48" s="581">
        <f>+SUMIFS('Capex_FO input'!Q$43:Q$1021,'Capex_FO input'!$E$43:$E$1021,Capex_FO_AC!$C$44,'Capex_FO input'!$G$43:$G$1021,Capex_FO_AC!$D$48)</f>
        <v>0.1</v>
      </c>
      <c r="AA48" s="581">
        <f>+SUMIFS('Capex_FO input'!R$43:R$1021,'Capex_FO input'!$E$43:$E$1021,Capex_FO_AC!$C$44,'Capex_FO input'!$G$43:$G$1021,Capex_FO_AC!$D$48)</f>
        <v>0.1</v>
      </c>
      <c r="AB48" s="582">
        <f>+SUMIFS('Capex_FO input'!S$43:S$1021,'Capex_FO input'!$E$43:$E$1021,Capex_FO_AC!$C$44,'Capex_FO input'!$G$43:$G$1021,Capex_FO_AC!$D$48)</f>
        <v>0.1</v>
      </c>
      <c r="AC48" s="581">
        <f>+SUMIFS('Capex_FO input'!T$43:T$1021,'Capex_FO input'!$E$43:$E$1021,Capex_FO_AC!$C$44,'Capex_FO input'!$G$43:$G$1021,Capex_FO_AC!$D$48)</f>
        <v>0.1</v>
      </c>
      <c r="AD48" s="581">
        <f>+SUMIFS('Capex_FO input'!U$43:U$1021,'Capex_FO input'!$E$43:$E$1021,Capex_FO_AC!$C$44,'Capex_FO input'!$G$43:$G$1021,Capex_FO_AC!$D$48)</f>
        <v>0.1</v>
      </c>
      <c r="AE48" s="581">
        <f>+SUMIFS('Capex_FO input'!V$43:V$1021,'Capex_FO input'!$E$43:$E$1021,Capex_FO_AC!$C$44,'Capex_FO input'!$G$43:$G$1021,Capex_FO_AC!$D$48)</f>
        <v>0.1</v>
      </c>
      <c r="AF48" s="581">
        <f>+SUMIFS('Capex_FO input'!W$43:W$1021,'Capex_FO input'!$E$43:$E$1021,Capex_FO_AC!$C$44,'Capex_FO input'!$G$43:$G$1021,Capex_FO_AC!$D$48)</f>
        <v>0.1</v>
      </c>
      <c r="AG48" s="582">
        <f>+SUMIFS('Capex_FO input'!X$43:X$1021,'Capex_FO input'!$E$43:$E$1021,Capex_FO_AC!$C$44,'Capex_FO input'!$G$43:$G$1021,Capex_FO_AC!$D$48)</f>
        <v>0.1</v>
      </c>
      <c r="AH48" s="70" t="s">
        <v>1053</v>
      </c>
    </row>
    <row r="49" spans="3:34">
      <c r="C49" s="380" t="str">
        <f>+CONCATENATE("Total ",C44)</f>
        <v>Total Sewerage</v>
      </c>
      <c r="J49" s="349">
        <f>+SUM(J45:J48)</f>
        <v>0</v>
      </c>
      <c r="K49" s="349">
        <f t="shared" ref="K49:W49" si="29">+SUM(K45:K48)</f>
        <v>0</v>
      </c>
      <c r="L49" s="349">
        <f t="shared" si="29"/>
        <v>0</v>
      </c>
      <c r="M49" s="349">
        <f t="shared" si="29"/>
        <v>0</v>
      </c>
      <c r="N49" s="349">
        <f t="shared" si="29"/>
        <v>0</v>
      </c>
      <c r="O49" s="378">
        <f>+SUM(O45:O48)</f>
        <v>9.5740034416289568</v>
      </c>
      <c r="P49" s="378">
        <f>+SUM(P45:P48)</f>
        <v>8.9797932615452929</v>
      </c>
      <c r="Q49" s="378">
        <f>+SUM(Q45:Q48)</f>
        <v>14.6659255398773</v>
      </c>
      <c r="R49" s="378">
        <f t="shared" si="29"/>
        <v>12.901214391509434</v>
      </c>
      <c r="S49" s="378">
        <f t="shared" si="29"/>
        <v>29.699667256997451</v>
      </c>
      <c r="T49" s="378">
        <f t="shared" si="29"/>
        <v>22.647424601694912</v>
      </c>
      <c r="U49" s="378">
        <f t="shared" si="29"/>
        <v>28.685352032805433</v>
      </c>
      <c r="V49" s="378">
        <f t="shared" si="29"/>
        <v>61.397464079978171</v>
      </c>
      <c r="W49" s="378">
        <f t="shared" si="29"/>
        <v>61.071293999999995</v>
      </c>
      <c r="X49" s="378">
        <f t="shared" ref="X49:AG49" si="30">+SUM(X45:X48)</f>
        <v>32.777999999999999</v>
      </c>
      <c r="Y49" s="378">
        <f t="shared" si="30"/>
        <v>37.670000000000009</v>
      </c>
      <c r="Z49" s="378">
        <f t="shared" si="30"/>
        <v>16.490000000000002</v>
      </c>
      <c r="AA49" s="378">
        <f t="shared" si="30"/>
        <v>20.840000000000003</v>
      </c>
      <c r="AB49" s="378">
        <f t="shared" si="30"/>
        <v>41.548999999999999</v>
      </c>
      <c r="AC49" s="378">
        <f t="shared" si="30"/>
        <v>47.93</v>
      </c>
      <c r="AD49" s="378">
        <f t="shared" si="30"/>
        <v>37.75</v>
      </c>
      <c r="AE49" s="378">
        <f t="shared" si="30"/>
        <v>37.117000000000004</v>
      </c>
      <c r="AF49" s="378">
        <f t="shared" si="30"/>
        <v>49.75</v>
      </c>
      <c r="AG49" s="378">
        <f t="shared" si="30"/>
        <v>39.75</v>
      </c>
      <c r="AH49" s="70" t="s">
        <v>1053</v>
      </c>
    </row>
    <row r="50" spans="3:34">
      <c r="J50" s="349"/>
      <c r="K50" s="349"/>
      <c r="L50" s="349"/>
      <c r="M50" s="349"/>
      <c r="N50" s="349"/>
      <c r="O50" s="349"/>
      <c r="P50" s="349"/>
      <c r="Q50" s="349"/>
      <c r="R50" s="349"/>
      <c r="S50" s="378"/>
      <c r="T50" s="378"/>
      <c r="U50" s="378"/>
      <c r="V50" s="378"/>
      <c r="W50" s="1776">
        <f>SUM(P49:W49)</f>
        <v>240.04813516440797</v>
      </c>
      <c r="X50" s="378"/>
      <c r="Y50" s="378"/>
      <c r="Z50" s="378"/>
      <c r="AA50" s="378"/>
      <c r="AB50" s="1776">
        <f>SUM(X49:AB49)</f>
        <v>149.32700000000003</v>
      </c>
      <c r="AC50" s="378"/>
      <c r="AD50" s="378"/>
      <c r="AE50" s="378"/>
      <c r="AF50" s="378"/>
      <c r="AG50" s="1776">
        <f>SUM(AC49:AG49)</f>
        <v>212.29700000000003</v>
      </c>
      <c r="AH50" s="70" t="s">
        <v>1053</v>
      </c>
    </row>
    <row r="51" spans="3:34">
      <c r="C51" s="380" t="str">
        <f>E14</f>
        <v>Recycled Water</v>
      </c>
      <c r="J51" s="349"/>
      <c r="K51" s="349"/>
      <c r="L51" s="349"/>
      <c r="M51" s="349"/>
      <c r="N51" s="349"/>
      <c r="O51" s="349"/>
      <c r="P51" s="349"/>
      <c r="Q51" s="349"/>
      <c r="R51" s="349"/>
      <c r="S51" s="378"/>
      <c r="T51" s="378"/>
      <c r="U51" s="378"/>
      <c r="V51" s="378"/>
      <c r="W51" s="378"/>
      <c r="X51" s="378"/>
      <c r="Y51" s="378"/>
      <c r="Z51" s="378"/>
      <c r="AA51" s="378"/>
      <c r="AB51" s="378"/>
      <c r="AC51" s="378"/>
      <c r="AD51" s="378"/>
      <c r="AE51" s="378"/>
      <c r="AF51" s="378"/>
      <c r="AG51" s="378"/>
    </row>
    <row r="52" spans="3:34">
      <c r="D52" s="383" t="str">
        <f>+D45</f>
        <v>Headworks</v>
      </c>
      <c r="J52" s="574"/>
      <c r="K52" s="384"/>
      <c r="L52" s="385"/>
      <c r="M52" s="386"/>
      <c r="N52" s="384"/>
      <c r="O52" s="428"/>
      <c r="P52" s="428"/>
      <c r="Q52" s="429"/>
      <c r="R52" s="429"/>
      <c r="S52" s="429"/>
      <c r="T52" s="429"/>
      <c r="U52" s="429"/>
      <c r="V52" s="429"/>
      <c r="W52" s="430"/>
      <c r="X52" s="575">
        <f>+SUMIFS('Capex_FO input'!O$43:O$1021,'Capex_FO input'!$E$43:$E$1021,Capex_FO_AC!$C$51,'Capex_FO input'!$G$43:$G$1021,Capex_FO_AC!$D$52)</f>
        <v>0</v>
      </c>
      <c r="Y52" s="575">
        <f>+SUMIFS('Capex_FO input'!P$43:P$1021,'Capex_FO input'!$E$43:$E$1021,Capex_FO_AC!$C$51,'Capex_FO input'!$G$43:$G$1021,Capex_FO_AC!$D$52)</f>
        <v>0</v>
      </c>
      <c r="Z52" s="575">
        <f>+SUMIFS('Capex_FO input'!Q$43:Q$1021,'Capex_FO input'!$E$43:$E$1021,Capex_FO_AC!$C$51,'Capex_FO input'!$G$43:$G$1021,Capex_FO_AC!$D$52)</f>
        <v>0</v>
      </c>
      <c r="AA52" s="575">
        <f>+SUMIFS('Capex_FO input'!R$43:R$1021,'Capex_FO input'!$E$43:$E$1021,Capex_FO_AC!$C$51,'Capex_FO input'!$G$43:$G$1021,Capex_FO_AC!$D$52)</f>
        <v>0</v>
      </c>
      <c r="AB52" s="576">
        <f>+SUMIFS('Capex_FO input'!S$43:S$1021,'Capex_FO input'!$E$43:$E$1021,Capex_FO_AC!$C$51,'Capex_FO input'!$G$43:$G$1021,Capex_FO_AC!$D$52)</f>
        <v>0</v>
      </c>
      <c r="AC52" s="575">
        <f>+SUMIFS('Capex_FO input'!T$43:T$1021,'Capex_FO input'!$E$43:$E$1021,Capex_FO_AC!$C$51,'Capex_FO input'!$G$43:$G$1021,Capex_FO_AC!$D$52)</f>
        <v>0</v>
      </c>
      <c r="AD52" s="575">
        <f>+SUMIFS('Capex_FO input'!U$43:U$1021,'Capex_FO input'!$E$43:$E$1021,Capex_FO_AC!$C$51,'Capex_FO input'!$G$43:$G$1021,Capex_FO_AC!$D$52)</f>
        <v>0</v>
      </c>
      <c r="AE52" s="575">
        <f>+SUMIFS('Capex_FO input'!V$43:V$1021,'Capex_FO input'!$E$43:$E$1021,Capex_FO_AC!$C$51,'Capex_FO input'!$G$43:$G$1021,Capex_FO_AC!$D$52)</f>
        <v>0</v>
      </c>
      <c r="AF52" s="575">
        <f>+SUMIFS('Capex_FO input'!W$43:W$1021,'Capex_FO input'!$E$43:$E$1021,Capex_FO_AC!$C$51,'Capex_FO input'!$G$43:$G$1021,Capex_FO_AC!$D$52)</f>
        <v>0</v>
      </c>
      <c r="AG52" s="576">
        <f>+SUMIFS('Capex_FO input'!X$43:X$1021,'Capex_FO input'!$E$43:$E$1021,Capex_FO_AC!$C$51,'Capex_FO input'!$G$43:$G$1021,Capex_FO_AC!$D$52)</f>
        <v>0</v>
      </c>
      <c r="AH52" s="70" t="s">
        <v>1053</v>
      </c>
    </row>
    <row r="53" spans="3:34">
      <c r="D53" s="383" t="str">
        <f>+D46</f>
        <v>Pipelines/network</v>
      </c>
      <c r="J53" s="577"/>
      <c r="K53" s="387"/>
      <c r="L53" s="349"/>
      <c r="M53" s="388"/>
      <c r="N53" s="387"/>
      <c r="O53" s="431"/>
      <c r="P53" s="431"/>
      <c r="Q53" s="432"/>
      <c r="R53" s="432"/>
      <c r="S53" s="432"/>
      <c r="T53" s="432"/>
      <c r="U53" s="432"/>
      <c r="V53" s="432"/>
      <c r="W53" s="433"/>
      <c r="X53" s="578">
        <f>+SUMIFS('Capex_FO input'!O$43:O$1021,'Capex_FO input'!$E$43:$E$1021,Capex_FO_AC!$C$51,'Capex_FO input'!$G$43:$G$1021,Capex_FO_AC!$D$53)</f>
        <v>0</v>
      </c>
      <c r="Y53" s="578">
        <f>+SUMIFS('Capex_FO input'!P$43:P$1021,'Capex_FO input'!$E$43:$E$1021,Capex_FO_AC!$C$51,'Capex_FO input'!$G$43:$G$1021,Capex_FO_AC!$D$53)</f>
        <v>0</v>
      </c>
      <c r="Z53" s="578">
        <f>+SUMIFS('Capex_FO input'!Q$43:Q$1021,'Capex_FO input'!$E$43:$E$1021,Capex_FO_AC!$C$51,'Capex_FO input'!$G$43:$G$1021,Capex_FO_AC!$D$53)</f>
        <v>0</v>
      </c>
      <c r="AA53" s="578">
        <f>+SUMIFS('Capex_FO input'!R$43:R$1021,'Capex_FO input'!$E$43:$E$1021,Capex_FO_AC!$C$51,'Capex_FO input'!$G$43:$G$1021,Capex_FO_AC!$D$53)</f>
        <v>0</v>
      </c>
      <c r="AB53" s="579">
        <f>+SUMIFS('Capex_FO input'!S$43:S$1021,'Capex_FO input'!$E$43:$E$1021,Capex_FO_AC!$C$51,'Capex_FO input'!$G$43:$G$1021,Capex_FO_AC!$D$53)</f>
        <v>0</v>
      </c>
      <c r="AC53" s="578">
        <f>+SUMIFS('Capex_FO input'!T$43:T$1021,'Capex_FO input'!$E$43:$E$1021,Capex_FO_AC!$C$51,'Capex_FO input'!$G$43:$G$1021,Capex_FO_AC!$D$53)</f>
        <v>0</v>
      </c>
      <c r="AD53" s="578">
        <f>+SUMIFS('Capex_FO input'!U$43:U$1021,'Capex_FO input'!$E$43:$E$1021,Capex_FO_AC!$C$51,'Capex_FO input'!$G$43:$G$1021,Capex_FO_AC!$D$53)</f>
        <v>0</v>
      </c>
      <c r="AE53" s="578">
        <f>+SUMIFS('Capex_FO input'!V$43:V$1021,'Capex_FO input'!$E$43:$E$1021,Capex_FO_AC!$C$51,'Capex_FO input'!$G$43:$G$1021,Capex_FO_AC!$D$53)</f>
        <v>0</v>
      </c>
      <c r="AF53" s="578">
        <f>+SUMIFS('Capex_FO input'!W$43:W$1021,'Capex_FO input'!$E$43:$E$1021,Capex_FO_AC!$C$51,'Capex_FO input'!$G$43:$G$1021,Capex_FO_AC!$D$53)</f>
        <v>0</v>
      </c>
      <c r="AG53" s="579">
        <f>+SUMIFS('Capex_FO input'!X$43:X$1021,'Capex_FO input'!$E$43:$E$1021,Capex_FO_AC!$C$51,'Capex_FO input'!$G$43:$G$1021,Capex_FO_AC!$D$53)</f>
        <v>0</v>
      </c>
      <c r="AH53" s="70" t="s">
        <v>1053</v>
      </c>
    </row>
    <row r="54" spans="3:34">
      <c r="D54" s="383" t="str">
        <f>+D47</f>
        <v>Treatment</v>
      </c>
      <c r="J54" s="577"/>
      <c r="K54" s="387"/>
      <c r="L54" s="349"/>
      <c r="M54" s="388"/>
      <c r="N54" s="387"/>
      <c r="O54" s="431"/>
      <c r="P54" s="431"/>
      <c r="Q54" s="432"/>
      <c r="R54" s="432"/>
      <c r="S54" s="432"/>
      <c r="T54" s="432"/>
      <c r="U54" s="432"/>
      <c r="V54" s="432"/>
      <c r="W54" s="433"/>
      <c r="X54" s="578">
        <f>+SUMIFS('Capex_FO input'!O$43:O$1021,'Capex_FO input'!$E$43:$E$1021,Capex_FO_AC!$C$51,'Capex_FO input'!$G$43:$G$1021,Capex_FO_AC!$D$54)</f>
        <v>0</v>
      </c>
      <c r="Y54" s="578">
        <f>+SUMIFS('Capex_FO input'!P$43:P$1021,'Capex_FO input'!$E$43:$E$1021,Capex_FO_AC!$C$51,'Capex_FO input'!$G$43:$G$1021,Capex_FO_AC!$D$54)</f>
        <v>0</v>
      </c>
      <c r="Z54" s="578">
        <f>+SUMIFS('Capex_FO input'!Q$43:Q$1021,'Capex_FO input'!$E$43:$E$1021,Capex_FO_AC!$C$51,'Capex_FO input'!$G$43:$G$1021,Capex_FO_AC!$D$54)</f>
        <v>0</v>
      </c>
      <c r="AA54" s="578">
        <f>+SUMIFS('Capex_FO input'!R$43:R$1021,'Capex_FO input'!$E$43:$E$1021,Capex_FO_AC!$C$51,'Capex_FO input'!$G$43:$G$1021,Capex_FO_AC!$D$54)</f>
        <v>0</v>
      </c>
      <c r="AB54" s="579">
        <f>+SUMIFS('Capex_FO input'!S$43:S$1021,'Capex_FO input'!$E$43:$E$1021,Capex_FO_AC!$C$51,'Capex_FO input'!$G$43:$G$1021,Capex_FO_AC!$D$54)</f>
        <v>0</v>
      </c>
      <c r="AC54" s="578">
        <f>+SUMIFS('Capex_FO input'!T$43:T$1021,'Capex_FO input'!$E$43:$E$1021,Capex_FO_AC!$C$51,'Capex_FO input'!$G$43:$G$1021,Capex_FO_AC!$D$54)</f>
        <v>0</v>
      </c>
      <c r="AD54" s="578">
        <f>+SUMIFS('Capex_FO input'!U$43:U$1021,'Capex_FO input'!$E$43:$E$1021,Capex_FO_AC!$C$51,'Capex_FO input'!$G$43:$G$1021,Capex_FO_AC!$D$54)</f>
        <v>0</v>
      </c>
      <c r="AE54" s="578">
        <f>+SUMIFS('Capex_FO input'!V$43:V$1021,'Capex_FO input'!$E$43:$E$1021,Capex_FO_AC!$C$51,'Capex_FO input'!$G$43:$G$1021,Capex_FO_AC!$D$54)</f>
        <v>0</v>
      </c>
      <c r="AF54" s="578">
        <f>+SUMIFS('Capex_FO input'!W$43:W$1021,'Capex_FO input'!$E$43:$E$1021,Capex_FO_AC!$C$51,'Capex_FO input'!$G$43:$G$1021,Capex_FO_AC!$D$54)</f>
        <v>0</v>
      </c>
      <c r="AG54" s="579">
        <f>+SUMIFS('Capex_FO input'!X$43:X$1021,'Capex_FO input'!$E$43:$E$1021,Capex_FO_AC!$C$51,'Capex_FO input'!$G$43:$G$1021,Capex_FO_AC!$D$54)</f>
        <v>0</v>
      </c>
      <c r="AH54" s="70" t="s">
        <v>1053</v>
      </c>
    </row>
    <row r="55" spans="3:34">
      <c r="D55" s="383" t="str">
        <f>+D48</f>
        <v>Corporate</v>
      </c>
      <c r="J55" s="580"/>
      <c r="K55" s="392"/>
      <c r="L55" s="393"/>
      <c r="M55" s="394"/>
      <c r="N55" s="392"/>
      <c r="O55" s="434"/>
      <c r="P55" s="434"/>
      <c r="Q55" s="435"/>
      <c r="R55" s="435"/>
      <c r="S55" s="435"/>
      <c r="T55" s="435"/>
      <c r="U55" s="435"/>
      <c r="V55" s="435"/>
      <c r="W55" s="436"/>
      <c r="X55" s="581">
        <f>+SUMIFS('Capex_FO input'!O$43:O$1021,'Capex_FO input'!$E$43:$E$1021,Capex_FO_AC!$C$51,'Capex_FO input'!$G$43:$G$1021,Capex_FO_AC!$D$55)</f>
        <v>0</v>
      </c>
      <c r="Y55" s="581">
        <f>+SUMIFS('Capex_FO input'!P$43:P$1021,'Capex_FO input'!$E$43:$E$1021,Capex_FO_AC!$C$51,'Capex_FO input'!$G$43:$G$1021,Capex_FO_AC!$D$55)</f>
        <v>0</v>
      </c>
      <c r="Z55" s="581">
        <f>+SUMIFS('Capex_FO input'!Q$43:Q$1021,'Capex_FO input'!$E$43:$E$1021,Capex_FO_AC!$C$51,'Capex_FO input'!$G$43:$G$1021,Capex_FO_AC!$D$55)</f>
        <v>0</v>
      </c>
      <c r="AA55" s="581">
        <f>+SUMIFS('Capex_FO input'!R$43:R$1021,'Capex_FO input'!$E$43:$E$1021,Capex_FO_AC!$C$51,'Capex_FO input'!$G$43:$G$1021,Capex_FO_AC!$D$55)</f>
        <v>0</v>
      </c>
      <c r="AB55" s="582">
        <f>+SUMIFS('Capex_FO input'!S$43:S$1021,'Capex_FO input'!$E$43:$E$1021,Capex_FO_AC!$C$51,'Capex_FO input'!$G$43:$G$1021,Capex_FO_AC!$D$55)</f>
        <v>0</v>
      </c>
      <c r="AC55" s="581">
        <f>+SUMIFS('Capex_FO input'!T$43:T$1021,'Capex_FO input'!$E$43:$E$1021,Capex_FO_AC!$C$51,'Capex_FO input'!$G$43:$G$1021,Capex_FO_AC!$D$55)</f>
        <v>0</v>
      </c>
      <c r="AD55" s="581">
        <f>+SUMIFS('Capex_FO input'!U$43:U$1021,'Capex_FO input'!$E$43:$E$1021,Capex_FO_AC!$C$51,'Capex_FO input'!$G$43:$G$1021,Capex_FO_AC!$D$55)</f>
        <v>0</v>
      </c>
      <c r="AE55" s="581">
        <f>+SUMIFS('Capex_FO input'!V$43:V$1021,'Capex_FO input'!$E$43:$E$1021,Capex_FO_AC!$C$51,'Capex_FO input'!$G$43:$G$1021,Capex_FO_AC!$D$55)</f>
        <v>0</v>
      </c>
      <c r="AF55" s="581">
        <f>+SUMIFS('Capex_FO input'!W$43:W$1021,'Capex_FO input'!$E$43:$E$1021,Capex_FO_AC!$C$51,'Capex_FO input'!$G$43:$G$1021,Capex_FO_AC!$D$55)</f>
        <v>0</v>
      </c>
      <c r="AG55" s="582">
        <f>+SUMIFS('Capex_FO input'!X$43:X$1021,'Capex_FO input'!$E$43:$E$1021,Capex_FO_AC!$C$51,'Capex_FO input'!$G$43:$G$1021,Capex_FO_AC!$D$55)</f>
        <v>0</v>
      </c>
      <c r="AH55" s="70" t="s">
        <v>1053</v>
      </c>
    </row>
    <row r="56" spans="3:34">
      <c r="C56" s="380" t="str">
        <f>+CONCATENATE("Total ",C51)</f>
        <v>Total Recycled Water</v>
      </c>
      <c r="J56" s="349">
        <f>+SUM(J52:J55)</f>
        <v>0</v>
      </c>
      <c r="K56" s="349">
        <f>+SUM(K52:K55)</f>
        <v>0</v>
      </c>
      <c r="L56" s="349">
        <f>+SUM(L52:L55)</f>
        <v>0</v>
      </c>
      <c r="M56" s="349">
        <f>+SUM(M52:M55)</f>
        <v>0</v>
      </c>
      <c r="N56" s="349">
        <f t="shared" ref="N56:W56" si="31">+SUM(N52:N55)</f>
        <v>0</v>
      </c>
      <c r="O56" s="378">
        <f>+SUM(O52:O55)</f>
        <v>0</v>
      </c>
      <c r="P56" s="378">
        <f>+SUM(P52:P55)</f>
        <v>0</v>
      </c>
      <c r="Q56" s="378">
        <f>+SUM(Q52:Q55)</f>
        <v>0</v>
      </c>
      <c r="R56" s="378">
        <f t="shared" si="31"/>
        <v>0</v>
      </c>
      <c r="S56" s="378">
        <f t="shared" si="31"/>
        <v>0</v>
      </c>
      <c r="T56" s="378">
        <f t="shared" si="31"/>
        <v>0</v>
      </c>
      <c r="U56" s="378">
        <f t="shared" si="31"/>
        <v>0</v>
      </c>
      <c r="V56" s="378">
        <f t="shared" si="31"/>
        <v>0</v>
      </c>
      <c r="W56" s="378">
        <f t="shared" si="31"/>
        <v>0</v>
      </c>
      <c r="X56" s="378">
        <f t="shared" ref="X56:AG56" si="32">+SUM(X52:X55)</f>
        <v>0</v>
      </c>
      <c r="Y56" s="378">
        <f t="shared" si="32"/>
        <v>0</v>
      </c>
      <c r="Z56" s="378">
        <f t="shared" si="32"/>
        <v>0</v>
      </c>
      <c r="AA56" s="378">
        <f t="shared" si="32"/>
        <v>0</v>
      </c>
      <c r="AB56" s="378">
        <f t="shared" si="32"/>
        <v>0</v>
      </c>
      <c r="AC56" s="378">
        <f t="shared" si="32"/>
        <v>0</v>
      </c>
      <c r="AD56" s="378">
        <f t="shared" si="32"/>
        <v>0</v>
      </c>
      <c r="AE56" s="378">
        <f t="shared" si="32"/>
        <v>0</v>
      </c>
      <c r="AF56" s="378">
        <f t="shared" si="32"/>
        <v>0</v>
      </c>
      <c r="AG56" s="378">
        <f t="shared" si="32"/>
        <v>0</v>
      </c>
      <c r="AH56" s="70" t="s">
        <v>1053</v>
      </c>
    </row>
    <row r="57" spans="3:34">
      <c r="C57" s="395"/>
      <c r="J57" s="349"/>
      <c r="K57" s="349"/>
      <c r="L57" s="349"/>
      <c r="M57" s="349"/>
      <c r="N57" s="349"/>
      <c r="O57" s="349"/>
      <c r="P57" s="349"/>
      <c r="Q57" s="349"/>
      <c r="R57" s="349"/>
      <c r="S57" s="378"/>
      <c r="T57" s="378"/>
      <c r="U57" s="378"/>
      <c r="V57" s="378"/>
      <c r="W57" s="1776">
        <f>SUM(P56:W56)</f>
        <v>0</v>
      </c>
      <c r="X57" s="378"/>
      <c r="Y57" s="378"/>
      <c r="Z57" s="378"/>
      <c r="AA57" s="378"/>
      <c r="AB57" s="1776">
        <f>SUM(X56:AB56)</f>
        <v>0</v>
      </c>
      <c r="AC57" s="378"/>
      <c r="AD57" s="378"/>
      <c r="AE57" s="378"/>
      <c r="AF57" s="378"/>
      <c r="AG57" s="1776">
        <f>SUM(AC56:AG56)</f>
        <v>0</v>
      </c>
      <c r="AH57" s="70" t="s">
        <v>1053</v>
      </c>
    </row>
    <row r="58" spans="3:34">
      <c r="C58" s="380" t="str">
        <f>E15</f>
        <v>Rural Water</v>
      </c>
      <c r="J58" s="349"/>
      <c r="K58" s="349"/>
      <c r="L58" s="349"/>
      <c r="M58" s="349"/>
      <c r="N58" s="349"/>
      <c r="O58" s="349"/>
      <c r="P58" s="349"/>
      <c r="Q58" s="349"/>
      <c r="R58" s="349"/>
      <c r="S58" s="378"/>
      <c r="T58" s="378"/>
      <c r="U58" s="378"/>
      <c r="V58" s="378"/>
      <c r="W58" s="378"/>
      <c r="X58" s="378"/>
      <c r="Y58" s="378"/>
      <c r="Z58" s="378"/>
      <c r="AA58" s="378"/>
      <c r="AB58" s="378"/>
      <c r="AC58" s="378"/>
      <c r="AD58" s="378"/>
      <c r="AE58" s="378"/>
      <c r="AF58" s="378"/>
      <c r="AG58" s="378"/>
    </row>
    <row r="59" spans="3:34">
      <c r="D59" s="383" t="str">
        <f>+D52</f>
        <v>Headworks</v>
      </c>
      <c r="J59" s="574"/>
      <c r="K59" s="384"/>
      <c r="L59" s="385"/>
      <c r="M59" s="386"/>
      <c r="N59" s="384"/>
      <c r="O59" s="428"/>
      <c r="P59" s="428"/>
      <c r="Q59" s="429"/>
      <c r="R59" s="429"/>
      <c r="S59" s="429"/>
      <c r="T59" s="429"/>
      <c r="U59" s="429"/>
      <c r="V59" s="429"/>
      <c r="W59" s="430"/>
      <c r="X59" s="575">
        <f>+SUMIFS('Capex_FO input'!O$43:O$1021,'Capex_FO input'!$E$43:$E$1021,Capex_FO_AC!$C$58,'Capex_FO input'!$G$43:$G$1021,Capex_FO_AC!$D$59)</f>
        <v>0</v>
      </c>
      <c r="Y59" s="575">
        <f>+SUMIFS('Capex_FO input'!P$43:P$1021,'Capex_FO input'!$E$43:$E$1021,Capex_FO_AC!$C$58,'Capex_FO input'!$G$43:$G$1021,Capex_FO_AC!$D$59)</f>
        <v>0</v>
      </c>
      <c r="Z59" s="575">
        <f>+SUMIFS('Capex_FO input'!Q$43:Q$1021,'Capex_FO input'!$E$43:$E$1021,Capex_FO_AC!$C$58,'Capex_FO input'!$G$43:$G$1021,Capex_FO_AC!$D$59)</f>
        <v>0</v>
      </c>
      <c r="AA59" s="575">
        <f>+SUMIFS('Capex_FO input'!R$43:R$1021,'Capex_FO input'!$E$43:$E$1021,Capex_FO_AC!$C$58,'Capex_FO input'!$G$43:$G$1021,Capex_FO_AC!$D$59)</f>
        <v>0</v>
      </c>
      <c r="AB59" s="576">
        <f>+SUMIFS('Capex_FO input'!S$43:S$1021,'Capex_FO input'!$E$43:$E$1021,Capex_FO_AC!$C$58,'Capex_FO input'!$G$43:$G$1021,Capex_FO_AC!$D$59)</f>
        <v>0</v>
      </c>
      <c r="AC59" s="575">
        <f>+SUMIFS('Capex_FO input'!T$43:T$1021,'Capex_FO input'!$E$43:$E$1021,Capex_FO_AC!$C$58,'Capex_FO input'!$G$43:$G$1021,Capex_FO_AC!$D$59)</f>
        <v>0</v>
      </c>
      <c r="AD59" s="575">
        <f>+SUMIFS('Capex_FO input'!U$43:U$1021,'Capex_FO input'!$E$43:$E$1021,Capex_FO_AC!$C$58,'Capex_FO input'!$G$43:$G$1021,Capex_FO_AC!$D$59)</f>
        <v>0</v>
      </c>
      <c r="AE59" s="575">
        <f>+SUMIFS('Capex_FO input'!V$43:V$1021,'Capex_FO input'!$E$43:$E$1021,Capex_FO_AC!$C$58,'Capex_FO input'!$G$43:$G$1021,Capex_FO_AC!$D$59)</f>
        <v>0</v>
      </c>
      <c r="AF59" s="575">
        <f>+SUMIFS('Capex_FO input'!W$43:W$1021,'Capex_FO input'!$E$43:$E$1021,Capex_FO_AC!$C$58,'Capex_FO input'!$G$43:$G$1021,Capex_FO_AC!$D$59)</f>
        <v>0</v>
      </c>
      <c r="AG59" s="576">
        <f>+SUMIFS('Capex_FO input'!X$43:X$1021,'Capex_FO input'!$E$43:$E$1021,Capex_FO_AC!$C$58,'Capex_FO input'!$G$43:$G$1021,Capex_FO_AC!$D$59)</f>
        <v>0</v>
      </c>
      <c r="AH59" s="70" t="s">
        <v>1053</v>
      </c>
    </row>
    <row r="60" spans="3:34">
      <c r="D60" s="383" t="str">
        <f>+D53</f>
        <v>Pipelines/network</v>
      </c>
      <c r="J60" s="577"/>
      <c r="K60" s="387"/>
      <c r="L60" s="349"/>
      <c r="M60" s="388"/>
      <c r="N60" s="387"/>
      <c r="O60" s="431"/>
      <c r="P60" s="431"/>
      <c r="Q60" s="432"/>
      <c r="R60" s="432"/>
      <c r="S60" s="432"/>
      <c r="T60" s="432"/>
      <c r="U60" s="432"/>
      <c r="V60" s="432"/>
      <c r="W60" s="433"/>
      <c r="X60" s="578">
        <f>+SUMIFS('Capex_FO input'!O$43:O$1021,'Capex_FO input'!$E$43:$E$1021,Capex_FO_AC!$C$58,'Capex_FO input'!$G$43:$G$1021,Capex_FO_AC!$D$60)</f>
        <v>0</v>
      </c>
      <c r="Y60" s="578">
        <f>+SUMIFS('Capex_FO input'!P$43:P$1021,'Capex_FO input'!$E$43:$E$1021,Capex_FO_AC!$C$58,'Capex_FO input'!$G$43:$G$1021,Capex_FO_AC!$D$60)</f>
        <v>0</v>
      </c>
      <c r="Z60" s="578">
        <f>+SUMIFS('Capex_FO input'!Q$43:Q$1021,'Capex_FO input'!$E$43:$E$1021,Capex_FO_AC!$C$58,'Capex_FO input'!$G$43:$G$1021,Capex_FO_AC!$D$60)</f>
        <v>0</v>
      </c>
      <c r="AA60" s="578">
        <f>+SUMIFS('Capex_FO input'!R$43:R$1021,'Capex_FO input'!$E$43:$E$1021,Capex_FO_AC!$C$58,'Capex_FO input'!$G$43:$G$1021,Capex_FO_AC!$D$60)</f>
        <v>0</v>
      </c>
      <c r="AB60" s="579">
        <f>+SUMIFS('Capex_FO input'!S$43:S$1021,'Capex_FO input'!$E$43:$E$1021,Capex_FO_AC!$C$58,'Capex_FO input'!$G$43:$G$1021,Capex_FO_AC!$D$60)</f>
        <v>0</v>
      </c>
      <c r="AC60" s="578">
        <f>+SUMIFS('Capex_FO input'!T$43:T$1021,'Capex_FO input'!$E$43:$E$1021,Capex_FO_AC!$C$58,'Capex_FO input'!$G$43:$G$1021,Capex_FO_AC!$D$60)</f>
        <v>0</v>
      </c>
      <c r="AD60" s="578">
        <f>+SUMIFS('Capex_FO input'!U$43:U$1021,'Capex_FO input'!$E$43:$E$1021,Capex_FO_AC!$C$58,'Capex_FO input'!$G$43:$G$1021,Capex_FO_AC!$D$60)</f>
        <v>0</v>
      </c>
      <c r="AE60" s="578">
        <f>+SUMIFS('Capex_FO input'!V$43:V$1021,'Capex_FO input'!$E$43:$E$1021,Capex_FO_AC!$C$58,'Capex_FO input'!$G$43:$G$1021,Capex_FO_AC!$D$60)</f>
        <v>0</v>
      </c>
      <c r="AF60" s="578">
        <f>+SUMIFS('Capex_FO input'!W$43:W$1021,'Capex_FO input'!$E$43:$E$1021,Capex_FO_AC!$C$58,'Capex_FO input'!$G$43:$G$1021,Capex_FO_AC!$D$60)</f>
        <v>0</v>
      </c>
      <c r="AG60" s="579">
        <f>+SUMIFS('Capex_FO input'!X$43:X$1021,'Capex_FO input'!$E$43:$E$1021,Capex_FO_AC!$C$58,'Capex_FO input'!$G$43:$G$1021,Capex_FO_AC!$D$60)</f>
        <v>0</v>
      </c>
      <c r="AH60" s="70" t="s">
        <v>1053</v>
      </c>
    </row>
    <row r="61" spans="3:34">
      <c r="D61" s="383" t="str">
        <f>+D54</f>
        <v>Treatment</v>
      </c>
      <c r="J61" s="577"/>
      <c r="K61" s="387"/>
      <c r="L61" s="349"/>
      <c r="M61" s="388"/>
      <c r="N61" s="387"/>
      <c r="O61" s="431"/>
      <c r="P61" s="431"/>
      <c r="Q61" s="432"/>
      <c r="R61" s="432"/>
      <c r="S61" s="432"/>
      <c r="T61" s="432"/>
      <c r="U61" s="432"/>
      <c r="V61" s="432"/>
      <c r="W61" s="433"/>
      <c r="X61" s="578">
        <f>+SUMIFS('Capex_FO input'!O$43:O$1021,'Capex_FO input'!$E$43:$E$1021,Capex_FO_AC!$C$58,'Capex_FO input'!$G$43:$G$1021,Capex_FO_AC!$D$61)</f>
        <v>0</v>
      </c>
      <c r="Y61" s="578">
        <f>+SUMIFS('Capex_FO input'!P$43:P$1021,'Capex_FO input'!$E$43:$E$1021,Capex_FO_AC!$C$58,'Capex_FO input'!$G$43:$G$1021,Capex_FO_AC!$D$61)</f>
        <v>0</v>
      </c>
      <c r="Z61" s="578">
        <f>+SUMIFS('Capex_FO input'!Q$43:Q$1021,'Capex_FO input'!$E$43:$E$1021,Capex_FO_AC!$C$58,'Capex_FO input'!$G$43:$G$1021,Capex_FO_AC!$D$61)</f>
        <v>0</v>
      </c>
      <c r="AA61" s="578">
        <f>+SUMIFS('Capex_FO input'!R$43:R$1021,'Capex_FO input'!$E$43:$E$1021,Capex_FO_AC!$C$58,'Capex_FO input'!$G$43:$G$1021,Capex_FO_AC!$D$61)</f>
        <v>0</v>
      </c>
      <c r="AB61" s="579">
        <f>+SUMIFS('Capex_FO input'!S$43:S$1021,'Capex_FO input'!$E$43:$E$1021,Capex_FO_AC!$C$58,'Capex_FO input'!$G$43:$G$1021,Capex_FO_AC!$D$61)</f>
        <v>0</v>
      </c>
      <c r="AC61" s="578">
        <f>+SUMIFS('Capex_FO input'!T$43:T$1021,'Capex_FO input'!$E$43:$E$1021,Capex_FO_AC!$C$58,'Capex_FO input'!$G$43:$G$1021,Capex_FO_AC!$D$61)</f>
        <v>0</v>
      </c>
      <c r="AD61" s="578">
        <f>+SUMIFS('Capex_FO input'!U$43:U$1021,'Capex_FO input'!$E$43:$E$1021,Capex_FO_AC!$C$58,'Capex_FO input'!$G$43:$G$1021,Capex_FO_AC!$D$61)</f>
        <v>0</v>
      </c>
      <c r="AE61" s="578">
        <f>+SUMIFS('Capex_FO input'!V$43:V$1021,'Capex_FO input'!$E$43:$E$1021,Capex_FO_AC!$C$58,'Capex_FO input'!$G$43:$G$1021,Capex_FO_AC!$D$61)</f>
        <v>0</v>
      </c>
      <c r="AF61" s="578">
        <f>+SUMIFS('Capex_FO input'!W$43:W$1021,'Capex_FO input'!$E$43:$E$1021,Capex_FO_AC!$C$58,'Capex_FO input'!$G$43:$G$1021,Capex_FO_AC!$D$61)</f>
        <v>0</v>
      </c>
      <c r="AG61" s="579">
        <f>+SUMIFS('Capex_FO input'!X$43:X$1021,'Capex_FO input'!$E$43:$E$1021,Capex_FO_AC!$C$58,'Capex_FO input'!$G$43:$G$1021,Capex_FO_AC!$D$61)</f>
        <v>0</v>
      </c>
      <c r="AH61" s="70" t="s">
        <v>1053</v>
      </c>
    </row>
    <row r="62" spans="3:34">
      <c r="D62" s="383" t="str">
        <f>+D55</f>
        <v>Corporate</v>
      </c>
      <c r="J62" s="580"/>
      <c r="K62" s="392"/>
      <c r="L62" s="393"/>
      <c r="M62" s="394"/>
      <c r="N62" s="392"/>
      <c r="O62" s="434"/>
      <c r="P62" s="434"/>
      <c r="Q62" s="435"/>
      <c r="R62" s="435"/>
      <c r="S62" s="435"/>
      <c r="T62" s="435"/>
      <c r="U62" s="435"/>
      <c r="V62" s="435"/>
      <c r="W62" s="436"/>
      <c r="X62" s="581">
        <f>+SUMIFS('Capex_FO input'!O$43:O$1021,'Capex_FO input'!$E$43:$E$1021,Capex_FO_AC!$C$58,'Capex_FO input'!$G$43:$G$1021,Capex_FO_AC!$D$62)</f>
        <v>0</v>
      </c>
      <c r="Y62" s="581">
        <f>+SUMIFS('Capex_FO input'!P$43:P$1021,'Capex_FO input'!$E$43:$E$1021,Capex_FO_AC!$C$58,'Capex_FO input'!$G$43:$G$1021,Capex_FO_AC!$D$62)</f>
        <v>0</v>
      </c>
      <c r="Z62" s="581">
        <f>+SUMIFS('Capex_FO input'!Q$43:Q$1021,'Capex_FO input'!$E$43:$E$1021,Capex_FO_AC!$C$58,'Capex_FO input'!$G$43:$G$1021,Capex_FO_AC!$D$62)</f>
        <v>0</v>
      </c>
      <c r="AA62" s="581">
        <f>+SUMIFS('Capex_FO input'!R$43:R$1021,'Capex_FO input'!$E$43:$E$1021,Capex_FO_AC!$C$58,'Capex_FO input'!$G$43:$G$1021,Capex_FO_AC!$D$62)</f>
        <v>0</v>
      </c>
      <c r="AB62" s="582">
        <f>+SUMIFS('Capex_FO input'!S$43:S$1021,'Capex_FO input'!$E$43:$E$1021,Capex_FO_AC!$C$58,'Capex_FO input'!$G$43:$G$1021,Capex_FO_AC!$D$62)</f>
        <v>0</v>
      </c>
      <c r="AC62" s="581">
        <f>+SUMIFS('Capex_FO input'!T$43:T$1021,'Capex_FO input'!$E$43:$E$1021,Capex_FO_AC!$C$58,'Capex_FO input'!$G$43:$G$1021,Capex_FO_AC!$D$62)</f>
        <v>0</v>
      </c>
      <c r="AD62" s="581">
        <f>+SUMIFS('Capex_FO input'!U$43:U$1021,'Capex_FO input'!$E$43:$E$1021,Capex_FO_AC!$C$58,'Capex_FO input'!$G$43:$G$1021,Capex_FO_AC!$D$62)</f>
        <v>0</v>
      </c>
      <c r="AE62" s="581">
        <f>+SUMIFS('Capex_FO input'!V$43:V$1021,'Capex_FO input'!$E$43:$E$1021,Capex_FO_AC!$C$58,'Capex_FO input'!$G$43:$G$1021,Capex_FO_AC!$D$62)</f>
        <v>0</v>
      </c>
      <c r="AF62" s="581">
        <f>+SUMIFS('Capex_FO input'!W$43:W$1021,'Capex_FO input'!$E$43:$E$1021,Capex_FO_AC!$C$58,'Capex_FO input'!$G$43:$G$1021,Capex_FO_AC!$D$62)</f>
        <v>0</v>
      </c>
      <c r="AG62" s="582">
        <f>+SUMIFS('Capex_FO input'!X$43:X$1021,'Capex_FO input'!$E$43:$E$1021,Capex_FO_AC!$C$58,'Capex_FO input'!$G$43:$G$1021,Capex_FO_AC!$D$62)</f>
        <v>0</v>
      </c>
      <c r="AH62" s="70" t="s">
        <v>1053</v>
      </c>
    </row>
    <row r="63" spans="3:34">
      <c r="C63" s="380" t="str">
        <f>+CONCATENATE("Total ",C58)</f>
        <v>Total Rural Water</v>
      </c>
      <c r="J63" s="349">
        <f>+SUM(J59:J62)</f>
        <v>0</v>
      </c>
      <c r="K63" s="349">
        <f t="shared" ref="K63:W63" si="33">+SUM(K59:K62)</f>
        <v>0</v>
      </c>
      <c r="L63" s="349">
        <f t="shared" si="33"/>
        <v>0</v>
      </c>
      <c r="M63" s="349">
        <f t="shared" si="33"/>
        <v>0</v>
      </c>
      <c r="N63" s="349">
        <f t="shared" si="33"/>
        <v>0</v>
      </c>
      <c r="O63" s="349">
        <f>+SUM(O59:O62)</f>
        <v>0</v>
      </c>
      <c r="P63" s="349">
        <f>+SUM(P59:P62)</f>
        <v>0</v>
      </c>
      <c r="Q63" s="349">
        <f>+SUM(Q59:Q62)</f>
        <v>0</v>
      </c>
      <c r="R63" s="349">
        <f t="shared" si="33"/>
        <v>0</v>
      </c>
      <c r="S63" s="349">
        <f t="shared" si="33"/>
        <v>0</v>
      </c>
      <c r="T63" s="378">
        <f t="shared" si="33"/>
        <v>0</v>
      </c>
      <c r="U63" s="378">
        <f t="shared" si="33"/>
        <v>0</v>
      </c>
      <c r="V63" s="378">
        <f t="shared" si="33"/>
        <v>0</v>
      </c>
      <c r="W63" s="378">
        <f t="shared" si="33"/>
        <v>0</v>
      </c>
      <c r="X63" s="378">
        <f t="shared" ref="X63:AG63" si="34">+SUM(X59:X62)</f>
        <v>0</v>
      </c>
      <c r="Y63" s="378">
        <f t="shared" si="34"/>
        <v>0</v>
      </c>
      <c r="Z63" s="378">
        <f t="shared" si="34"/>
        <v>0</v>
      </c>
      <c r="AA63" s="378">
        <f t="shared" si="34"/>
        <v>0</v>
      </c>
      <c r="AB63" s="378">
        <f t="shared" si="34"/>
        <v>0</v>
      </c>
      <c r="AC63" s="378">
        <f t="shared" si="34"/>
        <v>0</v>
      </c>
      <c r="AD63" s="378">
        <f t="shared" si="34"/>
        <v>0</v>
      </c>
      <c r="AE63" s="378">
        <f t="shared" si="34"/>
        <v>0</v>
      </c>
      <c r="AF63" s="378">
        <f t="shared" si="34"/>
        <v>0</v>
      </c>
      <c r="AG63" s="378">
        <f t="shared" si="34"/>
        <v>0</v>
      </c>
      <c r="AH63" s="70" t="s">
        <v>1053</v>
      </c>
    </row>
    <row r="64" spans="3:34">
      <c r="C64" s="395"/>
      <c r="J64" s="349"/>
      <c r="K64" s="349"/>
      <c r="L64" s="349"/>
      <c r="M64" s="349"/>
      <c r="N64" s="349"/>
      <c r="O64" s="349"/>
      <c r="P64" s="349"/>
      <c r="Q64" s="349"/>
      <c r="R64" s="349"/>
      <c r="S64" s="378"/>
      <c r="T64" s="378"/>
      <c r="U64" s="378"/>
      <c r="V64" s="378"/>
      <c r="W64" s="1776">
        <f>SUM(P63:W63)</f>
        <v>0</v>
      </c>
      <c r="X64" s="378"/>
      <c r="Y64" s="378"/>
      <c r="Z64" s="378"/>
      <c r="AA64" s="378"/>
      <c r="AB64" s="1776">
        <f>SUM(X63:AB63)</f>
        <v>0</v>
      </c>
      <c r="AC64" s="378"/>
      <c r="AD64" s="378"/>
      <c r="AE64" s="378"/>
      <c r="AF64" s="378"/>
      <c r="AG64" s="1776">
        <f>SUM(AC63:AG63)</f>
        <v>0</v>
      </c>
      <c r="AH64" s="70" t="s">
        <v>1053</v>
      </c>
    </row>
    <row r="65" spans="3:35">
      <c r="C65" s="380" t="s">
        <v>351</v>
      </c>
      <c r="J65" s="349"/>
      <c r="K65" s="349"/>
      <c r="L65" s="349"/>
      <c r="M65" s="349"/>
      <c r="N65" s="349"/>
      <c r="O65" s="349"/>
      <c r="P65" s="349"/>
      <c r="Q65" s="349"/>
      <c r="R65" s="349"/>
      <c r="S65" s="378"/>
      <c r="T65" s="378"/>
      <c r="U65" s="378"/>
      <c r="V65" s="378"/>
      <c r="W65" s="378"/>
      <c r="X65" s="378"/>
      <c r="Y65" s="378"/>
      <c r="Z65" s="378"/>
      <c r="AA65" s="378"/>
      <c r="AB65" s="378"/>
      <c r="AC65" s="378"/>
      <c r="AD65" s="378"/>
      <c r="AE65" s="378"/>
      <c r="AF65" s="378"/>
      <c r="AG65" s="378"/>
    </row>
    <row r="66" spans="3:35">
      <c r="D66" s="383" t="str">
        <f>+D59</f>
        <v>Headworks</v>
      </c>
      <c r="J66" s="574"/>
      <c r="K66" s="384"/>
      <c r="L66" s="385"/>
      <c r="M66" s="386"/>
      <c r="N66" s="384"/>
      <c r="O66" s="428"/>
      <c r="P66" s="428"/>
      <c r="Q66" s="429"/>
      <c r="R66" s="429"/>
      <c r="S66" s="429"/>
      <c r="T66" s="429"/>
      <c r="U66" s="429"/>
      <c r="V66" s="429"/>
      <c r="W66" s="430"/>
      <c r="X66" s="575">
        <f>+SUMIFS('Capex_FO input'!O$43:O$1021,'Capex_FO input'!$E$43:$E$1021,Capex_FO_AC!$C$65,'Capex_FO input'!$G$43:$G$1021,Capex_FO_AC!$D$66)</f>
        <v>0</v>
      </c>
      <c r="Y66" s="575">
        <f>+SUMIFS('Capex_FO input'!P$43:P$1021,'Capex_FO input'!$E$43:$E$1021,Capex_FO_AC!$C$65,'Capex_FO input'!$G$43:$G$1021,Capex_FO_AC!$D$66)</f>
        <v>0</v>
      </c>
      <c r="Z66" s="575">
        <f>+SUMIFS('Capex_FO input'!Q$43:Q$1021,'Capex_FO input'!$E$43:$E$1021,Capex_FO_AC!$C$65,'Capex_FO input'!$G$43:$G$1021,Capex_FO_AC!$D$66)</f>
        <v>0</v>
      </c>
      <c r="AA66" s="575">
        <f>+SUMIFS('Capex_FO input'!R$43:R$1021,'Capex_FO input'!$E$43:$E$1021,Capex_FO_AC!$C$65,'Capex_FO input'!$G$43:$G$1021,Capex_FO_AC!$D$66)</f>
        <v>0</v>
      </c>
      <c r="AB66" s="576">
        <f>+SUMIFS('Capex_FO input'!S$43:S$1021,'Capex_FO input'!$E$43:$E$1021,Capex_FO_AC!$C$65,'Capex_FO input'!$G$43:$G$1021,Capex_FO_AC!$D$66)</f>
        <v>0</v>
      </c>
      <c r="AC66" s="575">
        <f>+SUMIFS('Capex_FO input'!T$43:T$1021,'Capex_FO input'!$E$43:$E$1021,Capex_FO_AC!$C$65,'Capex_FO input'!$G$43:$G$1021,Capex_FO_AC!$D$66)</f>
        <v>0</v>
      </c>
      <c r="AD66" s="575">
        <f>+SUMIFS('Capex_FO input'!U$43:U$1021,'Capex_FO input'!$E$43:$E$1021,Capex_FO_AC!$C$65,'Capex_FO input'!$G$43:$G$1021,Capex_FO_AC!$D$66)</f>
        <v>0</v>
      </c>
      <c r="AE66" s="575">
        <f>+SUMIFS('Capex_FO input'!V$43:V$1021,'Capex_FO input'!$E$43:$E$1021,Capex_FO_AC!$C$65,'Capex_FO input'!$G$43:$G$1021,Capex_FO_AC!$D$66)</f>
        <v>0</v>
      </c>
      <c r="AF66" s="575">
        <f>+SUMIFS('Capex_FO input'!W$43:W$1021,'Capex_FO input'!$E$43:$E$1021,Capex_FO_AC!$C$65,'Capex_FO input'!$G$43:$G$1021,Capex_FO_AC!$D$66)</f>
        <v>0</v>
      </c>
      <c r="AG66" s="576">
        <f>+SUMIFS('Capex_FO input'!X$43:X$1021,'Capex_FO input'!$E$43:$E$1021,Capex_FO_AC!$C$65,'Capex_FO input'!$G$43:$G$1021,Capex_FO_AC!$D$66)</f>
        <v>0</v>
      </c>
      <c r="AH66" s="70" t="s">
        <v>1053</v>
      </c>
    </row>
    <row r="67" spans="3:35">
      <c r="D67" s="383" t="str">
        <f>+D60</f>
        <v>Pipelines/network</v>
      </c>
      <c r="J67" s="577"/>
      <c r="K67" s="387"/>
      <c r="L67" s="349"/>
      <c r="M67" s="388"/>
      <c r="N67" s="387"/>
      <c r="O67" s="431"/>
      <c r="P67" s="431"/>
      <c r="Q67" s="432"/>
      <c r="R67" s="432"/>
      <c r="S67" s="432"/>
      <c r="T67" s="432"/>
      <c r="U67" s="432"/>
      <c r="V67" s="432"/>
      <c r="W67" s="433"/>
      <c r="X67" s="578">
        <f>+SUMIFS('Capex_FO input'!O$43:O$1021,'Capex_FO input'!$E$43:$E$1021,Capex_FO_AC!$C$65,'Capex_FO input'!$G$43:$G$1021,Capex_FO_AC!$D$67)</f>
        <v>0</v>
      </c>
      <c r="Y67" s="578">
        <f>+SUMIFS('Capex_FO input'!P$43:P$1021,'Capex_FO input'!$E$43:$E$1021,Capex_FO_AC!$C$65,'Capex_FO input'!$G$43:$G$1021,Capex_FO_AC!$D$67)</f>
        <v>0</v>
      </c>
      <c r="Z67" s="578">
        <f>+SUMIFS('Capex_FO input'!Q$43:Q$1021,'Capex_FO input'!$E$43:$E$1021,Capex_FO_AC!$C$65,'Capex_FO input'!$G$43:$G$1021,Capex_FO_AC!$D$67)</f>
        <v>0</v>
      </c>
      <c r="AA67" s="578">
        <f>+SUMIFS('Capex_FO input'!R$43:R$1021,'Capex_FO input'!$E$43:$E$1021,Capex_FO_AC!$C$65,'Capex_FO input'!$G$43:$G$1021,Capex_FO_AC!$D$67)</f>
        <v>0</v>
      </c>
      <c r="AB67" s="579">
        <f>+SUMIFS('Capex_FO input'!S$43:S$1021,'Capex_FO input'!$E$43:$E$1021,Capex_FO_AC!$C$65,'Capex_FO input'!$G$43:$G$1021,Capex_FO_AC!$D$67)</f>
        <v>0</v>
      </c>
      <c r="AC67" s="578">
        <f>+SUMIFS('Capex_FO input'!T$43:T$1021,'Capex_FO input'!$E$43:$E$1021,Capex_FO_AC!$C$65,'Capex_FO input'!$G$43:$G$1021,Capex_FO_AC!$D$67)</f>
        <v>0</v>
      </c>
      <c r="AD67" s="578">
        <f>+SUMIFS('Capex_FO input'!U$43:U$1021,'Capex_FO input'!$E$43:$E$1021,Capex_FO_AC!$C$65,'Capex_FO input'!$G$43:$G$1021,Capex_FO_AC!$D$67)</f>
        <v>0</v>
      </c>
      <c r="AE67" s="578">
        <f>+SUMIFS('Capex_FO input'!V$43:V$1021,'Capex_FO input'!$E$43:$E$1021,Capex_FO_AC!$C$65,'Capex_FO input'!$G$43:$G$1021,Capex_FO_AC!$D$67)</f>
        <v>0</v>
      </c>
      <c r="AF67" s="578">
        <f>+SUMIFS('Capex_FO input'!W$43:W$1021,'Capex_FO input'!$E$43:$E$1021,Capex_FO_AC!$C$65,'Capex_FO input'!$G$43:$G$1021,Capex_FO_AC!$D$67)</f>
        <v>0</v>
      </c>
      <c r="AG67" s="579">
        <f>+SUMIFS('Capex_FO input'!X$43:X$1021,'Capex_FO input'!$E$43:$E$1021,Capex_FO_AC!$C$65,'Capex_FO input'!$G$43:$G$1021,Capex_FO_AC!$D$67)</f>
        <v>0</v>
      </c>
      <c r="AH67" s="70" t="s">
        <v>1053</v>
      </c>
    </row>
    <row r="68" spans="3:35">
      <c r="D68" s="383" t="str">
        <f>+D61</f>
        <v>Treatment</v>
      </c>
      <c r="J68" s="577"/>
      <c r="K68" s="387"/>
      <c r="L68" s="349"/>
      <c r="M68" s="388"/>
      <c r="N68" s="387"/>
      <c r="O68" s="431"/>
      <c r="P68" s="431"/>
      <c r="Q68" s="432"/>
      <c r="R68" s="432"/>
      <c r="S68" s="432"/>
      <c r="T68" s="432"/>
      <c r="U68" s="432"/>
      <c r="V68" s="432"/>
      <c r="W68" s="433"/>
      <c r="X68" s="578">
        <f>+SUMIFS('Capex_FO input'!O$43:O$1021,'Capex_FO input'!$E$43:$E$1021,Capex_FO_AC!$C$65,'Capex_FO input'!$G$43:$G$1021,Capex_FO_AC!$D$68)</f>
        <v>0</v>
      </c>
      <c r="Y68" s="578">
        <f>+SUMIFS('Capex_FO input'!P$43:P$1021,'Capex_FO input'!$E$43:$E$1021,Capex_FO_AC!$C$65,'Capex_FO input'!$G$43:$G$1021,Capex_FO_AC!$D$68)</f>
        <v>0</v>
      </c>
      <c r="Z68" s="578">
        <f>+SUMIFS('Capex_FO input'!Q$43:Q$1021,'Capex_FO input'!$E$43:$E$1021,Capex_FO_AC!$C$65,'Capex_FO input'!$G$43:$G$1021,Capex_FO_AC!$D$68)</f>
        <v>0</v>
      </c>
      <c r="AA68" s="578">
        <f>+SUMIFS('Capex_FO input'!R$43:R$1021,'Capex_FO input'!$E$43:$E$1021,Capex_FO_AC!$C$65,'Capex_FO input'!$G$43:$G$1021,Capex_FO_AC!$D$68)</f>
        <v>0</v>
      </c>
      <c r="AB68" s="579">
        <f>+SUMIFS('Capex_FO input'!S$43:S$1021,'Capex_FO input'!$E$43:$E$1021,Capex_FO_AC!$C$65,'Capex_FO input'!$G$43:$G$1021,Capex_FO_AC!$D$68)</f>
        <v>0</v>
      </c>
      <c r="AC68" s="578">
        <f>+SUMIFS('Capex_FO input'!T$43:T$1021,'Capex_FO input'!$E$43:$E$1021,Capex_FO_AC!$C$65,'Capex_FO input'!$G$43:$G$1021,Capex_FO_AC!$D$68)</f>
        <v>0</v>
      </c>
      <c r="AD68" s="578">
        <f>+SUMIFS('Capex_FO input'!U$43:U$1021,'Capex_FO input'!$E$43:$E$1021,Capex_FO_AC!$C$65,'Capex_FO input'!$G$43:$G$1021,Capex_FO_AC!$D$68)</f>
        <v>0</v>
      </c>
      <c r="AE68" s="578">
        <f>+SUMIFS('Capex_FO input'!V$43:V$1021,'Capex_FO input'!$E$43:$E$1021,Capex_FO_AC!$C$65,'Capex_FO input'!$G$43:$G$1021,Capex_FO_AC!$D$68)</f>
        <v>0</v>
      </c>
      <c r="AF68" s="578">
        <f>+SUMIFS('Capex_FO input'!W$43:W$1021,'Capex_FO input'!$E$43:$E$1021,Capex_FO_AC!$C$65,'Capex_FO input'!$G$43:$G$1021,Capex_FO_AC!$D$68)</f>
        <v>0</v>
      </c>
      <c r="AG68" s="579">
        <f>+SUMIFS('Capex_FO input'!X$43:X$1021,'Capex_FO input'!$E$43:$E$1021,Capex_FO_AC!$C$65,'Capex_FO input'!$G$43:$G$1021,Capex_FO_AC!$D$68)</f>
        <v>0</v>
      </c>
      <c r="AH68" s="70" t="s">
        <v>1053</v>
      </c>
    </row>
    <row r="69" spans="3:35">
      <c r="D69" s="383" t="str">
        <f>+D62</f>
        <v>Corporate</v>
      </c>
      <c r="J69" s="580"/>
      <c r="K69" s="392"/>
      <c r="L69" s="393"/>
      <c r="M69" s="394"/>
      <c r="N69" s="392"/>
      <c r="O69" s="434"/>
      <c r="P69" s="434"/>
      <c r="Q69" s="435"/>
      <c r="R69" s="435"/>
      <c r="S69" s="435"/>
      <c r="T69" s="435"/>
      <c r="U69" s="435"/>
      <c r="V69" s="435"/>
      <c r="W69" s="436"/>
      <c r="X69" s="581">
        <f>+SUMIFS('Capex_FO input'!O$43:O$1021,'Capex_FO input'!$E$43:$E$1021,Capex_FO_AC!$C$65,'Capex_FO input'!$G$43:$G$1021,Capex_FO_AC!$D$69)</f>
        <v>0</v>
      </c>
      <c r="Y69" s="581">
        <f>+SUMIFS('Capex_FO input'!P$43:P$1021,'Capex_FO input'!$E$43:$E$1021,Capex_FO_AC!$C$65,'Capex_FO input'!$G$43:$G$1021,Capex_FO_AC!$D$69)</f>
        <v>0</v>
      </c>
      <c r="Z69" s="581">
        <f>+SUMIFS('Capex_FO input'!Q$43:Q$1021,'Capex_FO input'!$E$43:$E$1021,Capex_FO_AC!$C$65,'Capex_FO input'!$G$43:$G$1021,Capex_FO_AC!$D$69)</f>
        <v>0</v>
      </c>
      <c r="AA69" s="581">
        <f>+SUMIFS('Capex_FO input'!R$43:R$1021,'Capex_FO input'!$E$43:$E$1021,Capex_FO_AC!$C$65,'Capex_FO input'!$G$43:$G$1021,Capex_FO_AC!$D$69)</f>
        <v>0</v>
      </c>
      <c r="AB69" s="582">
        <f>+SUMIFS('Capex_FO input'!S$43:S$1021,'Capex_FO input'!$E$43:$E$1021,Capex_FO_AC!$C$65,'Capex_FO input'!$G$43:$G$1021,Capex_FO_AC!$D$69)</f>
        <v>0</v>
      </c>
      <c r="AC69" s="581">
        <f>+SUMIFS('Capex_FO input'!T$43:T$1021,'Capex_FO input'!$E$43:$E$1021,Capex_FO_AC!$C$65,'Capex_FO input'!$G$43:$G$1021,Capex_FO_AC!$D$69)</f>
        <v>0</v>
      </c>
      <c r="AD69" s="581">
        <f>+SUMIFS('Capex_FO input'!U$43:U$1021,'Capex_FO input'!$E$43:$E$1021,Capex_FO_AC!$C$65,'Capex_FO input'!$G$43:$G$1021,Capex_FO_AC!$D$69)</f>
        <v>0</v>
      </c>
      <c r="AE69" s="581">
        <f>+SUMIFS('Capex_FO input'!V$43:V$1021,'Capex_FO input'!$E$43:$E$1021,Capex_FO_AC!$C$65,'Capex_FO input'!$G$43:$G$1021,Capex_FO_AC!$D$69)</f>
        <v>0</v>
      </c>
      <c r="AF69" s="581">
        <f>+SUMIFS('Capex_FO input'!W$43:W$1021,'Capex_FO input'!$E$43:$E$1021,Capex_FO_AC!$C$65,'Capex_FO input'!$G$43:$G$1021,Capex_FO_AC!$D$69)</f>
        <v>0</v>
      </c>
      <c r="AG69" s="582">
        <f>+SUMIFS('Capex_FO input'!X$43:X$1021,'Capex_FO input'!$E$43:$E$1021,Capex_FO_AC!$C$65,'Capex_FO input'!$G$43:$G$1021,Capex_FO_AC!$D$69)</f>
        <v>0</v>
      </c>
      <c r="AH69" s="70" t="s">
        <v>1053</v>
      </c>
    </row>
    <row r="70" spans="3:35">
      <c r="C70" s="380" t="str">
        <f>+CONCATENATE("Total ",C65)</f>
        <v>Total Bulk Water</v>
      </c>
      <c r="J70" s="349">
        <f>+SUM(J66:J69)</f>
        <v>0</v>
      </c>
      <c r="K70" s="349">
        <f t="shared" ref="K70:W70" si="35">+SUM(K66:K69)</f>
        <v>0</v>
      </c>
      <c r="L70" s="349">
        <f t="shared" si="35"/>
        <v>0</v>
      </c>
      <c r="M70" s="349">
        <f t="shared" si="35"/>
        <v>0</v>
      </c>
      <c r="N70" s="378">
        <f t="shared" si="35"/>
        <v>0</v>
      </c>
      <c r="O70" s="349">
        <f>+SUM(O66:O69)</f>
        <v>0</v>
      </c>
      <c r="P70" s="349">
        <f>+SUM(P66:P69)</f>
        <v>0</v>
      </c>
      <c r="Q70" s="349">
        <f>+SUM(Q66:Q69)</f>
        <v>0</v>
      </c>
      <c r="R70" s="349">
        <f t="shared" si="35"/>
        <v>0</v>
      </c>
      <c r="S70" s="378">
        <f t="shared" si="35"/>
        <v>0</v>
      </c>
      <c r="T70" s="378">
        <f t="shared" si="35"/>
        <v>0</v>
      </c>
      <c r="U70" s="378">
        <f t="shared" si="35"/>
        <v>0</v>
      </c>
      <c r="V70" s="378">
        <f t="shared" si="35"/>
        <v>0</v>
      </c>
      <c r="W70" s="378">
        <f t="shared" si="35"/>
        <v>0</v>
      </c>
      <c r="X70" s="378">
        <f t="shared" ref="X70:AG70" si="36">+SUM(X66:X69)</f>
        <v>0</v>
      </c>
      <c r="Y70" s="378">
        <f t="shared" si="36"/>
        <v>0</v>
      </c>
      <c r="Z70" s="378">
        <f t="shared" si="36"/>
        <v>0</v>
      </c>
      <c r="AA70" s="378">
        <f t="shared" si="36"/>
        <v>0</v>
      </c>
      <c r="AB70" s="378">
        <f t="shared" si="36"/>
        <v>0</v>
      </c>
      <c r="AC70" s="378">
        <f t="shared" si="36"/>
        <v>0</v>
      </c>
      <c r="AD70" s="378">
        <f t="shared" si="36"/>
        <v>0</v>
      </c>
      <c r="AE70" s="378">
        <f t="shared" si="36"/>
        <v>0</v>
      </c>
      <c r="AF70" s="378">
        <f t="shared" si="36"/>
        <v>0</v>
      </c>
      <c r="AG70" s="378">
        <f t="shared" si="36"/>
        <v>0</v>
      </c>
      <c r="AH70" s="70" t="s">
        <v>1053</v>
      </c>
    </row>
    <row r="71" spans="3:35">
      <c r="C71" s="395"/>
      <c r="J71" s="349"/>
      <c r="K71" s="349"/>
      <c r="L71" s="349"/>
      <c r="M71" s="349"/>
      <c r="N71" s="378"/>
      <c r="O71" s="349"/>
      <c r="P71" s="349"/>
      <c r="Q71" s="349"/>
      <c r="R71" s="349"/>
      <c r="S71" s="378"/>
      <c r="T71" s="378"/>
      <c r="U71" s="378"/>
      <c r="V71" s="378"/>
      <c r="W71" s="1776">
        <f>SUM(P70:W70)</f>
        <v>0</v>
      </c>
      <c r="X71" s="378"/>
      <c r="Y71" s="378"/>
      <c r="Z71" s="378"/>
      <c r="AA71" s="378"/>
      <c r="AB71" s="1776">
        <f>SUM(X70:AB70)</f>
        <v>0</v>
      </c>
      <c r="AC71" s="378"/>
      <c r="AD71" s="378"/>
      <c r="AE71" s="378"/>
      <c r="AF71" s="378"/>
      <c r="AG71" s="1776">
        <f>SUM(AC70:AG70)</f>
        <v>0</v>
      </c>
      <c r="AH71" s="70" t="s">
        <v>1053</v>
      </c>
    </row>
    <row r="72" spans="3:35">
      <c r="C72" s="395"/>
      <c r="J72" s="349"/>
      <c r="K72" s="349"/>
      <c r="L72" s="349"/>
      <c r="M72" s="349"/>
      <c r="N72" s="378"/>
      <c r="O72" s="349"/>
      <c r="P72" s="349"/>
      <c r="Q72" s="349"/>
      <c r="R72" s="349"/>
      <c r="S72" s="378"/>
      <c r="T72" s="378"/>
      <c r="U72" s="378"/>
      <c r="V72" s="378"/>
      <c r="W72" s="832"/>
      <c r="X72" s="378"/>
      <c r="Y72" s="378"/>
      <c r="Z72" s="378"/>
      <c r="AA72" s="378"/>
      <c r="AB72" s="832"/>
      <c r="AC72" s="378"/>
      <c r="AD72" s="378"/>
      <c r="AE72" s="378"/>
      <c r="AF72" s="378"/>
      <c r="AG72" s="832"/>
    </row>
    <row r="73" spans="3:35">
      <c r="C73" s="583"/>
      <c r="D73" s="79"/>
      <c r="E73" s="79"/>
      <c r="F73" s="79"/>
      <c r="G73" s="79"/>
      <c r="H73" s="79"/>
      <c r="I73" s="79"/>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406"/>
    </row>
    <row r="74" spans="3:35">
      <c r="C74" s="148"/>
      <c r="D74" s="409" t="s">
        <v>122</v>
      </c>
      <c r="E74" s="74"/>
      <c r="F74" s="74"/>
      <c r="G74" s="74"/>
      <c r="H74" s="74"/>
      <c r="I74" s="74"/>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106"/>
    </row>
    <row r="75" spans="3:35">
      <c r="C75" s="148"/>
      <c r="D75" s="74"/>
      <c r="E75" s="74"/>
      <c r="F75" s="74"/>
      <c r="G75" s="74"/>
      <c r="H75" s="74"/>
      <c r="I75" s="74"/>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106"/>
    </row>
    <row r="76" spans="3:35">
      <c r="C76" s="148"/>
      <c r="D76" s="74"/>
      <c r="E76" s="584" t="s">
        <v>19</v>
      </c>
      <c r="F76" s="74"/>
      <c r="G76" s="74"/>
      <c r="H76" s="74"/>
      <c r="I76" s="74"/>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106"/>
    </row>
    <row r="77" spans="3:35">
      <c r="C77" s="148"/>
      <c r="D77" s="74"/>
      <c r="E77" s="585"/>
      <c r="F77" s="586" t="str">
        <f>C37</f>
        <v>Water</v>
      </c>
      <c r="G77" s="74"/>
      <c r="H77" s="74"/>
      <c r="I77" s="74"/>
      <c r="J77" s="574"/>
      <c r="K77" s="384"/>
      <c r="L77" s="385"/>
      <c r="M77" s="385"/>
      <c r="N77" s="384"/>
      <c r="O77" s="428">
        <v>0</v>
      </c>
      <c r="P77" s="428">
        <v>0</v>
      </c>
      <c r="Q77" s="429">
        <v>0</v>
      </c>
      <c r="R77" s="429">
        <v>0.43440823327615774</v>
      </c>
      <c r="S77" s="429">
        <v>0.286412213740458</v>
      </c>
      <c r="T77" s="429">
        <v>0.22711864406779658</v>
      </c>
      <c r="U77" s="429">
        <v>1.0488834841628958</v>
      </c>
      <c r="V77" s="429">
        <v>0.83815829694323141</v>
      </c>
      <c r="W77" s="430">
        <v>0</v>
      </c>
      <c r="X77" s="575">
        <f>+SUMIF('Capex_FO input'!$E$43:$E$1021,Capex_FO_AC!$F$77,'Capex_FO input'!Z$43:Z$1021)</f>
        <v>0</v>
      </c>
      <c r="Y77" s="575">
        <f>+SUMIF('Capex_FO input'!$E$43:$E$1021,Capex_FO_AC!$F$77,'Capex_FO input'!AA$43:AA$1021)</f>
        <v>0</v>
      </c>
      <c r="Z77" s="575">
        <f>+SUMIF('Capex_FO input'!$E$43:$E$1021,Capex_FO_AC!$F$77,'Capex_FO input'!AB$43:AB$1021)</f>
        <v>0</v>
      </c>
      <c r="AA77" s="575">
        <f>+SUMIF('Capex_FO input'!$E$43:$E$1021,Capex_FO_AC!$F$77,'Capex_FO input'!AC$43:AC$1021)</f>
        <v>0</v>
      </c>
      <c r="AB77" s="576">
        <f>+SUMIF('Capex_FO input'!$E$43:$E$1021,Capex_FO_AC!$F$77,'Capex_FO input'!AD$43:AD$1021)</f>
        <v>0</v>
      </c>
      <c r="AC77" s="575">
        <f>+SUMIF('Capex_FO input'!$E$43:$E$1021,Capex_FO_AC!$F$77,'Capex_FO input'!AE$43:AE$1021)</f>
        <v>0</v>
      </c>
      <c r="AD77" s="575">
        <f>+SUMIF('Capex_FO input'!$E$43:$E$1021,Capex_FO_AC!$F$77,'Capex_FO input'!AF$43:AF$1021)</f>
        <v>0</v>
      </c>
      <c r="AE77" s="575">
        <f>+SUMIF('Capex_FO input'!$E$43:$E$1021,Capex_FO_AC!$F$77,'Capex_FO input'!AG$43:AG$1021)</f>
        <v>0</v>
      </c>
      <c r="AF77" s="575">
        <f>+SUMIF('Capex_FO input'!$E$43:$E$1021,Capex_FO_AC!$F$77,'Capex_FO input'!AH$43:AH$1021)</f>
        <v>0</v>
      </c>
      <c r="AG77" s="576">
        <f>+SUMIF('Capex_FO input'!$E$43:$E$1021,Capex_FO_AC!$F$77,'Capex_FO input'!AI$43:AI$1021)</f>
        <v>0</v>
      </c>
      <c r="AH77" s="106"/>
      <c r="AI77" s="70" t="s">
        <v>1053</v>
      </c>
    </row>
    <row r="78" spans="3:35">
      <c r="C78" s="148"/>
      <c r="D78" s="74"/>
      <c r="E78" s="585"/>
      <c r="F78" s="586" t="str">
        <f>C44</f>
        <v>Sewerage</v>
      </c>
      <c r="G78" s="74"/>
      <c r="H78" s="74"/>
      <c r="I78" s="74"/>
      <c r="J78" s="577"/>
      <c r="K78" s="387"/>
      <c r="L78" s="349"/>
      <c r="M78" s="349"/>
      <c r="N78" s="387"/>
      <c r="O78" s="431">
        <v>0</v>
      </c>
      <c r="P78" s="431">
        <v>0</v>
      </c>
      <c r="Q78" s="432">
        <v>0</v>
      </c>
      <c r="R78" s="432">
        <v>0</v>
      </c>
      <c r="S78" s="432">
        <v>0</v>
      </c>
      <c r="T78" s="432">
        <v>0</v>
      </c>
      <c r="U78" s="432">
        <v>0</v>
      </c>
      <c r="V78" s="432">
        <v>0.51200873362445409</v>
      </c>
      <c r="W78" s="433">
        <v>0</v>
      </c>
      <c r="X78" s="578">
        <f>+SUMIF('Capex_FO input'!$E$43:$E$1021,Capex_FO_AC!$F$78,'Capex_FO input'!Z$43:Z$1021)</f>
        <v>1</v>
      </c>
      <c r="Y78" s="578">
        <f>+SUMIF('Capex_FO input'!$E$43:$E$1021,Capex_FO_AC!$F$78,'Capex_FO input'!AA$43:AA$1021)</f>
        <v>3.0949999999999998</v>
      </c>
      <c r="Z78" s="578">
        <f>+SUMIF('Capex_FO input'!$E$43:$E$1021,Capex_FO_AC!$F$78,'Capex_FO input'!AB$43:AB$1021)</f>
        <v>0.40500000000000003</v>
      </c>
      <c r="AA78" s="578">
        <f>+SUMIF('Capex_FO input'!$E$43:$E$1021,Capex_FO_AC!$F$78,'Capex_FO input'!AC$43:AC$1021)</f>
        <v>0</v>
      </c>
      <c r="AB78" s="579">
        <f>+SUMIF('Capex_FO input'!$E$43:$E$1021,Capex_FO_AC!$F$78,'Capex_FO input'!AD$43:AD$1021)</f>
        <v>0</v>
      </c>
      <c r="AC78" s="578">
        <f>+SUMIF('Capex_FO input'!$E$43:$E$1021,Capex_FO_AC!$F$78,'Capex_FO input'!AE$43:AE$1021)</f>
        <v>0</v>
      </c>
      <c r="AD78" s="578">
        <f>+SUMIF('Capex_FO input'!$E$43:$E$1021,Capex_FO_AC!$F$78,'Capex_FO input'!AF$43:AF$1021)</f>
        <v>0</v>
      </c>
      <c r="AE78" s="578">
        <f>+SUMIF('Capex_FO input'!$E$43:$E$1021,Capex_FO_AC!$F$78,'Capex_FO input'!AG$43:AG$1021)</f>
        <v>0</v>
      </c>
      <c r="AF78" s="578">
        <f>+SUMIF('Capex_FO input'!$E$43:$E$1021,Capex_FO_AC!$F$78,'Capex_FO input'!AH$43:AH$1021)</f>
        <v>0</v>
      </c>
      <c r="AG78" s="579">
        <f>+SUMIF('Capex_FO input'!$E$43:$E$1021,Capex_FO_AC!$F$78,'Capex_FO input'!AI$43:AI$1021)</f>
        <v>0</v>
      </c>
      <c r="AH78" s="106"/>
      <c r="AI78" s="70" t="s">
        <v>1053</v>
      </c>
    </row>
    <row r="79" spans="3:35">
      <c r="C79" s="148"/>
      <c r="D79" s="74"/>
      <c r="E79" s="585"/>
      <c r="F79" s="586" t="str">
        <f>C51</f>
        <v>Recycled Water</v>
      </c>
      <c r="G79" s="74"/>
      <c r="H79" s="74"/>
      <c r="I79" s="74"/>
      <c r="J79" s="577"/>
      <c r="K79" s="387"/>
      <c r="L79" s="349"/>
      <c r="M79" s="349"/>
      <c r="N79" s="387"/>
      <c r="O79" s="431"/>
      <c r="P79" s="431"/>
      <c r="Q79" s="432"/>
      <c r="R79" s="432"/>
      <c r="S79" s="432"/>
      <c r="T79" s="432"/>
      <c r="U79" s="432"/>
      <c r="V79" s="432"/>
      <c r="W79" s="433"/>
      <c r="X79" s="578">
        <f>+SUMIF('Capex_FO input'!$E$43:$E$1021,Capex_FO_AC!$F$79,'Capex_FO input'!Z$43:Z$1021)</f>
        <v>0</v>
      </c>
      <c r="Y79" s="578">
        <f>+SUMIF('Capex_FO input'!$E$43:$E$1021,Capex_FO_AC!$F$79,'Capex_FO input'!AA$43:AA$1021)</f>
        <v>0</v>
      </c>
      <c r="Z79" s="578">
        <f>+SUMIF('Capex_FO input'!$E$43:$E$1021,Capex_FO_AC!$F$79,'Capex_FO input'!AB$43:AB$1021)</f>
        <v>0</v>
      </c>
      <c r="AA79" s="578">
        <f>+SUMIF('Capex_FO input'!$E$43:$E$1021,Capex_FO_AC!$F$79,'Capex_FO input'!AC$43:AC$1021)</f>
        <v>0</v>
      </c>
      <c r="AB79" s="579">
        <f>+SUMIF('Capex_FO input'!$E$43:$E$1021,Capex_FO_AC!$F$79,'Capex_FO input'!AD$43:AD$1021)</f>
        <v>0</v>
      </c>
      <c r="AC79" s="578">
        <f>+SUMIF('Capex_FO input'!$E$43:$E$1021,Capex_FO_AC!$F$79,'Capex_FO input'!AE$43:AE$1021)</f>
        <v>0</v>
      </c>
      <c r="AD79" s="578">
        <f>+SUMIF('Capex_FO input'!$E$43:$E$1021,Capex_FO_AC!$F$79,'Capex_FO input'!AF$43:AF$1021)</f>
        <v>0</v>
      </c>
      <c r="AE79" s="578">
        <f>+SUMIF('Capex_FO input'!$E$43:$E$1021,Capex_FO_AC!$F$79,'Capex_FO input'!AG$43:AG$1021)</f>
        <v>0</v>
      </c>
      <c r="AF79" s="578">
        <f>+SUMIF('Capex_FO input'!$E$43:$E$1021,Capex_FO_AC!$F$79,'Capex_FO input'!AH$43:AH$1021)</f>
        <v>0</v>
      </c>
      <c r="AG79" s="579">
        <f>+SUMIF('Capex_FO input'!$E$43:$E$1021,Capex_FO_AC!$F$79,'Capex_FO input'!AI$43:AI$1021)</f>
        <v>0</v>
      </c>
      <c r="AH79" s="106"/>
      <c r="AI79" s="70" t="s">
        <v>1053</v>
      </c>
    </row>
    <row r="80" spans="3:35">
      <c r="C80" s="148"/>
      <c r="D80" s="74"/>
      <c r="E80" s="585"/>
      <c r="F80" s="586" t="str">
        <f>C58</f>
        <v>Rural Water</v>
      </c>
      <c r="G80" s="74"/>
      <c r="H80" s="74"/>
      <c r="I80" s="74"/>
      <c r="J80" s="577"/>
      <c r="K80" s="387"/>
      <c r="L80" s="349"/>
      <c r="M80" s="349"/>
      <c r="N80" s="387"/>
      <c r="O80" s="431"/>
      <c r="P80" s="431"/>
      <c r="Q80" s="432"/>
      <c r="R80" s="432"/>
      <c r="S80" s="432"/>
      <c r="T80" s="432"/>
      <c r="U80" s="432"/>
      <c r="V80" s="432"/>
      <c r="W80" s="433"/>
      <c r="X80" s="578">
        <f>+SUMIF('Capex_FO input'!$E$43:$E$1021,Capex_FO_AC!$F$80,'Capex_FO input'!Z$43:Z$1021)</f>
        <v>0</v>
      </c>
      <c r="Y80" s="578">
        <f>+SUMIF('Capex_FO input'!$E$43:$E$1021,Capex_FO_AC!$F$80,'Capex_FO input'!AA$43:AA$1021)</f>
        <v>0</v>
      </c>
      <c r="Z80" s="578">
        <f>+SUMIF('Capex_FO input'!$E$43:$E$1021,Capex_FO_AC!$F$80,'Capex_FO input'!AB$43:AB$1021)</f>
        <v>0</v>
      </c>
      <c r="AA80" s="578">
        <f>+SUMIF('Capex_FO input'!$E$43:$E$1021,Capex_FO_AC!$F$80,'Capex_FO input'!AC$43:AC$1021)</f>
        <v>0</v>
      </c>
      <c r="AB80" s="579">
        <f>+SUMIF('Capex_FO input'!$E$43:$E$1021,Capex_FO_AC!$F$80,'Capex_FO input'!AD$43:AD$1021)</f>
        <v>0</v>
      </c>
      <c r="AC80" s="578">
        <f>+SUMIF('Capex_FO input'!$E$43:$E$1021,Capex_FO_AC!$F$80,'Capex_FO input'!AE$43:AE$1021)</f>
        <v>0</v>
      </c>
      <c r="AD80" s="578">
        <f>+SUMIF('Capex_FO input'!$E$43:$E$1021,Capex_FO_AC!$F$80,'Capex_FO input'!AF$43:AF$1021)</f>
        <v>0</v>
      </c>
      <c r="AE80" s="578">
        <f>+SUMIF('Capex_FO input'!$E$43:$E$1021,Capex_FO_AC!$F$80,'Capex_FO input'!AG$43:AG$1021)</f>
        <v>0</v>
      </c>
      <c r="AF80" s="578">
        <f>+SUMIF('Capex_FO input'!$E$43:$E$1021,Capex_FO_AC!$F$80,'Capex_FO input'!AH$43:AH$1021)</f>
        <v>0</v>
      </c>
      <c r="AG80" s="579">
        <f>+SUMIF('Capex_FO input'!$E$43:$E$1021,Capex_FO_AC!$F$80,'Capex_FO input'!AI$43:AI$1021)</f>
        <v>0</v>
      </c>
      <c r="AH80" s="106"/>
      <c r="AI80" s="70" t="s">
        <v>1053</v>
      </c>
    </row>
    <row r="81" spans="3:35">
      <c r="C81" s="148"/>
      <c r="D81" s="74"/>
      <c r="E81" s="585"/>
      <c r="F81" s="586" t="str">
        <f>C65</f>
        <v>Bulk Water</v>
      </c>
      <c r="G81" s="74"/>
      <c r="H81" s="74"/>
      <c r="I81" s="74"/>
      <c r="J81" s="580"/>
      <c r="K81" s="392"/>
      <c r="L81" s="393"/>
      <c r="M81" s="393"/>
      <c r="N81" s="392"/>
      <c r="O81" s="434"/>
      <c r="P81" s="434"/>
      <c r="Q81" s="435"/>
      <c r="R81" s="435"/>
      <c r="S81" s="435"/>
      <c r="T81" s="435"/>
      <c r="U81" s="435"/>
      <c r="V81" s="435"/>
      <c r="W81" s="436"/>
      <c r="X81" s="581">
        <f>+SUMIF('Capex_FO input'!$E$43:$E$1021,Capex_FO_AC!$F$81,'Capex_FO input'!Z$43:Z$1021)</f>
        <v>0</v>
      </c>
      <c r="Y81" s="581">
        <f>+SUMIF('Capex_FO input'!$E$43:$E$1021,Capex_FO_AC!$F$81,'Capex_FO input'!AA$43:AA$1021)</f>
        <v>0</v>
      </c>
      <c r="Z81" s="581">
        <f>+SUMIF('Capex_FO input'!$E$43:$E$1021,Capex_FO_AC!$F$81,'Capex_FO input'!AB$43:AB$1021)</f>
        <v>0</v>
      </c>
      <c r="AA81" s="581">
        <f>+SUMIF('Capex_FO input'!$E$43:$E$1021,Capex_FO_AC!$F$81,'Capex_FO input'!AC$43:AC$1021)</f>
        <v>0</v>
      </c>
      <c r="AB81" s="582">
        <f>+SUMIF('Capex_FO input'!$E$43:$E$1021,Capex_FO_AC!$F$81,'Capex_FO input'!AD$43:AD$1021)</f>
        <v>0</v>
      </c>
      <c r="AC81" s="581">
        <f>+SUMIF('Capex_FO input'!$E$43:$E$1021,Capex_FO_AC!$F$81,'Capex_FO input'!AE$43:AE$1021)</f>
        <v>0</v>
      </c>
      <c r="AD81" s="581">
        <f>+SUMIF('Capex_FO input'!$E$43:$E$1021,Capex_FO_AC!$F$81,'Capex_FO input'!AF$43:AF$1021)</f>
        <v>0</v>
      </c>
      <c r="AE81" s="581">
        <f>+SUMIF('Capex_FO input'!$E$43:$E$1021,Capex_FO_AC!$F$81,'Capex_FO input'!AG$43:AG$1021)</f>
        <v>0</v>
      </c>
      <c r="AF81" s="581">
        <f>+SUMIF('Capex_FO input'!$E$43:$E$1021,Capex_FO_AC!$F$81,'Capex_FO input'!AH$43:AH$1021)</f>
        <v>0</v>
      </c>
      <c r="AG81" s="582">
        <f>+SUMIF('Capex_FO input'!$E$43:$E$1021,Capex_FO_AC!$F$81,'Capex_FO input'!AI$43:AI$1021)</f>
        <v>0</v>
      </c>
      <c r="AH81" s="106"/>
      <c r="AI81" s="70" t="s">
        <v>1053</v>
      </c>
    </row>
    <row r="82" spans="3:35">
      <c r="C82" s="148"/>
      <c r="D82" s="74"/>
      <c r="E82" s="584" t="str">
        <f>+CONCATENATE("Total ",E76)</f>
        <v>Total Government contributions</v>
      </c>
      <c r="F82" s="587"/>
      <c r="G82" s="74"/>
      <c r="H82" s="74"/>
      <c r="I82" s="74"/>
      <c r="J82" s="349">
        <f>+SUM(J77:J81)</f>
        <v>0</v>
      </c>
      <c r="K82" s="349">
        <f>SUM(K77:K81)</f>
        <v>0</v>
      </c>
      <c r="L82" s="349">
        <f>SUM(L77:L81)</f>
        <v>0</v>
      </c>
      <c r="M82" s="349">
        <f>SUM(M77:M81)</f>
        <v>0</v>
      </c>
      <c r="N82" s="349">
        <f t="shared" ref="N82:AG82" si="37">+SUM(N77:N81)</f>
        <v>0</v>
      </c>
      <c r="O82" s="349">
        <f>+SUM(O77:O81)</f>
        <v>0</v>
      </c>
      <c r="P82" s="349">
        <f>+SUM(P77:P81)</f>
        <v>0</v>
      </c>
      <c r="Q82" s="349">
        <f>+SUM(Q77:Q81)</f>
        <v>0</v>
      </c>
      <c r="R82" s="349">
        <f t="shared" si="37"/>
        <v>0.43440823327615774</v>
      </c>
      <c r="S82" s="349">
        <f t="shared" si="37"/>
        <v>0.286412213740458</v>
      </c>
      <c r="T82" s="349">
        <f t="shared" si="37"/>
        <v>0.22711864406779658</v>
      </c>
      <c r="U82" s="349">
        <f t="shared" si="37"/>
        <v>1.0488834841628958</v>
      </c>
      <c r="V82" s="349">
        <f t="shared" si="37"/>
        <v>1.3501670305676856</v>
      </c>
      <c r="W82" s="349">
        <f t="shared" si="37"/>
        <v>0</v>
      </c>
      <c r="X82" s="349">
        <f t="shared" si="37"/>
        <v>1</v>
      </c>
      <c r="Y82" s="349">
        <f t="shared" si="37"/>
        <v>3.0949999999999998</v>
      </c>
      <c r="Z82" s="349">
        <f t="shared" si="37"/>
        <v>0.40500000000000003</v>
      </c>
      <c r="AA82" s="349">
        <f t="shared" si="37"/>
        <v>0</v>
      </c>
      <c r="AB82" s="349">
        <f t="shared" si="37"/>
        <v>0</v>
      </c>
      <c r="AC82" s="349">
        <f t="shared" si="37"/>
        <v>0</v>
      </c>
      <c r="AD82" s="349">
        <f t="shared" si="37"/>
        <v>0</v>
      </c>
      <c r="AE82" s="349">
        <f t="shared" si="37"/>
        <v>0</v>
      </c>
      <c r="AF82" s="349">
        <f t="shared" si="37"/>
        <v>0</v>
      </c>
      <c r="AG82" s="349">
        <f t="shared" si="37"/>
        <v>0</v>
      </c>
      <c r="AH82" s="106"/>
      <c r="AI82" s="70" t="s">
        <v>1053</v>
      </c>
    </row>
    <row r="83" spans="3:35">
      <c r="C83" s="148"/>
      <c r="D83" s="74"/>
      <c r="E83" s="74"/>
      <c r="F83" s="74"/>
      <c r="G83" s="74"/>
      <c r="H83" s="74"/>
      <c r="I83" s="74"/>
      <c r="J83" s="349"/>
      <c r="K83" s="349"/>
      <c r="L83" s="349"/>
      <c r="M83" s="349"/>
      <c r="N83" s="349"/>
      <c r="O83" s="349"/>
      <c r="P83" s="349"/>
      <c r="Q83" s="349"/>
      <c r="R83" s="349"/>
      <c r="S83" s="349"/>
      <c r="T83" s="349"/>
      <c r="U83" s="349"/>
      <c r="V83" s="349"/>
      <c r="W83" s="1776">
        <f>SUM(P82:W82)</f>
        <v>3.3469896058149935</v>
      </c>
      <c r="X83" s="378"/>
      <c r="Y83" s="378"/>
      <c r="Z83" s="378"/>
      <c r="AA83" s="378"/>
      <c r="AB83" s="1776">
        <f>SUM(X82:AB82)</f>
        <v>4.5</v>
      </c>
      <c r="AC83" s="378"/>
      <c r="AD83" s="378"/>
      <c r="AE83" s="378"/>
      <c r="AF83" s="378"/>
      <c r="AG83" s="1776">
        <f>SUM(AC82:AG82)</f>
        <v>0</v>
      </c>
      <c r="AH83" s="106"/>
      <c r="AI83" s="70" t="s">
        <v>1053</v>
      </c>
    </row>
    <row r="84" spans="3:35">
      <c r="C84" s="148"/>
      <c r="D84" s="74"/>
      <c r="E84" s="584" t="s">
        <v>22</v>
      </c>
      <c r="F84" s="74"/>
      <c r="G84" s="74"/>
      <c r="H84" s="74"/>
      <c r="I84" s="74"/>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106"/>
    </row>
    <row r="85" spans="3:35">
      <c r="C85" s="148"/>
      <c r="D85" s="74"/>
      <c r="E85" s="585"/>
      <c r="F85" s="586" t="str">
        <f>+F77</f>
        <v>Water</v>
      </c>
      <c r="G85" s="74"/>
      <c r="H85" s="74"/>
      <c r="I85" s="74"/>
      <c r="J85" s="100"/>
      <c r="K85" s="384"/>
      <c r="L85" s="385"/>
      <c r="M85" s="385"/>
      <c r="N85" s="384"/>
      <c r="O85" s="428">
        <v>0.87348597285067875</v>
      </c>
      <c r="P85" s="428">
        <v>1.4132477797513321</v>
      </c>
      <c r="Q85" s="429">
        <v>0.98650306748466265</v>
      </c>
      <c r="R85" s="429">
        <v>1.434753859348199</v>
      </c>
      <c r="S85" s="429">
        <v>1.2160585241730277</v>
      </c>
      <c r="T85" s="429">
        <v>1.6079999999999997</v>
      </c>
      <c r="U85" s="429">
        <v>1.2170656108597286</v>
      </c>
      <c r="V85" s="429">
        <v>1.4484788515283842</v>
      </c>
      <c r="W85" s="430">
        <v>1.2</v>
      </c>
      <c r="X85" s="575">
        <f>+SUMIF('Capex_FO input'!$E$43:$E$1021,Capex_FO_AC!$F$85,'Capex_FO input'!AK$43:AK$1021)</f>
        <v>0</v>
      </c>
      <c r="Y85" s="575">
        <f>+SUMIF('Capex_FO input'!$E$43:$E$1021,Capex_FO_AC!$F$85,'Capex_FO input'!AL$43:AL$1021)</f>
        <v>0</v>
      </c>
      <c r="Z85" s="575">
        <f>+SUMIF('Capex_FO input'!$E$43:$E$1021,Capex_FO_AC!$F$85,'Capex_FO input'!AM$43:AM$1021)</f>
        <v>0</v>
      </c>
      <c r="AA85" s="575">
        <f>+SUMIF('Capex_FO input'!$E$43:$E$1021,Capex_FO_AC!$F$85,'Capex_FO input'!AN$43:AN$1021)</f>
        <v>0</v>
      </c>
      <c r="AB85" s="576">
        <f>+SUMIF('Capex_FO input'!$E$43:$E$1021,Capex_FO_AC!$F$85,'Capex_FO input'!AO$43:AO$1021)</f>
        <v>0</v>
      </c>
      <c r="AC85" s="575">
        <f>+SUMIF('Capex_FO input'!$E$43:$E$1021,Capex_FO_AC!$F$85,'Capex_FO input'!AP$43:AP$1021)</f>
        <v>0</v>
      </c>
      <c r="AD85" s="575">
        <f>+SUMIF('Capex_FO input'!$E$43:$E$1021,Capex_FO_AC!$F$85,'Capex_FO input'!AQ$43:AQ$1021)</f>
        <v>0</v>
      </c>
      <c r="AE85" s="575">
        <f>+SUMIF('Capex_FO input'!$E$43:$E$1021,Capex_FO_AC!$F$85,'Capex_FO input'!AR$43:AR$1021)</f>
        <v>0</v>
      </c>
      <c r="AF85" s="575">
        <f>+SUMIF('Capex_FO input'!$E$43:$E$1021,Capex_FO_AC!$F$85,'Capex_FO input'!AS$43:AS$1021)</f>
        <v>0</v>
      </c>
      <c r="AG85" s="576">
        <f>+SUMIF('Capex_FO input'!$E$43:$E$1021,Capex_FO_AC!$F$85,'Capex_FO input'!AT$43:AT$1021)</f>
        <v>0</v>
      </c>
      <c r="AH85" s="106"/>
      <c r="AI85" s="70" t="s">
        <v>1053</v>
      </c>
    </row>
    <row r="86" spans="3:35">
      <c r="C86" s="148"/>
      <c r="D86" s="74"/>
      <c r="E86" s="585"/>
      <c r="F86" s="586" t="str">
        <f>+F78</f>
        <v>Sewerage</v>
      </c>
      <c r="G86" s="74"/>
      <c r="H86" s="74"/>
      <c r="I86" s="74"/>
      <c r="J86" s="588"/>
      <c r="K86" s="387"/>
      <c r="L86" s="349"/>
      <c r="M86" s="349"/>
      <c r="N86" s="387"/>
      <c r="O86" s="431">
        <v>1.8191682352941176</v>
      </c>
      <c r="P86" s="431">
        <v>1.8568401420959146</v>
      </c>
      <c r="Q86" s="432">
        <v>2.175239263803681</v>
      </c>
      <c r="R86" s="432">
        <v>2.9575960548885076</v>
      </c>
      <c r="S86" s="432">
        <v>2.226854961832061</v>
      </c>
      <c r="T86" s="432">
        <v>2.7606271186440674</v>
      </c>
      <c r="U86" s="432">
        <v>2.8882760180995475</v>
      </c>
      <c r="V86" s="432">
        <v>2.9375333711790388</v>
      </c>
      <c r="W86" s="433">
        <v>2.2999999999999998</v>
      </c>
      <c r="X86" s="578">
        <f>+SUMIF('Capex_FO input'!$E$43:$E$1021,Capex_FO_AC!$F$86,'Capex_FO input'!AK$43:AK$1021)</f>
        <v>4.3159999999999998</v>
      </c>
      <c r="Y86" s="578">
        <f>+SUMIF('Capex_FO input'!$E$43:$E$1021,Capex_FO_AC!$F$86,'Capex_FO input'!AL$43:AL$1021)</f>
        <v>4.38</v>
      </c>
      <c r="Z86" s="578">
        <f>+SUMIF('Capex_FO input'!$E$43:$E$1021,Capex_FO_AC!$F$86,'Capex_FO input'!AM$43:AM$1021)</f>
        <v>4.4459999999999997</v>
      </c>
      <c r="AA86" s="578">
        <f>+SUMIF('Capex_FO input'!$E$43:$E$1021,Capex_FO_AC!$F$86,'Capex_FO input'!AN$43:AN$1021)</f>
        <v>4.5140000000000002</v>
      </c>
      <c r="AB86" s="579">
        <f>+SUMIF('Capex_FO input'!$E$43:$E$1021,Capex_FO_AC!$F$86,'Capex_FO input'!AO$43:AO$1021)</f>
        <v>4.5839999999999996</v>
      </c>
      <c r="AC86" s="578">
        <f>+SUMIF('Capex_FO input'!$E$43:$E$1021,Capex_FO_AC!$F$86,'Capex_FO input'!AP$43:AP$1021)</f>
        <v>4.6559999999999997</v>
      </c>
      <c r="AD86" s="578">
        <f>+SUMIF('Capex_FO input'!$E$43:$E$1021,Capex_FO_AC!$F$86,'Capex_FO input'!AQ$43:AQ$1021)</f>
        <v>4.7300000000000004</v>
      </c>
      <c r="AE86" s="578">
        <f>+SUMIF('Capex_FO input'!$E$43:$E$1021,Capex_FO_AC!$F$86,'Capex_FO input'!AR$43:AR$1021)</f>
        <v>4.806</v>
      </c>
      <c r="AF86" s="578">
        <f>+SUMIF('Capex_FO input'!$E$43:$E$1021,Capex_FO_AC!$F$86,'Capex_FO input'!AS$43:AS$1021)</f>
        <v>4.883</v>
      </c>
      <c r="AG86" s="579">
        <f>+SUMIF('Capex_FO input'!$E$43:$E$1021,Capex_FO_AC!$F$86,'Capex_FO input'!AT$43:AT$1021)</f>
        <v>4.9640000000000004</v>
      </c>
      <c r="AH86" s="106"/>
      <c r="AI86" s="70" t="s">
        <v>1053</v>
      </c>
    </row>
    <row r="87" spans="3:35">
      <c r="C87" s="148"/>
      <c r="D87" s="74"/>
      <c r="E87" s="585"/>
      <c r="F87" s="586" t="str">
        <f>+F79</f>
        <v>Recycled Water</v>
      </c>
      <c r="G87" s="74"/>
      <c r="H87" s="74"/>
      <c r="I87" s="74"/>
      <c r="J87" s="387"/>
      <c r="K87" s="387"/>
      <c r="L87" s="349"/>
      <c r="M87" s="349"/>
      <c r="N87" s="387"/>
      <c r="O87" s="431"/>
      <c r="P87" s="431"/>
      <c r="Q87" s="432"/>
      <c r="R87" s="432"/>
      <c r="S87" s="432"/>
      <c r="T87" s="432"/>
      <c r="U87" s="432"/>
      <c r="V87" s="432"/>
      <c r="W87" s="433"/>
      <c r="X87" s="578">
        <f>+SUMIF('Capex_FO input'!$E$43:$E$1021,Capex_FO_AC!$F$87,'Capex_FO input'!AK$43:AK$1021)</f>
        <v>0</v>
      </c>
      <c r="Y87" s="578">
        <f>+SUMIF('Capex_FO input'!$E$43:$E$1021,Capex_FO_AC!$F$87,'Capex_FO input'!AL$43:AL$1021)</f>
        <v>0</v>
      </c>
      <c r="Z87" s="578">
        <f>+SUMIF('Capex_FO input'!$E$43:$E$1021,Capex_FO_AC!$F$87,'Capex_FO input'!AM$43:AM$1021)</f>
        <v>0</v>
      </c>
      <c r="AA87" s="578">
        <f>+SUMIF('Capex_FO input'!$E$43:$E$1021,Capex_FO_AC!$F$87,'Capex_FO input'!AN$43:AN$1021)</f>
        <v>0</v>
      </c>
      <c r="AB87" s="579">
        <f>+SUMIF('Capex_FO input'!$E$43:$E$1021,Capex_FO_AC!$F$87,'Capex_FO input'!AO$43:AO$1021)</f>
        <v>0</v>
      </c>
      <c r="AC87" s="578">
        <f>+SUMIF('Capex_FO input'!$E$43:$E$1021,Capex_FO_AC!$F$87,'Capex_FO input'!AP$43:AP$1021)</f>
        <v>0</v>
      </c>
      <c r="AD87" s="578">
        <f>+SUMIF('Capex_FO input'!$E$43:$E$1021,Capex_FO_AC!$F$87,'Capex_FO input'!AQ$43:AQ$1021)</f>
        <v>0</v>
      </c>
      <c r="AE87" s="578">
        <f>+SUMIF('Capex_FO input'!$E$43:$E$1021,Capex_FO_AC!$F$87,'Capex_FO input'!AR$43:AR$1021)</f>
        <v>0</v>
      </c>
      <c r="AF87" s="578">
        <f>+SUMIF('Capex_FO input'!$E$43:$E$1021,Capex_FO_AC!$F$87,'Capex_FO input'!AS$43:AS$1021)</f>
        <v>0</v>
      </c>
      <c r="AG87" s="579">
        <f>+SUMIF('Capex_FO input'!$E$43:$E$1021,Capex_FO_AC!$F$87,'Capex_FO input'!AT$43:AT$1021)</f>
        <v>0</v>
      </c>
      <c r="AH87" s="106"/>
      <c r="AI87" s="70" t="s">
        <v>1053</v>
      </c>
    </row>
    <row r="88" spans="3:35">
      <c r="C88" s="148"/>
      <c r="D88" s="74"/>
      <c r="E88" s="585"/>
      <c r="F88" s="586" t="str">
        <f>+F80</f>
        <v>Rural Water</v>
      </c>
      <c r="G88" s="74"/>
      <c r="H88" s="74"/>
      <c r="I88" s="74"/>
      <c r="J88" s="387"/>
      <c r="K88" s="387"/>
      <c r="L88" s="349"/>
      <c r="M88" s="349"/>
      <c r="N88" s="387"/>
      <c r="O88" s="431"/>
      <c r="P88" s="431"/>
      <c r="Q88" s="432"/>
      <c r="R88" s="432"/>
      <c r="S88" s="432"/>
      <c r="T88" s="432"/>
      <c r="U88" s="432"/>
      <c r="V88" s="432"/>
      <c r="W88" s="433"/>
      <c r="X88" s="578">
        <f>+SUMIF('Capex_FO input'!$E$43:$E$1021,Capex_FO_AC!$F$88,'Capex_FO input'!AK$43:AK$1021)</f>
        <v>0</v>
      </c>
      <c r="Y88" s="578">
        <f>+SUMIF('Capex_FO input'!$E$43:$E$1021,Capex_FO_AC!$F$88,'Capex_FO input'!AL$43:AL$1021)</f>
        <v>0</v>
      </c>
      <c r="Z88" s="578">
        <f>+SUMIF('Capex_FO input'!$E$43:$E$1021,Capex_FO_AC!$F$88,'Capex_FO input'!AM$43:AM$1021)</f>
        <v>0</v>
      </c>
      <c r="AA88" s="578">
        <f>+SUMIF('Capex_FO input'!$E$43:$E$1021,Capex_FO_AC!$F$88,'Capex_FO input'!AN$43:AN$1021)</f>
        <v>0</v>
      </c>
      <c r="AB88" s="579">
        <f>+SUMIF('Capex_FO input'!$E$43:$E$1021,Capex_FO_AC!$F$88,'Capex_FO input'!AO$43:AO$1021)</f>
        <v>0</v>
      </c>
      <c r="AC88" s="578">
        <f>+SUMIF('Capex_FO input'!$E$43:$E$1021,Capex_FO_AC!$F$88,'Capex_FO input'!AP$43:AP$1021)</f>
        <v>0</v>
      </c>
      <c r="AD88" s="578">
        <f>+SUMIF('Capex_FO input'!$E$43:$E$1021,Capex_FO_AC!$F$88,'Capex_FO input'!AQ$43:AQ$1021)</f>
        <v>0</v>
      </c>
      <c r="AE88" s="578">
        <f>+SUMIF('Capex_FO input'!$E$43:$E$1021,Capex_FO_AC!$F$88,'Capex_FO input'!AR$43:AR$1021)</f>
        <v>0</v>
      </c>
      <c r="AF88" s="578">
        <f>+SUMIF('Capex_FO input'!$E$43:$E$1021,Capex_FO_AC!$F$88,'Capex_FO input'!AS$43:AS$1021)</f>
        <v>0</v>
      </c>
      <c r="AG88" s="579">
        <f>+SUMIF('Capex_FO input'!$E$43:$E$1021,Capex_FO_AC!$F$88,'Capex_FO input'!AT$43:AT$1021)</f>
        <v>0</v>
      </c>
      <c r="AH88" s="106"/>
      <c r="AI88" s="70" t="s">
        <v>1053</v>
      </c>
    </row>
    <row r="89" spans="3:35">
      <c r="C89" s="148"/>
      <c r="D89" s="74"/>
      <c r="E89" s="585"/>
      <c r="F89" s="586" t="str">
        <f>F81</f>
        <v>Bulk Water</v>
      </c>
      <c r="G89" s="74"/>
      <c r="H89" s="74"/>
      <c r="I89" s="74"/>
      <c r="J89" s="392"/>
      <c r="K89" s="392"/>
      <c r="L89" s="393"/>
      <c r="M89" s="393"/>
      <c r="N89" s="392"/>
      <c r="O89" s="434"/>
      <c r="P89" s="434"/>
      <c r="Q89" s="435"/>
      <c r="R89" s="435"/>
      <c r="S89" s="435"/>
      <c r="T89" s="435"/>
      <c r="U89" s="435"/>
      <c r="V89" s="435"/>
      <c r="W89" s="436"/>
      <c r="X89" s="581">
        <f>+SUMIF('Capex_FO input'!$E$43:$E$1021,Capex_FO_AC!$F$89,'Capex_FO input'!AK$43:AK$1021)</f>
        <v>0</v>
      </c>
      <c r="Y89" s="581">
        <f>+SUMIF('Capex_FO input'!$E$43:$E$1021,Capex_FO_AC!$F$89,'Capex_FO input'!AL$43:AL$1021)</f>
        <v>0</v>
      </c>
      <c r="Z89" s="581">
        <f>+SUMIF('Capex_FO input'!$E$43:$E$1021,Capex_FO_AC!$F$89,'Capex_FO input'!AM$43:AM$1021)</f>
        <v>0</v>
      </c>
      <c r="AA89" s="581">
        <f>+SUMIF('Capex_FO input'!$E$43:$E$1021,Capex_FO_AC!$F$89,'Capex_FO input'!AN$43:AN$1021)</f>
        <v>0</v>
      </c>
      <c r="AB89" s="582">
        <f>+SUMIF('Capex_FO input'!$E$43:$E$1021,Capex_FO_AC!$F$89,'Capex_FO input'!AO$43:AO$1021)</f>
        <v>0</v>
      </c>
      <c r="AC89" s="581">
        <f>+SUMIF('Capex_FO input'!$E$43:$E$1021,Capex_FO_AC!$F$89,'Capex_FO input'!AP$43:AP$1021)</f>
        <v>0</v>
      </c>
      <c r="AD89" s="581">
        <f>+SUMIF('Capex_FO input'!$E$43:$E$1021,Capex_FO_AC!$F$89,'Capex_FO input'!AQ$43:AQ$1021)</f>
        <v>0</v>
      </c>
      <c r="AE89" s="581">
        <f>+SUMIF('Capex_FO input'!$E$43:$E$1021,Capex_FO_AC!$F$89,'Capex_FO input'!AR$43:AR$1021)</f>
        <v>0</v>
      </c>
      <c r="AF89" s="581">
        <f>+SUMIF('Capex_FO input'!$E$43:$E$1021,Capex_FO_AC!$F$89,'Capex_FO input'!AS$43:AS$1021)</f>
        <v>0</v>
      </c>
      <c r="AG89" s="582">
        <f>+SUMIF('Capex_FO input'!$E$43:$E$1021,Capex_FO_AC!$F$89,'Capex_FO input'!AT$43:AT$1021)</f>
        <v>0</v>
      </c>
      <c r="AH89" s="106"/>
      <c r="AI89" s="70" t="s">
        <v>1053</v>
      </c>
    </row>
    <row r="90" spans="3:35">
      <c r="C90" s="148"/>
      <c r="D90" s="74"/>
      <c r="E90" s="584" t="str">
        <f>+CONCATENATE("Total ",E84)</f>
        <v>Total Customer contributions</v>
      </c>
      <c r="F90" s="74"/>
      <c r="G90" s="74"/>
      <c r="H90" s="74"/>
      <c r="I90" s="74"/>
      <c r="J90" s="349">
        <f>+SUM(J85:J89)</f>
        <v>0</v>
      </c>
      <c r="K90" s="349">
        <f>SUM(K85:K89)</f>
        <v>0</v>
      </c>
      <c r="L90" s="349">
        <f>SUM(L85:L89)</f>
        <v>0</v>
      </c>
      <c r="M90" s="349">
        <f>SUM(M85:M89)</f>
        <v>0</v>
      </c>
      <c r="N90" s="349">
        <f t="shared" ref="N90:AG90" si="38">+SUM(N85:N89)</f>
        <v>0</v>
      </c>
      <c r="O90" s="349">
        <f>+SUM(O85:O89)</f>
        <v>2.6926542081447966</v>
      </c>
      <c r="P90" s="349">
        <f>+SUM(P85:P89)</f>
        <v>3.2700879218472467</v>
      </c>
      <c r="Q90" s="349">
        <f>+SUM(Q85:Q89)</f>
        <v>3.1617423312883437</v>
      </c>
      <c r="R90" s="349">
        <f t="shared" si="38"/>
        <v>4.3923499142367071</v>
      </c>
      <c r="S90" s="349">
        <f t="shared" si="38"/>
        <v>3.4429134860050885</v>
      </c>
      <c r="T90" s="349">
        <f t="shared" si="38"/>
        <v>4.3686271186440671</v>
      </c>
      <c r="U90" s="349">
        <f t="shared" si="38"/>
        <v>4.1053416289592759</v>
      </c>
      <c r="V90" s="349">
        <f t="shared" si="38"/>
        <v>4.3860122227074232</v>
      </c>
      <c r="W90" s="349">
        <f t="shared" si="38"/>
        <v>3.5</v>
      </c>
      <c r="X90" s="349">
        <f t="shared" si="38"/>
        <v>4.3159999999999998</v>
      </c>
      <c r="Y90" s="349">
        <f t="shared" si="38"/>
        <v>4.38</v>
      </c>
      <c r="Z90" s="349">
        <f t="shared" si="38"/>
        <v>4.4459999999999997</v>
      </c>
      <c r="AA90" s="349">
        <f t="shared" si="38"/>
        <v>4.5140000000000002</v>
      </c>
      <c r="AB90" s="349">
        <f t="shared" si="38"/>
        <v>4.5839999999999996</v>
      </c>
      <c r="AC90" s="349">
        <f t="shared" si="38"/>
        <v>4.6559999999999997</v>
      </c>
      <c r="AD90" s="349">
        <f t="shared" si="38"/>
        <v>4.7300000000000004</v>
      </c>
      <c r="AE90" s="349">
        <f t="shared" si="38"/>
        <v>4.806</v>
      </c>
      <c r="AF90" s="349">
        <f t="shared" si="38"/>
        <v>4.883</v>
      </c>
      <c r="AG90" s="349">
        <f t="shared" si="38"/>
        <v>4.9640000000000004</v>
      </c>
      <c r="AH90" s="106"/>
      <c r="AI90" s="70" t="s">
        <v>1053</v>
      </c>
    </row>
    <row r="91" spans="3:35">
      <c r="C91" s="82"/>
      <c r="J91" s="349"/>
      <c r="K91" s="349"/>
      <c r="L91" s="349"/>
      <c r="M91" s="349"/>
      <c r="N91" s="608"/>
      <c r="O91" s="349"/>
      <c r="P91" s="349"/>
      <c r="Q91" s="349"/>
      <c r="R91" s="349"/>
      <c r="S91" s="349"/>
      <c r="T91" s="349"/>
      <c r="U91" s="349"/>
      <c r="V91" s="349"/>
      <c r="W91" s="1776">
        <f>SUM(P90:W90)</f>
        <v>30.627074623688152</v>
      </c>
      <c r="X91" s="378"/>
      <c r="Y91" s="378"/>
      <c r="Z91" s="378"/>
      <c r="AA91" s="378"/>
      <c r="AB91" s="1776">
        <f>SUM(X90:AB90)</f>
        <v>22.24</v>
      </c>
      <c r="AC91" s="378"/>
      <c r="AD91" s="378"/>
      <c r="AE91" s="378"/>
      <c r="AF91" s="378"/>
      <c r="AG91" s="1776">
        <f>SUM(AC90:AG90)</f>
        <v>24.039000000000001</v>
      </c>
      <c r="AH91" s="81"/>
      <c r="AI91" s="70" t="s">
        <v>1053</v>
      </c>
    </row>
    <row r="92" spans="3:35">
      <c r="C92" s="92"/>
      <c r="D92" s="75"/>
      <c r="E92" s="75"/>
      <c r="F92" s="75"/>
      <c r="G92" s="75"/>
      <c r="H92" s="75"/>
      <c r="I92" s="75"/>
      <c r="J92" s="393"/>
      <c r="K92" s="393"/>
      <c r="L92" s="393"/>
      <c r="M92" s="393"/>
      <c r="N92" s="1735"/>
      <c r="O92" s="393"/>
      <c r="P92" s="393"/>
      <c r="Q92" s="393"/>
      <c r="R92" s="393"/>
      <c r="S92" s="393"/>
      <c r="T92" s="393"/>
      <c r="U92" s="393"/>
      <c r="V92" s="393"/>
      <c r="W92" s="393"/>
      <c r="X92" s="393"/>
      <c r="Y92" s="393"/>
      <c r="Z92" s="393"/>
      <c r="AA92" s="393"/>
      <c r="AB92" s="393"/>
      <c r="AC92" s="393"/>
      <c r="AD92" s="75"/>
      <c r="AE92" s="75"/>
      <c r="AF92" s="75"/>
      <c r="AG92" s="75"/>
      <c r="AH92" s="94"/>
    </row>
    <row r="93" spans="3:35">
      <c r="J93" s="573"/>
      <c r="K93" s="573"/>
      <c r="L93" s="573"/>
      <c r="M93" s="573"/>
      <c r="N93" s="375"/>
      <c r="O93" s="573"/>
      <c r="P93" s="573"/>
      <c r="Q93" s="573"/>
      <c r="R93" s="573"/>
      <c r="S93" s="375"/>
      <c r="T93" s="375"/>
      <c r="U93" s="375"/>
      <c r="V93" s="375"/>
      <c r="W93" s="375"/>
      <c r="X93" s="375"/>
      <c r="Y93" s="375"/>
      <c r="Z93" s="375"/>
      <c r="AA93" s="375"/>
      <c r="AB93" s="375"/>
    </row>
    <row r="94" spans="3:35">
      <c r="C94" s="380" t="s">
        <v>61</v>
      </c>
      <c r="J94" s="589"/>
      <c r="K94" s="400"/>
      <c r="L94" s="401"/>
      <c r="M94" s="401"/>
      <c r="N94" s="400"/>
      <c r="O94" s="437">
        <v>5.6636524886877826</v>
      </c>
      <c r="P94" s="437">
        <v>4.5108969804618111</v>
      </c>
      <c r="Q94" s="438">
        <v>7.6873251533742328</v>
      </c>
      <c r="R94" s="438">
        <v>7.411487135506003</v>
      </c>
      <c r="S94" s="438">
        <v>7.5732162849872768</v>
      </c>
      <c r="T94" s="438">
        <v>10.665491525423727</v>
      </c>
      <c r="U94" s="438">
        <v>8.2149276018099542</v>
      </c>
      <c r="V94" s="438">
        <v>10.905460388646288</v>
      </c>
      <c r="W94" s="439">
        <v>8.5</v>
      </c>
      <c r="X94" s="438">
        <v>6.7</v>
      </c>
      <c r="Y94" s="438">
        <v>6.7</v>
      </c>
      <c r="Z94" s="438">
        <v>6.7</v>
      </c>
      <c r="AA94" s="438">
        <v>6.7</v>
      </c>
      <c r="AB94" s="439">
        <v>6.7</v>
      </c>
      <c r="AC94" s="438">
        <v>6.7</v>
      </c>
      <c r="AD94" s="438">
        <v>6.7</v>
      </c>
      <c r="AE94" s="438">
        <v>6.7</v>
      </c>
      <c r="AF94" s="438">
        <v>6.7</v>
      </c>
      <c r="AG94" s="439">
        <v>6.7</v>
      </c>
    </row>
    <row r="95" spans="3:35">
      <c r="C95" s="395"/>
      <c r="J95" s="349"/>
      <c r="K95" s="349"/>
      <c r="L95" s="349"/>
      <c r="M95" s="349"/>
      <c r="N95" s="378"/>
      <c r="O95" s="349"/>
      <c r="P95" s="349"/>
      <c r="Q95" s="349"/>
      <c r="R95" s="349"/>
      <c r="S95" s="378"/>
      <c r="T95" s="378"/>
      <c r="U95" s="378"/>
      <c r="V95" s="378"/>
      <c r="W95" s="1776">
        <f>SUM(P94:W94)</f>
        <v>65.468805070209299</v>
      </c>
      <c r="X95" s="378"/>
      <c r="Y95" s="378"/>
      <c r="Z95" s="378"/>
      <c r="AA95" s="378"/>
      <c r="AB95" s="1776">
        <f>SUM(X94:AB94)</f>
        <v>33.5</v>
      </c>
      <c r="AG95" s="1776">
        <f>SUM(AC94:AG94)</f>
        <v>33.5</v>
      </c>
      <c r="AI95" s="70" t="s">
        <v>1053</v>
      </c>
    </row>
    <row r="96" spans="3:35">
      <c r="C96" s="380" t="s">
        <v>207</v>
      </c>
      <c r="J96" s="349"/>
      <c r="K96" s="349"/>
      <c r="L96" s="349"/>
      <c r="M96" s="378"/>
      <c r="N96" s="378"/>
      <c r="O96" s="378"/>
      <c r="P96" s="378"/>
      <c r="Q96" s="378"/>
      <c r="R96" s="378"/>
      <c r="S96" s="378"/>
      <c r="T96" s="378"/>
      <c r="U96" s="378"/>
      <c r="V96" s="378"/>
      <c r="W96" s="378"/>
      <c r="X96" s="378"/>
      <c r="Y96" s="378"/>
      <c r="Z96" s="378"/>
      <c r="AA96" s="378"/>
      <c r="AB96" s="378"/>
    </row>
    <row r="97" spans="4:35">
      <c r="D97" s="383" t="s">
        <v>18</v>
      </c>
      <c r="J97" s="590"/>
      <c r="K97" s="384"/>
      <c r="L97" s="385"/>
      <c r="M97" s="385"/>
      <c r="N97" s="384"/>
      <c r="O97" s="428">
        <v>0.64174479638009041</v>
      </c>
      <c r="P97" s="428">
        <v>0.82595648312611014</v>
      </c>
      <c r="Q97" s="429">
        <v>0.65972392638036814</v>
      </c>
      <c r="R97" s="429">
        <v>0.52732332761578038</v>
      </c>
      <c r="S97" s="429">
        <v>0.18736132315521628</v>
      </c>
      <c r="T97" s="429">
        <v>0.20894915254237284</v>
      </c>
      <c r="U97" s="429">
        <v>0.52205429864253394</v>
      </c>
      <c r="V97" s="429">
        <v>3.2582187772925757E-2</v>
      </c>
      <c r="W97" s="430">
        <v>0.5</v>
      </c>
      <c r="X97" s="429">
        <v>0.5</v>
      </c>
      <c r="Y97" s="429">
        <v>0.5</v>
      </c>
      <c r="Z97" s="429">
        <v>0.5</v>
      </c>
      <c r="AA97" s="429">
        <v>0.5</v>
      </c>
      <c r="AB97" s="430">
        <v>0.5</v>
      </c>
      <c r="AC97" s="429">
        <v>0.5</v>
      </c>
      <c r="AD97" s="429">
        <v>0.5</v>
      </c>
      <c r="AE97" s="429">
        <v>0.5</v>
      </c>
      <c r="AF97" s="429">
        <v>0.5</v>
      </c>
      <c r="AG97" s="430">
        <v>0.5</v>
      </c>
    </row>
    <row r="98" spans="4:35">
      <c r="D98" s="591" t="s">
        <v>135</v>
      </c>
      <c r="J98" s="580"/>
      <c r="K98" s="392"/>
      <c r="L98" s="393"/>
      <c r="M98" s="393"/>
      <c r="N98" s="392"/>
      <c r="O98" s="434">
        <v>-1.0313755656108596</v>
      </c>
      <c r="P98" s="434">
        <v>-1.6819023090586145</v>
      </c>
      <c r="Q98" s="435">
        <v>-2.0889202453987727</v>
      </c>
      <c r="R98" s="435">
        <v>-1.6664382504288162</v>
      </c>
      <c r="S98" s="435">
        <v>-0.54179643765903307</v>
      </c>
      <c r="T98" s="435">
        <v>-0.80740677966101682</v>
      </c>
      <c r="U98" s="435">
        <v>-0.54752036199095022</v>
      </c>
      <c r="V98" s="435">
        <v>-0.18329912663755457</v>
      </c>
      <c r="W98" s="436">
        <v>-0.5</v>
      </c>
      <c r="X98" s="435">
        <v>-0.5</v>
      </c>
      <c r="Y98" s="435">
        <v>-0.5</v>
      </c>
      <c r="Z98" s="435">
        <v>-0.5</v>
      </c>
      <c r="AA98" s="435">
        <v>-0.5</v>
      </c>
      <c r="AB98" s="436">
        <v>-0.5</v>
      </c>
      <c r="AC98" s="435">
        <v>-0.5</v>
      </c>
      <c r="AD98" s="435">
        <v>-0.5</v>
      </c>
      <c r="AE98" s="435">
        <v>-0.5</v>
      </c>
      <c r="AF98" s="435">
        <v>-0.5</v>
      </c>
      <c r="AG98" s="436">
        <v>-0.5</v>
      </c>
    </row>
    <row r="99" spans="4:35">
      <c r="J99" s="349"/>
      <c r="K99" s="349"/>
      <c r="L99" s="349"/>
      <c r="M99" s="349"/>
      <c r="N99" s="375"/>
      <c r="O99" s="573">
        <f t="shared" ref="O99:V99" si="39">SUM(O97:O98)</f>
        <v>-0.38963076923076922</v>
      </c>
      <c r="P99" s="573">
        <f t="shared" si="39"/>
        <v>-0.85594582593250434</v>
      </c>
      <c r="Q99" s="573">
        <f t="shared" si="39"/>
        <v>-1.4291963190184047</v>
      </c>
      <c r="R99" s="573">
        <f t="shared" si="39"/>
        <v>-1.1391149228130359</v>
      </c>
      <c r="S99" s="573">
        <f t="shared" si="39"/>
        <v>-0.35443511450381682</v>
      </c>
      <c r="T99" s="573">
        <f t="shared" si="39"/>
        <v>-0.59845762711864392</v>
      </c>
      <c r="U99" s="573">
        <f t="shared" si="39"/>
        <v>-2.5466063348416279E-2</v>
      </c>
      <c r="V99" s="573">
        <f t="shared" si="39"/>
        <v>-0.15071693886462881</v>
      </c>
      <c r="W99" s="573">
        <f>SUM(W97:W98)</f>
        <v>0</v>
      </c>
      <c r="X99" s="573">
        <f t="shared" ref="X99:AG99" si="40">SUM(X97:X98)</f>
        <v>0</v>
      </c>
      <c r="Y99" s="573">
        <f t="shared" si="40"/>
        <v>0</v>
      </c>
      <c r="Z99" s="573">
        <f t="shared" si="40"/>
        <v>0</v>
      </c>
      <c r="AA99" s="573">
        <f t="shared" si="40"/>
        <v>0</v>
      </c>
      <c r="AB99" s="573">
        <f t="shared" si="40"/>
        <v>0</v>
      </c>
      <c r="AC99" s="573">
        <f t="shared" si="40"/>
        <v>0</v>
      </c>
      <c r="AD99" s="573">
        <f t="shared" si="40"/>
        <v>0</v>
      </c>
      <c r="AE99" s="573">
        <f t="shared" si="40"/>
        <v>0</v>
      </c>
      <c r="AF99" s="573">
        <f t="shared" si="40"/>
        <v>0</v>
      </c>
      <c r="AG99" s="573">
        <f t="shared" si="40"/>
        <v>0</v>
      </c>
    </row>
    <row r="100" spans="4:35">
      <c r="J100" s="74"/>
      <c r="K100" s="74"/>
      <c r="L100" s="74"/>
      <c r="M100" s="74"/>
      <c r="R100" s="74"/>
      <c r="S100" s="573"/>
      <c r="T100" s="573"/>
      <c r="U100" s="573"/>
      <c r="V100" s="573"/>
      <c r="W100" s="1776">
        <f>SUM(P99:W99)</f>
        <v>-4.5533328115994509</v>
      </c>
      <c r="X100" s="378"/>
      <c r="Y100" s="378"/>
      <c r="Z100" s="378"/>
      <c r="AA100" s="378"/>
      <c r="AB100" s="1776">
        <f>SUM(X99:AB99)</f>
        <v>0</v>
      </c>
      <c r="AG100" s="1776">
        <f>SUM(AC99:AG99)</f>
        <v>0</v>
      </c>
      <c r="AI100" s="70" t="s">
        <v>1053</v>
      </c>
    </row>
    <row r="101" spans="4:35">
      <c r="K101" s="232"/>
      <c r="L101" s="232"/>
      <c r="M101" s="232"/>
      <c r="R101" s="74"/>
      <c r="S101" s="573"/>
      <c r="T101" s="573"/>
      <c r="U101" s="573"/>
      <c r="V101" s="573"/>
      <c r="W101" s="573"/>
      <c r="X101" s="573"/>
      <c r="Y101" s="573"/>
    </row>
    <row r="102" spans="4:35">
      <c r="K102" s="232"/>
      <c r="L102" s="232"/>
      <c r="M102" s="232"/>
      <c r="R102" s="74"/>
    </row>
    <row r="103" spans="4:35">
      <c r="K103" s="232"/>
      <c r="L103" s="232"/>
      <c r="M103" s="232"/>
      <c r="R103" s="74"/>
    </row>
    <row r="104" spans="4:35">
      <c r="K104" s="232"/>
      <c r="L104" s="232"/>
      <c r="M104" s="232"/>
    </row>
    <row r="105" spans="4:35">
      <c r="K105" s="232"/>
      <c r="L105" s="232"/>
      <c r="M105" s="232"/>
    </row>
    <row r="106" spans="4:35">
      <c r="K106" s="232"/>
      <c r="L106" s="232"/>
      <c r="M106" s="232"/>
    </row>
    <row r="107" spans="4:35">
      <c r="K107" s="232"/>
      <c r="L107" s="232"/>
      <c r="M107" s="232"/>
    </row>
    <row r="108" spans="4:35">
      <c r="K108" s="232"/>
      <c r="L108" s="232"/>
      <c r="M108" s="232"/>
    </row>
    <row r="109" spans="4:35">
      <c r="K109" s="232"/>
      <c r="L109" s="232"/>
      <c r="M109" s="232"/>
    </row>
    <row r="110" spans="4:35">
      <c r="K110" s="232"/>
      <c r="L110" s="232"/>
      <c r="M110" s="232"/>
    </row>
    <row r="111" spans="4:35">
      <c r="K111" s="232"/>
      <c r="L111" s="232"/>
      <c r="M111" s="232"/>
    </row>
    <row r="112" spans="4:35">
      <c r="K112" s="232"/>
      <c r="L112" s="232"/>
      <c r="M112" s="232"/>
    </row>
    <row r="113" spans="11:13">
      <c r="K113" s="232"/>
      <c r="L113" s="232"/>
      <c r="M113" s="232"/>
    </row>
    <row r="114" spans="11:13">
      <c r="K114" s="232"/>
      <c r="L114" s="232"/>
      <c r="M114" s="232"/>
    </row>
  </sheetData>
  <sheetProtection algorithmName="SHA-512" hashValue="VJlLJww6qHyaNGI4XrBIiH8PQDRFkrP5kfL2O7ttA9+2vY0yugiFOmYS/Ebg+M+5RmHf3860nMML2mxs7QT3Wg==" saltValue="aCH9vXggq4LfIwUdZKgJOQ==" spinCount="100000" sheet="1" objects="1" scenarios="1"/>
  <mergeCells count="1">
    <mergeCell ref="B3:F3"/>
  </mergeCells>
  <phoneticPr fontId="0" type="noConversion"/>
  <conditionalFormatting sqref="X35:AG35">
    <cfRule type="cellIs" dxfId="72" priority="1" operator="equal">
      <formula>0</formula>
    </cfRule>
  </conditionalFormatting>
  <conditionalFormatting sqref="X35:AH35">
    <cfRule type="containsText" dxfId="71" priority="2" operator="containsText" text="FALSE">
      <formula>NOT(ISERROR(SEARCH("FALSE",X35)))</formula>
    </cfRule>
  </conditionalFormatting>
  <conditionalFormatting sqref="AM23">
    <cfRule type="cellIs" dxfId="70" priority="5" operator="greaterThan">
      <formula>0.1</formula>
    </cfRule>
  </conditionalFormatting>
  <hyperlinks>
    <hyperlink ref="B3" location="HL_Home" tooltip="Go to Table of Contents" display="HL_Home" xr:uid="{00000000-0004-0000-0700-000000000000}"/>
  </hyperlinks>
  <pageMargins left="0.39370078740157499" right="0.39370078740157499" top="0.59055118110236249" bottom="0.98425196850393748" header="0" footer="0.31496062992125973"/>
  <pageSetup paperSize="9" scale="61" fitToHeight="2" orientation="landscape" r:id="rId1"/>
  <headerFooter alignWithMargins="0">
    <oddHeader>&amp;C&amp;"Calibri"&amp;12&amp;KFF0000 OFFICIAL&amp;1#_x000D_&amp;"Arial"&amp;8&amp;K000000&amp;B&amp;"Arial"&amp;12&amp;Kff0000​‌OFFICIAL‌​</oddHeader>
    <oddFooter>&amp;C&amp;"Arial,Bold"&amp;8Sheet d.
Page &amp;P of &amp;N&amp;L&amp;"Arial,Bold"&amp;7&amp;F
&amp;A
Printed: &amp;T on &amp;D</oddFooter>
  </headerFooter>
  <rowBreaks count="1" manualBreakCount="1">
    <brk id="73" min="1" max="23" man="1"/>
  </rowBreaks>
  <ignoredErrors>
    <ignoredError sqref="X95:AA95 AC95:AF95"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50178" r:id="rId4" name="Option Button 2">
              <controlPr defaultSize="0" autoFill="0" autoLine="0" autoPict="0">
                <anchor moveWithCells="1">
                  <from>
                    <xdr:col>37</xdr:col>
                    <xdr:colOff>209550</xdr:colOff>
                    <xdr:row>10</xdr:row>
                    <xdr:rowOff>76200</xdr:rowOff>
                  </from>
                  <to>
                    <xdr:col>39</xdr:col>
                    <xdr:colOff>142875</xdr:colOff>
                    <xdr:row>13</xdr:row>
                    <xdr:rowOff>9525</xdr:rowOff>
                  </to>
                </anchor>
              </controlPr>
            </control>
          </mc:Choice>
        </mc:AlternateContent>
        <mc:AlternateContent xmlns:mc="http://schemas.openxmlformats.org/markup-compatibility/2006">
          <mc:Choice Requires="x14">
            <control shapeId="50180" r:id="rId5" name="Option Button 4">
              <controlPr locked="0" defaultSize="0" autoFill="0" autoLine="0" autoPict="0" altText="2018's 25-26 Outlook">
                <anchor moveWithCells="1">
                  <from>
                    <xdr:col>35</xdr:col>
                    <xdr:colOff>28575</xdr:colOff>
                    <xdr:row>10</xdr:row>
                    <xdr:rowOff>85725</xdr:rowOff>
                  </from>
                  <to>
                    <xdr:col>37</xdr:col>
                    <xdr:colOff>123825</xdr:colOff>
                    <xdr:row>13</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9">
    <pageSetUpPr autoPageBreaks="0"/>
  </sheetPr>
  <dimension ref="A1:AI86"/>
  <sheetViews>
    <sheetView showGridLines="0" zoomScaleNormal="100" workbookViewId="0">
      <pane xSplit="9" ySplit="7" topLeftCell="O8" activePane="bottomRight" state="frozen"/>
      <selection activeCell="R43" sqref="R43"/>
      <selection pane="topRight" activeCell="R43" sqref="R43"/>
      <selection pane="bottomLeft" activeCell="R43" sqref="R43"/>
      <selection pane="bottomRight" activeCell="U47" sqref="U47"/>
    </sheetView>
  </sheetViews>
  <sheetFormatPr defaultColWidth="10.83203125" defaultRowHeight="12" outlineLevelCol="1"/>
  <cols>
    <col min="1" max="3" width="3.83203125" style="70" customWidth="1"/>
    <col min="4" max="4" width="17.83203125" style="70" customWidth="1"/>
    <col min="5" max="5" width="17.1640625" style="70" customWidth="1"/>
    <col min="6" max="9" width="11.83203125" style="70" customWidth="1"/>
    <col min="10" max="10" width="12.1640625" style="70" hidden="1" customWidth="1" outlineLevel="1"/>
    <col min="11" max="11" width="11.5" style="70" hidden="1" customWidth="1" outlineLevel="1"/>
    <col min="12" max="14" width="11.6640625" style="70" hidden="1" customWidth="1" outlineLevel="1"/>
    <col min="15" max="15" width="11.6640625" style="70" customWidth="1" collapsed="1"/>
    <col min="16" max="18" width="11.6640625" style="70" customWidth="1"/>
    <col min="19" max="22" width="10.83203125" style="70" customWidth="1"/>
    <col min="23" max="23" width="11.6640625" style="70" customWidth="1"/>
    <col min="24" max="27" width="10.83203125" style="70" customWidth="1"/>
    <col min="28" max="28" width="11.6640625" style="70" customWidth="1"/>
    <col min="29" max="30" width="11.33203125" style="70" customWidth="1"/>
    <col min="31" max="33" width="10.83203125" style="70"/>
    <col min="34" max="34" width="4.5" style="70" customWidth="1"/>
    <col min="35" max="16384" width="10.83203125" style="70"/>
  </cols>
  <sheetData>
    <row r="1" spans="1:35" ht="15">
      <c r="A1" s="152">
        <v>80</v>
      </c>
      <c r="B1" s="153" t="s">
        <v>536</v>
      </c>
    </row>
    <row r="2" spans="1:35" ht="12.75">
      <c r="B2" s="155" t="str">
        <f>+Contents!H7</f>
        <v>North East Water</v>
      </c>
      <c r="N2" s="232"/>
    </row>
    <row r="3" spans="1:35">
      <c r="B3" s="2212" t="s">
        <v>0</v>
      </c>
      <c r="C3" s="2212"/>
      <c r="D3" s="2212"/>
      <c r="E3" s="2212"/>
      <c r="F3" s="2212"/>
      <c r="G3" s="159"/>
    </row>
    <row r="4" spans="1:35">
      <c r="A4" s="160"/>
      <c r="B4" s="72"/>
      <c r="C4" s="73"/>
      <c r="F4" s="60"/>
      <c r="K4" s="63"/>
      <c r="L4" s="149"/>
      <c r="M4" s="149" t="s">
        <v>274</v>
      </c>
      <c r="N4" s="149"/>
      <c r="O4" s="149"/>
      <c r="P4" s="1619"/>
      <c r="Q4" s="150"/>
      <c r="R4" s="150"/>
      <c r="S4" s="150"/>
      <c r="T4" s="1619" t="s">
        <v>334</v>
      </c>
      <c r="U4" s="150"/>
      <c r="V4" s="150"/>
      <c r="W4" s="150"/>
      <c r="X4" s="1619"/>
      <c r="Y4" s="150"/>
      <c r="Z4" s="150" t="s">
        <v>465</v>
      </c>
      <c r="AA4" s="150"/>
      <c r="AB4" s="62"/>
      <c r="AC4" s="64"/>
      <c r="AD4" s="64"/>
      <c r="AE4" s="150" t="s">
        <v>949</v>
      </c>
      <c r="AF4" s="63"/>
      <c r="AG4" s="62"/>
    </row>
    <row r="6" spans="1:35">
      <c r="B6" s="161"/>
      <c r="F6" s="162" t="s">
        <v>62</v>
      </c>
      <c r="I6" s="66">
        <v>2014</v>
      </c>
      <c r="J6" s="66">
        <v>2015</v>
      </c>
      <c r="K6" s="66">
        <v>2016</v>
      </c>
      <c r="L6" s="66">
        <v>2017</v>
      </c>
      <c r="M6" s="66">
        <v>2018</v>
      </c>
      <c r="N6" s="66">
        <v>2019</v>
      </c>
      <c r="O6" s="66">
        <v>2020</v>
      </c>
      <c r="P6" s="66">
        <v>2021</v>
      </c>
      <c r="Q6" s="66">
        <v>2022</v>
      </c>
      <c r="R6" s="66">
        <v>2023</v>
      </c>
      <c r="S6" s="67">
        <v>2024</v>
      </c>
      <c r="T6" s="67">
        <v>2025</v>
      </c>
      <c r="U6" s="67">
        <v>2026</v>
      </c>
      <c r="V6" s="67">
        <v>2027</v>
      </c>
      <c r="W6" s="67">
        <v>2028</v>
      </c>
      <c r="X6" s="67">
        <f>W6+1</f>
        <v>2029</v>
      </c>
      <c r="Y6" s="67">
        <f>X6+1</f>
        <v>2030</v>
      </c>
      <c r="Z6" s="67">
        <f t="shared" ref="Z6:AG6" si="0">Y6+1</f>
        <v>2031</v>
      </c>
      <c r="AA6" s="67">
        <f t="shared" si="0"/>
        <v>2032</v>
      </c>
      <c r="AB6" s="67">
        <f t="shared" si="0"/>
        <v>2033</v>
      </c>
      <c r="AC6" s="67">
        <f t="shared" si="0"/>
        <v>2034</v>
      </c>
      <c r="AD6" s="67">
        <f t="shared" si="0"/>
        <v>2035</v>
      </c>
      <c r="AE6" s="67">
        <f t="shared" si="0"/>
        <v>2036</v>
      </c>
      <c r="AF6" s="67">
        <f t="shared" si="0"/>
        <v>2037</v>
      </c>
      <c r="AG6" s="67">
        <f t="shared" si="0"/>
        <v>2038</v>
      </c>
    </row>
    <row r="7" spans="1:35">
      <c r="B7" s="74" t="str">
        <f>Capex_FO_AC!$B$7</f>
        <v>$m, 01/01/26</v>
      </c>
      <c r="C7" s="75"/>
      <c r="D7" s="75"/>
      <c r="E7" s="75"/>
      <c r="F7" s="165" t="s">
        <v>63</v>
      </c>
      <c r="G7" s="75"/>
      <c r="H7" s="75"/>
      <c r="K7" s="342" t="str">
        <f t="shared" ref="K7:X7" si="1">+CONCATENATE(I6-1,"-",RIGHT(I6,2))</f>
        <v>2013-14</v>
      </c>
      <c r="L7" s="342" t="str">
        <f t="shared" si="1"/>
        <v>2014-15</v>
      </c>
      <c r="M7" s="342" t="str">
        <f t="shared" si="1"/>
        <v>2015-16</v>
      </c>
      <c r="N7" s="342" t="str">
        <f t="shared" si="1"/>
        <v>2016-17</v>
      </c>
      <c r="O7" s="342" t="str">
        <f t="shared" si="1"/>
        <v>2017-18</v>
      </c>
      <c r="P7" s="342" t="str">
        <f t="shared" si="1"/>
        <v>2018-19</v>
      </c>
      <c r="Q7" s="342" t="str">
        <f t="shared" si="1"/>
        <v>2019-20</v>
      </c>
      <c r="R7" s="342" t="str">
        <f t="shared" si="1"/>
        <v>2020-21</v>
      </c>
      <c r="S7" s="342" t="str">
        <f t="shared" si="1"/>
        <v>2021-22</v>
      </c>
      <c r="T7" s="342" t="str">
        <f t="shared" si="1"/>
        <v>2022-23</v>
      </c>
      <c r="U7" s="342" t="str">
        <f t="shared" si="1"/>
        <v>2023-24</v>
      </c>
      <c r="V7" s="342" t="str">
        <f t="shared" si="1"/>
        <v>2024-25</v>
      </c>
      <c r="W7" s="342" t="str">
        <f t="shared" si="1"/>
        <v>2025-26</v>
      </c>
      <c r="X7" s="2129" t="str">
        <f t="shared" si="1"/>
        <v>2026-27</v>
      </c>
      <c r="Y7" s="342" t="str">
        <f t="shared" ref="Y7:AG7" si="2">+CONCATENATE(W6-1,"-",RIGHT(W6,2))</f>
        <v>2027-28</v>
      </c>
      <c r="Z7" s="342" t="str">
        <f t="shared" si="2"/>
        <v>2028-29</v>
      </c>
      <c r="AA7" s="342" t="str">
        <f t="shared" si="2"/>
        <v>2029-30</v>
      </c>
      <c r="AB7" s="342" t="str">
        <f t="shared" si="2"/>
        <v>2030-31</v>
      </c>
      <c r="AC7" s="342" t="str">
        <f t="shared" si="2"/>
        <v>2031-32</v>
      </c>
      <c r="AD7" s="342" t="str">
        <f t="shared" si="2"/>
        <v>2032-33</v>
      </c>
      <c r="AE7" s="342" t="str">
        <f t="shared" si="2"/>
        <v>2033-34</v>
      </c>
      <c r="AF7" s="342" t="str">
        <f t="shared" si="2"/>
        <v>2034-35</v>
      </c>
      <c r="AG7" s="342" t="str">
        <f t="shared" si="2"/>
        <v>2035-36</v>
      </c>
    </row>
    <row r="8" spans="1:35" ht="12.75" thickBot="1">
      <c r="N8" s="606"/>
      <c r="O8" s="606"/>
      <c r="P8" s="606"/>
      <c r="Q8" s="606"/>
      <c r="R8" s="606"/>
      <c r="S8" s="606"/>
      <c r="T8" s="606"/>
      <c r="U8" s="606"/>
      <c r="V8" s="606"/>
      <c r="W8" s="606"/>
      <c r="X8" s="606">
        <v>1</v>
      </c>
      <c r="Y8" s="606">
        <v>2</v>
      </c>
      <c r="Z8" s="606">
        <v>3</v>
      </c>
      <c r="AA8" s="606">
        <v>4</v>
      </c>
      <c r="AB8" s="606">
        <v>5</v>
      </c>
      <c r="AC8" s="606">
        <v>6</v>
      </c>
      <c r="AD8" s="606">
        <v>7</v>
      </c>
      <c r="AE8" s="606">
        <v>8</v>
      </c>
      <c r="AF8" s="606">
        <v>9</v>
      </c>
      <c r="AG8" s="606">
        <v>10</v>
      </c>
    </row>
    <row r="9" spans="1:35">
      <c r="C9" s="166"/>
      <c r="D9" s="167"/>
      <c r="E9" s="167"/>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c r="AF9" s="167"/>
      <c r="AG9" s="167"/>
      <c r="AH9" s="168"/>
    </row>
    <row r="10" spans="1:35">
      <c r="C10" s="169"/>
      <c r="D10" s="170" t="s">
        <v>208</v>
      </c>
      <c r="AH10" s="171"/>
    </row>
    <row r="11" spans="1:35">
      <c r="C11" s="169"/>
      <c r="J11" s="74"/>
      <c r="K11" s="74"/>
      <c r="L11" s="74"/>
      <c r="M11" s="74"/>
      <c r="N11" s="74"/>
      <c r="O11" s="74"/>
      <c r="P11" s="74"/>
      <c r="Q11" s="74"/>
      <c r="AH11" s="171"/>
    </row>
    <row r="12" spans="1:35">
      <c r="C12" s="169"/>
      <c r="E12" s="70" t="s">
        <v>85</v>
      </c>
      <c r="J12" s="349"/>
      <c r="K12" s="349"/>
      <c r="L12" s="349"/>
      <c r="M12" s="349"/>
      <c r="N12" s="349"/>
      <c r="O12" s="349">
        <f>+O24</f>
        <v>336.75998611345227</v>
      </c>
      <c r="P12" s="349">
        <f>+P24</f>
        <v>344.71089538050893</v>
      </c>
      <c r="Q12" s="349">
        <f>+Q24</f>
        <v>346.67654130320284</v>
      </c>
      <c r="R12" s="349">
        <f>+R24</f>
        <v>360.42824661396583</v>
      </c>
      <c r="S12" s="349">
        <f>+S24</f>
        <v>373.43126920151866</v>
      </c>
      <c r="T12" s="349">
        <f t="shared" ref="T12:AB12" si="3">+T24</f>
        <v>407.60440691158357</v>
      </c>
      <c r="U12" s="349">
        <f t="shared" si="3"/>
        <v>427.91464625980456</v>
      </c>
      <c r="V12" s="349">
        <f t="shared" si="3"/>
        <v>454.19275262699648</v>
      </c>
      <c r="W12" s="349">
        <f t="shared" si="3"/>
        <v>516.37143299877437</v>
      </c>
      <c r="X12" s="349">
        <f t="shared" si="3"/>
        <v>512.60235118726871</v>
      </c>
      <c r="Y12" s="349">
        <f t="shared" ca="1" si="3"/>
        <v>541.00081247324897</v>
      </c>
      <c r="Z12" s="349">
        <f t="shared" ca="1" si="3"/>
        <v>569.993543886015</v>
      </c>
      <c r="AA12" s="349">
        <f t="shared" ca="1" si="3"/>
        <v>585.92888934640007</v>
      </c>
      <c r="AB12" s="349">
        <f t="shared" ca="1" si="3"/>
        <v>607.95490085440417</v>
      </c>
      <c r="AC12" s="349">
        <f ca="1">+AC24</f>
        <v>649.1706795683607</v>
      </c>
      <c r="AD12" s="349">
        <f ca="1">+AD24</f>
        <v>680.2791108216029</v>
      </c>
      <c r="AE12" s="349">
        <f ca="1">+AE24</f>
        <v>707.5192194557975</v>
      </c>
      <c r="AF12" s="349">
        <f ca="1">+AF24</f>
        <v>723.84506886380166</v>
      </c>
      <c r="AG12" s="349">
        <f ca="1">+AG24</f>
        <v>750.78451618847248</v>
      </c>
      <c r="AH12" s="171"/>
      <c r="AI12" s="70" t="s">
        <v>1053</v>
      </c>
    </row>
    <row r="13" spans="1:35">
      <c r="C13" s="169"/>
      <c r="E13" s="70" t="s">
        <v>65</v>
      </c>
      <c r="J13" s="349"/>
      <c r="K13" s="349"/>
      <c r="L13" s="349"/>
      <c r="M13" s="349"/>
      <c r="N13" s="349"/>
      <c r="O13" s="349">
        <f>+O30</f>
        <v>344.71089538050893</v>
      </c>
      <c r="P13" s="349">
        <f>+P30</f>
        <v>346.67654130320284</v>
      </c>
      <c r="Q13" s="349">
        <f>+Q30</f>
        <v>360.42824661396583</v>
      </c>
      <c r="R13" s="349">
        <f>+R30</f>
        <v>373.43126920151866</v>
      </c>
      <c r="S13" s="349">
        <f>+S30</f>
        <v>407.60440691158357</v>
      </c>
      <c r="T13" s="349">
        <f t="shared" ref="T13:AB13" si="4">+T30</f>
        <v>427.91464625980456</v>
      </c>
      <c r="U13" s="349">
        <f t="shared" si="4"/>
        <v>454.19275262699648</v>
      </c>
      <c r="V13" s="349">
        <f t="shared" si="4"/>
        <v>516.37143299877437</v>
      </c>
      <c r="W13" s="349">
        <f t="shared" si="4"/>
        <v>512.60235118726871</v>
      </c>
      <c r="X13" s="349">
        <f t="shared" ca="1" si="4"/>
        <v>541.00081247324897</v>
      </c>
      <c r="Y13" s="349">
        <f t="shared" ca="1" si="4"/>
        <v>569.993543886015</v>
      </c>
      <c r="Z13" s="349">
        <f t="shared" ca="1" si="4"/>
        <v>585.92888934640007</v>
      </c>
      <c r="AA13" s="349">
        <f t="shared" ca="1" si="4"/>
        <v>607.95490085440417</v>
      </c>
      <c r="AB13" s="349">
        <f t="shared" ca="1" si="4"/>
        <v>649.1706795683607</v>
      </c>
      <c r="AC13" s="349">
        <f ca="1">+AC30</f>
        <v>680.2791108216029</v>
      </c>
      <c r="AD13" s="349">
        <f ca="1">+AD30</f>
        <v>707.5192194557975</v>
      </c>
      <c r="AE13" s="349">
        <f ca="1">+AE30</f>
        <v>723.84506886380166</v>
      </c>
      <c r="AF13" s="349">
        <f ca="1">+AF30</f>
        <v>750.78451618847248</v>
      </c>
      <c r="AG13" s="349">
        <f ca="1">+AG30</f>
        <v>766.17993851314327</v>
      </c>
      <c r="AH13" s="171"/>
      <c r="AI13" s="70" t="s">
        <v>1053</v>
      </c>
    </row>
    <row r="14" spans="1:35">
      <c r="C14" s="169"/>
      <c r="J14" s="74"/>
      <c r="K14" s="74"/>
      <c r="L14" s="74"/>
      <c r="M14" s="74"/>
      <c r="N14" s="74"/>
      <c r="AH14" s="171"/>
    </row>
    <row r="15" spans="1:35">
      <c r="C15" s="169"/>
      <c r="E15" s="70" t="s">
        <v>698</v>
      </c>
      <c r="J15" s="74"/>
      <c r="K15" s="74"/>
      <c r="L15" s="74"/>
      <c r="M15" s="74"/>
      <c r="N15" s="74"/>
      <c r="O15" s="607">
        <f>'Determination Lookup'!I11</f>
        <v>9.1382473511008371</v>
      </c>
      <c r="P15" s="607">
        <f>'Determination Lookup'!J11</f>
        <v>11.407853313516451</v>
      </c>
      <c r="Q15" s="607">
        <f>'Determination Lookup'!K11</f>
        <v>10.776847742690837</v>
      </c>
      <c r="R15" s="607">
        <f>'Determination Lookup'!L11</f>
        <v>10.348357275048409</v>
      </c>
      <c r="S15" s="607">
        <f>'Determination Lookup'!M11</f>
        <v>9.3028338901578973</v>
      </c>
      <c r="T15" s="607">
        <f>'Determination Lookup'!N11</f>
        <v>8.1278981342402759</v>
      </c>
      <c r="U15" s="607">
        <f>'Determination Lookup'!O11</f>
        <v>7.3896950223035267</v>
      </c>
      <c r="V15" s="607">
        <f>'Determination Lookup'!P11</f>
        <v>6.8744412873572447</v>
      </c>
      <c r="W15" s="607">
        <f>'Determination Lookup'!Q11</f>
        <v>6.0037825257341506</v>
      </c>
      <c r="X15" s="608">
        <f>IF(X37="",X82,X37)</f>
        <v>19.289701150329222</v>
      </c>
      <c r="Y15" s="608">
        <f t="shared" ref="Y15:AG15" si="5">IF(Y37="",Y82,Y37)</f>
        <v>19.289701150329222</v>
      </c>
      <c r="Z15" s="608">
        <f t="shared" si="5"/>
        <v>19.289701150329222</v>
      </c>
      <c r="AA15" s="608">
        <f t="shared" si="5"/>
        <v>19.289701150329222</v>
      </c>
      <c r="AB15" s="608">
        <f t="shared" si="5"/>
        <v>19.289701150329222</v>
      </c>
      <c r="AC15" s="608">
        <f t="shared" si="5"/>
        <v>19.289701150329222</v>
      </c>
      <c r="AD15" s="608">
        <f t="shared" si="5"/>
        <v>19.289701150329222</v>
      </c>
      <c r="AE15" s="608">
        <f t="shared" si="5"/>
        <v>19.289701150329222</v>
      </c>
      <c r="AF15" s="608">
        <f t="shared" si="5"/>
        <v>19.289701150329222</v>
      </c>
      <c r="AG15" s="608">
        <f t="shared" si="5"/>
        <v>19.289701150329222</v>
      </c>
      <c r="AH15" s="171"/>
      <c r="AI15" s="70" t="s">
        <v>1053</v>
      </c>
    </row>
    <row r="16" spans="1:35">
      <c r="C16" s="169"/>
      <c r="E16" s="70" t="s">
        <v>256</v>
      </c>
      <c r="J16" s="74"/>
      <c r="K16" s="74"/>
      <c r="L16" s="74"/>
      <c r="M16" s="74"/>
      <c r="N16" s="74"/>
      <c r="O16" s="607">
        <f>'Determination Lookup'!I12</f>
        <v>3.0092997746027295</v>
      </c>
      <c r="P16" s="607">
        <f>'Determination Lookup'!J12</f>
        <v>0.38184195783936642</v>
      </c>
      <c r="Q16" s="607">
        <f>'Determination Lookup'!K12</f>
        <v>1.2140619894909501</v>
      </c>
      <c r="R16" s="607">
        <f>'Determination Lookup'!L12</f>
        <v>2.0473229889253401</v>
      </c>
      <c r="S16" s="607">
        <f>'Determination Lookup'!M12</f>
        <v>3.5550070918891392</v>
      </c>
      <c r="T16" s="607">
        <f>'Determination Lookup'!N12</f>
        <v>5.307076271776018</v>
      </c>
      <c r="U16" s="607">
        <f>'Determination Lookup'!O12</f>
        <v>6.1899540460248863</v>
      </c>
      <c r="V16" s="607">
        <f>'Determination Lookup'!P12</f>
        <v>6.8130742603190031</v>
      </c>
      <c r="W16" s="607">
        <f>'Determination Lookup'!Q12</f>
        <v>7.7331803717443455</v>
      </c>
      <c r="X16" s="608">
        <f ca="1">IF(X34="",+'Capex_FO input'!D33,X34)</f>
        <v>0.6192405636904762</v>
      </c>
      <c r="Y16" s="608">
        <f ca="1">IF(Y34="",+'Capex_FO input'!E33,Y34)</f>
        <v>2.0217674369047618</v>
      </c>
      <c r="Z16" s="608">
        <f ca="1">IF(Z34="",+'Capex_FO input'!F33,Z34)</f>
        <v>3.5528533892857141</v>
      </c>
      <c r="AA16" s="608">
        <f ca="1">IF(AA34="",+'Capex_FO input'!G33,AA34)</f>
        <v>4.7031143416666641</v>
      </c>
      <c r="AB16" s="608">
        <f ca="1">IF(AB34="",+'Capex_FO input'!H33,AB34)</f>
        <v>6.5771201357142832</v>
      </c>
      <c r="AC16" s="608">
        <f ca="1">IF(AC34="",+'Capex_FO input'!I33,AC34)</f>
        <v>8.8248675964285717</v>
      </c>
      <c r="AD16" s="608">
        <f ca="1">IF(AD34="",+'Capex_FO input'!J33,AD34)</f>
        <v>10.33919021547619</v>
      </c>
      <c r="AE16" s="608">
        <f ca="1">IF(AE34="",+'Capex_FO input'!K33,AE34)</f>
        <v>11.644449441666668</v>
      </c>
      <c r="AF16" s="608">
        <f ca="1">IF(AF34="",+'Capex_FO input'!L33,AF34)</f>
        <v>12.636851525000001</v>
      </c>
      <c r="AG16" s="608">
        <f ca="1">IF(AG34="",+'Capex_FO input'!M33,AG34)</f>
        <v>14.099876525000004</v>
      </c>
      <c r="AH16" s="171"/>
      <c r="AI16" s="70" t="s">
        <v>1053</v>
      </c>
    </row>
    <row r="17" spans="3:35">
      <c r="C17" s="169"/>
      <c r="E17" s="104" t="s">
        <v>257</v>
      </c>
      <c r="J17" s="74"/>
      <c r="K17" s="74"/>
      <c r="L17" s="74"/>
      <c r="M17" s="74"/>
      <c r="N17" s="74"/>
      <c r="O17" s="609">
        <f>SUM(O15:O16)</f>
        <v>12.147547125703566</v>
      </c>
      <c r="P17" s="609">
        <f>SUM(P15:P16)</f>
        <v>11.789695271355818</v>
      </c>
      <c r="Q17" s="609">
        <f>SUM(Q15:Q16)</f>
        <v>11.990909732181787</v>
      </c>
      <c r="R17" s="609">
        <f>SUM(R15:R16)</f>
        <v>12.395680263973748</v>
      </c>
      <c r="S17" s="609">
        <f t="shared" ref="S17:AB17" si="6">SUM(S15:S16)</f>
        <v>12.857840982047037</v>
      </c>
      <c r="T17" s="609">
        <f t="shared" si="6"/>
        <v>13.434974406016295</v>
      </c>
      <c r="U17" s="609">
        <f t="shared" si="6"/>
        <v>13.579649068328413</v>
      </c>
      <c r="V17" s="609">
        <f t="shared" si="6"/>
        <v>13.687515547676249</v>
      </c>
      <c r="W17" s="609">
        <f t="shared" si="6"/>
        <v>13.736962897478495</v>
      </c>
      <c r="X17" s="609">
        <f t="shared" ca="1" si="6"/>
        <v>19.908941714019697</v>
      </c>
      <c r="Y17" s="609">
        <f t="shared" ca="1" si="6"/>
        <v>21.311468587233982</v>
      </c>
      <c r="Z17" s="609">
        <f t="shared" ca="1" si="6"/>
        <v>22.842554539614937</v>
      </c>
      <c r="AA17" s="609">
        <f t="shared" ca="1" si="6"/>
        <v>23.992815491995884</v>
      </c>
      <c r="AB17" s="609">
        <f t="shared" ca="1" si="6"/>
        <v>25.866821286043503</v>
      </c>
      <c r="AC17" s="609">
        <f ca="1">SUM(AC15:AC16)</f>
        <v>28.114568746757794</v>
      </c>
      <c r="AD17" s="609">
        <f ca="1">SUM(AD15:AD16)</f>
        <v>29.628891365805412</v>
      </c>
      <c r="AE17" s="609">
        <f ca="1">SUM(AE15:AE16)</f>
        <v>30.934150591995888</v>
      </c>
      <c r="AF17" s="609">
        <f ca="1">SUM(AF15:AF16)</f>
        <v>31.926552675329223</v>
      </c>
      <c r="AG17" s="609">
        <f ca="1">SUM(AG15:AG16)</f>
        <v>33.389577675329228</v>
      </c>
      <c r="AH17" s="171"/>
      <c r="AI17" s="70" t="s">
        <v>1053</v>
      </c>
    </row>
    <row r="18" spans="3:35" ht="12.75" thickBot="1">
      <c r="C18" s="182"/>
      <c r="D18" s="183"/>
      <c r="E18" s="183"/>
      <c r="F18" s="183"/>
      <c r="G18" s="183"/>
      <c r="H18" s="183"/>
      <c r="I18" s="183"/>
      <c r="J18" s="374"/>
      <c r="K18" s="374"/>
      <c r="L18" s="374"/>
      <c r="M18" s="374"/>
      <c r="N18" s="374"/>
      <c r="O18" s="374"/>
      <c r="P18" s="374"/>
      <c r="Q18" s="374"/>
      <c r="R18" s="565"/>
      <c r="S18" s="565"/>
      <c r="T18" s="565"/>
      <c r="U18" s="565"/>
      <c r="V18" s="565"/>
      <c r="W18" s="565"/>
      <c r="X18" s="565"/>
      <c r="Y18" s="565"/>
      <c r="Z18" s="565"/>
      <c r="AA18" s="565"/>
      <c r="AB18" s="565"/>
      <c r="AC18" s="565"/>
      <c r="AD18" s="565"/>
      <c r="AE18" s="565"/>
      <c r="AF18" s="565"/>
      <c r="AG18" s="565"/>
      <c r="AH18" s="186"/>
    </row>
    <row r="19" spans="3:35">
      <c r="C19" s="74"/>
      <c r="J19" s="610"/>
      <c r="K19" s="610"/>
      <c r="L19" s="610"/>
      <c r="M19" s="610"/>
      <c r="N19" s="573"/>
      <c r="O19" s="573"/>
      <c r="P19" s="573"/>
      <c r="Q19" s="573"/>
      <c r="R19" s="375"/>
      <c r="S19" s="375"/>
      <c r="T19" s="375"/>
      <c r="U19" s="375"/>
      <c r="V19" s="375"/>
      <c r="W19" s="375"/>
      <c r="X19" s="375"/>
      <c r="Y19" s="375"/>
      <c r="Z19" s="375"/>
      <c r="AA19" s="375"/>
      <c r="AB19" s="375"/>
    </row>
    <row r="20" spans="3:35">
      <c r="C20" s="611"/>
      <c r="J20" s="123"/>
      <c r="K20" s="573"/>
      <c r="L20" s="573"/>
      <c r="M20" s="573"/>
      <c r="N20" s="573"/>
      <c r="O20" s="573"/>
      <c r="P20" s="573"/>
      <c r="Q20" s="573"/>
      <c r="R20" s="375"/>
      <c r="S20" s="375"/>
      <c r="T20" s="375"/>
      <c r="U20" s="375"/>
      <c r="V20" s="375"/>
      <c r="W20" s="375"/>
      <c r="X20" s="375"/>
      <c r="Y20" s="375"/>
      <c r="Z20" s="375"/>
      <c r="AA20" s="375"/>
      <c r="AB20" s="375"/>
    </row>
    <row r="21" spans="3:35">
      <c r="J21" s="123"/>
      <c r="K21" s="573"/>
      <c r="L21" s="573"/>
      <c r="M21" s="573"/>
      <c r="N21" s="573"/>
      <c r="O21" s="573"/>
      <c r="P21" s="573"/>
      <c r="Q21" s="573"/>
      <c r="R21" s="375"/>
      <c r="S21" s="375"/>
      <c r="T21" s="375"/>
      <c r="U21" s="375"/>
      <c r="V21" s="375"/>
      <c r="W21" s="375"/>
      <c r="X21" s="375"/>
      <c r="Y21" s="375"/>
      <c r="Z21" s="375"/>
      <c r="AA21" s="375"/>
      <c r="AB21" s="375"/>
    </row>
    <row r="22" spans="3:35">
      <c r="C22" s="377" t="s">
        <v>208</v>
      </c>
      <c r="J22" s="74"/>
      <c r="K22" s="74"/>
      <c r="L22" s="74"/>
      <c r="M22" s="74"/>
      <c r="N22" s="74"/>
      <c r="O22" s="74"/>
      <c r="P22" s="74"/>
      <c r="Q22" s="74"/>
      <c r="AA22" s="375"/>
      <c r="AB22" s="375"/>
    </row>
    <row r="23" spans="3:35" ht="12.75" thickBot="1">
      <c r="J23" s="74"/>
      <c r="K23" s="74"/>
      <c r="L23" s="74"/>
      <c r="M23" s="74"/>
      <c r="N23" s="74"/>
      <c r="O23" s="74"/>
      <c r="P23" s="74"/>
      <c r="Q23" s="74"/>
      <c r="R23" s="375"/>
      <c r="S23" s="375"/>
      <c r="T23" s="375"/>
      <c r="U23" s="375"/>
      <c r="V23" s="375"/>
      <c r="W23" s="375"/>
      <c r="X23" s="375"/>
      <c r="Y23" s="375"/>
      <c r="Z23" s="375"/>
      <c r="AA23" s="375"/>
      <c r="AB23" s="375"/>
    </row>
    <row r="24" spans="3:35" ht="12.75" thickBot="1">
      <c r="D24" s="70" t="s">
        <v>85</v>
      </c>
      <c r="J24" s="74"/>
      <c r="K24" s="74"/>
      <c r="L24" s="74"/>
      <c r="M24" s="74"/>
      <c r="N24" s="74"/>
      <c r="O24" s="612">
        <f>'Determination Lookup'!I8</f>
        <v>336.75998611345227</v>
      </c>
      <c r="P24" s="608">
        <f>+O30</f>
        <v>344.71089538050893</v>
      </c>
      <c r="Q24" s="608">
        <f t="shared" ref="Q24:AG24" si="7">+P30</f>
        <v>346.67654130320284</v>
      </c>
      <c r="R24" s="608">
        <f t="shared" si="7"/>
        <v>360.42824661396583</v>
      </c>
      <c r="S24" s="608">
        <f t="shared" si="7"/>
        <v>373.43126920151866</v>
      </c>
      <c r="T24" s="608">
        <f t="shared" si="7"/>
        <v>407.60440691158357</v>
      </c>
      <c r="U24" s="608">
        <f t="shared" si="7"/>
        <v>427.91464625980456</v>
      </c>
      <c r="V24" s="608">
        <f t="shared" si="7"/>
        <v>454.19275262699648</v>
      </c>
      <c r="W24" s="608">
        <f t="shared" si="7"/>
        <v>516.37143299877437</v>
      </c>
      <c r="X24" s="608">
        <f t="shared" si="7"/>
        <v>512.60235118726871</v>
      </c>
      <c r="Y24" s="608">
        <f t="shared" ca="1" si="7"/>
        <v>541.00081247324897</v>
      </c>
      <c r="Z24" s="608">
        <f t="shared" ca="1" si="7"/>
        <v>569.993543886015</v>
      </c>
      <c r="AA24" s="608">
        <f t="shared" ca="1" si="7"/>
        <v>585.92888934640007</v>
      </c>
      <c r="AB24" s="608">
        <f t="shared" ca="1" si="7"/>
        <v>607.95490085440417</v>
      </c>
      <c r="AC24" s="608">
        <f t="shared" ca="1" si="7"/>
        <v>649.1706795683607</v>
      </c>
      <c r="AD24" s="608">
        <f t="shared" ca="1" si="7"/>
        <v>680.2791108216029</v>
      </c>
      <c r="AE24" s="608">
        <f t="shared" ca="1" si="7"/>
        <v>707.5192194557975</v>
      </c>
      <c r="AF24" s="608">
        <f t="shared" ca="1" si="7"/>
        <v>723.84506886380166</v>
      </c>
      <c r="AG24" s="608">
        <f t="shared" ca="1" si="7"/>
        <v>750.78451618847248</v>
      </c>
      <c r="AI24" s="70" t="s">
        <v>1053</v>
      </c>
    </row>
    <row r="25" spans="3:35">
      <c r="D25" s="70" t="s">
        <v>250</v>
      </c>
      <c r="J25" s="74"/>
      <c r="K25" s="74"/>
      <c r="L25" s="74"/>
      <c r="M25" s="74"/>
      <c r="N25" s="74"/>
      <c r="O25" s="378">
        <f>Summary_FO!O19</f>
        <v>23.432855397285067</v>
      </c>
      <c r="P25" s="378">
        <f>Summary_FO!P19</f>
        <v>17.851385599023089</v>
      </c>
      <c r="Q25" s="378">
        <f>Summary_FO!Q19</f>
        <v>29.564081300613495</v>
      </c>
      <c r="R25" s="378">
        <f>Summary_FO!R19</f>
        <v>30.752784326655227</v>
      </c>
      <c r="S25" s="378">
        <f>Summary_FO!S19</f>
        <v>50.947665715012718</v>
      </c>
      <c r="T25" s="378">
        <f>Summary_FO!T19</f>
        <v>38.549908669491515</v>
      </c>
      <c r="U25" s="378">
        <f>Summary_FO!U19</f>
        <v>45.534034847285071</v>
      </c>
      <c r="V25" s="378">
        <f>Summary_FO!V19</f>
        <v>81.634957360502185</v>
      </c>
      <c r="W25" s="378">
        <f>Summary_FO!W19</f>
        <v>13.967881085972849</v>
      </c>
      <c r="X25" s="378">
        <f>Summary_FO!X19</f>
        <v>54.123402999999996</v>
      </c>
      <c r="Y25" s="378">
        <f>Summary_FO!Y19</f>
        <v>58.27920000000001</v>
      </c>
      <c r="Z25" s="378">
        <f>Summary_FO!Z19</f>
        <v>44.128900000000002</v>
      </c>
      <c r="AA25" s="378">
        <f>Summary_FO!AA19</f>
        <v>51.032827000000012</v>
      </c>
      <c r="AB25" s="378">
        <f>Summary_FO!AB19</f>
        <v>72.166600000000003</v>
      </c>
      <c r="AC25" s="378">
        <f>Summary_FO!AC19</f>
        <v>64.378999999999991</v>
      </c>
      <c r="AD25" s="378">
        <f>Summary_FO!AD19</f>
        <v>62.098999999999997</v>
      </c>
      <c r="AE25" s="378">
        <f>Summary_FO!AE19</f>
        <v>52.566000000000003</v>
      </c>
      <c r="AF25" s="378">
        <f>Summary_FO!AF19</f>
        <v>64.248999999999995</v>
      </c>
      <c r="AG25" s="378">
        <f>Summary_FO!AG19</f>
        <v>54.248999999999995</v>
      </c>
      <c r="AI25" s="70" t="s">
        <v>1053</v>
      </c>
    </row>
    <row r="26" spans="3:35">
      <c r="D26" s="591" t="s">
        <v>251</v>
      </c>
      <c r="J26" s="74"/>
      <c r="K26" s="74"/>
      <c r="L26" s="74"/>
      <c r="M26" s="74"/>
      <c r="N26" s="74"/>
      <c r="O26" s="378">
        <f>Summary_FO!O20</f>
        <v>0</v>
      </c>
      <c r="P26" s="378">
        <f>Summary_FO!P20</f>
        <v>0</v>
      </c>
      <c r="Q26" s="378">
        <f>Summary_FO!Q20</f>
        <v>0</v>
      </c>
      <c r="R26" s="378">
        <f>Summary_FO!R20</f>
        <v>0.43440823327615774</v>
      </c>
      <c r="S26" s="378">
        <f>Summary_FO!S20</f>
        <v>0.286412213740458</v>
      </c>
      <c r="T26" s="378">
        <f>Summary_FO!T20</f>
        <v>0.22711864406779658</v>
      </c>
      <c r="U26" s="378">
        <f>Summary_FO!U20</f>
        <v>1.0488834841628958</v>
      </c>
      <c r="V26" s="378">
        <f>Summary_FO!V20</f>
        <v>1.3501670305676856</v>
      </c>
      <c r="W26" s="378">
        <f>Summary_FO!W20</f>
        <v>0</v>
      </c>
      <c r="X26" s="378">
        <f>Summary_FO!X20</f>
        <v>1</v>
      </c>
      <c r="Y26" s="378">
        <f>Summary_FO!Y20</f>
        <v>3.0949999999999998</v>
      </c>
      <c r="Z26" s="378">
        <f>Summary_FO!Z20</f>
        <v>0.40500000000000003</v>
      </c>
      <c r="AA26" s="378">
        <f>Summary_FO!AA20</f>
        <v>0</v>
      </c>
      <c r="AB26" s="378">
        <f>Summary_FO!AB20</f>
        <v>0</v>
      </c>
      <c r="AC26" s="378">
        <f>Summary_FO!AC20</f>
        <v>0</v>
      </c>
      <c r="AD26" s="378">
        <f>Summary_FO!AD20</f>
        <v>0</v>
      </c>
      <c r="AE26" s="378">
        <f>Summary_FO!AE20</f>
        <v>0</v>
      </c>
      <c r="AF26" s="378">
        <f>Summary_FO!AF20</f>
        <v>0</v>
      </c>
      <c r="AG26" s="378">
        <f>Summary_FO!AG20</f>
        <v>0</v>
      </c>
      <c r="AI26" s="70" t="s">
        <v>1053</v>
      </c>
    </row>
    <row r="27" spans="3:35">
      <c r="D27" s="591" t="s">
        <v>252</v>
      </c>
      <c r="J27" s="74"/>
      <c r="K27" s="74"/>
      <c r="L27" s="74"/>
      <c r="M27" s="74"/>
      <c r="N27" s="74"/>
      <c r="O27" s="378">
        <f>Summary_FO!O21</f>
        <v>2.6926542081447966</v>
      </c>
      <c r="P27" s="378">
        <f>Summary_FO!P21</f>
        <v>3.2700879218472467</v>
      </c>
      <c r="Q27" s="378">
        <f>Summary_FO!Q21</f>
        <v>3.1617423312883437</v>
      </c>
      <c r="R27" s="378">
        <f>Summary_FO!R21</f>
        <v>4.3923499142367071</v>
      </c>
      <c r="S27" s="378">
        <f>Summary_FO!S21</f>
        <v>3.4429134860050885</v>
      </c>
      <c r="T27" s="378">
        <f>Summary_FO!T21</f>
        <v>4.3686271186440671</v>
      </c>
      <c r="U27" s="378">
        <f>Summary_FO!U21</f>
        <v>4.1053416289592759</v>
      </c>
      <c r="V27" s="378">
        <f>Summary_FO!V21</f>
        <v>4.3860122227074232</v>
      </c>
      <c r="W27" s="378">
        <f>Summary_FO!W21</f>
        <v>3.5</v>
      </c>
      <c r="X27" s="378">
        <f>Summary_FO!X21</f>
        <v>4.3159999999999998</v>
      </c>
      <c r="Y27" s="378">
        <f>Summary_FO!Y21</f>
        <v>4.38</v>
      </c>
      <c r="Z27" s="378">
        <f>Summary_FO!Z21</f>
        <v>4.4459999999999997</v>
      </c>
      <c r="AA27" s="378">
        <f>Summary_FO!AA21</f>
        <v>4.5140000000000002</v>
      </c>
      <c r="AB27" s="378">
        <f>Summary_FO!AB21</f>
        <v>4.5839999999999996</v>
      </c>
      <c r="AC27" s="378">
        <f>Summary_FO!AC21</f>
        <v>4.6559999999999997</v>
      </c>
      <c r="AD27" s="378">
        <f>Summary_FO!AD21</f>
        <v>4.7300000000000004</v>
      </c>
      <c r="AE27" s="378">
        <f>Summary_FO!AE21</f>
        <v>4.806</v>
      </c>
      <c r="AF27" s="378">
        <f>Summary_FO!AF21</f>
        <v>4.883</v>
      </c>
      <c r="AG27" s="378">
        <f>Summary_FO!AG21</f>
        <v>4.9640000000000004</v>
      </c>
      <c r="AI27" s="70" t="s">
        <v>1053</v>
      </c>
    </row>
    <row r="28" spans="3:35">
      <c r="D28" s="591" t="s">
        <v>253</v>
      </c>
      <c r="J28" s="74"/>
      <c r="K28" s="74"/>
      <c r="L28" s="74"/>
      <c r="M28" s="74"/>
      <c r="N28" s="74"/>
      <c r="O28" s="378">
        <f>Summary_FO!O25</f>
        <v>0.64174479638009041</v>
      </c>
      <c r="P28" s="378">
        <f>Summary_FO!P25</f>
        <v>0.82595648312611014</v>
      </c>
      <c r="Q28" s="378">
        <f>Summary_FO!Q25</f>
        <v>0.65972392638036814</v>
      </c>
      <c r="R28" s="378">
        <f>Summary_FO!R25</f>
        <v>0.52732332761578038</v>
      </c>
      <c r="S28" s="378">
        <f>Summary_FO!S25</f>
        <v>0.18736132315521628</v>
      </c>
      <c r="T28" s="378">
        <f>Summary_FO!T25</f>
        <v>0.20894915254237284</v>
      </c>
      <c r="U28" s="378">
        <f>Summary_FO!U25</f>
        <v>0.52205429864253394</v>
      </c>
      <c r="V28" s="378">
        <f>Summary_FO!V25</f>
        <v>3.2582187772925757E-2</v>
      </c>
      <c r="W28" s="378">
        <f>Summary_FO!W25</f>
        <v>0.5</v>
      </c>
      <c r="X28" s="378">
        <f>Summary_FO!X25</f>
        <v>0.5</v>
      </c>
      <c r="Y28" s="378">
        <f>Summary_FO!Y25</f>
        <v>0.5</v>
      </c>
      <c r="Z28" s="378">
        <f>Summary_FO!Z25</f>
        <v>0.5</v>
      </c>
      <c r="AA28" s="378">
        <f>Summary_FO!AA25</f>
        <v>0.5</v>
      </c>
      <c r="AB28" s="378">
        <f>Summary_FO!AB25</f>
        <v>0.5</v>
      </c>
      <c r="AC28" s="378">
        <f>Summary_FO!AC25</f>
        <v>0.5</v>
      </c>
      <c r="AD28" s="378">
        <f>Summary_FO!AD25</f>
        <v>0.5</v>
      </c>
      <c r="AE28" s="378">
        <f>Summary_FO!AE25</f>
        <v>0.5</v>
      </c>
      <c r="AF28" s="378">
        <f>Summary_FO!AF25</f>
        <v>0.5</v>
      </c>
      <c r="AG28" s="378">
        <f>Summary_FO!AG25</f>
        <v>0.5</v>
      </c>
      <c r="AI28" s="70" t="s">
        <v>1053</v>
      </c>
    </row>
    <row r="29" spans="3:35">
      <c r="D29" s="591" t="s">
        <v>254</v>
      </c>
      <c r="J29" s="74"/>
      <c r="K29" s="74"/>
      <c r="L29" s="74"/>
      <c r="M29" s="74"/>
      <c r="N29" s="74"/>
      <c r="O29" s="128">
        <f>O17</f>
        <v>12.147547125703566</v>
      </c>
      <c r="P29" s="128">
        <f>P17</f>
        <v>11.789695271355818</v>
      </c>
      <c r="Q29" s="128">
        <f>Q17</f>
        <v>11.990909732181787</v>
      </c>
      <c r="R29" s="128">
        <f>R17</f>
        <v>12.395680263973748</v>
      </c>
      <c r="S29" s="128">
        <f>S17</f>
        <v>12.857840982047037</v>
      </c>
      <c r="T29" s="128">
        <f t="shared" ref="T29:AB29" si="8">T17</f>
        <v>13.434974406016295</v>
      </c>
      <c r="U29" s="128">
        <f t="shared" si="8"/>
        <v>13.579649068328413</v>
      </c>
      <c r="V29" s="128">
        <f t="shared" si="8"/>
        <v>13.687515547676249</v>
      </c>
      <c r="W29" s="128">
        <f t="shared" si="8"/>
        <v>13.736962897478495</v>
      </c>
      <c r="X29" s="128">
        <f t="shared" ca="1" si="8"/>
        <v>19.908941714019697</v>
      </c>
      <c r="Y29" s="128">
        <f t="shared" ca="1" si="8"/>
        <v>21.311468587233982</v>
      </c>
      <c r="Z29" s="128">
        <f t="shared" ca="1" si="8"/>
        <v>22.842554539614937</v>
      </c>
      <c r="AA29" s="128">
        <f t="shared" ca="1" si="8"/>
        <v>23.992815491995884</v>
      </c>
      <c r="AB29" s="128">
        <f t="shared" ca="1" si="8"/>
        <v>25.866821286043503</v>
      </c>
      <c r="AC29" s="128">
        <f ca="1">AC17</f>
        <v>28.114568746757794</v>
      </c>
      <c r="AD29" s="128">
        <f ca="1">AD17</f>
        <v>29.628891365805412</v>
      </c>
      <c r="AE29" s="128">
        <f ca="1">AE17</f>
        <v>30.934150591995888</v>
      </c>
      <c r="AF29" s="128">
        <f ca="1">AF17</f>
        <v>31.926552675329223</v>
      </c>
      <c r="AG29" s="128">
        <f ca="1">AG17</f>
        <v>33.389577675329228</v>
      </c>
      <c r="AI29" s="70" t="s">
        <v>1053</v>
      </c>
    </row>
    <row r="30" spans="3:35" ht="12.75" thickBot="1">
      <c r="D30" s="614" t="s">
        <v>65</v>
      </c>
      <c r="J30" s="74"/>
      <c r="K30" s="74"/>
      <c r="L30" s="74"/>
      <c r="M30" s="74"/>
      <c r="N30" s="74"/>
      <c r="O30" s="615">
        <f>+SUM(O24:O25)-SUM(O26:O29)</f>
        <v>344.71089538050893</v>
      </c>
      <c r="P30" s="615">
        <f>+SUM(P24:P25)-SUM(P26:P29)</f>
        <v>346.67654130320284</v>
      </c>
      <c r="Q30" s="615">
        <f>+SUM(Q24:Q25)-SUM(Q26:Q29)</f>
        <v>360.42824661396583</v>
      </c>
      <c r="R30" s="615">
        <f>+SUM(R24:R25)-SUM(R26:R29)</f>
        <v>373.43126920151866</v>
      </c>
      <c r="S30" s="615">
        <f>+SUM(S24:S25)-SUM(S26:S29)</f>
        <v>407.60440691158357</v>
      </c>
      <c r="T30" s="615">
        <f t="shared" ref="T30:AB30" si="9">+SUM(T24:T25)-SUM(T26:T29)</f>
        <v>427.91464625980456</v>
      </c>
      <c r="U30" s="615">
        <f t="shared" si="9"/>
        <v>454.19275262699648</v>
      </c>
      <c r="V30" s="615">
        <f t="shared" si="9"/>
        <v>516.37143299877437</v>
      </c>
      <c r="W30" s="615">
        <f t="shared" si="9"/>
        <v>512.60235118726871</v>
      </c>
      <c r="X30" s="615">
        <f t="shared" ca="1" si="9"/>
        <v>541.00081247324897</v>
      </c>
      <c r="Y30" s="615">
        <f t="shared" ca="1" si="9"/>
        <v>569.993543886015</v>
      </c>
      <c r="Z30" s="615">
        <f t="shared" ca="1" si="9"/>
        <v>585.92888934640007</v>
      </c>
      <c r="AA30" s="615">
        <f t="shared" ca="1" si="9"/>
        <v>607.95490085440417</v>
      </c>
      <c r="AB30" s="615">
        <f t="shared" ca="1" si="9"/>
        <v>649.1706795683607</v>
      </c>
      <c r="AC30" s="615">
        <f ca="1">+SUM(AC24:AC25)-SUM(AC26:AC29)</f>
        <v>680.2791108216029</v>
      </c>
      <c r="AD30" s="615">
        <f ca="1">+SUM(AD24:AD25)-SUM(AD26:AD29)</f>
        <v>707.5192194557975</v>
      </c>
      <c r="AE30" s="615">
        <f ca="1">+SUM(AE24:AE25)-SUM(AE26:AE29)</f>
        <v>723.84506886380166</v>
      </c>
      <c r="AF30" s="615">
        <f ca="1">+SUM(AF24:AF25)-SUM(AF26:AF29)</f>
        <v>750.78451618847248</v>
      </c>
      <c r="AG30" s="615">
        <f ca="1">+SUM(AG24:AG25)-SUM(AG26:AG29)</f>
        <v>766.17993851314327</v>
      </c>
      <c r="AI30" s="70" t="s">
        <v>1053</v>
      </c>
    </row>
    <row r="31" spans="3:35" ht="12.75" thickTop="1">
      <c r="J31" s="74"/>
      <c r="K31" s="74"/>
      <c r="L31" s="74"/>
      <c r="M31" s="74"/>
      <c r="N31" s="74"/>
      <c r="O31" s="74"/>
      <c r="P31" s="74"/>
      <c r="Q31" s="74"/>
      <c r="R31" s="375"/>
      <c r="S31" s="375"/>
      <c r="T31" s="375"/>
      <c r="U31" s="375"/>
      <c r="V31" s="375"/>
      <c r="W31" s="375"/>
      <c r="X31" s="375"/>
      <c r="Y31" s="375"/>
      <c r="Z31" s="375"/>
      <c r="AA31" s="375"/>
      <c r="AB31" s="375"/>
    </row>
    <row r="32" spans="3:35">
      <c r="J32" s="74"/>
      <c r="K32" s="74"/>
      <c r="L32" s="74"/>
      <c r="M32" s="74"/>
      <c r="N32" s="74"/>
      <c r="O32" s="74"/>
      <c r="P32" s="74"/>
      <c r="Q32" s="74"/>
      <c r="R32" s="375"/>
      <c r="S32" s="375"/>
      <c r="T32" s="375"/>
      <c r="U32" s="375"/>
      <c r="V32" s="375"/>
      <c r="W32" s="375"/>
      <c r="X32" s="375"/>
      <c r="Y32" s="375"/>
      <c r="Z32" s="375"/>
      <c r="AA32" s="375"/>
      <c r="AB32" s="375"/>
    </row>
    <row r="33" spans="3:33">
      <c r="J33" s="74"/>
      <c r="K33" s="74"/>
      <c r="L33" s="74"/>
      <c r="M33" s="74"/>
      <c r="N33" s="74"/>
      <c r="O33" s="74"/>
      <c r="P33" s="74"/>
      <c r="Q33" s="74"/>
      <c r="R33" s="375"/>
      <c r="S33" s="375"/>
      <c r="T33" s="375"/>
      <c r="U33" s="375"/>
      <c r="V33" s="375"/>
      <c r="W33" s="375"/>
      <c r="X33" s="1974" t="s">
        <v>1101</v>
      </c>
      <c r="Y33" s="1975"/>
      <c r="Z33" s="1975"/>
      <c r="AA33" s="1975"/>
      <c r="AB33" s="1975"/>
      <c r="AC33" s="1974"/>
      <c r="AD33" s="1974"/>
      <c r="AE33" s="1974"/>
      <c r="AF33" s="1974"/>
      <c r="AG33" s="1974"/>
    </row>
    <row r="34" spans="3:33">
      <c r="J34" s="74"/>
      <c r="K34" s="74"/>
      <c r="L34" s="74"/>
      <c r="M34" s="74"/>
      <c r="N34" s="74"/>
      <c r="O34" s="74"/>
      <c r="P34" s="74"/>
      <c r="Q34" s="74"/>
      <c r="R34" s="375"/>
      <c r="S34" s="375"/>
      <c r="T34" s="375"/>
      <c r="U34" s="616"/>
      <c r="V34" s="616"/>
      <c r="W34" s="617" t="s">
        <v>594</v>
      </c>
      <c r="X34" s="630"/>
      <c r="Y34" s="631"/>
      <c r="Z34" s="631"/>
      <c r="AA34" s="631"/>
      <c r="AB34" s="631"/>
      <c r="AC34" s="631"/>
      <c r="AD34" s="631"/>
      <c r="AE34" s="631"/>
      <c r="AF34" s="631"/>
      <c r="AG34" s="632"/>
    </row>
    <row r="35" spans="3:33">
      <c r="J35" s="128"/>
      <c r="K35" s="375"/>
      <c r="L35" s="375"/>
      <c r="M35" s="375"/>
      <c r="N35" s="375"/>
      <c r="O35" s="375"/>
      <c r="P35" s="375"/>
      <c r="Q35" s="375"/>
      <c r="R35" s="375"/>
      <c r="S35" s="375"/>
      <c r="T35" s="375"/>
      <c r="U35" s="375"/>
      <c r="V35" s="375"/>
      <c r="W35" s="375"/>
      <c r="X35" s="375"/>
      <c r="Y35" s="375"/>
      <c r="Z35" s="375"/>
      <c r="AA35" s="375"/>
      <c r="AB35" s="375"/>
    </row>
    <row r="36" spans="3:33">
      <c r="J36" s="128"/>
      <c r="K36" s="375"/>
      <c r="L36" s="375"/>
      <c r="M36" s="375"/>
      <c r="N36" s="375"/>
      <c r="O36" s="375"/>
      <c r="P36" s="375"/>
      <c r="Q36" s="375"/>
      <c r="R36" s="375"/>
      <c r="S36" s="375"/>
      <c r="T36" s="375"/>
      <c r="U36" s="375"/>
      <c r="V36" s="375"/>
      <c r="W36" s="375"/>
      <c r="X36" s="1974" t="s">
        <v>1101</v>
      </c>
      <c r="Y36" s="1975"/>
      <c r="Z36" s="1975"/>
      <c r="AA36" s="1975"/>
      <c r="AB36" s="1975"/>
      <c r="AC36" s="1974"/>
      <c r="AD36" s="1974"/>
      <c r="AE36" s="1974"/>
      <c r="AF36" s="1974"/>
      <c r="AG36" s="1974"/>
    </row>
    <row r="37" spans="3:33">
      <c r="C37" s="599" t="s">
        <v>1098</v>
      </c>
      <c r="J37" s="128"/>
      <c r="K37" s="128"/>
      <c r="L37" s="128"/>
      <c r="N37" s="618"/>
      <c r="O37" s="618"/>
      <c r="P37" s="618"/>
      <c r="V37" s="618"/>
      <c r="W37" s="619" t="s">
        <v>595</v>
      </c>
      <c r="X37" s="630"/>
      <c r="Y37" s="631"/>
      <c r="Z37" s="631"/>
      <c r="AA37" s="631"/>
      <c r="AB37" s="631"/>
      <c r="AC37" s="631"/>
      <c r="AD37" s="631"/>
      <c r="AE37" s="631"/>
      <c r="AF37" s="631"/>
      <c r="AG37" s="632"/>
    </row>
    <row r="38" spans="3:33">
      <c r="J38" s="128"/>
      <c r="K38" s="375"/>
      <c r="L38" s="375"/>
      <c r="M38" s="381"/>
      <c r="N38" s="381"/>
      <c r="O38" s="381"/>
      <c r="P38" s="375"/>
      <c r="V38" s="375"/>
      <c r="W38" s="375"/>
      <c r="X38" s="375"/>
      <c r="Y38" s="375"/>
      <c r="Z38" s="375"/>
      <c r="AA38" s="375"/>
      <c r="AB38" s="375"/>
      <c r="AC38" s="375"/>
      <c r="AD38" s="375"/>
      <c r="AE38" s="375"/>
      <c r="AF38" s="375"/>
      <c r="AG38" s="375"/>
    </row>
    <row r="39" spans="3:33">
      <c r="M39" s="232"/>
      <c r="N39" s="559"/>
      <c r="O39" s="559"/>
      <c r="P39" s="85"/>
      <c r="V39" s="85"/>
      <c r="W39" s="85"/>
      <c r="X39" s="85"/>
      <c r="AC39" s="85"/>
    </row>
    <row r="40" spans="3:33" ht="21.75" customHeight="1">
      <c r="D40" s="620" t="s">
        <v>209</v>
      </c>
      <c r="F40" s="621" t="s">
        <v>210</v>
      </c>
      <c r="G40" s="621" t="s">
        <v>211</v>
      </c>
      <c r="H40" s="621" t="s">
        <v>212</v>
      </c>
      <c r="I40" s="621" t="s">
        <v>543</v>
      </c>
      <c r="M40" s="232"/>
      <c r="N40" s="232"/>
      <c r="O40" s="232"/>
      <c r="W40" s="74"/>
      <c r="X40" s="74"/>
      <c r="Y40" s="74"/>
    </row>
    <row r="41" spans="3:33">
      <c r="C41" s="70">
        <v>1</v>
      </c>
      <c r="D41" s="633" t="s">
        <v>1410</v>
      </c>
      <c r="E41" s="634"/>
      <c r="F41" s="634">
        <v>12</v>
      </c>
      <c r="G41" s="635">
        <v>47.901665158371046</v>
      </c>
      <c r="H41" s="88">
        <f>+IF(ISERROR(G41/$G$82),"",G41/$G$82)</f>
        <v>8.7285405154673035E-2</v>
      </c>
      <c r="I41" s="559">
        <f>G41/$G$82*F41</f>
        <v>1.0474248618560764</v>
      </c>
      <c r="M41" s="232"/>
      <c r="N41" s="559"/>
      <c r="O41" s="559"/>
      <c r="P41" s="559"/>
      <c r="V41" s="559"/>
      <c r="W41" s="103"/>
      <c r="X41" s="103">
        <f>IF(F41&lt;=0,0,($W$30*H41)/MAX(F41,1))</f>
        <v>3.7285586588848951</v>
      </c>
      <c r="Y41" s="103">
        <f>IF($F41&lt;=0,0,IF(SUM($X41:X41)+($W$30*$H41)/$F41&lt;($W$30*$H41),($W$30*$H41)/$F41,($W$30*$H41)-SUM($X41:X41)))</f>
        <v>3.7285586588848951</v>
      </c>
      <c r="Z41" s="85">
        <f>IF($F41&lt;=0,0,IF(SUM($X41:Y41)+($W$30*$H41)/$F41&lt;($W$30*$H41),($W$30*$H41)/$F41,($W$30*$H41)-SUM($X41:Y41)))</f>
        <v>3.7285586588848951</v>
      </c>
      <c r="AA41" s="85">
        <f>IF($F41&lt;=0,0,IF(SUM($X41:Z41)+($W$30*$H41)/$F41&lt;($W$30*$H41),($W$30*$H41)/$F41,($W$30*$H41)-SUM($X41:Z41)))</f>
        <v>3.7285586588848951</v>
      </c>
      <c r="AB41" s="85">
        <f>IF($F41&lt;=0,0,IF(SUM($X41:AA41)+($W$30*$H41)/$F41&lt;($W$30*$H41),($W$30*$H41)/$F41,($W$30*$H41)-SUM($X41:AA41)))</f>
        <v>3.7285586588848951</v>
      </c>
      <c r="AC41" s="85">
        <f>IF($F41&lt;=0,0,IF(SUM($X41:AB41)+($W$30*$H41)/$F41&lt;($W$30*$H41),($W$30*$H41)/$F41,($W$30*$H41)-SUM($X41:AB41)))</f>
        <v>3.7285586588848951</v>
      </c>
      <c r="AD41" s="85">
        <f>IF($F41&lt;=0,0,IF(SUM($X41:AC41)+($W$30*$H41)/$F41&lt;($W$30*$H41),($W$30*$H41)/$F41,($W$30*$H41)-SUM($X41:AC41)))</f>
        <v>3.7285586588848951</v>
      </c>
      <c r="AE41" s="85">
        <f>IF($F41&lt;=0,0,IF(SUM($X41:AD41)+($W$30*$H41)/$F41&lt;($W$30*$H41),($W$30*$H41)/$F41,($W$30*$H41)-SUM($X41:AD41)))</f>
        <v>3.7285586588848951</v>
      </c>
      <c r="AF41" s="85">
        <f>IF($F41&lt;=0,0,IF(SUM($X41:AE41)+($W$30*$H41)/$F41&lt;($W$30*$H41),($W$30*$H41)/$F41,($W$30*$H41)-SUM($X41:AE41)))</f>
        <v>3.7285586588848951</v>
      </c>
      <c r="AG41" s="85">
        <f>IF($F41&lt;=0,0,IF(SUM($X41:AF41)+($W$30*$H41)/$F41&lt;($W$30*$H41),($W$30*$H41)/$F41,($W$30*$H41)-SUM($X41:AF41)))</f>
        <v>3.7285586588848951</v>
      </c>
    </row>
    <row r="42" spans="3:33">
      <c r="C42" s="70">
        <v>2</v>
      </c>
      <c r="D42" s="633" t="s">
        <v>1411</v>
      </c>
      <c r="E42" s="634"/>
      <c r="F42" s="634">
        <v>18</v>
      </c>
      <c r="G42" s="635">
        <v>38.522318134354329</v>
      </c>
      <c r="H42" s="88">
        <f t="shared" ref="H42:H69" si="10">+IF(ISERROR(G42/$G$82),"",G42/$G$82)</f>
        <v>7.0194556592918858E-2</v>
      </c>
      <c r="I42" s="559">
        <f t="shared" ref="I42:I62" si="11">G42/$G$82*F42</f>
        <v>1.2635020186725394</v>
      </c>
      <c r="M42" s="232"/>
      <c r="N42" s="559"/>
      <c r="O42" s="559"/>
      <c r="P42" s="559"/>
      <c r="V42" s="559"/>
      <c r="W42" s="103"/>
      <c r="X42" s="103">
        <f t="shared" ref="X42:X80" si="12">IF(F42&lt;=0,0,($W$30*H42)/MAX(F42,1))</f>
        <v>1.9989941527821111</v>
      </c>
      <c r="Y42" s="103">
        <f>IF($F42&lt;=0,0,IF(SUM($X42:X42)+($W$30*$H42)/$F42&lt;($W$30*$H42),($W$30*$H42)/$F42,($W$30*$H42)-SUM($X42:X42)))</f>
        <v>1.9989941527821111</v>
      </c>
      <c r="Z42" s="85">
        <f>IF($F42&lt;=0,0,IF(SUM($X42:Y42)+($W$30*$H42)/$F42&lt;($W$30*$H42),($W$30*$H42)/$F42,($W$30*$H42)-SUM($X42:Y42)))</f>
        <v>1.9989941527821111</v>
      </c>
      <c r="AA42" s="85">
        <f>IF($F42&lt;=0,0,IF(SUM($X42:Z42)+($W$30*$H42)/$F42&lt;($W$30*$H42),($W$30*$H42)/$F42,($W$30*$H42)-SUM($X42:Z42)))</f>
        <v>1.9989941527821111</v>
      </c>
      <c r="AB42" s="85">
        <f>IF($F42&lt;=0,0,IF(SUM($X42:AA42)+($W$30*$H42)/$F42&lt;($W$30*$H42),($W$30*$H42)/$F42,($W$30*$H42)-SUM($X42:AA42)))</f>
        <v>1.9989941527821111</v>
      </c>
      <c r="AC42" s="85">
        <f>IF($F42&lt;=0,0,IF(SUM($X42:AB42)+($W$30*$H42)/$F42&lt;($W$30*$H42),($W$30*$H42)/$F42,($W$30*$H42)-SUM($X42:AB42)))</f>
        <v>1.9989941527821111</v>
      </c>
      <c r="AD42" s="85">
        <f>IF($F42&lt;=0,0,IF(SUM($X42:AC42)+($W$30*$H42)/$F42&lt;($W$30*$H42),($W$30*$H42)/$F42,($W$30*$H42)-SUM($X42:AC42)))</f>
        <v>1.9989941527821111</v>
      </c>
      <c r="AE42" s="85">
        <f>IF($F42&lt;=0,0,IF(SUM($X42:AD42)+($W$30*$H42)/$F42&lt;($W$30*$H42),($W$30*$H42)/$F42,($W$30*$H42)-SUM($X42:AD42)))</f>
        <v>1.9989941527821111</v>
      </c>
      <c r="AF42" s="85">
        <f>IF($F42&lt;=0,0,IF(SUM($X42:AE42)+($W$30*$H42)/$F42&lt;($W$30*$H42),($W$30*$H42)/$F42,($W$30*$H42)-SUM($X42:AE42)))</f>
        <v>1.9989941527821111</v>
      </c>
      <c r="AG42" s="85">
        <f>IF($F42&lt;=0,0,IF(SUM($X42:AF42)+($W$30*$H42)/$F42&lt;($W$30*$H42),($W$30*$H42)/$F42,($W$30*$H42)-SUM($X42:AF42)))</f>
        <v>1.9989941527821111</v>
      </c>
    </row>
    <row r="43" spans="3:33">
      <c r="C43" s="70">
        <v>3</v>
      </c>
      <c r="D43" s="633" t="s">
        <v>1412</v>
      </c>
      <c r="E43" s="634"/>
      <c r="F43" s="634">
        <v>23</v>
      </c>
      <c r="G43" s="635">
        <v>69.625038680484607</v>
      </c>
      <c r="H43" s="88">
        <f t="shared" si="10"/>
        <v>0.12686927876188564</v>
      </c>
      <c r="I43" s="559">
        <f t="shared" si="11"/>
        <v>2.9179934115233697</v>
      </c>
      <c r="N43" s="559"/>
      <c r="O43" s="559"/>
      <c r="P43" s="559"/>
      <c r="V43" s="559"/>
      <c r="W43" s="103"/>
      <c r="X43" s="103">
        <f t="shared" si="12"/>
        <v>2.8275430689902437</v>
      </c>
      <c r="Y43" s="103">
        <f>IF($F43&lt;=0,0,IF(SUM($X43:X43)+($W$30*$H43)/$F43&lt;($W$30*$H43),($W$30*$H43)/$F43,($W$30*$H43)-SUM($X43:X43)))</f>
        <v>2.8275430689902437</v>
      </c>
      <c r="Z43" s="85">
        <f>IF($F43&lt;=0,0,IF(SUM($X43:Y43)+($W$30*$H43)/$F43&lt;($W$30*$H43),($W$30*$H43)/$F43,($W$30*$H43)-SUM($X43:Y43)))</f>
        <v>2.8275430689902437</v>
      </c>
      <c r="AA43" s="85">
        <f>IF($F43&lt;=0,0,IF(SUM($X43:Z43)+($W$30*$H43)/$F43&lt;($W$30*$H43),($W$30*$H43)/$F43,($W$30*$H43)-SUM($X43:Z43)))</f>
        <v>2.8275430689902437</v>
      </c>
      <c r="AB43" s="85">
        <f>IF($F43&lt;=0,0,IF(SUM($X43:AA43)+($W$30*$H43)/$F43&lt;($W$30*$H43),($W$30*$H43)/$F43,($W$30*$H43)-SUM($X43:AA43)))</f>
        <v>2.8275430689902437</v>
      </c>
      <c r="AC43" s="85">
        <f>IF($F43&lt;=0,0,IF(SUM($X43:AB43)+($W$30*$H43)/$F43&lt;($W$30*$H43),($W$30*$H43)/$F43,($W$30*$H43)-SUM($X43:AB43)))</f>
        <v>2.8275430689902437</v>
      </c>
      <c r="AD43" s="85">
        <f>IF($F43&lt;=0,0,IF(SUM($X43:AC43)+($W$30*$H43)/$F43&lt;($W$30*$H43),($W$30*$H43)/$F43,($W$30*$H43)-SUM($X43:AC43)))</f>
        <v>2.8275430689902437</v>
      </c>
      <c r="AE43" s="85">
        <f>IF($F43&lt;=0,0,IF(SUM($X43:AD43)+($W$30*$H43)/$F43&lt;($W$30*$H43),($W$30*$H43)/$F43,($W$30*$H43)-SUM($X43:AD43)))</f>
        <v>2.8275430689902437</v>
      </c>
      <c r="AF43" s="85">
        <f>IF($F43&lt;=0,0,IF(SUM($X43:AE43)+($W$30*$H43)/$F43&lt;($W$30*$H43),($W$30*$H43)/$F43,($W$30*$H43)-SUM($X43:AE43)))</f>
        <v>2.8275430689902437</v>
      </c>
      <c r="AG43" s="85">
        <f>IF($F43&lt;=0,0,IF(SUM($X43:AF43)+($W$30*$H43)/$F43&lt;($W$30*$H43),($W$30*$H43)/$F43,($W$30*$H43)-SUM($X43:AF43)))</f>
        <v>2.8275430689902437</v>
      </c>
    </row>
    <row r="44" spans="3:33">
      <c r="C44" s="70">
        <v>4</v>
      </c>
      <c r="D44" s="633" t="s">
        <v>1413</v>
      </c>
      <c r="E44" s="634"/>
      <c r="F44" s="634">
        <v>28.8</v>
      </c>
      <c r="G44" s="635">
        <v>83.941803921568621</v>
      </c>
      <c r="H44" s="88">
        <f t="shared" si="10"/>
        <v>0.15295698678708311</v>
      </c>
      <c r="I44" s="559">
        <f t="shared" si="11"/>
        <v>4.4051612194679937</v>
      </c>
      <c r="N44" s="559"/>
      <c r="O44" s="559"/>
      <c r="P44" s="559"/>
      <c r="V44" s="559"/>
      <c r="W44" s="103"/>
      <c r="X44" s="103">
        <f t="shared" si="12"/>
        <v>2.722434411721486</v>
      </c>
      <c r="Y44" s="103">
        <f>IF($F44&lt;=0,0,IF(SUM($X44:X44)+($W$30*$H44)/$F44&lt;($W$30*$H44),($W$30*$H44)/$F44,($W$30*$H44)-SUM($X44:X44)))</f>
        <v>2.722434411721486</v>
      </c>
      <c r="Z44" s="85">
        <f>IF($F44&lt;=0,0,IF(SUM($X44:Y44)+($W$30*$H44)/$F44&lt;($W$30*$H44),($W$30*$H44)/$F44,($W$30*$H44)-SUM($X44:Y44)))</f>
        <v>2.722434411721486</v>
      </c>
      <c r="AA44" s="85">
        <f>IF($F44&lt;=0,0,IF(SUM($X44:Z44)+($W$30*$H44)/$F44&lt;($W$30*$H44),($W$30*$H44)/$F44,($W$30*$H44)-SUM($X44:Z44)))</f>
        <v>2.722434411721486</v>
      </c>
      <c r="AB44" s="85">
        <f>IF($F44&lt;=0,0,IF(SUM($X44:AA44)+($W$30*$H44)/$F44&lt;($W$30*$H44),($W$30*$H44)/$F44,($W$30*$H44)-SUM($X44:AA44)))</f>
        <v>2.722434411721486</v>
      </c>
      <c r="AC44" s="85">
        <f>IF($F44&lt;=0,0,IF(SUM($X44:AB44)+($W$30*$H44)/$F44&lt;($W$30*$H44),($W$30*$H44)/$F44,($W$30*$H44)-SUM($X44:AB44)))</f>
        <v>2.722434411721486</v>
      </c>
      <c r="AD44" s="85">
        <f>IF($F44&lt;=0,0,IF(SUM($X44:AC44)+($W$30*$H44)/$F44&lt;($W$30*$H44),($W$30*$H44)/$F44,($W$30*$H44)-SUM($X44:AC44)))</f>
        <v>2.722434411721486</v>
      </c>
      <c r="AE44" s="85">
        <f>IF($F44&lt;=0,0,IF(SUM($X44:AD44)+($W$30*$H44)/$F44&lt;($W$30*$H44),($W$30*$H44)/$F44,($W$30*$H44)-SUM($X44:AD44)))</f>
        <v>2.722434411721486</v>
      </c>
      <c r="AF44" s="85">
        <f>IF($F44&lt;=0,0,IF(SUM($X44:AE44)+($W$30*$H44)/$F44&lt;($W$30*$H44),($W$30*$H44)/$F44,($W$30*$H44)-SUM($X44:AE44)))</f>
        <v>2.722434411721486</v>
      </c>
      <c r="AG44" s="85">
        <f>IF($F44&lt;=0,0,IF(SUM($X44:AF44)+($W$30*$H44)/$F44&lt;($W$30*$H44),($W$30*$H44)/$F44,($W$30*$H44)-SUM($X44:AF44)))</f>
        <v>2.722434411721486</v>
      </c>
    </row>
    <row r="45" spans="3:33">
      <c r="C45" s="70">
        <v>5</v>
      </c>
      <c r="D45" s="633" t="s">
        <v>1414</v>
      </c>
      <c r="E45" s="634"/>
      <c r="F45" s="634">
        <v>36</v>
      </c>
      <c r="G45" s="635">
        <v>308.80269890455617</v>
      </c>
      <c r="H45" s="88">
        <f t="shared" si="10"/>
        <v>0.56269377270343923</v>
      </c>
      <c r="I45" s="559">
        <f t="shared" si="11"/>
        <v>20.256975817323813</v>
      </c>
      <c r="N45" s="559"/>
      <c r="O45" s="559"/>
      <c r="P45" s="559"/>
      <c r="V45" s="559"/>
      <c r="W45" s="103"/>
      <c r="X45" s="103">
        <f t="shared" si="12"/>
        <v>8.0121708579504869</v>
      </c>
      <c r="Y45" s="103">
        <f>IF($F45&lt;=0,0,IF(SUM($X45:X45)+($W$30*$H45)/$F45&lt;($W$30*$H45),($W$30*$H45)/$F45,($W$30*$H45)-SUM($X45:X45)))</f>
        <v>8.0121708579504869</v>
      </c>
      <c r="Z45" s="85">
        <f>IF($F45&lt;=0,0,IF(SUM($X45:Y45)+($W$30*$H45)/$F45&lt;($W$30*$H45),($W$30*$H45)/$F45,($W$30*$H45)-SUM($X45:Y45)))</f>
        <v>8.0121708579504869</v>
      </c>
      <c r="AA45" s="85">
        <f>IF($F45&lt;=0,0,IF(SUM($X45:Z45)+($W$30*$H45)/$F45&lt;($W$30*$H45),($W$30*$H45)/$F45,($W$30*$H45)-SUM($X45:Z45)))</f>
        <v>8.0121708579504869</v>
      </c>
      <c r="AB45" s="85">
        <f>IF($F45&lt;=0,0,IF(SUM($X45:AA45)+($W$30*$H45)/$F45&lt;($W$30*$H45),($W$30*$H45)/$F45,($W$30*$H45)-SUM($X45:AA45)))</f>
        <v>8.0121708579504869</v>
      </c>
      <c r="AC45" s="85">
        <f>IF($F45&lt;=0,0,IF(SUM($X45:AB45)+($W$30*$H45)/$F45&lt;($W$30*$H45),($W$30*$H45)/$F45,($W$30*$H45)-SUM($X45:AB45)))</f>
        <v>8.0121708579504869</v>
      </c>
      <c r="AD45" s="85">
        <f>IF($F45&lt;=0,0,IF(SUM($X45:AC45)+($W$30*$H45)/$F45&lt;($W$30*$H45),($W$30*$H45)/$F45,($W$30*$H45)-SUM($X45:AC45)))</f>
        <v>8.0121708579504869</v>
      </c>
      <c r="AE45" s="85">
        <f>IF($F45&lt;=0,0,IF(SUM($X45:AD45)+($W$30*$H45)/$F45&lt;($W$30*$H45),($W$30*$H45)/$F45,($W$30*$H45)-SUM($X45:AD45)))</f>
        <v>8.0121708579504869</v>
      </c>
      <c r="AF45" s="85">
        <f>IF($F45&lt;=0,0,IF(SUM($X45:AE45)+($W$30*$H45)/$F45&lt;($W$30*$H45),($W$30*$H45)/$F45,($W$30*$H45)-SUM($X45:AE45)))</f>
        <v>8.0121708579504869</v>
      </c>
      <c r="AG45" s="85">
        <f>IF($F45&lt;=0,0,IF(SUM($X45:AF45)+($W$30*$H45)/$F45&lt;($W$30*$H45),($W$30*$H45)/$F45,($W$30*$H45)-SUM($X45:AF45)))</f>
        <v>8.0121708579504869</v>
      </c>
    </row>
    <row r="46" spans="3:33">
      <c r="C46" s="70">
        <v>6</v>
      </c>
      <c r="D46" s="633"/>
      <c r="E46" s="634"/>
      <c r="F46" s="634"/>
      <c r="G46" s="635"/>
      <c r="H46" s="88">
        <f t="shared" si="10"/>
        <v>0</v>
      </c>
      <c r="I46" s="559">
        <f t="shared" si="11"/>
        <v>0</v>
      </c>
      <c r="N46" s="559"/>
      <c r="O46" s="559"/>
      <c r="P46" s="559"/>
      <c r="V46" s="559"/>
      <c r="W46" s="103"/>
      <c r="X46" s="103">
        <f t="shared" si="12"/>
        <v>0</v>
      </c>
      <c r="Y46" s="103">
        <f>IF($F46&lt;=0,0,IF(SUM($X46:X46)+($W$30*$H46)/$F46&lt;($W$30*$H46),($W$30*$H46)/$F46,($W$30*$H46)-SUM($X46:X46)))</f>
        <v>0</v>
      </c>
      <c r="Z46" s="85">
        <f>IF($F46&lt;=0,0,IF(SUM($X46:Y46)+($W$30*$H46)/$F46&lt;($W$30*$H46),($W$30*$H46)/$F46,($W$30*$H46)-SUM($X46:Y46)))</f>
        <v>0</v>
      </c>
      <c r="AA46" s="85">
        <f>IF($F46&lt;=0,0,IF(SUM($X46:Z46)+($W$30*$H46)/$F46&lt;($W$30*$H46),($W$30*$H46)/$F46,($W$30*$H46)-SUM($X46:Z46)))</f>
        <v>0</v>
      </c>
      <c r="AB46" s="85">
        <f>IF($F46&lt;=0,0,IF(SUM($X46:AA46)+($W$30*$H46)/$F46&lt;($W$30*$H46),($W$30*$H46)/$F46,($W$30*$H46)-SUM($X46:AA46)))</f>
        <v>0</v>
      </c>
      <c r="AC46" s="85">
        <f>IF($F46&lt;=0,0,IF(SUM($X46:AB46)+($W$30*$H46)/$F46&lt;($W$30*$H46),($W$30*$H46)/$F46,($W$30*$H46)-SUM($X46:AB46)))</f>
        <v>0</v>
      </c>
      <c r="AD46" s="85">
        <f>IF($F46&lt;=0,0,IF(SUM($X46:AC46)+($W$30*$H46)/$F46&lt;($W$30*$H46),($W$30*$H46)/$F46,($W$30*$H46)-SUM($X46:AC46)))</f>
        <v>0</v>
      </c>
      <c r="AE46" s="85">
        <f>IF($F46&lt;=0,0,IF(SUM($X46:AD46)+($W$30*$H46)/$F46&lt;($W$30*$H46),($W$30*$H46)/$F46,($W$30*$H46)-SUM($X46:AD46)))</f>
        <v>0</v>
      </c>
      <c r="AF46" s="85">
        <f>IF($F46&lt;=0,0,IF(SUM($X46:AE46)+($W$30*$H46)/$F46&lt;($W$30*$H46),($W$30*$H46)/$F46,($W$30*$H46)-SUM($X46:AE46)))</f>
        <v>0</v>
      </c>
      <c r="AG46" s="85">
        <f>IF($F46&lt;=0,0,IF(SUM($X46:AF46)+($W$30*$H46)/$F46&lt;($W$30*$H46),($W$30*$H46)/$F46,($W$30*$H46)-SUM($X46:AF46)))</f>
        <v>0</v>
      </c>
    </row>
    <row r="47" spans="3:33">
      <c r="C47" s="70">
        <v>7</v>
      </c>
      <c r="D47" s="633"/>
      <c r="E47" s="634"/>
      <c r="F47" s="635"/>
      <c r="G47" s="635"/>
      <c r="H47" s="88">
        <f t="shared" si="10"/>
        <v>0</v>
      </c>
      <c r="I47" s="559">
        <f>G47/$G$82*F47</f>
        <v>0</v>
      </c>
      <c r="N47" s="559"/>
      <c r="O47" s="559"/>
      <c r="P47" s="559"/>
      <c r="V47" s="559"/>
      <c r="W47" s="559"/>
      <c r="X47" s="559">
        <f t="shared" si="12"/>
        <v>0</v>
      </c>
      <c r="Y47" s="85">
        <f>IF($F47&lt;=0,0,IF(SUM($X47:X47)+($W$30*$H47)/$F47&lt;($W$30*$H47),($W$30*$H47)/$F47,($W$30*$H47)-SUM($X47:X47)))</f>
        <v>0</v>
      </c>
      <c r="Z47" s="85">
        <f>IF($F47&lt;=0,0,IF(SUM($X47:Y47)+($W$30*$H47)/$F47&lt;($W$30*$H47),($W$30*$H47)/$F47,($W$30*$H47)-SUM($X47:Y47)))</f>
        <v>0</v>
      </c>
      <c r="AA47" s="85">
        <f>IF($F47&lt;=0,0,IF(SUM($X47:Z47)+($W$30*$H47)/$F47&lt;($W$30*$H47),($W$30*$H47)/$F47,($W$30*$H47)-SUM($X47:Z47)))</f>
        <v>0</v>
      </c>
      <c r="AB47" s="85">
        <f>IF($F47&lt;=0,0,IF(SUM($X47:AA47)+($W$30*$H47)/$F47&lt;($W$30*$H47),($W$30*$H47)/$F47,($W$30*$H47)-SUM($X47:AA47)))</f>
        <v>0</v>
      </c>
      <c r="AC47" s="85">
        <f>IF($F47&lt;=0,0,IF(SUM($X47:AB47)+($W$30*$H47)/$F47&lt;($W$30*$H47),($W$30*$H47)/$F47,($W$30*$H47)-SUM($X47:AB47)))</f>
        <v>0</v>
      </c>
      <c r="AD47" s="85">
        <f>IF($F47&lt;=0,0,IF(SUM($X47:AC47)+($W$30*$H47)/$F47&lt;($W$30*$H47),($W$30*$H47)/$F47,($W$30*$H47)-SUM($X47:AC47)))</f>
        <v>0</v>
      </c>
      <c r="AE47" s="85">
        <f>IF($F47&lt;=0,0,IF(SUM($X47:AD47)+($W$30*$H47)/$F47&lt;($W$30*$H47),($W$30*$H47)/$F47,($W$30*$H47)-SUM($X47:AD47)))</f>
        <v>0</v>
      </c>
      <c r="AF47" s="85">
        <f>IF($F47&lt;=0,0,IF(SUM($X47:AE47)+($W$30*$H47)/$F47&lt;($W$30*$H47),($W$30*$H47)/$F47,($W$30*$H47)-SUM($X47:AE47)))</f>
        <v>0</v>
      </c>
      <c r="AG47" s="85">
        <f>IF($F47&lt;=0,0,IF(SUM($X47:AF47)+($W$30*$H47)/$F47&lt;($W$30*$H47),($W$30*$H47)/$F47,($W$30*$H47)-SUM($X47:AF47)))</f>
        <v>0</v>
      </c>
    </row>
    <row r="48" spans="3:33">
      <c r="C48" s="70">
        <v>8</v>
      </c>
      <c r="D48" s="633"/>
      <c r="E48" s="634"/>
      <c r="F48" s="635"/>
      <c r="G48" s="635"/>
      <c r="H48" s="88">
        <f t="shared" si="10"/>
        <v>0</v>
      </c>
      <c r="I48" s="559">
        <f t="shared" si="11"/>
        <v>0</v>
      </c>
      <c r="N48" s="559"/>
      <c r="O48" s="559"/>
      <c r="P48" s="559"/>
      <c r="V48" s="559"/>
      <c r="W48" s="559"/>
      <c r="X48" s="559">
        <f t="shared" si="12"/>
        <v>0</v>
      </c>
      <c r="Y48" s="85">
        <f>IF($F48&lt;=0,0,IF(SUM($X48:X48)+($W$30*$H48)/$F48&lt;($W$30*$H48),($W$30*$H48)/$F48,($W$30*$H48)-SUM($X48:X48)))</f>
        <v>0</v>
      </c>
      <c r="Z48" s="85">
        <f>IF($F48&lt;=0,0,IF(SUM($X48:Y48)+($W$30*$H48)/$F48&lt;($W$30*$H48),($W$30*$H48)/$F48,($W$30*$H48)-SUM($X48:Y48)))</f>
        <v>0</v>
      </c>
      <c r="AA48" s="85">
        <f>IF($F48&lt;=0,0,IF(SUM($X48:Z48)+($W$30*$H48)/$F48&lt;($W$30*$H48),($W$30*$H48)/$F48,($W$30*$H48)-SUM($X48:Z48)))</f>
        <v>0</v>
      </c>
      <c r="AB48" s="85">
        <f>IF($F48&lt;=0,0,IF(SUM($X48:AA48)+($W$30*$H48)/$F48&lt;($W$30*$H48),($W$30*$H48)/$F48,($W$30*$H48)-SUM($X48:AA48)))</f>
        <v>0</v>
      </c>
      <c r="AC48" s="85">
        <f>IF($F48&lt;=0,0,IF(SUM($X48:AB48)+($W$30*$H48)/$F48&lt;($W$30*$H48),($W$30*$H48)/$F48,($W$30*$H48)-SUM($X48:AB48)))</f>
        <v>0</v>
      </c>
      <c r="AD48" s="85">
        <f>IF($F48&lt;=0,0,IF(SUM($X48:AC48)+($W$30*$H48)/$F48&lt;($W$30*$H48),($W$30*$H48)/$F48,($W$30*$H48)-SUM($X48:AC48)))</f>
        <v>0</v>
      </c>
      <c r="AE48" s="85">
        <f>IF($F48&lt;=0,0,IF(SUM($X48:AD48)+($W$30*$H48)/$F48&lt;($W$30*$H48),($W$30*$H48)/$F48,($W$30*$H48)-SUM($X48:AD48)))</f>
        <v>0</v>
      </c>
      <c r="AF48" s="85">
        <f>IF($F48&lt;=0,0,IF(SUM($X48:AE48)+($W$30*$H48)/$F48&lt;($W$30*$H48),($W$30*$H48)/$F48,($W$30*$H48)-SUM($X48:AE48)))</f>
        <v>0</v>
      </c>
      <c r="AG48" s="85">
        <f>IF($F48&lt;=0,0,IF(SUM($X48:AF48)+($W$30*$H48)/$F48&lt;($W$30*$H48),($W$30*$H48)/$F48,($W$30*$H48)-SUM($X48:AF48)))</f>
        <v>0</v>
      </c>
    </row>
    <row r="49" spans="3:33">
      <c r="C49" s="70">
        <v>9</v>
      </c>
      <c r="D49" s="633"/>
      <c r="E49" s="634"/>
      <c r="F49" s="635"/>
      <c r="G49" s="635"/>
      <c r="H49" s="88">
        <f t="shared" si="10"/>
        <v>0</v>
      </c>
      <c r="I49" s="559">
        <f t="shared" si="11"/>
        <v>0</v>
      </c>
      <c r="N49" s="559"/>
      <c r="O49" s="559"/>
      <c r="P49" s="559"/>
      <c r="V49" s="559"/>
      <c r="W49" s="559"/>
      <c r="X49" s="559">
        <f t="shared" si="12"/>
        <v>0</v>
      </c>
      <c r="Y49" s="85">
        <f>IF($F49&lt;=0,0,IF(SUM($X49:X49)+($W$30*$H49)/$F49&lt;($W$30*$H49),($W$30*$H49)/$F49,($W$30*$H49)-SUM($X49:X49)))</f>
        <v>0</v>
      </c>
      <c r="Z49" s="85">
        <f>IF($F49&lt;=0,0,IF(SUM($X49:Y49)+($W$30*$H49)/$F49&lt;($W$30*$H49),($W$30*$H49)/$F49,($W$30*$H49)-SUM($X49:Y49)))</f>
        <v>0</v>
      </c>
      <c r="AA49" s="85">
        <f>IF($F49&lt;=0,0,IF(SUM($X49:Z49)+($W$30*$H49)/$F49&lt;($W$30*$H49),($W$30*$H49)/$F49,($W$30*$H49)-SUM($X49:Z49)))</f>
        <v>0</v>
      </c>
      <c r="AB49" s="85">
        <f>IF($F49&lt;=0,0,IF(SUM($X49:AA49)+($W$30*$H49)/$F49&lt;($W$30*$H49),($W$30*$H49)/$F49,($W$30*$H49)-SUM($X49:AA49)))</f>
        <v>0</v>
      </c>
      <c r="AC49" s="85">
        <f>IF($F49&lt;=0,0,IF(SUM($X49:AB49)+($W$30*$H49)/$F49&lt;($W$30*$H49),($W$30*$H49)/$F49,($W$30*$H49)-SUM($X49:AB49)))</f>
        <v>0</v>
      </c>
      <c r="AD49" s="85">
        <f>IF($F49&lt;=0,0,IF(SUM($X49:AC49)+($W$30*$H49)/$F49&lt;($W$30*$H49),($W$30*$H49)/$F49,($W$30*$H49)-SUM($X49:AC49)))</f>
        <v>0</v>
      </c>
      <c r="AE49" s="85">
        <f>IF($F49&lt;=0,0,IF(SUM($X49:AD49)+($W$30*$H49)/$F49&lt;($W$30*$H49),($W$30*$H49)/$F49,($W$30*$H49)-SUM($X49:AD49)))</f>
        <v>0</v>
      </c>
      <c r="AF49" s="85">
        <f>IF($F49&lt;=0,0,IF(SUM($X49:AE49)+($W$30*$H49)/$F49&lt;($W$30*$H49),($W$30*$H49)/$F49,($W$30*$H49)-SUM($X49:AE49)))</f>
        <v>0</v>
      </c>
      <c r="AG49" s="85">
        <f>IF($F49&lt;=0,0,IF(SUM($X49:AF49)+($W$30*$H49)/$F49&lt;($W$30*$H49),($W$30*$H49)/$F49,($W$30*$H49)-SUM($X49:AF49)))</f>
        <v>0</v>
      </c>
    </row>
    <row r="50" spans="3:33">
      <c r="C50" s="70">
        <v>10</v>
      </c>
      <c r="D50" s="633"/>
      <c r="E50" s="634"/>
      <c r="F50" s="635"/>
      <c r="G50" s="635"/>
      <c r="H50" s="88">
        <f t="shared" si="10"/>
        <v>0</v>
      </c>
      <c r="I50" s="559">
        <f t="shared" si="11"/>
        <v>0</v>
      </c>
      <c r="N50" s="559"/>
      <c r="O50" s="559"/>
      <c r="P50" s="559"/>
      <c r="V50" s="559"/>
      <c r="W50" s="559"/>
      <c r="X50" s="559">
        <f t="shared" si="12"/>
        <v>0</v>
      </c>
      <c r="Y50" s="85">
        <f>IF($F50&lt;=0,0,IF(SUM($X50:X50)+($W$30*$H50)/$F50&lt;($W$30*$H50),($W$30*$H50)/$F50,($W$30*$H50)-SUM($X50:X50)))</f>
        <v>0</v>
      </c>
      <c r="Z50" s="85">
        <f>IF($F50&lt;=0,0,IF(SUM($X50:Y50)+($W$30*$H50)/$F50&lt;($W$30*$H50),($W$30*$H50)/$F50,($W$30*$H50)-SUM($X50:Y50)))</f>
        <v>0</v>
      </c>
      <c r="AA50" s="85">
        <f>IF($F50&lt;=0,0,IF(SUM($X50:Z50)+($W$30*$H50)/$F50&lt;($W$30*$H50),($W$30*$H50)/$F50,($W$30*$H50)-SUM($X50:Z50)))</f>
        <v>0</v>
      </c>
      <c r="AB50" s="85">
        <f>IF($F50&lt;=0,0,IF(SUM($X50:AA50)+($W$30*$H50)/$F50&lt;($W$30*$H50),($W$30*$H50)/$F50,($W$30*$H50)-SUM($X50:AA50)))</f>
        <v>0</v>
      </c>
      <c r="AC50" s="85">
        <f>IF($F50&lt;=0,0,IF(SUM($X50:AB50)+($W$30*$H50)/$F50&lt;($W$30*$H50),($W$30*$H50)/$F50,($W$30*$H50)-SUM($X50:AB50)))</f>
        <v>0</v>
      </c>
      <c r="AD50" s="85">
        <f>IF($F50&lt;=0,0,IF(SUM($X50:AC50)+($W$30*$H50)/$F50&lt;($W$30*$H50),($W$30*$H50)/$F50,($W$30*$H50)-SUM($X50:AC50)))</f>
        <v>0</v>
      </c>
      <c r="AE50" s="85">
        <f>IF($F50&lt;=0,0,IF(SUM($X50:AD50)+($W$30*$H50)/$F50&lt;($W$30*$H50),($W$30*$H50)/$F50,($W$30*$H50)-SUM($X50:AD50)))</f>
        <v>0</v>
      </c>
      <c r="AF50" s="85">
        <f>IF($F50&lt;=0,0,IF(SUM($X50:AE50)+($W$30*$H50)/$F50&lt;($W$30*$H50),($W$30*$H50)/$F50,($W$30*$H50)-SUM($X50:AE50)))</f>
        <v>0</v>
      </c>
      <c r="AG50" s="85">
        <f>IF($F50&lt;=0,0,IF(SUM($X50:AF50)+($W$30*$H50)/$F50&lt;($W$30*$H50),($W$30*$H50)/$F50,($W$30*$H50)-SUM($X50:AF50)))</f>
        <v>0</v>
      </c>
    </row>
    <row r="51" spans="3:33">
      <c r="C51" s="70">
        <v>11</v>
      </c>
      <c r="D51" s="633"/>
      <c r="E51" s="634"/>
      <c r="F51" s="635"/>
      <c r="G51" s="635"/>
      <c r="H51" s="88">
        <f t="shared" si="10"/>
        <v>0</v>
      </c>
      <c r="I51" s="559">
        <f t="shared" si="11"/>
        <v>0</v>
      </c>
      <c r="N51" s="559"/>
      <c r="O51" s="559"/>
      <c r="P51" s="559"/>
      <c r="V51" s="559"/>
      <c r="W51" s="559"/>
      <c r="X51" s="559">
        <f t="shared" si="12"/>
        <v>0</v>
      </c>
      <c r="Y51" s="85">
        <f>IF($F51&lt;=0,0,IF(SUM($X51:X51)+($W$30*$H51)/$F51&lt;($W$30*$H51),($W$30*$H51)/$F51,($W$30*$H51)-SUM($X51:X51)))</f>
        <v>0</v>
      </c>
      <c r="Z51" s="85">
        <f>IF($F51&lt;=0,0,IF(SUM($X51:Y51)+($W$30*$H51)/$F51&lt;($W$30*$H51),($W$30*$H51)/$F51,($W$30*$H51)-SUM($X51:Y51)))</f>
        <v>0</v>
      </c>
      <c r="AA51" s="85">
        <f>IF($F51&lt;=0,0,IF(SUM($X51:Z51)+($W$30*$H51)/$F51&lt;($W$30*$H51),($W$30*$H51)/$F51,($W$30*$H51)-SUM($X51:Z51)))</f>
        <v>0</v>
      </c>
      <c r="AB51" s="85">
        <f>IF($F51&lt;=0,0,IF(SUM($X51:AA51)+($W$30*$H51)/$F51&lt;($W$30*$H51),($W$30*$H51)/$F51,($W$30*$H51)-SUM($X51:AA51)))</f>
        <v>0</v>
      </c>
      <c r="AC51" s="85">
        <f>IF($F51&lt;=0,0,IF(SUM($X51:AB51)+($W$30*$H51)/$F51&lt;($W$30*$H51),($W$30*$H51)/$F51,($W$30*$H51)-SUM($X51:AB51)))</f>
        <v>0</v>
      </c>
      <c r="AD51" s="85">
        <f>IF($F51&lt;=0,0,IF(SUM($X51:AC51)+($W$30*$H51)/$F51&lt;($W$30*$H51),($W$30*$H51)/$F51,($W$30*$H51)-SUM($X51:AC51)))</f>
        <v>0</v>
      </c>
      <c r="AE51" s="85">
        <f>IF($F51&lt;=0,0,IF(SUM($X51:AD51)+($W$30*$H51)/$F51&lt;($W$30*$H51),($W$30*$H51)/$F51,($W$30*$H51)-SUM($X51:AD51)))</f>
        <v>0</v>
      </c>
      <c r="AF51" s="85">
        <f>IF($F51&lt;=0,0,IF(SUM($X51:AE51)+($W$30*$H51)/$F51&lt;($W$30*$H51),($W$30*$H51)/$F51,($W$30*$H51)-SUM($X51:AE51)))</f>
        <v>0</v>
      </c>
      <c r="AG51" s="85">
        <f>IF($F51&lt;=0,0,IF(SUM($X51:AF51)+($W$30*$H51)/$F51&lt;($W$30*$H51),($W$30*$H51)/$F51,($W$30*$H51)-SUM($X51:AF51)))</f>
        <v>0</v>
      </c>
    </row>
    <row r="52" spans="3:33">
      <c r="C52" s="70">
        <v>12</v>
      </c>
      <c r="D52" s="633"/>
      <c r="E52" s="634"/>
      <c r="F52" s="635"/>
      <c r="G52" s="635"/>
      <c r="H52" s="88">
        <f t="shared" si="10"/>
        <v>0</v>
      </c>
      <c r="I52" s="559">
        <f t="shared" si="11"/>
        <v>0</v>
      </c>
      <c r="N52" s="559"/>
      <c r="O52" s="559"/>
      <c r="P52" s="559"/>
      <c r="V52" s="559"/>
      <c r="W52" s="559"/>
      <c r="X52" s="559">
        <f t="shared" si="12"/>
        <v>0</v>
      </c>
      <c r="Y52" s="85">
        <f>IF($F52&lt;=0,0,IF(SUM($X52:X52)+($W$30*$H52)/$F52&lt;($W$30*$H52),($W$30*$H52)/$F52,($W$30*$H52)-SUM($X52:X52)))</f>
        <v>0</v>
      </c>
      <c r="Z52" s="85">
        <f>IF($F52&lt;=0,0,IF(SUM($X52:Y52)+($W$30*$H52)/$F52&lt;($W$30*$H52),($W$30*$H52)/$F52,($W$30*$H52)-SUM($X52:Y52)))</f>
        <v>0</v>
      </c>
      <c r="AA52" s="85">
        <f>IF($F52&lt;=0,0,IF(SUM($X52:Z52)+($W$30*$H52)/$F52&lt;($W$30*$H52),($W$30*$H52)/$F52,($W$30*$H52)-SUM($X52:Z52)))</f>
        <v>0</v>
      </c>
      <c r="AB52" s="85">
        <f>IF($F52&lt;=0,0,IF(SUM($X52:AA52)+($W$30*$H52)/$F52&lt;($W$30*$H52),($W$30*$H52)/$F52,($W$30*$H52)-SUM($X52:AA52)))</f>
        <v>0</v>
      </c>
      <c r="AC52" s="85">
        <f>IF($F52&lt;=0,0,IF(SUM($X52:AB52)+($W$30*$H52)/$F52&lt;($W$30*$H52),($W$30*$H52)/$F52,($W$30*$H52)-SUM($X52:AB52)))</f>
        <v>0</v>
      </c>
      <c r="AD52" s="85">
        <f>IF($F52&lt;=0,0,IF(SUM($X52:AC52)+($W$30*$H52)/$F52&lt;($W$30*$H52),($W$30*$H52)/$F52,($W$30*$H52)-SUM($X52:AC52)))</f>
        <v>0</v>
      </c>
      <c r="AE52" s="85">
        <f>IF($F52&lt;=0,0,IF(SUM($X52:AD52)+($W$30*$H52)/$F52&lt;($W$30*$H52),($W$30*$H52)/$F52,($W$30*$H52)-SUM($X52:AD52)))</f>
        <v>0</v>
      </c>
      <c r="AF52" s="85">
        <f>IF($F52&lt;=0,0,IF(SUM($X52:AE52)+($W$30*$H52)/$F52&lt;($W$30*$H52),($W$30*$H52)/$F52,($W$30*$H52)-SUM($X52:AE52)))</f>
        <v>0</v>
      </c>
      <c r="AG52" s="85">
        <f>IF($F52&lt;=0,0,IF(SUM($X52:AF52)+($W$30*$H52)/$F52&lt;($W$30*$H52),($W$30*$H52)/$F52,($W$30*$H52)-SUM($X52:AF52)))</f>
        <v>0</v>
      </c>
    </row>
    <row r="53" spans="3:33">
      <c r="C53" s="70">
        <v>13</v>
      </c>
      <c r="D53" s="633"/>
      <c r="E53" s="634"/>
      <c r="F53" s="635"/>
      <c r="G53" s="635"/>
      <c r="H53" s="88">
        <f t="shared" si="10"/>
        <v>0</v>
      </c>
      <c r="I53" s="559">
        <f t="shared" si="11"/>
        <v>0</v>
      </c>
      <c r="N53" s="559"/>
      <c r="O53" s="559"/>
      <c r="P53" s="559"/>
      <c r="V53" s="559"/>
      <c r="W53" s="559"/>
      <c r="X53" s="559">
        <f t="shared" si="12"/>
        <v>0</v>
      </c>
      <c r="Y53" s="85">
        <f>IF($F53&lt;=0,0,IF(SUM($X53:X53)+($W$30*$H53)/$F53&lt;($W$30*$H53),($W$30*$H53)/$F53,($W$30*$H53)-SUM($X53:X53)))</f>
        <v>0</v>
      </c>
      <c r="Z53" s="85">
        <f>IF($F53&lt;=0,0,IF(SUM($X53:Y53)+($W$30*$H53)/$F53&lt;($W$30*$H53),($W$30*$H53)/$F53,($W$30*$H53)-SUM($X53:Y53)))</f>
        <v>0</v>
      </c>
      <c r="AA53" s="85">
        <f>IF($F53&lt;=0,0,IF(SUM($X53:Z53)+($W$30*$H53)/$F53&lt;($W$30*$H53),($W$30*$H53)/$F53,($W$30*$H53)-SUM($X53:Z53)))</f>
        <v>0</v>
      </c>
      <c r="AB53" s="85">
        <f>IF($F53&lt;=0,0,IF(SUM($X53:AA53)+($W$30*$H53)/$F53&lt;($W$30*$H53),($W$30*$H53)/$F53,($W$30*$H53)-SUM($X53:AA53)))</f>
        <v>0</v>
      </c>
      <c r="AC53" s="85">
        <f>IF($F53&lt;=0,0,IF(SUM($X53:AB53)+($W$30*$H53)/$F53&lt;($W$30*$H53),($W$30*$H53)/$F53,($W$30*$H53)-SUM($X53:AB53)))</f>
        <v>0</v>
      </c>
      <c r="AD53" s="85">
        <f>IF($F53&lt;=0,0,IF(SUM($X53:AC53)+($W$30*$H53)/$F53&lt;($W$30*$H53),($W$30*$H53)/$F53,($W$30*$H53)-SUM($X53:AC53)))</f>
        <v>0</v>
      </c>
      <c r="AE53" s="85">
        <f>IF($F53&lt;=0,0,IF(SUM($X53:AD53)+($W$30*$H53)/$F53&lt;($W$30*$H53),($W$30*$H53)/$F53,($W$30*$H53)-SUM($X53:AD53)))</f>
        <v>0</v>
      </c>
      <c r="AF53" s="85">
        <f>IF($F53&lt;=0,0,IF(SUM($X53:AE53)+($W$30*$H53)/$F53&lt;($W$30*$H53),($W$30*$H53)/$F53,($W$30*$H53)-SUM($X53:AE53)))</f>
        <v>0</v>
      </c>
      <c r="AG53" s="85">
        <f>IF($F53&lt;=0,0,IF(SUM($X53:AF53)+($W$30*$H53)/$F53&lt;($W$30*$H53),($W$30*$H53)/$F53,($W$30*$H53)-SUM($X53:AF53)))</f>
        <v>0</v>
      </c>
    </row>
    <row r="54" spans="3:33">
      <c r="C54" s="70">
        <v>14</v>
      </c>
      <c r="D54" s="633"/>
      <c r="E54" s="634"/>
      <c r="F54" s="635"/>
      <c r="G54" s="635"/>
      <c r="H54" s="88">
        <f t="shared" si="10"/>
        <v>0</v>
      </c>
      <c r="I54" s="559">
        <f t="shared" si="11"/>
        <v>0</v>
      </c>
      <c r="N54" s="559"/>
      <c r="O54" s="559"/>
      <c r="P54" s="559"/>
      <c r="V54" s="559"/>
      <c r="W54" s="559"/>
      <c r="X54" s="559">
        <f t="shared" si="12"/>
        <v>0</v>
      </c>
      <c r="Y54" s="85">
        <f>IF($F54&lt;=0,0,IF(SUM($X54:X54)+($W$30*$H54)/$F54&lt;($W$30*$H54),($W$30*$H54)/$F54,($W$30*$H54)-SUM($X54:X54)))</f>
        <v>0</v>
      </c>
      <c r="Z54" s="85">
        <f>IF($F54&lt;=0,0,IF(SUM($X54:Y54)+($W$30*$H54)/$F54&lt;($W$30*$H54),($W$30*$H54)/$F54,($W$30*$H54)-SUM($X54:Y54)))</f>
        <v>0</v>
      </c>
      <c r="AA54" s="85">
        <f>IF($F54&lt;=0,0,IF(SUM($X54:Z54)+($W$30*$H54)/$F54&lt;($W$30*$H54),($W$30*$H54)/$F54,($W$30*$H54)-SUM($X54:Z54)))</f>
        <v>0</v>
      </c>
      <c r="AB54" s="85">
        <f>IF($F54&lt;=0,0,IF(SUM($X54:AA54)+($W$30*$H54)/$F54&lt;($W$30*$H54),($W$30*$H54)/$F54,($W$30*$H54)-SUM($X54:AA54)))</f>
        <v>0</v>
      </c>
      <c r="AC54" s="85">
        <f>IF($F54&lt;=0,0,IF(SUM($X54:AB54)+($W$30*$H54)/$F54&lt;($W$30*$H54),($W$30*$H54)/$F54,($W$30*$H54)-SUM($X54:AB54)))</f>
        <v>0</v>
      </c>
      <c r="AD54" s="85">
        <f>IF($F54&lt;=0,0,IF(SUM($X54:AC54)+($W$30*$H54)/$F54&lt;($W$30*$H54),($W$30*$H54)/$F54,($W$30*$H54)-SUM($X54:AC54)))</f>
        <v>0</v>
      </c>
      <c r="AE54" s="85">
        <f>IF($F54&lt;=0,0,IF(SUM($X54:AD54)+($W$30*$H54)/$F54&lt;($W$30*$H54),($W$30*$H54)/$F54,($W$30*$H54)-SUM($X54:AD54)))</f>
        <v>0</v>
      </c>
      <c r="AF54" s="85">
        <f>IF($F54&lt;=0,0,IF(SUM($X54:AE54)+($W$30*$H54)/$F54&lt;($W$30*$H54),($W$30*$H54)/$F54,($W$30*$H54)-SUM($X54:AE54)))</f>
        <v>0</v>
      </c>
      <c r="AG54" s="85">
        <f>IF($F54&lt;=0,0,IF(SUM($X54:AF54)+($W$30*$H54)/$F54&lt;($W$30*$H54),($W$30*$H54)/$F54,($W$30*$H54)-SUM($X54:AF54)))</f>
        <v>0</v>
      </c>
    </row>
    <row r="55" spans="3:33">
      <c r="C55" s="70">
        <v>15</v>
      </c>
      <c r="D55" s="633"/>
      <c r="E55" s="634"/>
      <c r="F55" s="635"/>
      <c r="G55" s="635"/>
      <c r="H55" s="88">
        <f t="shared" si="10"/>
        <v>0</v>
      </c>
      <c r="I55" s="559">
        <f t="shared" si="11"/>
        <v>0</v>
      </c>
      <c r="N55" s="559"/>
      <c r="O55" s="559"/>
      <c r="P55" s="559"/>
      <c r="V55" s="559"/>
      <c r="W55" s="559"/>
      <c r="X55" s="559">
        <f t="shared" si="12"/>
        <v>0</v>
      </c>
      <c r="Y55" s="85">
        <f>IF($F55&lt;=0,0,IF(SUM($X55:X55)+($W$30*$H55)/$F55&lt;($W$30*$H55),($W$30*$H55)/$F55,($W$30*$H55)-SUM($X55:X55)))</f>
        <v>0</v>
      </c>
      <c r="Z55" s="85">
        <f>IF($F55&lt;=0,0,IF(SUM($X55:Y55)+($W$30*$H55)/$F55&lt;($W$30*$H55),($W$30*$H55)/$F55,($W$30*$H55)-SUM($X55:Y55)))</f>
        <v>0</v>
      </c>
      <c r="AA55" s="85">
        <f>IF($F55&lt;=0,0,IF(SUM($X55:Z55)+($W$30*$H55)/$F55&lt;($W$30*$H55),($W$30*$H55)/$F55,($W$30*$H55)-SUM($X55:Z55)))</f>
        <v>0</v>
      </c>
      <c r="AB55" s="85">
        <f>IF($F55&lt;=0,0,IF(SUM($X55:AA55)+($W$30*$H55)/$F55&lt;($W$30*$H55),($W$30*$H55)/$F55,($W$30*$H55)-SUM($X55:AA55)))</f>
        <v>0</v>
      </c>
      <c r="AC55" s="85">
        <f>IF($F55&lt;=0,0,IF(SUM($X55:AB55)+($W$30*$H55)/$F55&lt;($W$30*$H55),($W$30*$H55)/$F55,($W$30*$H55)-SUM($X55:AB55)))</f>
        <v>0</v>
      </c>
      <c r="AD55" s="85">
        <f>IF($F55&lt;=0,0,IF(SUM($X55:AC55)+($W$30*$H55)/$F55&lt;($W$30*$H55),($W$30*$H55)/$F55,($W$30*$H55)-SUM($X55:AC55)))</f>
        <v>0</v>
      </c>
      <c r="AE55" s="85">
        <f>IF($F55&lt;=0,0,IF(SUM($X55:AD55)+($W$30*$H55)/$F55&lt;($W$30*$H55),($W$30*$H55)/$F55,($W$30*$H55)-SUM($X55:AD55)))</f>
        <v>0</v>
      </c>
      <c r="AF55" s="85">
        <f>IF($F55&lt;=0,0,IF(SUM($X55:AE55)+($W$30*$H55)/$F55&lt;($W$30*$H55),($W$30*$H55)/$F55,($W$30*$H55)-SUM($X55:AE55)))</f>
        <v>0</v>
      </c>
      <c r="AG55" s="85">
        <f>IF($F55&lt;=0,0,IF(SUM($X55:AF55)+($W$30*$H55)/$F55&lt;($W$30*$H55),($W$30*$H55)/$F55,($W$30*$H55)-SUM($X55:AF55)))</f>
        <v>0</v>
      </c>
    </row>
    <row r="56" spans="3:33">
      <c r="C56" s="70">
        <v>16</v>
      </c>
      <c r="D56" s="633"/>
      <c r="E56" s="634"/>
      <c r="F56" s="635"/>
      <c r="G56" s="635"/>
      <c r="H56" s="88">
        <f t="shared" si="10"/>
        <v>0</v>
      </c>
      <c r="I56" s="559">
        <f t="shared" si="11"/>
        <v>0</v>
      </c>
      <c r="N56" s="559"/>
      <c r="O56" s="559"/>
      <c r="P56" s="559"/>
      <c r="V56" s="559"/>
      <c r="W56" s="559"/>
      <c r="X56" s="559">
        <f t="shared" si="12"/>
        <v>0</v>
      </c>
      <c r="Y56" s="85">
        <f>IF($F56&lt;=0,0,IF(SUM($X56:X56)+($W$30*$H56)/$F56&lt;($W$30*$H56),($W$30*$H56)/$F56,($W$30*$H56)-SUM($X56:X56)))</f>
        <v>0</v>
      </c>
      <c r="Z56" s="85">
        <f>IF($F56&lt;=0,0,IF(SUM($X56:Y56)+($W$30*$H56)/$F56&lt;($W$30*$H56),($W$30*$H56)/$F56,($W$30*$H56)-SUM($X56:Y56)))</f>
        <v>0</v>
      </c>
      <c r="AA56" s="85">
        <f>IF($F56&lt;=0,0,IF(SUM($X56:Z56)+($W$30*$H56)/$F56&lt;($W$30*$H56),($W$30*$H56)/$F56,($W$30*$H56)-SUM($X56:Z56)))</f>
        <v>0</v>
      </c>
      <c r="AB56" s="85">
        <f>IF($F56&lt;=0,0,IF(SUM($X56:AA56)+($W$30*$H56)/$F56&lt;($W$30*$H56),($W$30*$H56)/$F56,($W$30*$H56)-SUM($X56:AA56)))</f>
        <v>0</v>
      </c>
      <c r="AC56" s="85">
        <f>IF($F56&lt;=0,0,IF(SUM($X56:AB56)+($W$30*$H56)/$F56&lt;($W$30*$H56),($W$30*$H56)/$F56,($W$30*$H56)-SUM($X56:AB56)))</f>
        <v>0</v>
      </c>
      <c r="AD56" s="85">
        <f>IF($F56&lt;=0,0,IF(SUM($X56:AC56)+($W$30*$H56)/$F56&lt;($W$30*$H56),($W$30*$H56)/$F56,($W$30*$H56)-SUM($X56:AC56)))</f>
        <v>0</v>
      </c>
      <c r="AE56" s="85">
        <f>IF($F56&lt;=0,0,IF(SUM($X56:AD56)+($W$30*$H56)/$F56&lt;($W$30*$H56),($W$30*$H56)/$F56,($W$30*$H56)-SUM($X56:AD56)))</f>
        <v>0</v>
      </c>
      <c r="AF56" s="85">
        <f>IF($F56&lt;=0,0,IF(SUM($X56:AE56)+($W$30*$H56)/$F56&lt;($W$30*$H56),($W$30*$H56)/$F56,($W$30*$H56)-SUM($X56:AE56)))</f>
        <v>0</v>
      </c>
      <c r="AG56" s="85">
        <f>IF($F56&lt;=0,0,IF(SUM($X56:AF56)+($W$30*$H56)/$F56&lt;($W$30*$H56),($W$30*$H56)/$F56,($W$30*$H56)-SUM($X56:AF56)))</f>
        <v>0</v>
      </c>
    </row>
    <row r="57" spans="3:33">
      <c r="C57" s="70">
        <v>17</v>
      </c>
      <c r="D57" s="633"/>
      <c r="E57" s="634"/>
      <c r="F57" s="635"/>
      <c r="G57" s="635"/>
      <c r="H57" s="88">
        <f t="shared" si="10"/>
        <v>0</v>
      </c>
      <c r="I57" s="559">
        <f t="shared" si="11"/>
        <v>0</v>
      </c>
      <c r="N57" s="559"/>
      <c r="O57" s="559"/>
      <c r="P57" s="559"/>
      <c r="V57" s="559"/>
      <c r="W57" s="559"/>
      <c r="X57" s="559">
        <f t="shared" si="12"/>
        <v>0</v>
      </c>
      <c r="Y57" s="85">
        <f>IF($F57&lt;=0,0,IF(SUM($X57:X57)+($W$30*$H57)/$F57&lt;($W$30*$H57),($W$30*$H57)/$F57,($W$30*$H57)-SUM($X57:X57)))</f>
        <v>0</v>
      </c>
      <c r="Z57" s="85">
        <f>IF($F57&lt;=0,0,IF(SUM($X57:Y57)+($W$30*$H57)/$F57&lt;($W$30*$H57),($W$30*$H57)/$F57,($W$30*$H57)-SUM($X57:Y57)))</f>
        <v>0</v>
      </c>
      <c r="AA57" s="85">
        <f>IF($F57&lt;=0,0,IF(SUM($X57:Z57)+($W$30*$H57)/$F57&lt;($W$30*$H57),($W$30*$H57)/$F57,($W$30*$H57)-SUM($X57:Z57)))</f>
        <v>0</v>
      </c>
      <c r="AB57" s="85">
        <f>IF($F57&lt;=0,0,IF(SUM($X57:AA57)+($W$30*$H57)/$F57&lt;($W$30*$H57),($W$30*$H57)/$F57,($W$30*$H57)-SUM($X57:AA57)))</f>
        <v>0</v>
      </c>
      <c r="AC57" s="85">
        <f>IF($F57&lt;=0,0,IF(SUM($X57:AB57)+($W$30*$H57)/$F57&lt;($W$30*$H57),($W$30*$H57)/$F57,($W$30*$H57)-SUM($X57:AB57)))</f>
        <v>0</v>
      </c>
      <c r="AD57" s="85">
        <f>IF($F57&lt;=0,0,IF(SUM($X57:AC57)+($W$30*$H57)/$F57&lt;($W$30*$H57),($W$30*$H57)/$F57,($W$30*$H57)-SUM($X57:AC57)))</f>
        <v>0</v>
      </c>
      <c r="AE57" s="85">
        <f>IF($F57&lt;=0,0,IF(SUM($X57:AD57)+($W$30*$H57)/$F57&lt;($W$30*$H57),($W$30*$H57)/$F57,($W$30*$H57)-SUM($X57:AD57)))</f>
        <v>0</v>
      </c>
      <c r="AF57" s="85">
        <f>IF($F57&lt;=0,0,IF(SUM($X57:AE57)+($W$30*$H57)/$F57&lt;($W$30*$H57),($W$30*$H57)/$F57,($W$30*$H57)-SUM($X57:AE57)))</f>
        <v>0</v>
      </c>
      <c r="AG57" s="85">
        <f>IF($F57&lt;=0,0,IF(SUM($X57:AF57)+($W$30*$H57)/$F57&lt;($W$30*$H57),($W$30*$H57)/$F57,($W$30*$H57)-SUM($X57:AF57)))</f>
        <v>0</v>
      </c>
    </row>
    <row r="58" spans="3:33">
      <c r="C58" s="70">
        <v>18</v>
      </c>
      <c r="D58" s="633"/>
      <c r="E58" s="634"/>
      <c r="F58" s="635"/>
      <c r="G58" s="635"/>
      <c r="H58" s="88">
        <f t="shared" si="10"/>
        <v>0</v>
      </c>
      <c r="I58" s="559">
        <f t="shared" si="11"/>
        <v>0</v>
      </c>
      <c r="N58" s="559"/>
      <c r="O58" s="559"/>
      <c r="P58" s="559"/>
      <c r="V58" s="559"/>
      <c r="W58" s="559"/>
      <c r="X58" s="559">
        <f t="shared" si="12"/>
        <v>0</v>
      </c>
      <c r="Y58" s="85">
        <f>IF($F58&lt;=0,0,IF(SUM($X58:X58)+($W$30*$H58)/$F58&lt;($W$30*$H58),($W$30*$H58)/$F58,($W$30*$H58)-SUM($X58:X58)))</f>
        <v>0</v>
      </c>
      <c r="Z58" s="85">
        <f>IF($F58&lt;=0,0,IF(SUM($X58:Y58)+($W$30*$H58)/$F58&lt;($W$30*$H58),($W$30*$H58)/$F58,($W$30*$H58)-SUM($X58:Y58)))</f>
        <v>0</v>
      </c>
      <c r="AA58" s="85">
        <f>IF($F58&lt;=0,0,IF(SUM($X58:Z58)+($W$30*$H58)/$F58&lt;($W$30*$H58),($W$30*$H58)/$F58,($W$30*$H58)-SUM($X58:Z58)))</f>
        <v>0</v>
      </c>
      <c r="AB58" s="85">
        <f>IF($F58&lt;=0,0,IF(SUM($X58:AA58)+($W$30*$H58)/$F58&lt;($W$30*$H58),($W$30*$H58)/$F58,($W$30*$H58)-SUM($X58:AA58)))</f>
        <v>0</v>
      </c>
      <c r="AC58" s="85">
        <f>IF($F58&lt;=0,0,IF(SUM($X58:AB58)+($W$30*$H58)/$F58&lt;($W$30*$H58),($W$30*$H58)/$F58,($W$30*$H58)-SUM($X58:AB58)))</f>
        <v>0</v>
      </c>
      <c r="AD58" s="85">
        <f>IF($F58&lt;=0,0,IF(SUM($X58:AC58)+($W$30*$H58)/$F58&lt;($W$30*$H58),($W$30*$H58)/$F58,($W$30*$H58)-SUM($X58:AC58)))</f>
        <v>0</v>
      </c>
      <c r="AE58" s="85">
        <f>IF($F58&lt;=0,0,IF(SUM($X58:AD58)+($W$30*$H58)/$F58&lt;($W$30*$H58),($W$30*$H58)/$F58,($W$30*$H58)-SUM($X58:AD58)))</f>
        <v>0</v>
      </c>
      <c r="AF58" s="85">
        <f>IF($F58&lt;=0,0,IF(SUM($X58:AE58)+($W$30*$H58)/$F58&lt;($W$30*$H58),($W$30*$H58)/$F58,($W$30*$H58)-SUM($X58:AE58)))</f>
        <v>0</v>
      </c>
      <c r="AG58" s="85">
        <f>IF($F58&lt;=0,0,IF(SUM($X58:AF58)+($W$30*$H58)/$F58&lt;($W$30*$H58),($W$30*$H58)/$F58,($W$30*$H58)-SUM($X58:AF58)))</f>
        <v>0</v>
      </c>
    </row>
    <row r="59" spans="3:33">
      <c r="C59" s="70">
        <v>19</v>
      </c>
      <c r="D59" s="633"/>
      <c r="E59" s="634"/>
      <c r="F59" s="635"/>
      <c r="G59" s="635"/>
      <c r="H59" s="88">
        <f t="shared" si="10"/>
        <v>0</v>
      </c>
      <c r="I59" s="559">
        <f t="shared" si="11"/>
        <v>0</v>
      </c>
      <c r="N59" s="559"/>
      <c r="O59" s="559"/>
      <c r="P59" s="559"/>
      <c r="V59" s="559"/>
      <c r="W59" s="559"/>
      <c r="X59" s="559">
        <f t="shared" si="12"/>
        <v>0</v>
      </c>
      <c r="Y59" s="85">
        <f>IF($F59&lt;=0,0,IF(SUM($X59:X59)+($W$30*$H59)/$F59&lt;($W$30*$H59),($W$30*$H59)/$F59,($W$30*$H59)-SUM($X59:X59)))</f>
        <v>0</v>
      </c>
      <c r="Z59" s="85">
        <f>IF($F59&lt;=0,0,IF(SUM($X59:Y59)+($W$30*$H59)/$F59&lt;($W$30*$H59),($W$30*$H59)/$F59,($W$30*$H59)-SUM($X59:Y59)))</f>
        <v>0</v>
      </c>
      <c r="AA59" s="85">
        <f>IF($F59&lt;=0,0,IF(SUM($X59:Z59)+($W$30*$H59)/$F59&lt;($W$30*$H59),($W$30*$H59)/$F59,($W$30*$H59)-SUM($X59:Z59)))</f>
        <v>0</v>
      </c>
      <c r="AB59" s="85">
        <f>IF($F59&lt;=0,0,IF(SUM($X59:AA59)+($W$30*$H59)/$F59&lt;($W$30*$H59),($W$30*$H59)/$F59,($W$30*$H59)-SUM($X59:AA59)))</f>
        <v>0</v>
      </c>
      <c r="AC59" s="85">
        <f>IF($F59&lt;=0,0,IF(SUM($X59:AB59)+($W$30*$H59)/$F59&lt;($W$30*$H59),($W$30*$H59)/$F59,($W$30*$H59)-SUM($X59:AB59)))</f>
        <v>0</v>
      </c>
      <c r="AD59" s="85">
        <f>IF($F59&lt;=0,0,IF(SUM($X59:AC59)+($W$30*$H59)/$F59&lt;($W$30*$H59),($W$30*$H59)/$F59,($W$30*$H59)-SUM($X59:AC59)))</f>
        <v>0</v>
      </c>
      <c r="AE59" s="85">
        <f>IF($F59&lt;=0,0,IF(SUM($X59:AD59)+($W$30*$H59)/$F59&lt;($W$30*$H59),($W$30*$H59)/$F59,($W$30*$H59)-SUM($X59:AD59)))</f>
        <v>0</v>
      </c>
      <c r="AF59" s="85">
        <f>IF($F59&lt;=0,0,IF(SUM($X59:AE59)+($W$30*$H59)/$F59&lt;($W$30*$H59),($W$30*$H59)/$F59,($W$30*$H59)-SUM($X59:AE59)))</f>
        <v>0</v>
      </c>
      <c r="AG59" s="85">
        <f>IF($F59&lt;=0,0,IF(SUM($X59:AF59)+($W$30*$H59)/$F59&lt;($W$30*$H59),($W$30*$H59)/$F59,($W$30*$H59)-SUM($X59:AF59)))</f>
        <v>0</v>
      </c>
    </row>
    <row r="60" spans="3:33">
      <c r="C60" s="70">
        <v>20</v>
      </c>
      <c r="D60" s="633"/>
      <c r="E60" s="634"/>
      <c r="F60" s="635"/>
      <c r="G60" s="635"/>
      <c r="H60" s="88">
        <f t="shared" si="10"/>
        <v>0</v>
      </c>
      <c r="I60" s="559">
        <f t="shared" si="11"/>
        <v>0</v>
      </c>
      <c r="N60" s="559"/>
      <c r="O60" s="559"/>
      <c r="P60" s="559"/>
      <c r="V60" s="559"/>
      <c r="W60" s="559"/>
      <c r="X60" s="559">
        <f t="shared" si="12"/>
        <v>0</v>
      </c>
      <c r="Y60" s="85">
        <f>IF($F60&lt;=0,0,IF(SUM($X60:X60)+($W$30*$H60)/$F60&lt;($W$30*$H60),($W$30*$H60)/$F60,($W$30*$H60)-SUM($X60:X60)))</f>
        <v>0</v>
      </c>
      <c r="Z60" s="85">
        <f>IF($F60&lt;=0,0,IF(SUM($X60:Y60)+($W$30*$H60)/$F60&lt;($W$30*$H60),($W$30*$H60)/$F60,($W$30*$H60)-SUM($X60:Y60)))</f>
        <v>0</v>
      </c>
      <c r="AA60" s="85">
        <f>IF($F60&lt;=0,0,IF(SUM($X60:Z60)+($W$30*$H60)/$F60&lt;($W$30*$H60),($W$30*$H60)/$F60,($W$30*$H60)-SUM($X60:Z60)))</f>
        <v>0</v>
      </c>
      <c r="AB60" s="85">
        <f>IF($F60&lt;=0,0,IF(SUM($X60:AA60)+($W$30*$H60)/$F60&lt;($W$30*$H60),($W$30*$H60)/$F60,($W$30*$H60)-SUM($X60:AA60)))</f>
        <v>0</v>
      </c>
      <c r="AC60" s="85">
        <f>IF($F60&lt;=0,0,IF(SUM($X60:AB60)+($W$30*$H60)/$F60&lt;($W$30*$H60),($W$30*$H60)/$F60,($W$30*$H60)-SUM($X60:AB60)))</f>
        <v>0</v>
      </c>
      <c r="AD60" s="85">
        <f>IF($F60&lt;=0,0,IF(SUM($X60:AC60)+($W$30*$H60)/$F60&lt;($W$30*$H60),($W$30*$H60)/$F60,($W$30*$H60)-SUM($X60:AC60)))</f>
        <v>0</v>
      </c>
      <c r="AE60" s="85">
        <f>IF($F60&lt;=0,0,IF(SUM($X60:AD60)+($W$30*$H60)/$F60&lt;($W$30*$H60),($W$30*$H60)/$F60,($W$30*$H60)-SUM($X60:AD60)))</f>
        <v>0</v>
      </c>
      <c r="AF60" s="85">
        <f>IF($F60&lt;=0,0,IF(SUM($X60:AE60)+($W$30*$H60)/$F60&lt;($W$30*$H60),($W$30*$H60)/$F60,($W$30*$H60)-SUM($X60:AE60)))</f>
        <v>0</v>
      </c>
      <c r="AG60" s="85">
        <f>IF($F60&lt;=0,0,IF(SUM($X60:AF60)+($W$30*$H60)/$F60&lt;($W$30*$H60),($W$30*$H60)/$F60,($W$30*$H60)-SUM($X60:AF60)))</f>
        <v>0</v>
      </c>
    </row>
    <row r="61" spans="3:33">
      <c r="C61" s="70">
        <v>21</v>
      </c>
      <c r="D61" s="633"/>
      <c r="E61" s="634"/>
      <c r="F61" s="635"/>
      <c r="G61" s="635"/>
      <c r="H61" s="88">
        <f t="shared" si="10"/>
        <v>0</v>
      </c>
      <c r="I61" s="559">
        <f t="shared" si="11"/>
        <v>0</v>
      </c>
      <c r="N61" s="559"/>
      <c r="O61" s="559"/>
      <c r="P61" s="559"/>
      <c r="V61" s="559"/>
      <c r="W61" s="559"/>
      <c r="X61" s="559">
        <f t="shared" si="12"/>
        <v>0</v>
      </c>
      <c r="Y61" s="85">
        <f>IF($F61&lt;=0,0,IF(SUM($X61:X61)+($W$30*$H61)/$F61&lt;($W$30*$H61),($W$30*$H61)/$F61,($W$30*$H61)-SUM($X61:X61)))</f>
        <v>0</v>
      </c>
      <c r="Z61" s="85">
        <f>IF($F61&lt;=0,0,IF(SUM($X61:Y61)+($W$30*$H61)/$F61&lt;($W$30*$H61),($W$30*$H61)/$F61,($W$30*$H61)-SUM($X61:Y61)))</f>
        <v>0</v>
      </c>
      <c r="AA61" s="85">
        <f>IF($F61&lt;=0,0,IF(SUM($X61:Z61)+($W$30*$H61)/$F61&lt;($W$30*$H61),($W$30*$H61)/$F61,($W$30*$H61)-SUM($X61:Z61)))</f>
        <v>0</v>
      </c>
      <c r="AB61" s="85">
        <f>IF($F61&lt;=0,0,IF(SUM($X61:AA61)+($W$30*$H61)/$F61&lt;($W$30*$H61),($W$30*$H61)/$F61,($W$30*$H61)-SUM($X61:AA61)))</f>
        <v>0</v>
      </c>
      <c r="AC61" s="85">
        <f>IF($F61&lt;=0,0,IF(SUM($X61:AB61)+($W$30*$H61)/$F61&lt;($W$30*$H61),($W$30*$H61)/$F61,($W$30*$H61)-SUM($X61:AB61)))</f>
        <v>0</v>
      </c>
      <c r="AD61" s="85">
        <f>IF($F61&lt;=0,0,IF(SUM($X61:AC61)+($W$30*$H61)/$F61&lt;($W$30*$H61),($W$30*$H61)/$F61,($W$30*$H61)-SUM($X61:AC61)))</f>
        <v>0</v>
      </c>
      <c r="AE61" s="85">
        <f>IF($F61&lt;=0,0,IF(SUM($X61:AD61)+($W$30*$H61)/$F61&lt;($W$30*$H61),($W$30*$H61)/$F61,($W$30*$H61)-SUM($X61:AD61)))</f>
        <v>0</v>
      </c>
      <c r="AF61" s="85">
        <f>IF($F61&lt;=0,0,IF(SUM($X61:AE61)+($W$30*$H61)/$F61&lt;($W$30*$H61),($W$30*$H61)/$F61,($W$30*$H61)-SUM($X61:AE61)))</f>
        <v>0</v>
      </c>
      <c r="AG61" s="85">
        <f>IF($F61&lt;=0,0,IF(SUM($X61:AF61)+($W$30*$H61)/$F61&lt;($W$30*$H61),($W$30*$H61)/$F61,($W$30*$H61)-SUM($X61:AF61)))</f>
        <v>0</v>
      </c>
    </row>
    <row r="62" spans="3:33">
      <c r="C62" s="70">
        <v>22</v>
      </c>
      <c r="D62" s="633"/>
      <c r="E62" s="634"/>
      <c r="F62" s="635"/>
      <c r="G62" s="635"/>
      <c r="H62" s="88">
        <f t="shared" si="10"/>
        <v>0</v>
      </c>
      <c r="I62" s="559">
        <f t="shared" si="11"/>
        <v>0</v>
      </c>
      <c r="N62" s="559"/>
      <c r="O62" s="559"/>
      <c r="P62" s="559"/>
      <c r="V62" s="559"/>
      <c r="W62" s="559"/>
      <c r="X62" s="559">
        <f t="shared" si="12"/>
        <v>0</v>
      </c>
      <c r="Y62" s="85">
        <f>IF($F62&lt;=0,0,IF(SUM($X62:X62)+($W$30*$H62)/$F62&lt;($W$30*$H62),($W$30*$H62)/$F62,($W$30*$H62)-SUM($X62:X62)))</f>
        <v>0</v>
      </c>
      <c r="Z62" s="85">
        <f>IF($F62&lt;=0,0,IF(SUM($X62:Y62)+($W$30*$H62)/$F62&lt;($W$30*$H62),($W$30*$H62)/$F62,($W$30*$H62)-SUM($X62:Y62)))</f>
        <v>0</v>
      </c>
      <c r="AA62" s="85">
        <f>IF($F62&lt;=0,0,IF(SUM($X62:Z62)+($W$30*$H62)/$F62&lt;($W$30*$H62),($W$30*$H62)/$F62,($W$30*$H62)-SUM($X62:Z62)))</f>
        <v>0</v>
      </c>
      <c r="AB62" s="85">
        <f>IF($F62&lt;=0,0,IF(SUM($X62:AA62)+($W$30*$H62)/$F62&lt;($W$30*$H62),($W$30*$H62)/$F62,($W$30*$H62)-SUM($X62:AA62)))</f>
        <v>0</v>
      </c>
      <c r="AC62" s="85">
        <f>IF($F62&lt;=0,0,IF(SUM($X62:AB62)+($W$30*$H62)/$F62&lt;($W$30*$H62),($W$30*$H62)/$F62,($W$30*$H62)-SUM($X62:AB62)))</f>
        <v>0</v>
      </c>
      <c r="AD62" s="85">
        <f>IF($F62&lt;=0,0,IF(SUM($X62:AC62)+($W$30*$H62)/$F62&lt;($W$30*$H62),($W$30*$H62)/$F62,($W$30*$H62)-SUM($X62:AC62)))</f>
        <v>0</v>
      </c>
      <c r="AE62" s="85">
        <f>IF($F62&lt;=0,0,IF(SUM($X62:AD62)+($W$30*$H62)/$F62&lt;($W$30*$H62),($W$30*$H62)/$F62,($W$30*$H62)-SUM($X62:AD62)))</f>
        <v>0</v>
      </c>
      <c r="AF62" s="85">
        <f>IF($F62&lt;=0,0,IF(SUM($X62:AE62)+($W$30*$H62)/$F62&lt;($W$30*$H62),($W$30*$H62)/$F62,($W$30*$H62)-SUM($X62:AE62)))</f>
        <v>0</v>
      </c>
      <c r="AG62" s="85">
        <f>IF($F62&lt;=0,0,IF(SUM($X62:AF62)+($W$30*$H62)/$F62&lt;($W$30*$H62),($W$30*$H62)/$F62,($W$30*$H62)-SUM($X62:AF62)))</f>
        <v>0</v>
      </c>
    </row>
    <row r="63" spans="3:33">
      <c r="C63" s="70">
        <v>23</v>
      </c>
      <c r="D63" s="633"/>
      <c r="E63" s="634"/>
      <c r="F63" s="635"/>
      <c r="G63" s="635"/>
      <c r="H63" s="88">
        <f t="shared" si="10"/>
        <v>0</v>
      </c>
      <c r="I63" s="559">
        <f t="shared" ref="I63:I69" si="13">G63/$G$82*F63</f>
        <v>0</v>
      </c>
      <c r="N63" s="559"/>
      <c r="O63" s="559"/>
      <c r="P63" s="559"/>
      <c r="V63" s="559"/>
      <c r="W63" s="559"/>
      <c r="X63" s="559">
        <f t="shared" si="12"/>
        <v>0</v>
      </c>
      <c r="Y63" s="85">
        <f>IF($F63&lt;=0,0,IF(SUM($X63:X63)+($W$30*$H63)/$F63&lt;($W$30*$H63),($W$30*$H63)/$F63,($W$30*$H63)-SUM($X63:X63)))</f>
        <v>0</v>
      </c>
      <c r="Z63" s="85">
        <f>IF($F63&lt;=0,0,IF(SUM($X63:Y63)+($W$30*$H63)/$F63&lt;($W$30*$H63),($W$30*$H63)/$F63,($W$30*$H63)-SUM($X63:Y63)))</f>
        <v>0</v>
      </c>
      <c r="AA63" s="85">
        <f>IF($F63&lt;=0,0,IF(SUM($X63:Z63)+($W$30*$H63)/$F63&lt;($W$30*$H63),($W$30*$H63)/$F63,($W$30*$H63)-SUM($X63:Z63)))</f>
        <v>0</v>
      </c>
      <c r="AB63" s="85">
        <f>IF($F63&lt;=0,0,IF(SUM($X63:AA63)+($W$30*$H63)/$F63&lt;($W$30*$H63),($W$30*$H63)/$F63,($W$30*$H63)-SUM($X63:AA63)))</f>
        <v>0</v>
      </c>
      <c r="AC63" s="85">
        <f>IF($F63&lt;=0,0,IF(SUM($X63:AB63)+($W$30*$H63)/$F63&lt;($W$30*$H63),($W$30*$H63)/$F63,($W$30*$H63)-SUM($X63:AB63)))</f>
        <v>0</v>
      </c>
      <c r="AD63" s="85">
        <f>IF($F63&lt;=0,0,IF(SUM($X63:AC63)+($W$30*$H63)/$F63&lt;($W$30*$H63),($W$30*$H63)/$F63,($W$30*$H63)-SUM($X63:AC63)))</f>
        <v>0</v>
      </c>
      <c r="AE63" s="85">
        <f>IF($F63&lt;=0,0,IF(SUM($X63:AD63)+($W$30*$H63)/$F63&lt;($W$30*$H63),($W$30*$H63)/$F63,($W$30*$H63)-SUM($X63:AD63)))</f>
        <v>0</v>
      </c>
      <c r="AF63" s="85">
        <f>IF($F63&lt;=0,0,IF(SUM($X63:AE63)+($W$30*$H63)/$F63&lt;($W$30*$H63),($W$30*$H63)/$F63,($W$30*$H63)-SUM($X63:AE63)))</f>
        <v>0</v>
      </c>
      <c r="AG63" s="85">
        <f>IF($F63&lt;=0,0,IF(SUM($X63:AF63)+($W$30*$H63)/$F63&lt;($W$30*$H63),($W$30*$H63)/$F63,($W$30*$H63)-SUM($X63:AF63)))</f>
        <v>0</v>
      </c>
    </row>
    <row r="64" spans="3:33">
      <c r="C64" s="70">
        <v>24</v>
      </c>
      <c r="D64" s="633"/>
      <c r="E64" s="634"/>
      <c r="F64" s="635"/>
      <c r="G64" s="635"/>
      <c r="H64" s="88">
        <f t="shared" si="10"/>
        <v>0</v>
      </c>
      <c r="I64" s="559">
        <f t="shared" si="13"/>
        <v>0</v>
      </c>
      <c r="N64" s="559"/>
      <c r="O64" s="559"/>
      <c r="P64" s="559"/>
      <c r="V64" s="559"/>
      <c r="W64" s="559"/>
      <c r="X64" s="559">
        <f t="shared" si="12"/>
        <v>0</v>
      </c>
      <c r="Y64" s="85">
        <f>IF($F64&lt;=0,0,IF(SUM($X64:X64)+($W$30*$H64)/$F64&lt;($W$30*$H64),($W$30*$H64)/$F64,($W$30*$H64)-SUM($X64:X64)))</f>
        <v>0</v>
      </c>
      <c r="Z64" s="85">
        <f>IF($F64&lt;=0,0,IF(SUM($X64:Y64)+($W$30*$H64)/$F64&lt;($W$30*$H64),($W$30*$H64)/$F64,($W$30*$H64)-SUM($X64:Y64)))</f>
        <v>0</v>
      </c>
      <c r="AA64" s="85">
        <f>IF($F64&lt;=0,0,IF(SUM($X64:Z64)+($W$30*$H64)/$F64&lt;($W$30*$H64),($W$30*$H64)/$F64,($W$30*$H64)-SUM($X64:Z64)))</f>
        <v>0</v>
      </c>
      <c r="AB64" s="85">
        <f>IF($F64&lt;=0,0,IF(SUM($X64:AA64)+($W$30*$H64)/$F64&lt;($W$30*$H64),($W$30*$H64)/$F64,($W$30*$H64)-SUM($X64:AA64)))</f>
        <v>0</v>
      </c>
      <c r="AC64" s="85">
        <f>IF($F64&lt;=0,0,IF(SUM($X64:AB64)+($W$30*$H64)/$F64&lt;($W$30*$H64),($W$30*$H64)/$F64,($W$30*$H64)-SUM($X64:AB64)))</f>
        <v>0</v>
      </c>
      <c r="AD64" s="85">
        <f>IF($F64&lt;=0,0,IF(SUM($X64:AC64)+($W$30*$H64)/$F64&lt;($W$30*$H64),($W$30*$H64)/$F64,($W$30*$H64)-SUM($X64:AC64)))</f>
        <v>0</v>
      </c>
      <c r="AE64" s="85">
        <f>IF($F64&lt;=0,0,IF(SUM($X64:AD64)+($W$30*$H64)/$F64&lt;($W$30*$H64),($W$30*$H64)/$F64,($W$30*$H64)-SUM($X64:AD64)))</f>
        <v>0</v>
      </c>
      <c r="AF64" s="85">
        <f>IF($F64&lt;=0,0,IF(SUM($X64:AE64)+($W$30*$H64)/$F64&lt;($W$30*$H64),($W$30*$H64)/$F64,($W$30*$H64)-SUM($X64:AE64)))</f>
        <v>0</v>
      </c>
      <c r="AG64" s="85">
        <f>IF($F64&lt;=0,0,IF(SUM($X64:AF64)+($W$30*$H64)/$F64&lt;($W$30*$H64),($W$30*$H64)/$F64,($W$30*$H64)-SUM($X64:AF64)))</f>
        <v>0</v>
      </c>
    </row>
    <row r="65" spans="3:33">
      <c r="C65" s="70">
        <v>25</v>
      </c>
      <c r="D65" s="633"/>
      <c r="E65" s="634"/>
      <c r="F65" s="635"/>
      <c r="G65" s="635"/>
      <c r="H65" s="88">
        <f t="shared" si="10"/>
        <v>0</v>
      </c>
      <c r="I65" s="559">
        <f t="shared" si="13"/>
        <v>0</v>
      </c>
      <c r="N65" s="559"/>
      <c r="O65" s="559"/>
      <c r="P65" s="559"/>
      <c r="V65" s="559"/>
      <c r="W65" s="559"/>
      <c r="X65" s="559">
        <f t="shared" si="12"/>
        <v>0</v>
      </c>
      <c r="Y65" s="85">
        <f>IF($F65&lt;=0,0,IF(SUM($X65:X65)+($W$30*$H65)/$F65&lt;($W$30*$H65),($W$30*$H65)/$F65,($W$30*$H65)-SUM($X65:X65)))</f>
        <v>0</v>
      </c>
      <c r="Z65" s="85">
        <f>IF($F65&lt;=0,0,IF(SUM($X65:Y65)+($W$30*$H65)/$F65&lt;($W$30*$H65),($W$30*$H65)/$F65,($W$30*$H65)-SUM($X65:Y65)))</f>
        <v>0</v>
      </c>
      <c r="AA65" s="85">
        <f>IF($F65&lt;=0,0,IF(SUM($X65:Z65)+($W$30*$H65)/$F65&lt;($W$30*$H65),($W$30*$H65)/$F65,($W$30*$H65)-SUM($X65:Z65)))</f>
        <v>0</v>
      </c>
      <c r="AB65" s="85">
        <f>IF($F65&lt;=0,0,IF(SUM($X65:AA65)+($W$30*$H65)/$F65&lt;($W$30*$H65),($W$30*$H65)/$F65,($W$30*$H65)-SUM($X65:AA65)))</f>
        <v>0</v>
      </c>
      <c r="AC65" s="85">
        <f>IF($F65&lt;=0,0,IF(SUM($X65:AB65)+($W$30*$H65)/$F65&lt;($W$30*$H65),($W$30*$H65)/$F65,($W$30*$H65)-SUM($X65:AB65)))</f>
        <v>0</v>
      </c>
      <c r="AD65" s="85">
        <f>IF($F65&lt;=0,0,IF(SUM($X65:AC65)+($W$30*$H65)/$F65&lt;($W$30*$H65),($W$30*$H65)/$F65,($W$30*$H65)-SUM($X65:AC65)))</f>
        <v>0</v>
      </c>
      <c r="AE65" s="85">
        <f>IF($F65&lt;=0,0,IF(SUM($X65:AD65)+($W$30*$H65)/$F65&lt;($W$30*$H65),($W$30*$H65)/$F65,($W$30*$H65)-SUM($X65:AD65)))</f>
        <v>0</v>
      </c>
      <c r="AF65" s="85">
        <f>IF($F65&lt;=0,0,IF(SUM($X65:AE65)+($W$30*$H65)/$F65&lt;($W$30*$H65),($W$30*$H65)/$F65,($W$30*$H65)-SUM($X65:AE65)))</f>
        <v>0</v>
      </c>
      <c r="AG65" s="85">
        <f>IF($F65&lt;=0,0,IF(SUM($X65:AF65)+($W$30*$H65)/$F65&lt;($W$30*$H65),($W$30*$H65)/$F65,($W$30*$H65)-SUM($X65:AF65)))</f>
        <v>0</v>
      </c>
    </row>
    <row r="66" spans="3:33">
      <c r="C66" s="70">
        <v>26</v>
      </c>
      <c r="D66" s="633"/>
      <c r="E66" s="634"/>
      <c r="F66" s="635"/>
      <c r="G66" s="635"/>
      <c r="H66" s="88">
        <f t="shared" si="10"/>
        <v>0</v>
      </c>
      <c r="I66" s="559">
        <f t="shared" si="13"/>
        <v>0</v>
      </c>
      <c r="N66" s="559"/>
      <c r="O66" s="559"/>
      <c r="P66" s="559"/>
      <c r="V66" s="559"/>
      <c r="W66" s="559"/>
      <c r="X66" s="559">
        <f t="shared" si="12"/>
        <v>0</v>
      </c>
      <c r="Y66" s="85">
        <f>IF($F66&lt;=0,0,IF(SUM($X66:X66)+($W$30*$H66)/$F66&lt;($W$30*$H66),($W$30*$H66)/$F66,($W$30*$H66)-SUM($X66:X66)))</f>
        <v>0</v>
      </c>
      <c r="Z66" s="85">
        <f>IF($F66&lt;=0,0,IF(SUM($X66:Y66)+($W$30*$H66)/$F66&lt;($W$30*$H66),($W$30*$H66)/$F66,($W$30*$H66)-SUM($X66:Y66)))</f>
        <v>0</v>
      </c>
      <c r="AA66" s="85">
        <f>IF($F66&lt;=0,0,IF(SUM($X66:Z66)+($W$30*$H66)/$F66&lt;($W$30*$H66),($W$30*$H66)/$F66,($W$30*$H66)-SUM($X66:Z66)))</f>
        <v>0</v>
      </c>
      <c r="AB66" s="85">
        <f>IF($F66&lt;=0,0,IF(SUM($X66:AA66)+($W$30*$H66)/$F66&lt;($W$30*$H66),($W$30*$H66)/$F66,($W$30*$H66)-SUM($X66:AA66)))</f>
        <v>0</v>
      </c>
      <c r="AC66" s="85">
        <f>IF($F66&lt;=0,0,IF(SUM($X66:AB66)+($W$30*$H66)/$F66&lt;($W$30*$H66),($W$30*$H66)/$F66,($W$30*$H66)-SUM($X66:AB66)))</f>
        <v>0</v>
      </c>
      <c r="AD66" s="85">
        <f>IF($F66&lt;=0,0,IF(SUM($X66:AC66)+($W$30*$H66)/$F66&lt;($W$30*$H66),($W$30*$H66)/$F66,($W$30*$H66)-SUM($X66:AC66)))</f>
        <v>0</v>
      </c>
      <c r="AE66" s="85">
        <f>IF($F66&lt;=0,0,IF(SUM($X66:AD66)+($W$30*$H66)/$F66&lt;($W$30*$H66),($W$30*$H66)/$F66,($W$30*$H66)-SUM($X66:AD66)))</f>
        <v>0</v>
      </c>
      <c r="AF66" s="85">
        <f>IF($F66&lt;=0,0,IF(SUM($X66:AE66)+($W$30*$H66)/$F66&lt;($W$30*$H66),($W$30*$H66)/$F66,($W$30*$H66)-SUM($X66:AE66)))</f>
        <v>0</v>
      </c>
      <c r="AG66" s="85">
        <f>IF($F66&lt;=0,0,IF(SUM($X66:AF66)+($W$30*$H66)/$F66&lt;($W$30*$H66),($W$30*$H66)/$F66,($W$30*$H66)-SUM($X66:AF66)))</f>
        <v>0</v>
      </c>
    </row>
    <row r="67" spans="3:33">
      <c r="C67" s="70">
        <v>27</v>
      </c>
      <c r="D67" s="633"/>
      <c r="E67" s="634"/>
      <c r="F67" s="635"/>
      <c r="G67" s="635"/>
      <c r="H67" s="88">
        <f t="shared" si="10"/>
        <v>0</v>
      </c>
      <c r="I67" s="559">
        <f t="shared" si="13"/>
        <v>0</v>
      </c>
      <c r="N67" s="559"/>
      <c r="O67" s="559"/>
      <c r="P67" s="559"/>
      <c r="V67" s="559"/>
      <c r="W67" s="559"/>
      <c r="X67" s="559">
        <f t="shared" si="12"/>
        <v>0</v>
      </c>
      <c r="Y67" s="85">
        <f>IF($F67&lt;=0,0,IF(SUM($X67:X67)+($W$30*$H67)/$F67&lt;($W$30*$H67),($W$30*$H67)/$F67,($W$30*$H67)-SUM($X67:X67)))</f>
        <v>0</v>
      </c>
      <c r="Z67" s="85">
        <f>IF($F67&lt;=0,0,IF(SUM($X67:Y67)+($W$30*$H67)/$F67&lt;($W$30*$H67),($W$30*$H67)/$F67,($W$30*$H67)-SUM($X67:Y67)))</f>
        <v>0</v>
      </c>
      <c r="AA67" s="85">
        <f>IF($F67&lt;=0,0,IF(SUM($X67:Z67)+($W$30*$H67)/$F67&lt;($W$30*$H67),($W$30*$H67)/$F67,($W$30*$H67)-SUM($X67:Z67)))</f>
        <v>0</v>
      </c>
      <c r="AB67" s="85">
        <f>IF($F67&lt;=0,0,IF(SUM($X67:AA67)+($W$30*$H67)/$F67&lt;($W$30*$H67),($W$30*$H67)/$F67,($W$30*$H67)-SUM($X67:AA67)))</f>
        <v>0</v>
      </c>
      <c r="AC67" s="85">
        <f>IF($F67&lt;=0,0,IF(SUM($X67:AB67)+($W$30*$H67)/$F67&lt;($W$30*$H67),($W$30*$H67)/$F67,($W$30*$H67)-SUM($X67:AB67)))</f>
        <v>0</v>
      </c>
      <c r="AD67" s="85">
        <f>IF($F67&lt;=0,0,IF(SUM($X67:AC67)+($W$30*$H67)/$F67&lt;($W$30*$H67),($W$30*$H67)/$F67,($W$30*$H67)-SUM($X67:AC67)))</f>
        <v>0</v>
      </c>
      <c r="AE67" s="85">
        <f>IF($F67&lt;=0,0,IF(SUM($X67:AD67)+($W$30*$H67)/$F67&lt;($W$30*$H67),($W$30*$H67)/$F67,($W$30*$H67)-SUM($X67:AD67)))</f>
        <v>0</v>
      </c>
      <c r="AF67" s="85">
        <f>IF($F67&lt;=0,0,IF(SUM($X67:AE67)+($W$30*$H67)/$F67&lt;($W$30*$H67),($W$30*$H67)/$F67,($W$30*$H67)-SUM($X67:AE67)))</f>
        <v>0</v>
      </c>
      <c r="AG67" s="85">
        <f>IF($F67&lt;=0,0,IF(SUM($X67:AF67)+($W$30*$H67)/$F67&lt;($W$30*$H67),($W$30*$H67)/$F67,($W$30*$H67)-SUM($X67:AF67)))</f>
        <v>0</v>
      </c>
    </row>
    <row r="68" spans="3:33">
      <c r="C68" s="70">
        <v>28</v>
      </c>
      <c r="D68" s="633"/>
      <c r="E68" s="634"/>
      <c r="F68" s="635"/>
      <c r="G68" s="635"/>
      <c r="H68" s="88">
        <f t="shared" si="10"/>
        <v>0</v>
      </c>
      <c r="I68" s="559">
        <f t="shared" si="13"/>
        <v>0</v>
      </c>
      <c r="N68" s="559"/>
      <c r="O68" s="559"/>
      <c r="P68" s="559"/>
      <c r="V68" s="559"/>
      <c r="W68" s="559"/>
      <c r="X68" s="559">
        <f t="shared" si="12"/>
        <v>0</v>
      </c>
      <c r="Y68" s="85">
        <f>IF($F68&lt;=0,0,IF(SUM($X68:X68)+($W$30*$H68)/$F68&lt;($W$30*$H68),($W$30*$H68)/$F68,($W$30*$H68)-SUM($X68:X68)))</f>
        <v>0</v>
      </c>
      <c r="Z68" s="85">
        <f>IF($F68&lt;=0,0,IF(SUM($X68:Y68)+($W$30*$H68)/$F68&lt;($W$30*$H68),($W$30*$H68)/$F68,($W$30*$H68)-SUM($X68:Y68)))</f>
        <v>0</v>
      </c>
      <c r="AA68" s="85">
        <f>IF($F68&lt;=0,0,IF(SUM($X68:Z68)+($W$30*$H68)/$F68&lt;($W$30*$H68),($W$30*$H68)/$F68,($W$30*$H68)-SUM($X68:Z68)))</f>
        <v>0</v>
      </c>
      <c r="AB68" s="85">
        <f>IF($F68&lt;=0,0,IF(SUM($X68:AA68)+($W$30*$H68)/$F68&lt;($W$30*$H68),($W$30*$H68)/$F68,($W$30*$H68)-SUM($X68:AA68)))</f>
        <v>0</v>
      </c>
      <c r="AC68" s="85">
        <f>IF($F68&lt;=0,0,IF(SUM($X68:AB68)+($W$30*$H68)/$F68&lt;($W$30*$H68),($W$30*$H68)/$F68,($W$30*$H68)-SUM($X68:AB68)))</f>
        <v>0</v>
      </c>
      <c r="AD68" s="85">
        <f>IF($F68&lt;=0,0,IF(SUM($X68:AC68)+($W$30*$H68)/$F68&lt;($W$30*$H68),($W$30*$H68)/$F68,($W$30*$H68)-SUM($X68:AC68)))</f>
        <v>0</v>
      </c>
      <c r="AE68" s="85">
        <f>IF($F68&lt;=0,0,IF(SUM($X68:AD68)+($W$30*$H68)/$F68&lt;($W$30*$H68),($W$30*$H68)/$F68,($W$30*$H68)-SUM($X68:AD68)))</f>
        <v>0</v>
      </c>
      <c r="AF68" s="85">
        <f>IF($F68&lt;=0,0,IF(SUM($X68:AE68)+($W$30*$H68)/$F68&lt;($W$30*$H68),($W$30*$H68)/$F68,($W$30*$H68)-SUM($X68:AE68)))</f>
        <v>0</v>
      </c>
      <c r="AG68" s="85">
        <f>IF($F68&lt;=0,0,IF(SUM($X68:AF68)+($W$30*$H68)/$F68&lt;($W$30*$H68),($W$30*$H68)/$F68,($W$30*$H68)-SUM($X68:AF68)))</f>
        <v>0</v>
      </c>
    </row>
    <row r="69" spans="3:33">
      <c r="C69" s="70">
        <v>29</v>
      </c>
      <c r="D69" s="633"/>
      <c r="E69" s="634"/>
      <c r="F69" s="635"/>
      <c r="G69" s="635"/>
      <c r="H69" s="88">
        <f t="shared" si="10"/>
        <v>0</v>
      </c>
      <c r="I69" s="559">
        <f t="shared" si="13"/>
        <v>0</v>
      </c>
      <c r="N69" s="559"/>
      <c r="O69" s="559"/>
      <c r="P69" s="559"/>
      <c r="V69" s="559"/>
      <c r="W69" s="559"/>
      <c r="X69" s="559">
        <f t="shared" si="12"/>
        <v>0</v>
      </c>
      <c r="Y69" s="85">
        <f>IF($F69&lt;=0,0,IF(SUM($X69:X69)+($W$30*$H69)/$F69&lt;($W$30*$H69),($W$30*$H69)/$F69,($W$30*$H69)-SUM($X69:X69)))</f>
        <v>0</v>
      </c>
      <c r="Z69" s="85">
        <f>IF($F69&lt;=0,0,IF(SUM($X69:Y69)+($W$30*$H69)/$F69&lt;($W$30*$H69),($W$30*$H69)/$F69,($W$30*$H69)-SUM($X69:Y69)))</f>
        <v>0</v>
      </c>
      <c r="AA69" s="85">
        <f>IF($F69&lt;=0,0,IF(SUM($X69:Z69)+($W$30*$H69)/$F69&lt;($W$30*$H69),($W$30*$H69)/$F69,($W$30*$H69)-SUM($X69:Z69)))</f>
        <v>0</v>
      </c>
      <c r="AB69" s="85">
        <f>IF($F69&lt;=0,0,IF(SUM($X69:AA69)+($W$30*$H69)/$F69&lt;($W$30*$H69),($W$30*$H69)/$F69,($W$30*$H69)-SUM($X69:AA69)))</f>
        <v>0</v>
      </c>
      <c r="AC69" s="85">
        <f>IF($F69&lt;=0,0,IF(SUM($X69:AB69)+($W$30*$H69)/$F69&lt;($W$30*$H69),($W$30*$H69)/$F69,($W$30*$H69)-SUM($X69:AB69)))</f>
        <v>0</v>
      </c>
      <c r="AD69" s="85">
        <f>IF($F69&lt;=0,0,IF(SUM($X69:AC69)+($W$30*$H69)/$F69&lt;($W$30*$H69),($W$30*$H69)/$F69,($W$30*$H69)-SUM($X69:AC69)))</f>
        <v>0</v>
      </c>
      <c r="AE69" s="85">
        <f>IF($F69&lt;=0,0,IF(SUM($X69:AD69)+($W$30*$H69)/$F69&lt;($W$30*$H69),($W$30*$H69)/$F69,($W$30*$H69)-SUM($X69:AD69)))</f>
        <v>0</v>
      </c>
      <c r="AF69" s="85">
        <f>IF($F69&lt;=0,0,IF(SUM($X69:AE69)+($W$30*$H69)/$F69&lt;($W$30*$H69),($W$30*$H69)/$F69,($W$30*$H69)-SUM($X69:AE69)))</f>
        <v>0</v>
      </c>
      <c r="AG69" s="85">
        <f>IF($F69&lt;=0,0,IF(SUM($X69:AF69)+($W$30*$H69)/$F69&lt;($W$30*$H69),($W$30*$H69)/$F69,($W$30*$H69)-SUM($X69:AF69)))</f>
        <v>0</v>
      </c>
    </row>
    <row r="70" spans="3:33">
      <c r="C70" s="70">
        <v>30</v>
      </c>
      <c r="D70" s="633"/>
      <c r="E70" s="634"/>
      <c r="F70" s="635"/>
      <c r="G70" s="635"/>
      <c r="H70" s="88">
        <f t="shared" ref="H70:H80" si="14">+IF(ISERROR(G70/$G$82),"",G70/$G$82)</f>
        <v>0</v>
      </c>
      <c r="I70" s="559">
        <f t="shared" ref="I70:I80" si="15">G70/$G$82*F70</f>
        <v>0</v>
      </c>
      <c r="N70" s="559"/>
      <c r="O70" s="559"/>
      <c r="P70" s="559"/>
      <c r="V70" s="559"/>
      <c r="W70" s="559"/>
      <c r="X70" s="559">
        <f t="shared" si="12"/>
        <v>0</v>
      </c>
      <c r="Y70" s="85">
        <f>IF($F70&lt;=0,0,IF(SUM($X70:X70)+($W$30*$H70)/$F70&lt;($W$30*$H70),($W$30*$H70)/$F70,($W$30*$H70)-SUM($X70:X70)))</f>
        <v>0</v>
      </c>
      <c r="Z70" s="85">
        <f>IF($F70&lt;=0,0,IF(SUM($X70:Y70)+($W$30*$H70)/$F70&lt;($W$30*$H70),($W$30*$H70)/$F70,($W$30*$H70)-SUM($X70:Y70)))</f>
        <v>0</v>
      </c>
      <c r="AA70" s="85">
        <f>IF($F70&lt;=0,0,IF(SUM($X70:Z70)+($W$30*$H70)/$F70&lt;($W$30*$H70),($W$30*$H70)/$F70,($W$30*$H70)-SUM($X70:Z70)))</f>
        <v>0</v>
      </c>
      <c r="AB70" s="85">
        <f>IF($F70&lt;=0,0,IF(SUM($X70:AA70)+($W$30*$H70)/$F70&lt;($W$30*$H70),($W$30*$H70)/$F70,($W$30*$H70)-SUM($X70:AA70)))</f>
        <v>0</v>
      </c>
      <c r="AC70" s="85">
        <f>IF($F70&lt;=0,0,IF(SUM($X70:AB70)+($W$30*$H70)/$F70&lt;($W$30*$H70),($W$30*$H70)/$F70,($W$30*$H70)-SUM($X70:AB70)))</f>
        <v>0</v>
      </c>
      <c r="AD70" s="85">
        <f>IF($F70&lt;=0,0,IF(SUM($X70:AC70)+($W$30*$H70)/$F70&lt;($W$30*$H70),($W$30*$H70)/$F70,($W$30*$H70)-SUM($X70:AC70)))</f>
        <v>0</v>
      </c>
      <c r="AE70" s="85">
        <f>IF($F70&lt;=0,0,IF(SUM($X70:AD70)+($W$30*$H70)/$F70&lt;($W$30*$H70),($W$30*$H70)/$F70,($W$30*$H70)-SUM($X70:AD70)))</f>
        <v>0</v>
      </c>
      <c r="AF70" s="85">
        <f>IF($F70&lt;=0,0,IF(SUM($X70:AE70)+($W$30*$H70)/$F70&lt;($W$30*$H70),($W$30*$H70)/$F70,($W$30*$H70)-SUM($X70:AE70)))</f>
        <v>0</v>
      </c>
      <c r="AG70" s="85">
        <f>IF($F70&lt;=0,0,IF(SUM($X70:AF70)+($W$30*$H70)/$F70&lt;($W$30*$H70),($W$30*$H70)/$F70,($W$30*$H70)-SUM($X70:AF70)))</f>
        <v>0</v>
      </c>
    </row>
    <row r="71" spans="3:33">
      <c r="C71" s="70">
        <v>31</v>
      </c>
      <c r="D71" s="633"/>
      <c r="E71" s="634"/>
      <c r="F71" s="635"/>
      <c r="G71" s="635"/>
      <c r="H71" s="88">
        <f t="shared" si="14"/>
        <v>0</v>
      </c>
      <c r="I71" s="559">
        <f t="shared" si="15"/>
        <v>0</v>
      </c>
      <c r="N71" s="559"/>
      <c r="O71" s="559"/>
      <c r="P71" s="559"/>
      <c r="V71" s="559"/>
      <c r="W71" s="559"/>
      <c r="X71" s="559">
        <f t="shared" si="12"/>
        <v>0</v>
      </c>
      <c r="Y71" s="85">
        <f>IF($F71&lt;=0,0,IF(SUM($X71:X71)+($W$30*$H71)/$F71&lt;($W$30*$H71),($W$30*$H71)/$F71,($W$30*$H71)-SUM($X71:X71)))</f>
        <v>0</v>
      </c>
      <c r="Z71" s="85">
        <f>IF($F71&lt;=0,0,IF(SUM($X71:Y71)+($W$30*$H71)/$F71&lt;($W$30*$H71),($W$30*$H71)/$F71,($W$30*$H71)-SUM($X71:Y71)))</f>
        <v>0</v>
      </c>
      <c r="AA71" s="85">
        <f>IF($F71&lt;=0,0,IF(SUM($X71:Z71)+($W$30*$H71)/$F71&lt;($W$30*$H71),($W$30*$H71)/$F71,($W$30*$H71)-SUM($X71:Z71)))</f>
        <v>0</v>
      </c>
      <c r="AB71" s="85">
        <f>IF($F71&lt;=0,0,IF(SUM($X71:AA71)+($W$30*$H71)/$F71&lt;($W$30*$H71),($W$30*$H71)/$F71,($W$30*$H71)-SUM($X71:AA71)))</f>
        <v>0</v>
      </c>
      <c r="AC71" s="85">
        <f>IF($F71&lt;=0,0,IF(SUM($X71:AB71)+($W$30*$H71)/$F71&lt;($W$30*$H71),($W$30*$H71)/$F71,($W$30*$H71)-SUM($X71:AB71)))</f>
        <v>0</v>
      </c>
      <c r="AD71" s="85">
        <f>IF($F71&lt;=0,0,IF(SUM($X71:AC71)+($W$30*$H71)/$F71&lt;($W$30*$H71),($W$30*$H71)/$F71,($W$30*$H71)-SUM($X71:AC71)))</f>
        <v>0</v>
      </c>
      <c r="AE71" s="85">
        <f>IF($F71&lt;=0,0,IF(SUM($X71:AD71)+($W$30*$H71)/$F71&lt;($W$30*$H71),($W$30*$H71)/$F71,($W$30*$H71)-SUM($X71:AD71)))</f>
        <v>0</v>
      </c>
      <c r="AF71" s="85">
        <f>IF($F71&lt;=0,0,IF(SUM($X71:AE71)+($W$30*$H71)/$F71&lt;($W$30*$H71),($W$30*$H71)/$F71,($W$30*$H71)-SUM($X71:AE71)))</f>
        <v>0</v>
      </c>
      <c r="AG71" s="85">
        <f>IF($F71&lt;=0,0,IF(SUM($X71:AF71)+($W$30*$H71)/$F71&lt;($W$30*$H71),($W$30*$H71)/$F71,($W$30*$H71)-SUM($X71:AF71)))</f>
        <v>0</v>
      </c>
    </row>
    <row r="72" spans="3:33">
      <c r="C72" s="70">
        <v>32</v>
      </c>
      <c r="D72" s="633"/>
      <c r="E72" s="634"/>
      <c r="F72" s="635"/>
      <c r="G72" s="635"/>
      <c r="H72" s="88">
        <f t="shared" si="14"/>
        <v>0</v>
      </c>
      <c r="I72" s="559">
        <f t="shared" si="15"/>
        <v>0</v>
      </c>
      <c r="N72" s="559"/>
      <c r="O72" s="559"/>
      <c r="P72" s="559"/>
      <c r="V72" s="559"/>
      <c r="W72" s="559"/>
      <c r="X72" s="559">
        <f t="shared" si="12"/>
        <v>0</v>
      </c>
      <c r="Y72" s="85">
        <f>IF($F72&lt;=0,0,IF(SUM($X72:X72)+($W$30*$H72)/$F72&lt;($W$30*$H72),($W$30*$H72)/$F72,($W$30*$H72)-SUM($X72:X72)))</f>
        <v>0</v>
      </c>
      <c r="Z72" s="85">
        <f>IF($F72&lt;=0,0,IF(SUM($X72:Y72)+($W$30*$H72)/$F72&lt;($W$30*$H72),($W$30*$H72)/$F72,($W$30*$H72)-SUM($X72:Y72)))</f>
        <v>0</v>
      </c>
      <c r="AA72" s="85">
        <f>IF($F72&lt;=0,0,IF(SUM($X72:Z72)+($W$30*$H72)/$F72&lt;($W$30*$H72),($W$30*$H72)/$F72,($W$30*$H72)-SUM($X72:Z72)))</f>
        <v>0</v>
      </c>
      <c r="AB72" s="85">
        <f>IF($F72&lt;=0,0,IF(SUM($X72:AA72)+($W$30*$H72)/$F72&lt;($W$30*$H72),($W$30*$H72)/$F72,($W$30*$H72)-SUM($X72:AA72)))</f>
        <v>0</v>
      </c>
      <c r="AC72" s="85">
        <f>IF($F72&lt;=0,0,IF(SUM($X72:AB72)+($W$30*$H72)/$F72&lt;($W$30*$H72),($W$30*$H72)/$F72,($W$30*$H72)-SUM($X72:AB72)))</f>
        <v>0</v>
      </c>
      <c r="AD72" s="85">
        <f>IF($F72&lt;=0,0,IF(SUM($X72:AC72)+($W$30*$H72)/$F72&lt;($W$30*$H72),($W$30*$H72)/$F72,($W$30*$H72)-SUM($X72:AC72)))</f>
        <v>0</v>
      </c>
      <c r="AE72" s="85">
        <f>IF($F72&lt;=0,0,IF(SUM($X72:AD72)+($W$30*$H72)/$F72&lt;($W$30*$H72),($W$30*$H72)/$F72,($W$30*$H72)-SUM($X72:AD72)))</f>
        <v>0</v>
      </c>
      <c r="AF72" s="85">
        <f>IF($F72&lt;=0,0,IF(SUM($X72:AE72)+($W$30*$H72)/$F72&lt;($W$30*$H72),($W$30*$H72)/$F72,($W$30*$H72)-SUM($X72:AE72)))</f>
        <v>0</v>
      </c>
      <c r="AG72" s="85">
        <f>IF($F72&lt;=0,0,IF(SUM($X72:AF72)+($W$30*$H72)/$F72&lt;($W$30*$H72),($W$30*$H72)/$F72,($W$30*$H72)-SUM($X72:AF72)))</f>
        <v>0</v>
      </c>
    </row>
    <row r="73" spans="3:33">
      <c r="C73" s="70">
        <v>33</v>
      </c>
      <c r="D73" s="633"/>
      <c r="E73" s="634"/>
      <c r="F73" s="635"/>
      <c r="G73" s="635"/>
      <c r="H73" s="88">
        <f t="shared" si="14"/>
        <v>0</v>
      </c>
      <c r="I73" s="559">
        <f t="shared" si="15"/>
        <v>0</v>
      </c>
      <c r="N73" s="559"/>
      <c r="O73" s="559"/>
      <c r="P73" s="559"/>
      <c r="V73" s="559"/>
      <c r="W73" s="559"/>
      <c r="X73" s="559">
        <f t="shared" si="12"/>
        <v>0</v>
      </c>
      <c r="Y73" s="85">
        <f>IF($F73&lt;=0,0,IF(SUM($X73:X73)+($W$30*$H73)/$F73&lt;($W$30*$H73),($W$30*$H73)/$F73,($W$30*$H73)-SUM($X73:X73)))</f>
        <v>0</v>
      </c>
      <c r="Z73" s="85">
        <f>IF($F73&lt;=0,0,IF(SUM($X73:Y73)+($W$30*$H73)/$F73&lt;($W$30*$H73),($W$30*$H73)/$F73,($W$30*$H73)-SUM($X73:Y73)))</f>
        <v>0</v>
      </c>
      <c r="AA73" s="85">
        <f>IF($F73&lt;=0,0,IF(SUM($X73:Z73)+($W$30*$H73)/$F73&lt;($W$30*$H73),($W$30*$H73)/$F73,($W$30*$H73)-SUM($X73:Z73)))</f>
        <v>0</v>
      </c>
      <c r="AB73" s="85">
        <f>IF($F73&lt;=0,0,IF(SUM($X73:AA73)+($W$30*$H73)/$F73&lt;($W$30*$H73),($W$30*$H73)/$F73,($W$30*$H73)-SUM($X73:AA73)))</f>
        <v>0</v>
      </c>
      <c r="AC73" s="85">
        <f>IF($F73&lt;=0,0,IF(SUM($X73:AB73)+($W$30*$H73)/$F73&lt;($W$30*$H73),($W$30*$H73)/$F73,($W$30*$H73)-SUM($X73:AB73)))</f>
        <v>0</v>
      </c>
      <c r="AD73" s="85">
        <f>IF($F73&lt;=0,0,IF(SUM($X73:AC73)+($W$30*$H73)/$F73&lt;($W$30*$H73),($W$30*$H73)/$F73,($W$30*$H73)-SUM($X73:AC73)))</f>
        <v>0</v>
      </c>
      <c r="AE73" s="85">
        <f>IF($F73&lt;=0,0,IF(SUM($X73:AD73)+($W$30*$H73)/$F73&lt;($W$30*$H73),($W$30*$H73)/$F73,($W$30*$H73)-SUM($X73:AD73)))</f>
        <v>0</v>
      </c>
      <c r="AF73" s="85">
        <f>IF($F73&lt;=0,0,IF(SUM($X73:AE73)+($W$30*$H73)/$F73&lt;($W$30*$H73),($W$30*$H73)/$F73,($W$30*$H73)-SUM($X73:AE73)))</f>
        <v>0</v>
      </c>
      <c r="AG73" s="85">
        <f>IF($F73&lt;=0,0,IF(SUM($X73:AF73)+($W$30*$H73)/$F73&lt;($W$30*$H73),($W$30*$H73)/$F73,($W$30*$H73)-SUM($X73:AF73)))</f>
        <v>0</v>
      </c>
    </row>
    <row r="74" spans="3:33">
      <c r="C74" s="70">
        <v>34</v>
      </c>
      <c r="D74" s="633"/>
      <c r="E74" s="634"/>
      <c r="F74" s="635"/>
      <c r="G74" s="635"/>
      <c r="H74" s="88">
        <f t="shared" si="14"/>
        <v>0</v>
      </c>
      <c r="I74" s="559">
        <f t="shared" si="15"/>
        <v>0</v>
      </c>
      <c r="N74" s="559"/>
      <c r="O74" s="559"/>
      <c r="P74" s="559"/>
      <c r="V74" s="559"/>
      <c r="W74" s="559"/>
      <c r="X74" s="559">
        <f t="shared" si="12"/>
        <v>0</v>
      </c>
      <c r="Y74" s="85">
        <f>IF($F74&lt;=0,0,IF(SUM($X74:X74)+($W$30*$H74)/$F74&lt;($W$30*$H74),($W$30*$H74)/$F74,($W$30*$H74)-SUM($X74:X74)))</f>
        <v>0</v>
      </c>
      <c r="Z74" s="85">
        <f>IF($F74&lt;=0,0,IF(SUM($X74:Y74)+($W$30*$H74)/$F74&lt;($W$30*$H74),($W$30*$H74)/$F74,($W$30*$H74)-SUM($X74:Y74)))</f>
        <v>0</v>
      </c>
      <c r="AA74" s="85">
        <f>IF($F74&lt;=0,0,IF(SUM($X74:Z74)+($W$30*$H74)/$F74&lt;($W$30*$H74),($W$30*$H74)/$F74,($W$30*$H74)-SUM($X74:Z74)))</f>
        <v>0</v>
      </c>
      <c r="AB74" s="85">
        <f>IF($F74&lt;=0,0,IF(SUM($X74:AA74)+($W$30*$H74)/$F74&lt;($W$30*$H74),($W$30*$H74)/$F74,($W$30*$H74)-SUM($X74:AA74)))</f>
        <v>0</v>
      </c>
      <c r="AC74" s="85">
        <f>IF($F74&lt;=0,0,IF(SUM($X74:AB74)+($W$30*$H74)/$F74&lt;($W$30*$H74),($W$30*$H74)/$F74,($W$30*$H74)-SUM($X74:AB74)))</f>
        <v>0</v>
      </c>
      <c r="AD74" s="85">
        <f>IF($F74&lt;=0,0,IF(SUM($X74:AC74)+($W$30*$H74)/$F74&lt;($W$30*$H74),($W$30*$H74)/$F74,($W$30*$H74)-SUM($X74:AC74)))</f>
        <v>0</v>
      </c>
      <c r="AE74" s="85">
        <f>IF($F74&lt;=0,0,IF(SUM($X74:AD74)+($W$30*$H74)/$F74&lt;($W$30*$H74),($W$30*$H74)/$F74,($W$30*$H74)-SUM($X74:AD74)))</f>
        <v>0</v>
      </c>
      <c r="AF74" s="85">
        <f>IF($F74&lt;=0,0,IF(SUM($X74:AE74)+($W$30*$H74)/$F74&lt;($W$30*$H74),($W$30*$H74)/$F74,($W$30*$H74)-SUM($X74:AE74)))</f>
        <v>0</v>
      </c>
      <c r="AG74" s="85">
        <f>IF($F74&lt;=0,0,IF(SUM($X74:AF74)+($W$30*$H74)/$F74&lt;($W$30*$H74),($W$30*$H74)/$F74,($W$30*$H74)-SUM($X74:AF74)))</f>
        <v>0</v>
      </c>
    </row>
    <row r="75" spans="3:33">
      <c r="C75" s="70">
        <v>35</v>
      </c>
      <c r="D75" s="633"/>
      <c r="E75" s="634"/>
      <c r="F75" s="635"/>
      <c r="G75" s="635"/>
      <c r="H75" s="88">
        <f t="shared" si="14"/>
        <v>0</v>
      </c>
      <c r="I75" s="559">
        <f t="shared" si="15"/>
        <v>0</v>
      </c>
      <c r="N75" s="559"/>
      <c r="O75" s="559"/>
      <c r="P75" s="559"/>
      <c r="V75" s="559"/>
      <c r="W75" s="559"/>
      <c r="X75" s="559">
        <f t="shared" si="12"/>
        <v>0</v>
      </c>
      <c r="Y75" s="85">
        <f>IF($F75&lt;=0,0,IF(SUM($X75:X75)+($W$30*$H75)/$F75&lt;($W$30*$H75),($W$30*$H75)/$F75,($W$30*$H75)-SUM($X75:X75)))</f>
        <v>0</v>
      </c>
      <c r="Z75" s="85">
        <f>IF($F75&lt;=0,0,IF(SUM($X75:Y75)+($W$30*$H75)/$F75&lt;($W$30*$H75),($W$30*$H75)/$F75,($W$30*$H75)-SUM($X75:Y75)))</f>
        <v>0</v>
      </c>
      <c r="AA75" s="85">
        <f>IF($F75&lt;=0,0,IF(SUM($X75:Z75)+($W$30*$H75)/$F75&lt;($W$30*$H75),($W$30*$H75)/$F75,($W$30*$H75)-SUM($X75:Z75)))</f>
        <v>0</v>
      </c>
      <c r="AB75" s="85">
        <f>IF($F75&lt;=0,0,IF(SUM($X75:AA75)+($W$30*$H75)/$F75&lt;($W$30*$H75),($W$30*$H75)/$F75,($W$30*$H75)-SUM($X75:AA75)))</f>
        <v>0</v>
      </c>
      <c r="AC75" s="85">
        <f>IF($F75&lt;=0,0,IF(SUM($X75:AB75)+($W$30*$H75)/$F75&lt;($W$30*$H75),($W$30*$H75)/$F75,($W$30*$H75)-SUM($X75:AB75)))</f>
        <v>0</v>
      </c>
      <c r="AD75" s="85">
        <f>IF($F75&lt;=0,0,IF(SUM($X75:AC75)+($W$30*$H75)/$F75&lt;($W$30*$H75),($W$30*$H75)/$F75,($W$30*$H75)-SUM($X75:AC75)))</f>
        <v>0</v>
      </c>
      <c r="AE75" s="85">
        <f>IF($F75&lt;=0,0,IF(SUM($X75:AD75)+($W$30*$H75)/$F75&lt;($W$30*$H75),($W$30*$H75)/$F75,($W$30*$H75)-SUM($X75:AD75)))</f>
        <v>0</v>
      </c>
      <c r="AF75" s="85">
        <f>IF($F75&lt;=0,0,IF(SUM($X75:AE75)+($W$30*$H75)/$F75&lt;($W$30*$H75),($W$30*$H75)/$F75,($W$30*$H75)-SUM($X75:AE75)))</f>
        <v>0</v>
      </c>
      <c r="AG75" s="85">
        <f>IF($F75&lt;=0,0,IF(SUM($X75:AF75)+($W$30*$H75)/$F75&lt;($W$30*$H75),($W$30*$H75)/$F75,($W$30*$H75)-SUM($X75:AF75)))</f>
        <v>0</v>
      </c>
    </row>
    <row r="76" spans="3:33">
      <c r="C76" s="70">
        <v>36</v>
      </c>
      <c r="D76" s="633"/>
      <c r="E76" s="634"/>
      <c r="F76" s="635"/>
      <c r="G76" s="635"/>
      <c r="H76" s="88">
        <f t="shared" si="14"/>
        <v>0</v>
      </c>
      <c r="I76" s="559">
        <f t="shared" si="15"/>
        <v>0</v>
      </c>
      <c r="N76" s="559"/>
      <c r="O76" s="559"/>
      <c r="P76" s="559"/>
      <c r="V76" s="559"/>
      <c r="W76" s="559"/>
      <c r="X76" s="559">
        <f t="shared" si="12"/>
        <v>0</v>
      </c>
      <c r="Y76" s="85">
        <f>IF($F76&lt;=0,0,IF(SUM($X76:X76)+($W$30*$H76)/$F76&lt;($W$30*$H76),($W$30*$H76)/$F76,($W$30*$H76)-SUM($X76:X76)))</f>
        <v>0</v>
      </c>
      <c r="Z76" s="85">
        <f>IF($F76&lt;=0,0,IF(SUM($X76:Y76)+($W$30*$H76)/$F76&lt;($W$30*$H76),($W$30*$H76)/$F76,($W$30*$H76)-SUM($X76:Y76)))</f>
        <v>0</v>
      </c>
      <c r="AA76" s="85">
        <f>IF($F76&lt;=0,0,IF(SUM($X76:Z76)+($W$30*$H76)/$F76&lt;($W$30*$H76),($W$30*$H76)/$F76,($W$30*$H76)-SUM($X76:Z76)))</f>
        <v>0</v>
      </c>
      <c r="AB76" s="85">
        <f>IF($F76&lt;=0,0,IF(SUM($X76:AA76)+($W$30*$H76)/$F76&lt;($W$30*$H76),($W$30*$H76)/$F76,($W$30*$H76)-SUM($X76:AA76)))</f>
        <v>0</v>
      </c>
      <c r="AC76" s="85">
        <f>IF($F76&lt;=0,0,IF(SUM($X76:AB76)+($W$30*$H76)/$F76&lt;($W$30*$H76),($W$30*$H76)/$F76,($W$30*$H76)-SUM($X76:AB76)))</f>
        <v>0</v>
      </c>
      <c r="AD76" s="85">
        <f>IF($F76&lt;=0,0,IF(SUM($X76:AC76)+($W$30*$H76)/$F76&lt;($W$30*$H76),($W$30*$H76)/$F76,($W$30*$H76)-SUM($X76:AC76)))</f>
        <v>0</v>
      </c>
      <c r="AE76" s="85">
        <f>IF($F76&lt;=0,0,IF(SUM($X76:AD76)+($W$30*$H76)/$F76&lt;($W$30*$H76),($W$30*$H76)/$F76,($W$30*$H76)-SUM($X76:AD76)))</f>
        <v>0</v>
      </c>
      <c r="AF76" s="85">
        <f>IF($F76&lt;=0,0,IF(SUM($X76:AE76)+($W$30*$H76)/$F76&lt;($W$30*$H76),($W$30*$H76)/$F76,($W$30*$H76)-SUM($X76:AE76)))</f>
        <v>0</v>
      </c>
      <c r="AG76" s="85">
        <f>IF($F76&lt;=0,0,IF(SUM($X76:AF76)+($W$30*$H76)/$F76&lt;($W$30*$H76),($W$30*$H76)/$F76,($W$30*$H76)-SUM($X76:AF76)))</f>
        <v>0</v>
      </c>
    </row>
    <row r="77" spans="3:33">
      <c r="C77" s="70">
        <v>37</v>
      </c>
      <c r="D77" s="633"/>
      <c r="E77" s="634"/>
      <c r="F77" s="635"/>
      <c r="G77" s="635"/>
      <c r="H77" s="88">
        <f t="shared" si="14"/>
        <v>0</v>
      </c>
      <c r="I77" s="559">
        <f t="shared" si="15"/>
        <v>0</v>
      </c>
      <c r="N77" s="559"/>
      <c r="O77" s="559"/>
      <c r="P77" s="559"/>
      <c r="V77" s="559"/>
      <c r="W77" s="559"/>
      <c r="X77" s="559">
        <f t="shared" si="12"/>
        <v>0</v>
      </c>
      <c r="Y77" s="85">
        <f>IF($F77&lt;=0,0,IF(SUM($X77:X77)+($W$30*$H77)/$F77&lt;($W$30*$H77),($W$30*$H77)/$F77,($W$30*$H77)-SUM($X77:X77)))</f>
        <v>0</v>
      </c>
      <c r="Z77" s="85">
        <f>IF($F77&lt;=0,0,IF(SUM($X77:Y77)+($W$30*$H77)/$F77&lt;($W$30*$H77),($W$30*$H77)/$F77,($W$30*$H77)-SUM($X77:Y77)))</f>
        <v>0</v>
      </c>
      <c r="AA77" s="85">
        <f>IF($F77&lt;=0,0,IF(SUM($X77:Z77)+($W$30*$H77)/$F77&lt;($W$30*$H77),($W$30*$H77)/$F77,($W$30*$H77)-SUM($X77:Z77)))</f>
        <v>0</v>
      </c>
      <c r="AB77" s="85">
        <f>IF($F77&lt;=0,0,IF(SUM($X77:AA77)+($W$30*$H77)/$F77&lt;($W$30*$H77),($W$30*$H77)/$F77,($W$30*$H77)-SUM($X77:AA77)))</f>
        <v>0</v>
      </c>
      <c r="AC77" s="85">
        <f>IF($F77&lt;=0,0,IF(SUM($X77:AB77)+($W$30*$H77)/$F77&lt;($W$30*$H77),($W$30*$H77)/$F77,($W$30*$H77)-SUM($X77:AB77)))</f>
        <v>0</v>
      </c>
      <c r="AD77" s="85">
        <f>IF($F77&lt;=0,0,IF(SUM($X77:AC77)+($W$30*$H77)/$F77&lt;($W$30*$H77),($W$30*$H77)/$F77,($W$30*$H77)-SUM($X77:AC77)))</f>
        <v>0</v>
      </c>
      <c r="AE77" s="85">
        <f>IF($F77&lt;=0,0,IF(SUM($X77:AD77)+($W$30*$H77)/$F77&lt;($W$30*$H77),($W$30*$H77)/$F77,($W$30*$H77)-SUM($X77:AD77)))</f>
        <v>0</v>
      </c>
      <c r="AF77" s="85">
        <f>IF($F77&lt;=0,0,IF(SUM($X77:AE77)+($W$30*$H77)/$F77&lt;($W$30*$H77),($W$30*$H77)/$F77,($W$30*$H77)-SUM($X77:AE77)))</f>
        <v>0</v>
      </c>
      <c r="AG77" s="85">
        <f>IF($F77&lt;=0,0,IF(SUM($X77:AF77)+($W$30*$H77)/$F77&lt;($W$30*$H77),($W$30*$H77)/$F77,($W$30*$H77)-SUM($X77:AF77)))</f>
        <v>0</v>
      </c>
    </row>
    <row r="78" spans="3:33">
      <c r="C78" s="70">
        <v>38</v>
      </c>
      <c r="D78" s="633"/>
      <c r="E78" s="634"/>
      <c r="F78" s="635"/>
      <c r="G78" s="635"/>
      <c r="H78" s="88">
        <f t="shared" si="14"/>
        <v>0</v>
      </c>
      <c r="I78" s="559">
        <f t="shared" si="15"/>
        <v>0</v>
      </c>
      <c r="N78" s="559"/>
      <c r="O78" s="559"/>
      <c r="P78" s="559"/>
      <c r="V78" s="559"/>
      <c r="W78" s="559"/>
      <c r="X78" s="559">
        <f t="shared" si="12"/>
        <v>0</v>
      </c>
      <c r="Y78" s="85">
        <f>IF($F78&lt;=0,0,IF(SUM($X78:X78)+($W$30*$H78)/$F78&lt;($W$30*$H78),($W$30*$H78)/$F78,($W$30*$H78)-SUM($X78:X78)))</f>
        <v>0</v>
      </c>
      <c r="Z78" s="85">
        <f>IF($F78&lt;=0,0,IF(SUM($X78:Y78)+($W$30*$H78)/$F78&lt;($W$30*$H78),($W$30*$H78)/$F78,($W$30*$H78)-SUM($X78:Y78)))</f>
        <v>0</v>
      </c>
      <c r="AA78" s="85">
        <f>IF($F78&lt;=0,0,IF(SUM($X78:Z78)+($W$30*$H78)/$F78&lt;($W$30*$H78),($W$30*$H78)/$F78,($W$30*$H78)-SUM($X78:Z78)))</f>
        <v>0</v>
      </c>
      <c r="AB78" s="85">
        <f>IF($F78&lt;=0,0,IF(SUM($X78:AA78)+($W$30*$H78)/$F78&lt;($W$30*$H78),($W$30*$H78)/$F78,($W$30*$H78)-SUM($X78:AA78)))</f>
        <v>0</v>
      </c>
      <c r="AC78" s="85">
        <f>IF($F78&lt;=0,0,IF(SUM($X78:AB78)+($W$30*$H78)/$F78&lt;($W$30*$H78),($W$30*$H78)/$F78,($W$30*$H78)-SUM($X78:AB78)))</f>
        <v>0</v>
      </c>
      <c r="AD78" s="85">
        <f>IF($F78&lt;=0,0,IF(SUM($X78:AC78)+($W$30*$H78)/$F78&lt;($W$30*$H78),($W$30*$H78)/$F78,($W$30*$H78)-SUM($X78:AC78)))</f>
        <v>0</v>
      </c>
      <c r="AE78" s="85">
        <f>IF($F78&lt;=0,0,IF(SUM($X78:AD78)+($W$30*$H78)/$F78&lt;($W$30*$H78),($W$30*$H78)/$F78,($W$30*$H78)-SUM($X78:AD78)))</f>
        <v>0</v>
      </c>
      <c r="AF78" s="85">
        <f>IF($F78&lt;=0,0,IF(SUM($X78:AE78)+($W$30*$H78)/$F78&lt;($W$30*$H78),($W$30*$H78)/$F78,($W$30*$H78)-SUM($X78:AE78)))</f>
        <v>0</v>
      </c>
      <c r="AG78" s="85">
        <f>IF($F78&lt;=0,0,IF(SUM($X78:AF78)+($W$30*$H78)/$F78&lt;($W$30*$H78),($W$30*$H78)/$F78,($W$30*$H78)-SUM($X78:AF78)))</f>
        <v>0</v>
      </c>
    </row>
    <row r="79" spans="3:33">
      <c r="C79" s="70">
        <v>39</v>
      </c>
      <c r="D79" s="633"/>
      <c r="E79" s="634"/>
      <c r="F79" s="635"/>
      <c r="G79" s="635"/>
      <c r="H79" s="88">
        <f t="shared" si="14"/>
        <v>0</v>
      </c>
      <c r="I79" s="559">
        <f t="shared" si="15"/>
        <v>0</v>
      </c>
      <c r="N79" s="559"/>
      <c r="O79" s="559"/>
      <c r="P79" s="559"/>
      <c r="V79" s="559"/>
      <c r="W79" s="559"/>
      <c r="X79" s="559">
        <f t="shared" si="12"/>
        <v>0</v>
      </c>
      <c r="Y79" s="85">
        <f>IF($F79&lt;=0,0,IF(SUM($X79:X79)+($W$30*$H79)/$F79&lt;($W$30*$H79),($W$30*$H79)/$F79,($W$30*$H79)-SUM($X79:X79)))</f>
        <v>0</v>
      </c>
      <c r="Z79" s="85">
        <f>IF($F79&lt;=0,0,IF(SUM($X79:Y79)+($W$30*$H79)/$F79&lt;($W$30*$H79),($W$30*$H79)/$F79,($W$30*$H79)-SUM($X79:Y79)))</f>
        <v>0</v>
      </c>
      <c r="AA79" s="85">
        <f>IF($F79&lt;=0,0,IF(SUM($X79:Z79)+($W$30*$H79)/$F79&lt;($W$30*$H79),($W$30*$H79)/$F79,($W$30*$H79)-SUM($X79:Z79)))</f>
        <v>0</v>
      </c>
      <c r="AB79" s="85">
        <f>IF($F79&lt;=0,0,IF(SUM($X79:AA79)+($W$30*$H79)/$F79&lt;($W$30*$H79),($W$30*$H79)/$F79,($W$30*$H79)-SUM($X79:AA79)))</f>
        <v>0</v>
      </c>
      <c r="AC79" s="85">
        <f>IF($F79&lt;=0,0,IF(SUM($X79:AB79)+($W$30*$H79)/$F79&lt;($W$30*$H79),($W$30*$H79)/$F79,($W$30*$H79)-SUM($X79:AB79)))</f>
        <v>0</v>
      </c>
      <c r="AD79" s="85">
        <f>IF($F79&lt;=0,0,IF(SUM($X79:AC79)+($W$30*$H79)/$F79&lt;($W$30*$H79),($W$30*$H79)/$F79,($W$30*$H79)-SUM($X79:AC79)))</f>
        <v>0</v>
      </c>
      <c r="AE79" s="85">
        <f>IF($F79&lt;=0,0,IF(SUM($X79:AD79)+($W$30*$H79)/$F79&lt;($W$30*$H79),($W$30*$H79)/$F79,($W$30*$H79)-SUM($X79:AD79)))</f>
        <v>0</v>
      </c>
      <c r="AF79" s="85">
        <f>IF($F79&lt;=0,0,IF(SUM($X79:AE79)+($W$30*$H79)/$F79&lt;($W$30*$H79),($W$30*$H79)/$F79,($W$30*$H79)-SUM($X79:AE79)))</f>
        <v>0</v>
      </c>
      <c r="AG79" s="85">
        <f>IF($F79&lt;=0,0,IF(SUM($X79:AF79)+($W$30*$H79)/$F79&lt;($W$30*$H79),($W$30*$H79)/$F79,($W$30*$H79)-SUM($X79:AF79)))</f>
        <v>0</v>
      </c>
    </row>
    <row r="80" spans="3:33">
      <c r="C80" s="70">
        <v>40</v>
      </c>
      <c r="D80" s="633"/>
      <c r="E80" s="634"/>
      <c r="F80" s="635"/>
      <c r="G80" s="635"/>
      <c r="H80" s="88">
        <f t="shared" si="14"/>
        <v>0</v>
      </c>
      <c r="I80" s="559">
        <f t="shared" si="15"/>
        <v>0</v>
      </c>
      <c r="N80" s="559"/>
      <c r="O80" s="559"/>
      <c r="P80" s="559"/>
      <c r="V80" s="559"/>
      <c r="W80" s="559"/>
      <c r="X80" s="559">
        <f t="shared" si="12"/>
        <v>0</v>
      </c>
      <c r="Y80" s="85">
        <f>IF($F80&lt;=0,0,IF(SUM($X80:X80)+($W$30*$H80)/$F80&lt;($W$30*$H80),($W$30*$H80)/$F80,($W$30*$H80)-SUM($X80:X80)))</f>
        <v>0</v>
      </c>
      <c r="Z80" s="85">
        <f>IF($F80&lt;=0,0,IF(SUM($X80:Y80)+($W$30*$H80)/$F80&lt;($W$30*$H80),($W$30*$H80)/$F80,($W$30*$H80)-SUM($X80:Y80)))</f>
        <v>0</v>
      </c>
      <c r="AA80" s="85">
        <f>IF($F80&lt;=0,0,IF(SUM($X80:Z80)+($W$30*$H80)/$F80&lt;($W$30*$H80),($W$30*$H80)/$F80,($W$30*$H80)-SUM($X80:Z80)))</f>
        <v>0</v>
      </c>
      <c r="AB80" s="85">
        <f>IF($F80&lt;=0,0,IF(SUM($X80:AA80)+($W$30*$H80)/$F80&lt;($W$30*$H80),($W$30*$H80)/$F80,($W$30*$H80)-SUM($X80:AA80)))</f>
        <v>0</v>
      </c>
      <c r="AC80" s="85">
        <f>IF($F80&lt;=0,0,IF(SUM($X80:AB80)+($W$30*$H80)/$F80&lt;($W$30*$H80),($W$30*$H80)/$F80,($W$30*$H80)-SUM($X80:AB80)))</f>
        <v>0</v>
      </c>
      <c r="AD80" s="85">
        <f>IF($F80&lt;=0,0,IF(SUM($X80:AC80)+($W$30*$H80)/$F80&lt;($W$30*$H80),($W$30*$H80)/$F80,($W$30*$H80)-SUM($X80:AC80)))</f>
        <v>0</v>
      </c>
      <c r="AE80" s="85">
        <f>IF($F80&lt;=0,0,IF(SUM($X80:AD80)+($W$30*$H80)/$F80&lt;($W$30*$H80),($W$30*$H80)/$F80,($W$30*$H80)-SUM($X80:AD80)))</f>
        <v>0</v>
      </c>
      <c r="AF80" s="85">
        <f>IF($F80&lt;=0,0,IF(SUM($X80:AE80)+($W$30*$H80)/$F80&lt;($W$30*$H80),($W$30*$H80)/$F80,($W$30*$H80)-SUM($X80:AE80)))</f>
        <v>0</v>
      </c>
      <c r="AG80" s="85">
        <f>IF($F80&lt;=0,0,IF(SUM($X80:AF80)+($W$30*$H80)/$F80&lt;($W$30*$H80),($W$30*$H80)/$F80,($W$30*$H80)-SUM($X80:AF80)))</f>
        <v>0</v>
      </c>
    </row>
    <row r="81" spans="4:33">
      <c r="D81" s="60"/>
      <c r="N81" s="232"/>
      <c r="O81" s="232"/>
      <c r="P81" s="232"/>
      <c r="V81" s="232"/>
      <c r="W81" s="232"/>
    </row>
    <row r="82" spans="4:33" ht="12.75" thickBot="1">
      <c r="D82" s="104" t="s">
        <v>213</v>
      </c>
      <c r="G82" s="622">
        <f>+SUM(G41:G81)</f>
        <v>548.79352479933482</v>
      </c>
      <c r="I82" s="622">
        <f>SUM(I41:I81)</f>
        <v>29.891057328843793</v>
      </c>
      <c r="N82" s="623"/>
      <c r="O82" s="623"/>
      <c r="P82" s="623"/>
      <c r="V82" s="623"/>
      <c r="W82" s="624" t="s">
        <v>596</v>
      </c>
      <c r="X82" s="622">
        <f>+SUM(X41:X81)</f>
        <v>19.289701150329222</v>
      </c>
      <c r="Y82" s="622">
        <f t="shared" ref="Y82:AG82" si="16">+SUM(Y41:Y81)</f>
        <v>19.289701150329222</v>
      </c>
      <c r="Z82" s="622">
        <f t="shared" si="16"/>
        <v>19.289701150329222</v>
      </c>
      <c r="AA82" s="622">
        <f t="shared" si="16"/>
        <v>19.289701150329222</v>
      </c>
      <c r="AB82" s="622">
        <f t="shared" si="16"/>
        <v>19.289701150329222</v>
      </c>
      <c r="AC82" s="622">
        <f t="shared" si="16"/>
        <v>19.289701150329222</v>
      </c>
      <c r="AD82" s="622">
        <f t="shared" si="16"/>
        <v>19.289701150329222</v>
      </c>
      <c r="AE82" s="622">
        <f t="shared" si="16"/>
        <v>19.289701150329222</v>
      </c>
      <c r="AF82" s="622">
        <f t="shared" si="16"/>
        <v>19.289701150329222</v>
      </c>
      <c r="AG82" s="622">
        <f t="shared" si="16"/>
        <v>19.289701150329222</v>
      </c>
    </row>
    <row r="84" spans="4:33">
      <c r="E84" s="423"/>
      <c r="F84" s="625" t="s">
        <v>544</v>
      </c>
      <c r="G84" s="626">
        <f>+W30</f>
        <v>512.60235118726871</v>
      </c>
      <c r="N84" s="85"/>
      <c r="O84" s="85"/>
      <c r="P84" s="85"/>
      <c r="Q84" s="85"/>
      <c r="R84" s="85"/>
    </row>
    <row r="85" spans="4:33">
      <c r="E85" s="423"/>
      <c r="F85" s="625" t="s">
        <v>469</v>
      </c>
      <c r="G85" s="627">
        <f>G82-G84</f>
        <v>36.191173612066109</v>
      </c>
    </row>
    <row r="86" spans="4:33">
      <c r="M86" s="628"/>
      <c r="N86" s="629"/>
      <c r="O86" s="629"/>
      <c r="P86" s="629"/>
      <c r="Q86" s="629"/>
      <c r="R86" s="629"/>
      <c r="S86" s="629"/>
      <c r="T86" s="629"/>
      <c r="U86" s="629"/>
      <c r="V86" s="629"/>
      <c r="W86" s="629"/>
      <c r="X86" s="629"/>
      <c r="Y86" s="629"/>
      <c r="Z86" s="629"/>
      <c r="AA86" s="629"/>
      <c r="AB86" s="629"/>
    </row>
  </sheetData>
  <sheetProtection algorithmName="SHA-512" hashValue="QoXLHPDsYixFvdAIzXqlM/ROzpauPguZ6OKLwBe1q0kE+D5wvjFHHAtHyfISBkUsH2SlJ81+Nta6jN9TWVlXow==" saltValue="bwfHfeoa+o8fh9dJezW8UQ==" spinCount="100000" sheet="1" objects="1" scenarios="1"/>
  <mergeCells count="1">
    <mergeCell ref="B3:F3"/>
  </mergeCells>
  <phoneticPr fontId="0" type="noConversion"/>
  <hyperlinks>
    <hyperlink ref="B3" location="HL_Home" tooltip="Go to Table of Contents" display="HL_Home" xr:uid="{00000000-0004-0000-0900-000000000000}"/>
  </hyperlinks>
  <pageMargins left="0.39370078740157499" right="0.39370078740157499" top="0.59055118110236249" bottom="0.98425196850393748" header="0" footer="0.31496062992125973"/>
  <pageSetup paperSize="9" scale="64" orientation="landscape" r:id="rId1"/>
  <headerFooter alignWithMargins="0">
    <oddHeader>&amp;C&amp;"Calibri"&amp;12&amp;KFF0000 OFFICIAL&amp;1#_x000D_&amp;"Arial"&amp;8&amp;K000000&amp;B&amp;"Arial"&amp;12&amp;Kff0000​‌OFFICIAL‌​</oddHeader>
    <oddFooter>&amp;C&amp;"Arial,Bold"&amp;8Sheet f.
Page &amp;P of &amp;N&amp;L&amp;"Arial,Bold"&amp;7&amp;F
&amp;A
Printed: &amp;T on &amp;D</oddFooter>
  </headerFooter>
  <rowBreaks count="1" manualBreakCount="1">
    <brk id="36" min="1" max="2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2">
    <pageSetUpPr autoPageBreaks="0"/>
  </sheetPr>
  <dimension ref="A1:AK71"/>
  <sheetViews>
    <sheetView showGridLines="0" zoomScale="80" zoomScaleNormal="80" workbookViewId="0">
      <pane ySplit="7" topLeftCell="A8" activePane="bottomLeft" state="frozen"/>
      <selection activeCell="R43" sqref="R43"/>
      <selection pane="bottomLeft" activeCell="X14" sqref="X14"/>
    </sheetView>
  </sheetViews>
  <sheetFormatPr defaultColWidth="10.83203125" defaultRowHeight="12" outlineLevelCol="1"/>
  <cols>
    <col min="1" max="5" width="3.83203125" style="70" customWidth="1"/>
    <col min="6" max="6" width="15.6640625" style="70" customWidth="1"/>
    <col min="7" max="7" width="10.83203125" style="70" customWidth="1"/>
    <col min="8" max="8" width="16.83203125" style="70" customWidth="1"/>
    <col min="9" max="9" width="10.83203125" style="70" customWidth="1"/>
    <col min="10" max="10" width="10.83203125" style="74" customWidth="1"/>
    <col min="11" max="11" width="10.83203125" style="70" hidden="1" customWidth="1" outlineLevel="1"/>
    <col min="12" max="13" width="12.33203125" style="70" hidden="1" customWidth="1" outlineLevel="1"/>
    <col min="14" max="14" width="10.83203125" style="70" hidden="1" customWidth="1" outlineLevel="1"/>
    <col min="15" max="15" width="10.83203125" style="70" customWidth="1" collapsed="1"/>
    <col min="16" max="23" width="10.83203125" style="70" customWidth="1"/>
    <col min="24" max="26" width="13" style="70" customWidth="1"/>
    <col min="27" max="28" width="12.33203125" style="70" customWidth="1"/>
    <col min="29" max="33" width="11.6640625" style="70" customWidth="1"/>
    <col min="34" max="16384" width="10.83203125" style="70"/>
  </cols>
  <sheetData>
    <row r="1" spans="1:34" ht="15">
      <c r="A1" s="152">
        <v>80</v>
      </c>
      <c r="B1" s="153" t="s">
        <v>360</v>
      </c>
      <c r="G1" s="232"/>
      <c r="H1" s="232"/>
      <c r="V1" s="232"/>
    </row>
    <row r="2" spans="1:34" ht="12.75">
      <c r="B2" s="155" t="str">
        <f>+Contents!H7</f>
        <v>North East Water</v>
      </c>
    </row>
    <row r="3" spans="1:34">
      <c r="B3" s="2212" t="s">
        <v>0</v>
      </c>
      <c r="C3" s="2212"/>
      <c r="D3" s="2212"/>
      <c r="E3" s="2212"/>
      <c r="F3" s="2212"/>
      <c r="G3" s="159"/>
    </row>
    <row r="4" spans="1:34">
      <c r="A4" s="160"/>
      <c r="B4" s="72"/>
      <c r="C4" s="73"/>
      <c r="F4" s="60"/>
      <c r="J4" s="70"/>
      <c r="K4" s="63"/>
      <c r="L4" s="149"/>
      <c r="M4" s="149" t="s">
        <v>274</v>
      </c>
      <c r="N4" s="149"/>
      <c r="O4" s="149"/>
      <c r="P4" s="1619"/>
      <c r="Q4" s="150"/>
      <c r="R4" s="150"/>
      <c r="S4" s="150"/>
      <c r="T4" s="1619" t="s">
        <v>334</v>
      </c>
      <c r="U4" s="150"/>
      <c r="V4" s="150"/>
      <c r="W4" s="150"/>
      <c r="X4" s="1619"/>
      <c r="Y4" s="150"/>
      <c r="Z4" s="150" t="s">
        <v>465</v>
      </c>
      <c r="AA4" s="150"/>
      <c r="AB4" s="62"/>
      <c r="AC4" s="64"/>
      <c r="AD4" s="64"/>
      <c r="AE4" s="150" t="s">
        <v>949</v>
      </c>
      <c r="AF4" s="63"/>
      <c r="AG4" s="62"/>
    </row>
    <row r="5" spans="1:34">
      <c r="J5" s="70"/>
    </row>
    <row r="6" spans="1:34">
      <c r="B6" s="161"/>
      <c r="F6" s="162" t="s">
        <v>62</v>
      </c>
      <c r="I6" s="66">
        <v>2014</v>
      </c>
      <c r="J6" s="66">
        <v>2015</v>
      </c>
      <c r="K6" s="66">
        <v>2016</v>
      </c>
      <c r="L6" s="66">
        <v>2017</v>
      </c>
      <c r="M6" s="66">
        <v>2018</v>
      </c>
      <c r="N6" s="66">
        <v>2019</v>
      </c>
      <c r="O6" s="66">
        <v>2020</v>
      </c>
      <c r="P6" s="66">
        <v>2021</v>
      </c>
      <c r="Q6" s="66">
        <v>2022</v>
      </c>
      <c r="R6" s="66">
        <v>2023</v>
      </c>
      <c r="S6" s="67">
        <v>2024</v>
      </c>
      <c r="T6" s="67">
        <v>2025</v>
      </c>
      <c r="U6" s="67">
        <v>2026</v>
      </c>
      <c r="V6" s="67">
        <v>2027</v>
      </c>
      <c r="W6" s="67">
        <v>2028</v>
      </c>
      <c r="X6" s="67">
        <f>W6+1</f>
        <v>2029</v>
      </c>
      <c r="Y6" s="67">
        <f>X6+1</f>
        <v>2030</v>
      </c>
      <c r="Z6" s="67">
        <f t="shared" ref="Z6:AG6" si="0">Y6+1</f>
        <v>2031</v>
      </c>
      <c r="AA6" s="67">
        <f t="shared" si="0"/>
        <v>2032</v>
      </c>
      <c r="AB6" s="67">
        <f t="shared" si="0"/>
        <v>2033</v>
      </c>
      <c r="AC6" s="67">
        <f t="shared" si="0"/>
        <v>2034</v>
      </c>
      <c r="AD6" s="67">
        <f t="shared" si="0"/>
        <v>2035</v>
      </c>
      <c r="AE6" s="67">
        <f t="shared" si="0"/>
        <v>2036</v>
      </c>
      <c r="AF6" s="67">
        <f t="shared" si="0"/>
        <v>2037</v>
      </c>
      <c r="AG6" s="67">
        <f t="shared" si="0"/>
        <v>2038</v>
      </c>
    </row>
    <row r="7" spans="1:34">
      <c r="A7" s="75"/>
      <c r="B7" s="74" t="str">
        <f>Opex_FO!$B$6</f>
        <v>$m, 01/01/26</v>
      </c>
      <c r="C7" s="75"/>
      <c r="D7" s="75"/>
      <c r="E7" s="75"/>
      <c r="F7" s="165" t="s">
        <v>63</v>
      </c>
      <c r="G7" s="75"/>
      <c r="H7" s="75"/>
      <c r="J7" s="70"/>
      <c r="K7" s="342" t="str">
        <f t="shared" ref="K7:X7" si="1">+CONCATENATE(I6-1,"-",RIGHT(I6,2))</f>
        <v>2013-14</v>
      </c>
      <c r="L7" s="342" t="str">
        <f t="shared" si="1"/>
        <v>2014-15</v>
      </c>
      <c r="M7" s="342" t="str">
        <f t="shared" si="1"/>
        <v>2015-16</v>
      </c>
      <c r="N7" s="342" t="str">
        <f t="shared" si="1"/>
        <v>2016-17</v>
      </c>
      <c r="O7" s="342" t="str">
        <f t="shared" si="1"/>
        <v>2017-18</v>
      </c>
      <c r="P7" s="342" t="str">
        <f t="shared" si="1"/>
        <v>2018-19</v>
      </c>
      <c r="Q7" s="342" t="str">
        <f t="shared" si="1"/>
        <v>2019-20</v>
      </c>
      <c r="R7" s="342" t="str">
        <f t="shared" si="1"/>
        <v>2020-21</v>
      </c>
      <c r="S7" s="342" t="str">
        <f t="shared" si="1"/>
        <v>2021-22</v>
      </c>
      <c r="T7" s="342" t="str">
        <f t="shared" si="1"/>
        <v>2022-23</v>
      </c>
      <c r="U7" s="342" t="str">
        <f t="shared" si="1"/>
        <v>2023-24</v>
      </c>
      <c r="V7" s="342" t="str">
        <f t="shared" si="1"/>
        <v>2024-25</v>
      </c>
      <c r="W7" s="342" t="str">
        <f t="shared" si="1"/>
        <v>2025-26</v>
      </c>
      <c r="X7" s="2129" t="str">
        <f t="shared" si="1"/>
        <v>2026-27</v>
      </c>
      <c r="Y7" s="342" t="str">
        <f t="shared" ref="Y7:AG7" si="2">+CONCATENATE(W6-1,"-",RIGHT(W6,2))</f>
        <v>2027-28</v>
      </c>
      <c r="Z7" s="342" t="str">
        <f t="shared" si="2"/>
        <v>2028-29</v>
      </c>
      <c r="AA7" s="342" t="str">
        <f t="shared" si="2"/>
        <v>2029-30</v>
      </c>
      <c r="AB7" s="342" t="str">
        <f t="shared" si="2"/>
        <v>2030-31</v>
      </c>
      <c r="AC7" s="342" t="str">
        <f t="shared" si="2"/>
        <v>2031-32</v>
      </c>
      <c r="AD7" s="342" t="str">
        <f t="shared" si="2"/>
        <v>2032-33</v>
      </c>
      <c r="AE7" s="342" t="str">
        <f t="shared" si="2"/>
        <v>2033-34</v>
      </c>
      <c r="AF7" s="342" t="str">
        <f t="shared" si="2"/>
        <v>2034-35</v>
      </c>
      <c r="AG7" s="342" t="str">
        <f t="shared" si="2"/>
        <v>2035-36</v>
      </c>
    </row>
    <row r="8" spans="1:34" ht="12.75" thickBot="1">
      <c r="N8" s="636"/>
      <c r="O8" s="636"/>
      <c r="P8" s="636"/>
      <c r="Q8" s="636"/>
      <c r="R8" s="636"/>
      <c r="S8" s="636"/>
      <c r="T8" s="636"/>
      <c r="U8" s="636"/>
      <c r="V8" s="636"/>
      <c r="W8" s="636"/>
      <c r="X8" s="2130">
        <v>1</v>
      </c>
      <c r="Y8" s="2130">
        <v>2</v>
      </c>
      <c r="Z8" s="2130">
        <v>3</v>
      </c>
      <c r="AA8" s="2130">
        <v>4</v>
      </c>
      <c r="AB8" s="2130">
        <v>5</v>
      </c>
      <c r="AC8" s="2130">
        <v>6</v>
      </c>
      <c r="AD8" s="2130">
        <v>7</v>
      </c>
      <c r="AE8" s="2130">
        <v>8</v>
      </c>
      <c r="AF8" s="2130">
        <v>9</v>
      </c>
      <c r="AG8" s="2130">
        <v>10</v>
      </c>
    </row>
    <row r="9" spans="1:34">
      <c r="C9" s="166"/>
      <c r="D9" s="167"/>
      <c r="E9" s="167"/>
      <c r="F9" s="167"/>
      <c r="G9" s="167"/>
      <c r="H9" s="167"/>
      <c r="I9" s="167"/>
      <c r="J9" s="292"/>
      <c r="K9" s="167"/>
      <c r="L9" s="167"/>
      <c r="M9" s="167"/>
      <c r="N9" s="167"/>
      <c r="O9" s="167"/>
      <c r="P9" s="167"/>
      <c r="Q9" s="167"/>
      <c r="R9" s="167"/>
      <c r="S9" s="167"/>
      <c r="T9" s="167"/>
      <c r="U9" s="167"/>
      <c r="V9" s="167"/>
      <c r="W9" s="167"/>
      <c r="X9" s="167"/>
      <c r="Y9" s="167"/>
      <c r="Z9" s="167"/>
      <c r="AA9" s="167"/>
      <c r="AB9" s="167"/>
      <c r="AC9" s="167"/>
      <c r="AD9" s="167"/>
      <c r="AE9" s="167"/>
      <c r="AF9" s="167"/>
      <c r="AG9" s="167"/>
      <c r="AH9" s="168"/>
    </row>
    <row r="10" spans="1:34">
      <c r="C10" s="169"/>
      <c r="D10" s="170" t="s">
        <v>240</v>
      </c>
      <c r="AH10" s="171"/>
    </row>
    <row r="11" spans="1:34">
      <c r="C11" s="169"/>
      <c r="AH11" s="171"/>
    </row>
    <row r="12" spans="1:34">
      <c r="C12" s="169"/>
      <c r="E12" s="70" t="str">
        <f>+D26</f>
        <v>Additional expenses incurred to be carried forward</v>
      </c>
      <c r="I12" s="608"/>
      <c r="J12" s="349"/>
      <c r="K12" s="399"/>
      <c r="L12" s="399"/>
      <c r="M12" s="399"/>
      <c r="N12" s="399"/>
      <c r="O12" s="399"/>
      <c r="P12" s="399">
        <f>+SUMIF($D$26:$D$72,$E12,P26:P72)</f>
        <v>0</v>
      </c>
      <c r="Q12" s="399">
        <f t="shared" ref="Q12:W12" si="3">+SUMIF($D$26:$D$72,$E12,Q26:Q72)</f>
        <v>0</v>
      </c>
      <c r="R12" s="399">
        <f t="shared" si="3"/>
        <v>0</v>
      </c>
      <c r="S12" s="399">
        <f t="shared" si="3"/>
        <v>0</v>
      </c>
      <c r="T12" s="399">
        <f t="shared" si="3"/>
        <v>0</v>
      </c>
      <c r="U12" s="399">
        <f t="shared" si="3"/>
        <v>0</v>
      </c>
      <c r="V12" s="399">
        <f t="shared" si="3"/>
        <v>0</v>
      </c>
      <c r="W12" s="349">
        <f t="shared" si="3"/>
        <v>0</v>
      </c>
      <c r="X12" s="349"/>
      <c r="Y12" s="608"/>
      <c r="Z12" s="608"/>
      <c r="AA12" s="608"/>
      <c r="AB12" s="608"/>
      <c r="AC12" s="608"/>
      <c r="AD12" s="608"/>
      <c r="AE12" s="608"/>
      <c r="AF12" s="608"/>
      <c r="AG12" s="608"/>
      <c r="AH12" s="171"/>
    </row>
    <row r="13" spans="1:34">
      <c r="C13" s="169"/>
      <c r="I13" s="608"/>
      <c r="J13" s="349"/>
      <c r="K13" s="608"/>
      <c r="L13" s="608"/>
      <c r="M13" s="608"/>
      <c r="N13" s="608"/>
      <c r="O13" s="608"/>
      <c r="P13" s="608"/>
      <c r="Q13" s="608"/>
      <c r="R13" s="608"/>
      <c r="S13" s="608"/>
      <c r="T13" s="608"/>
      <c r="U13" s="608"/>
      <c r="V13" s="608"/>
      <c r="W13" s="349"/>
      <c r="X13" s="349"/>
      <c r="Y13" s="608"/>
      <c r="Z13" s="608"/>
      <c r="AA13" s="608"/>
      <c r="AB13" s="608"/>
      <c r="AC13" s="608"/>
      <c r="AD13" s="608"/>
      <c r="AE13" s="608"/>
      <c r="AF13" s="608"/>
      <c r="AG13" s="608"/>
      <c r="AH13" s="171"/>
    </row>
    <row r="14" spans="1:34">
      <c r="C14" s="169"/>
      <c r="E14" s="70" t="str">
        <f>+D29</f>
        <v>Allocation of carried forward expenses (NPV of cash flows should equate to net present cost to recover)</v>
      </c>
      <c r="I14" s="608"/>
      <c r="J14" s="349"/>
      <c r="K14" s="608"/>
      <c r="L14" s="608"/>
      <c r="M14" s="608"/>
      <c r="N14" s="608"/>
      <c r="O14" s="608"/>
      <c r="P14" s="608"/>
      <c r="Q14" s="608"/>
      <c r="R14" s="608"/>
      <c r="S14" s="608"/>
      <c r="T14" s="608"/>
      <c r="U14" s="608"/>
      <c r="V14" s="608"/>
      <c r="W14" s="349"/>
      <c r="X14" s="349">
        <f>+SUMIF($D$26:$D$72,$E14,X26:X72)</f>
        <v>0</v>
      </c>
      <c r="Y14" s="349">
        <f t="shared" ref="Y14:AG14" si="4">+SUMIF($D$26:$D$72,$E14,Y26:Y72)</f>
        <v>0</v>
      </c>
      <c r="Z14" s="349">
        <f t="shared" si="4"/>
        <v>0</v>
      </c>
      <c r="AA14" s="349">
        <f t="shared" si="4"/>
        <v>0</v>
      </c>
      <c r="AB14" s="349">
        <f t="shared" si="4"/>
        <v>0</v>
      </c>
      <c r="AC14" s="349">
        <f t="shared" si="4"/>
        <v>0</v>
      </c>
      <c r="AD14" s="349">
        <f t="shared" si="4"/>
        <v>0</v>
      </c>
      <c r="AE14" s="349">
        <f t="shared" si="4"/>
        <v>0</v>
      </c>
      <c r="AF14" s="349">
        <f t="shared" si="4"/>
        <v>0</v>
      </c>
      <c r="AG14" s="349">
        <f t="shared" si="4"/>
        <v>0</v>
      </c>
      <c r="AH14" s="171"/>
    </row>
    <row r="15" spans="1:34" ht="12.75" thickBot="1">
      <c r="C15" s="182"/>
      <c r="D15" s="183"/>
      <c r="E15" s="183"/>
      <c r="F15" s="183"/>
      <c r="G15" s="183"/>
      <c r="H15" s="183"/>
      <c r="I15" s="565"/>
      <c r="J15" s="374"/>
      <c r="K15" s="565"/>
      <c r="L15" s="565"/>
      <c r="M15" s="565"/>
      <c r="N15" s="565"/>
      <c r="O15" s="565"/>
      <c r="P15" s="565"/>
      <c r="Q15" s="565"/>
      <c r="R15" s="565"/>
      <c r="S15" s="565"/>
      <c r="T15" s="565"/>
      <c r="U15" s="565"/>
      <c r="V15" s="565"/>
      <c r="W15" s="565"/>
      <c r="X15" s="374"/>
      <c r="Y15" s="374"/>
      <c r="Z15" s="374"/>
      <c r="AA15" s="374"/>
      <c r="AB15" s="374"/>
      <c r="AC15" s="374"/>
      <c r="AD15" s="374"/>
      <c r="AE15" s="374"/>
      <c r="AF15" s="374"/>
      <c r="AG15" s="374"/>
      <c r="AH15" s="186"/>
    </row>
    <row r="16" spans="1:34">
      <c r="C16" s="74"/>
      <c r="I16" s="375"/>
      <c r="J16" s="573"/>
      <c r="K16" s="375"/>
      <c r="L16" s="375"/>
      <c r="M16" s="375"/>
      <c r="S16" s="637"/>
      <c r="T16" s="637"/>
      <c r="U16" s="637"/>
      <c r="V16" s="637"/>
      <c r="W16" s="637"/>
      <c r="X16" s="573"/>
      <c r="Y16" s="573"/>
      <c r="Z16" s="573"/>
      <c r="AA16" s="573"/>
      <c r="AB16" s="638"/>
      <c r="AC16" s="638"/>
      <c r="AD16" s="638"/>
      <c r="AE16" s="638"/>
      <c r="AF16" s="638"/>
      <c r="AG16" s="638"/>
    </row>
    <row r="17" spans="2:37">
      <c r="I17" s="639"/>
      <c r="J17" s="610"/>
      <c r="K17" s="640"/>
      <c r="L17" s="640"/>
      <c r="M17" s="640"/>
      <c r="S17" s="640"/>
      <c r="T17" s="640"/>
      <c r="U17" s="640"/>
      <c r="V17" s="640"/>
      <c r="W17" s="640"/>
      <c r="X17" s="74"/>
      <c r="Y17" s="610"/>
      <c r="Z17" s="610"/>
      <c r="AA17" s="610"/>
      <c r="AB17" s="610"/>
      <c r="AC17" s="610"/>
      <c r="AD17" s="610"/>
      <c r="AE17" s="610"/>
      <c r="AF17" s="610"/>
      <c r="AG17" s="610"/>
    </row>
    <row r="18" spans="2:37">
      <c r="C18" s="611"/>
      <c r="I18" s="128"/>
      <c r="J18" s="123"/>
      <c r="K18" s="382"/>
      <c r="L18" s="641"/>
      <c r="M18" s="382"/>
      <c r="S18" s="382"/>
      <c r="T18" s="382"/>
      <c r="U18" s="382"/>
      <c r="V18" s="382"/>
      <c r="W18" s="382"/>
      <c r="X18" s="382"/>
      <c r="Y18" s="382"/>
      <c r="Z18" s="382"/>
      <c r="AA18" s="382"/>
      <c r="AB18" s="382"/>
      <c r="AC18" s="382"/>
      <c r="AD18" s="382"/>
      <c r="AE18" s="382"/>
      <c r="AF18" s="382"/>
      <c r="AG18" s="382"/>
    </row>
    <row r="19" spans="2:37">
      <c r="I19" s="128"/>
      <c r="J19" s="123"/>
      <c r="K19" s="382"/>
      <c r="L19" s="382"/>
      <c r="M19" s="382"/>
      <c r="S19" s="382"/>
      <c r="T19" s="382"/>
      <c r="U19" s="382"/>
      <c r="V19" s="382"/>
      <c r="W19" s="382"/>
      <c r="X19" s="382"/>
      <c r="Y19" s="382"/>
      <c r="Z19" s="382"/>
      <c r="AA19" s="382"/>
      <c r="AB19" s="382"/>
      <c r="AC19" s="382"/>
      <c r="AD19" s="382"/>
      <c r="AE19" s="382"/>
      <c r="AF19" s="382"/>
      <c r="AG19" s="382"/>
    </row>
    <row r="20" spans="2:37">
      <c r="B20" s="377" t="s">
        <v>241</v>
      </c>
      <c r="K20" s="382"/>
      <c r="L20" s="382"/>
      <c r="M20" s="382"/>
      <c r="S20" s="382"/>
      <c r="T20" s="642"/>
      <c r="U20" s="382"/>
      <c r="X20" s="382"/>
      <c r="Y20" s="382"/>
      <c r="Z20" s="382"/>
      <c r="AA20" s="382"/>
      <c r="AB20" s="382"/>
      <c r="AC20" s="382"/>
      <c r="AD20" s="382"/>
      <c r="AE20" s="382"/>
      <c r="AF20" s="382"/>
      <c r="AG20" s="382"/>
    </row>
    <row r="21" spans="2:37">
      <c r="V21" s="382"/>
      <c r="W21" s="382"/>
      <c r="X21" s="382"/>
      <c r="Y21" s="382"/>
      <c r="Z21" s="382"/>
      <c r="AA21" s="382"/>
      <c r="AB21" s="382"/>
      <c r="AC21" s="382"/>
      <c r="AD21" s="382"/>
      <c r="AE21" s="382"/>
      <c r="AF21" s="382"/>
      <c r="AG21" s="382"/>
    </row>
    <row r="22" spans="2:37">
      <c r="C22" s="643"/>
      <c r="V22" s="382"/>
      <c r="W22" s="382"/>
      <c r="X22" s="382"/>
      <c r="Y22" s="382"/>
      <c r="Z22" s="382"/>
      <c r="AA22" s="382"/>
      <c r="AB22" s="382"/>
      <c r="AC22" s="382"/>
      <c r="AD22" s="382"/>
      <c r="AE22" s="382"/>
      <c r="AF22" s="382"/>
      <c r="AG22" s="382"/>
    </row>
    <row r="23" spans="2:37">
      <c r="C23" s="2230"/>
      <c r="D23" s="2231"/>
      <c r="E23" s="2231"/>
      <c r="F23" s="2231"/>
      <c r="G23" s="2231"/>
      <c r="H23" s="2232"/>
      <c r="I23" s="656" t="s">
        <v>27</v>
      </c>
      <c r="J23" s="644"/>
      <c r="K23" s="645"/>
      <c r="L23" s="645"/>
      <c r="M23" s="645"/>
      <c r="N23" s="645"/>
      <c r="O23" s="645"/>
      <c r="P23" s="645"/>
      <c r="Q23" s="645"/>
      <c r="R23" s="645"/>
      <c r="S23" s="645"/>
      <c r="T23" s="645"/>
      <c r="U23" s="645"/>
      <c r="V23" s="645"/>
      <c r="W23" s="645"/>
      <c r="X23" s="645"/>
      <c r="Y23" s="645"/>
      <c r="Z23" s="645"/>
      <c r="AA23" s="645"/>
      <c r="AB23" s="645"/>
      <c r="AC23" s="645"/>
      <c r="AD23" s="645"/>
      <c r="AE23" s="645"/>
      <c r="AF23" s="645"/>
      <c r="AG23" s="645"/>
      <c r="AH23" s="646"/>
    </row>
    <row r="24" spans="2:37">
      <c r="C24" s="82"/>
      <c r="D24" s="647"/>
      <c r="E24" s="647"/>
      <c r="F24" s="647"/>
      <c r="G24" s="647"/>
      <c r="I24" s="128"/>
      <c r="J24" s="123"/>
      <c r="S24" s="648"/>
      <c r="T24" s="648"/>
      <c r="U24" s="648"/>
      <c r="V24" s="648"/>
      <c r="W24" s="648"/>
      <c r="Z24" s="128"/>
      <c r="AA24" s="128"/>
      <c r="AB24" s="128"/>
      <c r="AC24" s="128"/>
      <c r="AD24" s="128"/>
      <c r="AE24" s="128"/>
      <c r="AF24" s="128"/>
      <c r="AG24" s="128"/>
      <c r="AH24" s="649"/>
    </row>
    <row r="25" spans="2:37">
      <c r="C25" s="82"/>
      <c r="D25" s="647"/>
      <c r="E25" s="647"/>
      <c r="F25" s="647"/>
      <c r="G25" s="647"/>
      <c r="I25" s="128"/>
      <c r="J25" s="123"/>
      <c r="S25" s="648"/>
      <c r="T25" s="648"/>
      <c r="U25" s="648"/>
      <c r="V25" s="648"/>
      <c r="W25" s="648"/>
      <c r="Z25" s="128"/>
      <c r="AA25" s="128"/>
      <c r="AB25" s="128"/>
      <c r="AC25" s="128"/>
      <c r="AD25" s="128"/>
      <c r="AE25" s="128"/>
      <c r="AF25" s="128"/>
      <c r="AG25" s="128"/>
      <c r="AH25" s="649"/>
    </row>
    <row r="26" spans="2:37">
      <c r="C26" s="82"/>
      <c r="D26" s="647" t="s">
        <v>242</v>
      </c>
      <c r="E26" s="647"/>
      <c r="F26" s="647"/>
      <c r="G26" s="647"/>
      <c r="I26" s="128"/>
      <c r="J26" s="123"/>
      <c r="P26" s="630"/>
      <c r="Q26" s="631"/>
      <c r="R26" s="631"/>
      <c r="S26" s="631"/>
      <c r="T26" s="631"/>
      <c r="U26" s="631"/>
      <c r="V26" s="631"/>
      <c r="W26" s="632"/>
      <c r="X26" s="1711">
        <f>+(P26*(1+RRR)^7.5)+(Q26*(1+RRR)^6.5)+(R26*(1+RRR)^5.5)+(S26*(1+RRR)^4.5)+(T26*(1+RRR)^3.5)+(U26*(1+RRR)^2.5)+(V26*(1+RRR)^1.5)+(W26*(1+RRR)^0.5)</f>
        <v>0</v>
      </c>
      <c r="Y26" s="650" t="s">
        <v>268</v>
      </c>
      <c r="Z26" s="128"/>
      <c r="AA26" s="128"/>
      <c r="AB26" s="128"/>
      <c r="AC26" s="128"/>
      <c r="AD26" s="128"/>
      <c r="AE26" s="128"/>
      <c r="AF26" s="128"/>
      <c r="AG26" s="128"/>
      <c r="AH26" s="649"/>
    </row>
    <row r="27" spans="2:37">
      <c r="C27" s="82"/>
      <c r="D27" s="647"/>
      <c r="E27" s="647"/>
      <c r="F27" s="647"/>
      <c r="G27" s="647"/>
      <c r="I27" s="128"/>
      <c r="J27" s="123"/>
      <c r="K27" s="128"/>
      <c r="L27" s="128"/>
      <c r="M27" s="128"/>
      <c r="N27" s="128"/>
      <c r="O27" s="128"/>
      <c r="P27" s="128"/>
      <c r="Q27" s="128"/>
      <c r="R27" s="128"/>
      <c r="S27" s="128"/>
      <c r="T27" s="128"/>
      <c r="U27" s="128"/>
      <c r="V27" s="128"/>
      <c r="W27" s="128"/>
      <c r="AD27" s="128"/>
      <c r="AE27" s="128"/>
      <c r="AF27" s="128"/>
      <c r="AG27" s="128"/>
      <c r="AH27" s="649"/>
    </row>
    <row r="28" spans="2:37">
      <c r="C28" s="82"/>
      <c r="D28" s="647"/>
      <c r="E28" s="647"/>
      <c r="F28" s="647"/>
      <c r="G28" s="647"/>
      <c r="I28" s="128"/>
      <c r="J28" s="123"/>
      <c r="K28" s="128"/>
      <c r="L28" s="128"/>
      <c r="M28" s="128"/>
      <c r="N28" s="128"/>
      <c r="O28" s="128"/>
      <c r="P28" s="128"/>
      <c r="Q28" s="128"/>
      <c r="R28" s="128"/>
      <c r="S28" s="128"/>
      <c r="T28" s="128"/>
      <c r="U28" s="128"/>
      <c r="V28" s="128"/>
      <c r="W28" s="128"/>
      <c r="X28" s="650">
        <f>+NPV(RRR,X29:AG29)*(1+RRR)^0.5</f>
        <v>0</v>
      </c>
      <c r="Y28" s="628" t="s">
        <v>268</v>
      </c>
      <c r="AD28" s="128"/>
      <c r="AE28" s="128"/>
      <c r="AF28" s="128"/>
      <c r="AG28" s="128"/>
      <c r="AH28" s="649"/>
    </row>
    <row r="29" spans="2:37">
      <c r="C29" s="82"/>
      <c r="D29" s="647" t="s">
        <v>267</v>
      </c>
      <c r="E29" s="647"/>
      <c r="F29" s="647"/>
      <c r="G29" s="647"/>
      <c r="I29" s="128"/>
      <c r="J29" s="123"/>
      <c r="K29" s="128"/>
      <c r="L29" s="128"/>
      <c r="M29" s="651"/>
      <c r="N29" s="651"/>
      <c r="O29" s="651"/>
      <c r="P29" s="651"/>
      <c r="Q29" s="651"/>
      <c r="R29" s="651"/>
      <c r="S29" s="128"/>
      <c r="T29" s="128"/>
      <c r="U29" s="128"/>
      <c r="X29" s="630"/>
      <c r="Y29" s="631"/>
      <c r="Z29" s="631"/>
      <c r="AA29" s="631"/>
      <c r="AB29" s="632"/>
      <c r="AC29" s="631"/>
      <c r="AD29" s="631"/>
      <c r="AE29" s="631"/>
      <c r="AF29" s="631"/>
      <c r="AG29" s="632"/>
      <c r="AH29" s="649"/>
    </row>
    <row r="30" spans="2:37">
      <c r="C30" s="82"/>
      <c r="X30" s="77"/>
      <c r="Y30" s="77"/>
      <c r="AH30" s="81"/>
    </row>
    <row r="31" spans="2:37">
      <c r="C31" s="92"/>
      <c r="D31" s="75"/>
      <c r="E31" s="75"/>
      <c r="F31" s="75"/>
      <c r="G31" s="75"/>
      <c r="H31" s="75"/>
      <c r="I31" s="75"/>
      <c r="J31" s="407"/>
      <c r="K31" s="75"/>
      <c r="L31" s="75"/>
      <c r="M31" s="75"/>
      <c r="N31" s="75"/>
      <c r="O31" s="75"/>
      <c r="P31" s="75"/>
      <c r="Q31" s="75"/>
      <c r="R31" s="75"/>
      <c r="S31" s="75"/>
      <c r="T31" s="75"/>
      <c r="U31" s="75"/>
      <c r="V31" s="75"/>
      <c r="W31" s="75"/>
      <c r="X31" s="652" t="str">
        <f>IFERROR(((X28-X26)/X26),"")</f>
        <v/>
      </c>
      <c r="Y31" s="653" t="str">
        <f>IF(X31="","","Difference")</f>
        <v/>
      </c>
      <c r="Z31" s="75"/>
      <c r="AA31" s="75"/>
      <c r="AB31" s="75"/>
      <c r="AC31" s="75"/>
      <c r="AD31" s="75"/>
      <c r="AE31" s="75"/>
      <c r="AF31" s="75"/>
      <c r="AG31" s="75"/>
      <c r="AH31" s="94"/>
      <c r="AI31" s="128"/>
      <c r="AJ31" s="128"/>
      <c r="AK31" s="128"/>
    </row>
    <row r="32" spans="2:37">
      <c r="X32" s="654"/>
      <c r="Y32" s="124"/>
      <c r="AI32" s="128"/>
      <c r="AJ32" s="128"/>
      <c r="AK32" s="128"/>
    </row>
    <row r="33" spans="3:34">
      <c r="C33" s="2230"/>
      <c r="D33" s="2231"/>
      <c r="E33" s="2231"/>
      <c r="F33" s="2231"/>
      <c r="G33" s="2231"/>
      <c r="H33" s="2232"/>
      <c r="I33" s="656" t="s">
        <v>27</v>
      </c>
      <c r="J33" s="644"/>
      <c r="K33" s="645"/>
      <c r="L33" s="645"/>
      <c r="M33" s="645"/>
      <c r="N33" s="645"/>
      <c r="O33" s="645"/>
      <c r="P33" s="645"/>
      <c r="Q33" s="645"/>
      <c r="R33" s="645"/>
      <c r="S33" s="645"/>
      <c r="T33" s="645"/>
      <c r="U33" s="645"/>
      <c r="V33" s="645"/>
      <c r="W33" s="645"/>
      <c r="X33" s="645"/>
      <c r="Y33" s="645"/>
      <c r="Z33" s="645"/>
      <c r="AA33" s="645"/>
      <c r="AB33" s="645"/>
      <c r="AC33" s="645"/>
      <c r="AD33" s="645"/>
      <c r="AE33" s="645"/>
      <c r="AF33" s="645"/>
      <c r="AG33" s="645"/>
      <c r="AH33" s="646"/>
    </row>
    <row r="34" spans="3:34">
      <c r="C34" s="82"/>
      <c r="D34" s="647"/>
      <c r="E34" s="647"/>
      <c r="F34" s="647"/>
      <c r="G34" s="647"/>
      <c r="I34" s="128"/>
      <c r="J34" s="123"/>
      <c r="S34" s="648"/>
      <c r="T34" s="648"/>
      <c r="U34" s="648"/>
      <c r="V34" s="648"/>
      <c r="W34" s="648"/>
      <c r="Z34" s="128"/>
      <c r="AA34" s="128"/>
      <c r="AB34" s="128"/>
      <c r="AC34" s="128"/>
      <c r="AD34" s="128"/>
      <c r="AE34" s="128"/>
      <c r="AF34" s="128"/>
      <c r="AG34" s="128"/>
      <c r="AH34" s="649"/>
    </row>
    <row r="35" spans="3:34">
      <c r="C35" s="82"/>
      <c r="D35" s="647"/>
      <c r="E35" s="647"/>
      <c r="F35" s="647"/>
      <c r="G35" s="647"/>
      <c r="I35" s="128"/>
      <c r="J35" s="123"/>
      <c r="S35" s="648"/>
      <c r="T35" s="648"/>
      <c r="U35" s="648"/>
      <c r="V35" s="648"/>
      <c r="W35" s="648"/>
      <c r="Z35" s="128"/>
      <c r="AA35" s="128"/>
      <c r="AB35" s="128"/>
      <c r="AC35" s="128"/>
      <c r="AD35" s="128"/>
      <c r="AE35" s="128"/>
      <c r="AF35" s="128"/>
      <c r="AG35" s="128"/>
      <c r="AH35" s="649"/>
    </row>
    <row r="36" spans="3:34">
      <c r="C36" s="82"/>
      <c r="D36" s="647" t="s">
        <v>242</v>
      </c>
      <c r="E36" s="647"/>
      <c r="F36" s="647"/>
      <c r="G36" s="647"/>
      <c r="I36" s="128"/>
      <c r="J36" s="123"/>
      <c r="P36" s="630"/>
      <c r="Q36" s="631"/>
      <c r="R36" s="631"/>
      <c r="S36" s="631"/>
      <c r="T36" s="631"/>
      <c r="U36" s="631"/>
      <c r="V36" s="631"/>
      <c r="W36" s="632"/>
      <c r="X36" s="1711">
        <f>+(P36*(1+RRR)^7.5)+(Q36*(1+RRR)^6.5)+(R36*(1+RRR)^5.5)+(S36*(1+RRR)^4.5)+(T36*(1+RRR)^3.5)+(U36*(1+RRR)^2.5)+(V36*(1+RRR)^1.5)+(W36*(1+RRR)^0.5)</f>
        <v>0</v>
      </c>
      <c r="Y36" s="650" t="s">
        <v>268</v>
      </c>
      <c r="Z36" s="128"/>
      <c r="AA36" s="128"/>
      <c r="AB36" s="128"/>
      <c r="AC36" s="128"/>
      <c r="AD36" s="128"/>
      <c r="AE36" s="128"/>
      <c r="AF36" s="128"/>
      <c r="AG36" s="128"/>
      <c r="AH36" s="649"/>
    </row>
    <row r="37" spans="3:34">
      <c r="C37" s="82"/>
      <c r="D37" s="647"/>
      <c r="E37" s="647"/>
      <c r="F37" s="647"/>
      <c r="G37" s="647"/>
      <c r="I37" s="128"/>
      <c r="J37" s="123"/>
      <c r="K37" s="128"/>
      <c r="L37" s="128"/>
      <c r="M37" s="128"/>
      <c r="N37" s="128"/>
      <c r="O37" s="128"/>
      <c r="P37" s="128"/>
      <c r="Q37" s="128"/>
      <c r="R37" s="128"/>
      <c r="S37" s="128"/>
      <c r="T37" s="128"/>
      <c r="U37" s="128"/>
      <c r="V37" s="128"/>
      <c r="W37" s="128"/>
      <c r="AD37" s="128"/>
      <c r="AE37" s="128"/>
      <c r="AF37" s="128"/>
      <c r="AG37" s="128"/>
      <c r="AH37" s="649"/>
    </row>
    <row r="38" spans="3:34">
      <c r="C38" s="82"/>
      <c r="D38" s="647"/>
      <c r="E38" s="647"/>
      <c r="F38" s="647"/>
      <c r="G38" s="647"/>
      <c r="I38" s="128"/>
      <c r="J38" s="123"/>
      <c r="K38" s="128"/>
      <c r="L38" s="128"/>
      <c r="M38" s="128"/>
      <c r="N38" s="128"/>
      <c r="O38" s="128"/>
      <c r="P38" s="128"/>
      <c r="Q38" s="128"/>
      <c r="R38" s="128"/>
      <c r="S38" s="128"/>
      <c r="T38" s="128"/>
      <c r="U38" s="128"/>
      <c r="V38" s="128"/>
      <c r="W38" s="128"/>
      <c r="X38" s="650">
        <f>+NPV(RRR,X39:AG39)*(1+RRR)^0.5</f>
        <v>0</v>
      </c>
      <c r="Y38" s="628" t="s">
        <v>268</v>
      </c>
      <c r="AD38" s="128"/>
      <c r="AE38" s="128"/>
      <c r="AF38" s="128"/>
      <c r="AG38" s="128"/>
      <c r="AH38" s="649"/>
    </row>
    <row r="39" spans="3:34">
      <c r="C39" s="82"/>
      <c r="D39" s="647" t="s">
        <v>267</v>
      </c>
      <c r="E39" s="647"/>
      <c r="F39" s="647"/>
      <c r="G39" s="647"/>
      <c r="I39" s="128"/>
      <c r="J39" s="123"/>
      <c r="K39" s="128"/>
      <c r="L39" s="128"/>
      <c r="M39" s="651"/>
      <c r="N39" s="651"/>
      <c r="O39" s="651"/>
      <c r="P39" s="651"/>
      <c r="Q39" s="651"/>
      <c r="R39" s="651"/>
      <c r="S39" s="128"/>
      <c r="T39" s="128"/>
      <c r="U39" s="128"/>
      <c r="X39" s="630"/>
      <c r="Y39" s="631"/>
      <c r="Z39" s="631"/>
      <c r="AA39" s="631"/>
      <c r="AB39" s="632"/>
      <c r="AC39" s="631"/>
      <c r="AD39" s="631"/>
      <c r="AE39" s="631"/>
      <c r="AF39" s="631"/>
      <c r="AG39" s="632"/>
      <c r="AH39" s="649"/>
    </row>
    <row r="40" spans="3:34">
      <c r="C40" s="82"/>
      <c r="X40" s="77"/>
      <c r="Y40" s="77"/>
      <c r="AH40" s="81"/>
    </row>
    <row r="41" spans="3:34">
      <c r="C41" s="92"/>
      <c r="D41" s="75"/>
      <c r="E41" s="75"/>
      <c r="F41" s="75"/>
      <c r="G41" s="75"/>
      <c r="H41" s="75"/>
      <c r="I41" s="75"/>
      <c r="J41" s="407"/>
      <c r="K41" s="75"/>
      <c r="L41" s="75"/>
      <c r="M41" s="75"/>
      <c r="N41" s="75"/>
      <c r="O41" s="75"/>
      <c r="P41" s="75"/>
      <c r="Q41" s="75"/>
      <c r="R41" s="75"/>
      <c r="S41" s="75"/>
      <c r="T41" s="75"/>
      <c r="U41" s="75"/>
      <c r="V41" s="75"/>
      <c r="W41" s="75"/>
      <c r="X41" s="655" t="str">
        <f>IFERROR(((X38-X36)/X36),"")</f>
        <v/>
      </c>
      <c r="Y41" s="653" t="str">
        <f>IF(X41="","","Difference")</f>
        <v/>
      </c>
      <c r="Z41" s="75"/>
      <c r="AA41" s="75"/>
      <c r="AB41" s="75"/>
      <c r="AC41" s="75"/>
      <c r="AD41" s="75"/>
      <c r="AE41" s="75"/>
      <c r="AF41" s="75"/>
      <c r="AG41" s="75"/>
      <c r="AH41" s="94"/>
    </row>
    <row r="42" spans="3:34">
      <c r="X42" s="654"/>
      <c r="Y42" s="124"/>
    </row>
    <row r="43" spans="3:34">
      <c r="C43" s="2230"/>
      <c r="D43" s="2231"/>
      <c r="E43" s="2231"/>
      <c r="F43" s="2231"/>
      <c r="G43" s="2231"/>
      <c r="H43" s="2232"/>
      <c r="I43" s="656" t="s">
        <v>27</v>
      </c>
      <c r="J43" s="644"/>
      <c r="K43" s="645"/>
      <c r="L43" s="645"/>
      <c r="M43" s="645"/>
      <c r="N43" s="645"/>
      <c r="O43" s="645"/>
      <c r="P43" s="645"/>
      <c r="Q43" s="645"/>
      <c r="R43" s="645"/>
      <c r="S43" s="645"/>
      <c r="T43" s="645"/>
      <c r="U43" s="645"/>
      <c r="V43" s="645"/>
      <c r="W43" s="645"/>
      <c r="X43" s="645"/>
      <c r="Y43" s="645"/>
      <c r="Z43" s="645"/>
      <c r="AA43" s="645"/>
      <c r="AB43" s="645"/>
      <c r="AC43" s="645"/>
      <c r="AD43" s="645"/>
      <c r="AE43" s="645"/>
      <c r="AF43" s="645"/>
      <c r="AG43" s="645"/>
      <c r="AH43" s="646"/>
    </row>
    <row r="44" spans="3:34">
      <c r="C44" s="82"/>
      <c r="D44" s="647"/>
      <c r="E44" s="647"/>
      <c r="F44" s="647"/>
      <c r="G44" s="647"/>
      <c r="I44" s="128"/>
      <c r="J44" s="123"/>
      <c r="S44" s="648"/>
      <c r="T44" s="648"/>
      <c r="U44" s="648"/>
      <c r="V44" s="648"/>
      <c r="W44" s="648"/>
      <c r="Z44" s="128"/>
      <c r="AA44" s="128"/>
      <c r="AB44" s="128"/>
      <c r="AC44" s="128"/>
      <c r="AD44" s="128"/>
      <c r="AE44" s="128"/>
      <c r="AF44" s="128"/>
      <c r="AG44" s="128"/>
      <c r="AH44" s="649"/>
    </row>
    <row r="45" spans="3:34">
      <c r="C45" s="82"/>
      <c r="D45" s="647"/>
      <c r="E45" s="647"/>
      <c r="F45" s="647"/>
      <c r="G45" s="647"/>
      <c r="I45" s="128"/>
      <c r="J45" s="123"/>
      <c r="S45" s="648"/>
      <c r="T45" s="648"/>
      <c r="U45" s="648"/>
      <c r="V45" s="648"/>
      <c r="W45" s="648"/>
      <c r="Z45" s="128"/>
      <c r="AA45" s="128"/>
      <c r="AB45" s="128"/>
      <c r="AC45" s="128"/>
      <c r="AD45" s="128"/>
      <c r="AE45" s="128"/>
      <c r="AF45" s="128"/>
      <c r="AG45" s="128"/>
      <c r="AH45" s="649"/>
    </row>
    <row r="46" spans="3:34">
      <c r="C46" s="82"/>
      <c r="D46" s="647" t="s">
        <v>242</v>
      </c>
      <c r="E46" s="647"/>
      <c r="F46" s="647"/>
      <c r="G46" s="647"/>
      <c r="I46" s="128"/>
      <c r="J46" s="123"/>
      <c r="P46" s="630"/>
      <c r="Q46" s="631"/>
      <c r="R46" s="631"/>
      <c r="S46" s="631"/>
      <c r="T46" s="631"/>
      <c r="U46" s="631"/>
      <c r="V46" s="631"/>
      <c r="W46" s="632"/>
      <c r="X46" s="1711">
        <f>+(P46*(1+RRR)^7.5)+(Q46*(1+RRR)^6.5)+(R46*(1+RRR)^5.5)+(S46*(1+RRR)^4.5)+(T46*(1+RRR)^3.5)+(U46*(1+RRR)^2.5)+(V46*(1+RRR)^1.5)+(W46*(1+RRR)^0.5)</f>
        <v>0</v>
      </c>
      <c r="Y46" s="650" t="s">
        <v>268</v>
      </c>
      <c r="Z46" s="128"/>
      <c r="AA46" s="128"/>
      <c r="AB46" s="128"/>
      <c r="AC46" s="128"/>
      <c r="AD46" s="128"/>
      <c r="AE46" s="128"/>
      <c r="AF46" s="128"/>
      <c r="AG46" s="128"/>
      <c r="AH46" s="649"/>
    </row>
    <row r="47" spans="3:34">
      <c r="C47" s="82"/>
      <c r="D47" s="647"/>
      <c r="E47" s="647"/>
      <c r="F47" s="647"/>
      <c r="G47" s="647"/>
      <c r="I47" s="128"/>
      <c r="J47" s="123"/>
      <c r="K47" s="128"/>
      <c r="L47" s="128"/>
      <c r="M47" s="128"/>
      <c r="N47" s="128"/>
      <c r="O47" s="128"/>
      <c r="P47" s="128"/>
      <c r="Q47" s="128"/>
      <c r="R47" s="128"/>
      <c r="S47" s="128"/>
      <c r="T47" s="128"/>
      <c r="U47" s="128"/>
      <c r="V47" s="128"/>
      <c r="W47" s="128"/>
      <c r="AD47" s="128"/>
      <c r="AE47" s="128"/>
      <c r="AF47" s="128"/>
      <c r="AG47" s="128"/>
      <c r="AH47" s="649"/>
    </row>
    <row r="48" spans="3:34">
      <c r="C48" s="82"/>
      <c r="D48" s="647"/>
      <c r="E48" s="647"/>
      <c r="F48" s="647"/>
      <c r="G48" s="647"/>
      <c r="I48" s="128"/>
      <c r="J48" s="123"/>
      <c r="K48" s="128"/>
      <c r="L48" s="128"/>
      <c r="M48" s="128"/>
      <c r="N48" s="128"/>
      <c r="O48" s="128"/>
      <c r="P48" s="128"/>
      <c r="Q48" s="128"/>
      <c r="R48" s="128"/>
      <c r="S48" s="128"/>
      <c r="T48" s="128"/>
      <c r="U48" s="128"/>
      <c r="V48" s="128"/>
      <c r="W48" s="128"/>
      <c r="X48" s="650">
        <f>+NPV(RRR,X49:AG49)*(1+RRR)^0.5</f>
        <v>0</v>
      </c>
      <c r="Y48" s="628" t="s">
        <v>268</v>
      </c>
      <c r="AD48" s="128"/>
      <c r="AE48" s="128"/>
      <c r="AF48" s="128"/>
      <c r="AG48" s="128"/>
      <c r="AH48" s="649"/>
    </row>
    <row r="49" spans="3:37">
      <c r="C49" s="82"/>
      <c r="D49" s="647" t="s">
        <v>267</v>
      </c>
      <c r="E49" s="647"/>
      <c r="F49" s="647"/>
      <c r="G49" s="647"/>
      <c r="I49" s="128"/>
      <c r="J49" s="123"/>
      <c r="K49" s="128"/>
      <c r="L49" s="128"/>
      <c r="M49" s="651"/>
      <c r="N49" s="651"/>
      <c r="O49" s="651"/>
      <c r="P49" s="651"/>
      <c r="Q49" s="651"/>
      <c r="R49" s="651"/>
      <c r="S49" s="128"/>
      <c r="T49" s="128"/>
      <c r="U49" s="128"/>
      <c r="X49" s="630"/>
      <c r="Y49" s="631"/>
      <c r="Z49" s="631"/>
      <c r="AA49" s="631"/>
      <c r="AB49" s="632"/>
      <c r="AC49" s="631"/>
      <c r="AD49" s="631"/>
      <c r="AE49" s="631"/>
      <c r="AF49" s="631"/>
      <c r="AG49" s="632"/>
      <c r="AH49" s="649"/>
    </row>
    <row r="50" spans="3:37">
      <c r="C50" s="82"/>
      <c r="X50" s="77"/>
      <c r="Y50" s="77"/>
      <c r="AH50" s="81"/>
    </row>
    <row r="51" spans="3:37">
      <c r="C51" s="92"/>
      <c r="D51" s="75"/>
      <c r="E51" s="75"/>
      <c r="F51" s="75"/>
      <c r="G51" s="75"/>
      <c r="H51" s="75"/>
      <c r="I51" s="75"/>
      <c r="J51" s="407"/>
      <c r="K51" s="75"/>
      <c r="L51" s="75"/>
      <c r="M51" s="75"/>
      <c r="N51" s="75"/>
      <c r="O51" s="75"/>
      <c r="P51" s="75"/>
      <c r="Q51" s="75"/>
      <c r="R51" s="75"/>
      <c r="S51" s="75"/>
      <c r="T51" s="75"/>
      <c r="U51" s="75"/>
      <c r="V51" s="75"/>
      <c r="W51" s="75"/>
      <c r="X51" s="655" t="str">
        <f>IFERROR(((X48-X46)/X46),"")</f>
        <v/>
      </c>
      <c r="Y51" s="653" t="str">
        <f>IF(X51="","","Difference")</f>
        <v/>
      </c>
      <c r="Z51" s="75"/>
      <c r="AA51" s="75"/>
      <c r="AB51" s="75"/>
      <c r="AC51" s="75"/>
      <c r="AD51" s="75"/>
      <c r="AE51" s="75"/>
      <c r="AF51" s="75"/>
      <c r="AG51" s="75"/>
      <c r="AH51" s="94"/>
    </row>
    <row r="52" spans="3:37">
      <c r="X52" s="654"/>
      <c r="Y52" s="124"/>
    </row>
    <row r="53" spans="3:37">
      <c r="C53" s="2230"/>
      <c r="D53" s="2231"/>
      <c r="E53" s="2231"/>
      <c r="F53" s="2231"/>
      <c r="G53" s="2231"/>
      <c r="H53" s="2232"/>
      <c r="I53" s="656" t="s">
        <v>27</v>
      </c>
      <c r="J53" s="644"/>
      <c r="K53" s="645"/>
      <c r="L53" s="645"/>
      <c r="M53" s="645"/>
      <c r="N53" s="645"/>
      <c r="O53" s="645"/>
      <c r="P53" s="645"/>
      <c r="Q53" s="645"/>
      <c r="R53" s="645"/>
      <c r="S53" s="645"/>
      <c r="T53" s="645"/>
      <c r="U53" s="645"/>
      <c r="V53" s="645"/>
      <c r="W53" s="645"/>
      <c r="X53" s="645"/>
      <c r="Y53" s="645"/>
      <c r="Z53" s="645"/>
      <c r="AA53" s="645"/>
      <c r="AB53" s="645"/>
      <c r="AC53" s="645"/>
      <c r="AD53" s="645"/>
      <c r="AE53" s="645"/>
      <c r="AF53" s="645"/>
      <c r="AG53" s="645"/>
      <c r="AH53" s="646"/>
      <c r="AI53" s="128"/>
      <c r="AJ53" s="128"/>
      <c r="AK53" s="128"/>
    </row>
    <row r="54" spans="3:37">
      <c r="C54" s="82"/>
      <c r="D54" s="647"/>
      <c r="E54" s="647"/>
      <c r="F54" s="647"/>
      <c r="G54" s="647"/>
      <c r="I54" s="128"/>
      <c r="J54" s="123"/>
      <c r="S54" s="648"/>
      <c r="T54" s="648"/>
      <c r="U54" s="648"/>
      <c r="V54" s="648"/>
      <c r="W54" s="648"/>
      <c r="Z54" s="128"/>
      <c r="AA54" s="128"/>
      <c r="AB54" s="128"/>
      <c r="AC54" s="128"/>
      <c r="AD54" s="128"/>
      <c r="AE54" s="128"/>
      <c r="AF54" s="128"/>
      <c r="AG54" s="128"/>
      <c r="AH54" s="649"/>
    </row>
    <row r="55" spans="3:37">
      <c r="C55" s="82"/>
      <c r="D55" s="647"/>
      <c r="E55" s="647"/>
      <c r="F55" s="647"/>
      <c r="G55" s="647"/>
      <c r="I55" s="128"/>
      <c r="J55" s="123"/>
      <c r="S55" s="648"/>
      <c r="T55" s="648"/>
      <c r="U55" s="648"/>
      <c r="V55" s="648"/>
      <c r="W55" s="648"/>
      <c r="Z55" s="128"/>
      <c r="AA55" s="128"/>
      <c r="AB55" s="128"/>
      <c r="AC55" s="128"/>
      <c r="AD55" s="128"/>
      <c r="AE55" s="128"/>
      <c r="AF55" s="128"/>
      <c r="AG55" s="128"/>
      <c r="AH55" s="649"/>
    </row>
    <row r="56" spans="3:37">
      <c r="C56" s="82"/>
      <c r="D56" s="647" t="s">
        <v>242</v>
      </c>
      <c r="E56" s="647"/>
      <c r="F56" s="647"/>
      <c r="G56" s="647"/>
      <c r="I56" s="128"/>
      <c r="J56" s="123"/>
      <c r="P56" s="630"/>
      <c r="Q56" s="631"/>
      <c r="R56" s="631"/>
      <c r="S56" s="631"/>
      <c r="T56" s="631"/>
      <c r="U56" s="631"/>
      <c r="V56" s="631"/>
      <c r="W56" s="632"/>
      <c r="X56" s="1711">
        <f>+(P56*(1+RRR)^7.5)+(Q56*(1+RRR)^6.5)+(R56*(1+RRR)^5.5)+(S56*(1+RRR)^4.5)+(T56*(1+RRR)^3.5)+(U56*(1+RRR)^2.5)+(V56*(1+RRR)^1.5)+(W56*(1+RRR)^0.5)</f>
        <v>0</v>
      </c>
      <c r="Y56" s="650" t="s">
        <v>268</v>
      </c>
      <c r="Z56" s="128"/>
      <c r="AA56" s="128"/>
      <c r="AB56" s="128"/>
      <c r="AC56" s="128"/>
      <c r="AD56" s="128"/>
      <c r="AE56" s="128"/>
      <c r="AF56" s="128"/>
      <c r="AG56" s="128"/>
      <c r="AH56" s="649"/>
    </row>
    <row r="57" spans="3:37">
      <c r="C57" s="82"/>
      <c r="D57" s="647"/>
      <c r="E57" s="647"/>
      <c r="F57" s="647"/>
      <c r="G57" s="647"/>
      <c r="I57" s="128"/>
      <c r="J57" s="123"/>
      <c r="K57" s="128"/>
      <c r="L57" s="128"/>
      <c r="M57" s="128"/>
      <c r="N57" s="128"/>
      <c r="O57" s="128"/>
      <c r="P57" s="128"/>
      <c r="Q57" s="128"/>
      <c r="R57" s="128"/>
      <c r="S57" s="128"/>
      <c r="T57" s="128"/>
      <c r="U57" s="128"/>
      <c r="V57" s="128"/>
      <c r="W57" s="128"/>
      <c r="AD57" s="128"/>
      <c r="AE57" s="128"/>
      <c r="AF57" s="128"/>
      <c r="AG57" s="128"/>
      <c r="AH57" s="649"/>
    </row>
    <row r="58" spans="3:37">
      <c r="C58" s="82"/>
      <c r="D58" s="647"/>
      <c r="E58" s="647"/>
      <c r="F58" s="647"/>
      <c r="G58" s="647"/>
      <c r="I58" s="128"/>
      <c r="J58" s="123"/>
      <c r="K58" s="128"/>
      <c r="L58" s="128"/>
      <c r="M58" s="128"/>
      <c r="N58" s="128"/>
      <c r="O58" s="128"/>
      <c r="P58" s="128"/>
      <c r="Q58" s="128"/>
      <c r="R58" s="128"/>
      <c r="S58" s="128"/>
      <c r="T58" s="128"/>
      <c r="U58" s="128"/>
      <c r="V58" s="128"/>
      <c r="W58" s="128"/>
      <c r="X58" s="650">
        <f>+NPV(RRR,X59:AG59)*(1+RRR)^0.5</f>
        <v>0</v>
      </c>
      <c r="Y58" s="628" t="s">
        <v>268</v>
      </c>
      <c r="AD58" s="128"/>
      <c r="AE58" s="128"/>
      <c r="AF58" s="128"/>
      <c r="AG58" s="128"/>
      <c r="AH58" s="649"/>
    </row>
    <row r="59" spans="3:37">
      <c r="C59" s="82"/>
      <c r="D59" s="647" t="s">
        <v>267</v>
      </c>
      <c r="E59" s="647"/>
      <c r="F59" s="647"/>
      <c r="G59" s="647"/>
      <c r="I59" s="128"/>
      <c r="J59" s="123"/>
      <c r="K59" s="128"/>
      <c r="L59" s="128"/>
      <c r="M59" s="651"/>
      <c r="N59" s="651"/>
      <c r="O59" s="651"/>
      <c r="P59" s="651"/>
      <c r="Q59" s="651"/>
      <c r="R59" s="651"/>
      <c r="S59" s="128"/>
      <c r="T59" s="128"/>
      <c r="U59" s="128"/>
      <c r="X59" s="630"/>
      <c r="Y59" s="631"/>
      <c r="Z59" s="631"/>
      <c r="AA59" s="631"/>
      <c r="AB59" s="632"/>
      <c r="AC59" s="631"/>
      <c r="AD59" s="631"/>
      <c r="AE59" s="631"/>
      <c r="AF59" s="631"/>
      <c r="AG59" s="632"/>
      <c r="AH59" s="649"/>
    </row>
    <row r="60" spans="3:37">
      <c r="C60" s="82"/>
      <c r="X60" s="77"/>
      <c r="Y60" s="77"/>
      <c r="AH60" s="81"/>
    </row>
    <row r="61" spans="3:37">
      <c r="C61" s="92"/>
      <c r="D61" s="75"/>
      <c r="E61" s="75"/>
      <c r="F61" s="75"/>
      <c r="G61" s="75"/>
      <c r="H61" s="75"/>
      <c r="I61" s="75"/>
      <c r="J61" s="407"/>
      <c r="K61" s="75"/>
      <c r="L61" s="75"/>
      <c r="M61" s="75"/>
      <c r="N61" s="75"/>
      <c r="O61" s="75"/>
      <c r="P61" s="75"/>
      <c r="Q61" s="75"/>
      <c r="R61" s="75"/>
      <c r="S61" s="75"/>
      <c r="T61" s="75"/>
      <c r="U61" s="75"/>
      <c r="V61" s="75"/>
      <c r="W61" s="75"/>
      <c r="X61" s="655" t="str">
        <f>IFERROR(((X58-X56)/X56),"")</f>
        <v/>
      </c>
      <c r="Y61" s="653" t="str">
        <f>IF(X61="","","Difference")</f>
        <v/>
      </c>
      <c r="Z61" s="75"/>
      <c r="AA61" s="75"/>
      <c r="AB61" s="75"/>
      <c r="AC61" s="75"/>
      <c r="AD61" s="75"/>
      <c r="AE61" s="75"/>
      <c r="AF61" s="75"/>
      <c r="AG61" s="75"/>
      <c r="AH61" s="94"/>
    </row>
    <row r="62" spans="3:37">
      <c r="X62" s="654"/>
      <c r="Y62" s="124"/>
    </row>
    <row r="63" spans="3:37">
      <c r="C63" s="2230"/>
      <c r="D63" s="2231"/>
      <c r="E63" s="2231"/>
      <c r="F63" s="2231"/>
      <c r="G63" s="2231"/>
      <c r="H63" s="2232"/>
      <c r="I63" s="656" t="s">
        <v>27</v>
      </c>
      <c r="J63" s="644"/>
      <c r="K63" s="645"/>
      <c r="L63" s="645"/>
      <c r="M63" s="645"/>
      <c r="N63" s="645"/>
      <c r="O63" s="645"/>
      <c r="P63" s="645"/>
      <c r="Q63" s="645"/>
      <c r="R63" s="645"/>
      <c r="S63" s="645"/>
      <c r="T63" s="645"/>
      <c r="U63" s="645"/>
      <c r="V63" s="645"/>
      <c r="W63" s="645"/>
      <c r="X63" s="645"/>
      <c r="Y63" s="645"/>
      <c r="Z63" s="645"/>
      <c r="AA63" s="645"/>
      <c r="AB63" s="645"/>
      <c r="AC63" s="645"/>
      <c r="AD63" s="645"/>
      <c r="AE63" s="645"/>
      <c r="AF63" s="645"/>
      <c r="AG63" s="645"/>
      <c r="AH63" s="646"/>
    </row>
    <row r="64" spans="3:37">
      <c r="C64" s="82"/>
      <c r="D64" s="647"/>
      <c r="E64" s="647"/>
      <c r="F64" s="647"/>
      <c r="G64" s="647"/>
      <c r="I64" s="128"/>
      <c r="J64" s="123"/>
      <c r="S64" s="648"/>
      <c r="T64" s="648"/>
      <c r="U64" s="648"/>
      <c r="V64" s="648"/>
      <c r="W64" s="648"/>
      <c r="Z64" s="128"/>
      <c r="AA64" s="128"/>
      <c r="AB64" s="128"/>
      <c r="AC64" s="128"/>
      <c r="AD64" s="128"/>
      <c r="AE64" s="128"/>
      <c r="AF64" s="128"/>
      <c r="AG64" s="128"/>
      <c r="AH64" s="649"/>
    </row>
    <row r="65" spans="3:34">
      <c r="C65" s="82"/>
      <c r="D65" s="647"/>
      <c r="E65" s="647"/>
      <c r="F65" s="647"/>
      <c r="G65" s="647"/>
      <c r="I65" s="128"/>
      <c r="J65" s="123"/>
      <c r="S65" s="648"/>
      <c r="T65" s="648"/>
      <c r="U65" s="648"/>
      <c r="V65" s="648"/>
      <c r="W65" s="648"/>
      <c r="Z65" s="128"/>
      <c r="AA65" s="128"/>
      <c r="AB65" s="128"/>
      <c r="AC65" s="128"/>
      <c r="AD65" s="128"/>
      <c r="AE65" s="128"/>
      <c r="AF65" s="128"/>
      <c r="AG65" s="128"/>
      <c r="AH65" s="649"/>
    </row>
    <row r="66" spans="3:34">
      <c r="C66" s="82"/>
      <c r="D66" s="647" t="s">
        <v>242</v>
      </c>
      <c r="E66" s="647"/>
      <c r="F66" s="647"/>
      <c r="G66" s="647"/>
      <c r="I66" s="128"/>
      <c r="J66" s="123"/>
      <c r="P66" s="630"/>
      <c r="Q66" s="631"/>
      <c r="R66" s="631"/>
      <c r="S66" s="631"/>
      <c r="T66" s="631"/>
      <c r="U66" s="631"/>
      <c r="V66" s="631"/>
      <c r="W66" s="632"/>
      <c r="X66" s="1711">
        <f>+(P66*(1+RRR)^7.5)+(Q66*(1+RRR)^6.5)+(R66*(1+RRR)^5.5)+(S66*(1+RRR)^4.5)+(T66*(1+RRR)^3.5)+(U66*(1+RRR)^2.5)+(V66*(1+RRR)^1.5)+(W66*(1+RRR)^0.5)</f>
        <v>0</v>
      </c>
      <c r="Y66" s="650" t="s">
        <v>268</v>
      </c>
      <c r="Z66" s="128"/>
      <c r="AA66" s="128"/>
      <c r="AB66" s="128"/>
      <c r="AC66" s="128"/>
      <c r="AD66" s="128"/>
      <c r="AE66" s="128"/>
      <c r="AF66" s="128"/>
      <c r="AG66" s="128"/>
      <c r="AH66" s="649"/>
    </row>
    <row r="67" spans="3:34">
      <c r="C67" s="82"/>
      <c r="D67" s="647"/>
      <c r="E67" s="647"/>
      <c r="F67" s="647"/>
      <c r="G67" s="647"/>
      <c r="I67" s="128"/>
      <c r="J67" s="123"/>
      <c r="K67" s="128"/>
      <c r="L67" s="128"/>
      <c r="M67" s="128"/>
      <c r="N67" s="128"/>
      <c r="O67" s="128"/>
      <c r="P67" s="128"/>
      <c r="Q67" s="128"/>
      <c r="R67" s="128"/>
      <c r="S67" s="128"/>
      <c r="T67" s="128"/>
      <c r="U67" s="128"/>
      <c r="V67" s="128"/>
      <c r="W67" s="128"/>
      <c r="AD67" s="128"/>
      <c r="AE67" s="128"/>
      <c r="AF67" s="128"/>
      <c r="AG67" s="128"/>
      <c r="AH67" s="649"/>
    </row>
    <row r="68" spans="3:34">
      <c r="C68" s="82"/>
      <c r="D68" s="647"/>
      <c r="E68" s="647"/>
      <c r="F68" s="647"/>
      <c r="G68" s="647"/>
      <c r="I68" s="128"/>
      <c r="J68" s="123"/>
      <c r="K68" s="128"/>
      <c r="L68" s="128"/>
      <c r="M68" s="128"/>
      <c r="N68" s="128"/>
      <c r="O68" s="128"/>
      <c r="P68" s="128"/>
      <c r="Q68" s="128"/>
      <c r="R68" s="128"/>
      <c r="S68" s="128"/>
      <c r="T68" s="128"/>
      <c r="U68" s="128"/>
      <c r="V68" s="128"/>
      <c r="W68" s="128"/>
      <c r="X68" s="650">
        <f>+NPV(RRR,X69:AG69)*(1+RRR)^0.5</f>
        <v>0</v>
      </c>
      <c r="Y68" s="628" t="s">
        <v>268</v>
      </c>
      <c r="AD68" s="128"/>
      <c r="AE68" s="128"/>
      <c r="AF68" s="128"/>
      <c r="AG68" s="128"/>
      <c r="AH68" s="649"/>
    </row>
    <row r="69" spans="3:34">
      <c r="C69" s="82"/>
      <c r="D69" s="647" t="s">
        <v>267</v>
      </c>
      <c r="E69" s="647"/>
      <c r="F69" s="647"/>
      <c r="G69" s="647"/>
      <c r="I69" s="128"/>
      <c r="J69" s="123"/>
      <c r="K69" s="128"/>
      <c r="L69" s="128"/>
      <c r="M69" s="651"/>
      <c r="N69" s="651"/>
      <c r="O69" s="651"/>
      <c r="P69" s="651"/>
      <c r="Q69" s="651"/>
      <c r="R69" s="651"/>
      <c r="S69" s="128"/>
      <c r="T69" s="128"/>
      <c r="U69" s="128"/>
      <c r="X69" s="630"/>
      <c r="Y69" s="631"/>
      <c r="Z69" s="631"/>
      <c r="AA69" s="631"/>
      <c r="AB69" s="632"/>
      <c r="AC69" s="631"/>
      <c r="AD69" s="631"/>
      <c r="AE69" s="631"/>
      <c r="AF69" s="631"/>
      <c r="AG69" s="632"/>
      <c r="AH69" s="649"/>
    </row>
    <row r="70" spans="3:34">
      <c r="C70" s="82"/>
      <c r="X70" s="77"/>
      <c r="Y70" s="77"/>
      <c r="AH70" s="81"/>
    </row>
    <row r="71" spans="3:34">
      <c r="C71" s="92"/>
      <c r="D71" s="75"/>
      <c r="E71" s="75"/>
      <c r="F71" s="75"/>
      <c r="G71" s="75"/>
      <c r="H71" s="75"/>
      <c r="I71" s="75"/>
      <c r="J71" s="407"/>
      <c r="K71" s="75"/>
      <c r="L71" s="75"/>
      <c r="M71" s="75"/>
      <c r="N71" s="75"/>
      <c r="O71" s="75"/>
      <c r="P71" s="75"/>
      <c r="Q71" s="75"/>
      <c r="R71" s="75"/>
      <c r="S71" s="75"/>
      <c r="T71" s="75"/>
      <c r="U71" s="75"/>
      <c r="V71" s="75"/>
      <c r="W71" s="75"/>
      <c r="X71" s="655" t="str">
        <f>IFERROR(((X68-X66)/X66),"")</f>
        <v/>
      </c>
      <c r="Y71" s="653" t="str">
        <f>IF(X71="","","Difference")</f>
        <v/>
      </c>
      <c r="Z71" s="75"/>
      <c r="AA71" s="75"/>
      <c r="AB71" s="75"/>
      <c r="AC71" s="75"/>
      <c r="AD71" s="75"/>
      <c r="AE71" s="75"/>
      <c r="AF71" s="75"/>
      <c r="AG71" s="75"/>
      <c r="AH71" s="94"/>
    </row>
  </sheetData>
  <sheetProtection algorithmName="SHA-512" hashValue="G5oyAyGYNodfm76Xxvc0+zYe5PYLNaBRdxxmOIoT/X0jjPAZzPsLq2wBX8trAfyrfYVS99Zi23YwajoVi07BsQ==" saltValue="8Jvv87A9HIlC30jca34SRA==" spinCount="100000" sheet="1" objects="1" scenarios="1"/>
  <mergeCells count="6">
    <mergeCell ref="C63:H63"/>
    <mergeCell ref="B3:F3"/>
    <mergeCell ref="C23:H23"/>
    <mergeCell ref="C33:H33"/>
    <mergeCell ref="C43:H43"/>
    <mergeCell ref="C53:H53"/>
  </mergeCells>
  <phoneticPr fontId="0" type="noConversion"/>
  <dataValidations count="1">
    <dataValidation type="list" allowBlank="1" showInputMessage="1" showErrorMessage="1" sqref="I23:J23 I33:J33 I53:J53 I43:J43 I63:J63" xr:uid="{00000000-0002-0000-0A00-000000000000}">
      <formula1>Asset_Class</formula1>
    </dataValidation>
  </dataValidations>
  <hyperlinks>
    <hyperlink ref="B3" location="HL_Home" tooltip="Go to Table of Contents" display="HL_Home" xr:uid="{00000000-0004-0000-0A00-000000000000}"/>
  </hyperlinks>
  <pageMargins left="0.39370078740157499" right="0.39370078740157499" top="0.59055118110236249" bottom="0.98425196850393748" header="0" footer="0.31496062992125973"/>
  <pageSetup paperSize="9" scale="81" orientation="landscape" r:id="rId1"/>
  <headerFooter alignWithMargins="0">
    <oddHeader>&amp;C&amp;"Calibri"&amp;12&amp;KFF0000 OFFICIAL&amp;1#_x000D_&amp;"Arial"&amp;8&amp;K000000&amp;B&amp;"Arial"&amp;12&amp;Kff0000​‌OFFICIAL‌​</oddHeader>
    <oddFooter>&amp;C&amp;"Arial,Bold"&amp;8Sheet g.
Page &amp;P of &amp;N&amp;L&amp;"Arial,Bold"&amp;7&amp;F
&amp;A
Printed: &amp;T on &amp;D</oddFooter>
  </headerFooter>
  <rowBreaks count="1" manualBreakCount="1">
    <brk id="46" min="1" max="2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1">
    <pageSetUpPr autoPageBreaks="0"/>
  </sheetPr>
  <dimension ref="A1:DR563"/>
  <sheetViews>
    <sheetView showGridLines="0" topLeftCell="G1" zoomScaleNormal="100" workbookViewId="0">
      <pane ySplit="7" topLeftCell="A22" activePane="bottomLeft" state="frozen"/>
      <selection activeCell="R43" sqref="R43"/>
      <selection pane="bottomLeft" activeCell="AA63" sqref="AA63"/>
    </sheetView>
  </sheetViews>
  <sheetFormatPr defaultColWidth="10.83203125" defaultRowHeight="12" outlineLevelCol="1"/>
  <cols>
    <col min="1" max="2" width="3.83203125" style="70" customWidth="1"/>
    <col min="3" max="3" width="4" style="70" customWidth="1"/>
    <col min="4" max="4" width="4.1640625" style="70" customWidth="1"/>
    <col min="5" max="5" width="5" style="70" customWidth="1"/>
    <col min="6" max="6" width="11.33203125" style="70" customWidth="1"/>
    <col min="7" max="7" width="34.33203125" style="70" customWidth="1"/>
    <col min="8" max="8" width="24.33203125" style="70" customWidth="1"/>
    <col min="9" max="9" width="13.33203125" style="70" customWidth="1"/>
    <col min="10" max="10" width="12.1640625" style="70" customWidth="1"/>
    <col min="11" max="11" width="12.6640625" style="70" hidden="1" customWidth="1" outlineLevel="1"/>
    <col min="12" max="12" width="13.1640625" style="70" hidden="1" customWidth="1" outlineLevel="1"/>
    <col min="13" max="14" width="11.83203125" style="70" hidden="1" customWidth="1" outlineLevel="1"/>
    <col min="15" max="15" width="11.83203125" style="70" customWidth="1" collapsed="1"/>
    <col min="16" max="16" width="11.6640625" style="70" customWidth="1"/>
    <col min="17" max="17" width="12.5" style="70" customWidth="1"/>
    <col min="18" max="18" width="12.1640625" style="70" customWidth="1"/>
    <col min="19" max="23" width="11.83203125" style="70" customWidth="1"/>
    <col min="24" max="24" width="13.5" style="70" customWidth="1"/>
    <col min="25" max="28" width="11.83203125" style="70" customWidth="1"/>
    <col min="29" max="30" width="11.5" style="70" customWidth="1"/>
    <col min="31" max="31" width="13.33203125" style="70" customWidth="1"/>
    <col min="32" max="32" width="11.1640625" style="70" customWidth="1"/>
    <col min="33" max="33" width="11.33203125" style="70" customWidth="1"/>
    <col min="34" max="34" width="4.5" style="70" customWidth="1"/>
    <col min="35" max="45" width="10.83203125" style="70" hidden="1" customWidth="1" outlineLevel="1"/>
    <col min="46" max="46" width="10.83203125" style="70" customWidth="1" collapsed="1"/>
    <col min="47" max="47" width="2.83203125" style="1239" customWidth="1"/>
    <col min="48" max="48" width="23" style="70" hidden="1" customWidth="1"/>
    <col min="49" max="49" width="8.83203125" style="70" hidden="1" customWidth="1"/>
    <col min="50" max="50" width="15.6640625" style="70" hidden="1" customWidth="1"/>
    <col min="51" max="51" width="23" style="70" hidden="1" customWidth="1"/>
    <col min="52" max="54" width="11.33203125" style="70" hidden="1" customWidth="1"/>
    <col min="55" max="59" width="0" style="70" hidden="1" customWidth="1"/>
    <col min="60" max="69" width="10.83203125" style="70"/>
    <col min="70" max="70" width="5.83203125" style="70" customWidth="1"/>
    <col min="71" max="73" width="20.83203125" style="70" customWidth="1"/>
    <col min="74" max="74" width="25.83203125" style="70" customWidth="1"/>
    <col min="75" max="75" width="5.83203125" style="70" customWidth="1"/>
    <col min="76" max="76" width="8.83203125" style="70" customWidth="1"/>
    <col min="77" max="77" width="15.6640625" style="70" customWidth="1"/>
    <col min="78" max="78" width="23" style="70" customWidth="1"/>
    <col min="79" max="79" width="11.83203125" style="70" customWidth="1"/>
    <col min="80" max="80" width="8.83203125" style="70" customWidth="1"/>
    <col min="81" max="81" width="9.33203125" style="70" customWidth="1"/>
    <col min="82" max="96" width="10.83203125" style="70"/>
    <col min="97" max="97" width="5.83203125" style="70" customWidth="1"/>
    <col min="98" max="98" width="8.83203125" style="70" customWidth="1"/>
    <col min="99" max="99" width="15.6640625" style="70" customWidth="1"/>
    <col min="100" max="100" width="22.83203125" style="70" customWidth="1"/>
    <col min="101" max="109" width="10.83203125" style="70" customWidth="1"/>
    <col min="110" max="110" width="5.83203125" style="70" customWidth="1"/>
    <col min="111" max="111" width="8.83203125" style="70" customWidth="1"/>
    <col min="112" max="112" width="15.6640625" style="70" customWidth="1"/>
    <col min="113" max="113" width="22.83203125" style="70" customWidth="1"/>
    <col min="114" max="114" width="11.33203125" style="70" customWidth="1"/>
    <col min="115" max="122" width="10.83203125" style="70" customWidth="1"/>
    <col min="123" max="16384" width="10.83203125" style="70"/>
  </cols>
  <sheetData>
    <row r="1" spans="1:114" ht="15">
      <c r="A1" s="152">
        <v>80</v>
      </c>
      <c r="B1" s="152"/>
      <c r="C1" s="153" t="s">
        <v>236</v>
      </c>
      <c r="K1" s="85"/>
      <c r="L1" s="85"/>
      <c r="M1" s="85"/>
      <c r="N1" s="85"/>
      <c r="O1" s="85"/>
      <c r="P1" s="85"/>
      <c r="Q1" s="85"/>
      <c r="R1" s="85"/>
      <c r="S1" s="85"/>
      <c r="T1" s="85"/>
      <c r="U1" s="85"/>
      <c r="V1" s="85"/>
      <c r="W1" s="85"/>
      <c r="X1" s="85"/>
      <c r="Y1" s="232"/>
      <c r="Z1" s="232"/>
      <c r="AA1" s="232"/>
      <c r="AB1" s="232"/>
      <c r="AC1" s="232"/>
      <c r="AD1" s="232"/>
      <c r="AE1" s="232"/>
      <c r="AF1" s="232"/>
    </row>
    <row r="2" spans="1:114" ht="12.75">
      <c r="C2" s="155" t="str">
        <f>+Contents!H7</f>
        <v>North East Water</v>
      </c>
      <c r="N2" s="657"/>
      <c r="O2" s="158"/>
      <c r="Y2" s="232"/>
      <c r="Z2" s="232"/>
      <c r="AA2" s="232"/>
      <c r="AB2" s="232"/>
      <c r="AC2" s="232"/>
      <c r="AD2" s="232"/>
      <c r="AE2" s="232"/>
      <c r="AF2" s="232"/>
    </row>
    <row r="3" spans="1:114">
      <c r="C3" s="2212" t="s">
        <v>0</v>
      </c>
      <c r="D3" s="2212"/>
      <c r="E3" s="2212"/>
      <c r="F3" s="2212"/>
      <c r="G3" s="2212"/>
      <c r="H3" s="159"/>
      <c r="Y3" s="232"/>
      <c r="Z3" s="232"/>
      <c r="AA3" s="232"/>
      <c r="AB3" s="232"/>
      <c r="AC3" s="232"/>
      <c r="AD3" s="232"/>
      <c r="AE3" s="232"/>
      <c r="AF3" s="232"/>
    </row>
    <row r="4" spans="1:114">
      <c r="A4" s="160"/>
      <c r="B4" s="160"/>
      <c r="C4" s="72"/>
      <c r="D4" s="73"/>
      <c r="G4" s="60"/>
      <c r="K4" s="63"/>
      <c r="L4" s="149"/>
      <c r="M4" s="149" t="s">
        <v>274</v>
      </c>
      <c r="N4" s="149"/>
      <c r="O4" s="149"/>
      <c r="P4" s="1619"/>
      <c r="Q4" s="150"/>
      <c r="R4" s="150"/>
      <c r="S4" s="150"/>
      <c r="T4" s="1619" t="s">
        <v>334</v>
      </c>
      <c r="U4" s="150"/>
      <c r="V4" s="150"/>
      <c r="W4" s="150"/>
      <c r="X4" s="1619"/>
      <c r="Y4" s="150"/>
      <c r="Z4" s="150" t="s">
        <v>465</v>
      </c>
      <c r="AA4" s="150"/>
      <c r="AB4" s="62"/>
      <c r="AC4" s="64"/>
      <c r="AD4" s="64"/>
      <c r="AE4" s="150" t="s">
        <v>949</v>
      </c>
      <c r="AF4" s="63"/>
      <c r="AG4" s="62"/>
    </row>
    <row r="5" spans="1:114">
      <c r="H5" s="1993"/>
    </row>
    <row r="6" spans="1:114">
      <c r="C6" s="161"/>
      <c r="G6" s="162" t="s">
        <v>62</v>
      </c>
      <c r="I6" s="66">
        <v>2014</v>
      </c>
      <c r="J6" s="66">
        <v>2015</v>
      </c>
      <c r="K6" s="66">
        <v>2016</v>
      </c>
      <c r="L6" s="66">
        <v>2017</v>
      </c>
      <c r="M6" s="66">
        <v>2018</v>
      </c>
      <c r="N6" s="66">
        <v>2019</v>
      </c>
      <c r="O6" s="66">
        <v>2020</v>
      </c>
      <c r="P6" s="66">
        <v>2021</v>
      </c>
      <c r="Q6" s="66">
        <v>2022</v>
      </c>
      <c r="R6" s="66">
        <v>2023</v>
      </c>
      <c r="S6" s="67">
        <v>2024</v>
      </c>
      <c r="T6" s="67">
        <v>2025</v>
      </c>
      <c r="U6" s="67">
        <v>2026</v>
      </c>
      <c r="V6" s="67">
        <v>2027</v>
      </c>
      <c r="W6" s="67">
        <v>2028</v>
      </c>
      <c r="X6" s="67">
        <f>W6+1</f>
        <v>2029</v>
      </c>
      <c r="Y6" s="67">
        <f>X6+1</f>
        <v>2030</v>
      </c>
      <c r="Z6" s="67">
        <f t="shared" ref="Z6:AG6" si="0">Y6+1</f>
        <v>2031</v>
      </c>
      <c r="AA6" s="67">
        <f t="shared" si="0"/>
        <v>2032</v>
      </c>
      <c r="AB6" s="67">
        <f t="shared" si="0"/>
        <v>2033</v>
      </c>
      <c r="AC6" s="67">
        <f t="shared" si="0"/>
        <v>2034</v>
      </c>
      <c r="AD6" s="67">
        <f t="shared" si="0"/>
        <v>2035</v>
      </c>
      <c r="AE6" s="67">
        <f t="shared" si="0"/>
        <v>2036</v>
      </c>
      <c r="AF6" s="67">
        <f t="shared" si="0"/>
        <v>2037</v>
      </c>
      <c r="AG6" s="67">
        <f t="shared" si="0"/>
        <v>2038</v>
      </c>
    </row>
    <row r="7" spans="1:114">
      <c r="A7" s="75"/>
      <c r="B7" s="75"/>
      <c r="C7" s="74" t="str">
        <f>Opex_FO!B6</f>
        <v>$m, 01/01/26</v>
      </c>
      <c r="D7" s="75"/>
      <c r="E7" s="75"/>
      <c r="F7" s="75"/>
      <c r="G7" s="165" t="s">
        <v>63</v>
      </c>
      <c r="H7" s="75"/>
      <c r="K7" s="342" t="str">
        <f t="shared" ref="K7:X7" si="1">+CONCATENATE(I6-1,"-",RIGHT(I6,2))</f>
        <v>2013-14</v>
      </c>
      <c r="L7" s="342" t="str">
        <f t="shared" si="1"/>
        <v>2014-15</v>
      </c>
      <c r="M7" s="342" t="str">
        <f t="shared" si="1"/>
        <v>2015-16</v>
      </c>
      <c r="N7" s="342" t="str">
        <f t="shared" si="1"/>
        <v>2016-17</v>
      </c>
      <c r="O7" s="342" t="str">
        <f t="shared" si="1"/>
        <v>2017-18</v>
      </c>
      <c r="P7" s="342" t="str">
        <f t="shared" si="1"/>
        <v>2018-19</v>
      </c>
      <c r="Q7" s="342" t="str">
        <f t="shared" si="1"/>
        <v>2019-20</v>
      </c>
      <c r="R7" s="342" t="str">
        <f t="shared" si="1"/>
        <v>2020-21</v>
      </c>
      <c r="S7" s="342" t="str">
        <f t="shared" si="1"/>
        <v>2021-22</v>
      </c>
      <c r="T7" s="342" t="str">
        <f t="shared" si="1"/>
        <v>2022-23</v>
      </c>
      <c r="U7" s="342" t="str">
        <f t="shared" si="1"/>
        <v>2023-24</v>
      </c>
      <c r="V7" s="342" t="str">
        <f t="shared" si="1"/>
        <v>2024-25</v>
      </c>
      <c r="W7" s="342" t="str">
        <f t="shared" si="1"/>
        <v>2025-26</v>
      </c>
      <c r="X7" s="2129" t="str">
        <f t="shared" si="1"/>
        <v>2026-27</v>
      </c>
      <c r="Y7" s="342" t="str">
        <f t="shared" ref="Y7:AG7" si="2">+CONCATENATE(W6-1,"-",RIGHT(W6,2))</f>
        <v>2027-28</v>
      </c>
      <c r="Z7" s="342" t="str">
        <f t="shared" si="2"/>
        <v>2028-29</v>
      </c>
      <c r="AA7" s="342" t="str">
        <f t="shared" si="2"/>
        <v>2029-30</v>
      </c>
      <c r="AB7" s="342" t="str">
        <f t="shared" si="2"/>
        <v>2030-31</v>
      </c>
      <c r="AC7" s="342" t="str">
        <f t="shared" si="2"/>
        <v>2031-32</v>
      </c>
      <c r="AD7" s="342" t="str">
        <f t="shared" si="2"/>
        <v>2032-33</v>
      </c>
      <c r="AE7" s="342" t="str">
        <f t="shared" si="2"/>
        <v>2033-34</v>
      </c>
      <c r="AF7" s="342" t="str">
        <f t="shared" si="2"/>
        <v>2034-35</v>
      </c>
      <c r="AG7" s="342" t="str">
        <f t="shared" si="2"/>
        <v>2035-36</v>
      </c>
      <c r="AX7" s="75"/>
      <c r="AY7" s="75"/>
      <c r="CT7" s="75"/>
      <c r="CU7" s="75"/>
      <c r="CV7" s="75"/>
      <c r="DG7" s="75"/>
      <c r="DH7" s="75"/>
      <c r="DI7" s="75"/>
    </row>
    <row r="8" spans="1:114" ht="11.25" customHeight="1" thickBot="1">
      <c r="AY8" s="798"/>
      <c r="AZ8" s="798"/>
      <c r="BA8" s="798"/>
      <c r="BB8" s="798"/>
      <c r="BZ8" s="798"/>
      <c r="CA8" s="798"/>
      <c r="CB8" s="798"/>
      <c r="CC8" s="798"/>
      <c r="CV8" s="798"/>
      <c r="DI8" s="798"/>
      <c r="DJ8" s="798"/>
    </row>
    <row r="9" spans="1:114">
      <c r="D9" s="166"/>
      <c r="E9" s="167"/>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c r="AF9" s="167"/>
      <c r="AG9" s="167"/>
      <c r="AH9" s="168"/>
      <c r="AY9" s="798"/>
      <c r="AZ9" s="798"/>
      <c r="BA9" s="798"/>
      <c r="BB9" s="798"/>
      <c r="BZ9" s="798"/>
      <c r="CA9" s="798"/>
      <c r="CB9" s="798"/>
      <c r="CC9" s="798"/>
      <c r="CV9" s="798"/>
      <c r="DI9" s="798"/>
      <c r="DJ9" s="798"/>
    </row>
    <row r="10" spans="1:114">
      <c r="D10" s="169"/>
      <c r="E10" s="170" t="s">
        <v>69</v>
      </c>
      <c r="AH10" s="171"/>
      <c r="AY10" s="798"/>
      <c r="AZ10" s="798"/>
      <c r="BA10" s="798"/>
      <c r="BB10" s="798"/>
      <c r="BZ10" s="798"/>
      <c r="CA10" s="798"/>
      <c r="CB10" s="798"/>
      <c r="CC10" s="798"/>
      <c r="CV10" s="798"/>
      <c r="DI10" s="798"/>
      <c r="DJ10" s="798"/>
    </row>
    <row r="11" spans="1:114">
      <c r="D11" s="169"/>
      <c r="AH11" s="171"/>
      <c r="AY11" s="798"/>
      <c r="AZ11" s="798"/>
      <c r="BA11" s="798"/>
      <c r="BB11" s="798"/>
      <c r="BZ11" s="798"/>
      <c r="CA11" s="798"/>
      <c r="CB11" s="798"/>
      <c r="CC11" s="798"/>
      <c r="CV11" s="798"/>
      <c r="DI11" s="798"/>
      <c r="DJ11" s="798"/>
    </row>
    <row r="12" spans="1:114">
      <c r="D12" s="169"/>
      <c r="F12" s="647" t="s">
        <v>283</v>
      </c>
      <c r="J12" s="180"/>
      <c r="K12" s="608">
        <f t="shared" ref="K12:AG12" si="3">+K54</f>
        <v>0</v>
      </c>
      <c r="L12" s="608">
        <f t="shared" si="3"/>
        <v>0</v>
      </c>
      <c r="M12" s="608">
        <f t="shared" si="3"/>
        <v>0</v>
      </c>
      <c r="N12" s="608">
        <f t="shared" si="3"/>
        <v>0</v>
      </c>
      <c r="O12" s="608">
        <f t="shared" ref="O12:W12" si="4">+O54</f>
        <v>1.6756669683257919</v>
      </c>
      <c r="P12" s="608">
        <f t="shared" si="4"/>
        <v>1.4769751332149201</v>
      </c>
      <c r="Q12" s="608">
        <f t="shared" si="4"/>
        <v>1.4649570552147242</v>
      </c>
      <c r="R12" s="608">
        <f t="shared" si="4"/>
        <v>1.783489548885077</v>
      </c>
      <c r="S12" s="608">
        <f t="shared" si="4"/>
        <v>1.8676463104325696</v>
      </c>
      <c r="T12" s="608">
        <f t="shared" si="4"/>
        <v>1.7726610169491526</v>
      </c>
      <c r="U12" s="608">
        <f t="shared" si="4"/>
        <v>1.7865897126696832</v>
      </c>
      <c r="V12" s="608">
        <f t="shared" si="4"/>
        <v>1.7738849781659383</v>
      </c>
      <c r="W12" s="608">
        <f t="shared" si="4"/>
        <v>1.41</v>
      </c>
      <c r="X12" s="608">
        <f t="shared" si="3"/>
        <v>1.85</v>
      </c>
      <c r="Y12" s="608">
        <f t="shared" si="3"/>
        <v>1.85</v>
      </c>
      <c r="Z12" s="608">
        <f t="shared" si="3"/>
        <v>1.85</v>
      </c>
      <c r="AA12" s="608">
        <f t="shared" si="3"/>
        <v>1.85</v>
      </c>
      <c r="AB12" s="608">
        <f t="shared" si="3"/>
        <v>1.85</v>
      </c>
      <c r="AC12" s="608">
        <f t="shared" si="3"/>
        <v>1.85</v>
      </c>
      <c r="AD12" s="608">
        <f t="shared" si="3"/>
        <v>1.85</v>
      </c>
      <c r="AE12" s="608">
        <f t="shared" si="3"/>
        <v>1.85</v>
      </c>
      <c r="AF12" s="608">
        <f t="shared" si="3"/>
        <v>1.85</v>
      </c>
      <c r="AG12" s="608">
        <f t="shared" si="3"/>
        <v>1.85</v>
      </c>
      <c r="AH12" s="171"/>
      <c r="AT12" s="70" t="s">
        <v>1053</v>
      </c>
      <c r="AY12" s="798"/>
      <c r="AZ12" s="798"/>
      <c r="BA12" s="798"/>
      <c r="BB12" s="798"/>
      <c r="BZ12" s="798"/>
      <c r="CA12" s="798"/>
      <c r="CB12" s="798"/>
      <c r="CC12" s="798"/>
      <c r="CV12" s="798"/>
      <c r="DI12" s="798"/>
      <c r="DJ12" s="798"/>
    </row>
    <row r="13" spans="1:114">
      <c r="D13" s="169"/>
      <c r="F13" s="591" t="s">
        <v>38</v>
      </c>
      <c r="J13" s="180"/>
      <c r="K13" s="608">
        <f t="shared" ref="K13:AG13" si="5">+SUMIF($E$66:$E$65538,$E$68,K$66:K$65538)</f>
        <v>0</v>
      </c>
      <c r="L13" s="608">
        <f t="shared" si="5"/>
        <v>0</v>
      </c>
      <c r="M13" s="608">
        <f t="shared" si="5"/>
        <v>0</v>
      </c>
      <c r="N13" s="608">
        <f t="shared" si="5"/>
        <v>0</v>
      </c>
      <c r="O13" s="608">
        <f>+SUMIF($E$66:$E$65538,$E$68,O$66:O$65538)+O$62</f>
        <v>75.402792672696677</v>
      </c>
      <c r="P13" s="608">
        <f>+SUMIF($E$66:$E$65538,$E$68,P$66:P$65538)+P$62</f>
        <v>77.359082551750447</v>
      </c>
      <c r="Q13" s="608">
        <f t="shared" ref="Q13:W13" si="6">+SUMIF($E$66:$E$65538,$E$68,Q$66:Q$65538)+Q$62</f>
        <v>75.987760546563237</v>
      </c>
      <c r="R13" s="608">
        <f t="shared" si="6"/>
        <v>74.604022114889148</v>
      </c>
      <c r="S13" s="608">
        <f t="shared" si="6"/>
        <v>72.080425126094354</v>
      </c>
      <c r="T13" s="608">
        <f t="shared" si="6"/>
        <v>74.637866036280315</v>
      </c>
      <c r="U13" s="608">
        <f t="shared" si="6"/>
        <v>78.415661057170041</v>
      </c>
      <c r="V13" s="608">
        <f t="shared" si="6"/>
        <v>82.145528468659293</v>
      </c>
      <c r="W13" s="608">
        <f t="shared" si="6"/>
        <v>80.672915239904029</v>
      </c>
      <c r="X13" s="600">
        <f t="shared" si="5"/>
        <v>86.782824508217715</v>
      </c>
      <c r="Y13" s="608">
        <f t="shared" si="5"/>
        <v>92.324789709086062</v>
      </c>
      <c r="Z13" s="608">
        <f t="shared" si="5"/>
        <v>98.224860298802454</v>
      </c>
      <c r="AA13" s="608">
        <f t="shared" si="5"/>
        <v>104.52515403540806</v>
      </c>
      <c r="AB13" s="608">
        <f t="shared" si="5"/>
        <v>111.2133614388581</v>
      </c>
      <c r="AC13" s="608">
        <f t="shared" si="5"/>
        <v>114.29085613981566</v>
      </c>
      <c r="AD13" s="608">
        <f t="shared" si="5"/>
        <v>117.48369430738835</v>
      </c>
      <c r="AE13" s="608">
        <f t="shared" si="5"/>
        <v>120.75181540239468</v>
      </c>
      <c r="AF13" s="608">
        <f t="shared" si="5"/>
        <v>124.17161725803277</v>
      </c>
      <c r="AG13" s="608">
        <f t="shared" si="5"/>
        <v>127.64332468220849</v>
      </c>
      <c r="AH13" s="171"/>
      <c r="AT13" s="70" t="s">
        <v>1053</v>
      </c>
      <c r="AY13" s="798"/>
      <c r="AZ13" s="798"/>
      <c r="BA13" s="798"/>
      <c r="BB13" s="798"/>
      <c r="BZ13" s="798"/>
      <c r="CA13" s="798"/>
      <c r="CB13" s="798"/>
      <c r="CC13" s="798"/>
      <c r="CV13" s="798"/>
      <c r="DI13" s="798"/>
      <c r="DJ13" s="798"/>
    </row>
    <row r="14" spans="1:114">
      <c r="D14" s="169"/>
      <c r="F14" s="614" t="s">
        <v>70</v>
      </c>
      <c r="G14" s="104"/>
      <c r="H14" s="104"/>
      <c r="I14" s="104"/>
      <c r="J14" s="180"/>
      <c r="K14" s="659">
        <f t="shared" ref="K14:R14" si="7">+K12+K13</f>
        <v>0</v>
      </c>
      <c r="L14" s="659">
        <f t="shared" si="7"/>
        <v>0</v>
      </c>
      <c r="M14" s="659">
        <f t="shared" si="7"/>
        <v>0</v>
      </c>
      <c r="N14" s="659">
        <f t="shared" si="7"/>
        <v>0</v>
      </c>
      <c r="O14" s="659">
        <f>+O12+O13</f>
        <v>77.078459641022462</v>
      </c>
      <c r="P14" s="659">
        <f t="shared" si="7"/>
        <v>78.836057684965368</v>
      </c>
      <c r="Q14" s="659">
        <f t="shared" si="7"/>
        <v>77.452717601777962</v>
      </c>
      <c r="R14" s="659">
        <f t="shared" si="7"/>
        <v>76.38751166377422</v>
      </c>
      <c r="S14" s="659">
        <f t="shared" ref="S14:X14" si="8">+S12+S13</f>
        <v>73.948071436526931</v>
      </c>
      <c r="T14" s="659">
        <f t="shared" si="8"/>
        <v>76.410527053229472</v>
      </c>
      <c r="U14" s="659">
        <f t="shared" si="8"/>
        <v>80.202250769839722</v>
      </c>
      <c r="V14" s="659">
        <f t="shared" si="8"/>
        <v>83.919413446825232</v>
      </c>
      <c r="W14" s="659">
        <f t="shared" si="8"/>
        <v>82.082915239904025</v>
      </c>
      <c r="X14" s="659">
        <f t="shared" si="8"/>
        <v>88.632824508217709</v>
      </c>
      <c r="Y14" s="659">
        <f t="shared" ref="Y14:AG14" si="9">+Y12+Y13</f>
        <v>94.174789709086056</v>
      </c>
      <c r="Z14" s="659">
        <f t="shared" si="9"/>
        <v>100.07486029880245</v>
      </c>
      <c r="AA14" s="659">
        <f t="shared" si="9"/>
        <v>106.37515403540806</v>
      </c>
      <c r="AB14" s="659">
        <f t="shared" si="9"/>
        <v>113.0633614388581</v>
      </c>
      <c r="AC14" s="659">
        <f t="shared" si="9"/>
        <v>116.14085613981565</v>
      </c>
      <c r="AD14" s="659">
        <f t="shared" si="9"/>
        <v>119.33369430738834</v>
      </c>
      <c r="AE14" s="659">
        <f t="shared" si="9"/>
        <v>122.60181540239468</v>
      </c>
      <c r="AF14" s="659">
        <f t="shared" si="9"/>
        <v>126.02161725803276</v>
      </c>
      <c r="AG14" s="659">
        <f t="shared" si="9"/>
        <v>129.49332468220848</v>
      </c>
      <c r="AH14" s="171"/>
      <c r="AT14" s="70" t="s">
        <v>1053</v>
      </c>
      <c r="AY14" s="798"/>
      <c r="AZ14" s="798"/>
      <c r="BA14" s="798"/>
      <c r="BB14" s="798"/>
      <c r="BZ14" s="798"/>
      <c r="CA14" s="798"/>
      <c r="CB14" s="798"/>
      <c r="CC14" s="798"/>
      <c r="CV14" s="798"/>
      <c r="DI14" s="798"/>
      <c r="DJ14" s="798"/>
    </row>
    <row r="15" spans="1:114">
      <c r="D15" s="169"/>
      <c r="F15" s="591" t="s">
        <v>37</v>
      </c>
      <c r="J15" s="180"/>
      <c r="K15" s="608">
        <f>+K56</f>
        <v>0</v>
      </c>
      <c r="L15" s="608">
        <f t="shared" ref="L15:R15" si="10">+L56</f>
        <v>0</v>
      </c>
      <c r="M15" s="608">
        <f t="shared" si="10"/>
        <v>0</v>
      </c>
      <c r="N15" s="608">
        <f t="shared" si="10"/>
        <v>0</v>
      </c>
      <c r="O15" s="608">
        <f t="shared" si="10"/>
        <v>0</v>
      </c>
      <c r="P15" s="608">
        <f t="shared" si="10"/>
        <v>6.5423999999999996E-2</v>
      </c>
      <c r="Q15" s="608">
        <f t="shared" si="10"/>
        <v>9.2981999999999995E-2</v>
      </c>
      <c r="R15" s="608">
        <f t="shared" si="10"/>
        <v>0.136628</v>
      </c>
      <c r="S15" s="608">
        <f t="shared" ref="S15:X15" si="11">+S56</f>
        <v>0.13406999999999999</v>
      </c>
      <c r="T15" s="608">
        <f t="shared" si="11"/>
        <v>0.53445699999999996</v>
      </c>
      <c r="U15" s="608">
        <f t="shared" si="11"/>
        <v>0.22079399999999999</v>
      </c>
      <c r="V15" s="608">
        <f t="shared" si="11"/>
        <v>0.29289199999999999</v>
      </c>
      <c r="W15" s="608">
        <f t="shared" si="11"/>
        <v>0</v>
      </c>
      <c r="X15" s="608">
        <f t="shared" si="11"/>
        <v>0</v>
      </c>
      <c r="Y15" s="608">
        <f t="shared" ref="Y15:AG15" si="12">+Y56</f>
        <v>0</v>
      </c>
      <c r="Z15" s="608">
        <f t="shared" si="12"/>
        <v>0</v>
      </c>
      <c r="AA15" s="608">
        <f t="shared" si="12"/>
        <v>0</v>
      </c>
      <c r="AB15" s="608">
        <f t="shared" si="12"/>
        <v>0</v>
      </c>
      <c r="AC15" s="608">
        <f t="shared" si="12"/>
        <v>0</v>
      </c>
      <c r="AD15" s="608">
        <f t="shared" si="12"/>
        <v>0</v>
      </c>
      <c r="AE15" s="608">
        <f t="shared" si="12"/>
        <v>0</v>
      </c>
      <c r="AF15" s="608">
        <f t="shared" si="12"/>
        <v>0</v>
      </c>
      <c r="AG15" s="608">
        <f t="shared" si="12"/>
        <v>0</v>
      </c>
      <c r="AH15" s="171"/>
      <c r="AT15" s="70" t="s">
        <v>1053</v>
      </c>
      <c r="AY15" s="798"/>
      <c r="AZ15" s="798"/>
      <c r="BA15" s="798"/>
      <c r="BB15" s="798"/>
      <c r="BZ15" s="798"/>
      <c r="CA15" s="798"/>
      <c r="CB15" s="798"/>
      <c r="CC15" s="798"/>
      <c r="CV15" s="798"/>
      <c r="DI15" s="798"/>
      <c r="DJ15" s="798"/>
    </row>
    <row r="16" spans="1:114">
      <c r="D16" s="169"/>
      <c r="F16" s="591"/>
      <c r="J16" s="180"/>
      <c r="K16" s="608"/>
      <c r="L16" s="608"/>
      <c r="M16" s="608"/>
      <c r="N16" s="608"/>
      <c r="O16" s="608"/>
      <c r="P16" s="608"/>
      <c r="Q16" s="608"/>
      <c r="R16" s="608"/>
      <c r="S16" s="608"/>
      <c r="T16" s="608"/>
      <c r="U16" s="608"/>
      <c r="V16" s="608"/>
      <c r="W16" s="608"/>
      <c r="X16" s="608"/>
      <c r="Y16" s="608"/>
      <c r="Z16" s="608"/>
      <c r="AA16" s="608"/>
      <c r="AB16" s="608"/>
      <c r="AC16" s="608"/>
      <c r="AD16" s="608"/>
      <c r="AE16" s="608"/>
      <c r="AF16" s="608"/>
      <c r="AG16" s="608"/>
      <c r="AH16" s="171"/>
      <c r="AY16" s="798"/>
      <c r="AZ16" s="798"/>
      <c r="BA16" s="798"/>
      <c r="BB16" s="798"/>
      <c r="BZ16" s="798"/>
      <c r="CA16" s="798"/>
      <c r="CB16" s="798"/>
      <c r="CC16" s="798"/>
      <c r="CV16" s="798"/>
      <c r="DI16" s="798"/>
      <c r="DJ16" s="798"/>
    </row>
    <row r="17" spans="4:114" ht="12.75" thickBot="1">
      <c r="D17" s="169"/>
      <c r="F17" s="614" t="s">
        <v>71</v>
      </c>
      <c r="J17" s="180"/>
      <c r="K17" s="660">
        <f>+K14-K15</f>
        <v>0</v>
      </c>
      <c r="L17" s="660">
        <f t="shared" ref="L17:R17" si="13">+L14-L15</f>
        <v>0</v>
      </c>
      <c r="M17" s="660">
        <f t="shared" si="13"/>
        <v>0</v>
      </c>
      <c r="N17" s="660">
        <f t="shared" si="13"/>
        <v>0</v>
      </c>
      <c r="O17" s="660">
        <f>+O14-O15</f>
        <v>77.078459641022462</v>
      </c>
      <c r="P17" s="660">
        <f t="shared" si="13"/>
        <v>78.770633684965375</v>
      </c>
      <c r="Q17" s="660">
        <f t="shared" si="13"/>
        <v>77.359735601777956</v>
      </c>
      <c r="R17" s="660">
        <f t="shared" si="13"/>
        <v>76.250883663774218</v>
      </c>
      <c r="S17" s="660">
        <f t="shared" ref="S17:AG17" si="14">+S14-S15</f>
        <v>73.814001436526937</v>
      </c>
      <c r="T17" s="660">
        <f t="shared" si="14"/>
        <v>75.876070053229469</v>
      </c>
      <c r="U17" s="660">
        <f t="shared" si="14"/>
        <v>79.981456769839724</v>
      </c>
      <c r="V17" s="660">
        <f t="shared" si="14"/>
        <v>83.626521446825237</v>
      </c>
      <c r="W17" s="660">
        <f t="shared" si="14"/>
        <v>82.082915239904025</v>
      </c>
      <c r="X17" s="660">
        <f t="shared" si="14"/>
        <v>88.632824508217709</v>
      </c>
      <c r="Y17" s="660">
        <f t="shared" si="14"/>
        <v>94.174789709086056</v>
      </c>
      <c r="Z17" s="660">
        <f t="shared" si="14"/>
        <v>100.07486029880245</v>
      </c>
      <c r="AA17" s="660">
        <f t="shared" si="14"/>
        <v>106.37515403540806</v>
      </c>
      <c r="AB17" s="660">
        <f t="shared" si="14"/>
        <v>113.0633614388581</v>
      </c>
      <c r="AC17" s="660">
        <f t="shared" si="14"/>
        <v>116.14085613981565</v>
      </c>
      <c r="AD17" s="660">
        <f t="shared" si="14"/>
        <v>119.33369430738834</v>
      </c>
      <c r="AE17" s="660">
        <f t="shared" si="14"/>
        <v>122.60181540239468</v>
      </c>
      <c r="AF17" s="660">
        <f t="shared" si="14"/>
        <v>126.02161725803276</v>
      </c>
      <c r="AG17" s="660">
        <f t="shared" si="14"/>
        <v>129.49332468220848</v>
      </c>
      <c r="AH17" s="171"/>
      <c r="AT17" s="128"/>
      <c r="AY17" s="798"/>
      <c r="AZ17" s="798"/>
      <c r="BA17" s="798"/>
      <c r="BB17" s="798"/>
      <c r="BZ17" s="798"/>
      <c r="CA17" s="798"/>
      <c r="CB17" s="798"/>
      <c r="CC17" s="798"/>
      <c r="CV17" s="798"/>
      <c r="DI17" s="798"/>
      <c r="DJ17" s="798"/>
    </row>
    <row r="18" spans="4:114">
      <c r="D18" s="169"/>
      <c r="F18" s="661" t="s">
        <v>72</v>
      </c>
      <c r="G18" s="84"/>
      <c r="H18" s="84"/>
      <c r="I18" s="84"/>
      <c r="J18" s="180"/>
      <c r="K18" s="662"/>
      <c r="L18" s="662"/>
      <c r="M18" s="662"/>
      <c r="N18" s="662"/>
      <c r="O18" s="613">
        <f>'Determination Lookup'!I10</f>
        <v>75.827271727515623</v>
      </c>
      <c r="P18" s="613">
        <f>'Determination Lookup'!J10</f>
        <v>76.300229249037315</v>
      </c>
      <c r="Q18" s="613">
        <f>'Determination Lookup'!K10</f>
        <v>77.19710351339441</v>
      </c>
      <c r="R18" s="613">
        <f>'Determination Lookup'!L10</f>
        <v>78.087524443058456</v>
      </c>
      <c r="S18" s="613">
        <f>'Determination Lookup'!M10</f>
        <v>79.057372806261341</v>
      </c>
      <c r="T18" s="613">
        <f>'Determination Lookup'!N10</f>
        <v>79.866330737243501</v>
      </c>
      <c r="U18" s="613">
        <f>'Determination Lookup'!O10</f>
        <v>80.836000390929527</v>
      </c>
      <c r="V18" s="613">
        <f>'Determination Lookup'!P10</f>
        <v>81.862206277186004</v>
      </c>
      <c r="W18" s="613">
        <f>'Determination Lookup'!Q10</f>
        <v>82.806383491758865</v>
      </c>
      <c r="X18" s="608">
        <f ca="1">+'Rev&amp;RAV_FO'!X23</f>
        <v>95.543523619444471</v>
      </c>
      <c r="Y18" s="608">
        <f ca="1">+'Rev&amp;RAV_FO'!Y23</f>
        <v>98.81722300083382</v>
      </c>
      <c r="Z18" s="608">
        <f ca="1">+'Rev&amp;RAV_FO'!Z23</f>
        <v>100.84620293056062</v>
      </c>
      <c r="AA18" s="608">
        <f ca="1">+'Rev&amp;RAV_FO'!AA23</f>
        <v>103.76813997982296</v>
      </c>
      <c r="AB18" s="608">
        <f ca="1">+'Rev&amp;RAV_FO'!AB23</f>
        <v>107.4795465774621</v>
      </c>
      <c r="AC18" s="608">
        <f ca="1">+'Rev&amp;RAV_FO'!AC23</f>
        <v>116.55071571731521</v>
      </c>
      <c r="AD18" s="608">
        <f ca="1">+'Rev&amp;RAV_FO'!AD23</f>
        <v>120.74904604951693</v>
      </c>
      <c r="AE18" s="608">
        <f ca="1">+'Rev&amp;RAV_FO'!AE23</f>
        <v>123.35941277533935</v>
      </c>
      <c r="AF18" s="608">
        <f ca="1">+'Rev&amp;RAV_FO'!AF23</f>
        <v>125.65524824369251</v>
      </c>
      <c r="AG18" s="608">
        <f ca="1">+'Rev&amp;RAV_FO'!AG23</f>
        <v>128.77114564191498</v>
      </c>
      <c r="AH18" s="171"/>
      <c r="AT18" s="128" t="s">
        <v>1053</v>
      </c>
      <c r="AV18" s="128"/>
      <c r="AY18" s="798"/>
      <c r="AZ18" s="798"/>
      <c r="BA18" s="798"/>
      <c r="BB18" s="798"/>
      <c r="BZ18" s="798"/>
      <c r="CA18" s="798"/>
      <c r="CB18" s="798"/>
      <c r="CC18" s="798"/>
      <c r="CV18" s="798"/>
      <c r="DI18" s="798"/>
      <c r="DJ18" s="798"/>
    </row>
    <row r="19" spans="4:114">
      <c r="D19" s="169"/>
      <c r="F19" s="591"/>
      <c r="J19" s="180"/>
      <c r="K19" s="608"/>
      <c r="L19" s="608"/>
      <c r="M19" s="608"/>
      <c r="N19" s="608"/>
      <c r="O19" s="608"/>
      <c r="P19" s="608"/>
      <c r="Q19" s="608"/>
      <c r="R19" s="608"/>
      <c r="S19" s="608"/>
      <c r="T19" s="608"/>
      <c r="U19" s="608"/>
      <c r="V19" s="608"/>
      <c r="W19" s="608"/>
      <c r="X19" s="608"/>
      <c r="Y19" s="608"/>
      <c r="Z19" s="608"/>
      <c r="AA19" s="608"/>
      <c r="AB19" s="608"/>
      <c r="AC19" s="608"/>
      <c r="AD19" s="608"/>
      <c r="AE19" s="608"/>
      <c r="AF19" s="608"/>
      <c r="AG19" s="608"/>
      <c r="AH19" s="171"/>
      <c r="AY19" s="798"/>
      <c r="AZ19" s="798"/>
      <c r="BA19" s="798"/>
      <c r="BB19" s="798"/>
      <c r="BZ19" s="798"/>
      <c r="CA19" s="798"/>
      <c r="CB19" s="798"/>
      <c r="CC19" s="798"/>
      <c r="CV19" s="798"/>
      <c r="DI19" s="798"/>
      <c r="DJ19" s="798"/>
    </row>
    <row r="20" spans="4:114">
      <c r="D20" s="169"/>
      <c r="F20" s="591" t="s">
        <v>73</v>
      </c>
      <c r="J20" s="180"/>
      <c r="K20" s="399">
        <f ca="1">+NotPres_FO!K12</f>
        <v>0</v>
      </c>
      <c r="L20" s="399">
        <f ca="1">+NotPres_FO!L12</f>
        <v>0</v>
      </c>
      <c r="M20" s="399">
        <f ca="1">+NotPres_FO!M12</f>
        <v>0</v>
      </c>
      <c r="N20" s="399">
        <f ca="1">+NotPres_FO!N12</f>
        <v>0</v>
      </c>
      <c r="O20" s="399">
        <f ca="1">+NotPres_FO!O12</f>
        <v>0.99826968325791843</v>
      </c>
      <c r="P20" s="399">
        <f ca="1">+NotPres_FO!P12</f>
        <v>2.7802619893428062</v>
      </c>
      <c r="Q20" s="399">
        <f ca="1">+NotPres_FO!Q12</f>
        <v>2.5488773006134968</v>
      </c>
      <c r="R20" s="399">
        <f ca="1">+NotPres_FO!R12</f>
        <v>2.5376680960548881</v>
      </c>
      <c r="S20" s="399">
        <f ca="1">+NotPres_FO!S12</f>
        <v>1.2960152671755725</v>
      </c>
      <c r="T20" s="399">
        <f ca="1">+NotPres_FO!T12</f>
        <v>1.2139491525423729</v>
      </c>
      <c r="U20" s="399">
        <f ca="1">+NotPres_FO!U12</f>
        <v>1.3995723981900454</v>
      </c>
      <c r="V20" s="399">
        <f ca="1">+NotPres_FO!V12</f>
        <v>2.3198060982532747</v>
      </c>
      <c r="W20" s="399">
        <f ca="1">+NotPres_FO!W12</f>
        <v>1.335</v>
      </c>
      <c r="X20" s="399">
        <f ca="1">+NotPres_FO!X12</f>
        <v>1.2849999999999999</v>
      </c>
      <c r="Y20" s="399">
        <f ca="1">+NotPres_FO!Y12</f>
        <v>1.2849999999999999</v>
      </c>
      <c r="Z20" s="399">
        <f ca="1">+NotPres_FO!Z12</f>
        <v>1.2849999999999999</v>
      </c>
      <c r="AA20" s="399">
        <f ca="1">+NotPres_FO!AA12</f>
        <v>1.2849999999999999</v>
      </c>
      <c r="AB20" s="399">
        <f ca="1">+NotPres_FO!AB12</f>
        <v>1.2849999999999999</v>
      </c>
      <c r="AC20" s="399">
        <f ca="1">+NotPres_FO!AC12</f>
        <v>1.2849999999999999</v>
      </c>
      <c r="AD20" s="399">
        <f ca="1">+NotPres_FO!AD12</f>
        <v>1.2849999999999999</v>
      </c>
      <c r="AE20" s="399">
        <f ca="1">+NotPres_FO!AE12</f>
        <v>1.2849999999999999</v>
      </c>
      <c r="AF20" s="399">
        <f ca="1">+NotPres_FO!AF12</f>
        <v>1.2849999999999999</v>
      </c>
      <c r="AG20" s="399">
        <f ca="1">+NotPres_FO!AG12</f>
        <v>1.2849999999999999</v>
      </c>
      <c r="AH20" s="171"/>
      <c r="AY20" s="798"/>
      <c r="AZ20" s="798"/>
      <c r="BA20" s="798"/>
      <c r="BB20" s="798"/>
      <c r="BZ20" s="798"/>
      <c r="CA20" s="798"/>
      <c r="CB20" s="798"/>
      <c r="CC20" s="798"/>
      <c r="CV20" s="798"/>
      <c r="DI20" s="798"/>
      <c r="DJ20" s="798"/>
    </row>
    <row r="21" spans="4:114">
      <c r="D21" s="169"/>
      <c r="F21" s="591"/>
      <c r="J21" s="180"/>
      <c r="K21" s="608"/>
      <c r="L21" s="608"/>
      <c r="M21" s="608"/>
      <c r="N21" s="608"/>
      <c r="O21" s="608"/>
      <c r="P21" s="608"/>
      <c r="Q21" s="608"/>
      <c r="R21" s="608"/>
      <c r="S21" s="608"/>
      <c r="T21" s="608"/>
      <c r="U21" s="608"/>
      <c r="V21" s="608"/>
      <c r="W21" s="608"/>
      <c r="X21" s="608"/>
      <c r="Y21" s="608"/>
      <c r="Z21" s="608"/>
      <c r="AA21" s="608"/>
      <c r="AB21" s="608"/>
      <c r="AC21" s="608"/>
      <c r="AD21" s="608"/>
      <c r="AE21" s="608"/>
      <c r="AF21" s="608"/>
      <c r="AG21" s="608"/>
      <c r="AH21" s="171"/>
      <c r="AI21" s="74"/>
      <c r="AJ21" s="74"/>
      <c r="AK21" s="74"/>
      <c r="AL21" s="74"/>
      <c r="AM21" s="74"/>
      <c r="AN21" s="74"/>
      <c r="AO21" s="74"/>
      <c r="AP21" s="74"/>
      <c r="AQ21" s="74"/>
      <c r="AR21" s="74"/>
      <c r="AS21" s="74"/>
      <c r="AT21" s="74"/>
      <c r="AV21" s="74"/>
      <c r="AY21" s="798"/>
      <c r="AZ21" s="798"/>
      <c r="BA21" s="798"/>
      <c r="BB21" s="798"/>
      <c r="BZ21" s="798"/>
      <c r="CA21" s="798"/>
      <c r="CB21" s="798"/>
      <c r="CC21" s="798"/>
      <c r="CV21" s="798"/>
      <c r="DI21" s="798"/>
      <c r="DJ21" s="798"/>
    </row>
    <row r="22" spans="4:114" ht="12.75" thickBot="1">
      <c r="D22" s="169"/>
      <c r="F22" s="614" t="s">
        <v>74</v>
      </c>
      <c r="G22" s="104"/>
      <c r="H22" s="104"/>
      <c r="I22" s="104"/>
      <c r="J22" s="180"/>
      <c r="K22" s="660">
        <f t="shared" ref="K22:R22" ca="1" si="15">+K17+K20</f>
        <v>0</v>
      </c>
      <c r="L22" s="660">
        <f t="shared" ca="1" si="15"/>
        <v>0</v>
      </c>
      <c r="M22" s="660">
        <f t="shared" ca="1" si="15"/>
        <v>0</v>
      </c>
      <c r="N22" s="660">
        <f t="shared" ca="1" si="15"/>
        <v>0</v>
      </c>
      <c r="O22" s="660">
        <f ca="1">+O17+O20</f>
        <v>78.076729324280379</v>
      </c>
      <c r="P22" s="660">
        <f t="shared" ca="1" si="15"/>
        <v>81.55089567430818</v>
      </c>
      <c r="Q22" s="660">
        <f t="shared" ca="1" si="15"/>
        <v>79.908612902391454</v>
      </c>
      <c r="R22" s="660">
        <f t="shared" ca="1" si="15"/>
        <v>78.788551759829105</v>
      </c>
      <c r="S22" s="660">
        <f t="shared" ref="S22:AG22" ca="1" si="16">+S17+S20</f>
        <v>75.110016703702513</v>
      </c>
      <c r="T22" s="660">
        <f t="shared" ca="1" si="16"/>
        <v>77.090019205771839</v>
      </c>
      <c r="U22" s="660">
        <f t="shared" ca="1" si="16"/>
        <v>81.381029168029769</v>
      </c>
      <c r="V22" s="660">
        <f t="shared" ca="1" si="16"/>
        <v>85.946327545078518</v>
      </c>
      <c r="W22" s="660">
        <f t="shared" ca="1" si="16"/>
        <v>83.417915239904019</v>
      </c>
      <c r="X22" s="660">
        <f t="shared" ca="1" si="16"/>
        <v>89.917824508217706</v>
      </c>
      <c r="Y22" s="660">
        <f t="shared" ca="1" si="16"/>
        <v>95.459789709086053</v>
      </c>
      <c r="Z22" s="660">
        <f t="shared" ca="1" si="16"/>
        <v>101.35986029880245</v>
      </c>
      <c r="AA22" s="660">
        <f t="shared" ca="1" si="16"/>
        <v>107.66015403540806</v>
      </c>
      <c r="AB22" s="660">
        <f t="shared" ca="1" si="16"/>
        <v>114.34836143885809</v>
      </c>
      <c r="AC22" s="660">
        <f t="shared" ca="1" si="16"/>
        <v>117.42585613981565</v>
      </c>
      <c r="AD22" s="660">
        <f t="shared" ca="1" si="16"/>
        <v>120.61869430738834</v>
      </c>
      <c r="AE22" s="660">
        <f t="shared" ca="1" si="16"/>
        <v>123.88681540239467</v>
      </c>
      <c r="AF22" s="660">
        <f t="shared" ca="1" si="16"/>
        <v>127.30661725803276</v>
      </c>
      <c r="AG22" s="660">
        <f t="shared" ca="1" si="16"/>
        <v>130.77832468220848</v>
      </c>
      <c r="AH22" s="171"/>
      <c r="AI22" s="74"/>
      <c r="AJ22" s="74"/>
      <c r="AK22" s="74"/>
      <c r="AL22" s="74"/>
      <c r="AM22" s="74"/>
      <c r="AN22" s="74"/>
      <c r="AO22" s="74"/>
      <c r="AP22" s="74"/>
      <c r="AQ22" s="74"/>
      <c r="AR22" s="74"/>
      <c r="AS22" s="74"/>
      <c r="AT22" s="74"/>
      <c r="AV22" s="74"/>
      <c r="AY22" s="798"/>
      <c r="AZ22" s="798"/>
      <c r="BA22" s="798"/>
      <c r="BB22" s="798"/>
      <c r="BZ22" s="798"/>
      <c r="CA22" s="798"/>
      <c r="CB22" s="798"/>
      <c r="CC22" s="798"/>
      <c r="CV22" s="798"/>
      <c r="DI22" s="798"/>
      <c r="DJ22" s="798"/>
    </row>
    <row r="23" spans="4:114">
      <c r="D23" s="169"/>
      <c r="F23" s="614"/>
      <c r="G23" s="104"/>
      <c r="H23" s="104"/>
      <c r="I23" s="104"/>
      <c r="J23" s="180"/>
      <c r="K23" s="180"/>
      <c r="L23" s="180"/>
      <c r="M23" s="180"/>
      <c r="N23" s="180"/>
      <c r="O23" s="180"/>
      <c r="P23" s="180"/>
      <c r="Q23" s="180"/>
      <c r="R23" s="180"/>
      <c r="S23" s="180"/>
      <c r="T23" s="180"/>
      <c r="U23" s="180"/>
      <c r="V23" s="180"/>
      <c r="W23" s="608"/>
      <c r="X23" s="608"/>
      <c r="Y23" s="608"/>
      <c r="Z23" s="608"/>
      <c r="AA23" s="608"/>
      <c r="AB23" s="608"/>
      <c r="AC23" s="608"/>
      <c r="AD23" s="608"/>
      <c r="AE23" s="608"/>
      <c r="AF23" s="180"/>
      <c r="AG23" s="180"/>
      <c r="AH23" s="171"/>
      <c r="AI23" s="74"/>
      <c r="AJ23" s="74"/>
      <c r="AK23" s="74"/>
      <c r="AL23" s="74"/>
      <c r="AM23" s="74"/>
      <c r="AN23" s="74"/>
      <c r="AO23" s="74"/>
      <c r="AP23" s="74"/>
      <c r="AQ23" s="74"/>
      <c r="AR23" s="74"/>
      <c r="AS23" s="74"/>
      <c r="AT23" s="74"/>
      <c r="AV23" s="74"/>
      <c r="AY23" s="798"/>
      <c r="AZ23" s="798"/>
      <c r="BA23" s="798"/>
      <c r="BB23" s="798"/>
      <c r="BZ23" s="798"/>
      <c r="CA23" s="798"/>
      <c r="CB23" s="798"/>
      <c r="CC23" s="798"/>
      <c r="CV23" s="798"/>
      <c r="DI23" s="798"/>
      <c r="DJ23" s="798"/>
    </row>
    <row r="24" spans="4:114" ht="12.75" thickBot="1">
      <c r="D24" s="182"/>
      <c r="E24" s="183"/>
      <c r="F24" s="183"/>
      <c r="G24" s="183"/>
      <c r="H24" s="183"/>
      <c r="I24" s="183"/>
      <c r="J24" s="183"/>
      <c r="K24" s="602"/>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186"/>
      <c r="AI24" s="74"/>
      <c r="AJ24" s="74"/>
      <c r="AK24" s="74"/>
      <c r="AL24" s="74"/>
      <c r="AM24" s="74"/>
      <c r="AN24" s="74"/>
      <c r="AO24" s="74"/>
      <c r="AP24" s="74"/>
      <c r="AQ24" s="74"/>
      <c r="AR24" s="74"/>
      <c r="AS24" s="74"/>
      <c r="AT24" s="74"/>
      <c r="AV24" s="74"/>
      <c r="AY24" s="798"/>
      <c r="AZ24" s="798"/>
      <c r="BA24" s="798"/>
      <c r="BB24" s="798"/>
      <c r="BZ24" s="798"/>
      <c r="CA24" s="798"/>
      <c r="CB24" s="798"/>
      <c r="CC24" s="798"/>
      <c r="CV24" s="798"/>
      <c r="DI24" s="798"/>
      <c r="DJ24" s="798"/>
    </row>
    <row r="25" spans="4:114">
      <c r="D25" s="74"/>
      <c r="K25" s="663"/>
      <c r="L25" s="663"/>
      <c r="M25" s="663"/>
      <c r="N25" s="663"/>
      <c r="O25" s="663"/>
      <c r="P25" s="663"/>
      <c r="Q25" s="663"/>
      <c r="R25" s="663"/>
      <c r="S25" s="663"/>
      <c r="T25" s="663"/>
      <c r="U25" s="663"/>
      <c r="V25" s="663"/>
      <c r="W25" s="663"/>
      <c r="X25" s="663"/>
      <c r="Y25" s="663"/>
      <c r="Z25" s="663"/>
      <c r="AA25" s="663"/>
      <c r="AB25" s="663"/>
      <c r="AH25" s="74"/>
      <c r="AI25" s="74"/>
      <c r="AJ25" s="74"/>
      <c r="AK25" s="74"/>
      <c r="AL25" s="74"/>
      <c r="AM25" s="74"/>
      <c r="AN25" s="74"/>
      <c r="AO25" s="74"/>
      <c r="AP25" s="74"/>
      <c r="AQ25" s="74"/>
      <c r="AR25" s="74"/>
      <c r="AS25" s="74"/>
      <c r="AT25" s="74"/>
      <c r="AV25" s="74"/>
      <c r="AY25" s="798"/>
      <c r="AZ25" s="798"/>
      <c r="BA25" s="798"/>
      <c r="BB25" s="798"/>
      <c r="BZ25" s="798"/>
      <c r="CA25" s="798"/>
      <c r="CB25" s="798"/>
      <c r="CC25" s="798"/>
      <c r="CV25" s="798"/>
      <c r="DI25" s="798"/>
      <c r="DJ25" s="798"/>
    </row>
    <row r="26" spans="4:114" ht="12.75" thickBot="1">
      <c r="K26" s="664"/>
      <c r="L26" s="664"/>
      <c r="M26" s="664"/>
      <c r="S26" s="664"/>
      <c r="T26" s="664"/>
      <c r="U26" s="664"/>
      <c r="V26" s="664"/>
      <c r="W26" s="664"/>
      <c r="X26" s="664"/>
      <c r="Y26" s="664"/>
      <c r="Z26" s="664"/>
      <c r="AA26" s="664"/>
      <c r="AB26" s="664"/>
      <c r="AH26" s="74"/>
      <c r="AI26" s="665"/>
      <c r="AJ26" s="666"/>
      <c r="AK26" s="666"/>
      <c r="AL26" s="666"/>
      <c r="AM26" s="666"/>
      <c r="AN26" s="666"/>
      <c r="AO26" s="666"/>
      <c r="AP26" s="666"/>
      <c r="AQ26" s="666"/>
      <c r="AR26" s="74"/>
      <c r="AS26" s="74"/>
      <c r="AT26" s="74"/>
      <c r="AV26" s="74"/>
      <c r="AY26" s="798"/>
      <c r="AZ26" s="798"/>
      <c r="BA26" s="798"/>
      <c r="BB26" s="798"/>
      <c r="BZ26" s="798"/>
      <c r="CA26" s="798"/>
      <c r="CB26" s="798"/>
      <c r="CC26" s="798"/>
      <c r="CV26" s="798"/>
      <c r="DI26" s="798"/>
      <c r="DJ26" s="798"/>
    </row>
    <row r="27" spans="4:114">
      <c r="D27" s="611"/>
      <c r="K27" s="128"/>
      <c r="M27" s="664"/>
      <c r="X27" s="166"/>
      <c r="Y27" s="167"/>
      <c r="Z27" s="167"/>
      <c r="AA27" s="167"/>
      <c r="AB27" s="168"/>
      <c r="AC27" s="167"/>
      <c r="AD27" s="167"/>
      <c r="AE27" s="167"/>
      <c r="AF27" s="167"/>
      <c r="AG27" s="168"/>
      <c r="AH27" s="74"/>
      <c r="AI27" s="666"/>
      <c r="AJ27" s="667"/>
      <c r="AK27" s="667"/>
      <c r="AL27" s="666"/>
      <c r="AM27" s="666"/>
      <c r="AN27" s="666"/>
      <c r="AO27" s="666"/>
      <c r="AP27" s="666"/>
      <c r="AQ27" s="666"/>
      <c r="AR27" s="74"/>
      <c r="AS27" s="74"/>
      <c r="AT27" s="74"/>
      <c r="AV27" s="74"/>
      <c r="AY27" s="798"/>
      <c r="AZ27" s="798"/>
      <c r="BA27" s="798"/>
      <c r="BB27" s="798"/>
      <c r="BZ27" s="798"/>
      <c r="CA27" s="798"/>
      <c r="CB27" s="798"/>
      <c r="CC27" s="798"/>
      <c r="CV27" s="798"/>
      <c r="DI27" s="798"/>
      <c r="DJ27" s="798"/>
    </row>
    <row r="28" spans="4:114">
      <c r="D28" s="611"/>
      <c r="K28" s="399"/>
      <c r="M28" s="664"/>
      <c r="X28" s="668" t="str">
        <f>"Price control - "&amp;Z4</f>
        <v>Price control - FIFTH REG PERIOD</v>
      </c>
      <c r="AB28" s="171"/>
      <c r="AC28" s="668" t="str">
        <f>"Price control - "&amp;AE4</f>
        <v>Price control - SIXTH REG PERIOD</v>
      </c>
      <c r="AG28" s="171"/>
      <c r="AH28" s="74"/>
      <c r="AI28" s="666"/>
      <c r="AJ28" s="666"/>
      <c r="AK28" s="666"/>
      <c r="AL28" s="666"/>
      <c r="AM28" s="666"/>
      <c r="AN28" s="666"/>
      <c r="AO28" s="666"/>
      <c r="AP28" s="666"/>
      <c r="AQ28" s="666"/>
      <c r="AR28" s="74"/>
      <c r="AS28" s="74"/>
      <c r="AT28" s="74"/>
      <c r="AV28" s="74"/>
      <c r="AY28" s="798"/>
      <c r="AZ28" s="798"/>
      <c r="BA28" s="798"/>
      <c r="BB28" s="798"/>
      <c r="BZ28" s="798"/>
      <c r="CA28" s="798"/>
      <c r="CB28" s="798"/>
      <c r="CC28" s="798"/>
      <c r="CV28" s="798"/>
      <c r="DI28" s="798"/>
      <c r="DJ28" s="798"/>
    </row>
    <row r="29" spans="4:114">
      <c r="D29" s="611"/>
      <c r="K29" s="399"/>
      <c r="M29" s="664"/>
      <c r="X29" s="169"/>
      <c r="AA29" s="1050"/>
      <c r="AB29" s="670"/>
      <c r="AF29" s="1050"/>
      <c r="AG29" s="670"/>
      <c r="AH29" s="74"/>
      <c r="AI29" s="666"/>
      <c r="AJ29" s="666"/>
      <c r="AK29" s="671"/>
      <c r="AL29" s="74"/>
      <c r="AM29" s="666"/>
      <c r="AN29" s="666"/>
      <c r="AO29" s="666"/>
      <c r="AP29" s="74"/>
      <c r="AQ29" s="666"/>
      <c r="AR29" s="74"/>
      <c r="AS29" s="74"/>
      <c r="AT29" s="74"/>
      <c r="AV29" s="74"/>
      <c r="AY29" s="798"/>
      <c r="AZ29" s="798"/>
      <c r="BA29" s="798"/>
      <c r="BB29" s="798"/>
      <c r="BZ29" s="798"/>
      <c r="CA29" s="798"/>
      <c r="CB29" s="798"/>
      <c r="CC29" s="798"/>
      <c r="CV29" s="798"/>
      <c r="DI29" s="798"/>
      <c r="DJ29" s="798"/>
    </row>
    <row r="30" spans="4:114">
      <c r="D30" s="611"/>
      <c r="F30" s="104"/>
      <c r="K30" s="672"/>
      <c r="M30" s="664"/>
      <c r="X30" s="673" t="s">
        <v>76</v>
      </c>
      <c r="AA30" s="1865">
        <f>+NPV(RRR,X17:AB17)*(1+RRR)^0.5</f>
        <v>467.47922489788198</v>
      </c>
      <c r="AB30" s="670"/>
      <c r="AC30" s="1866" t="s">
        <v>76</v>
      </c>
      <c r="AF30" s="1865">
        <f>+NPV(RRR,AC17:AG17)*(1+RRR)^0.5</f>
        <v>572.09638454817855</v>
      </c>
      <c r="AG30" s="670"/>
      <c r="AH30" s="666" t="s">
        <v>1053</v>
      </c>
      <c r="AI30" s="666"/>
      <c r="AJ30" s="666"/>
      <c r="AK30" s="666"/>
      <c r="AL30" s="666"/>
      <c r="AM30" s="666"/>
      <c r="AN30" s="666"/>
      <c r="AO30" s="666"/>
      <c r="AP30" s="666"/>
      <c r="AQ30" s="666"/>
      <c r="AR30" s="74"/>
      <c r="AS30" s="74"/>
      <c r="AT30" s="74"/>
      <c r="AV30" s="74"/>
      <c r="AY30" s="798"/>
      <c r="AZ30" s="798"/>
      <c r="BA30" s="798"/>
      <c r="BB30" s="798"/>
      <c r="BZ30" s="798"/>
      <c r="CA30" s="798"/>
      <c r="CB30" s="798"/>
      <c r="CC30" s="798"/>
      <c r="CV30" s="798"/>
      <c r="DI30" s="798"/>
      <c r="DJ30" s="798"/>
    </row>
    <row r="31" spans="4:114">
      <c r="D31" s="611"/>
      <c r="F31" s="104"/>
      <c r="K31" s="128"/>
      <c r="M31" s="664"/>
      <c r="X31" s="673" t="s">
        <v>75</v>
      </c>
      <c r="AA31" s="1865">
        <f ca="1">+NPV(RRR,X18:AB18)*(1+RRR)^0.5</f>
        <v>472.17277507665614</v>
      </c>
      <c r="AB31" s="670"/>
      <c r="AC31" s="1866" t="s">
        <v>75</v>
      </c>
      <c r="AF31" s="1865">
        <f ca="1">+NPV(RRR,AC18:AG18)*(1+RRR)^0.5</f>
        <v>573.5952040949868</v>
      </c>
      <c r="AG31" s="670"/>
      <c r="AH31" s="666" t="s">
        <v>1053</v>
      </c>
      <c r="AI31" s="666"/>
      <c r="AJ31" s="677"/>
      <c r="AK31" s="678"/>
      <c r="AL31" s="678"/>
      <c r="AM31" s="678"/>
      <c r="AN31" s="678"/>
      <c r="AO31" s="678"/>
      <c r="AP31" s="676"/>
      <c r="AQ31" s="666"/>
      <c r="AR31" s="74"/>
      <c r="AS31" s="74"/>
      <c r="AT31" s="74"/>
      <c r="AV31" s="74"/>
      <c r="AY31" s="798"/>
      <c r="AZ31" s="798"/>
      <c r="BA31" s="798"/>
      <c r="BB31" s="798"/>
      <c r="BZ31" s="798"/>
      <c r="CA31" s="798"/>
      <c r="CB31" s="798"/>
      <c r="CC31" s="798"/>
      <c r="CV31" s="798"/>
      <c r="DI31" s="798"/>
      <c r="DJ31" s="798"/>
    </row>
    <row r="32" spans="4:114">
      <c r="D32" s="611"/>
      <c r="F32" s="104"/>
      <c r="K32" s="128"/>
      <c r="M32" s="664"/>
      <c r="X32" s="673" t="s">
        <v>77</v>
      </c>
      <c r="Z32" s="113"/>
      <c r="AA32" s="378">
        <f ca="1">+AA30-AA31</f>
        <v>-4.69355017877416</v>
      </c>
      <c r="AB32" s="670"/>
      <c r="AC32" s="1866" t="s">
        <v>77</v>
      </c>
      <c r="AE32" s="113"/>
      <c r="AF32" s="378">
        <f ca="1">+AF30-AF31</f>
        <v>-1.4988195468082495</v>
      </c>
      <c r="AG32" s="670"/>
      <c r="AH32" s="74"/>
      <c r="AI32" s="666"/>
      <c r="AJ32" s="679"/>
      <c r="AK32" s="678"/>
      <c r="AL32" s="678"/>
      <c r="AM32" s="678"/>
      <c r="AN32" s="678"/>
      <c r="AO32" s="678"/>
      <c r="AP32" s="676"/>
      <c r="AQ32" s="666"/>
      <c r="AR32" s="74"/>
      <c r="AS32" s="74"/>
      <c r="AT32" s="74"/>
      <c r="AV32" s="74"/>
      <c r="AY32" s="608"/>
      <c r="AZ32" s="608"/>
      <c r="BA32" s="608"/>
      <c r="BB32" s="608"/>
      <c r="BZ32" s="378"/>
      <c r="CA32" s="378"/>
      <c r="CB32" s="378"/>
      <c r="CC32" s="378"/>
      <c r="CV32" s="608"/>
      <c r="DI32" s="608"/>
      <c r="DJ32" s="608"/>
    </row>
    <row r="33" spans="3:114">
      <c r="D33" s="611"/>
      <c r="F33" s="104"/>
      <c r="K33" s="128"/>
      <c r="M33" s="664"/>
      <c r="X33" s="169"/>
      <c r="AB33" s="670"/>
      <c r="AG33" s="670"/>
      <c r="AH33" s="74"/>
      <c r="AI33" s="666"/>
      <c r="AJ33" s="677"/>
      <c r="AK33" s="678"/>
      <c r="AL33" s="678"/>
      <c r="AM33" s="678"/>
      <c r="AN33" s="678"/>
      <c r="AO33" s="678"/>
      <c r="AP33" s="676"/>
      <c r="AQ33" s="666"/>
      <c r="AR33" s="74"/>
      <c r="AS33" s="74"/>
      <c r="AT33" s="74"/>
      <c r="AV33" s="74"/>
    </row>
    <row r="34" spans="3:114">
      <c r="D34" s="611"/>
      <c r="F34" s="104"/>
      <c r="K34" s="604"/>
      <c r="L34" s="104"/>
      <c r="M34" s="664"/>
      <c r="X34" s="169"/>
      <c r="Y34" s="2215" t="str">
        <f ca="1">IF(AA30+AA31=0,"",IF(AA30&lt;(AA31*0.99),"INSUFFICIENT REVENUE",IF(AA30&gt;(AA31*1.001),"BREACH","PRICE CONTROL OK")))</f>
        <v>PRICE CONTROL OK</v>
      </c>
      <c r="Z34" s="2233"/>
      <c r="AA34" s="2234"/>
      <c r="AB34" s="670"/>
      <c r="AD34" s="2215" t="str">
        <f ca="1">IF(AF30+AF31=0,"",IF(AF30&lt;(AF31*0.99),"INSUFFICIENT REVENUE",IF(AF30&gt;(AF31*1.001),"BREACH","PRICE CONTROL OK")))</f>
        <v>PRICE CONTROL OK</v>
      </c>
      <c r="AE34" s="2233"/>
      <c r="AF34" s="2234"/>
      <c r="AG34" s="670"/>
      <c r="AH34" s="74"/>
      <c r="AI34" s="666"/>
      <c r="AJ34" s="677"/>
      <c r="AK34" s="671"/>
      <c r="AL34" s="666"/>
      <c r="AM34" s="666"/>
      <c r="AN34" s="666"/>
      <c r="AO34" s="666"/>
      <c r="AP34" s="666"/>
      <c r="AQ34" s="666"/>
      <c r="AR34" s="74"/>
      <c r="AS34" s="74"/>
      <c r="AT34" s="74"/>
      <c r="AV34" s="74"/>
      <c r="AY34" s="1050"/>
      <c r="AZ34" s="1050"/>
      <c r="BA34" s="1050"/>
      <c r="BB34" s="1050"/>
      <c r="BZ34" s="1050"/>
      <c r="CA34" s="1050"/>
      <c r="CB34" s="1050"/>
      <c r="CC34" s="1050"/>
      <c r="CV34" s="1050"/>
      <c r="DI34" s="1050"/>
      <c r="DJ34" s="1050"/>
    </row>
    <row r="35" spans="3:114">
      <c r="D35" s="611"/>
      <c r="K35" s="128"/>
      <c r="M35" s="664"/>
      <c r="X35" s="1867"/>
      <c r="AA35" s="128"/>
      <c r="AB35" s="670"/>
      <c r="AC35" s="1050"/>
      <c r="AF35" s="128"/>
      <c r="AG35" s="670"/>
      <c r="AH35" s="74"/>
      <c r="AI35" s="666"/>
      <c r="AJ35" s="677"/>
      <c r="AK35" s="678"/>
      <c r="AL35" s="666"/>
      <c r="AM35" s="666"/>
      <c r="AN35" s="666"/>
      <c r="AO35" s="666"/>
      <c r="AP35" s="666"/>
      <c r="AQ35" s="666"/>
      <c r="AR35" s="74"/>
      <c r="AS35" s="74"/>
      <c r="AT35" s="74"/>
      <c r="AV35" s="74"/>
    </row>
    <row r="36" spans="3:114" ht="12.75" thickBot="1">
      <c r="D36" s="611"/>
      <c r="M36" s="664"/>
      <c r="X36" s="1868"/>
      <c r="Y36" s="183"/>
      <c r="Z36" s="183"/>
      <c r="AA36" s="602"/>
      <c r="AB36" s="680"/>
      <c r="AC36" s="1869"/>
      <c r="AD36" s="183"/>
      <c r="AE36" s="183"/>
      <c r="AF36" s="602"/>
      <c r="AG36" s="680"/>
      <c r="AH36" s="74"/>
      <c r="AI36" s="666"/>
      <c r="AJ36" s="679"/>
      <c r="AK36" s="678"/>
      <c r="AL36" s="666"/>
      <c r="AM36" s="666"/>
      <c r="AN36" s="666"/>
      <c r="AO36" s="666"/>
      <c r="AP36" s="666"/>
      <c r="AQ36" s="666"/>
      <c r="AR36" s="74"/>
      <c r="AS36" s="74"/>
      <c r="AT36" s="74"/>
      <c r="AV36" s="74"/>
      <c r="AY36" s="675"/>
      <c r="AZ36" s="675"/>
      <c r="BA36" s="675"/>
      <c r="BB36" s="675"/>
      <c r="BZ36" s="88"/>
      <c r="CA36" s="88"/>
      <c r="CB36" s="88"/>
      <c r="CC36" s="88"/>
      <c r="CV36" s="675"/>
      <c r="DI36" s="675"/>
      <c r="DJ36" s="675"/>
    </row>
    <row r="37" spans="3:114">
      <c r="C37" s="681" t="s">
        <v>28</v>
      </c>
      <c r="M37" s="664"/>
      <c r="X37" s="682"/>
      <c r="AH37" s="74"/>
      <c r="AI37" s="666"/>
      <c r="AJ37" s="666"/>
      <c r="AK37" s="678"/>
      <c r="AL37" s="678"/>
      <c r="AM37" s="678"/>
      <c r="AN37" s="678"/>
      <c r="AO37" s="678"/>
      <c r="AP37" s="683"/>
      <c r="AQ37" s="666"/>
      <c r="AR37" s="74"/>
      <c r="AS37" s="74"/>
      <c r="AT37" s="74"/>
      <c r="AV37" s="74"/>
    </row>
    <row r="38" spans="3:114">
      <c r="AH38" s="74"/>
      <c r="AI38" s="666"/>
      <c r="AJ38" s="666"/>
      <c r="AK38" s="666"/>
      <c r="AL38" s="666"/>
      <c r="AM38" s="666"/>
      <c r="AN38" s="666"/>
      <c r="AO38" s="666"/>
      <c r="AP38" s="666"/>
      <c r="AQ38" s="666"/>
      <c r="AR38" s="74"/>
      <c r="AS38" s="74"/>
      <c r="AT38" s="74"/>
      <c r="AV38" s="74"/>
    </row>
    <row r="39" spans="3:114">
      <c r="E39" s="684" t="s">
        <v>283</v>
      </c>
      <c r="I39" s="74" t="str">
        <f>C7</f>
        <v>$m, 01/01/26</v>
      </c>
      <c r="K39" s="74"/>
      <c r="L39" s="74"/>
      <c r="M39" s="74"/>
      <c r="N39" s="74"/>
      <c r="O39" s="74"/>
      <c r="P39" s="74"/>
      <c r="Q39" s="74"/>
      <c r="AH39" s="74"/>
      <c r="AI39" s="666"/>
      <c r="AJ39" s="666"/>
      <c r="AK39" s="665"/>
      <c r="AL39" s="666"/>
      <c r="AM39" s="666"/>
      <c r="AN39" s="666"/>
      <c r="AO39" s="666"/>
      <c r="AP39" s="666"/>
      <c r="AQ39" s="666"/>
      <c r="AR39" s="74"/>
      <c r="AS39" s="74"/>
      <c r="AT39" s="74"/>
      <c r="AV39" s="74"/>
    </row>
    <row r="40" spans="3:114">
      <c r="K40" s="74"/>
      <c r="L40" s="74"/>
      <c r="M40" s="74"/>
      <c r="N40" s="74"/>
      <c r="O40" s="74"/>
      <c r="P40" s="74"/>
      <c r="Q40" s="74"/>
      <c r="AH40" s="74"/>
      <c r="AI40" s="666"/>
      <c r="AJ40" s="666"/>
      <c r="AK40" s="666"/>
      <c r="AL40" s="666"/>
      <c r="AM40" s="666"/>
      <c r="AN40" s="666"/>
      <c r="AO40" s="666"/>
      <c r="AP40" s="685"/>
      <c r="AQ40" s="666"/>
      <c r="AR40" s="74"/>
      <c r="AS40" s="74"/>
      <c r="AT40" s="74"/>
      <c r="AV40" s="74"/>
    </row>
    <row r="41" spans="3:114">
      <c r="F41" s="686" t="s">
        <v>30</v>
      </c>
      <c r="K41" s="74"/>
      <c r="L41" s="74"/>
      <c r="M41" s="74"/>
      <c r="N41" s="74"/>
      <c r="O41" s="74"/>
      <c r="P41" s="74"/>
      <c r="Q41" s="74"/>
      <c r="R41" s="74"/>
      <c r="S41" s="232"/>
      <c r="AH41" s="74"/>
      <c r="AI41" s="666"/>
      <c r="AJ41" s="677"/>
      <c r="AK41" s="687"/>
      <c r="AL41" s="687"/>
      <c r="AM41" s="687"/>
      <c r="AN41" s="687"/>
      <c r="AO41" s="687"/>
      <c r="AP41" s="688"/>
      <c r="AQ41" s="666"/>
      <c r="AR41" s="74"/>
      <c r="AS41" s="74"/>
      <c r="AT41" s="74"/>
      <c r="AV41" s="74"/>
    </row>
    <row r="42" spans="3:114">
      <c r="F42" s="383" t="s">
        <v>31</v>
      </c>
      <c r="K42" s="384"/>
      <c r="L42" s="385"/>
      <c r="M42" s="385"/>
      <c r="N42" s="384"/>
      <c r="O42" s="428"/>
      <c r="P42" s="428"/>
      <c r="Q42" s="429"/>
      <c r="R42" s="429"/>
      <c r="S42" s="429"/>
      <c r="T42" s="429"/>
      <c r="U42" s="429"/>
      <c r="V42" s="429"/>
      <c r="W42" s="430"/>
      <c r="X42" s="428"/>
      <c r="Y42" s="429"/>
      <c r="Z42" s="429"/>
      <c r="AA42" s="429"/>
      <c r="AB42" s="430"/>
      <c r="AC42" s="429"/>
      <c r="AD42" s="429"/>
      <c r="AE42" s="429"/>
      <c r="AF42" s="429"/>
      <c r="AG42" s="430"/>
      <c r="AH42" s="74"/>
      <c r="AI42" s="666"/>
      <c r="AJ42" s="666"/>
      <c r="AK42" s="666"/>
      <c r="AL42" s="666"/>
      <c r="AM42" s="666"/>
      <c r="AN42" s="666"/>
      <c r="AO42" s="666"/>
      <c r="AP42" s="666"/>
      <c r="AQ42" s="666"/>
      <c r="AR42" s="74"/>
      <c r="AS42" s="74"/>
      <c r="AT42" s="74"/>
      <c r="AV42" s="74"/>
      <c r="BX42" s="1447"/>
      <c r="CT42" s="684"/>
      <c r="DG42" s="684"/>
    </row>
    <row r="43" spans="3:114">
      <c r="F43" s="383" t="s">
        <v>32</v>
      </c>
      <c r="K43" s="387"/>
      <c r="L43" s="349"/>
      <c r="M43" s="349"/>
      <c r="N43" s="387"/>
      <c r="O43" s="431"/>
      <c r="P43" s="431"/>
      <c r="Q43" s="432"/>
      <c r="R43" s="432"/>
      <c r="S43" s="432"/>
      <c r="T43" s="432"/>
      <c r="U43" s="432"/>
      <c r="V43" s="432"/>
      <c r="W43" s="433"/>
      <c r="X43" s="431"/>
      <c r="Y43" s="432"/>
      <c r="Z43" s="432"/>
      <c r="AA43" s="432"/>
      <c r="AB43" s="433"/>
      <c r="AC43" s="432"/>
      <c r="AD43" s="432"/>
      <c r="AE43" s="432"/>
      <c r="AF43" s="432"/>
      <c r="AG43" s="433"/>
      <c r="AH43" s="74"/>
      <c r="AI43" s="74"/>
      <c r="AJ43" s="74"/>
      <c r="AK43" s="74"/>
      <c r="AL43" s="74"/>
      <c r="AM43" s="74"/>
      <c r="AN43" s="74"/>
      <c r="AO43" s="74"/>
      <c r="AP43" s="74"/>
      <c r="AQ43" s="74"/>
      <c r="AR43" s="74"/>
      <c r="AS43" s="74"/>
      <c r="AT43" s="74"/>
      <c r="AV43" s="74"/>
    </row>
    <row r="44" spans="3:114">
      <c r="F44" s="383" t="s">
        <v>33</v>
      </c>
      <c r="K44" s="387"/>
      <c r="L44" s="349"/>
      <c r="M44" s="349"/>
      <c r="N44" s="387"/>
      <c r="O44" s="431"/>
      <c r="P44" s="431"/>
      <c r="Q44" s="432"/>
      <c r="R44" s="432"/>
      <c r="S44" s="432"/>
      <c r="T44" s="432"/>
      <c r="U44" s="432"/>
      <c r="V44" s="432"/>
      <c r="W44" s="433"/>
      <c r="X44" s="431"/>
      <c r="Y44" s="432"/>
      <c r="Z44" s="432"/>
      <c r="AA44" s="432"/>
      <c r="AB44" s="433"/>
      <c r="AC44" s="432"/>
      <c r="AD44" s="432"/>
      <c r="AE44" s="432"/>
      <c r="AF44" s="432"/>
      <c r="AG44" s="433"/>
      <c r="AH44" s="74"/>
      <c r="AI44" s="74"/>
      <c r="AJ44" s="666"/>
      <c r="AK44" s="666"/>
      <c r="AL44" s="666"/>
      <c r="AM44" s="666"/>
      <c r="AN44" s="666"/>
      <c r="AO44" s="666"/>
      <c r="AP44" s="666"/>
      <c r="AQ44" s="74"/>
      <c r="AR44" s="74"/>
      <c r="AS44" s="74"/>
      <c r="AT44" s="74"/>
      <c r="AV44" s="74"/>
      <c r="BY44" s="1448"/>
      <c r="CU44" s="686"/>
      <c r="DH44" s="686"/>
    </row>
    <row r="45" spans="3:114">
      <c r="F45" s="383" t="s">
        <v>34</v>
      </c>
      <c r="K45" s="392"/>
      <c r="L45" s="393"/>
      <c r="M45" s="393"/>
      <c r="N45" s="392"/>
      <c r="O45" s="434"/>
      <c r="P45" s="434"/>
      <c r="Q45" s="435"/>
      <c r="R45" s="435"/>
      <c r="S45" s="435"/>
      <c r="T45" s="435"/>
      <c r="U45" s="435"/>
      <c r="V45" s="435"/>
      <c r="W45" s="436"/>
      <c r="X45" s="434"/>
      <c r="Y45" s="435"/>
      <c r="Z45" s="435"/>
      <c r="AA45" s="435"/>
      <c r="AB45" s="436"/>
      <c r="AC45" s="435"/>
      <c r="AD45" s="435"/>
      <c r="AE45" s="435"/>
      <c r="AF45" s="435"/>
      <c r="AG45" s="436"/>
      <c r="AH45" s="74"/>
      <c r="AI45" s="74"/>
      <c r="AJ45" s="666"/>
      <c r="AK45" s="667"/>
      <c r="AL45" s="666"/>
      <c r="AM45" s="666"/>
      <c r="AN45" s="666"/>
      <c r="AO45" s="666"/>
      <c r="AP45" s="74"/>
      <c r="AQ45" s="74"/>
      <c r="AR45" s="74"/>
      <c r="AS45" s="74"/>
      <c r="AT45" s="74"/>
      <c r="AV45" s="74"/>
      <c r="BY45" s="591"/>
      <c r="CU45" s="383"/>
      <c r="DH45" s="383"/>
    </row>
    <row r="46" spans="3:114">
      <c r="F46" s="686" t="str">
        <f>+CONCATENATE("Total ",F41)</f>
        <v>Total Contract revenue</v>
      </c>
      <c r="K46" s="349">
        <f>+SUM(K42:K45)</f>
        <v>0</v>
      </c>
      <c r="L46" s="349">
        <f t="shared" ref="L46:R46" si="17">+SUM(L42:L45)</f>
        <v>0</v>
      </c>
      <c r="M46" s="349">
        <f t="shared" si="17"/>
        <v>0</v>
      </c>
      <c r="N46" s="573">
        <f t="shared" si="17"/>
        <v>0</v>
      </c>
      <c r="O46" s="573">
        <f>+SUM(O42:O45)</f>
        <v>0</v>
      </c>
      <c r="P46" s="573">
        <f t="shared" si="17"/>
        <v>0</v>
      </c>
      <c r="Q46" s="573">
        <f t="shared" si="17"/>
        <v>0</v>
      </c>
      <c r="R46" s="349">
        <f t="shared" si="17"/>
        <v>0</v>
      </c>
      <c r="S46" s="573">
        <f t="shared" ref="S46:AG46" si="18">+SUM(S42:S45)</f>
        <v>0</v>
      </c>
      <c r="T46" s="573">
        <f t="shared" si="18"/>
        <v>0</v>
      </c>
      <c r="U46" s="573">
        <f t="shared" si="18"/>
        <v>0</v>
      </c>
      <c r="V46" s="573">
        <f t="shared" si="18"/>
        <v>0</v>
      </c>
      <c r="W46" s="573">
        <f t="shared" si="18"/>
        <v>0</v>
      </c>
      <c r="X46" s="382">
        <f t="shared" si="18"/>
        <v>0</v>
      </c>
      <c r="Y46" s="382">
        <f t="shared" si="18"/>
        <v>0</v>
      </c>
      <c r="Z46" s="382">
        <f t="shared" si="18"/>
        <v>0</v>
      </c>
      <c r="AA46" s="382">
        <f t="shared" si="18"/>
        <v>0</v>
      </c>
      <c r="AB46" s="382">
        <f t="shared" si="18"/>
        <v>0</v>
      </c>
      <c r="AC46" s="382">
        <f t="shared" si="18"/>
        <v>0</v>
      </c>
      <c r="AD46" s="382">
        <f t="shared" si="18"/>
        <v>0</v>
      </c>
      <c r="AE46" s="382">
        <f t="shared" si="18"/>
        <v>0</v>
      </c>
      <c r="AF46" s="382">
        <f t="shared" si="18"/>
        <v>0</v>
      </c>
      <c r="AG46" s="382">
        <f t="shared" si="18"/>
        <v>0</v>
      </c>
      <c r="AH46" s="666" t="s">
        <v>1053</v>
      </c>
      <c r="AI46" s="666"/>
      <c r="AJ46" s="666"/>
      <c r="AK46" s="666"/>
      <c r="AL46" s="666"/>
      <c r="AM46" s="666"/>
      <c r="AN46" s="666"/>
      <c r="AO46" s="666"/>
      <c r="AP46" s="74"/>
      <c r="AQ46" s="74"/>
      <c r="AR46" s="74"/>
      <c r="AS46" s="74"/>
      <c r="AT46" s="74"/>
      <c r="AV46" s="74"/>
      <c r="BY46" s="591"/>
      <c r="CU46" s="383"/>
      <c r="DH46" s="383"/>
    </row>
    <row r="47" spans="3:114">
      <c r="K47" s="123"/>
      <c r="L47" s="123"/>
      <c r="M47" s="123"/>
      <c r="N47" s="123"/>
      <c r="O47" s="123"/>
      <c r="P47" s="123"/>
      <c r="Q47" s="123"/>
      <c r="R47" s="123"/>
      <c r="S47" s="123"/>
      <c r="T47" s="123"/>
      <c r="U47" s="123"/>
      <c r="V47" s="123"/>
      <c r="W47" s="123"/>
      <c r="X47" s="128"/>
      <c r="Y47" s="128"/>
      <c r="Z47" s="128"/>
      <c r="AA47" s="128"/>
      <c r="AB47" s="128"/>
      <c r="AC47" s="128"/>
      <c r="AD47" s="128"/>
      <c r="AE47" s="128"/>
      <c r="AF47" s="128"/>
      <c r="AG47" s="128"/>
      <c r="AH47" s="666"/>
      <c r="AI47" s="666"/>
      <c r="AJ47" s="74"/>
      <c r="AK47" s="671"/>
      <c r="AL47" s="74"/>
      <c r="AM47" s="666"/>
      <c r="AN47" s="666"/>
      <c r="AO47" s="666"/>
      <c r="AP47" s="74"/>
      <c r="AQ47" s="74"/>
      <c r="AR47" s="74"/>
      <c r="AS47" s="74"/>
      <c r="AT47" s="74"/>
      <c r="AV47" s="74"/>
      <c r="CU47" s="383"/>
      <c r="DH47" s="383"/>
    </row>
    <row r="48" spans="3:114">
      <c r="F48" s="686" t="s">
        <v>284</v>
      </c>
      <c r="K48" s="123"/>
      <c r="L48" s="123"/>
      <c r="M48" s="123"/>
      <c r="N48" s="123"/>
      <c r="O48" s="123"/>
      <c r="P48" s="123"/>
      <c r="Q48" s="123"/>
      <c r="R48" s="123"/>
      <c r="S48" s="123"/>
      <c r="T48" s="123"/>
      <c r="U48" s="123"/>
      <c r="V48" s="123"/>
      <c r="W48" s="123"/>
      <c r="X48" s="128"/>
      <c r="Y48" s="128"/>
      <c r="Z48" s="128"/>
      <c r="AA48" s="128"/>
      <c r="AB48" s="128"/>
      <c r="AC48" s="128"/>
      <c r="AD48" s="128"/>
      <c r="AE48" s="128"/>
      <c r="AF48" s="128"/>
      <c r="AG48" s="128"/>
      <c r="AH48" s="666"/>
      <c r="AI48" s="666"/>
      <c r="AJ48" s="666"/>
      <c r="AK48" s="666"/>
      <c r="AL48" s="666"/>
      <c r="AM48" s="666"/>
      <c r="AN48" s="666"/>
      <c r="AO48" s="666"/>
      <c r="AP48" s="74"/>
      <c r="AQ48" s="74"/>
      <c r="AR48" s="74"/>
      <c r="AS48" s="74"/>
      <c r="AT48" s="74"/>
      <c r="AV48" s="74"/>
      <c r="CU48" s="383"/>
      <c r="DH48" s="383"/>
    </row>
    <row r="49" spans="5:122">
      <c r="F49" s="383" t="s">
        <v>35</v>
      </c>
      <c r="K49" s="384"/>
      <c r="L49" s="385"/>
      <c r="M49" s="385"/>
      <c r="N49" s="384"/>
      <c r="O49" s="592"/>
      <c r="P49" s="428"/>
      <c r="Q49" s="429"/>
      <c r="R49" s="429"/>
      <c r="S49" s="429"/>
      <c r="T49" s="429"/>
      <c r="U49" s="429"/>
      <c r="V49" s="429"/>
      <c r="W49" s="430"/>
      <c r="X49" s="428"/>
      <c r="Y49" s="429"/>
      <c r="Z49" s="429"/>
      <c r="AA49" s="429"/>
      <c r="AB49" s="430"/>
      <c r="AC49" s="429"/>
      <c r="AD49" s="429"/>
      <c r="AE49" s="429"/>
      <c r="AF49" s="429"/>
      <c r="AG49" s="430"/>
      <c r="AH49" s="666"/>
      <c r="AI49" s="666"/>
      <c r="AJ49" s="666"/>
      <c r="AK49" s="689"/>
      <c r="AL49" s="689"/>
      <c r="AM49" s="689"/>
      <c r="AN49" s="689"/>
      <c r="AO49" s="689"/>
      <c r="AP49" s="676"/>
      <c r="AQ49" s="74"/>
      <c r="AR49" s="74"/>
      <c r="AS49" s="74"/>
      <c r="AT49" s="74"/>
      <c r="AV49" s="74"/>
      <c r="CU49" s="686"/>
      <c r="DH49" s="686"/>
    </row>
    <row r="50" spans="5:122" ht="12.75" thickBot="1">
      <c r="F50" s="383" t="s">
        <v>276</v>
      </c>
      <c r="K50" s="387"/>
      <c r="L50" s="349"/>
      <c r="M50" s="349"/>
      <c r="N50" s="387"/>
      <c r="O50" s="593"/>
      <c r="P50" s="431"/>
      <c r="Q50" s="432"/>
      <c r="R50" s="432"/>
      <c r="S50" s="432"/>
      <c r="T50" s="432"/>
      <c r="U50" s="432"/>
      <c r="V50" s="432"/>
      <c r="W50" s="433"/>
      <c r="X50" s="431"/>
      <c r="Y50" s="432"/>
      <c r="Z50" s="432"/>
      <c r="AA50" s="432"/>
      <c r="AB50" s="433"/>
      <c r="AC50" s="432"/>
      <c r="AD50" s="432"/>
      <c r="AE50" s="432"/>
      <c r="AF50" s="432"/>
      <c r="AG50" s="433"/>
      <c r="AH50" s="666"/>
      <c r="AI50" s="666"/>
      <c r="AJ50" s="666"/>
      <c r="AK50" s="666"/>
      <c r="AL50" s="666"/>
      <c r="AM50" s="666"/>
      <c r="AN50" s="666"/>
      <c r="AO50" s="666"/>
      <c r="AP50" s="74"/>
      <c r="AQ50" s="74"/>
      <c r="AR50" s="74"/>
      <c r="AS50" s="74"/>
      <c r="AT50" s="74"/>
      <c r="AV50" s="74"/>
    </row>
    <row r="51" spans="5:122" ht="12.75" thickBot="1">
      <c r="F51" s="383" t="s">
        <v>36</v>
      </c>
      <c r="K51" s="392"/>
      <c r="L51" s="393"/>
      <c r="M51" s="393"/>
      <c r="N51" s="392"/>
      <c r="O51" s="594">
        <v>1.6756669683257919</v>
      </c>
      <c r="P51" s="434">
        <v>1.4769751332149201</v>
      </c>
      <c r="Q51" s="435">
        <v>1.4649570552147242</v>
      </c>
      <c r="R51" s="435">
        <v>1.783489548885077</v>
      </c>
      <c r="S51" s="435">
        <v>1.8676463104325696</v>
      </c>
      <c r="T51" s="435">
        <v>1.7726610169491526</v>
      </c>
      <c r="U51" s="435">
        <v>1.7865897126696832</v>
      </c>
      <c r="V51" s="435">
        <v>1.7738849781659383</v>
      </c>
      <c r="W51" s="436">
        <v>1.41</v>
      </c>
      <c r="X51" s="434">
        <v>1.85</v>
      </c>
      <c r="Y51" s="435">
        <v>1.85</v>
      </c>
      <c r="Z51" s="435">
        <v>1.85</v>
      </c>
      <c r="AA51" s="435">
        <v>1.85</v>
      </c>
      <c r="AB51" s="436">
        <v>1.85</v>
      </c>
      <c r="AC51" s="435">
        <v>1.85</v>
      </c>
      <c r="AD51" s="435">
        <v>1.85</v>
      </c>
      <c r="AE51" s="435">
        <v>1.85</v>
      </c>
      <c r="AF51" s="435">
        <v>1.85</v>
      </c>
      <c r="AG51" s="436">
        <v>1.85</v>
      </c>
      <c r="AH51" s="666"/>
      <c r="AI51" s="666"/>
      <c r="AJ51" s="74"/>
      <c r="AK51" s="671"/>
      <c r="AL51" s="74"/>
      <c r="AM51" s="666"/>
      <c r="AN51" s="666"/>
      <c r="AO51" s="666"/>
      <c r="AP51" s="74"/>
      <c r="AQ51" s="74"/>
      <c r="AR51" s="74"/>
      <c r="AS51" s="74"/>
      <c r="AT51" s="74"/>
      <c r="AV51" s="74"/>
      <c r="AZ51" s="2241" t="s">
        <v>856</v>
      </c>
      <c r="BA51" s="2242"/>
      <c r="BB51" s="2242"/>
      <c r="BC51" s="2242"/>
      <c r="BD51" s="2242"/>
      <c r="BE51" s="2242"/>
      <c r="BF51" s="2242"/>
      <c r="BG51" s="2242"/>
      <c r="BH51" s="2242"/>
      <c r="BI51" s="2242"/>
      <c r="BJ51" s="2242"/>
      <c r="BK51" s="2242"/>
      <c r="BL51" s="2242"/>
      <c r="BM51" s="2242"/>
      <c r="BN51" s="2242"/>
      <c r="BO51" s="2242"/>
      <c r="BP51" s="2242"/>
      <c r="BQ51" s="2243"/>
      <c r="CA51" s="1968"/>
      <c r="CB51" s="1969"/>
      <c r="CC51" s="1969"/>
      <c r="CD51" s="1969"/>
      <c r="CE51" s="1969"/>
      <c r="CF51" s="1969"/>
      <c r="CG51" s="1969"/>
      <c r="CH51" s="1969"/>
      <c r="CI51" s="1969"/>
      <c r="CJ51" s="1969" t="s">
        <v>843</v>
      </c>
      <c r="CK51" s="1969"/>
      <c r="CL51" s="1969"/>
      <c r="CM51" s="1969"/>
      <c r="CN51" s="1969"/>
      <c r="CO51" s="1970"/>
      <c r="CP51" s="1970"/>
      <c r="CQ51" s="1970"/>
      <c r="CR51" s="1970"/>
      <c r="CU51" s="686"/>
      <c r="DH51" s="686"/>
    </row>
    <row r="52" spans="5:122" ht="12.75" thickBot="1">
      <c r="F52" s="686" t="str">
        <f>+CONCATENATE("Total ",F48)</f>
        <v>Total Other non-scheduled tariff revenue</v>
      </c>
      <c r="K52" s="349">
        <f>+SUM(K47:K51)</f>
        <v>0</v>
      </c>
      <c r="L52" s="349">
        <f>+SUM(L47:L51)</f>
        <v>0</v>
      </c>
      <c r="M52" s="349">
        <f>+SUM(M47:M51)</f>
        <v>0</v>
      </c>
      <c r="N52" s="349">
        <f>+SUM(N47:N51)</f>
        <v>0</v>
      </c>
      <c r="O52" s="349">
        <f>+SUM(O49:O51)</f>
        <v>1.6756669683257919</v>
      </c>
      <c r="P52" s="349">
        <f>+SUM(P49:P51)</f>
        <v>1.4769751332149201</v>
      </c>
      <c r="Q52" s="349">
        <f>+SUM(Q49:Q51)</f>
        <v>1.4649570552147242</v>
      </c>
      <c r="R52" s="349">
        <f>+SUM(R49:R51)</f>
        <v>1.783489548885077</v>
      </c>
      <c r="S52" s="349">
        <f>+SUM(S49:S51)</f>
        <v>1.8676463104325696</v>
      </c>
      <c r="T52" s="349">
        <f t="shared" ref="T52:AG52" si="19">+SUM(T49:T51)</f>
        <v>1.7726610169491526</v>
      </c>
      <c r="U52" s="349">
        <f t="shared" si="19"/>
        <v>1.7865897126696832</v>
      </c>
      <c r="V52" s="349">
        <f t="shared" si="19"/>
        <v>1.7738849781659383</v>
      </c>
      <c r="W52" s="349">
        <f t="shared" si="19"/>
        <v>1.41</v>
      </c>
      <c r="X52" s="349">
        <f t="shared" si="19"/>
        <v>1.85</v>
      </c>
      <c r="Y52" s="349">
        <f t="shared" si="19"/>
        <v>1.85</v>
      </c>
      <c r="Z52" s="349">
        <f t="shared" si="19"/>
        <v>1.85</v>
      </c>
      <c r="AA52" s="349">
        <f t="shared" si="19"/>
        <v>1.85</v>
      </c>
      <c r="AB52" s="349">
        <f t="shared" si="19"/>
        <v>1.85</v>
      </c>
      <c r="AC52" s="349">
        <f t="shared" si="19"/>
        <v>1.85</v>
      </c>
      <c r="AD52" s="349">
        <f t="shared" si="19"/>
        <v>1.85</v>
      </c>
      <c r="AE52" s="349">
        <f t="shared" si="19"/>
        <v>1.85</v>
      </c>
      <c r="AF52" s="349">
        <f t="shared" si="19"/>
        <v>1.85</v>
      </c>
      <c r="AG52" s="349">
        <f t="shared" si="19"/>
        <v>1.85</v>
      </c>
      <c r="AH52" s="666" t="s">
        <v>1053</v>
      </c>
      <c r="AI52" s="666"/>
      <c r="AJ52" s="666"/>
      <c r="AK52" s="689"/>
      <c r="AL52" s="675"/>
      <c r="AM52" s="666"/>
      <c r="AN52" s="690"/>
      <c r="AO52" s="666"/>
      <c r="AP52" s="74"/>
      <c r="AQ52" s="74"/>
      <c r="AR52" s="74"/>
      <c r="AS52" s="74"/>
      <c r="AT52" s="74"/>
      <c r="AV52" s="74"/>
      <c r="AZ52" s="2238" t="str">
        <f>AZ64</f>
        <v>FOURTH REG PERIOD</v>
      </c>
      <c r="BA52" s="2239"/>
      <c r="BB52" s="2239"/>
      <c r="BC52" s="2239"/>
      <c r="BD52" s="2239"/>
      <c r="BE52" s="2239"/>
      <c r="BF52" s="2239"/>
      <c r="BG52" s="2240"/>
      <c r="BH52" s="2252" t="str">
        <f>BH64</f>
        <v>FIFTH REG PERIOD</v>
      </c>
      <c r="BI52" s="2253"/>
      <c r="BJ52" s="2253"/>
      <c r="BK52" s="2253"/>
      <c r="BL52" s="2255"/>
      <c r="BM52" s="2253" t="str">
        <f>BM64</f>
        <v>SIXTH REG PERIOD</v>
      </c>
      <c r="BN52" s="2253"/>
      <c r="BO52" s="2253"/>
      <c r="BP52" s="2253"/>
      <c r="BQ52" s="2254"/>
      <c r="CA52" s="2244" t="str">
        <f>CA64</f>
        <v>FOURTH REG PERIOD</v>
      </c>
      <c r="CB52" s="2245"/>
      <c r="CC52" s="2245"/>
      <c r="CD52" s="2245"/>
      <c r="CE52" s="2245"/>
      <c r="CF52" s="2245"/>
      <c r="CG52" s="2245"/>
      <c r="CH52" s="2246"/>
      <c r="CI52" s="2252" t="str">
        <f>CI64</f>
        <v>FIFTH REG PERIOD</v>
      </c>
      <c r="CJ52" s="2253"/>
      <c r="CK52" s="2253"/>
      <c r="CL52" s="2253"/>
      <c r="CM52" s="2255"/>
      <c r="CN52" s="2253" t="str">
        <f>CN64</f>
        <v>SIXTH REG PERIOD</v>
      </c>
      <c r="CO52" s="2253"/>
      <c r="CP52" s="2253"/>
      <c r="CQ52" s="2253"/>
      <c r="CR52" s="2254"/>
      <c r="CU52" s="383"/>
      <c r="DH52" s="383"/>
    </row>
    <row r="53" spans="5:122" ht="12.75" thickBot="1">
      <c r="K53" s="123"/>
      <c r="L53" s="123"/>
      <c r="M53" s="123"/>
      <c r="N53" s="123"/>
      <c r="O53" s="123"/>
      <c r="P53" s="123"/>
      <c r="Q53" s="123"/>
      <c r="R53" s="123"/>
      <c r="S53" s="123"/>
      <c r="T53" s="123"/>
      <c r="U53" s="123"/>
      <c r="V53" s="123"/>
      <c r="W53" s="123"/>
      <c r="X53" s="128"/>
      <c r="Y53" s="128"/>
      <c r="Z53" s="128"/>
      <c r="AA53" s="128"/>
      <c r="AB53" s="128"/>
      <c r="AC53" s="128"/>
      <c r="AD53" s="128"/>
      <c r="AE53" s="128"/>
      <c r="AF53" s="128"/>
      <c r="AG53" s="128"/>
      <c r="AH53" s="666"/>
      <c r="AI53" s="666"/>
      <c r="AJ53" s="666"/>
      <c r="AK53" s="666"/>
      <c r="AL53" s="74"/>
      <c r="AM53" s="74"/>
      <c r="AN53" s="74"/>
      <c r="AO53" s="666"/>
      <c r="AP53" s="74"/>
      <c r="AQ53" s="74"/>
      <c r="AR53" s="74"/>
      <c r="AS53" s="74"/>
      <c r="AT53" s="74"/>
      <c r="AV53" s="74"/>
      <c r="AW53" s="1309" t="str">
        <f>AW65</f>
        <v>PQR</v>
      </c>
      <c r="AX53" s="1310"/>
      <c r="AY53" s="1310"/>
      <c r="AZ53" s="1312" t="str">
        <f>AZ65</f>
        <v>2018-19</v>
      </c>
      <c r="BA53" s="1313" t="str">
        <f>BA65</f>
        <v>2019-20</v>
      </c>
      <c r="BB53" s="1313" t="str">
        <f>BB65</f>
        <v>2020-21</v>
      </c>
      <c r="BC53" s="1313" t="str">
        <f t="shared" ref="BC53:BQ53" si="20">BC65</f>
        <v>2021-22</v>
      </c>
      <c r="BD53" s="1313" t="str">
        <f t="shared" si="20"/>
        <v>2022-23</v>
      </c>
      <c r="BE53" s="1313" t="str">
        <f t="shared" si="20"/>
        <v>2023-24</v>
      </c>
      <c r="BF53" s="1313" t="str">
        <f t="shared" si="20"/>
        <v>2024-25</v>
      </c>
      <c r="BG53" s="1314" t="str">
        <f t="shared" si="20"/>
        <v>2025-26</v>
      </c>
      <c r="BH53" s="1313" t="str">
        <f t="shared" si="20"/>
        <v>2026-27</v>
      </c>
      <c r="BI53" s="1313" t="str">
        <f t="shared" si="20"/>
        <v>2027-28</v>
      </c>
      <c r="BJ53" s="1313" t="str">
        <f t="shared" si="20"/>
        <v>2028-29</v>
      </c>
      <c r="BK53" s="1313" t="str">
        <f t="shared" si="20"/>
        <v>2029-30</v>
      </c>
      <c r="BL53" s="1314" t="str">
        <f t="shared" si="20"/>
        <v>2030-31</v>
      </c>
      <c r="BM53" s="1313" t="str">
        <f t="shared" si="20"/>
        <v>2031-32</v>
      </c>
      <c r="BN53" s="1313" t="str">
        <f t="shared" si="20"/>
        <v>2032-33</v>
      </c>
      <c r="BO53" s="1313" t="str">
        <f t="shared" si="20"/>
        <v>2033-34</v>
      </c>
      <c r="BP53" s="1313" t="str">
        <f t="shared" si="20"/>
        <v>2034-35</v>
      </c>
      <c r="BQ53" s="1315" t="str">
        <f t="shared" si="20"/>
        <v>2035-36</v>
      </c>
      <c r="BX53" s="1309" t="str">
        <f>BX65</f>
        <v>PQR</v>
      </c>
      <c r="BY53" s="1310"/>
      <c r="BZ53" s="1311"/>
      <c r="CA53" s="1313" t="str">
        <f>CA65</f>
        <v>2018-19</v>
      </c>
      <c r="CB53" s="1313" t="str">
        <f>CB65</f>
        <v>2019-20</v>
      </c>
      <c r="CC53" s="1313" t="str">
        <f>CC65</f>
        <v>2020-21</v>
      </c>
      <c r="CD53" s="1313" t="str">
        <f>CD65</f>
        <v>2021-22</v>
      </c>
      <c r="CE53" s="1313" t="str">
        <f t="shared" ref="CE53:CR53" si="21">CE65</f>
        <v>2022-23</v>
      </c>
      <c r="CF53" s="1313" t="str">
        <f t="shared" si="21"/>
        <v>2023-24</v>
      </c>
      <c r="CG53" s="1313" t="str">
        <f t="shared" si="21"/>
        <v>2024-25</v>
      </c>
      <c r="CH53" s="1314" t="str">
        <f t="shared" si="21"/>
        <v>2025-26</v>
      </c>
      <c r="CI53" s="1313" t="str">
        <f t="shared" si="21"/>
        <v>2026-27</v>
      </c>
      <c r="CJ53" s="1313" t="str">
        <f t="shared" si="21"/>
        <v>2027-28</v>
      </c>
      <c r="CK53" s="1313" t="str">
        <f t="shared" si="21"/>
        <v>2028-29</v>
      </c>
      <c r="CL53" s="1313" t="str">
        <f t="shared" si="21"/>
        <v>2029-30</v>
      </c>
      <c r="CM53" s="1314" t="str">
        <f t="shared" si="21"/>
        <v>2030-31</v>
      </c>
      <c r="CN53" s="1313" t="str">
        <f t="shared" si="21"/>
        <v>2031-32</v>
      </c>
      <c r="CO53" s="1313" t="str">
        <f t="shared" si="21"/>
        <v>2032-33</v>
      </c>
      <c r="CP53" s="1313" t="str">
        <f t="shared" si="21"/>
        <v>2033-34</v>
      </c>
      <c r="CQ53" s="1313" t="str">
        <f t="shared" si="21"/>
        <v>2034-35</v>
      </c>
      <c r="CR53" s="1315" t="str">
        <f t="shared" si="21"/>
        <v>2035-36</v>
      </c>
      <c r="CU53" s="383"/>
      <c r="DH53" s="383"/>
    </row>
    <row r="54" spans="5:122">
      <c r="E54" s="684" t="str">
        <f>+CONCATENATE("Total ",E39)</f>
        <v>Total Non-scheduled tariff revenue</v>
      </c>
      <c r="K54" s="114"/>
      <c r="L54" s="115"/>
      <c r="M54" s="116"/>
      <c r="N54" s="114"/>
      <c r="O54" s="2119">
        <f t="shared" ref="O54:W54" si="22">+O46+O52</f>
        <v>1.6756669683257919</v>
      </c>
      <c r="P54" s="115">
        <f t="shared" si="22"/>
        <v>1.4769751332149201</v>
      </c>
      <c r="Q54" s="115">
        <f t="shared" si="22"/>
        <v>1.4649570552147242</v>
      </c>
      <c r="R54" s="115">
        <f t="shared" si="22"/>
        <v>1.783489548885077</v>
      </c>
      <c r="S54" s="115">
        <f t="shared" si="22"/>
        <v>1.8676463104325696</v>
      </c>
      <c r="T54" s="115">
        <f t="shared" si="22"/>
        <v>1.7726610169491526</v>
      </c>
      <c r="U54" s="115">
        <f t="shared" si="22"/>
        <v>1.7865897126696832</v>
      </c>
      <c r="V54" s="115">
        <f t="shared" si="22"/>
        <v>1.7738849781659383</v>
      </c>
      <c r="W54" s="116">
        <f t="shared" si="22"/>
        <v>1.41</v>
      </c>
      <c r="X54" s="692">
        <f t="shared" ref="X54:AG54" si="23">+X46+X52</f>
        <v>1.85</v>
      </c>
      <c r="Y54" s="692">
        <f t="shared" si="23"/>
        <v>1.85</v>
      </c>
      <c r="Z54" s="692">
        <f t="shared" si="23"/>
        <v>1.85</v>
      </c>
      <c r="AA54" s="692">
        <f t="shared" si="23"/>
        <v>1.85</v>
      </c>
      <c r="AB54" s="693">
        <f t="shared" si="23"/>
        <v>1.85</v>
      </c>
      <c r="AC54" s="691">
        <f t="shared" si="23"/>
        <v>1.85</v>
      </c>
      <c r="AD54" s="692">
        <f t="shared" si="23"/>
        <v>1.85</v>
      </c>
      <c r="AE54" s="692">
        <f t="shared" si="23"/>
        <v>1.85</v>
      </c>
      <c r="AF54" s="692">
        <f t="shared" si="23"/>
        <v>1.85</v>
      </c>
      <c r="AG54" s="693">
        <f t="shared" si="23"/>
        <v>1.85</v>
      </c>
      <c r="AH54" s="666" t="s">
        <v>1053</v>
      </c>
      <c r="AI54" s="666"/>
      <c r="AJ54" s="666"/>
      <c r="AK54" s="666"/>
      <c r="AL54" s="666"/>
      <c r="AM54" s="666"/>
      <c r="AN54" s="666"/>
      <c r="AO54" s="666"/>
      <c r="AP54" s="666"/>
      <c r="AQ54" s="74"/>
      <c r="AR54" s="74"/>
      <c r="AS54" s="74"/>
      <c r="AT54" s="74"/>
      <c r="AV54" s="74"/>
      <c r="AW54" s="1316" t="s">
        <v>44</v>
      </c>
      <c r="AX54" s="1317"/>
      <c r="AY54" s="1317"/>
      <c r="AZ54" s="1319">
        <f>IFERROR(AVERAGEIF($AW$66:$AW$65587,$AW$66,AZ$66:AZ$65587),"-")</f>
        <v>3.3985892635738095E-3</v>
      </c>
      <c r="BA54" s="1320">
        <f>IFERROR(AVERAGEIF($AW$66:$AW$65587,$AW$66,BA$66:BA$65587),"-")</f>
        <v>-0.26615121216370041</v>
      </c>
      <c r="BB54" s="1320">
        <f>IFERROR(AVERAGEIF($AW$66:$AW$65587,$AW$66,BB$66:BB$65587),"-")</f>
        <v>-4.1461924416370699E-2</v>
      </c>
      <c r="BC54" s="1320">
        <f t="shared" ref="BC54:BQ54" si="24">IFERROR(AVERAGEIF($AW$66:$AW$65587,$AW$66,BC$66:BC$65587),"-")</f>
        <v>-2.1780580820258126E-2</v>
      </c>
      <c r="BD54" s="1320">
        <f t="shared" si="24"/>
        <v>0.18266231347800727</v>
      </c>
      <c r="BE54" s="1320">
        <f t="shared" si="24"/>
        <v>-3.5927611687586393E-3</v>
      </c>
      <c r="BF54" s="1320">
        <f t="shared" si="24"/>
        <v>-0.49868134414470894</v>
      </c>
      <c r="BG54" s="1321">
        <f t="shared" si="24"/>
        <v>-6.3786839845719201E-2</v>
      </c>
      <c r="BH54" s="1322">
        <f t="shared" si="24"/>
        <v>5.8645309256536514E-2</v>
      </c>
      <c r="BI54" s="1320">
        <f t="shared" si="24"/>
        <v>5.8115822464148044E-2</v>
      </c>
      <c r="BJ54" s="1320">
        <f t="shared" si="24"/>
        <v>5.7545063218786392E-2</v>
      </c>
      <c r="BK54" s="1320">
        <f t="shared" si="24"/>
        <v>5.7023027894369326E-2</v>
      </c>
      <c r="BL54" s="1321">
        <f t="shared" si="24"/>
        <v>5.6542942866630773E-2</v>
      </c>
      <c r="BM54" s="1320">
        <f t="shared" si="24"/>
        <v>1.5094339622641523E-2</v>
      </c>
      <c r="BN54" s="1320">
        <f t="shared" si="24"/>
        <v>1.5094339622641523E-2</v>
      </c>
      <c r="BO54" s="1320">
        <f t="shared" si="24"/>
        <v>1.5094339622641523E-2</v>
      </c>
      <c r="BP54" s="1320">
        <f t="shared" si="24"/>
        <v>1.5094339622641523E-2</v>
      </c>
      <c r="BQ54" s="1323">
        <f t="shared" si="24"/>
        <v>1.5094339622641523E-2</v>
      </c>
      <c r="BX54" s="1316" t="s">
        <v>44</v>
      </c>
      <c r="BY54" s="1317"/>
      <c r="BZ54" s="1318"/>
      <c r="CA54" s="1325">
        <f>SUMIF($BX$66:$BX$65587,$BX$66,CA$66:CA$65587)</f>
        <v>4.2340006824949893E-3</v>
      </c>
      <c r="CB54" s="1325">
        <f>SUMIF($BX$66:$BX$65587,$BX$66,CB$66:CB$65587)</f>
        <v>-1.1380043999827762E-2</v>
      </c>
      <c r="CC54" s="1325">
        <f>SUMIF($BX$66:$BX$65587,$BX$66,CC$66:CC$65587)</f>
        <v>4.7701224134931025E-3</v>
      </c>
      <c r="CD54" s="1325">
        <f>SUMIF($BX$66:$BX$65587,$BX$66,CD$66:CD$65587)</f>
        <v>-8.9760177354012444E-3</v>
      </c>
      <c r="CE54" s="1325">
        <f t="shared" ref="CE54:CR54" si="25">SUMIF($BX$66:$BX$65587,$BX$66,CE$66:CE$65587)</f>
        <v>1.3030159743355028E-2</v>
      </c>
      <c r="CF54" s="1325">
        <f t="shared" si="25"/>
        <v>9.3740962217556643E-3</v>
      </c>
      <c r="CG54" s="1325">
        <f t="shared" si="25"/>
        <v>-7.503165097755388E-3</v>
      </c>
      <c r="CH54" s="1326">
        <f t="shared" si="25"/>
        <v>6.1676874284123367E-3</v>
      </c>
      <c r="CI54" s="1327">
        <f t="shared" si="25"/>
        <v>5.1968579487307015E-2</v>
      </c>
      <c r="CJ54" s="1325">
        <f t="shared" si="25"/>
        <v>5.2079185820682876E-2</v>
      </c>
      <c r="CK54" s="1325">
        <f t="shared" si="25"/>
        <v>5.2021426990625806E-2</v>
      </c>
      <c r="CL54" s="1325">
        <f t="shared" si="25"/>
        <v>5.1988467266062148E-2</v>
      </c>
      <c r="CM54" s="1326">
        <f t="shared" si="25"/>
        <v>5.1947206112817917E-2</v>
      </c>
      <c r="CN54" s="1325">
        <f t="shared" si="25"/>
        <v>1.5915263935940623E-2</v>
      </c>
      <c r="CO54" s="1325">
        <f t="shared" si="25"/>
        <v>1.5917148954786551E-2</v>
      </c>
      <c r="CP54" s="1325">
        <f t="shared" si="25"/>
        <v>1.5919006990685707E-2</v>
      </c>
      <c r="CQ54" s="1325">
        <f t="shared" si="25"/>
        <v>1.5920808446693784E-2</v>
      </c>
      <c r="CR54" s="1328">
        <f t="shared" si="25"/>
        <v>1.5922602014574586E-2</v>
      </c>
      <c r="CU54" s="383"/>
      <c r="DH54" s="383"/>
    </row>
    <row r="55" spans="5:122">
      <c r="K55" s="123"/>
      <c r="L55" s="123"/>
      <c r="M55" s="123"/>
      <c r="N55" s="123"/>
      <c r="O55" s="123"/>
      <c r="P55" s="123"/>
      <c r="Q55" s="123"/>
      <c r="R55" s="123"/>
      <c r="S55" s="123"/>
      <c r="T55" s="123"/>
      <c r="U55" s="123"/>
      <c r="V55" s="123"/>
      <c r="W55" s="123"/>
      <c r="X55" s="128"/>
      <c r="Y55" s="128"/>
      <c r="Z55" s="128"/>
      <c r="AA55" s="128"/>
      <c r="AB55" s="128"/>
      <c r="AC55" s="128"/>
      <c r="AD55" s="128"/>
      <c r="AE55" s="128"/>
      <c r="AF55" s="128"/>
      <c r="AG55" s="128"/>
      <c r="AH55" s="74"/>
      <c r="AI55" s="74"/>
      <c r="AJ55" s="74"/>
      <c r="AK55" s="103"/>
      <c r="AL55" s="103"/>
      <c r="AM55" s="103"/>
      <c r="AN55" s="103"/>
      <c r="AO55" s="103"/>
      <c r="AP55" s="74"/>
      <c r="AQ55" s="74"/>
      <c r="AR55" s="74"/>
      <c r="AS55" s="74"/>
      <c r="AT55" s="74"/>
      <c r="AV55" s="74"/>
      <c r="AW55" s="1329" t="s">
        <v>844</v>
      </c>
      <c r="AX55" s="1330"/>
      <c r="AY55" s="1330"/>
      <c r="AZ55" s="1332">
        <f>IFERROR(AVERAGEIF($AW$66:$AW$65587,$AW$67,AZ$66:AZ$65587),"-")</f>
        <v>5.3076166190276518E-2</v>
      </c>
      <c r="BA55" s="1333">
        <f>IFERROR(AVERAGEIF($AW$66:$AW$65587,$AW$67,BA$66:BA$65587),"-")</f>
        <v>4.3491710483565489E-2</v>
      </c>
      <c r="BB55" s="1333">
        <f>IFERROR(AVERAGEIF($AW$66:$AW$65587,$AW$67,BB$66:BB$65587),"-")</f>
        <v>-6.7198226751197694E-3</v>
      </c>
      <c r="BC55" s="1333">
        <f t="shared" ref="BC55:BQ55" si="26">IFERROR(AVERAGEIF($AW$66:$AW$65587,$AW$67,BC$66:BC$65587),"-")</f>
        <v>1.1773999432260877E-2</v>
      </c>
      <c r="BD55" s="1333">
        <f t="shared" si="26"/>
        <v>3.0737644693054771E-2</v>
      </c>
      <c r="BE55" s="1333">
        <f t="shared" si="26"/>
        <v>-4.2998847235439959E-2</v>
      </c>
      <c r="BF55" s="1333">
        <f t="shared" si="26"/>
        <v>8.0402072431589214E-2</v>
      </c>
      <c r="BG55" s="1334">
        <f t="shared" si="26"/>
        <v>2.5334998156736543E-3</v>
      </c>
      <c r="BH55" s="1335">
        <f t="shared" si="26"/>
        <v>-3.6495901047810961E-2</v>
      </c>
      <c r="BI55" s="1333">
        <f t="shared" si="26"/>
        <v>6.9958246317296481E-3</v>
      </c>
      <c r="BJ55" s="1333">
        <f t="shared" si="26"/>
        <v>6.1655870802053148E-3</v>
      </c>
      <c r="BK55" s="1333">
        <f t="shared" si="26"/>
        <v>8.3522405216612163E-3</v>
      </c>
      <c r="BL55" s="1334">
        <f t="shared" si="26"/>
        <v>5.7552104744137671E-3</v>
      </c>
      <c r="BM55" s="1333">
        <f t="shared" si="26"/>
        <v>6.9125527591927718E-3</v>
      </c>
      <c r="BN55" s="1333">
        <f t="shared" si="26"/>
        <v>8.5624109810081318E-3</v>
      </c>
      <c r="BO55" s="1333">
        <f t="shared" si="26"/>
        <v>9.2230642682056795E-3</v>
      </c>
      <c r="BP55" s="1333">
        <f t="shared" si="26"/>
        <v>1.7371058005034763E-2</v>
      </c>
      <c r="BQ55" s="1336">
        <f t="shared" si="26"/>
        <v>7.4336970626811038E-3</v>
      </c>
      <c r="BX55" s="1329" t="s">
        <v>844</v>
      </c>
      <c r="BY55" s="1330"/>
      <c r="BZ55" s="1331"/>
      <c r="CA55" s="1338">
        <f>SUMIF($BX$66:$BX$65587,$BX$67,CA$66:CA$65587)</f>
        <v>2.7427086399178995E-2</v>
      </c>
      <c r="CB55" s="1338">
        <f>SUMIF($BX$66:$BX$65587,$BX$67,CB$66:CB$65587)</f>
        <v>-6.206885143917127E-3</v>
      </c>
      <c r="CC55" s="1338">
        <f>SUMIF($BX$66:$BX$65587,$BX$67,CC$66:CC$65587)</f>
        <v>-2.2663694806319648E-2</v>
      </c>
      <c r="CD55" s="1338">
        <f>SUMIF($BX$66:$BX$65587,$BX$67,CD$66:CD$65587)</f>
        <v>-2.4554931920300876E-2</v>
      </c>
      <c r="CE55" s="1338">
        <f t="shared" ref="CE55:CR55" si="27">SUMIF($BX$66:$BX$65587,$BX$67,CE$66:CE$65587)</f>
        <v>2.2453522112057346E-2</v>
      </c>
      <c r="CF55" s="1338">
        <f t="shared" si="27"/>
        <v>4.1018889673735667E-2</v>
      </c>
      <c r="CG55" s="1338">
        <f t="shared" si="27"/>
        <v>5.4858159003765665E-2</v>
      </c>
      <c r="CH55" s="1339">
        <f t="shared" si="27"/>
        <v>-2.4017304323723784E-2</v>
      </c>
      <c r="CI55" s="1340">
        <f t="shared" si="27"/>
        <v>2.2444868510376609E-2</v>
      </c>
      <c r="CJ55" s="1338">
        <f t="shared" si="27"/>
        <v>1.1143982127474555E-2</v>
      </c>
      <c r="CK55" s="1338">
        <f t="shared" si="27"/>
        <v>1.1244571287355164E-2</v>
      </c>
      <c r="CL55" s="1338">
        <f t="shared" si="27"/>
        <v>1.1502013587676066E-2</v>
      </c>
      <c r="CM55" s="1339">
        <f t="shared" si="27"/>
        <v>1.1396041057063841E-2</v>
      </c>
      <c r="CN55" s="1338">
        <f t="shared" si="27"/>
        <v>1.1571979113334987E-2</v>
      </c>
      <c r="CO55" s="1338">
        <f t="shared" si="27"/>
        <v>1.1830051893938823E-2</v>
      </c>
      <c r="CP55" s="1338">
        <f t="shared" si="27"/>
        <v>1.1711664702529028E-2</v>
      </c>
      <c r="CQ55" s="1338">
        <f t="shared" si="27"/>
        <v>1.2205221061906264E-2</v>
      </c>
      <c r="CR55" s="1341">
        <f t="shared" si="27"/>
        <v>1.1847183296608145E-2</v>
      </c>
      <c r="CU55" s="686"/>
      <c r="DH55" s="686"/>
    </row>
    <row r="56" spans="5:122" ht="12.75" thickBot="1">
      <c r="E56" s="684" t="s">
        <v>37</v>
      </c>
      <c r="I56" s="74" t="str">
        <f>I39</f>
        <v>$m, 01/01/26</v>
      </c>
      <c r="K56" s="400"/>
      <c r="L56" s="401"/>
      <c r="M56" s="401"/>
      <c r="N56" s="400"/>
      <c r="O56" s="437"/>
      <c r="P56" s="437">
        <v>6.5423999999999996E-2</v>
      </c>
      <c r="Q56" s="438">
        <v>9.2981999999999995E-2</v>
      </c>
      <c r="R56" s="438">
        <v>0.136628</v>
      </c>
      <c r="S56" s="438">
        <v>0.13406999999999999</v>
      </c>
      <c r="T56" s="438">
        <v>0.53445699999999996</v>
      </c>
      <c r="U56" s="438">
        <v>0.22079399999999999</v>
      </c>
      <c r="V56" s="438">
        <v>0.29289199999999999</v>
      </c>
      <c r="W56" s="438">
        <v>0</v>
      </c>
      <c r="X56" s="437"/>
      <c r="Y56" s="438"/>
      <c r="Z56" s="438"/>
      <c r="AA56" s="438"/>
      <c r="AB56" s="438"/>
      <c r="AC56" s="437"/>
      <c r="AD56" s="438"/>
      <c r="AE56" s="438"/>
      <c r="AF56" s="438"/>
      <c r="AG56" s="439"/>
      <c r="AH56" s="666"/>
      <c r="AI56" s="666"/>
      <c r="AJ56" s="74"/>
      <c r="AK56" s="74"/>
      <c r="AL56" s="74"/>
      <c r="AM56" s="74"/>
      <c r="AN56" s="74"/>
      <c r="AO56" s="74"/>
      <c r="AP56" s="74"/>
      <c r="AQ56" s="74"/>
      <c r="AR56" s="74"/>
      <c r="AS56" s="74"/>
      <c r="AT56" s="74"/>
      <c r="AV56" s="74"/>
      <c r="AW56" s="182" t="s">
        <v>68</v>
      </c>
      <c r="AX56" s="183"/>
      <c r="AY56" s="183"/>
      <c r="AZ56" s="1342">
        <f>IFERROR(AVERAGEIF($AW$66:$AW$65587,$AW$68,AZ$66:AZ$65587),"-")</f>
        <v>5.66765158342648E-2</v>
      </c>
      <c r="BA56" s="1343">
        <f>IFERROR(AVERAGEIF($AW$66:$AW$65587,$AW$68,BA$66:BA$65587),"-")</f>
        <v>-0.22293126750424092</v>
      </c>
      <c r="BB56" s="1343">
        <f>IFERROR(AVERAGEIF($AW$66:$AW$65587,$AW$68,BB$66:BB$65587),"-")</f>
        <v>-4.8127300515087186E-2</v>
      </c>
      <c r="BC56" s="1343">
        <f t="shared" ref="BC56:BQ56" si="28">IFERROR(AVERAGEIF($AW$66:$AW$65587,$AW$68,BC$66:BC$65587),"-")</f>
        <v>-1.0056409659239157E-2</v>
      </c>
      <c r="BD56" s="1343">
        <f t="shared" si="28"/>
        <v>0.21343368342392904</v>
      </c>
      <c r="BE56" s="1343">
        <f t="shared" si="28"/>
        <v>-4.7204953522560947E-2</v>
      </c>
      <c r="BF56" s="1343">
        <f t="shared" si="28"/>
        <v>-0.4271459095901764</v>
      </c>
      <c r="BG56" s="1344">
        <f t="shared" si="28"/>
        <v>-6.2519310386960875E-2</v>
      </c>
      <c r="BH56" s="1345">
        <f t="shared" si="28"/>
        <v>9.877534515818491E-2</v>
      </c>
      <c r="BI56" s="1343">
        <f t="shared" si="28"/>
        <v>6.5638351756056909E-2</v>
      </c>
      <c r="BJ56" s="1343">
        <f t="shared" si="28"/>
        <v>6.4168376766882612E-2</v>
      </c>
      <c r="BK56" s="1343">
        <f t="shared" si="28"/>
        <v>6.5948178319006151E-2</v>
      </c>
      <c r="BL56" s="1344">
        <f t="shared" si="28"/>
        <v>6.2707337898991647E-2</v>
      </c>
      <c r="BM56" s="1343">
        <f t="shared" si="28"/>
        <v>2.2093922834109124E-2</v>
      </c>
      <c r="BN56" s="1343">
        <f t="shared" si="28"/>
        <v>2.3770178787473482E-2</v>
      </c>
      <c r="BO56" s="1343">
        <f t="shared" si="28"/>
        <v>2.4441402527266232E-2</v>
      </c>
      <c r="BP56" s="1343">
        <f t="shared" si="28"/>
        <v>3.2719764163884557E-2</v>
      </c>
      <c r="BQ56" s="1346">
        <f t="shared" si="28"/>
        <v>2.2623405446453224E-2</v>
      </c>
      <c r="BX56" s="182" t="s">
        <v>68</v>
      </c>
      <c r="BY56" s="183"/>
      <c r="BZ56" s="186"/>
      <c r="CA56" s="1348">
        <f>SUMIF($BX$66:$BX$65587,$BX$68,CA$66:CA$65587)</f>
        <v>3.1779855813238625E-2</v>
      </c>
      <c r="CB56" s="1348">
        <f>SUMIF($BX$66:$BX$65587,$BX$68,CB$66:CB$65587)</f>
        <v>-1.7726709779291968E-2</v>
      </c>
      <c r="CC56" s="1348">
        <f>SUMIF($BX$66:$BX$65587,$BX$68,CC$66:CC$65587)</f>
        <v>-1.8210017267533032E-2</v>
      </c>
      <c r="CD56" s="1348">
        <f>SUMIF($BX$66:$BX$65587,$BX$68,CD$66:CD$65587)</f>
        <v>-3.3826554081877111E-2</v>
      </c>
      <c r="CE56" s="1348">
        <f t="shared" ref="CE56:CR56" si="29">SUMIF($BX$66:$BX$65587,$BX$68,CE$66:CE$65587)</f>
        <v>3.548038050153153E-2</v>
      </c>
      <c r="CF56" s="1348">
        <f t="shared" si="29"/>
        <v>5.0614992382732281E-2</v>
      </c>
      <c r="CG56" s="1348">
        <f t="shared" si="29"/>
        <v>4.7565337857318438E-2</v>
      </c>
      <c r="CH56" s="1349">
        <f t="shared" si="29"/>
        <v>-1.7926882402577702E-2</v>
      </c>
      <c r="CI56" s="1350">
        <f t="shared" si="29"/>
        <v>7.5736810181510392E-2</v>
      </c>
      <c r="CJ56" s="1348">
        <f t="shared" si="29"/>
        <v>6.3860161642279173E-2</v>
      </c>
      <c r="CK56" s="1348">
        <f t="shared" si="29"/>
        <v>6.3905594676223171E-2</v>
      </c>
      <c r="CL56" s="1348">
        <f t="shared" si="29"/>
        <v>6.4141539295041419E-2</v>
      </c>
      <c r="CM56" s="1349">
        <f t="shared" si="29"/>
        <v>6.3986582609430159E-2</v>
      </c>
      <c r="CN56" s="1348">
        <f t="shared" si="29"/>
        <v>2.7671987080882195E-2</v>
      </c>
      <c r="CO56" s="1348">
        <f t="shared" si="29"/>
        <v>2.7936077087975613E-2</v>
      </c>
      <c r="CP56" s="1348">
        <f t="shared" si="29"/>
        <v>2.7817656861007171E-2</v>
      </c>
      <c r="CQ56" s="1348">
        <f t="shared" si="29"/>
        <v>2.8320914631733432E-2</v>
      </c>
      <c r="CR56" s="1351">
        <f t="shared" si="29"/>
        <v>2.7958945053936243E-2</v>
      </c>
    </row>
    <row r="57" spans="5:122">
      <c r="K57" s="74"/>
      <c r="L57" s="74"/>
      <c r="M57" s="74"/>
      <c r="N57" s="74"/>
      <c r="O57" s="74"/>
      <c r="P57" s="74"/>
      <c r="Q57" s="74"/>
      <c r="R57" s="74"/>
      <c r="S57" s="74"/>
      <c r="T57" s="74"/>
      <c r="U57" s="74"/>
      <c r="V57" s="74"/>
      <c r="W57" s="74"/>
      <c r="AH57" s="677"/>
      <c r="AI57" s="694"/>
      <c r="AJ57" s="74"/>
      <c r="AK57" s="74"/>
      <c r="AL57" s="74"/>
      <c r="AM57" s="74"/>
      <c r="AN57" s="74"/>
      <c r="AO57" s="74"/>
      <c r="AP57" s="74"/>
      <c r="AQ57" s="74"/>
      <c r="AR57" s="74"/>
      <c r="AS57" s="74"/>
      <c r="AT57" s="74"/>
      <c r="AV57" s="74"/>
      <c r="AW57" s="1316" t="s">
        <v>845</v>
      </c>
      <c r="AX57" s="1317"/>
      <c r="AY57" s="1317"/>
      <c r="AZ57" s="1324"/>
      <c r="BA57" s="1325"/>
      <c r="BB57" s="1325"/>
      <c r="BC57" s="1325"/>
      <c r="BD57" s="1325"/>
      <c r="BE57" s="1325"/>
      <c r="BF57" s="1325"/>
      <c r="BG57" s="1321">
        <f>IFERROR(AVERAGE(BC54:BG54),"-")</f>
        <v>-8.103584250028753E-2</v>
      </c>
      <c r="BH57" s="1327"/>
      <c r="BI57" s="1325"/>
      <c r="BJ57" s="1325"/>
      <c r="BK57" s="1325"/>
      <c r="BL57" s="1321">
        <f>IFERROR(AVERAGE(BH54:BL54),"-")</f>
        <v>5.7574433140094208E-2</v>
      </c>
      <c r="BM57" s="1325"/>
      <c r="BN57" s="1325"/>
      <c r="BO57" s="1325"/>
      <c r="BP57" s="1325"/>
      <c r="BQ57" s="1323">
        <f>IFERROR(AVERAGE(BM54:BQ54),"-")</f>
        <v>1.5094339622641523E-2</v>
      </c>
      <c r="BX57" s="1316" t="s">
        <v>846</v>
      </c>
      <c r="BY57" s="1317"/>
      <c r="BZ57" s="1318"/>
      <c r="CA57" s="1325"/>
      <c r="CB57" s="1325"/>
      <c r="CC57" s="1325"/>
      <c r="CD57" s="1325"/>
      <c r="CE57" s="1325"/>
      <c r="CF57" s="1325"/>
      <c r="CG57" s="1325"/>
      <c r="CH57" s="1326">
        <f>AVERAGE(CD54:CH54)</f>
        <v>2.4185521120732795E-3</v>
      </c>
      <c r="CI57" s="1327"/>
      <c r="CJ57" s="1325"/>
      <c r="CK57" s="1325"/>
      <c r="CL57" s="1325"/>
      <c r="CM57" s="1326">
        <f>AVERAGE(CI54:CM54)</f>
        <v>5.2000973135499159E-2</v>
      </c>
      <c r="CN57" s="1325"/>
      <c r="CO57" s="1325"/>
      <c r="CP57" s="1325"/>
      <c r="CQ57" s="1325"/>
      <c r="CR57" s="1328">
        <f>AVERAGE(CN54:CR54)</f>
        <v>1.5918966068536249E-2</v>
      </c>
    </row>
    <row r="58" spans="5:122">
      <c r="E58" s="695" t="s">
        <v>377</v>
      </c>
      <c r="F58" s="232"/>
      <c r="G58" s="232"/>
      <c r="I58" s="74" t="str">
        <f>I56</f>
        <v>$m, 01/01/26</v>
      </c>
      <c r="K58" s="349"/>
      <c r="L58" s="349"/>
      <c r="M58" s="349"/>
      <c r="N58" s="349"/>
      <c r="O58" s="349"/>
      <c r="P58" s="349"/>
      <c r="S58" s="379"/>
      <c r="T58" s="379"/>
      <c r="U58" s="1730"/>
      <c r="V58" s="1731"/>
      <c r="W58" s="1731" t="s">
        <v>620</v>
      </c>
      <c r="X58" s="437"/>
      <c r="Y58" s="438"/>
      <c r="Z58" s="438"/>
      <c r="AA58" s="438"/>
      <c r="AB58" s="438"/>
      <c r="AC58" s="437"/>
      <c r="AD58" s="438"/>
      <c r="AE58" s="438"/>
      <c r="AF58" s="438"/>
      <c r="AG58" s="439"/>
      <c r="AH58" s="74"/>
      <c r="AI58" s="666"/>
      <c r="AJ58" s="74"/>
      <c r="AK58" s="74"/>
      <c r="AL58" s="74"/>
      <c r="AM58" s="74"/>
      <c r="AN58" s="74"/>
      <c r="AO58" s="74"/>
      <c r="AP58" s="74"/>
      <c r="AQ58" s="74"/>
      <c r="AR58" s="74"/>
      <c r="AS58" s="74"/>
      <c r="AT58" s="74"/>
      <c r="AV58" s="74"/>
      <c r="AW58" s="1329" t="s">
        <v>847</v>
      </c>
      <c r="AX58" s="1330"/>
      <c r="AY58" s="1330"/>
      <c r="AZ58" s="1337"/>
      <c r="BA58" s="1338"/>
      <c r="BB58" s="1338"/>
      <c r="BC58" s="1338"/>
      <c r="BD58" s="1338"/>
      <c r="BE58" s="1338"/>
      <c r="BF58" s="1338"/>
      <c r="BG58" s="1334">
        <f>IFERROR(AVERAGE(BC55:BG55),"-")</f>
        <v>1.6489673827427713E-2</v>
      </c>
      <c r="BH58" s="1340"/>
      <c r="BI58" s="1338"/>
      <c r="BJ58" s="1338"/>
      <c r="BK58" s="1338"/>
      <c r="BL58" s="1334">
        <f>IFERROR(AVERAGE(BH55:BL55),"-")</f>
        <v>-1.8454076679602026E-3</v>
      </c>
      <c r="BM58" s="1338"/>
      <c r="BN58" s="1338"/>
      <c r="BO58" s="1338"/>
      <c r="BP58" s="1338"/>
      <c r="BQ58" s="1336">
        <f>IFERROR(AVERAGE(BM55:BQ55),"-")</f>
        <v>9.9005566152244907E-3</v>
      </c>
      <c r="BX58" s="1329" t="s">
        <v>848</v>
      </c>
      <c r="BY58" s="1330"/>
      <c r="BZ58" s="1331"/>
      <c r="CA58" s="1338"/>
      <c r="CB58" s="1338"/>
      <c r="CC58" s="1338"/>
      <c r="CD58" s="1338"/>
      <c r="CE58" s="1338"/>
      <c r="CF58" s="1338"/>
      <c r="CG58" s="1338"/>
      <c r="CH58" s="1339">
        <f>AVERAGE(CD55:CH55)</f>
        <v>1.3951666909106802E-2</v>
      </c>
      <c r="CI58" s="1340"/>
      <c r="CJ58" s="1338"/>
      <c r="CK58" s="1338"/>
      <c r="CL58" s="1338"/>
      <c r="CM58" s="1339">
        <f>AVERAGE(CI55:CM55)</f>
        <v>1.3546295313989246E-2</v>
      </c>
      <c r="CN58" s="1338"/>
      <c r="CO58" s="1338"/>
      <c r="CP58" s="1338"/>
      <c r="CQ58" s="1338"/>
      <c r="CR58" s="1341">
        <f>AVERAGE(CN55:CR55)</f>
        <v>1.1833220013663449E-2</v>
      </c>
      <c r="CU58" s="232"/>
      <c r="DH58" s="232"/>
    </row>
    <row r="59" spans="5:122" ht="12.75" thickBot="1">
      <c r="N59" s="232"/>
      <c r="O59" s="232"/>
      <c r="P59" s="232"/>
      <c r="Q59" s="232"/>
      <c r="R59" s="232"/>
      <c r="S59" s="696"/>
      <c r="T59" s="696"/>
      <c r="U59" s="696"/>
      <c r="V59" s="696"/>
      <c r="W59" s="696"/>
      <c r="X59" s="399" t="str">
        <f>+IF(X58&gt;0,"CHECK","")</f>
        <v/>
      </c>
      <c r="Y59" s="399" t="str">
        <f t="shared" ref="Y59:AG59" si="30">+IF(Y58&gt;0,"CHECK","")</f>
        <v/>
      </c>
      <c r="Z59" s="399" t="str">
        <f t="shared" si="30"/>
        <v/>
      </c>
      <c r="AA59" s="399" t="str">
        <f t="shared" si="30"/>
        <v/>
      </c>
      <c r="AB59" s="399" t="str">
        <f t="shared" si="30"/>
        <v/>
      </c>
      <c r="AC59" s="399" t="str">
        <f t="shared" si="30"/>
        <v/>
      </c>
      <c r="AD59" s="399" t="str">
        <f t="shared" si="30"/>
        <v/>
      </c>
      <c r="AE59" s="399" t="str">
        <f t="shared" si="30"/>
        <v/>
      </c>
      <c r="AF59" s="399" t="str">
        <f t="shared" si="30"/>
        <v/>
      </c>
      <c r="AG59" s="399" t="str">
        <f t="shared" si="30"/>
        <v/>
      </c>
      <c r="AH59" s="697"/>
      <c r="AI59" s="698"/>
      <c r="AJ59" s="699"/>
      <c r="AK59" s="666"/>
      <c r="AL59" s="666"/>
      <c r="AM59" s="74"/>
      <c r="AN59" s="74"/>
      <c r="AO59" s="666"/>
      <c r="AP59" s="74"/>
      <c r="AQ59" s="74"/>
      <c r="AR59" s="74"/>
      <c r="AS59" s="74"/>
      <c r="AT59" s="74"/>
      <c r="AV59" s="74"/>
      <c r="AW59" s="182" t="s">
        <v>849</v>
      </c>
      <c r="AX59" s="183"/>
      <c r="AY59" s="183"/>
      <c r="AZ59" s="1347"/>
      <c r="BA59" s="1348"/>
      <c r="BB59" s="1348"/>
      <c r="BC59" s="1348"/>
      <c r="BD59" s="1348"/>
      <c r="BE59" s="1348"/>
      <c r="BF59" s="1348"/>
      <c r="BG59" s="1344">
        <f>IFERROR(AVERAGE(BC56:BG56),"-")</f>
        <v>-6.6698579947001652E-2</v>
      </c>
      <c r="BH59" s="1350"/>
      <c r="BI59" s="1348"/>
      <c r="BJ59" s="1348"/>
      <c r="BK59" s="1348"/>
      <c r="BL59" s="1344">
        <f>IFERROR(AVERAGE(BH56:BL56),"-")</f>
        <v>7.1447517979824446E-2</v>
      </c>
      <c r="BM59" s="1348"/>
      <c r="BN59" s="1348"/>
      <c r="BO59" s="1348"/>
      <c r="BP59" s="1348"/>
      <c r="BQ59" s="1346">
        <f>IFERROR(AVERAGE(BM56:BQ56),"-")</f>
        <v>2.5129734751837322E-2</v>
      </c>
      <c r="BS59" s="232"/>
      <c r="BT59" s="232"/>
      <c r="BU59" s="232"/>
      <c r="BV59" s="232"/>
      <c r="BX59" s="182" t="s">
        <v>850</v>
      </c>
      <c r="BY59" s="183"/>
      <c r="BZ59" s="186"/>
      <c r="CA59" s="1348"/>
      <c r="CB59" s="1348"/>
      <c r="CC59" s="1348"/>
      <c r="CD59" s="1348"/>
      <c r="CE59" s="1348"/>
      <c r="CF59" s="1348"/>
      <c r="CG59" s="1348"/>
      <c r="CH59" s="1349">
        <f>AVERAGE(CD56:CH56)</f>
        <v>1.6381454851425486E-2</v>
      </c>
      <c r="CI59" s="1350"/>
      <c r="CJ59" s="1348"/>
      <c r="CK59" s="1348"/>
      <c r="CL59" s="1348"/>
      <c r="CM59" s="1349">
        <f>AVERAGE(CI56:CM56)</f>
        <v>6.632613768089686E-2</v>
      </c>
      <c r="CN59" s="1348"/>
      <c r="CO59" s="1348"/>
      <c r="CP59" s="1348"/>
      <c r="CQ59" s="1348"/>
      <c r="CR59" s="1351">
        <f>AVERAGE(CN56:CR56)</f>
        <v>2.7941116143106931E-2</v>
      </c>
      <c r="CU59" s="232"/>
      <c r="CV59" s="232"/>
      <c r="CW59" s="232"/>
      <c r="CX59" s="232"/>
      <c r="CY59" s="232"/>
      <c r="CZ59" s="232"/>
      <c r="DA59" s="232"/>
      <c r="DB59" s="232"/>
      <c r="DC59" s="232"/>
      <c r="DD59" s="232"/>
      <c r="DE59" s="232"/>
      <c r="DH59" s="232"/>
      <c r="DI59" s="232"/>
      <c r="DJ59" s="232"/>
      <c r="DK59" s="232"/>
      <c r="DL59" s="232"/>
      <c r="DM59" s="232"/>
      <c r="DN59" s="232"/>
      <c r="DO59" s="232"/>
      <c r="DP59" s="232"/>
      <c r="DQ59" s="232"/>
      <c r="DR59" s="232"/>
    </row>
    <row r="60" spans="5:122">
      <c r="E60" s="684" t="s">
        <v>38</v>
      </c>
      <c r="I60" s="74" t="str">
        <f>I58</f>
        <v>$m, 01/01/26</v>
      </c>
      <c r="X60" s="379"/>
      <c r="Y60" s="379"/>
      <c r="Z60" s="379"/>
      <c r="AA60" s="379"/>
      <c r="AB60" s="379"/>
      <c r="AF60" s="700"/>
      <c r="AG60" s="700"/>
      <c r="AH60" s="665"/>
      <c r="AK60" s="701"/>
      <c r="AL60" s="701"/>
      <c r="AM60" s="701"/>
      <c r="AN60" s="701"/>
      <c r="AO60" s="701"/>
      <c r="AP60" s="701"/>
      <c r="AQ60" s="74"/>
      <c r="AR60" s="74"/>
      <c r="AS60" s="74"/>
      <c r="AT60" s="74"/>
      <c r="AV60" s="74"/>
      <c r="BX60" s="113"/>
      <c r="BY60" s="113"/>
      <c r="BZ60" s="1352" t="s">
        <v>691</v>
      </c>
      <c r="CA60" s="1353">
        <f>IFERROR((P13/O13-1)-CA56,"-")</f>
        <v>-5.8353276371338053E-3</v>
      </c>
      <c r="CB60" s="1353">
        <f>IFERROR((Q13/P13-1)-CB56,"-")</f>
        <v>-5.0306980803327406E-16</v>
      </c>
      <c r="CC60" s="1353">
        <f>IFERROR((R13/Q13-1)-CC56,"-")</f>
        <v>-9.7144514654701197E-17</v>
      </c>
      <c r="CD60" s="1353">
        <f t="shared" ref="CD60:CR60" si="31">IFERROR((S13/R13-1)-CD56,"-")</f>
        <v>8.1878948066105295E-16</v>
      </c>
      <c r="CE60" s="1353">
        <f t="shared" si="31"/>
        <v>-4.0245584642661925E-16</v>
      </c>
      <c r="CF60" s="1353">
        <f t="shared" si="31"/>
        <v>9.0205620750793969E-17</v>
      </c>
      <c r="CG60" s="1353">
        <f t="shared" si="31"/>
        <v>-1.3877787807814457E-17</v>
      </c>
      <c r="CH60" s="1353">
        <f t="shared" si="31"/>
        <v>-7.9797279894933126E-17</v>
      </c>
      <c r="CI60" s="1353">
        <f t="shared" si="31"/>
        <v>-4.163336342344337E-17</v>
      </c>
      <c r="CJ60" s="1353">
        <f t="shared" si="31"/>
        <v>1.9428902930940239E-16</v>
      </c>
      <c r="CK60" s="1353">
        <f t="shared" si="31"/>
        <v>8.3266726846886741E-17</v>
      </c>
      <c r="CL60" s="1353">
        <f t="shared" si="31"/>
        <v>9.7144514654701197E-17</v>
      </c>
      <c r="CM60" s="1353">
        <f t="shared" si="31"/>
        <v>-2.7755575615628914E-17</v>
      </c>
      <c r="CN60" s="1353">
        <f t="shared" si="31"/>
        <v>-5.2041704279304213E-17</v>
      </c>
      <c r="CO60" s="1353">
        <f t="shared" si="31"/>
        <v>5.7245874707234634E-16</v>
      </c>
      <c r="CP60" s="1353">
        <f t="shared" si="31"/>
        <v>-4.9266146717741321E-16</v>
      </c>
      <c r="CQ60" s="1353">
        <f t="shared" si="31"/>
        <v>1.5265566588595902E-16</v>
      </c>
      <c r="CR60" s="1353">
        <f t="shared" si="31"/>
        <v>-9.7144514654701197E-17</v>
      </c>
    </row>
    <row r="61" spans="5:122" ht="12.75" thickBot="1">
      <c r="E61" s="684"/>
      <c r="I61" s="74"/>
      <c r="X61" s="379"/>
      <c r="Y61" s="379"/>
      <c r="Z61" s="379"/>
      <c r="AA61" s="379"/>
      <c r="AB61" s="379"/>
      <c r="AF61" s="700"/>
      <c r="AG61" s="700"/>
      <c r="AH61" s="665"/>
      <c r="AK61" s="701"/>
      <c r="AL61" s="701"/>
      <c r="AM61" s="701"/>
      <c r="AN61" s="701"/>
      <c r="AO61" s="701"/>
      <c r="AP61" s="701"/>
      <c r="AQ61" s="74"/>
      <c r="AR61" s="74"/>
      <c r="AS61" s="74"/>
      <c r="AT61" s="74"/>
      <c r="AV61" s="74"/>
      <c r="BX61" s="113"/>
      <c r="BY61" s="113"/>
      <c r="BZ61" s="113"/>
      <c r="CA61" s="113"/>
      <c r="CB61" s="113"/>
      <c r="CC61" s="113"/>
      <c r="CD61" s="113"/>
      <c r="CE61" s="113"/>
      <c r="CF61" s="113"/>
      <c r="CG61" s="113"/>
      <c r="CH61" s="113"/>
      <c r="CI61" s="113"/>
      <c r="CJ61" s="113"/>
      <c r="CK61" s="113"/>
      <c r="CL61" s="113"/>
      <c r="CM61" s="113"/>
      <c r="CN61" s="113"/>
      <c r="CO61" s="113"/>
      <c r="CP61" s="113"/>
      <c r="CQ61" s="113"/>
      <c r="CR61" s="113"/>
      <c r="CW61" s="1051">
        <v>2</v>
      </c>
      <c r="CX61" s="1051">
        <f>CW61+1</f>
        <v>3</v>
      </c>
      <c r="CY61" s="1051">
        <f t="shared" ref="CY61:DE61" si="32">CX61+1</f>
        <v>4</v>
      </c>
      <c r="CZ61" s="1051">
        <f t="shared" si="32"/>
        <v>5</v>
      </c>
      <c r="DA61" s="1051">
        <f t="shared" si="32"/>
        <v>6</v>
      </c>
      <c r="DB61" s="1051">
        <f t="shared" si="32"/>
        <v>7</v>
      </c>
      <c r="DC61" s="1051">
        <f t="shared" si="32"/>
        <v>8</v>
      </c>
      <c r="DD61" s="1051">
        <f t="shared" si="32"/>
        <v>9</v>
      </c>
      <c r="DE61" s="1051">
        <f t="shared" si="32"/>
        <v>10</v>
      </c>
      <c r="DK61" s="1051">
        <v>2</v>
      </c>
      <c r="DL61" s="1051">
        <f>DK61+1</f>
        <v>3</v>
      </c>
      <c r="DM61" s="1051">
        <f t="shared" ref="DM61:DR61" si="33">DL61+1</f>
        <v>4</v>
      </c>
      <c r="DN61" s="1051">
        <f t="shared" si="33"/>
        <v>5</v>
      </c>
      <c r="DO61" s="1051">
        <f t="shared" si="33"/>
        <v>6</v>
      </c>
      <c r="DP61" s="1051">
        <f t="shared" si="33"/>
        <v>7</v>
      </c>
      <c r="DQ61" s="1051">
        <f t="shared" si="33"/>
        <v>8</v>
      </c>
      <c r="DR61" s="1051">
        <f t="shared" si="33"/>
        <v>9</v>
      </c>
    </row>
    <row r="62" spans="5:122" ht="12.75" thickBot="1">
      <c r="E62" s="684"/>
      <c r="F62" s="1354" t="s">
        <v>977</v>
      </c>
      <c r="I62" s="74"/>
      <c r="O62" s="440"/>
      <c r="P62" s="437"/>
      <c r="Q62" s="438"/>
      <c r="R62" s="438"/>
      <c r="S62" s="438"/>
      <c r="T62" s="438"/>
      <c r="U62" s="438"/>
      <c r="V62" s="438"/>
      <c r="W62" s="439"/>
      <c r="X62" s="1978" t="s">
        <v>978</v>
      </c>
      <c r="Y62" s="1730"/>
      <c r="Z62" s="1730"/>
      <c r="AA62" s="379"/>
      <c r="AB62" s="379"/>
      <c r="AF62" s="700"/>
      <c r="AG62" s="700"/>
      <c r="AH62" s="665"/>
      <c r="AK62" s="701"/>
      <c r="AL62" s="701"/>
      <c r="AM62" s="701"/>
      <c r="AN62" s="701"/>
      <c r="AO62" s="701"/>
      <c r="AP62" s="701"/>
      <c r="AQ62" s="74"/>
      <c r="AR62" s="74"/>
      <c r="AS62" s="74"/>
      <c r="AT62" s="74"/>
      <c r="AV62" s="74"/>
      <c r="AX62" s="1354"/>
      <c r="AY62" s="1355"/>
      <c r="AZ62" s="2266" t="s">
        <v>851</v>
      </c>
      <c r="BA62" s="2267"/>
      <c r="BB62" s="2267"/>
      <c r="BC62" s="2267"/>
      <c r="BD62" s="2267"/>
      <c r="BE62" s="2267"/>
      <c r="BF62" s="2267"/>
      <c r="BG62" s="2267"/>
      <c r="BH62" s="2267"/>
      <c r="BI62" s="2267"/>
      <c r="BJ62" s="2267"/>
      <c r="BK62" s="2267"/>
      <c r="BL62" s="2267"/>
      <c r="BM62" s="2267"/>
      <c r="BN62" s="2267"/>
      <c r="BO62" s="2267"/>
      <c r="BP62" s="2267"/>
      <c r="BQ62" s="2268"/>
      <c r="BS62" s="2259" t="s">
        <v>852</v>
      </c>
      <c r="BT62" s="2260"/>
      <c r="BU62" s="2260"/>
      <c r="BV62" s="2261"/>
      <c r="BY62" s="1354"/>
      <c r="BZ62" s="1355"/>
      <c r="CA62" s="1968"/>
      <c r="CB62" s="1968"/>
      <c r="CC62" s="1968"/>
      <c r="CD62" s="1968"/>
      <c r="CE62" s="1969"/>
      <c r="CF62" s="1969"/>
      <c r="CG62" s="1969"/>
      <c r="CH62" s="1969"/>
      <c r="CI62" s="1969"/>
      <c r="CJ62" s="1968" t="s">
        <v>853</v>
      </c>
      <c r="CK62" s="1969"/>
      <c r="CL62" s="1969"/>
      <c r="CM62" s="1969"/>
      <c r="CN62" s="1969"/>
      <c r="CO62" s="1969"/>
      <c r="CP62" s="1969"/>
      <c r="CQ62" s="1969"/>
      <c r="CR62" s="1970"/>
      <c r="CU62" s="1354"/>
      <c r="CV62" s="1355"/>
      <c r="CW62" s="1962"/>
      <c r="CX62" s="1963"/>
      <c r="CY62" s="1963"/>
      <c r="CZ62" s="1972" t="s">
        <v>1095</v>
      </c>
      <c r="DA62" s="1963"/>
      <c r="DB62" s="1963"/>
      <c r="DC62" s="1963"/>
      <c r="DD62" s="1963"/>
      <c r="DE62" s="1964"/>
      <c r="DH62" s="1354"/>
      <c r="DI62" s="1355"/>
      <c r="DJ62" s="1355"/>
      <c r="DK62" s="2259" t="s">
        <v>1096</v>
      </c>
      <c r="DL62" s="2260"/>
      <c r="DM62" s="2260"/>
      <c r="DN62" s="2260"/>
      <c r="DO62" s="2260"/>
      <c r="DP62" s="2260"/>
      <c r="DQ62" s="2260"/>
      <c r="DR62" s="2261"/>
    </row>
    <row r="63" spans="5:122" ht="12.75" thickBot="1">
      <c r="E63" s="684"/>
      <c r="I63" s="74"/>
      <c r="X63" s="379"/>
      <c r="Y63" s="379"/>
      <c r="Z63" s="379"/>
      <c r="AA63" s="379"/>
      <c r="AB63" s="379"/>
      <c r="AF63" s="700"/>
      <c r="AG63" s="700"/>
      <c r="AH63" s="665"/>
      <c r="AK63" s="701"/>
      <c r="AL63" s="701"/>
      <c r="AM63" s="701"/>
      <c r="AN63" s="701"/>
      <c r="AO63" s="701"/>
      <c r="AP63" s="701"/>
      <c r="AQ63" s="74"/>
      <c r="AR63" s="74"/>
      <c r="AS63" s="74"/>
      <c r="AT63" s="74"/>
      <c r="AV63" s="74"/>
      <c r="AW63" s="684"/>
      <c r="AZ63" s="2238" t="s">
        <v>854</v>
      </c>
      <c r="BA63" s="2239"/>
      <c r="BB63" s="2239"/>
      <c r="BC63" s="2239"/>
      <c r="BD63" s="2239"/>
      <c r="BE63" s="2239"/>
      <c r="BF63" s="2265"/>
      <c r="BG63" s="2256" t="s">
        <v>855</v>
      </c>
      <c r="BH63" s="2257"/>
      <c r="BI63" s="2257"/>
      <c r="BJ63" s="2257"/>
      <c r="BK63" s="2257"/>
      <c r="BL63" s="2257"/>
      <c r="BM63" s="2257"/>
      <c r="BN63" s="2257"/>
      <c r="BO63" s="2257"/>
      <c r="BP63" s="2257"/>
      <c r="BQ63" s="2258"/>
      <c r="BR63" s="1050"/>
      <c r="BS63" s="2262"/>
      <c r="BT63" s="2263"/>
      <c r="BU63" s="2263"/>
      <c r="BV63" s="2264"/>
      <c r="BX63" s="684"/>
      <c r="CA63" s="2238" t="s">
        <v>854</v>
      </c>
      <c r="CB63" s="2239"/>
      <c r="CC63" s="2239"/>
      <c r="CD63" s="2239"/>
      <c r="CE63" s="2239"/>
      <c r="CF63" s="2239"/>
      <c r="CG63" s="2265"/>
      <c r="CH63" s="2256" t="s">
        <v>855</v>
      </c>
      <c r="CI63" s="2257"/>
      <c r="CJ63" s="2257"/>
      <c r="CK63" s="2257"/>
      <c r="CL63" s="2257"/>
      <c r="CM63" s="2257"/>
      <c r="CN63" s="2257"/>
      <c r="CO63" s="2257"/>
      <c r="CP63" s="2257"/>
      <c r="CQ63" s="2257"/>
      <c r="CR63" s="2258"/>
      <c r="CW63" s="1965"/>
      <c r="CX63" s="1966"/>
      <c r="CY63" s="1966"/>
      <c r="CZ63" s="1967"/>
      <c r="DA63" s="1966"/>
      <c r="DB63" s="1966"/>
      <c r="DC63" s="1966"/>
      <c r="DD63" s="1966"/>
      <c r="DE63" s="1967"/>
      <c r="DF63" s="1050"/>
      <c r="DK63" s="2262"/>
      <c r="DL63" s="2263"/>
      <c r="DM63" s="2263"/>
      <c r="DN63" s="2263"/>
      <c r="DO63" s="2263"/>
      <c r="DP63" s="2263"/>
      <c r="DQ63" s="2263"/>
      <c r="DR63" s="2264"/>
    </row>
    <row r="64" spans="5:122" ht="12.75" thickBot="1">
      <c r="AF64" s="702"/>
      <c r="AG64" s="700"/>
      <c r="AH64" s="665"/>
      <c r="AI64" s="703" t="s">
        <v>696</v>
      </c>
      <c r="AJ64" s="704"/>
      <c r="AK64" s="705"/>
      <c r="AL64" s="706" t="s">
        <v>334</v>
      </c>
      <c r="AM64" s="705"/>
      <c r="AN64" s="705"/>
      <c r="AO64" s="2247" t="s">
        <v>465</v>
      </c>
      <c r="AP64" s="2248"/>
      <c r="AQ64" s="2248"/>
      <c r="AR64" s="2248"/>
      <c r="AS64" s="2249"/>
      <c r="AT64" s="86"/>
      <c r="AV64" s="86"/>
      <c r="AZ64" s="2244" t="str">
        <f>T4</f>
        <v>FOURTH REG PERIOD</v>
      </c>
      <c r="BA64" s="2245"/>
      <c r="BB64" s="2245"/>
      <c r="BC64" s="2245"/>
      <c r="BD64" s="2245"/>
      <c r="BE64" s="2245"/>
      <c r="BF64" s="2245"/>
      <c r="BG64" s="2246"/>
      <c r="BH64" s="2250" t="str">
        <f>Z4</f>
        <v>FIFTH REG PERIOD</v>
      </c>
      <c r="BI64" s="2250"/>
      <c r="BJ64" s="2250"/>
      <c r="BK64" s="2250"/>
      <c r="BL64" s="2251"/>
      <c r="BM64" s="2252" t="str">
        <f>AE4</f>
        <v>SIXTH REG PERIOD</v>
      </c>
      <c r="BN64" s="2253"/>
      <c r="BO64" s="2253"/>
      <c r="BP64" s="2253"/>
      <c r="BQ64" s="2254"/>
      <c r="BR64" s="1050"/>
      <c r="BS64" s="1358" t="str">
        <f>AZ64</f>
        <v>FOURTH REG PERIOD</v>
      </c>
      <c r="BT64" s="1359" t="str">
        <f>BH64</f>
        <v>FIFTH REG PERIOD</v>
      </c>
      <c r="BU64" s="1359" t="str">
        <f>BM64</f>
        <v>SIXTH REG PERIOD</v>
      </c>
      <c r="BV64" s="1359" t="s">
        <v>1094</v>
      </c>
      <c r="CA64" s="2244" t="str">
        <f>BS64</f>
        <v>FOURTH REG PERIOD</v>
      </c>
      <c r="CB64" s="2245"/>
      <c r="CC64" s="2245"/>
      <c r="CD64" s="2245"/>
      <c r="CE64" s="2245"/>
      <c r="CF64" s="2245"/>
      <c r="CG64" s="2245"/>
      <c r="CH64" s="2246"/>
      <c r="CI64" s="2252" t="str">
        <f>BT64</f>
        <v>FIFTH REG PERIOD</v>
      </c>
      <c r="CJ64" s="2253"/>
      <c r="CK64" s="2253"/>
      <c r="CL64" s="2253"/>
      <c r="CM64" s="2255"/>
      <c r="CN64" s="2253" t="str">
        <f>BU64</f>
        <v>SIXTH REG PERIOD</v>
      </c>
      <c r="CO64" s="2253"/>
      <c r="CP64" s="2253"/>
      <c r="CQ64" s="2253"/>
      <c r="CR64" s="2254"/>
      <c r="CW64" s="2269" t="str">
        <f>CI64</f>
        <v>FIFTH REG PERIOD</v>
      </c>
      <c r="CX64" s="2250"/>
      <c r="CY64" s="2250"/>
      <c r="CZ64" s="2270"/>
      <c r="DA64" s="2250" t="str">
        <f>CN64</f>
        <v>SIXTH REG PERIOD</v>
      </c>
      <c r="DB64" s="2250"/>
      <c r="DC64" s="2250"/>
      <c r="DD64" s="2250"/>
      <c r="DE64" s="2270"/>
      <c r="DF64" s="1050"/>
      <c r="DK64" s="2269" t="str">
        <f>CW64</f>
        <v>FIFTH REG PERIOD</v>
      </c>
      <c r="DL64" s="2250"/>
      <c r="DM64" s="2250"/>
      <c r="DN64" s="2250"/>
      <c r="DO64" s="2271" t="str">
        <f>DA64</f>
        <v>SIXTH REG PERIOD</v>
      </c>
      <c r="DP64" s="2250"/>
      <c r="DQ64" s="2250"/>
      <c r="DR64" s="2270"/>
    </row>
    <row r="65" spans="4:122" ht="12.75" thickBot="1">
      <c r="E65" s="614" t="s">
        <v>39</v>
      </c>
      <c r="F65" s="614" t="s">
        <v>40</v>
      </c>
      <c r="G65" s="614" t="s">
        <v>218</v>
      </c>
      <c r="H65" s="614" t="s">
        <v>42</v>
      </c>
      <c r="I65" s="614" t="s">
        <v>219</v>
      </c>
      <c r="J65" s="614" t="s">
        <v>43</v>
      </c>
      <c r="K65" s="707" t="str">
        <f t="shared" ref="K65:AG65" si="34">+K7</f>
        <v>2013-14</v>
      </c>
      <c r="L65" s="707" t="str">
        <f t="shared" si="34"/>
        <v>2014-15</v>
      </c>
      <c r="M65" s="707" t="str">
        <f t="shared" si="34"/>
        <v>2015-16</v>
      </c>
      <c r="N65" s="707" t="str">
        <f t="shared" si="34"/>
        <v>2016-17</v>
      </c>
      <c r="O65" s="707" t="str">
        <f t="shared" si="34"/>
        <v>2017-18</v>
      </c>
      <c r="P65" s="707" t="str">
        <f t="shared" si="34"/>
        <v>2018-19</v>
      </c>
      <c r="Q65" s="707" t="str">
        <f t="shared" si="34"/>
        <v>2019-20</v>
      </c>
      <c r="R65" s="707" t="str">
        <f t="shared" si="34"/>
        <v>2020-21</v>
      </c>
      <c r="S65" s="708" t="str">
        <f t="shared" si="34"/>
        <v>2021-22</v>
      </c>
      <c r="T65" s="708" t="str">
        <f t="shared" si="34"/>
        <v>2022-23</v>
      </c>
      <c r="U65" s="708" t="str">
        <f t="shared" si="34"/>
        <v>2023-24</v>
      </c>
      <c r="V65" s="708" t="str">
        <f t="shared" si="34"/>
        <v>2024-25</v>
      </c>
      <c r="W65" s="708" t="str">
        <f t="shared" si="34"/>
        <v>2025-26</v>
      </c>
      <c r="X65" s="708" t="str">
        <f t="shared" si="34"/>
        <v>2026-27</v>
      </c>
      <c r="Y65" s="708" t="str">
        <f t="shared" si="34"/>
        <v>2027-28</v>
      </c>
      <c r="Z65" s="708" t="str">
        <f t="shared" si="34"/>
        <v>2028-29</v>
      </c>
      <c r="AA65" s="708" t="str">
        <f t="shared" si="34"/>
        <v>2029-30</v>
      </c>
      <c r="AB65" s="708" t="str">
        <f t="shared" si="34"/>
        <v>2030-31</v>
      </c>
      <c r="AC65" s="708" t="str">
        <f t="shared" si="34"/>
        <v>2031-32</v>
      </c>
      <c r="AD65" s="708" t="str">
        <f t="shared" si="34"/>
        <v>2032-33</v>
      </c>
      <c r="AE65" s="708" t="str">
        <f t="shared" si="34"/>
        <v>2033-34</v>
      </c>
      <c r="AF65" s="708" t="str">
        <f t="shared" si="34"/>
        <v>2034-35</v>
      </c>
      <c r="AG65" s="708" t="str">
        <f t="shared" si="34"/>
        <v>2035-36</v>
      </c>
      <c r="AH65" s="697"/>
      <c r="AI65" s="707"/>
      <c r="AJ65" s="709" t="str">
        <f t="shared" ref="AJ65:AS65" si="35">+X65</f>
        <v>2026-27</v>
      </c>
      <c r="AK65" s="710" t="str">
        <f t="shared" si="35"/>
        <v>2027-28</v>
      </c>
      <c r="AL65" s="710" t="str">
        <f t="shared" si="35"/>
        <v>2028-29</v>
      </c>
      <c r="AM65" s="710" t="str">
        <f t="shared" si="35"/>
        <v>2029-30</v>
      </c>
      <c r="AN65" s="710" t="str">
        <f t="shared" si="35"/>
        <v>2030-31</v>
      </c>
      <c r="AO65" s="711" t="str">
        <f t="shared" si="35"/>
        <v>2031-32</v>
      </c>
      <c r="AP65" s="707" t="str">
        <f t="shared" si="35"/>
        <v>2032-33</v>
      </c>
      <c r="AQ65" s="707" t="str">
        <f t="shared" si="35"/>
        <v>2033-34</v>
      </c>
      <c r="AR65" s="707" t="str">
        <f t="shared" si="35"/>
        <v>2034-35</v>
      </c>
      <c r="AS65" s="712" t="str">
        <f t="shared" si="35"/>
        <v>2035-36</v>
      </c>
      <c r="AW65" s="1361" t="str">
        <f>E65</f>
        <v>PQR</v>
      </c>
      <c r="AX65" s="1362" t="str">
        <f t="shared" ref="AX65:AX128" si="36">F65</f>
        <v>Service</v>
      </c>
      <c r="AY65" s="1363" t="str">
        <f>I65</f>
        <v>Type</v>
      </c>
      <c r="AZ65" s="1313" t="str">
        <f t="shared" ref="AZ65:BQ65" si="37">P65</f>
        <v>2018-19</v>
      </c>
      <c r="BA65" s="1313" t="str">
        <f t="shared" si="37"/>
        <v>2019-20</v>
      </c>
      <c r="BB65" s="1313" t="str">
        <f t="shared" si="37"/>
        <v>2020-21</v>
      </c>
      <c r="BC65" s="1313" t="str">
        <f t="shared" si="37"/>
        <v>2021-22</v>
      </c>
      <c r="BD65" s="1313" t="str">
        <f t="shared" si="37"/>
        <v>2022-23</v>
      </c>
      <c r="BE65" s="1313" t="str">
        <f t="shared" si="37"/>
        <v>2023-24</v>
      </c>
      <c r="BF65" s="1313" t="str">
        <f t="shared" si="37"/>
        <v>2024-25</v>
      </c>
      <c r="BG65" s="1364" t="str">
        <f t="shared" si="37"/>
        <v>2025-26</v>
      </c>
      <c r="BH65" s="1313" t="str">
        <f t="shared" si="37"/>
        <v>2026-27</v>
      </c>
      <c r="BI65" s="1313" t="str">
        <f t="shared" si="37"/>
        <v>2027-28</v>
      </c>
      <c r="BJ65" s="1313" t="str">
        <f t="shared" si="37"/>
        <v>2028-29</v>
      </c>
      <c r="BK65" s="1313" t="str">
        <f t="shared" si="37"/>
        <v>2029-30</v>
      </c>
      <c r="BL65" s="1314" t="str">
        <f t="shared" si="37"/>
        <v>2030-31</v>
      </c>
      <c r="BM65" s="1313" t="str">
        <f t="shared" si="37"/>
        <v>2031-32</v>
      </c>
      <c r="BN65" s="1313" t="str">
        <f t="shared" si="37"/>
        <v>2032-33</v>
      </c>
      <c r="BO65" s="1313" t="str">
        <f t="shared" si="37"/>
        <v>2033-34</v>
      </c>
      <c r="BP65" s="1313" t="str">
        <f t="shared" si="37"/>
        <v>2034-35</v>
      </c>
      <c r="BQ65" s="1315" t="str">
        <f t="shared" si="37"/>
        <v>2035-36</v>
      </c>
      <c r="BR65" s="1365"/>
      <c r="BS65" s="1366" t="str">
        <f>AZ65&amp;" to "&amp;BG65</f>
        <v>2018-19 to 2025-26</v>
      </c>
      <c r="BT65" s="1366" t="str">
        <f>BH65&amp;" to "&amp;BL65</f>
        <v>2026-27 to 2030-31</v>
      </c>
      <c r="BU65" s="1366" t="str">
        <f>BM65&amp;" to "&amp;BQ65</f>
        <v>2031-32 to 2035-36</v>
      </c>
      <c r="BV65" s="1366" t="str">
        <f>AZ65&amp;" to "&amp;BQ65</f>
        <v>2018-19 to 2035-36</v>
      </c>
      <c r="BX65" s="1361" t="str">
        <f t="shared" ref="BX65:CR65" si="38">AW65</f>
        <v>PQR</v>
      </c>
      <c r="BY65" s="1362" t="str">
        <f t="shared" si="38"/>
        <v>Service</v>
      </c>
      <c r="BZ65" s="1363" t="str">
        <f t="shared" si="38"/>
        <v>Type</v>
      </c>
      <c r="CA65" s="1313" t="str">
        <f t="shared" si="38"/>
        <v>2018-19</v>
      </c>
      <c r="CB65" s="1313" t="str">
        <f t="shared" si="38"/>
        <v>2019-20</v>
      </c>
      <c r="CC65" s="1313" t="str">
        <f t="shared" si="38"/>
        <v>2020-21</v>
      </c>
      <c r="CD65" s="1313" t="str">
        <f t="shared" si="38"/>
        <v>2021-22</v>
      </c>
      <c r="CE65" s="1313" t="str">
        <f t="shared" si="38"/>
        <v>2022-23</v>
      </c>
      <c r="CF65" s="1313" t="str">
        <f t="shared" si="38"/>
        <v>2023-24</v>
      </c>
      <c r="CG65" s="1313" t="str">
        <f t="shared" si="38"/>
        <v>2024-25</v>
      </c>
      <c r="CH65" s="1364" t="str">
        <f t="shared" si="38"/>
        <v>2025-26</v>
      </c>
      <c r="CI65" s="1313" t="str">
        <f t="shared" si="38"/>
        <v>2026-27</v>
      </c>
      <c r="CJ65" s="1313" t="str">
        <f t="shared" si="38"/>
        <v>2027-28</v>
      </c>
      <c r="CK65" s="1313" t="str">
        <f t="shared" si="38"/>
        <v>2028-29</v>
      </c>
      <c r="CL65" s="1313" t="str">
        <f t="shared" si="38"/>
        <v>2029-30</v>
      </c>
      <c r="CM65" s="1314" t="str">
        <f t="shared" si="38"/>
        <v>2030-31</v>
      </c>
      <c r="CN65" s="1313" t="str">
        <f t="shared" si="38"/>
        <v>2031-32</v>
      </c>
      <c r="CO65" s="1313" t="str">
        <f t="shared" si="38"/>
        <v>2032-33</v>
      </c>
      <c r="CP65" s="1313" t="str">
        <f t="shared" si="38"/>
        <v>2033-34</v>
      </c>
      <c r="CQ65" s="1313" t="str">
        <f t="shared" si="38"/>
        <v>2034-35</v>
      </c>
      <c r="CR65" s="1315" t="str">
        <f t="shared" si="38"/>
        <v>2035-36</v>
      </c>
      <c r="CT65" s="1361" t="str">
        <f t="shared" ref="CT65:CT128" si="39">AW65</f>
        <v>PQR</v>
      </c>
      <c r="CU65" s="1362" t="str">
        <f t="shared" ref="CU65:CU128" si="40">AX65</f>
        <v>Service</v>
      </c>
      <c r="CV65" s="1367" t="str">
        <f t="shared" ref="CV65:CV128" si="41">AY65</f>
        <v>Type</v>
      </c>
      <c r="CW65" s="1312" t="str">
        <f t="shared" ref="CW65:DE65" si="42">BI65</f>
        <v>2027-28</v>
      </c>
      <c r="CX65" s="1313" t="str">
        <f t="shared" si="42"/>
        <v>2028-29</v>
      </c>
      <c r="CY65" s="1313" t="str">
        <f t="shared" si="42"/>
        <v>2029-30</v>
      </c>
      <c r="CZ65" s="1315" t="str">
        <f t="shared" si="42"/>
        <v>2030-31</v>
      </c>
      <c r="DA65" s="1313" t="str">
        <f t="shared" si="42"/>
        <v>2031-32</v>
      </c>
      <c r="DB65" s="1313" t="str">
        <f t="shared" si="42"/>
        <v>2032-33</v>
      </c>
      <c r="DC65" s="1313" t="str">
        <f t="shared" si="42"/>
        <v>2033-34</v>
      </c>
      <c r="DD65" s="1313" t="str">
        <f t="shared" si="42"/>
        <v>2034-35</v>
      </c>
      <c r="DE65" s="1315" t="str">
        <f t="shared" si="42"/>
        <v>2035-36</v>
      </c>
      <c r="DF65" s="1365"/>
      <c r="DG65" s="1361" t="str">
        <f t="shared" ref="DG65:DG96" si="43">CT65</f>
        <v>PQR</v>
      </c>
      <c r="DH65" s="1362" t="str">
        <f t="shared" ref="DH65:DH96" si="44">CU65</f>
        <v>Service</v>
      </c>
      <c r="DI65" s="1367" t="str">
        <f t="shared" ref="DI65:DI96" si="45">CV65</f>
        <v>Type</v>
      </c>
      <c r="DJ65" s="1367"/>
      <c r="DK65" s="1312" t="str">
        <f>CX65</f>
        <v>2028-29</v>
      </c>
      <c r="DL65" s="1313" t="str">
        <f t="shared" ref="DL65:DR65" si="46">CY65</f>
        <v>2029-30</v>
      </c>
      <c r="DM65" s="1313" t="str">
        <f t="shared" si="46"/>
        <v>2030-31</v>
      </c>
      <c r="DN65" s="1313" t="str">
        <f t="shared" si="46"/>
        <v>2031-32</v>
      </c>
      <c r="DO65" s="1368" t="str">
        <f t="shared" si="46"/>
        <v>2032-33</v>
      </c>
      <c r="DP65" s="1313" t="str">
        <f t="shared" si="46"/>
        <v>2033-34</v>
      </c>
      <c r="DQ65" s="1313" t="str">
        <f t="shared" si="46"/>
        <v>2034-35</v>
      </c>
      <c r="DR65" s="1315" t="str">
        <f t="shared" si="46"/>
        <v>2035-36</v>
      </c>
    </row>
    <row r="66" spans="4:122">
      <c r="D66" s="70">
        <v>1</v>
      </c>
      <c r="E66" s="713" t="s">
        <v>44</v>
      </c>
      <c r="F66" s="1532" t="s">
        <v>20</v>
      </c>
      <c r="G66" s="1532" t="s">
        <v>863</v>
      </c>
      <c r="H66" s="1532"/>
      <c r="I66" s="781" t="s">
        <v>320</v>
      </c>
      <c r="J66" s="781" t="s">
        <v>345</v>
      </c>
      <c r="K66" s="1533"/>
      <c r="L66" s="1534"/>
      <c r="M66" s="1534"/>
      <c r="N66" s="1535"/>
      <c r="O66" s="2030">
        <v>2.8048322171945697</v>
      </c>
      <c r="P66" s="1536">
        <v>2.8173738010657194</v>
      </c>
      <c r="Q66" s="1536">
        <v>2.8300306748466255</v>
      </c>
      <c r="R66" s="1536">
        <v>2.8427192109777013</v>
      </c>
      <c r="S66" s="1536">
        <v>2.8554104325699745</v>
      </c>
      <c r="T66" s="1536">
        <v>2.8681677966101691</v>
      </c>
      <c r="U66" s="1536">
        <v>2.8810606334841626</v>
      </c>
      <c r="V66" s="1536">
        <v>2.8939757641921391</v>
      </c>
      <c r="W66" s="1536">
        <v>2.9068999999999998</v>
      </c>
      <c r="X66" s="1537">
        <v>2.9677342499999999</v>
      </c>
      <c r="Y66" s="1538">
        <v>3.0299369999999999</v>
      </c>
      <c r="Z66" s="1538">
        <v>3.0932975000000003</v>
      </c>
      <c r="AA66" s="1538">
        <v>3.1580262500000003</v>
      </c>
      <c r="AB66" s="1538">
        <v>3.2241232499999999</v>
      </c>
      <c r="AC66" s="1537">
        <v>3.2757092220000001</v>
      </c>
      <c r="AD66" s="1538">
        <v>3.328120569552</v>
      </c>
      <c r="AE66" s="1538">
        <v>3.3813704986648321</v>
      </c>
      <c r="AF66" s="1538">
        <v>3.4354724266434693</v>
      </c>
      <c r="AG66" s="1539">
        <v>3.4904399854697647</v>
      </c>
      <c r="AH66" s="697"/>
      <c r="AI66" s="707"/>
      <c r="AJ66" s="709">
        <f t="shared" ref="AJ66:AS68" si="47">+X66</f>
        <v>2.9677342499999999</v>
      </c>
      <c r="AK66" s="710">
        <f t="shared" si="47"/>
        <v>3.0299369999999999</v>
      </c>
      <c r="AL66" s="710">
        <f t="shared" si="47"/>
        <v>3.0932975000000003</v>
      </c>
      <c r="AM66" s="710">
        <f t="shared" si="47"/>
        <v>3.1580262500000003</v>
      </c>
      <c r="AN66" s="710">
        <f t="shared" si="47"/>
        <v>3.2241232499999999</v>
      </c>
      <c r="AO66" s="711">
        <f t="shared" si="47"/>
        <v>3.2757092220000001</v>
      </c>
      <c r="AP66" s="707">
        <f t="shared" si="47"/>
        <v>3.328120569552</v>
      </c>
      <c r="AQ66" s="707">
        <f t="shared" si="47"/>
        <v>3.3813704986648321</v>
      </c>
      <c r="AR66" s="707">
        <f t="shared" si="47"/>
        <v>3.4354724266434693</v>
      </c>
      <c r="AS66" s="712">
        <f t="shared" si="47"/>
        <v>3.4904399854697647</v>
      </c>
      <c r="AV66" s="1559"/>
      <c r="AW66" s="1370" t="str">
        <f t="shared" ref="AW66:AX129" si="48">E66</f>
        <v>Price</v>
      </c>
      <c r="AX66" s="1371" t="str">
        <f t="shared" si="36"/>
        <v>Water</v>
      </c>
      <c r="AY66" s="1372" t="str">
        <f t="shared" ref="AY66:AY129" si="49">I66</f>
        <v>Variable</v>
      </c>
      <c r="AZ66" s="1373">
        <f t="shared" ref="AZ66:BB81" si="50">IFERROR(P66/O66-1,"-")</f>
        <v>4.4714203560076715E-3</v>
      </c>
      <c r="BA66" s="1373">
        <f t="shared" si="50"/>
        <v>4.4924368133609782E-3</v>
      </c>
      <c r="BB66" s="1373">
        <f t="shared" si="50"/>
        <v>4.4835330739880774E-3</v>
      </c>
      <c r="BC66" s="1373">
        <f t="shared" ref="BC66:BC129" si="51">IFERROR(S66/R66-1,"-")</f>
        <v>4.4644654115904014E-3</v>
      </c>
      <c r="BD66" s="1373">
        <f t="shared" ref="BD66:BD129" si="52">IFERROR(T66/S66-1,"-")</f>
        <v>4.4677864501294628E-3</v>
      </c>
      <c r="BE66" s="1373">
        <f t="shared" ref="BE66:BE129" si="53">IFERROR(U66/T66-1,"-")</f>
        <v>4.4951473512921947E-3</v>
      </c>
      <c r="BF66" s="1373">
        <f t="shared" ref="BF66:BF129" si="54">IFERROR(V66/U66-1,"-")</f>
        <v>4.4827694904698845E-3</v>
      </c>
      <c r="BG66" s="1374">
        <f t="shared" ref="BG66:BG129" si="55">IFERROR(W66/V66-1,"-")</f>
        <v>4.4659101737394291E-3</v>
      </c>
      <c r="BH66" s="1375">
        <f t="shared" ref="BH66:BH129" si="56">IFERROR(X66/W66-1,"-")</f>
        <v>2.0927534486910426E-2</v>
      </c>
      <c r="BI66" s="1375">
        <f t="shared" ref="BI66:BI129" si="57">IFERROR(Y66/X66-1,"-")</f>
        <v>2.0959676561336238E-2</v>
      </c>
      <c r="BJ66" s="1375">
        <f t="shared" ref="BJ66:BJ129" si="58">IFERROR(Z66/Y66-1,"-")</f>
        <v>2.0911490898985807E-2</v>
      </c>
      <c r="BK66" s="1375">
        <f t="shared" ref="BK66:BK129" si="59">IFERROR(AA66/Z66-1,"-")</f>
        <v>2.0925484858795418E-2</v>
      </c>
      <c r="BL66" s="1376">
        <f t="shared" ref="BL66:BL129" si="60">IFERROR(AB66/AA66-1,"-")</f>
        <v>2.0929845025828842E-2</v>
      </c>
      <c r="BM66" s="1375">
        <f t="shared" ref="BM66:BM129" si="61">IFERROR(AC66/AB66-1,"-")</f>
        <v>1.6000000000000014E-2</v>
      </c>
      <c r="BN66" s="1375">
        <f t="shared" ref="BN66:BN129" si="62">IFERROR(AD66/AC66-1,"-")</f>
        <v>1.6000000000000014E-2</v>
      </c>
      <c r="BO66" s="1375">
        <f t="shared" ref="BO66:BO129" si="63">IFERROR(AE66/AD66-1,"-")</f>
        <v>1.6000000000000014E-2</v>
      </c>
      <c r="BP66" s="1375">
        <f t="shared" ref="BP66:BP129" si="64">IFERROR(AF66/AE66-1,"-")</f>
        <v>1.6000000000000014E-2</v>
      </c>
      <c r="BQ66" s="1377">
        <f t="shared" ref="BQ66:BQ129" si="65">IFERROR(AG66/AF66-1,"-")</f>
        <v>1.6000000000000014E-2</v>
      </c>
      <c r="BR66" s="1378"/>
      <c r="BS66" s="1316"/>
      <c r="BT66" s="1379"/>
      <c r="BU66" s="1318"/>
      <c r="BV66" s="1380"/>
      <c r="BW66" s="1050"/>
      <c r="BX66" s="1381" t="str">
        <f t="shared" ref="BX66:BX129" si="66">AW66</f>
        <v>Price</v>
      </c>
      <c r="BY66" s="1382" t="str">
        <f t="shared" ref="BY66:BY129" si="67">AX66</f>
        <v>Water</v>
      </c>
      <c r="BZ66" s="1383" t="str">
        <f t="shared" ref="BZ66:BZ129" si="68">AY66</f>
        <v>Variable</v>
      </c>
      <c r="CA66" s="1384">
        <f>IFERROR((P66/O66-1)*(O68/O$13),"-")</f>
        <v>2.1320944144568319E-3</v>
      </c>
      <c r="CB66" s="1384">
        <f t="shared" ref="CB66:CR66" si="69">IFERROR((Q66/P66-1)*(P68/P$13),"-")</f>
        <v>2.2637908553117406E-3</v>
      </c>
      <c r="CC66" s="1384">
        <f t="shared" si="69"/>
        <v>2.2416388177849984E-3</v>
      </c>
      <c r="CD66" s="1384">
        <f t="shared" si="69"/>
        <v>2.1399667011368188E-3</v>
      </c>
      <c r="CE66" s="1384">
        <f t="shared" si="69"/>
        <v>2.0561172616668823E-3</v>
      </c>
      <c r="CF66" s="1384">
        <f t="shared" si="69"/>
        <v>2.0598269044629193E-3</v>
      </c>
      <c r="CG66" s="1384">
        <f t="shared" si="69"/>
        <v>2.1424827959968828E-3</v>
      </c>
      <c r="CH66" s="1385">
        <f t="shared" si="69"/>
        <v>2.2546086378964839E-3</v>
      </c>
      <c r="CI66" s="1386">
        <f t="shared" si="69"/>
        <v>1.0184326839652291E-2</v>
      </c>
      <c r="CJ66" s="1386">
        <f t="shared" si="69"/>
        <v>9.7830523858364691E-3</v>
      </c>
      <c r="CK66" s="1386">
        <f t="shared" si="69"/>
        <v>9.4667871277749477E-3</v>
      </c>
      <c r="CL66" s="1386">
        <f t="shared" si="69"/>
        <v>9.1875350703451066E-3</v>
      </c>
      <c r="CM66" s="1387">
        <f t="shared" si="69"/>
        <v>8.9109128113934524E-3</v>
      </c>
      <c r="CN66" s="1386">
        <f t="shared" si="69"/>
        <v>6.6068004164240727E-3</v>
      </c>
      <c r="CO66" s="1386">
        <f>IFERROR((AD66/AC66-1)*(AC68/AC$13),"-")</f>
        <v>6.6024160515027585E-3</v>
      </c>
      <c r="CP66" s="1386">
        <f t="shared" si="69"/>
        <v>6.5966030084878124E-3</v>
      </c>
      <c r="CQ66" s="1386">
        <f t="shared" si="69"/>
        <v>6.5918173520466434E-3</v>
      </c>
      <c r="CR66" s="1388">
        <f t="shared" si="69"/>
        <v>6.5840755883971418E-3</v>
      </c>
      <c r="CS66" s="1050"/>
      <c r="CT66" s="1370" t="str">
        <f t="shared" si="39"/>
        <v>Price</v>
      </c>
      <c r="CU66" s="1371" t="str">
        <f t="shared" si="40"/>
        <v>Water</v>
      </c>
      <c r="CV66" s="1389" t="str">
        <f t="shared" si="41"/>
        <v>Variable</v>
      </c>
      <c r="CW66" s="1390">
        <f t="shared" ref="CW66:CW129" si="70">IFERROR((Y66/$W66)^(1/CW$61)-1,"-")</f>
        <v>2.0943605397633291E-2</v>
      </c>
      <c r="CX66" s="1386">
        <f t="shared" ref="CX66:CX129" si="71">IFERROR((Z66/$W66)^(1/CX$61)-1,"-")</f>
        <v>2.0932900452506287E-2</v>
      </c>
      <c r="CY66" s="1386">
        <f t="shared" ref="CY66:CY129" si="72">IFERROR((AA66/$W66)^(1/CY$61)-1,"-")</f>
        <v>2.0931046549028887E-2</v>
      </c>
      <c r="CZ66" s="1388">
        <f t="shared" ref="CZ66:CZ129" si="73">IFERROR((AB66/$W66)^(1/CZ$61)-1,"-")</f>
        <v>2.0930806244275679E-2</v>
      </c>
      <c r="DA66" s="1386">
        <f t="shared" ref="DA66:DA129" si="74">IFERROR((AC66/$W66)^(1/DA$61)-1,"-")</f>
        <v>2.0107346528209114E-2</v>
      </c>
      <c r="DB66" s="1386">
        <f t="shared" ref="DB66:DB129" si="75">IFERROR((AD66/$W66)^(1/DB$61)-1,"-")</f>
        <v>1.9519567691241635E-2</v>
      </c>
      <c r="DC66" s="1386">
        <f t="shared" ref="DC66:DC129" si="76">IFERROR((AE66/$W66)^(1/DC$61)-1,"-")</f>
        <v>1.9078955829083366E-2</v>
      </c>
      <c r="DD66" s="1386">
        <f t="shared" ref="DD66:DD129" si="77">IFERROR((AF66/$W66)^(1/DD$61)-1,"-")</f>
        <v>1.8736389367967732E-2</v>
      </c>
      <c r="DE66" s="1388">
        <f t="shared" ref="DE66:DE129" si="78">IFERROR((AG66/$W66)^(1/DE$61)-1,"-")</f>
        <v>1.8462419112351913E-2</v>
      </c>
      <c r="DF66" s="1378"/>
      <c r="DG66" s="1370" t="str">
        <f t="shared" si="43"/>
        <v>Price</v>
      </c>
      <c r="DH66" s="1371" t="str">
        <f t="shared" si="44"/>
        <v>Water</v>
      </c>
      <c r="DI66" s="1389" t="str">
        <f t="shared" si="45"/>
        <v>Variable</v>
      </c>
      <c r="DJ66" s="1971"/>
      <c r="DK66" s="1390">
        <f t="shared" ref="DK66:DK129" si="79">IFERROR((Z66/$X66)^(1/DK$61)-1,"-")</f>
        <v>2.0935583445880424E-2</v>
      </c>
      <c r="DL66" s="1386">
        <f t="shared" ref="DL66:DL129" si="80">IFERROR((AA66/$X66)^(1/DL$61)-1,"-")</f>
        <v>2.0932217239086448E-2</v>
      </c>
      <c r="DM66" s="1386">
        <f t="shared" ref="DM66:DM129" si="81">IFERROR((AB66/$X66)^(1/DM$61)-1,"-")</f>
        <v>2.0931624185255293E-2</v>
      </c>
      <c r="DN66" s="1387">
        <f t="shared" ref="DN66:DN129" si="82">IFERROR((AC66/$X66)^(1/DN$61)-1,"-")</f>
        <v>1.9943388023663466E-2</v>
      </c>
      <c r="DO66" s="1386">
        <f t="shared" ref="DO66:DO129" si="83">IFERROR((AD66/$X66)^(1/DO$61)-1,"-")</f>
        <v>1.9285095410764397E-2</v>
      </c>
      <c r="DP66" s="1386">
        <f t="shared" ref="DP66:DP129" si="84">IFERROR((AE66/$X66)^(1/DP$61)-1,"-")</f>
        <v>1.8815146545525518E-2</v>
      </c>
      <c r="DQ66" s="1386">
        <f t="shared" ref="DQ66:DQ129" si="85">IFERROR((AF66/$X66)^(1/DQ$61)-1,"-")</f>
        <v>1.8462827093959078E-2</v>
      </c>
      <c r="DR66" s="1388">
        <f t="shared" ref="DR66:DR129" si="86">IFERROR((AG66/$X66)^(1/DR$61)-1,"-")</f>
        <v>1.8188885088735951E-2</v>
      </c>
    </row>
    <row r="67" spans="4:122">
      <c r="E67" s="721" t="s">
        <v>45</v>
      </c>
      <c r="F67" s="722" t="str">
        <f>+F66</f>
        <v>Water</v>
      </c>
      <c r="G67" s="723" t="str">
        <f>+G66</f>
        <v>Water Volumetric</v>
      </c>
      <c r="H67" s="723">
        <f>+H66</f>
        <v>0</v>
      </c>
      <c r="I67" s="724" t="str">
        <f>+I66</f>
        <v>Variable</v>
      </c>
      <c r="J67" s="782" t="s">
        <v>47</v>
      </c>
      <c r="K67" s="1540"/>
      <c r="L67" s="1541"/>
      <c r="M67" s="1541"/>
      <c r="N67" s="1542"/>
      <c r="O67" s="2031">
        <v>12818626</v>
      </c>
      <c r="P67" s="1543">
        <v>13836338</v>
      </c>
      <c r="Q67" s="1543">
        <v>13424489</v>
      </c>
      <c r="R67" s="1543">
        <v>12579571</v>
      </c>
      <c r="S67" s="1543">
        <v>11617275</v>
      </c>
      <c r="T67" s="1543">
        <v>11924535</v>
      </c>
      <c r="U67" s="1543">
        <v>13008324</v>
      </c>
      <c r="V67" s="1543">
        <v>14330133</v>
      </c>
      <c r="W67" s="1543">
        <v>13505539</v>
      </c>
      <c r="X67" s="1544">
        <v>13648929</v>
      </c>
      <c r="Y67" s="1543">
        <v>13794385</v>
      </c>
      <c r="Z67" s="1543">
        <v>13941940</v>
      </c>
      <c r="AA67" s="1543">
        <v>14091631</v>
      </c>
      <c r="AB67" s="1543">
        <v>14243494</v>
      </c>
      <c r="AC67" s="1545">
        <v>14397565</v>
      </c>
      <c r="AD67" s="1546">
        <v>14553884</v>
      </c>
      <c r="AE67" s="1546">
        <v>14712487</v>
      </c>
      <c r="AF67" s="1546">
        <v>14873415</v>
      </c>
      <c r="AG67" s="788">
        <v>15036707</v>
      </c>
      <c r="AH67" s="697"/>
      <c r="AI67" s="707"/>
      <c r="AJ67" s="709">
        <f t="shared" si="47"/>
        <v>13648929</v>
      </c>
      <c r="AK67" s="710">
        <f t="shared" si="47"/>
        <v>13794385</v>
      </c>
      <c r="AL67" s="710">
        <f t="shared" si="47"/>
        <v>13941940</v>
      </c>
      <c r="AM67" s="710">
        <f t="shared" si="47"/>
        <v>14091631</v>
      </c>
      <c r="AN67" s="710">
        <f t="shared" si="47"/>
        <v>14243494</v>
      </c>
      <c r="AO67" s="711">
        <f t="shared" si="47"/>
        <v>14397565</v>
      </c>
      <c r="AP67" s="707">
        <f t="shared" si="47"/>
        <v>14553884</v>
      </c>
      <c r="AQ67" s="707">
        <f t="shared" si="47"/>
        <v>14712487</v>
      </c>
      <c r="AR67" s="707">
        <f t="shared" si="47"/>
        <v>14873415</v>
      </c>
      <c r="AS67" s="712">
        <f t="shared" si="47"/>
        <v>15036707</v>
      </c>
      <c r="AU67" s="1356"/>
      <c r="AV67" s="1559"/>
      <c r="AW67" s="1392" t="str">
        <f t="shared" si="48"/>
        <v>Qty</v>
      </c>
      <c r="AX67" s="1393" t="str">
        <f t="shared" si="36"/>
        <v>Water</v>
      </c>
      <c r="AY67" s="1394" t="str">
        <f t="shared" si="49"/>
        <v>Variable</v>
      </c>
      <c r="AZ67" s="1395">
        <f>IFERROR(P67/O67-1,"-")</f>
        <v>7.9393220459041292E-2</v>
      </c>
      <c r="BA67" s="1395">
        <f t="shared" si="50"/>
        <v>-2.9765751602772395E-2</v>
      </c>
      <c r="BB67" s="1395">
        <f t="shared" si="50"/>
        <v>-6.2938559523569193E-2</v>
      </c>
      <c r="BC67" s="1395">
        <f t="shared" si="51"/>
        <v>-7.6496726319204345E-2</v>
      </c>
      <c r="BD67" s="1395">
        <f t="shared" si="52"/>
        <v>2.6448543225498167E-2</v>
      </c>
      <c r="BE67" s="1395">
        <f t="shared" si="53"/>
        <v>9.0887317618674413E-2</v>
      </c>
      <c r="BF67" s="1395">
        <f t="shared" si="54"/>
        <v>0.10161255208587971</v>
      </c>
      <c r="BG67" s="1396">
        <f t="shared" si="55"/>
        <v>-5.7542662025537372E-2</v>
      </c>
      <c r="BH67" s="1395">
        <f t="shared" si="56"/>
        <v>1.0617125314287712E-2</v>
      </c>
      <c r="BI67" s="1395">
        <f t="shared" si="57"/>
        <v>1.0656953377074396E-2</v>
      </c>
      <c r="BJ67" s="1395">
        <f t="shared" si="58"/>
        <v>1.0696743638806572E-2</v>
      </c>
      <c r="BK67" s="1395">
        <f t="shared" si="59"/>
        <v>1.0736741084813151E-2</v>
      </c>
      <c r="BL67" s="1397">
        <f t="shared" si="60"/>
        <v>1.0776822072618764E-2</v>
      </c>
      <c r="BM67" s="1395">
        <f t="shared" si="61"/>
        <v>1.0816938596667436E-2</v>
      </c>
      <c r="BN67" s="1395">
        <f t="shared" si="62"/>
        <v>1.0857322054111274E-2</v>
      </c>
      <c r="BO67" s="1395">
        <f t="shared" si="63"/>
        <v>1.0897640794718333E-2</v>
      </c>
      <c r="BP67" s="1395">
        <f t="shared" si="64"/>
        <v>1.093819148319386E-2</v>
      </c>
      <c r="BQ67" s="1398">
        <f t="shared" si="65"/>
        <v>1.0978783285479521E-2</v>
      </c>
      <c r="BR67" s="1378"/>
      <c r="BS67" s="1329"/>
      <c r="BT67" s="1399"/>
      <c r="BU67" s="1331"/>
      <c r="BV67" s="1400"/>
      <c r="BW67" s="1050"/>
      <c r="BX67" s="1392" t="str">
        <f t="shared" si="66"/>
        <v>Qty</v>
      </c>
      <c r="BY67" s="1393" t="str">
        <f t="shared" si="67"/>
        <v>Water</v>
      </c>
      <c r="BZ67" s="1394" t="str">
        <f t="shared" si="68"/>
        <v>Variable</v>
      </c>
      <c r="CA67" s="1395">
        <f t="shared" ref="CA67:CR67" si="87">IFERROR((P67/O67-1)*(O68/O$13),"-")</f>
        <v>3.7856839305888644E-2</v>
      </c>
      <c r="CB67" s="1395">
        <f t="shared" si="87"/>
        <v>-1.4999306407478347E-2</v>
      </c>
      <c r="CC67" s="1395">
        <f t="shared" si="87"/>
        <v>-3.1467486875926987E-2</v>
      </c>
      <c r="CD67" s="1395">
        <f t="shared" si="87"/>
        <v>-3.6667424199117685E-2</v>
      </c>
      <c r="CE67" s="1395">
        <f t="shared" si="87"/>
        <v>1.2171867854228722E-2</v>
      </c>
      <c r="CF67" s="1395">
        <f t="shared" si="87"/>
        <v>4.1647609627656686E-2</v>
      </c>
      <c r="CG67" s="1395">
        <f t="shared" si="87"/>
        <v>4.8564429905253677E-2</v>
      </c>
      <c r="CH67" s="1397">
        <f t="shared" si="87"/>
        <v>-2.9050334154326007E-2</v>
      </c>
      <c r="CI67" s="1395">
        <f t="shared" si="87"/>
        <v>5.1667947013004922E-3</v>
      </c>
      <c r="CJ67" s="1395">
        <f t="shared" si="87"/>
        <v>4.9741957065147085E-3</v>
      </c>
      <c r="CK67" s="1395">
        <f t="shared" si="87"/>
        <v>4.842495232794417E-3</v>
      </c>
      <c r="CL67" s="1395">
        <f t="shared" si="87"/>
        <v>4.714069275984961E-3</v>
      </c>
      <c r="CM67" s="1397">
        <f t="shared" si="87"/>
        <v>4.5882481095534701E-3</v>
      </c>
      <c r="CN67" s="1395">
        <f t="shared" si="87"/>
        <v>4.4665846515559984E-3</v>
      </c>
      <c r="CO67" s="1395">
        <f t="shared" si="87"/>
        <v>4.4802848378999449E-3</v>
      </c>
      <c r="CP67" s="1395">
        <f t="shared" si="87"/>
        <v>4.4929631282411503E-3</v>
      </c>
      <c r="CQ67" s="1395">
        <f t="shared" si="87"/>
        <v>4.5064100261828768E-3</v>
      </c>
      <c r="CR67" s="1398">
        <f t="shared" si="87"/>
        <v>4.5178211887642638E-3</v>
      </c>
      <c r="CS67" s="1050"/>
      <c r="CT67" s="1392" t="str">
        <f t="shared" si="39"/>
        <v>Qty</v>
      </c>
      <c r="CU67" s="1393" t="str">
        <f t="shared" si="40"/>
        <v>Water</v>
      </c>
      <c r="CV67" s="1393" t="str">
        <f t="shared" si="41"/>
        <v>Variable</v>
      </c>
      <c r="CW67" s="1401">
        <f t="shared" si="70"/>
        <v>1.0637039149483662E-2</v>
      </c>
      <c r="CX67" s="1395">
        <f t="shared" si="71"/>
        <v>1.0656940254036629E-2</v>
      </c>
      <c r="CY67" s="1395">
        <f t="shared" si="72"/>
        <v>1.067688987103721E-2</v>
      </c>
      <c r="CZ67" s="1398">
        <f t="shared" si="73"/>
        <v>1.0696875520924465E-2</v>
      </c>
      <c r="DA67" s="1395">
        <f t="shared" si="74"/>
        <v>1.0716885043163593E-2</v>
      </c>
      <c r="DB67" s="1395">
        <f t="shared" si="75"/>
        <v>1.073694627870192E-2</v>
      </c>
      <c r="DC67" s="1395">
        <f t="shared" si="76"/>
        <v>1.0757031696163821E-2</v>
      </c>
      <c r="DD67" s="1395">
        <f t="shared" si="77"/>
        <v>1.0777158958133581E-2</v>
      </c>
      <c r="DE67" s="1398">
        <f t="shared" si="78"/>
        <v>1.0797319581245191E-2</v>
      </c>
      <c r="DF67" s="1378"/>
      <c r="DG67" s="1392" t="str">
        <f t="shared" si="43"/>
        <v>Qty</v>
      </c>
      <c r="DH67" s="1393" t="str">
        <f t="shared" si="44"/>
        <v>Water</v>
      </c>
      <c r="DI67" s="1393" t="str">
        <f t="shared" si="45"/>
        <v>Variable</v>
      </c>
      <c r="DJ67" s="1393"/>
      <c r="DK67" s="1401">
        <f t="shared" si="79"/>
        <v>1.0676848312123122E-2</v>
      </c>
      <c r="DL67" s="1395">
        <f t="shared" si="80"/>
        <v>1.0696812175338355E-2</v>
      </c>
      <c r="DM67" s="1395">
        <f t="shared" si="81"/>
        <v>1.0716814055889312E-2</v>
      </c>
      <c r="DN67" s="1397">
        <f t="shared" si="82"/>
        <v>1.0736838170601892E-2</v>
      </c>
      <c r="DO67" s="1395">
        <f t="shared" si="83"/>
        <v>1.0756917820553769E-2</v>
      </c>
      <c r="DP67" s="1395">
        <f t="shared" si="84"/>
        <v>1.0777019903157825E-2</v>
      </c>
      <c r="DQ67" s="1395">
        <f t="shared" si="85"/>
        <v>1.0797164945371085E-2</v>
      </c>
      <c r="DR67" s="1398">
        <f t="shared" si="86"/>
        <v>1.0817343149620795E-2</v>
      </c>
    </row>
    <row r="68" spans="4:122" ht="12.75" thickBot="1">
      <c r="E68" s="731" t="s">
        <v>46</v>
      </c>
      <c r="F68" s="732" t="str">
        <f>+F66</f>
        <v>Water</v>
      </c>
      <c r="G68" s="733" t="str">
        <f>+G66</f>
        <v>Water Volumetric</v>
      </c>
      <c r="H68" s="733">
        <f>+H66</f>
        <v>0</v>
      </c>
      <c r="I68" s="734" t="str">
        <f>+I66</f>
        <v>Variable</v>
      </c>
      <c r="J68" s="735" t="s">
        <v>344</v>
      </c>
      <c r="K68" s="736">
        <f t="shared" ref="K68:AG68" si="88">K66*K67/10^6</f>
        <v>0</v>
      </c>
      <c r="L68" s="737">
        <f t="shared" si="88"/>
        <v>0</v>
      </c>
      <c r="M68" s="737">
        <f t="shared" si="88"/>
        <v>0</v>
      </c>
      <c r="N68" s="738">
        <f t="shared" si="88"/>
        <v>0</v>
      </c>
      <c r="O68" s="1923">
        <f>O66*O67/10^6</f>
        <v>35.954095184967954</v>
      </c>
      <c r="P68" s="737">
        <f t="shared" si="88"/>
        <v>38.982136183890049</v>
      </c>
      <c r="Q68" s="737">
        <f t="shared" si="88"/>
        <v>37.991715664141104</v>
      </c>
      <c r="R68" s="737">
        <f t="shared" si="88"/>
        <v>35.760188147557976</v>
      </c>
      <c r="S68" s="737">
        <f t="shared" si="88"/>
        <v>33.172088233034351</v>
      </c>
      <c r="T68" s="737">
        <f t="shared" si="88"/>
        <v>34.201567276550847</v>
      </c>
      <c r="U68" s="737">
        <f t="shared" si="88"/>
        <v>37.477770184007234</v>
      </c>
      <c r="V68" s="737">
        <f t="shared" si="88"/>
        <v>41.471057599649988</v>
      </c>
      <c r="W68" s="737">
        <f t="shared" si="88"/>
        <v>39.259251319100002</v>
      </c>
      <c r="X68" s="738">
        <f t="shared" si="88"/>
        <v>40.506394069118244</v>
      </c>
      <c r="Y68" s="737">
        <f t="shared" si="88"/>
        <v>41.796117503744995</v>
      </c>
      <c r="Z68" s="737">
        <f t="shared" si="88"/>
        <v>43.126568147150003</v>
      </c>
      <c r="AA68" s="737">
        <f t="shared" si="88"/>
        <v>44.501740603313749</v>
      </c>
      <c r="AB68" s="737">
        <f t="shared" si="88"/>
        <v>45.922780166635498</v>
      </c>
      <c r="AC68" s="738">
        <f t="shared" si="88"/>
        <v>47.162236444844432</v>
      </c>
      <c r="AD68" s="737">
        <f t="shared" si="88"/>
        <v>48.437080707273736</v>
      </c>
      <c r="AE68" s="737">
        <f t="shared" si="88"/>
        <v>49.74836950378986</v>
      </c>
      <c r="AF68" s="737">
        <f t="shared" si="88"/>
        <v>51.097207122525376</v>
      </c>
      <c r="AG68" s="739">
        <f t="shared" si="88"/>
        <v>52.484723362593108</v>
      </c>
      <c r="AH68" s="697"/>
      <c r="AI68" s="707"/>
      <c r="AJ68" s="709">
        <f t="shared" si="47"/>
        <v>40.506394069118244</v>
      </c>
      <c r="AK68" s="710">
        <f t="shared" si="47"/>
        <v>41.796117503744995</v>
      </c>
      <c r="AL68" s="710">
        <f t="shared" si="47"/>
        <v>43.126568147150003</v>
      </c>
      <c r="AM68" s="710">
        <f t="shared" si="47"/>
        <v>44.501740603313749</v>
      </c>
      <c r="AN68" s="710">
        <f t="shared" si="47"/>
        <v>45.922780166635498</v>
      </c>
      <c r="AO68" s="711">
        <f t="shared" si="47"/>
        <v>47.162236444844432</v>
      </c>
      <c r="AP68" s="707">
        <f t="shared" si="47"/>
        <v>48.437080707273736</v>
      </c>
      <c r="AQ68" s="707">
        <f t="shared" si="47"/>
        <v>49.74836950378986</v>
      </c>
      <c r="AR68" s="707">
        <f t="shared" si="47"/>
        <v>51.097207122525376</v>
      </c>
      <c r="AS68" s="712">
        <f t="shared" si="47"/>
        <v>52.484723362593108</v>
      </c>
      <c r="AU68" s="1360"/>
      <c r="AV68" s="1559"/>
      <c r="AW68" s="742" t="str">
        <f t="shared" si="48"/>
        <v>Rev</v>
      </c>
      <c r="AX68" s="1402" t="str">
        <f t="shared" si="36"/>
        <v>Water</v>
      </c>
      <c r="AY68" s="1403" t="str">
        <f t="shared" si="49"/>
        <v>Variable</v>
      </c>
      <c r="AZ68" s="1378">
        <f t="shared" si="50"/>
        <v>8.4219641277138546E-2</v>
      </c>
      <c r="BA68" s="1378">
        <f t="shared" si="50"/>
        <v>-2.5407035547688861E-2</v>
      </c>
      <c r="BB68" s="1378">
        <f t="shared" si="50"/>
        <v>-5.8737213562834123E-2</v>
      </c>
      <c r="BC68" s="1378">
        <f t="shared" si="51"/>
        <v>-7.237377789636612E-2</v>
      </c>
      <c r="BD68" s="1378">
        <f t="shared" si="52"/>
        <v>3.1034496118676369E-2</v>
      </c>
      <c r="BE68" s="1378">
        <f t="shared" si="53"/>
        <v>9.5791016855026001E-2</v>
      </c>
      <c r="BF68" s="1378">
        <f t="shared" si="54"/>
        <v>0.10655082722468889</v>
      </c>
      <c r="BG68" s="1404">
        <f t="shared" si="55"/>
        <v>-5.3333732211561791E-2</v>
      </c>
      <c r="BH68" s="1378">
        <f t="shared" si="56"/>
        <v>3.176685005736446E-2</v>
      </c>
      <c r="BI68" s="1378">
        <f t="shared" si="57"/>
        <v>3.1839996234323653E-2</v>
      </c>
      <c r="BJ68" s="1378">
        <f t="shared" si="58"/>
        <v>3.1831919395044261E-2</v>
      </c>
      <c r="BK68" s="1378">
        <f t="shared" si="59"/>
        <v>3.1886897456611552E-2</v>
      </c>
      <c r="BL68" s="1405">
        <f t="shared" si="60"/>
        <v>3.1932224314298763E-2</v>
      </c>
      <c r="BM68" s="1378">
        <f t="shared" si="61"/>
        <v>2.6990009614214161E-2</v>
      </c>
      <c r="BN68" s="1378">
        <f t="shared" si="62"/>
        <v>2.7031039206976804E-2</v>
      </c>
      <c r="BO68" s="1378">
        <f t="shared" si="63"/>
        <v>2.7072003047434068E-2</v>
      </c>
      <c r="BP68" s="1378">
        <f t="shared" si="64"/>
        <v>2.7113202546924953E-2</v>
      </c>
      <c r="BQ68" s="1406">
        <f t="shared" si="65"/>
        <v>2.7154443818047103E-2</v>
      </c>
      <c r="BR68" s="1378"/>
      <c r="BS68" s="1407"/>
      <c r="BT68" s="1408"/>
      <c r="BU68" s="1409"/>
      <c r="BV68" s="1410"/>
      <c r="BW68" s="1365"/>
      <c r="BX68" s="742" t="str">
        <f t="shared" si="66"/>
        <v>Rev</v>
      </c>
      <c r="BY68" s="1402" t="str">
        <f t="shared" si="67"/>
        <v>Water</v>
      </c>
      <c r="BZ68" s="1403" t="str">
        <f t="shared" si="68"/>
        <v>Variable</v>
      </c>
      <c r="CA68" s="1378">
        <f t="shared" ref="CA68:CR68" si="89">IFERROR((P68/O68-1)*(O68/O$13),"-")</f>
        <v>4.0158207562231943E-2</v>
      </c>
      <c r="CB68" s="1378">
        <f t="shared" si="89"/>
        <v>-1.2802898988446339E-2</v>
      </c>
      <c r="CC68" s="1378">
        <f t="shared" si="89"/>
        <v>-2.9366933576305449E-2</v>
      </c>
      <c r="CD68" s="1378">
        <f t="shared" si="89"/>
        <v>-3.4691157945050038E-2</v>
      </c>
      <c r="CE68" s="1378">
        <f t="shared" si="89"/>
        <v>1.4282366422167583E-2</v>
      </c>
      <c r="CF68" s="1378">
        <f t="shared" si="89"/>
        <v>4.3894648674224906E-2</v>
      </c>
      <c r="CG68" s="1378">
        <f t="shared" si="89"/>
        <v>5.0924615845951864E-2</v>
      </c>
      <c r="CH68" s="1405">
        <f t="shared" si="89"/>
        <v>-2.6925461699279833E-2</v>
      </c>
      <c r="CI68" s="1378">
        <f t="shared" si="89"/>
        <v>1.5459249815250898E-2</v>
      </c>
      <c r="CJ68" s="1378">
        <f t="shared" si="89"/>
        <v>1.4861505625512653E-2</v>
      </c>
      <c r="CK68" s="1378">
        <f t="shared" si="89"/>
        <v>1.4410546155558415E-2</v>
      </c>
      <c r="CL68" s="1378">
        <f t="shared" si="89"/>
        <v>1.4000248531587966E-2</v>
      </c>
      <c r="CM68" s="1405">
        <f t="shared" si="89"/>
        <v>1.3595192242820062E-2</v>
      </c>
      <c r="CN68" s="1378">
        <f t="shared" si="89"/>
        <v>1.114485042240498E-2</v>
      </c>
      <c r="CO68" s="1378">
        <f t="shared" si="89"/>
        <v>1.1154385446808994E-2</v>
      </c>
      <c r="CP68" s="1378">
        <f t="shared" si="89"/>
        <v>1.1161453546780916E-2</v>
      </c>
      <c r="CQ68" s="1378">
        <f t="shared" si="89"/>
        <v>1.1170329938648438E-2</v>
      </c>
      <c r="CR68" s="1406">
        <f t="shared" si="89"/>
        <v>1.1174181916181591E-2</v>
      </c>
      <c r="CS68" s="1365"/>
      <c r="CT68" s="742" t="str">
        <f t="shared" si="39"/>
        <v>Rev</v>
      </c>
      <c r="CU68" s="1402" t="str">
        <f t="shared" si="40"/>
        <v>Water</v>
      </c>
      <c r="CV68" s="1402" t="str">
        <f t="shared" si="41"/>
        <v>Variable</v>
      </c>
      <c r="CW68" s="1411">
        <f t="shared" si="70"/>
        <v>3.1803422497662881E-2</v>
      </c>
      <c r="CX68" s="1378">
        <f t="shared" si="71"/>
        <v>3.1812921376008996E-2</v>
      </c>
      <c r="CY68" s="1378">
        <f t="shared" si="72"/>
        <v>3.1831414898955357E-2</v>
      </c>
      <c r="CZ68" s="1406">
        <f t="shared" si="73"/>
        <v>3.1851575994147785E-2</v>
      </c>
      <c r="DA68" s="1378">
        <f t="shared" si="74"/>
        <v>3.1039719692638412E-2</v>
      </c>
      <c r="DB68" s="1378">
        <f t="shared" si="75"/>
        <v>3.0466094519627784E-2</v>
      </c>
      <c r="DC68" s="1378">
        <f t="shared" si="76"/>
        <v>3.0041220457830198E-2</v>
      </c>
      <c r="DD68" s="1378">
        <f t="shared" si="77"/>
        <v>2.9715473372621259E-2</v>
      </c>
      <c r="DE68" s="1406">
        <f t="shared" si="78"/>
        <v>2.9459083332996183E-2</v>
      </c>
      <c r="DF68" s="1378"/>
      <c r="DG68" s="742" t="str">
        <f t="shared" si="43"/>
        <v>Rev</v>
      </c>
      <c r="DH68" s="1402" t="str">
        <f t="shared" si="44"/>
        <v>Water</v>
      </c>
      <c r="DI68" s="1402" t="str">
        <f t="shared" si="45"/>
        <v>Variable</v>
      </c>
      <c r="DJ68" s="1402"/>
      <c r="DK68" s="1411">
        <f t="shared" si="79"/>
        <v>3.1835957806781057E-2</v>
      </c>
      <c r="DL68" s="1378">
        <f t="shared" si="80"/>
        <v>3.1852937410644655E-2</v>
      </c>
      <c r="DM68" s="1378">
        <f t="shared" si="81"/>
        <v>3.1872758565425707E-2</v>
      </c>
      <c r="DN68" s="1405">
        <f t="shared" si="82"/>
        <v>3.0894355124048811E-2</v>
      </c>
      <c r="DO68" s="1378">
        <f t="shared" si="83"/>
        <v>3.0249461417813261E-2</v>
      </c>
      <c r="DP68" s="1378">
        <f t="shared" si="84"/>
        <v>2.9794937657485532E-2</v>
      </c>
      <c r="DQ68" s="1378">
        <f t="shared" si="85"/>
        <v>2.9459338228821519E-2</v>
      </c>
      <c r="DR68" s="1406">
        <f t="shared" si="86"/>
        <v>2.9202983649870617E-2</v>
      </c>
    </row>
    <row r="69" spans="4:122">
      <c r="D69" s="70">
        <f>D66+1</f>
        <v>2</v>
      </c>
      <c r="E69" s="742" t="s">
        <v>44</v>
      </c>
      <c r="F69" s="1532" t="s">
        <v>20</v>
      </c>
      <c r="G69" s="1532" t="s">
        <v>864</v>
      </c>
      <c r="H69" s="1532"/>
      <c r="I69" s="781" t="s">
        <v>320</v>
      </c>
      <c r="J69" s="781" t="s">
        <v>345</v>
      </c>
      <c r="K69" s="1533"/>
      <c r="L69" s="1534"/>
      <c r="M69" s="1534"/>
      <c r="N69" s="1535"/>
      <c r="O69" s="2071">
        <v>1.1193608144796379</v>
      </c>
      <c r="P69" s="1547">
        <v>1.1243504440497336</v>
      </c>
      <c r="Q69" s="1547">
        <v>1.1292993865030674</v>
      </c>
      <c r="R69" s="1547">
        <v>1.134288164665523</v>
      </c>
      <c r="S69" s="1547">
        <v>1.1393239185750637</v>
      </c>
      <c r="T69" s="1547">
        <v>1.1444508474576269</v>
      </c>
      <c r="U69" s="1547">
        <v>1.1495805429864252</v>
      </c>
      <c r="V69" s="1549">
        <v>1.1546820960698687</v>
      </c>
      <c r="W69" s="1536">
        <v>1.1597999999999999</v>
      </c>
      <c r="X69" s="1537">
        <v>1.2206895</v>
      </c>
      <c r="Y69" s="1538">
        <v>1.2847756987499999</v>
      </c>
      <c r="Z69" s="1538">
        <v>1.3522264229343748</v>
      </c>
      <c r="AA69" s="1538">
        <v>1.4232183101384295</v>
      </c>
      <c r="AB69" s="1538">
        <v>1.4979372714206971</v>
      </c>
      <c r="AC69" s="1537">
        <v>1.5219042677634282</v>
      </c>
      <c r="AD69" s="1538">
        <v>1.5462547360476431</v>
      </c>
      <c r="AE69" s="1538">
        <v>1.5709948118244055</v>
      </c>
      <c r="AF69" s="1538">
        <v>1.596130728813596</v>
      </c>
      <c r="AG69" s="1539">
        <v>1.6216688204746135</v>
      </c>
      <c r="AH69" s="697"/>
      <c r="AI69" s="707"/>
      <c r="AJ69" s="709">
        <f t="shared" ref="AJ69:AJ132" si="90">+X69</f>
        <v>1.2206895</v>
      </c>
      <c r="AK69" s="710">
        <f t="shared" ref="AK69:AK132" si="91">+Y69</f>
        <v>1.2847756987499999</v>
      </c>
      <c r="AL69" s="710">
        <f t="shared" ref="AL69:AL132" si="92">+Z69</f>
        <v>1.3522264229343748</v>
      </c>
      <c r="AM69" s="710">
        <f t="shared" ref="AM69:AM132" si="93">+AA69</f>
        <v>1.4232183101384295</v>
      </c>
      <c r="AN69" s="710">
        <f t="shared" ref="AN69:AN132" si="94">+AB69</f>
        <v>1.4979372714206971</v>
      </c>
      <c r="AO69" s="711">
        <f t="shared" ref="AO69:AO132" si="95">+AC69</f>
        <v>1.5219042677634282</v>
      </c>
      <c r="AP69" s="707">
        <f t="shared" ref="AP69:AP132" si="96">+AD69</f>
        <v>1.5462547360476431</v>
      </c>
      <c r="AQ69" s="707">
        <f t="shared" ref="AQ69:AQ132" si="97">+AE69</f>
        <v>1.5709948118244055</v>
      </c>
      <c r="AR69" s="707">
        <f t="shared" ref="AR69:AR132" si="98">+AF69</f>
        <v>1.596130728813596</v>
      </c>
      <c r="AS69" s="712">
        <f t="shared" ref="AS69:AS132" si="99">+AG69</f>
        <v>1.6216688204746135</v>
      </c>
      <c r="AU69" s="1369"/>
      <c r="AV69" s="1559"/>
      <c r="AW69" s="1412" t="str">
        <f t="shared" si="48"/>
        <v>Price</v>
      </c>
      <c r="AX69" s="1413" t="str">
        <f t="shared" si="36"/>
        <v>Water</v>
      </c>
      <c r="AY69" s="1414" t="str">
        <f t="shared" si="49"/>
        <v>Variable</v>
      </c>
      <c r="AZ69" s="1415">
        <f t="shared" si="50"/>
        <v>4.4575703433171743E-3</v>
      </c>
      <c r="BA69" s="1415">
        <f t="shared" si="50"/>
        <v>4.4016013686163369E-3</v>
      </c>
      <c r="BB69" s="1415">
        <f t="shared" si="50"/>
        <v>4.4175868880116376E-3</v>
      </c>
      <c r="BC69" s="1415">
        <f t="shared" si="51"/>
        <v>4.4395719416023827E-3</v>
      </c>
      <c r="BD69" s="1415">
        <f t="shared" si="52"/>
        <v>4.4999747648373223E-3</v>
      </c>
      <c r="BE69" s="1415">
        <f t="shared" si="53"/>
        <v>4.4822331515537162E-3</v>
      </c>
      <c r="BF69" s="1415">
        <f t="shared" si="54"/>
        <v>4.4377517648224174E-3</v>
      </c>
      <c r="BG69" s="1416">
        <f t="shared" si="55"/>
        <v>4.4323056082282708E-3</v>
      </c>
      <c r="BH69" s="1417">
        <f t="shared" si="56"/>
        <v>5.2499999999999991E-2</v>
      </c>
      <c r="BI69" s="1417">
        <f t="shared" si="57"/>
        <v>5.2499999999999991E-2</v>
      </c>
      <c r="BJ69" s="1417">
        <f t="shared" si="58"/>
        <v>5.2499999999999991E-2</v>
      </c>
      <c r="BK69" s="1417">
        <f t="shared" si="59"/>
        <v>5.2499999999999991E-2</v>
      </c>
      <c r="BL69" s="1418">
        <f t="shared" si="60"/>
        <v>5.2499999999999991E-2</v>
      </c>
      <c r="BM69" s="1417">
        <f t="shared" si="61"/>
        <v>1.6000000000000014E-2</v>
      </c>
      <c r="BN69" s="1417">
        <f t="shared" si="62"/>
        <v>1.6000000000000014E-2</v>
      </c>
      <c r="BO69" s="1417">
        <f t="shared" si="63"/>
        <v>1.6000000000000014E-2</v>
      </c>
      <c r="BP69" s="1417">
        <f t="shared" si="64"/>
        <v>1.6000000000000014E-2</v>
      </c>
      <c r="BQ69" s="1419">
        <f t="shared" si="65"/>
        <v>1.6000000000000014E-2</v>
      </c>
      <c r="BR69" s="1378"/>
      <c r="BS69" s="1420"/>
      <c r="BT69" s="1421"/>
      <c r="BU69" s="1422"/>
      <c r="BV69" s="1423"/>
      <c r="BW69" s="1378"/>
      <c r="BX69" s="1412" t="str">
        <f t="shared" si="66"/>
        <v>Price</v>
      </c>
      <c r="BY69" s="1413" t="str">
        <f t="shared" si="67"/>
        <v>Water</v>
      </c>
      <c r="BZ69" s="1414" t="str">
        <f t="shared" si="68"/>
        <v>Variable</v>
      </c>
      <c r="CA69" s="1424">
        <f t="shared" ref="CA69:CR69" si="100">IFERROR((P69/O69-1)*(O71/O$13),"-")</f>
        <v>1.0195844363697443E-4</v>
      </c>
      <c r="CB69" s="1415">
        <f t="shared" si="100"/>
        <v>8.7816238093205295E-5</v>
      </c>
      <c r="CC69" s="1415">
        <f t="shared" si="100"/>
        <v>9.4304341749157155E-5</v>
      </c>
      <c r="CD69" s="1415">
        <f t="shared" si="100"/>
        <v>9.2408122340901231E-5</v>
      </c>
      <c r="CE69" s="1415">
        <f t="shared" si="100"/>
        <v>1.0344940572645235E-4</v>
      </c>
      <c r="CF69" s="1415">
        <f t="shared" si="100"/>
        <v>9.9531172059789776E-5</v>
      </c>
      <c r="CG69" s="1415">
        <f t="shared" si="100"/>
        <v>1.0216916506397485E-4</v>
      </c>
      <c r="CH69" s="1425">
        <f t="shared" si="100"/>
        <v>9.6435218768558533E-5</v>
      </c>
      <c r="CI69" s="1417">
        <f t="shared" si="100"/>
        <v>1.170424930439297E-3</v>
      </c>
      <c r="CJ69" s="1417">
        <f t="shared" si="100"/>
        <v>1.1472599612012903E-3</v>
      </c>
      <c r="CK69" s="1417">
        <f t="shared" si="100"/>
        <v>1.1371096558646357E-3</v>
      </c>
      <c r="CL69" s="1417">
        <f t="shared" si="100"/>
        <v>1.1270029618292161E-3</v>
      </c>
      <c r="CM69" s="1418">
        <f t="shared" si="100"/>
        <v>1.1167403365398758E-3</v>
      </c>
      <c r="CN69" s="1417">
        <f t="shared" si="100"/>
        <v>3.3729020413221923E-4</v>
      </c>
      <c r="CO69" s="1417">
        <f t="shared" si="100"/>
        <v>3.340787209140037E-4</v>
      </c>
      <c r="CP69" s="1417">
        <f t="shared" si="100"/>
        <v>3.3081335133247354E-4</v>
      </c>
      <c r="CQ69" s="1417">
        <f t="shared" si="100"/>
        <v>3.2761817773527073E-4</v>
      </c>
      <c r="CR69" s="1419">
        <f t="shared" si="100"/>
        <v>3.242958103457349E-4</v>
      </c>
      <c r="CS69" s="1378"/>
      <c r="CT69" s="1412" t="str">
        <f t="shared" si="39"/>
        <v>Price</v>
      </c>
      <c r="CU69" s="1413" t="str">
        <f t="shared" si="40"/>
        <v>Water</v>
      </c>
      <c r="CV69" s="1426" t="str">
        <f t="shared" si="41"/>
        <v>Variable</v>
      </c>
      <c r="CW69" s="1427">
        <f t="shared" si="70"/>
        <v>5.2499999999999991E-2</v>
      </c>
      <c r="CX69" s="1417">
        <f t="shared" si="71"/>
        <v>5.2499999999999991E-2</v>
      </c>
      <c r="CY69" s="1417">
        <f t="shared" si="72"/>
        <v>5.2499999999999991E-2</v>
      </c>
      <c r="CZ69" s="1419">
        <f t="shared" si="73"/>
        <v>5.2499999999999991E-2</v>
      </c>
      <c r="DA69" s="1417">
        <f t="shared" si="74"/>
        <v>4.6326854261736994E-2</v>
      </c>
      <c r="DB69" s="1417">
        <f t="shared" si="75"/>
        <v>4.1939644324732628E-2</v>
      </c>
      <c r="DC69" s="1417">
        <f t="shared" si="76"/>
        <v>3.8661313083165672E-2</v>
      </c>
      <c r="DD69" s="1417">
        <f t="shared" si="77"/>
        <v>3.6118632816290797E-2</v>
      </c>
      <c r="DE69" s="1419">
        <f t="shared" si="78"/>
        <v>3.4088971027154802E-2</v>
      </c>
      <c r="DF69" s="1378"/>
      <c r="DG69" s="1412" t="str">
        <f t="shared" si="43"/>
        <v>Price</v>
      </c>
      <c r="DH69" s="1413" t="str">
        <f t="shared" si="44"/>
        <v>Water</v>
      </c>
      <c r="DI69" s="1426" t="str">
        <f t="shared" si="45"/>
        <v>Variable</v>
      </c>
      <c r="DJ69" s="1426"/>
      <c r="DK69" s="1427">
        <f t="shared" si="79"/>
        <v>5.2499999999999991E-2</v>
      </c>
      <c r="DL69" s="1417">
        <f t="shared" si="80"/>
        <v>5.2499999999999991E-2</v>
      </c>
      <c r="DM69" s="1417">
        <f t="shared" si="81"/>
        <v>5.2499999999999991E-2</v>
      </c>
      <c r="DN69" s="1418">
        <f t="shared" si="82"/>
        <v>4.5096576751770812E-2</v>
      </c>
      <c r="DO69" s="1417">
        <f t="shared" si="83"/>
        <v>4.0189915391222852E-2</v>
      </c>
      <c r="DP69" s="1417">
        <f t="shared" si="84"/>
        <v>3.6699267547710912E-2</v>
      </c>
      <c r="DQ69" s="1417">
        <f t="shared" si="85"/>
        <v>3.4088971027154802E-2</v>
      </c>
      <c r="DR69" s="1419">
        <f t="shared" si="86"/>
        <v>3.2063285160126576E-2</v>
      </c>
    </row>
    <row r="70" spans="4:122">
      <c r="E70" s="742" t="s">
        <v>45</v>
      </c>
      <c r="F70" s="722" t="str">
        <f>+F69</f>
        <v>Water</v>
      </c>
      <c r="G70" s="723" t="str">
        <f>+G69</f>
        <v>Water Volumetric - Major Customers</v>
      </c>
      <c r="H70" s="723">
        <f>+H69</f>
        <v>0</v>
      </c>
      <c r="I70" s="724" t="str">
        <f>+I69</f>
        <v>Variable</v>
      </c>
      <c r="J70" s="782" t="s">
        <v>47</v>
      </c>
      <c r="K70" s="1540"/>
      <c r="L70" s="1541"/>
      <c r="M70" s="1541"/>
      <c r="N70" s="1542"/>
      <c r="O70" s="2031">
        <v>1540786</v>
      </c>
      <c r="P70" s="1543">
        <v>1372694</v>
      </c>
      <c r="Q70" s="1543">
        <v>1436419</v>
      </c>
      <c r="R70" s="1543">
        <v>1369014</v>
      </c>
      <c r="S70" s="1543">
        <v>1454414</v>
      </c>
      <c r="T70" s="1543">
        <v>1448194</v>
      </c>
      <c r="U70" s="1543">
        <v>1570436</v>
      </c>
      <c r="V70" s="1543">
        <v>1547845</v>
      </c>
      <c r="W70" s="1543">
        <v>1550704</v>
      </c>
      <c r="X70" s="1544">
        <v>1553571</v>
      </c>
      <c r="Y70" s="1543">
        <v>1556446</v>
      </c>
      <c r="Z70" s="1543">
        <v>1559329</v>
      </c>
      <c r="AA70" s="1543">
        <v>1562220</v>
      </c>
      <c r="AB70" s="1543">
        <v>1565118</v>
      </c>
      <c r="AC70" s="1544">
        <v>1568025</v>
      </c>
      <c r="AD70" s="1543">
        <v>1570940</v>
      </c>
      <c r="AE70" s="1543">
        <v>1573863</v>
      </c>
      <c r="AF70" s="1543">
        <v>1576795</v>
      </c>
      <c r="AG70" s="788">
        <v>1579734</v>
      </c>
      <c r="AH70" s="697"/>
      <c r="AI70" s="707"/>
      <c r="AJ70" s="709">
        <f t="shared" si="90"/>
        <v>1553571</v>
      </c>
      <c r="AK70" s="710">
        <f t="shared" si="91"/>
        <v>1556446</v>
      </c>
      <c r="AL70" s="710">
        <f t="shared" si="92"/>
        <v>1559329</v>
      </c>
      <c r="AM70" s="710">
        <f t="shared" si="93"/>
        <v>1562220</v>
      </c>
      <c r="AN70" s="710">
        <f t="shared" si="94"/>
        <v>1565118</v>
      </c>
      <c r="AO70" s="711">
        <f t="shared" si="95"/>
        <v>1568025</v>
      </c>
      <c r="AP70" s="707">
        <f t="shared" si="96"/>
        <v>1570940</v>
      </c>
      <c r="AQ70" s="707">
        <f t="shared" si="97"/>
        <v>1573863</v>
      </c>
      <c r="AR70" s="707">
        <f t="shared" si="98"/>
        <v>1576795</v>
      </c>
      <c r="AS70" s="712">
        <f t="shared" si="99"/>
        <v>1579734</v>
      </c>
      <c r="AV70" s="1559"/>
      <c r="AW70" s="1392" t="str">
        <f t="shared" si="48"/>
        <v>Qty</v>
      </c>
      <c r="AX70" s="1393" t="str">
        <f t="shared" si="36"/>
        <v>Water</v>
      </c>
      <c r="AY70" s="1394" t="str">
        <f t="shared" si="49"/>
        <v>Variable</v>
      </c>
      <c r="AZ70" s="1395">
        <f t="shared" si="50"/>
        <v>-0.10909496841222599</v>
      </c>
      <c r="BA70" s="1395">
        <f t="shared" si="50"/>
        <v>4.6423310657728534E-2</v>
      </c>
      <c r="BB70" s="1395">
        <f t="shared" si="50"/>
        <v>-4.6925722926249192E-2</v>
      </c>
      <c r="BC70" s="1395">
        <f t="shared" si="51"/>
        <v>6.2380662286872113E-2</v>
      </c>
      <c r="BD70" s="1395">
        <f t="shared" si="52"/>
        <v>-4.2766365010238339E-3</v>
      </c>
      <c r="BE70" s="1395">
        <f t="shared" si="53"/>
        <v>8.4409961648784559E-2</v>
      </c>
      <c r="BF70" s="1395">
        <f t="shared" si="54"/>
        <v>-1.438517711005094E-2</v>
      </c>
      <c r="BG70" s="1396">
        <f t="shared" si="55"/>
        <v>1.8470841718647435E-3</v>
      </c>
      <c r="BH70" s="1395">
        <f t="shared" si="56"/>
        <v>1.8488376892042968E-3</v>
      </c>
      <c r="BI70" s="1395">
        <f t="shared" si="57"/>
        <v>1.8505752231472439E-3</v>
      </c>
      <c r="BJ70" s="1395">
        <f t="shared" si="58"/>
        <v>1.8522968352259195E-3</v>
      </c>
      <c r="BK70" s="1395">
        <f t="shared" si="59"/>
        <v>1.8540025870101839E-3</v>
      </c>
      <c r="BL70" s="1397">
        <f t="shared" si="60"/>
        <v>1.8550524253946321E-3</v>
      </c>
      <c r="BM70" s="1395">
        <f t="shared" si="61"/>
        <v>1.8573679428643963E-3</v>
      </c>
      <c r="BN70" s="1395">
        <f t="shared" si="62"/>
        <v>1.8590264823583613E-3</v>
      </c>
      <c r="BO70" s="1395">
        <f t="shared" si="63"/>
        <v>1.8606694081251263E-3</v>
      </c>
      <c r="BP70" s="1395">
        <f t="shared" si="64"/>
        <v>1.8629321611856042E-3</v>
      </c>
      <c r="BQ70" s="1398">
        <f t="shared" si="65"/>
        <v>1.8639074832176306E-3</v>
      </c>
      <c r="BR70" s="1378"/>
      <c r="BS70" s="1329"/>
      <c r="BT70" s="1399"/>
      <c r="BU70" s="1331"/>
      <c r="BV70" s="1400"/>
      <c r="BW70" s="1378"/>
      <c r="BX70" s="1392" t="str">
        <f t="shared" si="66"/>
        <v>Qty</v>
      </c>
      <c r="BY70" s="1393" t="str">
        <f t="shared" si="67"/>
        <v>Water</v>
      </c>
      <c r="BZ70" s="1394" t="str">
        <f t="shared" si="68"/>
        <v>Variable</v>
      </c>
      <c r="CA70" s="1401">
        <f t="shared" ref="CA70:CR70" si="101">IFERROR((P70/O70-1)*(O71/O$13),"-")</f>
        <v>-2.4953399119346195E-3</v>
      </c>
      <c r="CB70" s="1395">
        <f t="shared" si="101"/>
        <v>9.2619030220709401E-4</v>
      </c>
      <c r="CC70" s="1395">
        <f t="shared" si="101"/>
        <v>-1.001745868015082E-3</v>
      </c>
      <c r="CD70" s="1395">
        <f t="shared" si="101"/>
        <v>1.2984314587390464E-3</v>
      </c>
      <c r="CE70" s="1395">
        <f t="shared" si="101"/>
        <v>-9.8315107897047006E-5</v>
      </c>
      <c r="CF70" s="1395">
        <f t="shared" si="101"/>
        <v>1.874383177392986E-3</v>
      </c>
      <c r="CG70" s="1395">
        <f t="shared" si="101"/>
        <v>-3.311860627900894E-4</v>
      </c>
      <c r="CH70" s="1397">
        <f t="shared" si="101"/>
        <v>4.0187654449423209E-5</v>
      </c>
      <c r="CI70" s="1395">
        <f t="shared" si="101"/>
        <v>4.1217632833914098E-5</v>
      </c>
      <c r="CJ70" s="1395">
        <f t="shared" si="101"/>
        <v>4.0439825880151929E-5</v>
      </c>
      <c r="CK70" s="1395">
        <f t="shared" si="101"/>
        <v>4.0119326035483794E-5</v>
      </c>
      <c r="CL70" s="1395">
        <f t="shared" si="101"/>
        <v>3.9799360129514415E-5</v>
      </c>
      <c r="CM70" s="1397">
        <f t="shared" si="101"/>
        <v>3.9459273711129807E-5</v>
      </c>
      <c r="CN70" s="1395">
        <f t="shared" si="101"/>
        <v>3.9154500787335738E-5</v>
      </c>
      <c r="CO70" s="1395">
        <f t="shared" si="101"/>
        <v>3.881632433572128E-5</v>
      </c>
      <c r="CP70" s="1395">
        <f t="shared" si="101"/>
        <v>3.8470892663980152E-5</v>
      </c>
      <c r="CQ70" s="1395">
        <f t="shared" si="101"/>
        <v>3.8145652493253548E-5</v>
      </c>
      <c r="CR70" s="1398">
        <f t="shared" si="101"/>
        <v>3.7778586729971265E-5</v>
      </c>
      <c r="CS70" s="1378"/>
      <c r="CT70" s="1392" t="str">
        <f t="shared" si="39"/>
        <v>Qty</v>
      </c>
      <c r="CU70" s="1393" t="str">
        <f t="shared" si="40"/>
        <v>Water</v>
      </c>
      <c r="CV70" s="1393" t="str">
        <f t="shared" si="41"/>
        <v>Variable</v>
      </c>
      <c r="CW70" s="1401">
        <f t="shared" si="70"/>
        <v>1.8497064557991827E-3</v>
      </c>
      <c r="CX70" s="1395">
        <f t="shared" si="71"/>
        <v>1.8505699148638755E-3</v>
      </c>
      <c r="CY70" s="1395">
        <f t="shared" si="72"/>
        <v>1.8514280817978346E-3</v>
      </c>
      <c r="CZ70" s="1398">
        <f t="shared" si="73"/>
        <v>1.8521529494681666E-3</v>
      </c>
      <c r="DA70" s="1395">
        <f t="shared" si="74"/>
        <v>1.8530221131491942E-3</v>
      </c>
      <c r="DB70" s="1395">
        <f t="shared" si="75"/>
        <v>1.8538798779759169E-3</v>
      </c>
      <c r="DC70" s="1395">
        <f t="shared" si="76"/>
        <v>1.8547285667280811E-3</v>
      </c>
      <c r="DD70" s="1395">
        <f t="shared" si="77"/>
        <v>1.8556400739062617E-3</v>
      </c>
      <c r="DE70" s="1398">
        <f t="shared" si="78"/>
        <v>1.8564668117673211E-3</v>
      </c>
      <c r="DF70" s="1378"/>
      <c r="DG70" s="1392" t="str">
        <f t="shared" si="43"/>
        <v>Qty</v>
      </c>
      <c r="DH70" s="1393" t="str">
        <f t="shared" si="44"/>
        <v>Water</v>
      </c>
      <c r="DI70" s="1393" t="str">
        <f t="shared" si="45"/>
        <v>Variable</v>
      </c>
      <c r="DJ70" s="1393"/>
      <c r="DK70" s="1401">
        <f t="shared" si="79"/>
        <v>1.8514360288166554E-3</v>
      </c>
      <c r="DL70" s="1395">
        <f t="shared" si="80"/>
        <v>1.8522915474841195E-3</v>
      </c>
      <c r="DM70" s="1395">
        <f t="shared" si="81"/>
        <v>1.8529817662484849E-3</v>
      </c>
      <c r="DN70" s="1397">
        <f t="shared" si="82"/>
        <v>1.8538590000354294E-3</v>
      </c>
      <c r="DO70" s="1395">
        <f t="shared" si="83"/>
        <v>1.8547202452381395E-3</v>
      </c>
      <c r="DP70" s="1395">
        <f t="shared" si="84"/>
        <v>1.8555701234876931E-3</v>
      </c>
      <c r="DQ70" s="1395">
        <f t="shared" si="85"/>
        <v>1.8564903752413819E-3</v>
      </c>
      <c r="DR70" s="1398">
        <f t="shared" si="86"/>
        <v>1.857314495638196E-3</v>
      </c>
    </row>
    <row r="71" spans="4:122" ht="12.75" thickBot="1">
      <c r="E71" s="743" t="s">
        <v>46</v>
      </c>
      <c r="F71" s="732" t="str">
        <f>+F69</f>
        <v>Water</v>
      </c>
      <c r="G71" s="733" t="str">
        <f>+G69</f>
        <v>Water Volumetric - Major Customers</v>
      </c>
      <c r="H71" s="733">
        <f>+H69</f>
        <v>0</v>
      </c>
      <c r="I71" s="734" t="str">
        <f>+I69</f>
        <v>Variable</v>
      </c>
      <c r="J71" s="735" t="s">
        <v>344</v>
      </c>
      <c r="K71" s="736">
        <f t="shared" ref="K71:AG71" si="102">K69*K70/10^6</f>
        <v>0</v>
      </c>
      <c r="L71" s="737">
        <f t="shared" si="102"/>
        <v>0</v>
      </c>
      <c r="M71" s="737">
        <f t="shared" si="102"/>
        <v>0</v>
      </c>
      <c r="N71" s="738">
        <f t="shared" si="102"/>
        <v>0</v>
      </c>
      <c r="O71" s="1923">
        <f t="shared" si="102"/>
        <v>1.7246954718988232</v>
      </c>
      <c r="P71" s="737">
        <f>P69*P70/10^6</f>
        <v>1.5433891084444049</v>
      </c>
      <c r="Q71" s="737">
        <f t="shared" si="102"/>
        <v>1.6221470954613495</v>
      </c>
      <c r="R71" s="737">
        <f t="shared" si="102"/>
        <v>1.5528563774614061</v>
      </c>
      <c r="S71" s="737">
        <f t="shared" si="102"/>
        <v>1.6570486577104326</v>
      </c>
      <c r="T71" s="1531">
        <f t="shared" si="102"/>
        <v>1.6573868505830507</v>
      </c>
      <c r="U71" s="737">
        <f t="shared" si="102"/>
        <v>1.8053426696054298</v>
      </c>
      <c r="V71" s="737">
        <f t="shared" si="102"/>
        <v>1.7872689089912661</v>
      </c>
      <c r="W71" s="737">
        <f t="shared" si="102"/>
        <v>1.7985064991999999</v>
      </c>
      <c r="X71" s="738">
        <f t="shared" si="102"/>
        <v>1.8964278072045</v>
      </c>
      <c r="Y71" s="737">
        <f t="shared" si="102"/>
        <v>1.9996839972166425</v>
      </c>
      <c r="Z71" s="737">
        <f t="shared" si="102"/>
        <v>2.1085658758478356</v>
      </c>
      <c r="AA71" s="737">
        <f t="shared" si="102"/>
        <v>2.2233801084644571</v>
      </c>
      <c r="AB71" s="737">
        <f t="shared" si="102"/>
        <v>2.3444485863714184</v>
      </c>
      <c r="AC71" s="738">
        <f t="shared" si="102"/>
        <v>2.3863839394597495</v>
      </c>
      <c r="AD71" s="737">
        <f t="shared" si="102"/>
        <v>2.4290734150466844</v>
      </c>
      <c r="AE71" s="737">
        <f t="shared" si="102"/>
        <v>2.4725306075223945</v>
      </c>
      <c r="AF71" s="737">
        <f t="shared" si="102"/>
        <v>2.516770952539634</v>
      </c>
      <c r="AG71" s="739">
        <f t="shared" si="102"/>
        <v>2.5618053724436431</v>
      </c>
      <c r="AH71" s="697"/>
      <c r="AI71" s="707"/>
      <c r="AJ71" s="709">
        <f t="shared" si="90"/>
        <v>1.8964278072045</v>
      </c>
      <c r="AK71" s="710">
        <f t="shared" si="91"/>
        <v>1.9996839972166425</v>
      </c>
      <c r="AL71" s="710">
        <f t="shared" si="92"/>
        <v>2.1085658758478356</v>
      </c>
      <c r="AM71" s="710">
        <f t="shared" si="93"/>
        <v>2.2233801084644571</v>
      </c>
      <c r="AN71" s="710">
        <f t="shared" si="94"/>
        <v>2.3444485863714184</v>
      </c>
      <c r="AO71" s="711">
        <f t="shared" si="95"/>
        <v>2.3863839394597495</v>
      </c>
      <c r="AP71" s="707">
        <f t="shared" si="96"/>
        <v>2.4290734150466844</v>
      </c>
      <c r="AQ71" s="707">
        <f t="shared" si="97"/>
        <v>2.4725306075223945</v>
      </c>
      <c r="AR71" s="707">
        <f t="shared" si="98"/>
        <v>2.516770952539634</v>
      </c>
      <c r="AS71" s="712">
        <f t="shared" si="99"/>
        <v>2.5618053724436431</v>
      </c>
      <c r="AV71" s="1559"/>
      <c r="AW71" s="1428" t="str">
        <f t="shared" si="48"/>
        <v>Rev</v>
      </c>
      <c r="AX71" s="1429" t="str">
        <f t="shared" si="36"/>
        <v>Water</v>
      </c>
      <c r="AY71" s="1430" t="str">
        <f t="shared" si="49"/>
        <v>Variable</v>
      </c>
      <c r="AZ71" s="1431">
        <f t="shared" si="50"/>
        <v>-0.10512369656470832</v>
      </c>
      <c r="BA71" s="1431">
        <f t="shared" si="50"/>
        <v>5.1029248934071791E-2</v>
      </c>
      <c r="BB71" s="1431">
        <f t="shared" si="50"/>
        <v>-4.2715434496547022E-2</v>
      </c>
      <c r="BC71" s="1431">
        <f t="shared" si="51"/>
        <v>6.7097177666461949E-2</v>
      </c>
      <c r="BD71" s="1431">
        <f t="shared" si="52"/>
        <v>2.0409350748051835E-4</v>
      </c>
      <c r="BE71" s="1431">
        <f t="shared" si="53"/>
        <v>8.9270539928761883E-2</v>
      </c>
      <c r="BF71" s="1431">
        <f t="shared" si="54"/>
        <v>-1.0011263190335962E-2</v>
      </c>
      <c r="BG71" s="1432">
        <f t="shared" si="55"/>
        <v>6.2875766216268225E-3</v>
      </c>
      <c r="BH71" s="1431">
        <f t="shared" si="56"/>
        <v>5.4445901667887542E-2</v>
      </c>
      <c r="BI71" s="1431">
        <f t="shared" si="57"/>
        <v>5.4447730422362506E-2</v>
      </c>
      <c r="BJ71" s="1431">
        <f t="shared" si="58"/>
        <v>5.4449542419074959E-2</v>
      </c>
      <c r="BK71" s="1431">
        <f t="shared" si="59"/>
        <v>5.4451337722828175E-2</v>
      </c>
      <c r="BL71" s="1433">
        <f t="shared" si="60"/>
        <v>5.4452442677727975E-2</v>
      </c>
      <c r="BM71" s="1431">
        <f t="shared" si="61"/>
        <v>1.7887085829950244E-2</v>
      </c>
      <c r="BN71" s="1431">
        <f t="shared" si="62"/>
        <v>1.7888770906076212E-2</v>
      </c>
      <c r="BO71" s="1431">
        <f t="shared" si="63"/>
        <v>1.789044011865526E-2</v>
      </c>
      <c r="BP71" s="1431">
        <f t="shared" si="64"/>
        <v>1.7892739075764386E-2</v>
      </c>
      <c r="BQ71" s="1434">
        <f t="shared" si="65"/>
        <v>1.7893730002949138E-2</v>
      </c>
      <c r="BR71" s="1378"/>
      <c r="BS71" s="1407"/>
      <c r="BT71" s="1408"/>
      <c r="BU71" s="1409"/>
      <c r="BV71" s="1410"/>
      <c r="BW71" s="1378"/>
      <c r="BX71" s="1428" t="str">
        <f t="shared" si="66"/>
        <v>Rev</v>
      </c>
      <c r="BY71" s="1429" t="str">
        <f t="shared" si="67"/>
        <v>Water</v>
      </c>
      <c r="BZ71" s="1430" t="str">
        <f t="shared" si="68"/>
        <v>Variable</v>
      </c>
      <c r="CA71" s="1435">
        <f t="shared" ref="CA71:CR71" si="103">IFERROR((P71/O71-1)*(O71/O$13),"-")</f>
        <v>-2.4045046214855818E-3</v>
      </c>
      <c r="CB71" s="1431">
        <f t="shared" si="103"/>
        <v>1.0180832608020964E-3</v>
      </c>
      <c r="CC71" s="1431">
        <f t="shared" si="103"/>
        <v>-9.1186682567758815E-4</v>
      </c>
      <c r="CD71" s="1431">
        <f t="shared" si="103"/>
        <v>1.3966040609522611E-3</v>
      </c>
      <c r="CE71" s="1431">
        <f t="shared" si="103"/>
        <v>4.6918823248668024E-6</v>
      </c>
      <c r="CF71" s="1431">
        <f t="shared" si="103"/>
        <v>1.9823157718692024E-3</v>
      </c>
      <c r="CG71" s="1431">
        <f t="shared" si="103"/>
        <v>-2.3048661926074648E-4</v>
      </c>
      <c r="CH71" s="1433">
        <f t="shared" si="103"/>
        <v>1.3680099718417908E-4</v>
      </c>
      <c r="CI71" s="1431">
        <f t="shared" si="103"/>
        <v>1.2138064889969922E-3</v>
      </c>
      <c r="CJ71" s="1431">
        <f t="shared" si="103"/>
        <v>1.189822877940151E-3</v>
      </c>
      <c r="CK71" s="1431">
        <f t="shared" si="103"/>
        <v>1.1793352465169756E-3</v>
      </c>
      <c r="CL71" s="1431">
        <f t="shared" si="103"/>
        <v>1.1688917883655294E-3</v>
      </c>
      <c r="CM71" s="1433">
        <f t="shared" si="103"/>
        <v>1.1582712221208428E-3</v>
      </c>
      <c r="CN71" s="1431">
        <f t="shared" si="103"/>
        <v>3.7707117693215245E-4</v>
      </c>
      <c r="CO71" s="1431">
        <f t="shared" si="103"/>
        <v>3.735161064390987E-4</v>
      </c>
      <c r="CP71" s="1431">
        <f t="shared" si="103"/>
        <v>3.6989977827907978E-4</v>
      </c>
      <c r="CQ71" s="1431">
        <f t="shared" si="103"/>
        <v>3.6637416066841221E-4</v>
      </c>
      <c r="CR71" s="1434">
        <f t="shared" si="103"/>
        <v>3.6267885446338591E-4</v>
      </c>
      <c r="CS71" s="1378"/>
      <c r="CT71" s="1428" t="str">
        <f t="shared" si="39"/>
        <v>Rev</v>
      </c>
      <c r="CU71" s="1429" t="str">
        <f t="shared" si="40"/>
        <v>Water</v>
      </c>
      <c r="CV71" s="1429" t="str">
        <f t="shared" si="41"/>
        <v>Variable</v>
      </c>
      <c r="CW71" s="1435">
        <f t="shared" si="70"/>
        <v>5.4446816044728452E-2</v>
      </c>
      <c r="CX71" s="1431">
        <f t="shared" si="71"/>
        <v>5.4447724835394062E-2</v>
      </c>
      <c r="CY71" s="1431">
        <f t="shared" si="72"/>
        <v>5.4448628056092074E-2</v>
      </c>
      <c r="CZ71" s="1434">
        <f t="shared" si="73"/>
        <v>5.4449390979315337E-2</v>
      </c>
      <c r="DA71" s="1431">
        <f t="shared" si="74"/>
        <v>4.8265721060265721E-2</v>
      </c>
      <c r="DB71" s="1431">
        <f t="shared" si="75"/>
        <v>4.3871275265411569E-2</v>
      </c>
      <c r="DC71" s="1431">
        <f t="shared" si="76"/>
        <v>4.0587747891696502E-2</v>
      </c>
      <c r="DD71" s="1431">
        <f t="shared" si="77"/>
        <v>3.8041296072665709E-2</v>
      </c>
      <c r="DE71" s="1434">
        <f t="shared" si="78"/>
        <v>3.6008722882281408E-2</v>
      </c>
      <c r="DF71" s="1378"/>
      <c r="DG71" s="1428" t="str">
        <f t="shared" si="43"/>
        <v>Rev</v>
      </c>
      <c r="DH71" s="1429" t="str">
        <f t="shared" si="44"/>
        <v>Water</v>
      </c>
      <c r="DI71" s="1429" t="str">
        <f t="shared" si="45"/>
        <v>Variable</v>
      </c>
      <c r="DJ71" s="1429"/>
      <c r="DK71" s="1435">
        <f t="shared" si="79"/>
        <v>5.4448636420329599E-2</v>
      </c>
      <c r="DL71" s="1431">
        <f t="shared" si="80"/>
        <v>5.4449536853726777E-2</v>
      </c>
      <c r="DM71" s="1431">
        <f t="shared" si="81"/>
        <v>5.4450263308976288E-2</v>
      </c>
      <c r="DN71" s="1433">
        <f t="shared" si="82"/>
        <v>4.7034038446488236E-2</v>
      </c>
      <c r="DO71" s="1431">
        <f t="shared" si="83"/>
        <v>4.2119176686191695E-2</v>
      </c>
      <c r="DP71" s="1431">
        <f t="shared" si="84"/>
        <v>3.8622935735614261E-2</v>
      </c>
      <c r="DQ71" s="1431">
        <f t="shared" si="85"/>
        <v>3.6008747249010264E-2</v>
      </c>
      <c r="DR71" s="1434">
        <f t="shared" si="86"/>
        <v>3.398015126007059E-2</v>
      </c>
    </row>
    <row r="72" spans="4:122">
      <c r="D72" s="70">
        <f>D69+1</f>
        <v>3</v>
      </c>
      <c r="E72" s="713" t="s">
        <v>44</v>
      </c>
      <c r="F72" s="1532" t="s">
        <v>20</v>
      </c>
      <c r="G72" s="1532" t="s">
        <v>865</v>
      </c>
      <c r="H72" s="1532"/>
      <c r="I72" s="781" t="s">
        <v>319</v>
      </c>
      <c r="J72" s="781" t="s">
        <v>345</v>
      </c>
      <c r="K72" s="1533"/>
      <c r="L72" s="1534"/>
      <c r="M72" s="1534"/>
      <c r="N72" s="1535"/>
      <c r="O72" s="2071">
        <v>257.65289592760178</v>
      </c>
      <c r="P72" s="1547">
        <v>258.80802841918296</v>
      </c>
      <c r="Q72" s="1547">
        <v>255.40564417177913</v>
      </c>
      <c r="R72" s="1547">
        <v>249.92953687821611</v>
      </c>
      <c r="S72" s="1547">
        <v>244.07094147582697</v>
      </c>
      <c r="T72" s="1547">
        <v>240.41644067796608</v>
      </c>
      <c r="U72" s="1547">
        <v>244.48481900452489</v>
      </c>
      <c r="V72" s="1547">
        <v>244.91425764192135</v>
      </c>
      <c r="W72" s="1547">
        <v>247.21</v>
      </c>
      <c r="X72" s="1550">
        <v>270.41399600261997</v>
      </c>
      <c r="Y72" s="1551">
        <v>294.97317345618336</v>
      </c>
      <c r="Z72" s="1551">
        <v>320.96089052810521</v>
      </c>
      <c r="AA72" s="1551">
        <v>348.45240567951356</v>
      </c>
      <c r="AB72" s="1551">
        <v>377.52767773876008</v>
      </c>
      <c r="AC72" s="1550">
        <v>383.56812058258026</v>
      </c>
      <c r="AD72" s="1551">
        <v>389.70521051190156</v>
      </c>
      <c r="AE72" s="1551">
        <v>395.94049388009199</v>
      </c>
      <c r="AF72" s="1551">
        <v>402.27554178217349</v>
      </c>
      <c r="AG72" s="1552">
        <v>408.71195045068828</v>
      </c>
      <c r="AH72" s="697"/>
      <c r="AI72" s="707"/>
      <c r="AJ72" s="709">
        <f t="shared" si="90"/>
        <v>270.41399600261997</v>
      </c>
      <c r="AK72" s="710">
        <f t="shared" si="91"/>
        <v>294.97317345618336</v>
      </c>
      <c r="AL72" s="710">
        <f t="shared" si="92"/>
        <v>320.96089052810521</v>
      </c>
      <c r="AM72" s="710">
        <f t="shared" si="93"/>
        <v>348.45240567951356</v>
      </c>
      <c r="AN72" s="710">
        <f t="shared" si="94"/>
        <v>377.52767773876008</v>
      </c>
      <c r="AO72" s="711">
        <f t="shared" si="95"/>
        <v>383.56812058258026</v>
      </c>
      <c r="AP72" s="707">
        <f t="shared" si="96"/>
        <v>389.70521051190156</v>
      </c>
      <c r="AQ72" s="707">
        <f t="shared" si="97"/>
        <v>395.94049388009199</v>
      </c>
      <c r="AR72" s="707">
        <f t="shared" si="98"/>
        <v>402.27554178217349</v>
      </c>
      <c r="AS72" s="712">
        <f t="shared" si="99"/>
        <v>408.71195045068828</v>
      </c>
      <c r="AU72" s="1369"/>
      <c r="AV72" s="1559"/>
      <c r="AW72" s="1412" t="str">
        <f t="shared" si="48"/>
        <v>Price</v>
      </c>
      <c r="AX72" s="1413" t="str">
        <f t="shared" si="36"/>
        <v>Water</v>
      </c>
      <c r="AY72" s="1414" t="str">
        <f t="shared" si="49"/>
        <v>Fixed</v>
      </c>
      <c r="AZ72" s="1415">
        <f t="shared" si="50"/>
        <v>4.4832893782251748E-3</v>
      </c>
      <c r="BA72" s="1415">
        <f t="shared" si="50"/>
        <v>-1.3146362839614456E-2</v>
      </c>
      <c r="BB72" s="1415">
        <f t="shared" si="50"/>
        <v>-2.1440823327615766E-2</v>
      </c>
      <c r="BC72" s="1415">
        <f t="shared" si="51"/>
        <v>-2.3440988510469163E-2</v>
      </c>
      <c r="BD72" s="1415">
        <f t="shared" si="52"/>
        <v>-1.4973108948419522E-2</v>
      </c>
      <c r="BE72" s="1415">
        <f t="shared" si="53"/>
        <v>1.6922213452150503E-2</v>
      </c>
      <c r="BF72" s="1415">
        <f t="shared" si="54"/>
        <v>1.7565043062592878E-3</v>
      </c>
      <c r="BG72" s="1416">
        <f t="shared" si="55"/>
        <v>9.3736574594818212E-3</v>
      </c>
      <c r="BH72" s="1417">
        <f t="shared" si="56"/>
        <v>9.386350067804683E-2</v>
      </c>
      <c r="BI72" s="1417">
        <f t="shared" si="57"/>
        <v>9.0820659494730505E-2</v>
      </c>
      <c r="BJ72" s="1417">
        <f t="shared" si="58"/>
        <v>8.8101967943136295E-2</v>
      </c>
      <c r="BK72" s="1417">
        <f t="shared" si="59"/>
        <v>8.5653785126823756E-2</v>
      </c>
      <c r="BL72" s="1418">
        <f t="shared" si="60"/>
        <v>8.344115748762615E-2</v>
      </c>
      <c r="BM72" s="1417">
        <f t="shared" si="61"/>
        <v>1.6000000000000014E-2</v>
      </c>
      <c r="BN72" s="1417">
        <f t="shared" si="62"/>
        <v>1.6000000000000014E-2</v>
      </c>
      <c r="BO72" s="1417">
        <f t="shared" si="63"/>
        <v>1.6000000000000014E-2</v>
      </c>
      <c r="BP72" s="1417">
        <f t="shared" si="64"/>
        <v>1.6000000000000014E-2</v>
      </c>
      <c r="BQ72" s="1419">
        <f t="shared" si="65"/>
        <v>1.6000000000000014E-2</v>
      </c>
      <c r="BR72" s="1378"/>
      <c r="BS72" s="1420"/>
      <c r="BT72" s="1421"/>
      <c r="BU72" s="1422"/>
      <c r="BV72" s="1423"/>
      <c r="BW72" s="1378"/>
      <c r="BX72" s="1412" t="str">
        <f t="shared" si="66"/>
        <v>Price</v>
      </c>
      <c r="BY72" s="1413" t="str">
        <f t="shared" si="67"/>
        <v>Water</v>
      </c>
      <c r="BZ72" s="1414" t="str">
        <f t="shared" si="68"/>
        <v>Fixed</v>
      </c>
      <c r="CA72" s="1424">
        <f t="shared" ref="CA72:CR72" si="104">IFERROR((P72/O72-1)*(O74/O$13),"-")</f>
        <v>5.5061318740047278E-4</v>
      </c>
      <c r="CB72" s="1415">
        <f t="shared" si="104"/>
        <v>-1.6055520936198891E-3</v>
      </c>
      <c r="CC72" s="1415">
        <f t="shared" si="104"/>
        <v>-2.6739238471945167E-3</v>
      </c>
      <c r="CD72" s="1415">
        <f t="shared" si="104"/>
        <v>-2.9809690573011048E-3</v>
      </c>
      <c r="CE72" s="1415">
        <f t="shared" si="104"/>
        <v>-1.9645360951714222E-3</v>
      </c>
      <c r="CF72" s="1415">
        <f t="shared" si="104"/>
        <v>2.1329411632957274E-3</v>
      </c>
      <c r="CG72" s="1415">
        <f t="shared" si="104"/>
        <v>2.1797325196548149E-4</v>
      </c>
      <c r="CH72" s="1425">
        <f t="shared" si="104"/>
        <v>1.131416832504954E-3</v>
      </c>
      <c r="CI72" s="1417">
        <f t="shared" si="104"/>
        <v>1.1843763679030506E-2</v>
      </c>
      <c r="CJ72" s="1417">
        <f t="shared" si="104"/>
        <v>1.1852714348911195E-2</v>
      </c>
      <c r="CK72" s="1417">
        <f t="shared" si="104"/>
        <v>1.199111041305647E-2</v>
      </c>
      <c r="CL72" s="1417">
        <f t="shared" si="104"/>
        <v>1.2127071052804483E-2</v>
      </c>
      <c r="CM72" s="1418">
        <f t="shared" si="104"/>
        <v>1.2259023454669902E-2</v>
      </c>
      <c r="CN72" s="1417">
        <f t="shared" si="104"/>
        <v>2.4346794972647575E-3</v>
      </c>
      <c r="CO72" s="1417">
        <f t="shared" si="104"/>
        <v>2.4482665340713598E-3</v>
      </c>
      <c r="CP72" s="1417">
        <f t="shared" si="104"/>
        <v>2.4612354303390222E-3</v>
      </c>
      <c r="CQ72" s="1417">
        <f t="shared" si="104"/>
        <v>2.4745925222707105E-3</v>
      </c>
      <c r="CR72" s="1419">
        <f t="shared" si="104"/>
        <v>2.4868254847561716E-3</v>
      </c>
      <c r="CS72" s="1378"/>
      <c r="CT72" s="1412" t="str">
        <f t="shared" si="39"/>
        <v>Price</v>
      </c>
      <c r="CU72" s="1413" t="str">
        <f t="shared" si="40"/>
        <v>Water</v>
      </c>
      <c r="CV72" s="1426" t="str">
        <f t="shared" si="41"/>
        <v>Fixed</v>
      </c>
      <c r="CW72" s="1427">
        <f t="shared" si="70"/>
        <v>9.2341020564018716E-2</v>
      </c>
      <c r="CX72" s="1417">
        <f t="shared" si="71"/>
        <v>9.0926171238317366E-2</v>
      </c>
      <c r="CY72" s="1417">
        <f t="shared" si="72"/>
        <v>8.9605679095298596E-2</v>
      </c>
      <c r="CZ72" s="1419">
        <f t="shared" si="73"/>
        <v>8.8369975167441828E-2</v>
      </c>
      <c r="DA72" s="1417">
        <f t="shared" si="74"/>
        <v>7.5959881261861373E-2</v>
      </c>
      <c r="DB72" s="1417">
        <f t="shared" si="75"/>
        <v>6.7182258973948805E-2</v>
      </c>
      <c r="DC72" s="1417">
        <f t="shared" si="76"/>
        <v>6.0646066620444694E-2</v>
      </c>
      <c r="DD72" s="1417">
        <f t="shared" si="77"/>
        <v>5.5590050720942585E-2</v>
      </c>
      <c r="DE72" s="1419">
        <f t="shared" si="78"/>
        <v>5.156259669604113E-2</v>
      </c>
      <c r="DF72" s="1378"/>
      <c r="DG72" s="1412" t="str">
        <f t="shared" si="43"/>
        <v>Price</v>
      </c>
      <c r="DH72" s="1413" t="str">
        <f t="shared" si="44"/>
        <v>Water</v>
      </c>
      <c r="DI72" s="1426" t="str">
        <f t="shared" si="45"/>
        <v>Fixed</v>
      </c>
      <c r="DJ72" s="1426"/>
      <c r="DK72" s="1427">
        <f t="shared" si="79"/>
        <v>8.9460465675210266E-2</v>
      </c>
      <c r="DL72" s="1417">
        <f t="shared" si="80"/>
        <v>8.8190091404563908E-2</v>
      </c>
      <c r="DM72" s="1417">
        <f t="shared" si="81"/>
        <v>8.7000910027102307E-2</v>
      </c>
      <c r="DN72" s="1418">
        <f t="shared" si="82"/>
        <v>7.2414476120448379E-2</v>
      </c>
      <c r="DO72" s="1417">
        <f t="shared" si="83"/>
        <v>6.2799091343963109E-2</v>
      </c>
      <c r="DP72" s="1417">
        <f t="shared" si="84"/>
        <v>5.5983787779009475E-2</v>
      </c>
      <c r="DQ72" s="1417">
        <f t="shared" si="85"/>
        <v>5.090100608360637E-2</v>
      </c>
      <c r="DR72" s="1419">
        <f t="shared" si="86"/>
        <v>4.6964651562449999E-2</v>
      </c>
    </row>
    <row r="73" spans="4:122">
      <c r="E73" s="742" t="s">
        <v>45</v>
      </c>
      <c r="F73" s="722" t="str">
        <f>+F72</f>
        <v>Water</v>
      </c>
      <c r="G73" s="723" t="str">
        <f>+G72</f>
        <v>Fixed tariff group 1 -20 mm</v>
      </c>
      <c r="H73" s="723">
        <f>+H72</f>
        <v>0</v>
      </c>
      <c r="I73" s="724" t="str">
        <f>+I72</f>
        <v>Fixed</v>
      </c>
      <c r="J73" s="782" t="s">
        <v>323</v>
      </c>
      <c r="K73" s="1540"/>
      <c r="L73" s="1541"/>
      <c r="M73" s="1541"/>
      <c r="N73" s="1542"/>
      <c r="O73" s="2031">
        <v>35942</v>
      </c>
      <c r="P73" s="1543">
        <v>36505</v>
      </c>
      <c r="Q73" s="1543">
        <v>37104</v>
      </c>
      <c r="R73" s="1543">
        <v>37960</v>
      </c>
      <c r="S73" s="1543">
        <v>38748</v>
      </c>
      <c r="T73" s="1543">
        <v>39130.622580026837</v>
      </c>
      <c r="U73" s="1543">
        <v>39802</v>
      </c>
      <c r="V73" s="1543">
        <v>40484</v>
      </c>
      <c r="W73" s="1543">
        <v>41177</v>
      </c>
      <c r="X73" s="1544">
        <v>41883</v>
      </c>
      <c r="Y73" s="1543">
        <v>42600</v>
      </c>
      <c r="Z73" s="1543">
        <v>43329</v>
      </c>
      <c r="AA73" s="1543">
        <v>44071</v>
      </c>
      <c r="AB73" s="1543">
        <v>44826</v>
      </c>
      <c r="AC73" s="1544">
        <v>45594</v>
      </c>
      <c r="AD73" s="1543">
        <v>46374</v>
      </c>
      <c r="AE73" s="1543">
        <v>47168</v>
      </c>
      <c r="AF73" s="1543">
        <v>47976</v>
      </c>
      <c r="AG73" s="788">
        <v>48798</v>
      </c>
      <c r="AH73" s="697"/>
      <c r="AI73" s="707"/>
      <c r="AJ73" s="709">
        <f t="shared" si="90"/>
        <v>41883</v>
      </c>
      <c r="AK73" s="710">
        <f t="shared" si="91"/>
        <v>42600</v>
      </c>
      <c r="AL73" s="710">
        <f t="shared" si="92"/>
        <v>43329</v>
      </c>
      <c r="AM73" s="710">
        <f t="shared" si="93"/>
        <v>44071</v>
      </c>
      <c r="AN73" s="710">
        <f t="shared" si="94"/>
        <v>44826</v>
      </c>
      <c r="AO73" s="711">
        <f t="shared" si="95"/>
        <v>45594</v>
      </c>
      <c r="AP73" s="707">
        <f t="shared" si="96"/>
        <v>46374</v>
      </c>
      <c r="AQ73" s="707">
        <f t="shared" si="97"/>
        <v>47168</v>
      </c>
      <c r="AR73" s="707">
        <f t="shared" si="98"/>
        <v>47976</v>
      </c>
      <c r="AS73" s="712">
        <f t="shared" si="99"/>
        <v>48798</v>
      </c>
      <c r="AV73" s="1559"/>
      <c r="AW73" s="1392" t="str">
        <f t="shared" si="48"/>
        <v>Qty</v>
      </c>
      <c r="AX73" s="1393" t="str">
        <f t="shared" si="36"/>
        <v>Water</v>
      </c>
      <c r="AY73" s="1394" t="str">
        <f t="shared" si="49"/>
        <v>Fixed</v>
      </c>
      <c r="AZ73" s="1395">
        <f t="shared" si="50"/>
        <v>1.5664125535585161E-2</v>
      </c>
      <c r="BA73" s="1395">
        <f t="shared" si="50"/>
        <v>1.6408711135460941E-2</v>
      </c>
      <c r="BB73" s="1395">
        <f t="shared" si="50"/>
        <v>2.307028891763685E-2</v>
      </c>
      <c r="BC73" s="1395">
        <f t="shared" si="51"/>
        <v>2.0758693361432989E-2</v>
      </c>
      <c r="BD73" s="1395">
        <f t="shared" si="52"/>
        <v>9.8746407563445882E-3</v>
      </c>
      <c r="BE73" s="1395">
        <f t="shared" si="53"/>
        <v>1.7157340612204974E-2</v>
      </c>
      <c r="BF73" s="1395">
        <f t="shared" si="54"/>
        <v>1.7134817345862086E-2</v>
      </c>
      <c r="BG73" s="1396">
        <f t="shared" si="55"/>
        <v>1.711787372789253E-2</v>
      </c>
      <c r="BH73" s="1395">
        <f t="shared" si="56"/>
        <v>1.7145493843650605E-2</v>
      </c>
      <c r="BI73" s="1395">
        <f t="shared" si="57"/>
        <v>1.711911754172335E-2</v>
      </c>
      <c r="BJ73" s="1395">
        <f t="shared" si="58"/>
        <v>1.7112676056338039E-2</v>
      </c>
      <c r="BK73" s="1395">
        <f t="shared" si="59"/>
        <v>1.7124789402017226E-2</v>
      </c>
      <c r="BL73" s="1397">
        <f t="shared" si="60"/>
        <v>1.7131446983277065E-2</v>
      </c>
      <c r="BM73" s="1395">
        <f t="shared" si="61"/>
        <v>1.7132913933877614E-2</v>
      </c>
      <c r="BN73" s="1395">
        <f t="shared" si="62"/>
        <v>1.7107514146598168E-2</v>
      </c>
      <c r="BO73" s="1395">
        <f t="shared" si="63"/>
        <v>1.712166300081952E-2</v>
      </c>
      <c r="BP73" s="1395">
        <f t="shared" si="64"/>
        <v>1.7130257801899695E-2</v>
      </c>
      <c r="BQ73" s="1398">
        <f t="shared" si="65"/>
        <v>1.7133566783391618E-2</v>
      </c>
      <c r="BR73" s="1378"/>
      <c r="BS73" s="1329"/>
      <c r="BT73" s="1399"/>
      <c r="BU73" s="1331"/>
      <c r="BV73" s="1400"/>
      <c r="BW73" s="1378"/>
      <c r="BX73" s="1392" t="str">
        <f t="shared" si="66"/>
        <v>Qty</v>
      </c>
      <c r="BY73" s="1393" t="str">
        <f t="shared" si="67"/>
        <v>Water</v>
      </c>
      <c r="BZ73" s="1394" t="str">
        <f t="shared" si="68"/>
        <v>Fixed</v>
      </c>
      <c r="CA73" s="1401">
        <f t="shared" ref="CA73:CR73" si="105">IFERROR((P73/O73-1)*(O74/O$13),"-")</f>
        <v>1.9237825983037618E-3</v>
      </c>
      <c r="CB73" s="1395">
        <f>IFERROR((Q73/P73-1)*(P74/P$13),"-")</f>
        <v>2.0039794153373543E-3</v>
      </c>
      <c r="CC73" s="1395">
        <f t="shared" si="105"/>
        <v>2.8771374473797466E-3</v>
      </c>
      <c r="CD73" s="1395">
        <f t="shared" si="105"/>
        <v>2.6398640378496171E-3</v>
      </c>
      <c r="CE73" s="1395">
        <f t="shared" si="105"/>
        <v>1.2955952073492015E-3</v>
      </c>
      <c r="CF73" s="1395">
        <f t="shared" si="105"/>
        <v>2.1625774989741E-3</v>
      </c>
      <c r="CG73" s="1395">
        <f t="shared" si="105"/>
        <v>2.126343696057392E-3</v>
      </c>
      <c r="CH73" s="1397">
        <f t="shared" si="105"/>
        <v>2.0661572663764238E-3</v>
      </c>
      <c r="CI73" s="1395">
        <f t="shared" si="105"/>
        <v>2.1634306815488755E-3</v>
      </c>
      <c r="CJ73" s="1395">
        <f t="shared" si="105"/>
        <v>2.2341613819623785E-3</v>
      </c>
      <c r="CK73" s="1395">
        <f t="shared" si="105"/>
        <v>2.3291192336005427E-3</v>
      </c>
      <c r="CL73" s="1395">
        <f t="shared" si="105"/>
        <v>2.4245692999449249E-3</v>
      </c>
      <c r="CM73" s="1397">
        <f t="shared" si="105"/>
        <v>2.5169211058891591E-3</v>
      </c>
      <c r="CN73" s="1395">
        <f t="shared" si="105"/>
        <v>2.6070721427008418E-3</v>
      </c>
      <c r="CO73" s="1395">
        <f t="shared" si="105"/>
        <v>2.6177346478917884E-3</v>
      </c>
      <c r="CP73" s="1395">
        <f t="shared" si="105"/>
        <v>2.6337777252463568E-3</v>
      </c>
      <c r="CQ73" s="1395">
        <f t="shared" si="105"/>
        <v>2.649400491321903E-3</v>
      </c>
      <c r="CR73" s="1398">
        <f t="shared" si="105"/>
        <v>2.6630119076068793E-3</v>
      </c>
      <c r="CS73" s="1378"/>
      <c r="CT73" s="1392" t="str">
        <f t="shared" si="39"/>
        <v>Qty</v>
      </c>
      <c r="CU73" s="1393" t="str">
        <f t="shared" si="40"/>
        <v>Water</v>
      </c>
      <c r="CV73" s="1393" t="str">
        <f t="shared" si="41"/>
        <v>Fixed</v>
      </c>
      <c r="CW73" s="1401">
        <f t="shared" si="70"/>
        <v>1.7132305607188147E-2</v>
      </c>
      <c r="CX73" s="1395">
        <f t="shared" si="71"/>
        <v>1.7125762381478893E-2</v>
      </c>
      <c r="CY73" s="1395">
        <f t="shared" si="72"/>
        <v>1.7125519136526268E-2</v>
      </c>
      <c r="CZ73" s="1398">
        <f t="shared" si="73"/>
        <v>1.7126704703112505E-2</v>
      </c>
      <c r="DA73" s="1395">
        <f t="shared" si="74"/>
        <v>1.7127739572274425E-2</v>
      </c>
      <c r="DB73" s="1395">
        <f t="shared" si="75"/>
        <v>1.7124850201125641E-2</v>
      </c>
      <c r="DC73" s="1395">
        <f t="shared" si="76"/>
        <v>1.712445180054134E-2</v>
      </c>
      <c r="DD73" s="1395">
        <f t="shared" si="77"/>
        <v>1.7125096910166615E-2</v>
      </c>
      <c r="DE73" s="1398">
        <f t="shared" si="78"/>
        <v>1.712594389431521E-2</v>
      </c>
      <c r="DF73" s="1378"/>
      <c r="DG73" s="1392" t="str">
        <f t="shared" si="43"/>
        <v>Qty</v>
      </c>
      <c r="DH73" s="1393" t="str">
        <f t="shared" si="44"/>
        <v>Water</v>
      </c>
      <c r="DI73" s="1393" t="str">
        <f t="shared" si="45"/>
        <v>Fixed</v>
      </c>
      <c r="DJ73" s="1393"/>
      <c r="DK73" s="1401">
        <f t="shared" si="79"/>
        <v>1.7115896793931329E-2</v>
      </c>
      <c r="DL73" s="1395">
        <f t="shared" si="80"/>
        <v>1.7118860987987983E-2</v>
      </c>
      <c r="DM73" s="1395">
        <f t="shared" si="81"/>
        <v>1.7122007472209599E-2</v>
      </c>
      <c r="DN73" s="1397">
        <f t="shared" si="82"/>
        <v>1.7124188755187397E-2</v>
      </c>
      <c r="DO73" s="1395">
        <f t="shared" si="83"/>
        <v>1.7121409634772267E-2</v>
      </c>
      <c r="DP73" s="1395">
        <f t="shared" si="84"/>
        <v>1.7121445829918036E-2</v>
      </c>
      <c r="DQ73" s="1395">
        <f t="shared" si="85"/>
        <v>1.7122547322240722E-2</v>
      </c>
      <c r="DR73" s="1398">
        <f t="shared" si="86"/>
        <v>1.7123771700917612E-2</v>
      </c>
    </row>
    <row r="74" spans="4:122" ht="12.75" thickBot="1">
      <c r="E74" s="743" t="s">
        <v>46</v>
      </c>
      <c r="F74" s="732" t="str">
        <f>+F72</f>
        <v>Water</v>
      </c>
      <c r="G74" s="733" t="str">
        <f>+G72</f>
        <v>Fixed tariff group 1 -20 mm</v>
      </c>
      <c r="H74" s="733">
        <f>+H72</f>
        <v>0</v>
      </c>
      <c r="I74" s="734" t="str">
        <f>+I72</f>
        <v>Fixed</v>
      </c>
      <c r="J74" s="735" t="s">
        <v>344</v>
      </c>
      <c r="K74" s="736">
        <f t="shared" ref="K74:AG74" si="106">K72*K73/10^6</f>
        <v>0</v>
      </c>
      <c r="L74" s="737">
        <f t="shared" si="106"/>
        <v>0</v>
      </c>
      <c r="M74" s="737">
        <f t="shared" si="106"/>
        <v>0</v>
      </c>
      <c r="N74" s="738">
        <f t="shared" si="106"/>
        <v>0</v>
      </c>
      <c r="O74" s="1923">
        <f t="shared" si="106"/>
        <v>9.2605603854298622</v>
      </c>
      <c r="P74" s="737">
        <f t="shared" si="106"/>
        <v>9.447787077442273</v>
      </c>
      <c r="Q74" s="737">
        <f t="shared" si="106"/>
        <v>9.4765710213496934</v>
      </c>
      <c r="R74" s="737">
        <f>R72*R73/10^6</f>
        <v>9.4873252198970839</v>
      </c>
      <c r="S74" s="737">
        <f>S72*S73/10^6</f>
        <v>9.4572608403053433</v>
      </c>
      <c r="T74" s="737">
        <f>T72*T73/10^6</f>
        <v>9.4076450022029015</v>
      </c>
      <c r="U74" s="737">
        <f>U72*U73/10^6</f>
        <v>9.7309847660180999</v>
      </c>
      <c r="V74" s="737">
        <f>V72*V73/10^6</f>
        <v>9.9151088063755441</v>
      </c>
      <c r="W74" s="737">
        <f t="shared" si="106"/>
        <v>10.17936617</v>
      </c>
      <c r="X74" s="738">
        <f t="shared" si="106"/>
        <v>11.325749394577732</v>
      </c>
      <c r="Y74" s="737">
        <f t="shared" si="106"/>
        <v>12.565857189233411</v>
      </c>
      <c r="Z74" s="737">
        <f t="shared" si="106"/>
        <v>13.906914425692271</v>
      </c>
      <c r="AA74" s="737">
        <f t="shared" si="106"/>
        <v>15.356645970701841</v>
      </c>
      <c r="AB74" s="737">
        <f t="shared" si="106"/>
        <v>16.92305568231766</v>
      </c>
      <c r="AC74" s="738">
        <f t="shared" si="106"/>
        <v>17.488404889842165</v>
      </c>
      <c r="AD74" s="737">
        <f t="shared" si="106"/>
        <v>18.072189432278925</v>
      </c>
      <c r="AE74" s="737">
        <f t="shared" si="106"/>
        <v>18.675721215336178</v>
      </c>
      <c r="AF74" s="737">
        <f t="shared" si="106"/>
        <v>19.299571392541555</v>
      </c>
      <c r="AG74" s="739">
        <f t="shared" si="106"/>
        <v>19.944325758092688</v>
      </c>
      <c r="AH74" s="697"/>
      <c r="AI74" s="707"/>
      <c r="AJ74" s="709">
        <f t="shared" si="90"/>
        <v>11.325749394577732</v>
      </c>
      <c r="AK74" s="710">
        <f t="shared" si="91"/>
        <v>12.565857189233411</v>
      </c>
      <c r="AL74" s="710">
        <f t="shared" si="92"/>
        <v>13.906914425692271</v>
      </c>
      <c r="AM74" s="710">
        <f t="shared" si="93"/>
        <v>15.356645970701841</v>
      </c>
      <c r="AN74" s="710">
        <f t="shared" si="94"/>
        <v>16.92305568231766</v>
      </c>
      <c r="AO74" s="711">
        <f t="shared" si="95"/>
        <v>17.488404889842165</v>
      </c>
      <c r="AP74" s="707">
        <f t="shared" si="96"/>
        <v>18.072189432278925</v>
      </c>
      <c r="AQ74" s="707">
        <f t="shared" si="97"/>
        <v>18.675721215336178</v>
      </c>
      <c r="AR74" s="707">
        <f t="shared" si="98"/>
        <v>19.299571392541555</v>
      </c>
      <c r="AS74" s="712">
        <f t="shared" si="99"/>
        <v>19.944325758092688</v>
      </c>
      <c r="AV74" s="1559"/>
      <c r="AW74" s="1428" t="str">
        <f t="shared" si="48"/>
        <v>Rev</v>
      </c>
      <c r="AX74" s="1429" t="str">
        <f t="shared" si="36"/>
        <v>Water</v>
      </c>
      <c r="AY74" s="1430" t="str">
        <f t="shared" si="49"/>
        <v>Fixed</v>
      </c>
      <c r="AZ74" s="1431">
        <f t="shared" si="50"/>
        <v>2.0217641721443247E-2</v>
      </c>
      <c r="BA74" s="1431">
        <f t="shared" si="50"/>
        <v>3.0466334255294658E-3</v>
      </c>
      <c r="BB74" s="1431">
        <f t="shared" si="50"/>
        <v>1.1348196012210821E-3</v>
      </c>
      <c r="BC74" s="1431">
        <f t="shared" si="51"/>
        <v>-3.1688994416138039E-3</v>
      </c>
      <c r="BD74" s="1431">
        <f t="shared" si="52"/>
        <v>-5.2463222639463902E-3</v>
      </c>
      <c r="BE74" s="1431">
        <f t="shared" si="53"/>
        <v>3.436989424446657E-2</v>
      </c>
      <c r="BF74" s="1431">
        <f t="shared" si="54"/>
        <v>1.8921419032576159E-2</v>
      </c>
      <c r="BG74" s="1432">
        <f t="shared" si="55"/>
        <v>2.6651988272134108E-2</v>
      </c>
      <c r="BH74" s="1431">
        <f t="shared" si="56"/>
        <v>0.11261833059471638</v>
      </c>
      <c r="BI74" s="1431">
        <f t="shared" si="57"/>
        <v>0.1094945465815611</v>
      </c>
      <c r="BJ74" s="1431">
        <f t="shared" si="58"/>
        <v>0.1067223044368113</v>
      </c>
      <c r="BK74" s="1431">
        <f t="shared" si="59"/>
        <v>0.10424537756062335</v>
      </c>
      <c r="BL74" s="1433">
        <f t="shared" si="60"/>
        <v>0.10200207223662594</v>
      </c>
      <c r="BM74" s="1431">
        <f t="shared" si="61"/>
        <v>3.3407040556819867E-2</v>
      </c>
      <c r="BN74" s="1431">
        <f t="shared" si="62"/>
        <v>3.3381234372943824E-2</v>
      </c>
      <c r="BO74" s="1431">
        <f t="shared" si="63"/>
        <v>3.3395609608832366E-2</v>
      </c>
      <c r="BP74" s="1431">
        <f t="shared" si="64"/>
        <v>3.340434192673003E-2</v>
      </c>
      <c r="BQ74" s="1434">
        <f t="shared" si="65"/>
        <v>3.3407703851926041E-2</v>
      </c>
      <c r="BR74" s="1378"/>
      <c r="BS74" s="1407"/>
      <c r="BT74" s="1408"/>
      <c r="BU74" s="1409"/>
      <c r="BV74" s="1410"/>
      <c r="BW74" s="1378"/>
      <c r="BX74" s="1428" t="str">
        <f t="shared" si="66"/>
        <v>Rev</v>
      </c>
      <c r="BY74" s="1429" t="str">
        <f t="shared" si="67"/>
        <v>Water</v>
      </c>
      <c r="BZ74" s="1430" t="str">
        <f t="shared" si="68"/>
        <v>Fixed</v>
      </c>
      <c r="CA74" s="1435">
        <f t="shared" ref="CA74:CR74" si="107">IFERROR((P74/O74-1)*(O74/O$13),"-")</f>
        <v>2.4830206597932286E-3</v>
      </c>
      <c r="CB74" s="1431">
        <f t="shared" si="107"/>
        <v>3.7208228120034315E-4</v>
      </c>
      <c r="CC74" s="1431">
        <f t="shared" si="107"/>
        <v>1.4152540448670599E-4</v>
      </c>
      <c r="CD74" s="1431">
        <f t="shared" si="107"/>
        <v>-4.0298604203191227E-4</v>
      </c>
      <c r="CE74" s="1431">
        <f t="shared" si="107"/>
        <v>-6.8833997601493732E-4</v>
      </c>
      <c r="CF74" s="1431">
        <f t="shared" si="107"/>
        <v>4.3321142603142985E-3</v>
      </c>
      <c r="CG74" s="1431">
        <f t="shared" si="107"/>
        <v>2.3480518798815624E-3</v>
      </c>
      <c r="CH74" s="1433">
        <f t="shared" si="107"/>
        <v>3.2169415493537891E-3</v>
      </c>
      <c r="CI74" s="1431">
        <f t="shared" si="107"/>
        <v>1.4210261537823851E-2</v>
      </c>
      <c r="CJ74" s="1431">
        <f t="shared" si="107"/>
        <v>1.4289783741001072E-2</v>
      </c>
      <c r="CK74" s="1431">
        <f t="shared" si="107"/>
        <v>1.4525429634711456E-2</v>
      </c>
      <c r="CL74" s="1431">
        <f t="shared" si="107"/>
        <v>1.4759313890591966E-2</v>
      </c>
      <c r="CM74" s="1433">
        <f t="shared" si="107"/>
        <v>1.4985959370939515E-2</v>
      </c>
      <c r="CN74" s="1431">
        <f t="shared" si="107"/>
        <v>5.0834647942488423E-3</v>
      </c>
      <c r="CO74" s="1431">
        <f t="shared" si="107"/>
        <v>5.1078849363294281E-3</v>
      </c>
      <c r="CP74" s="1431">
        <f t="shared" si="107"/>
        <v>5.1371535991892774E-3</v>
      </c>
      <c r="CQ74" s="1431">
        <f t="shared" si="107"/>
        <v>5.1663834214537522E-3</v>
      </c>
      <c r="CR74" s="1434">
        <f t="shared" si="107"/>
        <v>5.1924455828847825E-3</v>
      </c>
      <c r="CS74" s="1378"/>
      <c r="CT74" s="1428" t="str">
        <f t="shared" si="39"/>
        <v>Rev</v>
      </c>
      <c r="CU74" s="1429" t="str">
        <f t="shared" si="40"/>
        <v>Water</v>
      </c>
      <c r="CV74" s="1429" t="str">
        <f t="shared" si="41"/>
        <v>Fixed</v>
      </c>
      <c r="CW74" s="1435">
        <f t="shared" si="70"/>
        <v>0.11105534075558898</v>
      </c>
      <c r="CX74" s="1431">
        <f t="shared" si="71"/>
        <v>0.10960911362268133</v>
      </c>
      <c r="CY74" s="1431">
        <f t="shared" si="72"/>
        <v>0.10826574200391259</v>
      </c>
      <c r="CZ74" s="1434">
        <f t="shared" si="73"/>
        <v>0.1070101663398686</v>
      </c>
      <c r="DA74" s="1431">
        <f t="shared" si="74"/>
        <v>9.4388641898329739E-2</v>
      </c>
      <c r="DB74" s="1431">
        <f t="shared" si="75"/>
        <v>8.5457595296176692E-2</v>
      </c>
      <c r="DC74" s="1431">
        <f t="shared" si="76"/>
        <v>7.8809049065720282E-2</v>
      </c>
      <c r="DD74" s="1431">
        <f t="shared" si="77"/>
        <v>7.3667132636946464E-2</v>
      </c>
      <c r="DE74" s="1434">
        <f t="shared" si="78"/>
        <v>6.9571598728418005E-2</v>
      </c>
      <c r="DF74" s="1378"/>
      <c r="DG74" s="1428" t="str">
        <f t="shared" si="43"/>
        <v>Rev</v>
      </c>
      <c r="DH74" s="1429" t="str">
        <f t="shared" si="44"/>
        <v>Water</v>
      </c>
      <c r="DI74" s="1429" t="str">
        <f t="shared" si="45"/>
        <v>Fixed</v>
      </c>
      <c r="DJ74" s="1429"/>
      <c r="DK74" s="1435">
        <f t="shared" si="79"/>
        <v>0.10810755856677567</v>
      </c>
      <c r="DL74" s="1431">
        <f t="shared" si="80"/>
        <v>0.10681866630782477</v>
      </c>
      <c r="DM74" s="1431">
        <f t="shared" si="81"/>
        <v>0.10561254773088513</v>
      </c>
      <c r="DN74" s="1433">
        <f t="shared" si="82"/>
        <v>9.0778704033330548E-2</v>
      </c>
      <c r="DO74" s="1431">
        <f t="shared" si="83"/>
        <v>8.0995709946326766E-2</v>
      </c>
      <c r="DP74" s="1431">
        <f t="shared" si="84"/>
        <v>7.4063756998739461E-2</v>
      </c>
      <c r="DQ74" s="1431">
        <f t="shared" si="85"/>
        <v>6.8895108291263218E-2</v>
      </c>
      <c r="DR74" s="1434">
        <f t="shared" si="86"/>
        <v>6.4892635234736096E-2</v>
      </c>
    </row>
    <row r="75" spans="4:122">
      <c r="D75" s="70">
        <f>D72+1</f>
        <v>4</v>
      </c>
      <c r="E75" s="713" t="s">
        <v>44</v>
      </c>
      <c r="F75" s="1532" t="s">
        <v>20</v>
      </c>
      <c r="G75" s="1532" t="s">
        <v>866</v>
      </c>
      <c r="H75" s="1532"/>
      <c r="I75" s="781" t="s">
        <v>319</v>
      </c>
      <c r="J75" s="781" t="s">
        <v>345</v>
      </c>
      <c r="K75" s="1533"/>
      <c r="L75" s="1534"/>
      <c r="M75" s="1534"/>
      <c r="N75" s="1535"/>
      <c r="O75" s="2071">
        <v>403.50977375565606</v>
      </c>
      <c r="P75" s="1547">
        <v>405.31846358792183</v>
      </c>
      <c r="Q75" s="1547">
        <v>399.99</v>
      </c>
      <c r="R75" s="1547">
        <v>391.41388507718693</v>
      </c>
      <c r="S75" s="1547">
        <v>382.26483460559797</v>
      </c>
      <c r="T75" s="1547">
        <v>376.56271186440677</v>
      </c>
      <c r="U75" s="1547">
        <v>382.92470588235295</v>
      </c>
      <c r="V75" s="1547">
        <v>383.60718340611351</v>
      </c>
      <c r="W75" s="1547">
        <v>387.2</v>
      </c>
      <c r="X75" s="1550">
        <v>417.75347100261996</v>
      </c>
      <c r="Y75" s="1551">
        <v>450.04797089368338</v>
      </c>
      <c r="Z75" s="1551">
        <v>484.17711483107399</v>
      </c>
      <c r="AA75" s="1551">
        <v>520.23748175838818</v>
      </c>
      <c r="AB75" s="1551">
        <v>558.33147031177555</v>
      </c>
      <c r="AC75" s="1550">
        <v>567.26477383676399</v>
      </c>
      <c r="AD75" s="1551">
        <v>576.34101021815218</v>
      </c>
      <c r="AE75" s="1551">
        <v>585.56246638164259</v>
      </c>
      <c r="AF75" s="1551">
        <v>594.93146584374892</v>
      </c>
      <c r="AG75" s="1552">
        <v>604.45036929724893</v>
      </c>
      <c r="AH75" s="697"/>
      <c r="AI75" s="707"/>
      <c r="AJ75" s="709">
        <f t="shared" si="90"/>
        <v>417.75347100261996</v>
      </c>
      <c r="AK75" s="710">
        <f t="shared" si="91"/>
        <v>450.04797089368338</v>
      </c>
      <c r="AL75" s="710">
        <f t="shared" si="92"/>
        <v>484.17711483107399</v>
      </c>
      <c r="AM75" s="710">
        <f t="shared" si="93"/>
        <v>520.23748175838818</v>
      </c>
      <c r="AN75" s="710">
        <f t="shared" si="94"/>
        <v>558.33147031177555</v>
      </c>
      <c r="AO75" s="711">
        <f t="shared" si="95"/>
        <v>567.26477383676399</v>
      </c>
      <c r="AP75" s="707">
        <f t="shared" si="96"/>
        <v>576.34101021815218</v>
      </c>
      <c r="AQ75" s="707">
        <f t="shared" si="97"/>
        <v>585.56246638164259</v>
      </c>
      <c r="AR75" s="707">
        <f t="shared" si="98"/>
        <v>594.93146584374892</v>
      </c>
      <c r="AS75" s="712">
        <f t="shared" si="99"/>
        <v>604.45036929724893</v>
      </c>
      <c r="AU75" s="1369"/>
      <c r="AV75" s="1559"/>
      <c r="AW75" s="1412" t="str">
        <f t="shared" si="48"/>
        <v>Price</v>
      </c>
      <c r="AX75" s="1413" t="str">
        <f t="shared" si="36"/>
        <v>Water</v>
      </c>
      <c r="AY75" s="1414" t="str">
        <f t="shared" si="49"/>
        <v>Fixed</v>
      </c>
      <c r="AZ75" s="1415">
        <f t="shared" si="50"/>
        <v>4.4823941076603813E-3</v>
      </c>
      <c r="BA75" s="1415">
        <f t="shared" si="50"/>
        <v>-1.3146362839614345E-2</v>
      </c>
      <c r="BB75" s="1415">
        <f t="shared" si="50"/>
        <v>-2.1440823327615877E-2</v>
      </c>
      <c r="BC75" s="1415">
        <f t="shared" si="51"/>
        <v>-2.3374363609468651E-2</v>
      </c>
      <c r="BD75" s="1415">
        <f t="shared" si="52"/>
        <v>-1.4916681381572428E-2</v>
      </c>
      <c r="BE75" s="1415">
        <f t="shared" si="53"/>
        <v>1.6894912367842352E-2</v>
      </c>
      <c r="BF75" s="1415">
        <f t="shared" si="54"/>
        <v>1.78227602783676E-3</v>
      </c>
      <c r="BG75" s="1416">
        <f t="shared" si="55"/>
        <v>9.3658741267179657E-3</v>
      </c>
      <c r="BH75" s="1417">
        <f t="shared" si="56"/>
        <v>7.8908757754700298E-2</v>
      </c>
      <c r="BI75" s="1417">
        <f t="shared" si="57"/>
        <v>7.7305162333075828E-2</v>
      </c>
      <c r="BJ75" s="1417">
        <f t="shared" si="58"/>
        <v>7.5834457979265135E-2</v>
      </c>
      <c r="BK75" s="1417">
        <f t="shared" si="59"/>
        <v>7.4477636019404603E-2</v>
      </c>
      <c r="BL75" s="1418">
        <f t="shared" si="60"/>
        <v>7.322422910519788E-2</v>
      </c>
      <c r="BM75" s="1417">
        <f t="shared" si="61"/>
        <v>1.6000000000000014E-2</v>
      </c>
      <c r="BN75" s="1417">
        <f t="shared" si="62"/>
        <v>1.6000000000000014E-2</v>
      </c>
      <c r="BO75" s="1417">
        <f t="shared" si="63"/>
        <v>1.6000000000000014E-2</v>
      </c>
      <c r="BP75" s="1417">
        <f t="shared" si="64"/>
        <v>1.6000000000000014E-2</v>
      </c>
      <c r="BQ75" s="1419">
        <f t="shared" si="65"/>
        <v>1.6000000000000014E-2</v>
      </c>
      <c r="BR75" s="1378"/>
      <c r="BS75" s="1420"/>
      <c r="BT75" s="1421"/>
      <c r="BU75" s="1422"/>
      <c r="BV75" s="1423"/>
      <c r="BW75" s="1378"/>
      <c r="BX75" s="1412" t="str">
        <f t="shared" si="66"/>
        <v>Price</v>
      </c>
      <c r="BY75" s="1413" t="str">
        <f t="shared" si="67"/>
        <v>Water</v>
      </c>
      <c r="BZ75" s="1414" t="str">
        <f t="shared" si="68"/>
        <v>Fixed</v>
      </c>
      <c r="CA75" s="1424">
        <f t="shared" ref="CA75:CR75" si="108">IFERROR((P75/O75-1)*(O77/O$13),"-")</f>
        <v>2.7537122351078498E-5</v>
      </c>
      <c r="CB75" s="1415">
        <f t="shared" si="108"/>
        <v>-8.0244747936045332E-5</v>
      </c>
      <c r="CC75" s="1415">
        <f t="shared" si="108"/>
        <v>-1.3204829814062884E-4</v>
      </c>
      <c r="CD75" s="1415">
        <f t="shared" si="108"/>
        <v>-1.4569016055876243E-4</v>
      </c>
      <c r="CE75" s="1415">
        <f t="shared" si="108"/>
        <v>-9.4692018107075837E-5</v>
      </c>
      <c r="CF75" s="1415">
        <f t="shared" si="108"/>
        <v>1.0232024436156044E-4</v>
      </c>
      <c r="CG75" s="1415">
        <f t="shared" si="108"/>
        <v>1.0626768240901656E-5</v>
      </c>
      <c r="CH75" s="1425">
        <f t="shared" si="108"/>
        <v>5.4321620333959815E-5</v>
      </c>
      <c r="CI75" s="1417">
        <f t="shared" si="108"/>
        <v>4.7833940005209246E-4</v>
      </c>
      <c r="CJ75" s="1417">
        <f t="shared" si="108"/>
        <v>4.781871596733624E-4</v>
      </c>
      <c r="CK75" s="1417">
        <f t="shared" si="108"/>
        <v>4.831507471257152E-4</v>
      </c>
      <c r="CL75" s="1417">
        <f t="shared" si="108"/>
        <v>4.8827036116347219E-4</v>
      </c>
      <c r="CM75" s="1418">
        <f t="shared" si="108"/>
        <v>4.9273376346073644E-4</v>
      </c>
      <c r="CN75" s="1417">
        <f t="shared" si="108"/>
        <v>1.1052831684385307E-4</v>
      </c>
      <c r="CO75" s="1417">
        <f t="shared" si="108"/>
        <v>1.1109948010214124E-4</v>
      </c>
      <c r="CP75" s="1417">
        <f t="shared" si="108"/>
        <v>1.1169322005072214E-4</v>
      </c>
      <c r="CQ75" s="1417">
        <f t="shared" si="108"/>
        <v>1.1234871439341414E-4</v>
      </c>
      <c r="CR75" s="1419">
        <f t="shared" si="108"/>
        <v>1.1291908003315013E-4</v>
      </c>
      <c r="CS75" s="1378"/>
      <c r="CT75" s="1412" t="str">
        <f t="shared" si="39"/>
        <v>Price</v>
      </c>
      <c r="CU75" s="1413" t="str">
        <f t="shared" si="40"/>
        <v>Water</v>
      </c>
      <c r="CV75" s="1426" t="str">
        <f t="shared" si="41"/>
        <v>Fixed</v>
      </c>
      <c r="CW75" s="1427">
        <f t="shared" si="70"/>
        <v>7.8106661891811369E-2</v>
      </c>
      <c r="CX75" s="1417">
        <f t="shared" si="71"/>
        <v>7.7348727867273093E-2</v>
      </c>
      <c r="CY75" s="1417">
        <f t="shared" si="72"/>
        <v>7.6630236474418689E-2</v>
      </c>
      <c r="CZ75" s="1419">
        <f t="shared" si="73"/>
        <v>7.5948171346190918E-2</v>
      </c>
      <c r="DA75" s="1417">
        <f t="shared" si="74"/>
        <v>6.5716634128814899E-2</v>
      </c>
      <c r="DB75" s="1417">
        <f t="shared" si="75"/>
        <v>5.8468015726912181E-2</v>
      </c>
      <c r="DC75" s="1417">
        <f t="shared" si="76"/>
        <v>5.3063925053208116E-2</v>
      </c>
      <c r="DD75" s="1417">
        <f t="shared" si="77"/>
        <v>4.8879825905993268E-2</v>
      </c>
      <c r="DE75" s="1419">
        <f t="shared" si="78"/>
        <v>4.5544519419297602E-2</v>
      </c>
      <c r="DF75" s="1378"/>
      <c r="DG75" s="1412" t="str">
        <f t="shared" si="43"/>
        <v>Price</v>
      </c>
      <c r="DH75" s="1413" t="str">
        <f t="shared" si="44"/>
        <v>Water</v>
      </c>
      <c r="DI75" s="1426" t="str">
        <f t="shared" si="45"/>
        <v>Fixed</v>
      </c>
      <c r="DJ75" s="1426"/>
      <c r="DK75" s="1427">
        <f t="shared" si="79"/>
        <v>7.6569559014590061E-2</v>
      </c>
      <c r="DL75" s="1417">
        <f t="shared" si="80"/>
        <v>7.5871799206365997E-2</v>
      </c>
      <c r="DM75" s="1417">
        <f t="shared" si="81"/>
        <v>7.5209294993402898E-2</v>
      </c>
      <c r="DN75" s="1418">
        <f t="shared" si="82"/>
        <v>6.3097629327969029E-2</v>
      </c>
      <c r="DO75" s="1417">
        <f t="shared" si="83"/>
        <v>5.5099076067482322E-2</v>
      </c>
      <c r="DP75" s="1417">
        <f t="shared" si="84"/>
        <v>4.9422694893861197E-2</v>
      </c>
      <c r="DQ75" s="1417">
        <f t="shared" si="85"/>
        <v>4.5185459003949768E-2</v>
      </c>
      <c r="DR75" s="1419">
        <f t="shared" si="86"/>
        <v>4.1901662809304963E-2</v>
      </c>
    </row>
    <row r="76" spans="4:122">
      <c r="E76" s="742" t="s">
        <v>45</v>
      </c>
      <c r="F76" s="722" t="str">
        <f>+F75</f>
        <v>Water</v>
      </c>
      <c r="G76" s="723" t="str">
        <f>+G75</f>
        <v>Fixed tariff group - 1 -25mm</v>
      </c>
      <c r="H76" s="723">
        <f>+H75</f>
        <v>0</v>
      </c>
      <c r="I76" s="724" t="str">
        <f>+I75</f>
        <v>Fixed</v>
      </c>
      <c r="J76" s="782" t="s">
        <v>323</v>
      </c>
      <c r="K76" s="1540"/>
      <c r="L76" s="1541"/>
      <c r="M76" s="1541"/>
      <c r="N76" s="1542"/>
      <c r="O76" s="2031">
        <v>1148</v>
      </c>
      <c r="P76" s="1543">
        <v>1165</v>
      </c>
      <c r="Q76" s="1543">
        <v>1170</v>
      </c>
      <c r="R76" s="1543">
        <v>1188</v>
      </c>
      <c r="S76" s="1543">
        <v>1197</v>
      </c>
      <c r="T76" s="1543">
        <v>1200.4042553191489</v>
      </c>
      <c r="U76" s="1543">
        <v>1221</v>
      </c>
      <c r="V76" s="1543">
        <v>1242</v>
      </c>
      <c r="W76" s="1543">
        <v>1263</v>
      </c>
      <c r="X76" s="1544">
        <v>1285</v>
      </c>
      <c r="Y76" s="1543">
        <v>1307</v>
      </c>
      <c r="Z76" s="1543">
        <v>1330</v>
      </c>
      <c r="AA76" s="1543">
        <v>1352</v>
      </c>
      <c r="AB76" s="1543">
        <v>1376</v>
      </c>
      <c r="AC76" s="1544">
        <v>1399</v>
      </c>
      <c r="AD76" s="1543">
        <v>1423</v>
      </c>
      <c r="AE76" s="1543">
        <v>1448</v>
      </c>
      <c r="AF76" s="1543">
        <v>1473</v>
      </c>
      <c r="AG76" s="788">
        <v>1498</v>
      </c>
      <c r="AH76" s="697"/>
      <c r="AI76" s="707"/>
      <c r="AJ76" s="709">
        <f t="shared" si="90"/>
        <v>1285</v>
      </c>
      <c r="AK76" s="710">
        <f t="shared" si="91"/>
        <v>1307</v>
      </c>
      <c r="AL76" s="710">
        <f t="shared" si="92"/>
        <v>1330</v>
      </c>
      <c r="AM76" s="710">
        <f t="shared" si="93"/>
        <v>1352</v>
      </c>
      <c r="AN76" s="710">
        <f t="shared" si="94"/>
        <v>1376</v>
      </c>
      <c r="AO76" s="711">
        <f t="shared" si="95"/>
        <v>1399</v>
      </c>
      <c r="AP76" s="707">
        <f t="shared" si="96"/>
        <v>1423</v>
      </c>
      <c r="AQ76" s="707">
        <f t="shared" si="97"/>
        <v>1448</v>
      </c>
      <c r="AR76" s="707">
        <f t="shared" si="98"/>
        <v>1473</v>
      </c>
      <c r="AS76" s="712">
        <f t="shared" si="99"/>
        <v>1498</v>
      </c>
      <c r="AV76" s="1559"/>
      <c r="AW76" s="1392" t="str">
        <f t="shared" si="48"/>
        <v>Qty</v>
      </c>
      <c r="AX76" s="1393" t="str">
        <f t="shared" si="36"/>
        <v>Water</v>
      </c>
      <c r="AY76" s="1394" t="str">
        <f t="shared" si="49"/>
        <v>Fixed</v>
      </c>
      <c r="AZ76" s="1395">
        <f t="shared" si="50"/>
        <v>1.4808362369338024E-2</v>
      </c>
      <c r="BA76" s="1395">
        <f t="shared" si="50"/>
        <v>4.2918454935623185E-3</v>
      </c>
      <c r="BB76" s="1395">
        <f t="shared" si="50"/>
        <v>1.538461538461533E-2</v>
      </c>
      <c r="BC76" s="1395">
        <f t="shared" si="51"/>
        <v>7.575757575757569E-3</v>
      </c>
      <c r="BD76" s="1395">
        <f t="shared" si="52"/>
        <v>2.8439894061393911E-3</v>
      </c>
      <c r="BE76" s="1395">
        <f t="shared" si="53"/>
        <v>1.7157340612205196E-2</v>
      </c>
      <c r="BF76" s="1395">
        <f t="shared" si="54"/>
        <v>1.7199017199017286E-2</v>
      </c>
      <c r="BG76" s="1396">
        <f t="shared" si="55"/>
        <v>1.6908212560386549E-2</v>
      </c>
      <c r="BH76" s="1395">
        <f t="shared" si="56"/>
        <v>1.7418844022169422E-2</v>
      </c>
      <c r="BI76" s="1395">
        <f t="shared" si="57"/>
        <v>1.7120622568093324E-2</v>
      </c>
      <c r="BJ76" s="1395">
        <f t="shared" si="58"/>
        <v>1.7597551644988441E-2</v>
      </c>
      <c r="BK76" s="1395">
        <f t="shared" si="59"/>
        <v>1.6541353383458635E-2</v>
      </c>
      <c r="BL76" s="1397">
        <f t="shared" si="60"/>
        <v>1.7751479289940919E-2</v>
      </c>
      <c r="BM76" s="1395">
        <f t="shared" si="61"/>
        <v>1.6715116279069742E-2</v>
      </c>
      <c r="BN76" s="1395">
        <f t="shared" si="62"/>
        <v>1.71551107934238E-2</v>
      </c>
      <c r="BO76" s="1395">
        <f t="shared" si="63"/>
        <v>1.7568517217146917E-2</v>
      </c>
      <c r="BP76" s="1395">
        <f t="shared" si="64"/>
        <v>1.7265193370165743E-2</v>
      </c>
      <c r="BQ76" s="1398">
        <f t="shared" si="65"/>
        <v>1.6972165648336812E-2</v>
      </c>
      <c r="BR76" s="1378"/>
      <c r="BS76" s="1329"/>
      <c r="BT76" s="1399"/>
      <c r="BU76" s="1331"/>
      <c r="BV76" s="1400"/>
      <c r="BW76" s="1378"/>
      <c r="BX76" s="1392" t="str">
        <f t="shared" si="66"/>
        <v>Qty</v>
      </c>
      <c r="BY76" s="1393" t="str">
        <f t="shared" si="67"/>
        <v>Water</v>
      </c>
      <c r="BZ76" s="1394" t="str">
        <f t="shared" si="68"/>
        <v>Fixed</v>
      </c>
      <c r="CA76" s="1401">
        <f t="shared" ref="CA76:CR76" si="109">IFERROR((P76/O76-1)*(O77/O$13),"-")</f>
        <v>9.0973635202374353E-5</v>
      </c>
      <c r="CB76" s="1395">
        <f t="shared" si="109"/>
        <v>2.6197212416317534E-5</v>
      </c>
      <c r="CC76" s="1395">
        <f t="shared" si="109"/>
        <v>9.4749732696598147E-5</v>
      </c>
      <c r="CD76" s="1395">
        <f t="shared" si="109"/>
        <v>4.7218968439392347E-5</v>
      </c>
      <c r="CE76" s="1395">
        <f t="shared" si="109"/>
        <v>1.8053821051321185E-5</v>
      </c>
      <c r="CF76" s="1395">
        <f t="shared" si="109"/>
        <v>1.0390958211638011E-4</v>
      </c>
      <c r="CG76" s="1395">
        <f t="shared" si="109"/>
        <v>1.0254863269808748E-4</v>
      </c>
      <c r="CH76" s="1397">
        <f t="shared" si="109"/>
        <v>9.8066821185548793E-5</v>
      </c>
      <c r="CI76" s="1395">
        <f t="shared" si="109"/>
        <v>1.0559182068316346E-4</v>
      </c>
      <c r="CJ76" s="1395">
        <f t="shared" si="109"/>
        <v>1.0590317167180154E-4</v>
      </c>
      <c r="CK76" s="1395">
        <f t="shared" si="109"/>
        <v>1.1211618638039501E-4</v>
      </c>
      <c r="CL76" s="1395">
        <f t="shared" si="109"/>
        <v>1.0844399771992841E-4</v>
      </c>
      <c r="CM76" s="1397">
        <f t="shared" si="109"/>
        <v>1.1945162556729483E-4</v>
      </c>
      <c r="CN76" s="1395">
        <f t="shared" si="109"/>
        <v>1.1546835426092908E-4</v>
      </c>
      <c r="CO76" s="1395">
        <f t="shared" si="109"/>
        <v>1.1912024314025089E-4</v>
      </c>
      <c r="CP76" s="1395">
        <f t="shared" si="109"/>
        <v>1.2264276621873059E-4</v>
      </c>
      <c r="CQ76" s="1395">
        <f t="shared" si="109"/>
        <v>1.2123264243073854E-4</v>
      </c>
      <c r="CR76" s="1398">
        <f t="shared" si="109"/>
        <v>1.197800831987765E-4</v>
      </c>
      <c r="CS76" s="1378"/>
      <c r="CT76" s="1392" t="str">
        <f t="shared" si="39"/>
        <v>Qty</v>
      </c>
      <c r="CU76" s="1393" t="str">
        <f t="shared" si="40"/>
        <v>Water</v>
      </c>
      <c r="CV76" s="1393" t="str">
        <f t="shared" si="41"/>
        <v>Fixed</v>
      </c>
      <c r="CW76" s="1401">
        <f t="shared" si="70"/>
        <v>1.72697223668552E-2</v>
      </c>
      <c r="CX76" s="1395">
        <f t="shared" si="71"/>
        <v>1.7378987056386297E-2</v>
      </c>
      <c r="CY76" s="1395">
        <f t="shared" si="72"/>
        <v>1.7169513952881132E-2</v>
      </c>
      <c r="CZ76" s="1398">
        <f t="shared" si="73"/>
        <v>1.7285880392091668E-2</v>
      </c>
      <c r="DA76" s="1395">
        <f t="shared" si="74"/>
        <v>1.7190730793674502E-2</v>
      </c>
      <c r="DB76" s="1395">
        <f t="shared" si="75"/>
        <v>1.7185642145840507E-2</v>
      </c>
      <c r="DC76" s="1395">
        <f t="shared" si="76"/>
        <v>1.7233493650231857E-2</v>
      </c>
      <c r="DD76" s="1395">
        <f t="shared" si="77"/>
        <v>1.7237015792553878E-2</v>
      </c>
      <c r="DE76" s="1398">
        <f t="shared" si="78"/>
        <v>1.7210527674555998E-2</v>
      </c>
      <c r="DF76" s="1378"/>
      <c r="DG76" s="1392" t="str">
        <f t="shared" si="43"/>
        <v>Qty</v>
      </c>
      <c r="DH76" s="1393" t="str">
        <f t="shared" si="44"/>
        <v>Water</v>
      </c>
      <c r="DI76" s="1393" t="str">
        <f t="shared" si="45"/>
        <v>Fixed</v>
      </c>
      <c r="DJ76" s="1393"/>
      <c r="DK76" s="1401">
        <f t="shared" si="79"/>
        <v>1.7359059159016033E-2</v>
      </c>
      <c r="DL76" s="1395">
        <f t="shared" si="80"/>
        <v>1.7086417508562768E-2</v>
      </c>
      <c r="DM76" s="1395">
        <f t="shared" si="81"/>
        <v>1.7252642199761858E-2</v>
      </c>
      <c r="DN76" s="1397">
        <f t="shared" si="82"/>
        <v>1.7145114285713969E-2</v>
      </c>
      <c r="DO76" s="1395">
        <f t="shared" si="83"/>
        <v>1.7146780363509695E-2</v>
      </c>
      <c r="DP76" s="1395">
        <f t="shared" si="84"/>
        <v>1.7207017782268741E-2</v>
      </c>
      <c r="DQ76" s="1395">
        <f t="shared" si="85"/>
        <v>1.7214289548808992E-2</v>
      </c>
      <c r="DR76" s="1398">
        <f t="shared" si="86"/>
        <v>1.7187384046754905E-2</v>
      </c>
    </row>
    <row r="77" spans="4:122" ht="12.75" thickBot="1">
      <c r="E77" s="743" t="s">
        <v>46</v>
      </c>
      <c r="F77" s="732" t="str">
        <f>+F75</f>
        <v>Water</v>
      </c>
      <c r="G77" s="733" t="str">
        <f>+G75</f>
        <v>Fixed tariff group - 1 -25mm</v>
      </c>
      <c r="H77" s="733">
        <f>+H75</f>
        <v>0</v>
      </c>
      <c r="I77" s="734" t="str">
        <f>+I75</f>
        <v>Fixed</v>
      </c>
      <c r="J77" s="735" t="s">
        <v>344</v>
      </c>
      <c r="K77" s="736">
        <f t="shared" ref="K77:AG77" si="110">K75*K76/10^6</f>
        <v>0</v>
      </c>
      <c r="L77" s="737">
        <f t="shared" si="110"/>
        <v>0</v>
      </c>
      <c r="M77" s="737">
        <f t="shared" si="110"/>
        <v>0</v>
      </c>
      <c r="N77" s="738">
        <f t="shared" si="110"/>
        <v>0</v>
      </c>
      <c r="O77" s="1923">
        <f t="shared" si="110"/>
        <v>0.46322922027149316</v>
      </c>
      <c r="P77" s="737">
        <f t="shared" si="110"/>
        <v>0.4721960100799289</v>
      </c>
      <c r="Q77" s="737">
        <f t="shared" si="110"/>
        <v>0.46798829999999997</v>
      </c>
      <c r="R77" s="737">
        <f t="shared" si="110"/>
        <v>0.46499969547169806</v>
      </c>
      <c r="S77" s="737">
        <f t="shared" si="110"/>
        <v>0.45757100702290077</v>
      </c>
      <c r="T77" s="1531">
        <f t="shared" si="110"/>
        <v>0.45202748171655244</v>
      </c>
      <c r="U77" s="737">
        <f t="shared" si="110"/>
        <v>0.46755106588235296</v>
      </c>
      <c r="V77" s="737">
        <f t="shared" si="110"/>
        <v>0.47644012179039297</v>
      </c>
      <c r="W77" s="737">
        <f t="shared" si="110"/>
        <v>0.48903359999999996</v>
      </c>
      <c r="X77" s="738">
        <f t="shared" si="110"/>
        <v>0.53681321023836659</v>
      </c>
      <c r="Y77" s="737">
        <f t="shared" si="110"/>
        <v>0.5882126979580441</v>
      </c>
      <c r="Z77" s="737">
        <f t="shared" si="110"/>
        <v>0.64395556272532839</v>
      </c>
      <c r="AA77" s="737">
        <f t="shared" si="110"/>
        <v>0.70336107533734082</v>
      </c>
      <c r="AB77" s="737">
        <f t="shared" si="110"/>
        <v>0.76826410314900306</v>
      </c>
      <c r="AC77" s="738">
        <f t="shared" si="110"/>
        <v>0.79360341859763284</v>
      </c>
      <c r="AD77" s="737">
        <f t="shared" si="110"/>
        <v>0.82013325754043054</v>
      </c>
      <c r="AE77" s="737">
        <f t="shared" si="110"/>
        <v>0.84789445132061847</v>
      </c>
      <c r="AF77" s="737">
        <f t="shared" si="110"/>
        <v>0.87633404918784219</v>
      </c>
      <c r="AG77" s="739">
        <f t="shared" si="110"/>
        <v>0.90546665320727893</v>
      </c>
      <c r="AH77" s="697"/>
      <c r="AI77" s="707"/>
      <c r="AJ77" s="709">
        <f t="shared" si="90"/>
        <v>0.53681321023836659</v>
      </c>
      <c r="AK77" s="710">
        <f t="shared" si="91"/>
        <v>0.5882126979580441</v>
      </c>
      <c r="AL77" s="710">
        <f t="shared" si="92"/>
        <v>0.64395556272532839</v>
      </c>
      <c r="AM77" s="710">
        <f t="shared" si="93"/>
        <v>0.70336107533734082</v>
      </c>
      <c r="AN77" s="710">
        <f t="shared" si="94"/>
        <v>0.76826410314900306</v>
      </c>
      <c r="AO77" s="711">
        <f t="shared" si="95"/>
        <v>0.79360341859763284</v>
      </c>
      <c r="AP77" s="707">
        <f t="shared" si="96"/>
        <v>0.82013325754043054</v>
      </c>
      <c r="AQ77" s="707">
        <f t="shared" si="97"/>
        <v>0.84789445132061847</v>
      </c>
      <c r="AR77" s="707">
        <f t="shared" si="98"/>
        <v>0.87633404918784219</v>
      </c>
      <c r="AS77" s="712">
        <f t="shared" si="99"/>
        <v>0.90546665320727893</v>
      </c>
      <c r="AV77" s="1559"/>
      <c r="AW77" s="1428" t="str">
        <f t="shared" si="48"/>
        <v>Rev</v>
      </c>
      <c r="AX77" s="1429" t="str">
        <f t="shared" si="36"/>
        <v>Water</v>
      </c>
      <c r="AY77" s="1430" t="str">
        <f t="shared" si="49"/>
        <v>Fixed</v>
      </c>
      <c r="AZ77" s="1431">
        <f t="shared" si="50"/>
        <v>1.9357133393226755E-2</v>
      </c>
      <c r="BA77" s="1431">
        <f t="shared" si="50"/>
        <v>-8.9109395041619965E-3</v>
      </c>
      <c r="BB77" s="1431">
        <f t="shared" si="50"/>
        <v>-6.3860667634253465E-3</v>
      </c>
      <c r="BC77" s="1431">
        <f t="shared" si="51"/>
        <v>-1.5975684545904034E-2</v>
      </c>
      <c r="BD77" s="1431">
        <f t="shared" si="52"/>
        <v>-1.2115114859256981E-2</v>
      </c>
      <c r="BE77" s="1431">
        <f t="shared" si="53"/>
        <v>3.4342124746155944E-2</v>
      </c>
      <c r="BF77" s="1431">
        <f t="shared" si="54"/>
        <v>1.901194662291017E-2</v>
      </c>
      <c r="BG77" s="1432">
        <f t="shared" si="55"/>
        <v>2.6432446877652893E-2</v>
      </c>
      <c r="BH77" s="1431">
        <f t="shared" si="56"/>
        <v>9.7702101120181961E-2</v>
      </c>
      <c r="BI77" s="1431">
        <f t="shared" si="57"/>
        <v>9.5749297408038947E-2</v>
      </c>
      <c r="BJ77" s="1431">
        <f t="shared" si="58"/>
        <v>9.4766510415013716E-2</v>
      </c>
      <c r="BK77" s="1431">
        <f t="shared" si="59"/>
        <v>9.2250950299424872E-2</v>
      </c>
      <c r="BL77" s="1433">
        <f t="shared" si="60"/>
        <v>9.2275546781621198E-2</v>
      </c>
      <c r="BM77" s="1431">
        <f t="shared" si="61"/>
        <v>3.2982558139535101E-2</v>
      </c>
      <c r="BN77" s="1431">
        <f t="shared" si="62"/>
        <v>3.3429592566118549E-2</v>
      </c>
      <c r="BO77" s="1431">
        <f t="shared" si="63"/>
        <v>3.3849613492621167E-2</v>
      </c>
      <c r="BP77" s="1431">
        <f t="shared" si="64"/>
        <v>3.354143646408847E-2</v>
      </c>
      <c r="BQ77" s="1434">
        <f t="shared" si="65"/>
        <v>3.3243720298710144E-2</v>
      </c>
      <c r="BR77" s="1378"/>
      <c r="BS77" s="1407"/>
      <c r="BT77" s="1408"/>
      <c r="BU77" s="1409"/>
      <c r="BV77" s="1410"/>
      <c r="BW77" s="1378"/>
      <c r="BX77" s="1428" t="str">
        <f t="shared" si="66"/>
        <v>Rev</v>
      </c>
      <c r="BY77" s="1429" t="str">
        <f t="shared" si="67"/>
        <v>Water</v>
      </c>
      <c r="BZ77" s="1430" t="str">
        <f t="shared" si="68"/>
        <v>Fixed</v>
      </c>
      <c r="CA77" s="1435">
        <f t="shared" ref="CA77:CR77" si="111">IFERROR((P77/O77-1)*(O77/O$13),"-")</f>
        <v>1.1891853723983599E-4</v>
      </c>
      <c r="CB77" s="1431">
        <f t="shared" si="111"/>
        <v>-5.4391933579539387E-5</v>
      </c>
      <c r="CC77" s="1431">
        <f t="shared" si="111"/>
        <v>-3.9330077723116921E-5</v>
      </c>
      <c r="CD77" s="1431">
        <f t="shared" si="111"/>
        <v>-9.9574905456936526E-5</v>
      </c>
      <c r="CE77" s="1431">
        <f t="shared" si="111"/>
        <v>-7.6907500152097107E-5</v>
      </c>
      <c r="CF77" s="1431">
        <f t="shared" si="111"/>
        <v>2.0798536976197573E-4</v>
      </c>
      <c r="CG77" s="1431">
        <f t="shared" si="111"/>
        <v>1.1335817090873415E-4</v>
      </c>
      <c r="CH77" s="1433">
        <f t="shared" si="111"/>
        <v>1.5330692302273986E-4</v>
      </c>
      <c r="CI77" s="1431">
        <f t="shared" si="111"/>
        <v>5.9226334013442116E-4</v>
      </c>
      <c r="CJ77" s="1431">
        <f t="shared" si="111"/>
        <v>5.9227719322284028E-4</v>
      </c>
      <c r="CK77" s="1431">
        <f t="shared" si="111"/>
        <v>6.0376920373097175E-4</v>
      </c>
      <c r="CL77" s="1431">
        <f t="shared" si="111"/>
        <v>6.0479101147407498E-4</v>
      </c>
      <c r="CM77" s="1433">
        <f t="shared" si="111"/>
        <v>6.2093214222555635E-4</v>
      </c>
      <c r="CN77" s="1431">
        <f t="shared" si="111"/>
        <v>2.2784416477295859E-4</v>
      </c>
      <c r="CO77" s="1431">
        <f t="shared" si="111"/>
        <v>2.3212564713263583E-4</v>
      </c>
      <c r="CP77" s="1431">
        <f t="shared" si="111"/>
        <v>2.3629827052895164E-4</v>
      </c>
      <c r="CQ77" s="1431">
        <f t="shared" si="111"/>
        <v>2.3552107910304493E-4</v>
      </c>
      <c r="CR77" s="1434">
        <f t="shared" si="111"/>
        <v>2.3461564456310656E-4</v>
      </c>
      <c r="CS77" s="1378"/>
      <c r="CT77" s="1428" t="str">
        <f t="shared" si="39"/>
        <v>Rev</v>
      </c>
      <c r="CU77" s="1429" t="str">
        <f t="shared" si="40"/>
        <v>Water</v>
      </c>
      <c r="CV77" s="1429" t="str">
        <f t="shared" si="41"/>
        <v>Fixed</v>
      </c>
      <c r="CW77" s="1435">
        <f t="shared" si="70"/>
        <v>9.672526462454023E-2</v>
      </c>
      <c r="CX77" s="1431">
        <f t="shared" si="71"/>
        <v>9.6071957464092472E-2</v>
      </c>
      <c r="CY77" s="1431">
        <f t="shared" si="72"/>
        <v>9.5115454341659911E-2</v>
      </c>
      <c r="CZ77" s="1434">
        <f t="shared" si="73"/>
        <v>9.454688274417089E-2</v>
      </c>
      <c r="DA77" s="1431">
        <f t="shared" si="74"/>
        <v>8.4037081888464371E-2</v>
      </c>
      <c r="DB77" s="1431">
        <f t="shared" si="75"/>
        <v>7.6658468268012925E-2</v>
      </c>
      <c r="DC77" s="1431">
        <f t="shared" si="76"/>
        <v>7.1211895518900725E-2</v>
      </c>
      <c r="DD77" s="1431">
        <f t="shared" si="77"/>
        <v>6.695938402962609E-2</v>
      </c>
      <c r="DE77" s="1434">
        <f t="shared" si="78"/>
        <v>6.3538892305743833E-2</v>
      </c>
      <c r="DF77" s="1378"/>
      <c r="DG77" s="1428" t="str">
        <f t="shared" si="43"/>
        <v>Rev</v>
      </c>
      <c r="DH77" s="1429" t="str">
        <f t="shared" si="44"/>
        <v>Water</v>
      </c>
      <c r="DI77" s="1429" t="str">
        <f t="shared" si="45"/>
        <v>Fixed</v>
      </c>
      <c r="DJ77" s="1429"/>
      <c r="DK77" s="1435">
        <f t="shared" si="79"/>
        <v>9.5257793678320324E-2</v>
      </c>
      <c r="DL77" s="1431">
        <f t="shared" si="80"/>
        <v>9.4254593953294608E-2</v>
      </c>
      <c r="DM77" s="1431">
        <f t="shared" si="81"/>
        <v>9.3759496249782082E-2</v>
      </c>
      <c r="DN77" s="1433">
        <f t="shared" si="82"/>
        <v>8.1324559679668784E-2</v>
      </c>
      <c r="DO77" s="1431">
        <f t="shared" si="83"/>
        <v>7.319062818655353E-2</v>
      </c>
      <c r="DP77" s="1431">
        <f t="shared" si="84"/>
        <v>6.748012986601637E-2</v>
      </c>
      <c r="DQ77" s="1431">
        <f t="shared" si="85"/>
        <v>6.3177584127448672E-2</v>
      </c>
      <c r="DR77" s="1434">
        <f t="shared" si="86"/>
        <v>5.9809226826960993E-2</v>
      </c>
    </row>
    <row r="78" spans="4:122">
      <c r="D78" s="70">
        <f>D75+1</f>
        <v>5</v>
      </c>
      <c r="E78" s="713" t="s">
        <v>44</v>
      </c>
      <c r="F78" s="1532" t="s">
        <v>20</v>
      </c>
      <c r="G78" s="1532" t="s">
        <v>867</v>
      </c>
      <c r="H78" s="1532"/>
      <c r="I78" s="781" t="s">
        <v>319</v>
      </c>
      <c r="J78" s="781" t="s">
        <v>345</v>
      </c>
      <c r="K78" s="1533"/>
      <c r="L78" s="1534"/>
      <c r="M78" s="1534"/>
      <c r="N78" s="1535"/>
      <c r="O78" s="2071">
        <v>662.18131221719443</v>
      </c>
      <c r="P78" s="1547">
        <v>665.15112788632314</v>
      </c>
      <c r="Q78" s="1547">
        <v>656.40680981595085</v>
      </c>
      <c r="R78" s="1547">
        <v>642.33290737564312</v>
      </c>
      <c r="S78" s="1547">
        <v>627.30241730279897</v>
      </c>
      <c r="T78" s="1547">
        <v>617.94440677966088</v>
      </c>
      <c r="U78" s="1547">
        <v>628.40694570135747</v>
      </c>
      <c r="V78" s="1547">
        <v>629.53521834061132</v>
      </c>
      <c r="W78" s="1547">
        <v>635.42999999999995</v>
      </c>
      <c r="X78" s="1550">
        <v>679.01554600261989</v>
      </c>
      <c r="Y78" s="1551">
        <v>725.02630483118332</v>
      </c>
      <c r="Z78" s="1551">
        <v>773.59181130029276</v>
      </c>
      <c r="AA78" s="1551">
        <v>824.84644979224095</v>
      </c>
      <c r="AB78" s="1551">
        <v>878.93240916740558</v>
      </c>
      <c r="AC78" s="1550">
        <v>892.99532771408406</v>
      </c>
      <c r="AD78" s="1551">
        <v>907.28325295750938</v>
      </c>
      <c r="AE78" s="1551">
        <v>921.79978500482957</v>
      </c>
      <c r="AF78" s="1551">
        <v>936.54858156490684</v>
      </c>
      <c r="AG78" s="1552">
        <v>951.53335886994535</v>
      </c>
      <c r="AH78" s="697"/>
      <c r="AI78" s="707"/>
      <c r="AJ78" s="709">
        <f t="shared" si="90"/>
        <v>679.01554600261989</v>
      </c>
      <c r="AK78" s="710">
        <f t="shared" si="91"/>
        <v>725.02630483118332</v>
      </c>
      <c r="AL78" s="710">
        <f t="shared" si="92"/>
        <v>773.59181130029276</v>
      </c>
      <c r="AM78" s="710">
        <f t="shared" si="93"/>
        <v>824.84644979224095</v>
      </c>
      <c r="AN78" s="710">
        <f t="shared" si="94"/>
        <v>878.93240916740558</v>
      </c>
      <c r="AO78" s="711">
        <f t="shared" si="95"/>
        <v>892.99532771408406</v>
      </c>
      <c r="AP78" s="707">
        <f t="shared" si="96"/>
        <v>907.28325295750938</v>
      </c>
      <c r="AQ78" s="707">
        <f t="shared" si="97"/>
        <v>921.79978500482957</v>
      </c>
      <c r="AR78" s="707">
        <f t="shared" si="98"/>
        <v>936.54858156490684</v>
      </c>
      <c r="AS78" s="712">
        <f t="shared" si="99"/>
        <v>951.53335886994535</v>
      </c>
      <c r="AU78" s="1369"/>
      <c r="AV78" s="1559"/>
      <c r="AW78" s="1412" t="str">
        <f t="shared" si="48"/>
        <v>Price</v>
      </c>
      <c r="AX78" s="1413" t="str">
        <f t="shared" si="36"/>
        <v>Water</v>
      </c>
      <c r="AY78" s="1414" t="str">
        <f t="shared" si="49"/>
        <v>Fixed</v>
      </c>
      <c r="AZ78" s="1415">
        <f t="shared" si="50"/>
        <v>4.4848980397602656E-3</v>
      </c>
      <c r="BA78" s="1415">
        <f t="shared" si="50"/>
        <v>-1.3146362839614234E-2</v>
      </c>
      <c r="BB78" s="1415">
        <f t="shared" si="50"/>
        <v>-2.1440823327615877E-2</v>
      </c>
      <c r="BC78" s="1415">
        <f t="shared" si="51"/>
        <v>-2.3399844380157409E-2</v>
      </c>
      <c r="BD78" s="1415">
        <f t="shared" si="52"/>
        <v>-1.491786140945317E-2</v>
      </c>
      <c r="BE78" s="1415">
        <f t="shared" si="53"/>
        <v>1.6931197704694423E-2</v>
      </c>
      <c r="BF78" s="1415">
        <f t="shared" si="54"/>
        <v>1.7954490270546408E-3</v>
      </c>
      <c r="BG78" s="1416">
        <f t="shared" si="55"/>
        <v>9.3637043451304525E-3</v>
      </c>
      <c r="BH78" s="1417">
        <f t="shared" si="56"/>
        <v>6.8592206856175952E-2</v>
      </c>
      <c r="BI78" s="1417">
        <f t="shared" si="57"/>
        <v>6.7760979994390125E-2</v>
      </c>
      <c r="BJ78" s="1417">
        <f t="shared" si="58"/>
        <v>6.6984475108689434E-2</v>
      </c>
      <c r="BK78" s="1417">
        <f t="shared" si="59"/>
        <v>6.6255404650414684E-2</v>
      </c>
      <c r="BL78" s="1418">
        <f t="shared" si="60"/>
        <v>6.5570942796429055E-2</v>
      </c>
      <c r="BM78" s="1417">
        <f t="shared" si="61"/>
        <v>1.6000000000000014E-2</v>
      </c>
      <c r="BN78" s="1417">
        <f t="shared" si="62"/>
        <v>1.6000000000000014E-2</v>
      </c>
      <c r="BO78" s="1417">
        <f t="shared" si="63"/>
        <v>1.6000000000000014E-2</v>
      </c>
      <c r="BP78" s="1417">
        <f t="shared" si="64"/>
        <v>1.6000000000000014E-2</v>
      </c>
      <c r="BQ78" s="1419">
        <f t="shared" si="65"/>
        <v>1.6000000000000014E-2</v>
      </c>
      <c r="BR78" s="1378"/>
      <c r="BS78" s="1420"/>
      <c r="BT78" s="1421"/>
      <c r="BU78" s="1422"/>
      <c r="BV78" s="1423"/>
      <c r="BW78" s="1378"/>
      <c r="BX78" s="1412" t="str">
        <f t="shared" si="66"/>
        <v>Price</v>
      </c>
      <c r="BY78" s="1413" t="str">
        <f t="shared" si="67"/>
        <v>Water</v>
      </c>
      <c r="BZ78" s="1414" t="str">
        <f t="shared" si="68"/>
        <v>Fixed</v>
      </c>
      <c r="CA78" s="1424">
        <f t="shared" ref="CA78:CR78" si="112">IFERROR((P78/O78-1)*(O80/O$13),"-")</f>
        <v>8.3892216070862163E-6</v>
      </c>
      <c r="CB78" s="1415">
        <f t="shared" si="112"/>
        <v>-2.4867797187162559E-5</v>
      </c>
      <c r="CC78" s="1415">
        <f t="shared" si="112"/>
        <v>-4.2228508029577644E-5</v>
      </c>
      <c r="CD78" s="1415">
        <f t="shared" si="112"/>
        <v>-4.6338154683274235E-5</v>
      </c>
      <c r="CE78" s="1415">
        <f t="shared" si="112"/>
        <v>-3.0249772362980031E-5</v>
      </c>
      <c r="CF78" s="1415">
        <f t="shared" si="112"/>
        <v>3.2523834157994977E-5</v>
      </c>
      <c r="CG78" s="1415">
        <f t="shared" si="112"/>
        <v>3.3956525938075852E-6</v>
      </c>
      <c r="CH78" s="1425">
        <f t="shared" si="112"/>
        <v>1.7294214382644979E-5</v>
      </c>
      <c r="CI78" s="1417">
        <f t="shared" si="112"/>
        <v>1.32367334673433E-4</v>
      </c>
      <c r="CJ78" s="1417">
        <f t="shared" si="112"/>
        <v>1.3201551128619264E-4</v>
      </c>
      <c r="CK78" s="1417">
        <f t="shared" si="112"/>
        <v>1.3361133756191815E-4</v>
      </c>
      <c r="CL78" s="1417">
        <f t="shared" si="112"/>
        <v>1.3462678074263284E-4</v>
      </c>
      <c r="CM78" s="1418">
        <f t="shared" si="112"/>
        <v>1.3557044222573298E-4</v>
      </c>
      <c r="CN78" s="1417">
        <f t="shared" si="112"/>
        <v>3.3762123573860691E-5</v>
      </c>
      <c r="CO78" s="1417">
        <f t="shared" si="112"/>
        <v>3.3878718488480798E-5</v>
      </c>
      <c r="CP78" s="1417">
        <f t="shared" si="112"/>
        <v>3.4103139747865415E-5</v>
      </c>
      <c r="CQ78" s="1417">
        <f t="shared" si="112"/>
        <v>3.4321735201833893E-5</v>
      </c>
      <c r="CR78" s="1419">
        <f t="shared" si="112"/>
        <v>3.4513896201700436E-5</v>
      </c>
      <c r="CS78" s="1378"/>
      <c r="CT78" s="1412" t="str">
        <f t="shared" si="39"/>
        <v>Price</v>
      </c>
      <c r="CU78" s="1413" t="str">
        <f t="shared" si="40"/>
        <v>Water</v>
      </c>
      <c r="CV78" s="1426" t="str">
        <f t="shared" si="41"/>
        <v>Fixed</v>
      </c>
      <c r="CW78" s="1427">
        <f t="shared" si="70"/>
        <v>6.8176512570426562E-2</v>
      </c>
      <c r="CX78" s="1417">
        <f t="shared" si="71"/>
        <v>6.7779018851390482E-2</v>
      </c>
      <c r="CY78" s="1417">
        <f t="shared" si="72"/>
        <v>6.7397911314560188E-2</v>
      </c>
      <c r="CZ78" s="1419">
        <f t="shared" si="73"/>
        <v>6.7032267189166106E-2</v>
      </c>
      <c r="DA78" s="1417">
        <f t="shared" si="74"/>
        <v>5.8352269133311818E-2</v>
      </c>
      <c r="DB78" s="1417">
        <f t="shared" si="75"/>
        <v>5.2195534265244481E-2</v>
      </c>
      <c r="DC78" s="1417">
        <f t="shared" si="76"/>
        <v>4.7601498431401268E-2</v>
      </c>
      <c r="DD78" s="1417">
        <f t="shared" si="77"/>
        <v>4.4042231349041838E-2</v>
      </c>
      <c r="DE78" s="1419">
        <f t="shared" si="78"/>
        <v>4.120352643668701E-2</v>
      </c>
      <c r="DF78" s="1378"/>
      <c r="DG78" s="1412" t="str">
        <f t="shared" si="43"/>
        <v>Price</v>
      </c>
      <c r="DH78" s="1413" t="str">
        <f t="shared" si="44"/>
        <v>Water</v>
      </c>
      <c r="DI78" s="1426" t="str">
        <f t="shared" si="45"/>
        <v>Fixed</v>
      </c>
      <c r="DJ78" s="1426"/>
      <c r="DK78" s="1427">
        <f t="shared" si="79"/>
        <v>6.7372656938922137E-2</v>
      </c>
      <c r="DL78" s="1417">
        <f t="shared" si="80"/>
        <v>6.7000109493487114E-2</v>
      </c>
      <c r="DM78" s="1417">
        <f t="shared" si="81"/>
        <v>6.6642638216839245E-2</v>
      </c>
      <c r="DN78" s="1418">
        <f t="shared" si="82"/>
        <v>5.6316086889106831E-2</v>
      </c>
      <c r="DO78" s="1417">
        <f t="shared" si="83"/>
        <v>4.9487320977844362E-2</v>
      </c>
      <c r="DP78" s="1417">
        <f t="shared" si="84"/>
        <v>4.4636675830091788E-2</v>
      </c>
      <c r="DQ78" s="1417">
        <f t="shared" si="85"/>
        <v>4.1013410301860009E-2</v>
      </c>
      <c r="DR78" s="1419">
        <f t="shared" si="86"/>
        <v>3.8204005490727555E-2</v>
      </c>
    </row>
    <row r="79" spans="4:122">
      <c r="E79" s="742" t="s">
        <v>45</v>
      </c>
      <c r="F79" s="722" t="str">
        <f>+F78</f>
        <v>Water</v>
      </c>
      <c r="G79" s="723" t="str">
        <f>+G78</f>
        <v>Fixed tariff group - 1 -32mm</v>
      </c>
      <c r="H79" s="723">
        <f>+H78</f>
        <v>0</v>
      </c>
      <c r="I79" s="724" t="str">
        <f>+I78</f>
        <v>Fixed</v>
      </c>
      <c r="J79" s="782" t="s">
        <v>323</v>
      </c>
      <c r="K79" s="1540"/>
      <c r="L79" s="1541"/>
      <c r="M79" s="1541"/>
      <c r="N79" s="1542"/>
      <c r="O79" s="2031">
        <v>213</v>
      </c>
      <c r="P79" s="1543">
        <v>220</v>
      </c>
      <c r="Q79" s="1543">
        <v>228</v>
      </c>
      <c r="R79" s="1543">
        <v>230</v>
      </c>
      <c r="S79" s="1543">
        <v>233</v>
      </c>
      <c r="T79" s="1543">
        <v>232.01916810427448</v>
      </c>
      <c r="U79" s="1543">
        <v>236</v>
      </c>
      <c r="V79" s="1543">
        <v>241</v>
      </c>
      <c r="W79" s="1543">
        <v>245</v>
      </c>
      <c r="X79" s="1544">
        <v>249</v>
      </c>
      <c r="Y79" s="1543">
        <v>254</v>
      </c>
      <c r="Z79" s="1543">
        <v>258</v>
      </c>
      <c r="AA79" s="1543">
        <v>262</v>
      </c>
      <c r="AB79" s="1543">
        <v>267</v>
      </c>
      <c r="AC79" s="1544">
        <v>271</v>
      </c>
      <c r="AD79" s="1543">
        <v>276</v>
      </c>
      <c r="AE79" s="1543">
        <v>281</v>
      </c>
      <c r="AF79" s="1543">
        <v>286</v>
      </c>
      <c r="AG79" s="788">
        <v>290</v>
      </c>
      <c r="AH79" s="697"/>
      <c r="AI79" s="707"/>
      <c r="AJ79" s="709">
        <f t="shared" si="90"/>
        <v>249</v>
      </c>
      <c r="AK79" s="710">
        <f t="shared" si="91"/>
        <v>254</v>
      </c>
      <c r="AL79" s="710">
        <f t="shared" si="92"/>
        <v>258</v>
      </c>
      <c r="AM79" s="710">
        <f t="shared" si="93"/>
        <v>262</v>
      </c>
      <c r="AN79" s="710">
        <f t="shared" si="94"/>
        <v>267</v>
      </c>
      <c r="AO79" s="711">
        <f t="shared" si="95"/>
        <v>271</v>
      </c>
      <c r="AP79" s="707">
        <f t="shared" si="96"/>
        <v>276</v>
      </c>
      <c r="AQ79" s="707">
        <f t="shared" si="97"/>
        <v>281</v>
      </c>
      <c r="AR79" s="707">
        <f t="shared" si="98"/>
        <v>286</v>
      </c>
      <c r="AS79" s="712">
        <f t="shared" si="99"/>
        <v>290</v>
      </c>
      <c r="AV79" s="1559"/>
      <c r="AW79" s="1392" t="str">
        <f t="shared" si="48"/>
        <v>Qty</v>
      </c>
      <c r="AX79" s="1393" t="str">
        <f t="shared" si="36"/>
        <v>Water</v>
      </c>
      <c r="AY79" s="1394" t="str">
        <f t="shared" si="49"/>
        <v>Fixed</v>
      </c>
      <c r="AZ79" s="1395">
        <f t="shared" si="50"/>
        <v>3.2863849765258246E-2</v>
      </c>
      <c r="BA79" s="1395">
        <f t="shared" si="50"/>
        <v>3.6363636363636376E-2</v>
      </c>
      <c r="BB79" s="1395">
        <f t="shared" si="50"/>
        <v>8.7719298245614308E-3</v>
      </c>
      <c r="BC79" s="1395">
        <f t="shared" si="51"/>
        <v>1.304347826086949E-2</v>
      </c>
      <c r="BD79" s="1395">
        <f t="shared" si="52"/>
        <v>-4.20957895161167E-3</v>
      </c>
      <c r="BE79" s="1395">
        <f t="shared" si="53"/>
        <v>1.7157340612205196E-2</v>
      </c>
      <c r="BF79" s="1395">
        <f t="shared" si="54"/>
        <v>2.1186440677966045E-2</v>
      </c>
      <c r="BG79" s="1396">
        <f t="shared" si="55"/>
        <v>1.6597510373443924E-2</v>
      </c>
      <c r="BH79" s="1395">
        <f t="shared" si="56"/>
        <v>1.6326530612244872E-2</v>
      </c>
      <c r="BI79" s="1395">
        <f t="shared" si="57"/>
        <v>2.008032128514059E-2</v>
      </c>
      <c r="BJ79" s="1395">
        <f t="shared" si="58"/>
        <v>1.5748031496062964E-2</v>
      </c>
      <c r="BK79" s="1395">
        <f t="shared" si="59"/>
        <v>1.5503875968992276E-2</v>
      </c>
      <c r="BL79" s="1397">
        <f t="shared" si="60"/>
        <v>1.9083969465648831E-2</v>
      </c>
      <c r="BM79" s="1395">
        <f t="shared" si="61"/>
        <v>1.4981273408239737E-2</v>
      </c>
      <c r="BN79" s="1395">
        <f t="shared" si="62"/>
        <v>1.8450184501844991E-2</v>
      </c>
      <c r="BO79" s="1395">
        <f t="shared" si="63"/>
        <v>1.8115942028985588E-2</v>
      </c>
      <c r="BP79" s="1395">
        <f t="shared" si="64"/>
        <v>1.7793594306049876E-2</v>
      </c>
      <c r="BQ79" s="1398">
        <f t="shared" si="65"/>
        <v>1.3986013986013957E-2</v>
      </c>
      <c r="BR79" s="1378"/>
      <c r="BS79" s="1329"/>
      <c r="BT79" s="1399"/>
      <c r="BU79" s="1331"/>
      <c r="BV79" s="1400"/>
      <c r="BW79" s="1378"/>
      <c r="BX79" s="1392" t="str">
        <f t="shared" si="66"/>
        <v>Qty</v>
      </c>
      <c r="BY79" s="1393" t="str">
        <f t="shared" si="67"/>
        <v>Water</v>
      </c>
      <c r="BZ79" s="1394" t="str">
        <f t="shared" si="68"/>
        <v>Fixed</v>
      </c>
      <c r="CA79" s="1401">
        <f t="shared" ref="CA79:CR79" si="113">IFERROR((P79/O79-1)*(O80/O$13),"-")</f>
        <v>6.1473441781404928E-5</v>
      </c>
      <c r="CB79" s="1395">
        <f t="shared" si="113"/>
        <v>6.878583415891585E-5</v>
      </c>
      <c r="CC79" s="1395">
        <f t="shared" si="113"/>
        <v>1.7276645741223671E-5</v>
      </c>
      <c r="CD79" s="1395">
        <f t="shared" si="113"/>
        <v>2.5829689438987176E-5</v>
      </c>
      <c r="CE79" s="1395">
        <f t="shared" si="113"/>
        <v>-8.5359959806003366E-6</v>
      </c>
      <c r="CF79" s="1395">
        <f t="shared" si="113"/>
        <v>3.2958241371717838E-5</v>
      </c>
      <c r="CG79" s="1395">
        <f t="shared" si="113"/>
        <v>4.0068969465372926E-5</v>
      </c>
      <c r="CH79" s="1397">
        <f t="shared" si="113"/>
        <v>3.0654631119978423E-5</v>
      </c>
      <c r="CI79" s="1395">
        <f t="shared" si="113"/>
        <v>3.1506485075461358E-5</v>
      </c>
      <c r="CJ79" s="1395">
        <f t="shared" si="113"/>
        <v>3.9121539881334632E-5</v>
      </c>
      <c r="CK79" s="1395">
        <f t="shared" si="113"/>
        <v>3.1411988356138293E-5</v>
      </c>
      <c r="CL79" s="1395">
        <f t="shared" si="113"/>
        <v>3.1502892809295269E-5</v>
      </c>
      <c r="CM79" s="1397">
        <f t="shared" si="113"/>
        <v>3.9456839715004002E-5</v>
      </c>
      <c r="CN79" s="1395">
        <f t="shared" si="113"/>
        <v>3.1612475256423911E-5</v>
      </c>
      <c r="CO79" s="1395">
        <f t="shared" si="113"/>
        <v>3.9066787924908575E-5</v>
      </c>
      <c r="CP79" s="1395">
        <f t="shared" si="113"/>
        <v>3.8613156417420219E-5</v>
      </c>
      <c r="CQ79" s="1395">
        <f t="shared" si="113"/>
        <v>3.8169189503818914E-5</v>
      </c>
      <c r="CR79" s="1398">
        <f t="shared" si="113"/>
        <v>3.0169489686800991E-5</v>
      </c>
      <c r="CS79" s="1378"/>
      <c r="CT79" s="1392" t="str">
        <f t="shared" si="39"/>
        <v>Qty</v>
      </c>
      <c r="CU79" s="1393" t="str">
        <f t="shared" si="40"/>
        <v>Water</v>
      </c>
      <c r="CV79" s="1393" t="str">
        <f t="shared" si="41"/>
        <v>Fixed</v>
      </c>
      <c r="CW79" s="1401">
        <f t="shared" si="70"/>
        <v>1.8201696068883555E-2</v>
      </c>
      <c r="CX79" s="1395">
        <f t="shared" si="71"/>
        <v>1.738315001408286E-2</v>
      </c>
      <c r="CY79" s="1395">
        <f t="shared" si="72"/>
        <v>1.6913005714672247E-2</v>
      </c>
      <c r="CZ79" s="1398">
        <f t="shared" si="73"/>
        <v>1.734682816333466E-2</v>
      </c>
      <c r="DA79" s="1395">
        <f t="shared" si="74"/>
        <v>1.6952186519218371E-2</v>
      </c>
      <c r="DB79" s="1395">
        <f t="shared" si="75"/>
        <v>1.7166051256651382E-2</v>
      </c>
      <c r="DC79" s="1395">
        <f t="shared" si="76"/>
        <v>1.7284739120117187E-2</v>
      </c>
      <c r="DD79" s="1395">
        <f t="shared" si="77"/>
        <v>1.7341266019595736E-2</v>
      </c>
      <c r="DE79" s="1398">
        <f t="shared" si="78"/>
        <v>1.7005241811676619E-2</v>
      </c>
      <c r="DF79" s="1378"/>
      <c r="DG79" s="1392" t="str">
        <f t="shared" si="43"/>
        <v>Qty</v>
      </c>
      <c r="DH79" s="1393" t="str">
        <f t="shared" si="44"/>
        <v>Water</v>
      </c>
      <c r="DI79" s="1393" t="str">
        <f t="shared" si="45"/>
        <v>Fixed</v>
      </c>
      <c r="DJ79" s="1393"/>
      <c r="DK79" s="1401">
        <f t="shared" si="79"/>
        <v>1.7911871584791461E-2</v>
      </c>
      <c r="DL79" s="1395">
        <f t="shared" si="80"/>
        <v>1.7108572611994166E-2</v>
      </c>
      <c r="DM79" s="1395">
        <f t="shared" si="81"/>
        <v>1.760206255534591E-2</v>
      </c>
      <c r="DN79" s="1397">
        <f t="shared" si="82"/>
        <v>1.7077363911872201E-2</v>
      </c>
      <c r="DO79" s="1395">
        <f t="shared" si="83"/>
        <v>1.7306038769565379E-2</v>
      </c>
      <c r="DP79" s="1395">
        <f t="shared" si="84"/>
        <v>1.7421699778031874E-2</v>
      </c>
      <c r="DQ79" s="1395">
        <f t="shared" si="85"/>
        <v>1.746817916166199E-2</v>
      </c>
      <c r="DR79" s="1398">
        <f t="shared" si="86"/>
        <v>1.70806821399625E-2</v>
      </c>
    </row>
    <row r="80" spans="4:122" ht="12.75" thickBot="1">
      <c r="E80" s="743" t="s">
        <v>46</v>
      </c>
      <c r="F80" s="732" t="str">
        <f>+F78</f>
        <v>Water</v>
      </c>
      <c r="G80" s="733" t="str">
        <f>+G78</f>
        <v>Fixed tariff group - 1 -32mm</v>
      </c>
      <c r="H80" s="733">
        <f>+H78</f>
        <v>0</v>
      </c>
      <c r="I80" s="734" t="str">
        <f>+I78</f>
        <v>Fixed</v>
      </c>
      <c r="J80" s="735" t="s">
        <v>344</v>
      </c>
      <c r="K80" s="736">
        <f t="shared" ref="K80:AG80" si="114">K78*K79/10^6</f>
        <v>0</v>
      </c>
      <c r="L80" s="737">
        <f t="shared" si="114"/>
        <v>0</v>
      </c>
      <c r="M80" s="737">
        <f t="shared" si="114"/>
        <v>0</v>
      </c>
      <c r="N80" s="738">
        <f t="shared" si="114"/>
        <v>0</v>
      </c>
      <c r="O80" s="1923">
        <f t="shared" si="114"/>
        <v>0.14104461950226241</v>
      </c>
      <c r="P80" s="737">
        <f t="shared" si="114"/>
        <v>0.1463332481349911</v>
      </c>
      <c r="Q80" s="737">
        <f t="shared" si="114"/>
        <v>0.1496607526380368</v>
      </c>
      <c r="R80" s="737">
        <f t="shared" si="114"/>
        <v>0.1477365686963979</v>
      </c>
      <c r="S80" s="737">
        <f t="shared" si="114"/>
        <v>0.14616146323155216</v>
      </c>
      <c r="T80" s="1531">
        <f t="shared" si="114"/>
        <v>0.14337494719570631</v>
      </c>
      <c r="U80" s="737">
        <f t="shared" si="114"/>
        <v>0.14830403918552038</v>
      </c>
      <c r="V80" s="737">
        <f t="shared" si="114"/>
        <v>0.15171798762008734</v>
      </c>
      <c r="W80" s="737">
        <f t="shared" si="114"/>
        <v>0.15568034999999997</v>
      </c>
      <c r="X80" s="738">
        <f t="shared" si="114"/>
        <v>0.16907487095465235</v>
      </c>
      <c r="Y80" s="737">
        <f t="shared" si="114"/>
        <v>0.18415668142712055</v>
      </c>
      <c r="Z80" s="737">
        <f t="shared" si="114"/>
        <v>0.19958668731547555</v>
      </c>
      <c r="AA80" s="737">
        <f t="shared" si="114"/>
        <v>0.21610976984556712</v>
      </c>
      <c r="AB80" s="737">
        <f t="shared" si="114"/>
        <v>0.2346749532476973</v>
      </c>
      <c r="AC80" s="738">
        <f t="shared" si="114"/>
        <v>0.24200173381051676</v>
      </c>
      <c r="AD80" s="737">
        <f t="shared" si="114"/>
        <v>0.25041017781627262</v>
      </c>
      <c r="AE80" s="737">
        <f t="shared" si="114"/>
        <v>0.25902573958635711</v>
      </c>
      <c r="AF80" s="737">
        <f t="shared" si="114"/>
        <v>0.26785289432756337</v>
      </c>
      <c r="AG80" s="739">
        <f t="shared" si="114"/>
        <v>0.27594467407228412</v>
      </c>
      <c r="AH80" s="697"/>
      <c r="AI80" s="707"/>
      <c r="AJ80" s="709">
        <f t="shared" si="90"/>
        <v>0.16907487095465235</v>
      </c>
      <c r="AK80" s="710">
        <f t="shared" si="91"/>
        <v>0.18415668142712055</v>
      </c>
      <c r="AL80" s="710">
        <f t="shared" si="92"/>
        <v>0.19958668731547555</v>
      </c>
      <c r="AM80" s="710">
        <f t="shared" si="93"/>
        <v>0.21610976984556712</v>
      </c>
      <c r="AN80" s="710">
        <f t="shared" si="94"/>
        <v>0.2346749532476973</v>
      </c>
      <c r="AO80" s="711">
        <f t="shared" si="95"/>
        <v>0.24200173381051676</v>
      </c>
      <c r="AP80" s="707">
        <f t="shared" si="96"/>
        <v>0.25041017781627262</v>
      </c>
      <c r="AQ80" s="707">
        <f t="shared" si="97"/>
        <v>0.25902573958635711</v>
      </c>
      <c r="AR80" s="707">
        <f t="shared" si="98"/>
        <v>0.26785289432756337</v>
      </c>
      <c r="AS80" s="712">
        <f t="shared" si="99"/>
        <v>0.27594467407228412</v>
      </c>
      <c r="AV80" s="1559"/>
      <c r="AW80" s="1428" t="str">
        <f t="shared" si="48"/>
        <v>Rev</v>
      </c>
      <c r="AX80" s="1429" t="str">
        <f t="shared" si="36"/>
        <v>Water</v>
      </c>
      <c r="AY80" s="1430" t="str">
        <f t="shared" si="49"/>
        <v>Fixed</v>
      </c>
      <c r="AZ80" s="1431">
        <f t="shared" si="50"/>
        <v>3.7496138820409586E-2</v>
      </c>
      <c r="BA80" s="1431">
        <f t="shared" si="50"/>
        <v>2.2739223966217859E-2</v>
      </c>
      <c r="BB80" s="1431">
        <f t="shared" si="50"/>
        <v>-1.2856970900665288E-2</v>
      </c>
      <c r="BC80" s="1431">
        <f t="shared" si="51"/>
        <v>-1.0661581480768123E-2</v>
      </c>
      <c r="BD80" s="1431">
        <f t="shared" si="52"/>
        <v>-1.9064642445672408E-2</v>
      </c>
      <c r="BE80" s="1431">
        <f t="shared" si="53"/>
        <v>3.437903264289166E-2</v>
      </c>
      <c r="BF80" s="1431">
        <f t="shared" si="54"/>
        <v>2.3019928879322693E-2</v>
      </c>
      <c r="BG80" s="1432">
        <f t="shared" si="55"/>
        <v>2.6116628898576355E-2</v>
      </c>
      <c r="BH80" s="1431">
        <f t="shared" si="56"/>
        <v>8.6038610233419854E-2</v>
      </c>
      <c r="BI80" s="1431">
        <f t="shared" si="57"/>
        <v>8.920196352841403E-2</v>
      </c>
      <c r="BJ80" s="1431">
        <f t="shared" si="58"/>
        <v>8.3787380228511399E-2</v>
      </c>
      <c r="BK80" s="1431">
        <f t="shared" si="59"/>
        <v>8.2786496195382364E-2</v>
      </c>
      <c r="BL80" s="1433">
        <f t="shared" si="60"/>
        <v>8.5906266132238951E-2</v>
      </c>
      <c r="BM80" s="1431">
        <f t="shared" si="61"/>
        <v>3.1220973782771333E-2</v>
      </c>
      <c r="BN80" s="1431">
        <f t="shared" si="62"/>
        <v>3.4745387453874788E-2</v>
      </c>
      <c r="BO80" s="1431">
        <f t="shared" si="63"/>
        <v>3.4405797101449087E-2</v>
      </c>
      <c r="BP80" s="1431">
        <f t="shared" si="64"/>
        <v>3.4078291814946704E-2</v>
      </c>
      <c r="BQ80" s="1434">
        <f t="shared" si="65"/>
        <v>3.0209790209789977E-2</v>
      </c>
      <c r="BR80" s="1378"/>
      <c r="BS80" s="1407"/>
      <c r="BT80" s="1408"/>
      <c r="BU80" s="1409"/>
      <c r="BV80" s="1410"/>
      <c r="BW80" s="1378"/>
      <c r="BX80" s="1428" t="str">
        <f t="shared" si="66"/>
        <v>Rev</v>
      </c>
      <c r="BY80" s="1429" t="str">
        <f t="shared" si="67"/>
        <v>Water</v>
      </c>
      <c r="BZ80" s="1430" t="str">
        <f t="shared" si="68"/>
        <v>Fixed</v>
      </c>
      <c r="CA80" s="1435">
        <f t="shared" ref="CA80:CR80" si="115">IFERROR((P80/O80-1)*(O80/O$13),"-")</f>
        <v>7.0138365507033682E-5</v>
      </c>
      <c r="CB80" s="1431">
        <f t="shared" si="115"/>
        <v>4.3013753437674415E-5</v>
      </c>
      <c r="CC80" s="1431">
        <f t="shared" si="115"/>
        <v>-2.5322287797385701E-5</v>
      </c>
      <c r="CD80" s="1431">
        <f t="shared" si="115"/>
        <v>-2.1112875957546943E-5</v>
      </c>
      <c r="CE80" s="1431">
        <f t="shared" si="115"/>
        <v>-3.8658429538549845E-5</v>
      </c>
      <c r="CF80" s="1431">
        <f t="shared" si="115"/>
        <v>6.604009803037643E-5</v>
      </c>
      <c r="CG80" s="1431">
        <f t="shared" si="115"/>
        <v>4.3536563851422202E-5</v>
      </c>
      <c r="CH80" s="1433">
        <f t="shared" si="115"/>
        <v>4.8235886405239568E-5</v>
      </c>
      <c r="CI80" s="1431">
        <f t="shared" si="115"/>
        <v>1.6603491909050188E-4</v>
      </c>
      <c r="CJ80" s="1431">
        <f t="shared" si="115"/>
        <v>1.7378796504877606E-4</v>
      </c>
      <c r="CK80" s="1431">
        <f t="shared" si="115"/>
        <v>1.6712744147021286E-4</v>
      </c>
      <c r="CL80" s="1431">
        <f t="shared" si="115"/>
        <v>1.6821691046266655E-4</v>
      </c>
      <c r="CM80" s="1433">
        <f t="shared" si="115"/>
        <v>1.7761450412061782E-4</v>
      </c>
      <c r="CN80" s="1431">
        <f t="shared" si="115"/>
        <v>6.5880398434386856E-5</v>
      </c>
      <c r="CO80" s="1431">
        <f t="shared" si="115"/>
        <v>7.3570575020188463E-5</v>
      </c>
      <c r="CP80" s="1431">
        <f t="shared" si="115"/>
        <v>7.3334106667963754E-5</v>
      </c>
      <c r="CQ80" s="1431">
        <f t="shared" si="115"/>
        <v>7.3101631737713943E-5</v>
      </c>
      <c r="CR80" s="1434">
        <f t="shared" si="115"/>
        <v>6.5166097723489774E-5</v>
      </c>
      <c r="CS80" s="1378"/>
      <c r="CT80" s="1428" t="str">
        <f t="shared" si="39"/>
        <v>Rev</v>
      </c>
      <c r="CU80" s="1429" t="str">
        <f t="shared" si="40"/>
        <v>Water</v>
      </c>
      <c r="CV80" s="1429" t="str">
        <f t="shared" si="41"/>
        <v>Fixed</v>
      </c>
      <c r="CW80" s="1435">
        <f t="shared" si="70"/>
        <v>8.7619136800153319E-2</v>
      </c>
      <c r="CX80" s="1431">
        <f t="shared" si="71"/>
        <v>8.6340381717974646E-2</v>
      </c>
      <c r="CY80" s="1431">
        <f t="shared" si="72"/>
        <v>8.5450818288452579E-2</v>
      </c>
      <c r="CZ80" s="1434">
        <f t="shared" si="73"/>
        <v>8.554189257283018E-2</v>
      </c>
      <c r="DA80" s="1431">
        <f t="shared" si="74"/>
        <v>7.6293654202697736E-2</v>
      </c>
      <c r="DB80" s="1431">
        <f t="shared" si="75"/>
        <v>7.0257576738461669E-2</v>
      </c>
      <c r="DC80" s="1431">
        <f t="shared" si="76"/>
        <v>6.5709017033631856E-2</v>
      </c>
      <c r="DD80" s="1431">
        <f t="shared" si="77"/>
        <v>6.2147245418557873E-2</v>
      </c>
      <c r="DE80" s="1434">
        <f t="shared" si="78"/>
        <v>5.8909444178913306E-2</v>
      </c>
      <c r="DF80" s="1378"/>
      <c r="DG80" s="1428" t="str">
        <f t="shared" si="43"/>
        <v>Rev</v>
      </c>
      <c r="DH80" s="1429" t="str">
        <f t="shared" si="44"/>
        <v>Water</v>
      </c>
      <c r="DI80" s="1429" t="str">
        <f t="shared" si="45"/>
        <v>Fixed</v>
      </c>
      <c r="DJ80" s="1429"/>
      <c r="DK80" s="1435">
        <f t="shared" si="79"/>
        <v>8.6491298903129898E-2</v>
      </c>
      <c r="DL80" s="1431">
        <f t="shared" si="80"/>
        <v>8.5254958343762288E-2</v>
      </c>
      <c r="DM80" s="1431">
        <f t="shared" si="81"/>
        <v>8.5417748658931369E-2</v>
      </c>
      <c r="DN80" s="1433">
        <f t="shared" si="82"/>
        <v>7.4355181110876911E-2</v>
      </c>
      <c r="DO80" s="1431">
        <f t="shared" si="83"/>
        <v>6.7649789242854252E-2</v>
      </c>
      <c r="DP80" s="1431">
        <f t="shared" si="84"/>
        <v>6.2836022373524925E-2</v>
      </c>
      <c r="DQ80" s="1431">
        <f t="shared" si="85"/>
        <v>5.9198019062705498E-2</v>
      </c>
      <c r="DR80" s="1434">
        <f t="shared" si="86"/>
        <v>5.5937238104950548E-2</v>
      </c>
    </row>
    <row r="81" spans="4:122">
      <c r="D81" s="70">
        <f>D78+1</f>
        <v>6</v>
      </c>
      <c r="E81" s="713" t="s">
        <v>44</v>
      </c>
      <c r="F81" s="1532" t="s">
        <v>20</v>
      </c>
      <c r="G81" s="1532" t="s">
        <v>868</v>
      </c>
      <c r="H81" s="1532"/>
      <c r="I81" s="781" t="s">
        <v>319</v>
      </c>
      <c r="J81" s="781" t="s">
        <v>345</v>
      </c>
      <c r="K81" s="1533"/>
      <c r="L81" s="1534"/>
      <c r="M81" s="1534"/>
      <c r="N81" s="1535"/>
      <c r="O81" s="2071">
        <v>1035.5774660633483</v>
      </c>
      <c r="P81" s="1547">
        <v>1040.2303374777975</v>
      </c>
      <c r="Q81" s="1547">
        <v>1026.5550920245398</v>
      </c>
      <c r="R81" s="1547">
        <v>1004.5449056603773</v>
      </c>
      <c r="S81" s="1547">
        <v>981.05730279898216</v>
      </c>
      <c r="T81" s="1547">
        <v>966.42389830508455</v>
      </c>
      <c r="U81" s="1547">
        <v>982.76721719457021</v>
      </c>
      <c r="V81" s="1547">
        <v>984.5313537117903</v>
      </c>
      <c r="W81" s="1547">
        <v>993.76</v>
      </c>
      <c r="X81" s="1550">
        <v>1056.1578710026199</v>
      </c>
      <c r="Y81" s="1551">
        <v>1121.9686018936834</v>
      </c>
      <c r="Z81" s="1551">
        <v>1191.3735789585739</v>
      </c>
      <c r="AA81" s="1551">
        <v>1264.561760252582</v>
      </c>
      <c r="AB81" s="1551">
        <v>1341.7327734269145</v>
      </c>
      <c r="AC81" s="1550">
        <v>1363.2004978017451</v>
      </c>
      <c r="AD81" s="1551">
        <v>1385.011705766573</v>
      </c>
      <c r="AE81" s="1551">
        <v>1407.1718930588381</v>
      </c>
      <c r="AF81" s="1551">
        <v>1429.6866433477796</v>
      </c>
      <c r="AG81" s="1552">
        <v>1452.5616296413441</v>
      </c>
      <c r="AH81" s="697"/>
      <c r="AI81" s="707"/>
      <c r="AJ81" s="709">
        <f t="shared" si="90"/>
        <v>1056.1578710026199</v>
      </c>
      <c r="AK81" s="710">
        <f t="shared" si="91"/>
        <v>1121.9686018936834</v>
      </c>
      <c r="AL81" s="710">
        <f t="shared" si="92"/>
        <v>1191.3735789585739</v>
      </c>
      <c r="AM81" s="710">
        <f t="shared" si="93"/>
        <v>1264.561760252582</v>
      </c>
      <c r="AN81" s="710">
        <f t="shared" si="94"/>
        <v>1341.7327734269145</v>
      </c>
      <c r="AO81" s="711">
        <f t="shared" si="95"/>
        <v>1363.2004978017451</v>
      </c>
      <c r="AP81" s="707">
        <f t="shared" si="96"/>
        <v>1385.011705766573</v>
      </c>
      <c r="AQ81" s="707">
        <f t="shared" si="97"/>
        <v>1407.1718930588381</v>
      </c>
      <c r="AR81" s="707">
        <f t="shared" si="98"/>
        <v>1429.6866433477796</v>
      </c>
      <c r="AS81" s="712">
        <f t="shared" si="99"/>
        <v>1452.5616296413441</v>
      </c>
      <c r="AU81" s="1369"/>
      <c r="AV81" s="1559"/>
      <c r="AW81" s="1412" t="str">
        <f t="shared" si="48"/>
        <v>Price</v>
      </c>
      <c r="AX81" s="1413" t="str">
        <f t="shared" si="36"/>
        <v>Water</v>
      </c>
      <c r="AY81" s="1414" t="str">
        <f t="shared" si="49"/>
        <v>Fixed</v>
      </c>
      <c r="AZ81" s="1415">
        <f t="shared" si="50"/>
        <v>4.4930211084417415E-3</v>
      </c>
      <c r="BA81" s="1415">
        <f t="shared" si="50"/>
        <v>-1.3146362839614456E-2</v>
      </c>
      <c r="BB81" s="1415">
        <f t="shared" si="50"/>
        <v>-2.1440823327615877E-2</v>
      </c>
      <c r="BC81" s="1415">
        <f t="shared" si="51"/>
        <v>-2.3381336891011961E-2</v>
      </c>
      <c r="BD81" s="1415">
        <f t="shared" si="52"/>
        <v>-1.491595287262848E-2</v>
      </c>
      <c r="BE81" s="1415">
        <f t="shared" si="53"/>
        <v>1.6911128665328512E-2</v>
      </c>
      <c r="BF81" s="1415">
        <f t="shared" si="54"/>
        <v>1.7950705786218268E-3</v>
      </c>
      <c r="BG81" s="1416">
        <f t="shared" si="55"/>
        <v>9.373643869661219E-3</v>
      </c>
      <c r="BH81" s="1417">
        <f t="shared" si="56"/>
        <v>6.2789678597065635E-2</v>
      </c>
      <c r="BI81" s="1417">
        <f t="shared" si="57"/>
        <v>6.2311452385985344E-2</v>
      </c>
      <c r="BJ81" s="1417">
        <f t="shared" si="58"/>
        <v>6.1859999422218426E-2</v>
      </c>
      <c r="BK81" s="1417">
        <f t="shared" si="59"/>
        <v>6.1431764634217068E-2</v>
      </c>
      <c r="BL81" s="1418">
        <f t="shared" si="60"/>
        <v>6.1025894977971173E-2</v>
      </c>
      <c r="BM81" s="1417">
        <f t="shared" si="61"/>
        <v>1.6000000000000014E-2</v>
      </c>
      <c r="BN81" s="1417">
        <f t="shared" si="62"/>
        <v>1.6000000000000014E-2</v>
      </c>
      <c r="BO81" s="1417">
        <f t="shared" si="63"/>
        <v>1.6000000000000014E-2</v>
      </c>
      <c r="BP81" s="1417">
        <f t="shared" si="64"/>
        <v>1.6000000000000014E-2</v>
      </c>
      <c r="BQ81" s="1419">
        <f t="shared" si="65"/>
        <v>1.6000000000000014E-2</v>
      </c>
      <c r="BR81" s="1378"/>
      <c r="BS81" s="1420"/>
      <c r="BT81" s="1421"/>
      <c r="BU81" s="1422"/>
      <c r="BV81" s="1423"/>
      <c r="BW81" s="1378"/>
      <c r="BX81" s="1412" t="str">
        <f t="shared" si="66"/>
        <v>Price</v>
      </c>
      <c r="BY81" s="1413" t="str">
        <f t="shared" si="67"/>
        <v>Water</v>
      </c>
      <c r="BZ81" s="1414" t="str">
        <f t="shared" si="68"/>
        <v>Fixed</v>
      </c>
      <c r="CA81" s="1424">
        <f t="shared" ref="CA81:CR81" si="116">IFERROR((P81/O81-1)*(O83/O$13),"-")</f>
        <v>1.1292359853835083E-5</v>
      </c>
      <c r="CB81" s="1415">
        <f t="shared" si="116"/>
        <v>-3.2880375133771293E-5</v>
      </c>
      <c r="CC81" s="1415">
        <f t="shared" si="116"/>
        <v>-5.4165365849626453E-5</v>
      </c>
      <c r="CD81" s="1415">
        <f t="shared" si="116"/>
        <v>-5.9188086818458811E-5</v>
      </c>
      <c r="CE81" s="1415">
        <f t="shared" si="116"/>
        <v>-3.8369827099499382E-5</v>
      </c>
      <c r="CF81" s="1415">
        <f t="shared" si="116"/>
        <v>4.0686909898325254E-5</v>
      </c>
      <c r="CG81" s="1415">
        <f t="shared" si="116"/>
        <v>4.2519797354191517E-6</v>
      </c>
      <c r="CH81" s="1425">
        <f t="shared" si="116"/>
        <v>2.1682601193612583E-5</v>
      </c>
      <c r="CI81" s="1417">
        <f t="shared" si="116"/>
        <v>1.515996128334293E-4</v>
      </c>
      <c r="CJ81" s="1417">
        <f t="shared" si="116"/>
        <v>1.5166763991377485E-4</v>
      </c>
      <c r="CK81" s="1417">
        <f t="shared" si="116"/>
        <v>1.5260484631015832E-4</v>
      </c>
      <c r="CL81" s="1417">
        <f t="shared" si="116"/>
        <v>1.542374657675573E-4</v>
      </c>
      <c r="CM81" s="1418">
        <f t="shared" si="116"/>
        <v>1.5504318473541812E-4</v>
      </c>
      <c r="CN81" s="1417">
        <f t="shared" si="116"/>
        <v>4.1308822580094912E-5</v>
      </c>
      <c r="CO81" s="1417">
        <f t="shared" si="116"/>
        <v>4.1412167939118364E-5</v>
      </c>
      <c r="CP81" s="1417">
        <f t="shared" si="116"/>
        <v>4.1685796658529291E-5</v>
      </c>
      <c r="CQ81" s="1417">
        <f t="shared" si="116"/>
        <v>4.1952320121485805E-5</v>
      </c>
      <c r="CR81" s="1419">
        <f t="shared" si="116"/>
        <v>4.2186547754635085E-5</v>
      </c>
      <c r="CS81" s="1378"/>
      <c r="CT81" s="1412" t="str">
        <f t="shared" si="39"/>
        <v>Price</v>
      </c>
      <c r="CU81" s="1413" t="str">
        <f t="shared" si="40"/>
        <v>Water</v>
      </c>
      <c r="CV81" s="1426" t="str">
        <f t="shared" si="41"/>
        <v>Fixed</v>
      </c>
      <c r="CW81" s="1427">
        <f t="shared" si="70"/>
        <v>6.2550538586886972E-2</v>
      </c>
      <c r="CX81" s="1417">
        <f t="shared" si="71"/>
        <v>6.2320308983617068E-2</v>
      </c>
      <c r="CY81" s="1417">
        <f t="shared" si="72"/>
        <v>6.2098103187728348E-2</v>
      </c>
      <c r="CZ81" s="1419">
        <f t="shared" si="73"/>
        <v>6.1883574900124971E-2</v>
      </c>
      <c r="DA81" s="1417">
        <f t="shared" si="74"/>
        <v>5.4094880382501653E-2</v>
      </c>
      <c r="DB81" s="1417">
        <f t="shared" si="75"/>
        <v>4.8566528248180418E-2</v>
      </c>
      <c r="DC81" s="1417">
        <f t="shared" si="76"/>
        <v>4.4439299945492339E-2</v>
      </c>
      <c r="DD81" s="1417">
        <f t="shared" si="77"/>
        <v>4.124046791056668E-2</v>
      </c>
      <c r="DE81" s="1419">
        <f t="shared" si="78"/>
        <v>3.8688457670791321E-2</v>
      </c>
      <c r="DF81" s="1378"/>
      <c r="DG81" s="1412" t="str">
        <f t="shared" si="43"/>
        <v>Price</v>
      </c>
      <c r="DH81" s="1413" t="str">
        <f t="shared" si="44"/>
        <v>Water</v>
      </c>
      <c r="DI81" s="1426" t="str">
        <f t="shared" si="45"/>
        <v>Fixed</v>
      </c>
      <c r="DJ81" s="1426"/>
      <c r="DK81" s="1427">
        <f t="shared" si="79"/>
        <v>6.2085701917128144E-2</v>
      </c>
      <c r="DL81" s="1417">
        <f t="shared" si="80"/>
        <v>6.1867678070178567E-2</v>
      </c>
      <c r="DM81" s="1417">
        <f t="shared" si="81"/>
        <v>6.1657169707528325E-2</v>
      </c>
      <c r="DN81" s="1418">
        <f t="shared" si="82"/>
        <v>5.2364475401825983E-2</v>
      </c>
      <c r="DO81" s="1417">
        <f t="shared" si="83"/>
        <v>4.6214578293282571E-2</v>
      </c>
      <c r="DP81" s="1417">
        <f t="shared" si="84"/>
        <v>4.1843810562071981E-2</v>
      </c>
      <c r="DQ81" s="1417">
        <f t="shared" si="85"/>
        <v>3.8577721898004569E-2</v>
      </c>
      <c r="DR81" s="1419">
        <f t="shared" si="86"/>
        <v>3.6044511106270605E-2</v>
      </c>
    </row>
    <row r="82" spans="4:122">
      <c r="E82" s="742" t="s">
        <v>45</v>
      </c>
      <c r="F82" s="722" t="str">
        <f>+F81</f>
        <v>Water</v>
      </c>
      <c r="G82" s="723" t="str">
        <f>+G81</f>
        <v>Fixed tariff group - 1 -40mm</v>
      </c>
      <c r="H82" s="723">
        <f>+H81</f>
        <v>0</v>
      </c>
      <c r="I82" s="724" t="str">
        <f>+I81</f>
        <v>Fixed</v>
      </c>
      <c r="J82" s="782" t="s">
        <v>323</v>
      </c>
      <c r="K82" s="1540"/>
      <c r="L82" s="1541"/>
      <c r="M82" s="1541"/>
      <c r="N82" s="1542"/>
      <c r="O82" s="2031">
        <v>183</v>
      </c>
      <c r="P82" s="1543">
        <v>186</v>
      </c>
      <c r="Q82" s="1543">
        <v>187</v>
      </c>
      <c r="R82" s="1543">
        <v>188</v>
      </c>
      <c r="S82" s="1543">
        <v>189</v>
      </c>
      <c r="T82" s="1543">
        <v>185.81196089706731</v>
      </c>
      <c r="U82" s="1543">
        <v>189</v>
      </c>
      <c r="V82" s="1543">
        <v>193</v>
      </c>
      <c r="W82" s="1543">
        <v>196</v>
      </c>
      <c r="X82" s="1544">
        <v>200</v>
      </c>
      <c r="Y82" s="1543">
        <v>203</v>
      </c>
      <c r="Z82" s="1543">
        <v>207</v>
      </c>
      <c r="AA82" s="1543">
        <v>210</v>
      </c>
      <c r="AB82" s="1543">
        <v>214</v>
      </c>
      <c r="AC82" s="1544">
        <v>217</v>
      </c>
      <c r="AD82" s="1543">
        <v>221</v>
      </c>
      <c r="AE82" s="1543">
        <v>225</v>
      </c>
      <c r="AF82" s="1543">
        <v>229</v>
      </c>
      <c r="AG82" s="788">
        <v>233</v>
      </c>
      <c r="AH82" s="697"/>
      <c r="AI82" s="707"/>
      <c r="AJ82" s="709">
        <f t="shared" si="90"/>
        <v>200</v>
      </c>
      <c r="AK82" s="710">
        <f t="shared" si="91"/>
        <v>203</v>
      </c>
      <c r="AL82" s="710">
        <f t="shared" si="92"/>
        <v>207</v>
      </c>
      <c r="AM82" s="710">
        <f t="shared" si="93"/>
        <v>210</v>
      </c>
      <c r="AN82" s="710">
        <f t="shared" si="94"/>
        <v>214</v>
      </c>
      <c r="AO82" s="711">
        <f t="shared" si="95"/>
        <v>217</v>
      </c>
      <c r="AP82" s="707">
        <f t="shared" si="96"/>
        <v>221</v>
      </c>
      <c r="AQ82" s="707">
        <f t="shared" si="97"/>
        <v>225</v>
      </c>
      <c r="AR82" s="707">
        <f t="shared" si="98"/>
        <v>229</v>
      </c>
      <c r="AS82" s="712">
        <f t="shared" si="99"/>
        <v>233</v>
      </c>
      <c r="AV82" s="1559"/>
      <c r="AW82" s="1392" t="str">
        <f t="shared" si="48"/>
        <v>Qty</v>
      </c>
      <c r="AX82" s="1393" t="str">
        <f t="shared" si="36"/>
        <v>Water</v>
      </c>
      <c r="AY82" s="1394" t="str">
        <f t="shared" si="49"/>
        <v>Fixed</v>
      </c>
      <c r="AZ82" s="1395">
        <f t="shared" ref="AZ82:BB97" si="117">IFERROR(P82/O82-1,"-")</f>
        <v>1.6393442622950838E-2</v>
      </c>
      <c r="BA82" s="1395">
        <f t="shared" si="117"/>
        <v>5.3763440860215006E-3</v>
      </c>
      <c r="BB82" s="1395">
        <f t="shared" si="117"/>
        <v>5.3475935828877219E-3</v>
      </c>
      <c r="BC82" s="1395">
        <f t="shared" si="51"/>
        <v>5.3191489361701372E-3</v>
      </c>
      <c r="BD82" s="1395">
        <f t="shared" si="52"/>
        <v>-1.686793176154866E-2</v>
      </c>
      <c r="BE82" s="1395">
        <f t="shared" si="53"/>
        <v>1.7157340612204974E-2</v>
      </c>
      <c r="BF82" s="1395">
        <f t="shared" si="54"/>
        <v>2.1164021164021163E-2</v>
      </c>
      <c r="BG82" s="1396">
        <f t="shared" si="55"/>
        <v>1.5544041450777257E-2</v>
      </c>
      <c r="BH82" s="1395">
        <f t="shared" si="56"/>
        <v>2.0408163265306145E-2</v>
      </c>
      <c r="BI82" s="1395">
        <f t="shared" si="57"/>
        <v>1.4999999999999902E-2</v>
      </c>
      <c r="BJ82" s="1395">
        <f t="shared" si="58"/>
        <v>1.9704433497536922E-2</v>
      </c>
      <c r="BK82" s="1395">
        <f t="shared" si="59"/>
        <v>1.449275362318847E-2</v>
      </c>
      <c r="BL82" s="1397">
        <f t="shared" si="60"/>
        <v>1.904761904761898E-2</v>
      </c>
      <c r="BM82" s="1395">
        <f t="shared" si="61"/>
        <v>1.4018691588784993E-2</v>
      </c>
      <c r="BN82" s="1395">
        <f t="shared" si="62"/>
        <v>1.8433179723502224E-2</v>
      </c>
      <c r="BO82" s="1395">
        <f t="shared" si="63"/>
        <v>1.8099547511312153E-2</v>
      </c>
      <c r="BP82" s="1395">
        <f t="shared" si="64"/>
        <v>1.777777777777767E-2</v>
      </c>
      <c r="BQ82" s="1398">
        <f t="shared" si="65"/>
        <v>1.7467248908296984E-2</v>
      </c>
      <c r="BR82" s="1378"/>
      <c r="BS82" s="1329"/>
      <c r="BT82" s="1399"/>
      <c r="BU82" s="1331"/>
      <c r="BV82" s="1400"/>
      <c r="BW82" s="1378"/>
      <c r="BX82" s="1392" t="str">
        <f t="shared" si="66"/>
        <v>Qty</v>
      </c>
      <c r="BY82" s="1393" t="str">
        <f t="shared" si="67"/>
        <v>Water</v>
      </c>
      <c r="BZ82" s="1394" t="str">
        <f t="shared" si="68"/>
        <v>Fixed</v>
      </c>
      <c r="CA82" s="1401">
        <f t="shared" ref="CA82:CR82" si="118">IFERROR((P82/O82-1)*(O83/O$13),"-")</f>
        <v>4.1201821418943214E-5</v>
      </c>
      <c r="CB82" s="1395">
        <f t="shared" si="118"/>
        <v>1.344677707083612E-5</v>
      </c>
      <c r="CC82" s="1395">
        <f t="shared" si="118"/>
        <v>1.3509479482495062E-5</v>
      </c>
      <c r="CD82" s="1395">
        <f t="shared" si="118"/>
        <v>1.3465023428808942E-5</v>
      </c>
      <c r="CE82" s="1395">
        <f t="shared" si="118"/>
        <v>-4.3391101510145997E-5</v>
      </c>
      <c r="CF82" s="1395">
        <f t="shared" si="118"/>
        <v>4.1279277415402467E-5</v>
      </c>
      <c r="CG82" s="1395">
        <f t="shared" si="118"/>
        <v>5.0131170429237087E-5</v>
      </c>
      <c r="CH82" s="1397">
        <f t="shared" si="118"/>
        <v>3.5955627971427026E-5</v>
      </c>
      <c r="CI82" s="1395">
        <f t="shared" si="118"/>
        <v>4.9273538562218606E-5</v>
      </c>
      <c r="CJ82" s="1395">
        <f t="shared" si="118"/>
        <v>3.6510376689892218E-5</v>
      </c>
      <c r="CK82" s="1395">
        <f t="shared" si="118"/>
        <v>4.8609635848789347E-5</v>
      </c>
      <c r="CL82" s="1395">
        <f t="shared" si="118"/>
        <v>3.6387129755167618E-5</v>
      </c>
      <c r="CM82" s="1397">
        <f t="shared" si="118"/>
        <v>4.8392629388489778E-5</v>
      </c>
      <c r="CN82" s="1395">
        <f t="shared" si="118"/>
        <v>3.6193477727886727E-5</v>
      </c>
      <c r="CO82" s="1395">
        <f t="shared" si="118"/>
        <v>4.7709870897601553E-5</v>
      </c>
      <c r="CP82" s="1395">
        <f t="shared" si="118"/>
        <v>4.7155878572996728E-5</v>
      </c>
      <c r="CQ82" s="1395">
        <f t="shared" si="118"/>
        <v>4.6613689023872791E-5</v>
      </c>
      <c r="CR82" s="1398">
        <f t="shared" si="118"/>
        <v>4.6055183138247974E-5</v>
      </c>
      <c r="CS82" s="1378"/>
      <c r="CT82" s="1392" t="str">
        <f t="shared" si="39"/>
        <v>Qty</v>
      </c>
      <c r="CU82" s="1393" t="str">
        <f t="shared" si="40"/>
        <v>Water</v>
      </c>
      <c r="CV82" s="1393" t="str">
        <f t="shared" si="41"/>
        <v>Fixed</v>
      </c>
      <c r="CW82" s="1401">
        <f t="shared" si="70"/>
        <v>1.7700489198214875E-2</v>
      </c>
      <c r="CX82" s="1395">
        <f t="shared" si="71"/>
        <v>1.8368032671701728E-2</v>
      </c>
      <c r="CY82" s="1395">
        <f t="shared" si="72"/>
        <v>1.7397827309224789E-2</v>
      </c>
      <c r="CZ82" s="1398">
        <f t="shared" si="73"/>
        <v>1.7727571843386247E-2</v>
      </c>
      <c r="DA82" s="1395">
        <f t="shared" si="74"/>
        <v>1.7108484414642522E-2</v>
      </c>
      <c r="DB82" s="1395">
        <f t="shared" si="75"/>
        <v>1.7297621056072909E-2</v>
      </c>
      <c r="DC82" s="1395">
        <f t="shared" si="76"/>
        <v>1.7397827309224789E-2</v>
      </c>
      <c r="DD82" s="1395">
        <f t="shared" si="77"/>
        <v>1.7440037022502963E-2</v>
      </c>
      <c r="DE82" s="1398">
        <f t="shared" si="78"/>
        <v>1.7442758178332296E-2</v>
      </c>
      <c r="DF82" s="1378"/>
      <c r="DG82" s="1392" t="str">
        <f t="shared" si="43"/>
        <v>Qty</v>
      </c>
      <c r="DH82" s="1393" t="str">
        <f t="shared" si="44"/>
        <v>Water</v>
      </c>
      <c r="DI82" s="1393" t="str">
        <f t="shared" si="45"/>
        <v>Fixed</v>
      </c>
      <c r="DJ82" s="1393"/>
      <c r="DK82" s="1401">
        <f t="shared" si="79"/>
        <v>1.734949746879022E-2</v>
      </c>
      <c r="DL82" s="1395">
        <f t="shared" si="80"/>
        <v>1.6396356814853519E-2</v>
      </c>
      <c r="DM82" s="1395">
        <f t="shared" si="81"/>
        <v>1.7058525001811375E-2</v>
      </c>
      <c r="DN82" s="1397">
        <f t="shared" si="82"/>
        <v>1.6449830164990464E-2</v>
      </c>
      <c r="DO82" s="1395">
        <f t="shared" si="83"/>
        <v>1.678011999376805E-2</v>
      </c>
      <c r="DP82" s="1395">
        <f t="shared" si="84"/>
        <v>1.6968504897215686E-2</v>
      </c>
      <c r="DQ82" s="1395">
        <f t="shared" si="85"/>
        <v>1.7069628806317461E-2</v>
      </c>
      <c r="DR82" s="1398">
        <f t="shared" si="86"/>
        <v>1.7113801143078256E-2</v>
      </c>
    </row>
    <row r="83" spans="4:122" ht="12.75" thickBot="1">
      <c r="E83" s="743" t="s">
        <v>46</v>
      </c>
      <c r="F83" s="732" t="str">
        <f>+F81</f>
        <v>Water</v>
      </c>
      <c r="G83" s="733" t="str">
        <f>+G81</f>
        <v>Fixed tariff group - 1 -40mm</v>
      </c>
      <c r="H83" s="733">
        <f>+H81</f>
        <v>0</v>
      </c>
      <c r="I83" s="734" t="str">
        <f>+I81</f>
        <v>Fixed</v>
      </c>
      <c r="J83" s="735" t="s">
        <v>344</v>
      </c>
      <c r="K83" s="736">
        <f t="shared" ref="K83:AG83" si="119">K81*K82/10^6</f>
        <v>0</v>
      </c>
      <c r="L83" s="737">
        <f t="shared" si="119"/>
        <v>0</v>
      </c>
      <c r="M83" s="737">
        <f t="shared" si="119"/>
        <v>0</v>
      </c>
      <c r="N83" s="738">
        <f t="shared" si="119"/>
        <v>0</v>
      </c>
      <c r="O83" s="1923">
        <f t="shared" si="119"/>
        <v>0.18951067628959276</v>
      </c>
      <c r="P83" s="737">
        <f t="shared" si="119"/>
        <v>0.19348284277087033</v>
      </c>
      <c r="Q83" s="737">
        <f t="shared" si="119"/>
        <v>0.19196580220858894</v>
      </c>
      <c r="R83" s="737">
        <f t="shared" si="119"/>
        <v>0.18885444226415091</v>
      </c>
      <c r="S83" s="737">
        <f t="shared" si="119"/>
        <v>0.18541983022900763</v>
      </c>
      <c r="T83" s="1531">
        <f t="shared" si="119"/>
        <v>0.17957311960185574</v>
      </c>
      <c r="U83" s="737">
        <f t="shared" si="119"/>
        <v>0.18574300404977376</v>
      </c>
      <c r="V83" s="737">
        <f t="shared" si="119"/>
        <v>0.19001455126637551</v>
      </c>
      <c r="W83" s="737">
        <f t="shared" si="119"/>
        <v>0.19477696</v>
      </c>
      <c r="X83" s="738">
        <f t="shared" si="119"/>
        <v>0.21123157420052399</v>
      </c>
      <c r="Y83" s="737">
        <f t="shared" si="119"/>
        <v>0.22775962618441772</v>
      </c>
      <c r="Z83" s="737">
        <f t="shared" si="119"/>
        <v>0.2466143308444248</v>
      </c>
      <c r="AA83" s="737">
        <f t="shared" si="119"/>
        <v>0.26555796965304218</v>
      </c>
      <c r="AB83" s="737">
        <f t="shared" si="119"/>
        <v>0.28713081351335967</v>
      </c>
      <c r="AC83" s="738">
        <f t="shared" si="119"/>
        <v>0.29581450802297865</v>
      </c>
      <c r="AD83" s="737">
        <f t="shared" si="119"/>
        <v>0.30608758697441263</v>
      </c>
      <c r="AE83" s="737">
        <f t="shared" si="119"/>
        <v>0.31661367593823858</v>
      </c>
      <c r="AF83" s="737">
        <f t="shared" si="119"/>
        <v>0.32739824132664153</v>
      </c>
      <c r="AG83" s="739">
        <f t="shared" si="119"/>
        <v>0.33844685970643318</v>
      </c>
      <c r="AH83" s="697"/>
      <c r="AI83" s="707"/>
      <c r="AJ83" s="709">
        <f t="shared" si="90"/>
        <v>0.21123157420052399</v>
      </c>
      <c r="AK83" s="710">
        <f t="shared" si="91"/>
        <v>0.22775962618441772</v>
      </c>
      <c r="AL83" s="710">
        <f t="shared" si="92"/>
        <v>0.2466143308444248</v>
      </c>
      <c r="AM83" s="710">
        <f t="shared" si="93"/>
        <v>0.26555796965304218</v>
      </c>
      <c r="AN83" s="710">
        <f t="shared" si="94"/>
        <v>0.28713081351335967</v>
      </c>
      <c r="AO83" s="711">
        <f t="shared" si="95"/>
        <v>0.29581450802297865</v>
      </c>
      <c r="AP83" s="707">
        <f t="shared" si="96"/>
        <v>0.30608758697441263</v>
      </c>
      <c r="AQ83" s="707">
        <f t="shared" si="97"/>
        <v>0.31661367593823858</v>
      </c>
      <c r="AR83" s="707">
        <f t="shared" si="98"/>
        <v>0.32739824132664153</v>
      </c>
      <c r="AS83" s="712">
        <f t="shared" si="99"/>
        <v>0.33844685970643318</v>
      </c>
      <c r="AV83" s="1559"/>
      <c r="AW83" s="1428" t="str">
        <f t="shared" si="48"/>
        <v>Rev</v>
      </c>
      <c r="AX83" s="1429" t="str">
        <f t="shared" si="36"/>
        <v>Water</v>
      </c>
      <c r="AY83" s="1430" t="str">
        <f t="shared" si="49"/>
        <v>Fixed</v>
      </c>
      <c r="AZ83" s="1431">
        <f t="shared" si="117"/>
        <v>2.0960119815137457E-2</v>
      </c>
      <c r="BA83" s="1431">
        <f t="shared" si="117"/>
        <v>-7.8406981236983642E-3</v>
      </c>
      <c r="BB83" s="1431">
        <f t="shared" si="117"/>
        <v>-1.6207886553966766E-2</v>
      </c>
      <c r="BC83" s="1431">
        <f t="shared" si="51"/>
        <v>-1.8186556768091666E-2</v>
      </c>
      <c r="BD83" s="1431">
        <f t="shared" si="52"/>
        <v>-3.1532283358963076E-2</v>
      </c>
      <c r="BE83" s="1431">
        <f t="shared" si="53"/>
        <v>3.4358619272181201E-2</v>
      </c>
      <c r="BF83" s="1431">
        <f t="shared" si="54"/>
        <v>2.2997082654359957E-2</v>
      </c>
      <c r="BG83" s="1432">
        <f t="shared" si="55"/>
        <v>2.5063389629293331E-2</v>
      </c>
      <c r="BH83" s="1431">
        <f t="shared" si="56"/>
        <v>8.4479263874556842E-2</v>
      </c>
      <c r="BI83" s="1431">
        <f t="shared" si="57"/>
        <v>7.8246124171775122E-2</v>
      </c>
      <c r="BJ83" s="1431">
        <f t="shared" si="58"/>
        <v>8.278334916452823E-2</v>
      </c>
      <c r="BK83" s="1431">
        <f t="shared" si="59"/>
        <v>7.6814833686886796E-2</v>
      </c>
      <c r="BL83" s="1433">
        <f t="shared" si="60"/>
        <v>8.1235912025170665E-2</v>
      </c>
      <c r="BM83" s="1431">
        <f t="shared" si="61"/>
        <v>3.0242990654205659E-2</v>
      </c>
      <c r="BN83" s="1431">
        <f t="shared" si="62"/>
        <v>3.4728110599078432E-2</v>
      </c>
      <c r="BO83" s="1431">
        <f t="shared" si="63"/>
        <v>3.4389140271493313E-2</v>
      </c>
      <c r="BP83" s="1431">
        <f t="shared" si="64"/>
        <v>3.4062222222222216E-2</v>
      </c>
      <c r="BQ83" s="1434">
        <f t="shared" si="65"/>
        <v>3.3746724890829638E-2</v>
      </c>
      <c r="BR83" s="1378"/>
      <c r="BS83" s="1407"/>
      <c r="BT83" s="1408"/>
      <c r="BU83" s="1409"/>
      <c r="BV83" s="1410"/>
      <c r="BW83" s="1378"/>
      <c r="BX83" s="1428" t="str">
        <f t="shared" si="66"/>
        <v>Rev</v>
      </c>
      <c r="BY83" s="1429" t="str">
        <f t="shared" si="67"/>
        <v>Water</v>
      </c>
      <c r="BZ83" s="1430" t="str">
        <f t="shared" si="68"/>
        <v>Fixed</v>
      </c>
      <c r="CA83" s="1435">
        <f t="shared" ref="CA83:CR83" si="120">IFERROR((P83/O83-1)*(O83/O$13),"-")</f>
        <v>5.267930192611968E-5</v>
      </c>
      <c r="CB83" s="1431">
        <f t="shared" si="120"/>
        <v>-1.9610374273331681E-5</v>
      </c>
      <c r="CC83" s="1431">
        <f t="shared" si="120"/>
        <v>-4.0945540729963682E-5</v>
      </c>
      <c r="CD83" s="1431">
        <f t="shared" si="120"/>
        <v>-4.6037893638683662E-5</v>
      </c>
      <c r="CE83" s="1431">
        <f t="shared" si="120"/>
        <v>-8.111370898442837E-5</v>
      </c>
      <c r="CF83" s="1431">
        <f t="shared" si="120"/>
        <v>8.2664266485311025E-5</v>
      </c>
      <c r="CG83" s="1431">
        <f t="shared" si="120"/>
        <v>5.4473139153765881E-5</v>
      </c>
      <c r="CH83" s="1433">
        <f t="shared" si="120"/>
        <v>5.7975264416753832E-5</v>
      </c>
      <c r="CI83" s="1431">
        <f t="shared" si="120"/>
        <v>2.0396702104530986E-4</v>
      </c>
      <c r="CJ83" s="1431">
        <f t="shared" si="120"/>
        <v>1.9045303120237392E-4</v>
      </c>
      <c r="CK83" s="1431">
        <f t="shared" si="120"/>
        <v>2.0422147420446829E-4</v>
      </c>
      <c r="CL83" s="1431">
        <f t="shared" si="120"/>
        <v>1.9285992111355872E-4</v>
      </c>
      <c r="CM83" s="1433">
        <f t="shared" si="120"/>
        <v>2.0638901764267803E-4</v>
      </c>
      <c r="CN83" s="1431">
        <f t="shared" si="120"/>
        <v>7.8081395951628066E-5</v>
      </c>
      <c r="CO83" s="1431">
        <f t="shared" si="120"/>
        <v>8.9885396771081943E-5</v>
      </c>
      <c r="CP83" s="1431">
        <f t="shared" si="120"/>
        <v>8.9596169288694364E-5</v>
      </c>
      <c r="CQ83" s="1431">
        <f t="shared" si="120"/>
        <v>8.9311828169740792E-5</v>
      </c>
      <c r="CR83" s="1434">
        <f t="shared" si="120"/>
        <v>8.897861382309473E-5</v>
      </c>
      <c r="CS83" s="1378"/>
      <c r="CT83" s="1428" t="str">
        <f t="shared" si="39"/>
        <v>Rev</v>
      </c>
      <c r="CU83" s="1429" t="str">
        <f t="shared" si="40"/>
        <v>Water</v>
      </c>
      <c r="CV83" s="1429" t="str">
        <f t="shared" si="41"/>
        <v>Fixed</v>
      </c>
      <c r="CW83" s="1435">
        <f t="shared" si="70"/>
        <v>8.135820291770135E-2</v>
      </c>
      <c r="CX83" s="1431">
        <f t="shared" si="71"/>
        <v>8.1833043126840144E-2</v>
      </c>
      <c r="CY83" s="1431">
        <f t="shared" si="72"/>
        <v>8.0576302572443748E-2</v>
      </c>
      <c r="CZ83" s="1434">
        <f t="shared" si="73"/>
        <v>8.0708192263478917E-2</v>
      </c>
      <c r="DA83" s="1431">
        <f t="shared" si="74"/>
        <v>7.21288462150802E-2</v>
      </c>
      <c r="DB83" s="1431">
        <f t="shared" si="75"/>
        <v>6.6704234705899257E-2</v>
      </c>
      <c r="DC83" s="1431">
        <f t="shared" si="76"/>
        <v>6.2610274520911613E-2</v>
      </c>
      <c r="DD83" s="1431">
        <f t="shared" si="77"/>
        <v>5.9399740220255515E-2</v>
      </c>
      <c r="DE83" s="1434">
        <f t="shared" si="78"/>
        <v>5.6806049260567759E-2</v>
      </c>
      <c r="DF83" s="1378"/>
      <c r="DG83" s="1428" t="str">
        <f t="shared" si="43"/>
        <v>Rev</v>
      </c>
      <c r="DH83" s="1429" t="str">
        <f t="shared" si="44"/>
        <v>Water</v>
      </c>
      <c r="DI83" s="1429" t="str">
        <f t="shared" si="45"/>
        <v>Fixed</v>
      </c>
      <c r="DJ83" s="1429"/>
      <c r="DK83" s="1435">
        <f t="shared" si="79"/>
        <v>8.0512355114177536E-2</v>
      </c>
      <c r="DL83" s="1431">
        <f t="shared" si="80"/>
        <v>7.9278439409977031E-2</v>
      </c>
      <c r="DM83" s="1431">
        <f t="shared" si="81"/>
        <v>7.9767475080336325E-2</v>
      </c>
      <c r="DN83" s="1433">
        <f t="shared" si="82"/>
        <v>6.9675692293855507E-2</v>
      </c>
      <c r="DO83" s="1431">
        <f t="shared" si="83"/>
        <v>6.3770184456273249E-2</v>
      </c>
      <c r="DP83" s="1431">
        <f t="shared" si="84"/>
        <v>5.9522342363728109E-2</v>
      </c>
      <c r="DQ83" s="1431">
        <f t="shared" si="85"/>
        <v>5.6305858097314143E-2</v>
      </c>
      <c r="DR83" s="1434">
        <f t="shared" si="86"/>
        <v>5.3775170844721165E-2</v>
      </c>
    </row>
    <row r="84" spans="4:122">
      <c r="D84" s="70">
        <f>D81+1</f>
        <v>7</v>
      </c>
      <c r="E84" s="713" t="s">
        <v>44</v>
      </c>
      <c r="F84" s="1532" t="s">
        <v>20</v>
      </c>
      <c r="G84" s="1532" t="s">
        <v>869</v>
      </c>
      <c r="H84" s="1532"/>
      <c r="I84" s="781" t="s">
        <v>319</v>
      </c>
      <c r="J84" s="781" t="s">
        <v>345</v>
      </c>
      <c r="K84" s="2120"/>
      <c r="L84" s="1547"/>
      <c r="M84" s="1547"/>
      <c r="N84" s="1548"/>
      <c r="O84" s="2071">
        <v>1619.0049773755654</v>
      </c>
      <c r="P84" s="1547">
        <v>1626.2845737122557</v>
      </c>
      <c r="Q84" s="1547">
        <v>1604.9048466257668</v>
      </c>
      <c r="R84" s="1547">
        <v>1570.4943653516293</v>
      </c>
      <c r="S84" s="1547">
        <v>1533.7851399491094</v>
      </c>
      <c r="T84" s="1547">
        <v>1510.8954237288133</v>
      </c>
      <c r="U84" s="1547">
        <v>1536.4630995475113</v>
      </c>
      <c r="V84" s="1547">
        <v>1539.2313755458515</v>
      </c>
      <c r="W84" s="1547">
        <v>1553.66</v>
      </c>
      <c r="X84" s="1550">
        <v>1645.4526210026199</v>
      </c>
      <c r="Y84" s="1551">
        <v>1742.2013262686833</v>
      </c>
      <c r="Z84" s="1551">
        <v>1844.1685213632613</v>
      </c>
      <c r="AA84" s="1551">
        <v>1951.6284371335153</v>
      </c>
      <c r="AB84" s="1551">
        <v>2064.8704508440969</v>
      </c>
      <c r="AC84" s="1550">
        <v>2097.9083780576025</v>
      </c>
      <c r="AD84" s="1551">
        <v>2131.4749121065242</v>
      </c>
      <c r="AE84" s="1551">
        <v>2165.5785107002284</v>
      </c>
      <c r="AF84" s="1551">
        <v>2200.2277668714323</v>
      </c>
      <c r="AG84" s="1552">
        <v>2235.4314111413751</v>
      </c>
      <c r="AH84" s="697"/>
      <c r="AI84" s="707"/>
      <c r="AJ84" s="709">
        <f t="shared" si="90"/>
        <v>1645.4526210026199</v>
      </c>
      <c r="AK84" s="710">
        <f t="shared" si="91"/>
        <v>1742.2013262686833</v>
      </c>
      <c r="AL84" s="710">
        <f t="shared" si="92"/>
        <v>1844.1685213632613</v>
      </c>
      <c r="AM84" s="710">
        <f t="shared" si="93"/>
        <v>1951.6284371335153</v>
      </c>
      <c r="AN84" s="710">
        <f t="shared" si="94"/>
        <v>2064.8704508440969</v>
      </c>
      <c r="AO84" s="711">
        <f t="shared" si="95"/>
        <v>2097.9083780576025</v>
      </c>
      <c r="AP84" s="707">
        <f t="shared" si="96"/>
        <v>2131.4749121065242</v>
      </c>
      <c r="AQ84" s="707">
        <f t="shared" si="97"/>
        <v>2165.5785107002284</v>
      </c>
      <c r="AR84" s="707">
        <f t="shared" si="98"/>
        <v>2200.2277668714323</v>
      </c>
      <c r="AS84" s="712">
        <f t="shared" si="99"/>
        <v>2235.4314111413751</v>
      </c>
      <c r="AU84" s="1369"/>
      <c r="AV84" s="1559"/>
      <c r="AW84" s="1412" t="str">
        <f t="shared" si="48"/>
        <v>Price</v>
      </c>
      <c r="AX84" s="1413" t="str">
        <f t="shared" si="36"/>
        <v>Water</v>
      </c>
      <c r="AY84" s="1414" t="str">
        <f t="shared" si="49"/>
        <v>Fixed</v>
      </c>
      <c r="AZ84" s="1415">
        <f t="shared" si="117"/>
        <v>4.4963396891408713E-3</v>
      </c>
      <c r="BA84" s="1415">
        <f t="shared" si="117"/>
        <v>-1.3146362839614345E-2</v>
      </c>
      <c r="BB84" s="1415">
        <f t="shared" si="117"/>
        <v>-2.1440823327615877E-2</v>
      </c>
      <c r="BC84" s="1415">
        <f t="shared" si="51"/>
        <v>-2.3374312071664627E-2</v>
      </c>
      <c r="BD84" s="1415">
        <f t="shared" si="52"/>
        <v>-1.4923678437160803E-2</v>
      </c>
      <c r="BE84" s="1415">
        <f t="shared" si="53"/>
        <v>1.6922200846699376E-2</v>
      </c>
      <c r="BF84" s="1415">
        <f t="shared" si="54"/>
        <v>1.8017198064537165E-3</v>
      </c>
      <c r="BG84" s="1416">
        <f t="shared" si="55"/>
        <v>9.3739152432699147E-3</v>
      </c>
      <c r="BH84" s="1417">
        <f t="shared" si="56"/>
        <v>5.9081537146235208E-2</v>
      </c>
      <c r="BI84" s="1417">
        <f t="shared" si="57"/>
        <v>5.8797624453696962E-2</v>
      </c>
      <c r="BJ84" s="1417">
        <f t="shared" si="58"/>
        <v>5.8527790994720386E-2</v>
      </c>
      <c r="BK84" s="1417">
        <f t="shared" si="59"/>
        <v>5.8270117142448896E-2</v>
      </c>
      <c r="BL84" s="1418">
        <f t="shared" si="60"/>
        <v>5.8024371625219562E-2</v>
      </c>
      <c r="BM84" s="1417">
        <f t="shared" si="61"/>
        <v>1.6000000000000014E-2</v>
      </c>
      <c r="BN84" s="1417">
        <f t="shared" si="62"/>
        <v>1.6000000000000014E-2</v>
      </c>
      <c r="BO84" s="1417">
        <f t="shared" si="63"/>
        <v>1.6000000000000014E-2</v>
      </c>
      <c r="BP84" s="1417">
        <f t="shared" si="64"/>
        <v>1.6000000000000014E-2</v>
      </c>
      <c r="BQ84" s="1419">
        <f t="shared" si="65"/>
        <v>1.6000000000000014E-2</v>
      </c>
      <c r="BR84" s="1378"/>
      <c r="BS84" s="1420"/>
      <c r="BT84" s="1421"/>
      <c r="BU84" s="1422"/>
      <c r="BV84" s="1423"/>
      <c r="BW84" s="1378"/>
      <c r="BX84" s="1412" t="str">
        <f t="shared" si="66"/>
        <v>Price</v>
      </c>
      <c r="BY84" s="1413" t="str">
        <f t="shared" si="67"/>
        <v>Water</v>
      </c>
      <c r="BZ84" s="1414" t="str">
        <f t="shared" si="68"/>
        <v>Fixed</v>
      </c>
      <c r="CA84" s="1424">
        <f t="shared" ref="CA84:CR84" si="121">IFERROR((P84/O84-1)*(O86/O$13),"-")</f>
        <v>2.1046329255827895E-5</v>
      </c>
      <c r="CB84" s="1415">
        <f t="shared" si="121"/>
        <v>-6.190687259210701E-5</v>
      </c>
      <c r="CC84" s="1415">
        <f t="shared" si="121"/>
        <v>-1.04153756290816E-4</v>
      </c>
      <c r="CD84" s="1415">
        <f t="shared" si="121"/>
        <v>-1.1415658367948656E-4</v>
      </c>
      <c r="CE84" s="1415">
        <f t="shared" si="121"/>
        <v>-7.4626131884761657E-5</v>
      </c>
      <c r="CF84" s="1415">
        <f t="shared" si="121"/>
        <v>8.0500744949934955E-5</v>
      </c>
      <c r="CG84" s="1415">
        <f t="shared" si="121"/>
        <v>6.7074922610310729E-6</v>
      </c>
      <c r="CH84" s="1425">
        <f t="shared" si="121"/>
        <v>3.4075538818558762E-5</v>
      </c>
      <c r="CI84" s="1417">
        <f t="shared" si="121"/>
        <v>2.2415387225986174E-4</v>
      </c>
      <c r="CJ84" s="1417">
        <f t="shared" si="121"/>
        <v>2.2408224056636117E-4</v>
      </c>
      <c r="CK84" s="1417">
        <f t="shared" si="121"/>
        <v>2.2530576960790846E-4</v>
      </c>
      <c r="CL84" s="1417">
        <f t="shared" si="121"/>
        <v>2.2755606281565097E-4</v>
      </c>
      <c r="CM84" s="1418">
        <f t="shared" si="121"/>
        <v>2.2859631361881139E-4</v>
      </c>
      <c r="CN84" s="1417">
        <f t="shared" si="121"/>
        <v>6.3869612958410667E-5</v>
      </c>
      <c r="CO84" s="1417">
        <f t="shared" si="121"/>
        <v>6.4318977081780247E-5</v>
      </c>
      <c r="CP84" s="1417">
        <f t="shared" si="121"/>
        <v>6.444297595880294E-5</v>
      </c>
      <c r="CQ84" s="1417">
        <f t="shared" si="121"/>
        <v>6.4849806759399983E-5</v>
      </c>
      <c r="CR84" s="1419">
        <f t="shared" si="121"/>
        <v>6.5206835192146832E-5</v>
      </c>
      <c r="CS84" s="1378"/>
      <c r="CT84" s="1412" t="str">
        <f t="shared" si="39"/>
        <v>Price</v>
      </c>
      <c r="CU84" s="1413" t="str">
        <f t="shared" si="40"/>
        <v>Water</v>
      </c>
      <c r="CV84" s="1426" t="str">
        <f t="shared" si="41"/>
        <v>Fixed</v>
      </c>
      <c r="CW84" s="1427">
        <f t="shared" si="70"/>
        <v>5.8939571284973624E-2</v>
      </c>
      <c r="CX84" s="1417">
        <f t="shared" si="71"/>
        <v>5.8802293392678839E-2</v>
      </c>
      <c r="CY84" s="1417">
        <f t="shared" si="72"/>
        <v>5.8669224246239882E-2</v>
      </c>
      <c r="CZ84" s="1419">
        <f t="shared" si="73"/>
        <v>5.8540222287330135E-2</v>
      </c>
      <c r="DA84" s="1417">
        <f t="shared" si="74"/>
        <v>5.1328462325869406E-2</v>
      </c>
      <c r="DB84" s="1417">
        <f t="shared" si="75"/>
        <v>4.6207306330557252E-2</v>
      </c>
      <c r="DC84" s="1417">
        <f t="shared" si="76"/>
        <v>4.2382816676496793E-2</v>
      </c>
      <c r="DD84" s="1417">
        <f t="shared" si="77"/>
        <v>3.9417881908618169E-2</v>
      </c>
      <c r="DE84" s="1419">
        <f t="shared" si="78"/>
        <v>3.7052007299502643E-2</v>
      </c>
      <c r="DF84" s="1378"/>
      <c r="DG84" s="1412" t="str">
        <f t="shared" si="43"/>
        <v>Price</v>
      </c>
      <c r="DH84" s="1413" t="str">
        <f t="shared" si="44"/>
        <v>Water</v>
      </c>
      <c r="DI84" s="1426" t="str">
        <f t="shared" si="45"/>
        <v>Fixed</v>
      </c>
      <c r="DJ84" s="1426"/>
      <c r="DK84" s="1427">
        <f t="shared" si="79"/>
        <v>5.8662699127266515E-2</v>
      </c>
      <c r="DL84" s="1417">
        <f t="shared" si="80"/>
        <v>5.8531822286719493E-2</v>
      </c>
      <c r="DM84" s="1417">
        <f t="shared" si="81"/>
        <v>5.8404936808655661E-2</v>
      </c>
      <c r="DN84" s="1418">
        <f t="shared" si="82"/>
        <v>4.9784671527752566E-2</v>
      </c>
      <c r="DO84" s="1417">
        <f t="shared" si="83"/>
        <v>4.4076868097023825E-2</v>
      </c>
      <c r="DP84" s="1417">
        <f t="shared" si="84"/>
        <v>4.001887591217379E-2</v>
      </c>
      <c r="DQ84" s="1417">
        <f t="shared" si="85"/>
        <v>3.6985735580578938E-2</v>
      </c>
      <c r="DR84" s="1419">
        <f t="shared" si="86"/>
        <v>3.4632743464892535E-2</v>
      </c>
    </row>
    <row r="85" spans="4:122">
      <c r="E85" s="742" t="s">
        <v>45</v>
      </c>
      <c r="F85" s="722" t="str">
        <f>+F84</f>
        <v>Water</v>
      </c>
      <c r="G85" s="723" t="str">
        <f>+G84</f>
        <v>Fixed tariff group - 1 -50mm</v>
      </c>
      <c r="H85" s="723">
        <f>+H84</f>
        <v>0</v>
      </c>
      <c r="I85" s="724" t="str">
        <f>+I84</f>
        <v>Fixed</v>
      </c>
      <c r="J85" s="782" t="s">
        <v>323</v>
      </c>
      <c r="K85" s="2121"/>
      <c r="L85" s="1543"/>
      <c r="M85" s="1543"/>
      <c r="N85" s="1544"/>
      <c r="O85" s="2031">
        <v>218</v>
      </c>
      <c r="P85" s="1543">
        <v>224</v>
      </c>
      <c r="Q85" s="1543">
        <v>230</v>
      </c>
      <c r="R85" s="1543">
        <v>232</v>
      </c>
      <c r="S85" s="1543">
        <v>235</v>
      </c>
      <c r="T85" s="1543">
        <v>235</v>
      </c>
      <c r="U85" s="1543">
        <v>190</v>
      </c>
      <c r="V85" s="1543">
        <v>194</v>
      </c>
      <c r="W85" s="1543">
        <v>197</v>
      </c>
      <c r="X85" s="1544">
        <v>201</v>
      </c>
      <c r="Y85" s="1543">
        <v>204</v>
      </c>
      <c r="Z85" s="1543">
        <v>208</v>
      </c>
      <c r="AA85" s="1543">
        <v>211</v>
      </c>
      <c r="AB85" s="1543">
        <v>215</v>
      </c>
      <c r="AC85" s="1544">
        <v>219</v>
      </c>
      <c r="AD85" s="1543">
        <v>222</v>
      </c>
      <c r="AE85" s="1543">
        <v>226</v>
      </c>
      <c r="AF85" s="1543">
        <v>230</v>
      </c>
      <c r="AG85" s="788">
        <v>234</v>
      </c>
      <c r="AH85" s="697"/>
      <c r="AI85" s="707"/>
      <c r="AJ85" s="709">
        <f t="shared" si="90"/>
        <v>201</v>
      </c>
      <c r="AK85" s="710">
        <f t="shared" si="91"/>
        <v>204</v>
      </c>
      <c r="AL85" s="710">
        <f t="shared" si="92"/>
        <v>208</v>
      </c>
      <c r="AM85" s="710">
        <f t="shared" si="93"/>
        <v>211</v>
      </c>
      <c r="AN85" s="710">
        <f t="shared" si="94"/>
        <v>215</v>
      </c>
      <c r="AO85" s="711">
        <f t="shared" si="95"/>
        <v>219</v>
      </c>
      <c r="AP85" s="707">
        <f t="shared" si="96"/>
        <v>222</v>
      </c>
      <c r="AQ85" s="707">
        <f t="shared" si="97"/>
        <v>226</v>
      </c>
      <c r="AR85" s="707">
        <f t="shared" si="98"/>
        <v>230</v>
      </c>
      <c r="AS85" s="712">
        <f t="shared" si="99"/>
        <v>234</v>
      </c>
      <c r="AV85" s="1559"/>
      <c r="AW85" s="1392" t="str">
        <f t="shared" si="48"/>
        <v>Qty</v>
      </c>
      <c r="AX85" s="1393" t="str">
        <f t="shared" si="36"/>
        <v>Water</v>
      </c>
      <c r="AY85" s="1394" t="str">
        <f t="shared" si="49"/>
        <v>Fixed</v>
      </c>
      <c r="AZ85" s="1395">
        <f t="shared" si="117"/>
        <v>2.7522935779816571E-2</v>
      </c>
      <c r="BA85" s="1395">
        <f t="shared" si="117"/>
        <v>2.6785714285714191E-2</v>
      </c>
      <c r="BB85" s="1395">
        <f t="shared" si="117"/>
        <v>8.6956521739129933E-3</v>
      </c>
      <c r="BC85" s="1395">
        <f t="shared" si="51"/>
        <v>1.2931034482758674E-2</v>
      </c>
      <c r="BD85" s="1395">
        <f t="shared" si="52"/>
        <v>0</v>
      </c>
      <c r="BE85" s="1395">
        <f t="shared" si="53"/>
        <v>-0.19148936170212771</v>
      </c>
      <c r="BF85" s="1395">
        <f t="shared" si="54"/>
        <v>2.1052631578947434E-2</v>
      </c>
      <c r="BG85" s="1396">
        <f t="shared" si="55"/>
        <v>1.5463917525773141E-2</v>
      </c>
      <c r="BH85" s="1395">
        <f t="shared" si="56"/>
        <v>2.0304568527918843E-2</v>
      </c>
      <c r="BI85" s="1395">
        <f t="shared" si="57"/>
        <v>1.4925373134328401E-2</v>
      </c>
      <c r="BJ85" s="1395">
        <f t="shared" si="58"/>
        <v>1.9607843137254832E-2</v>
      </c>
      <c r="BK85" s="1395">
        <f t="shared" si="59"/>
        <v>1.4423076923076872E-2</v>
      </c>
      <c r="BL85" s="1397">
        <f t="shared" si="60"/>
        <v>1.8957345971563955E-2</v>
      </c>
      <c r="BM85" s="1395">
        <f t="shared" si="61"/>
        <v>1.8604651162790642E-2</v>
      </c>
      <c r="BN85" s="1395">
        <f t="shared" si="62"/>
        <v>1.3698630136986356E-2</v>
      </c>
      <c r="BO85" s="1395">
        <f t="shared" si="63"/>
        <v>1.8018018018018056E-2</v>
      </c>
      <c r="BP85" s="1395">
        <f t="shared" si="64"/>
        <v>1.7699115044247815E-2</v>
      </c>
      <c r="BQ85" s="1398">
        <f t="shared" si="65"/>
        <v>1.7391304347825987E-2</v>
      </c>
      <c r="BR85" s="1378"/>
      <c r="BS85" s="1329"/>
      <c r="BT85" s="1399"/>
      <c r="BU85" s="1331"/>
      <c r="BV85" s="1400"/>
      <c r="BW85" s="1378"/>
      <c r="BX85" s="1392" t="str">
        <f t="shared" si="66"/>
        <v>Qty</v>
      </c>
      <c r="BY85" s="1393" t="str">
        <f t="shared" si="67"/>
        <v>Water</v>
      </c>
      <c r="BZ85" s="1394" t="str">
        <f t="shared" si="68"/>
        <v>Fixed</v>
      </c>
      <c r="CA85" s="1401">
        <f t="shared" ref="CA85:CR85" si="122">IFERROR((P85/O85-1)*(O86/O$13),"-")</f>
        <v>1.2882851576094024E-4</v>
      </c>
      <c r="CB85" s="1395">
        <f t="shared" si="122"/>
        <v>1.2613525290641785E-4</v>
      </c>
      <c r="CC85" s="1395">
        <f t="shared" si="122"/>
        <v>4.2241140812205291E-5</v>
      </c>
      <c r="CD85" s="1395">
        <f t="shared" si="122"/>
        <v>6.3153204914331431E-5</v>
      </c>
      <c r="CE85" s="1395">
        <f t="shared" si="122"/>
        <v>0</v>
      </c>
      <c r="CF85" s="1395">
        <f t="shared" si="122"/>
        <v>-9.1093566414060631E-4</v>
      </c>
      <c r="CG85" s="1395">
        <f t="shared" si="122"/>
        <v>7.8375318339908464E-5</v>
      </c>
      <c r="CH85" s="1397">
        <f t="shared" si="122"/>
        <v>5.621357866605376E-5</v>
      </c>
      <c r="CI85" s="1395">
        <f t="shared" si="122"/>
        <v>7.70350244753026E-5</v>
      </c>
      <c r="CJ85" s="1395">
        <f t="shared" si="122"/>
        <v>5.6881737728419247E-5</v>
      </c>
      <c r="CK85" s="1395">
        <f t="shared" si="122"/>
        <v>7.5481409998693759E-5</v>
      </c>
      <c r="CL85" s="1395">
        <f t="shared" si="122"/>
        <v>5.632490132599573E-5</v>
      </c>
      <c r="CM85" s="1397">
        <f t="shared" si="122"/>
        <v>7.4685503413748452E-5</v>
      </c>
      <c r="CN85" s="1395">
        <f t="shared" si="122"/>
        <v>7.4266991812105138E-5</v>
      </c>
      <c r="CO85" s="1395">
        <f t="shared" si="122"/>
        <v>5.5067617364538058E-5</v>
      </c>
      <c r="CP85" s="1395">
        <f t="shared" si="122"/>
        <v>7.2570918872525924E-5</v>
      </c>
      <c r="CQ85" s="1395">
        <f t="shared" si="122"/>
        <v>7.1736511901991179E-5</v>
      </c>
      <c r="CR85" s="1398">
        <f t="shared" si="122"/>
        <v>7.0876994774072175E-5</v>
      </c>
      <c r="CS85" s="1378"/>
      <c r="CT85" s="1392" t="str">
        <f t="shared" si="39"/>
        <v>Qty</v>
      </c>
      <c r="CU85" s="1393" t="str">
        <f t="shared" si="40"/>
        <v>Water</v>
      </c>
      <c r="CV85" s="1393" t="str">
        <f t="shared" si="41"/>
        <v>Fixed</v>
      </c>
      <c r="CW85" s="1401">
        <f t="shared" si="70"/>
        <v>1.7611416466942975E-2</v>
      </c>
      <c r="CX85" s="1395">
        <f t="shared" si="71"/>
        <v>1.827645730407923E-2</v>
      </c>
      <c r="CY85" s="1395">
        <f t="shared" si="72"/>
        <v>1.7311742117668061E-2</v>
      </c>
      <c r="CZ85" s="1398">
        <f t="shared" si="73"/>
        <v>1.7640650140545722E-2</v>
      </c>
      <c r="DA85" s="1395">
        <f t="shared" si="74"/>
        <v>1.7801253598389577E-2</v>
      </c>
      <c r="DB85" s="1395">
        <f t="shared" si="75"/>
        <v>1.7214149520937028E-2</v>
      </c>
      <c r="DC85" s="1395">
        <f t="shared" si="76"/>
        <v>1.7314598358951105E-2</v>
      </c>
      <c r="DD85" s="1395">
        <f t="shared" si="77"/>
        <v>1.7357315259684869E-2</v>
      </c>
      <c r="DE85" s="1398">
        <f t="shared" si="78"/>
        <v>1.7360714117400367E-2</v>
      </c>
      <c r="DF85" s="1378"/>
      <c r="DG85" s="1392" t="str">
        <f t="shared" si="43"/>
        <v>Qty</v>
      </c>
      <c r="DH85" s="1393" t="str">
        <f t="shared" si="44"/>
        <v>Water</v>
      </c>
      <c r="DI85" s="1393" t="str">
        <f t="shared" si="45"/>
        <v>Fixed</v>
      </c>
      <c r="DJ85" s="1393"/>
      <c r="DK85" s="1401">
        <f t="shared" si="79"/>
        <v>1.7263913960760879E-2</v>
      </c>
      <c r="DL85" s="1395">
        <f t="shared" si="80"/>
        <v>1.6316085423205839E-2</v>
      </c>
      <c r="DM85" s="1395">
        <f t="shared" si="81"/>
        <v>1.6975758009815989E-2</v>
      </c>
      <c r="DN85" s="1397">
        <f t="shared" si="82"/>
        <v>1.7301328120523207E-2</v>
      </c>
      <c r="DO85" s="1395">
        <f t="shared" si="83"/>
        <v>1.6699990514076113E-2</v>
      </c>
      <c r="DP85" s="1395">
        <f t="shared" si="84"/>
        <v>1.6888175629421021E-2</v>
      </c>
      <c r="DQ85" s="1395">
        <f t="shared" si="85"/>
        <v>1.6989507707423579E-2</v>
      </c>
      <c r="DR85" s="1398">
        <f t="shared" si="86"/>
        <v>1.7034143941340396E-2</v>
      </c>
    </row>
    <row r="86" spans="4:122" ht="12.75" thickBot="1">
      <c r="E86" s="743" t="s">
        <v>46</v>
      </c>
      <c r="F86" s="732" t="str">
        <f>+F84</f>
        <v>Water</v>
      </c>
      <c r="G86" s="733" t="str">
        <f>+G84</f>
        <v>Fixed tariff group - 1 -50mm</v>
      </c>
      <c r="H86" s="733">
        <f>+H84</f>
        <v>0</v>
      </c>
      <c r="I86" s="734" t="str">
        <f>+I84</f>
        <v>Fixed</v>
      </c>
      <c r="J86" s="735" t="s">
        <v>344</v>
      </c>
      <c r="K86" s="736">
        <f t="shared" ref="K86:AG86" si="123">K84*K85/10^6</f>
        <v>0</v>
      </c>
      <c r="L86" s="737">
        <f t="shared" si="123"/>
        <v>0</v>
      </c>
      <c r="M86" s="737">
        <f t="shared" si="123"/>
        <v>0</v>
      </c>
      <c r="N86" s="738">
        <f t="shared" si="123"/>
        <v>0</v>
      </c>
      <c r="O86" s="1923">
        <f t="shared" si="123"/>
        <v>0.35294308506787325</v>
      </c>
      <c r="P86" s="737">
        <f t="shared" si="123"/>
        <v>0.36428774451154528</v>
      </c>
      <c r="Q86" s="737">
        <f t="shared" si="123"/>
        <v>0.36912811472392637</v>
      </c>
      <c r="R86" s="737">
        <f t="shared" si="123"/>
        <v>0.364354692761578</v>
      </c>
      <c r="S86" s="737">
        <f t="shared" si="123"/>
        <v>0.36043950788804074</v>
      </c>
      <c r="T86" s="1531">
        <f t="shared" si="123"/>
        <v>0.35506042457627113</v>
      </c>
      <c r="U86" s="737">
        <f t="shared" si="123"/>
        <v>0.29192798891402716</v>
      </c>
      <c r="V86" s="737">
        <f t="shared" si="123"/>
        <v>0.29861088685589515</v>
      </c>
      <c r="W86" s="737">
        <f t="shared" si="123"/>
        <v>0.30607102000000003</v>
      </c>
      <c r="X86" s="738">
        <f t="shared" si="123"/>
        <v>0.33073597682152661</v>
      </c>
      <c r="Y86" s="737">
        <f t="shared" si="123"/>
        <v>0.35540907055881138</v>
      </c>
      <c r="Z86" s="737">
        <f t="shared" si="123"/>
        <v>0.38358705244355834</v>
      </c>
      <c r="AA86" s="737">
        <f t="shared" si="123"/>
        <v>0.41179360023517175</v>
      </c>
      <c r="AB86" s="737">
        <f t="shared" si="123"/>
        <v>0.44394714693148085</v>
      </c>
      <c r="AC86" s="738">
        <f t="shared" si="123"/>
        <v>0.45944193479461498</v>
      </c>
      <c r="AD86" s="737">
        <f t="shared" si="123"/>
        <v>0.47318743048764839</v>
      </c>
      <c r="AE86" s="737">
        <f t="shared" si="123"/>
        <v>0.48942074341825165</v>
      </c>
      <c r="AF86" s="737">
        <f t="shared" si="123"/>
        <v>0.50605238638042949</v>
      </c>
      <c r="AG86" s="739">
        <f t="shared" si="123"/>
        <v>0.52309095020708174</v>
      </c>
      <c r="AH86" s="697"/>
      <c r="AI86" s="707"/>
      <c r="AJ86" s="709">
        <f t="shared" si="90"/>
        <v>0.33073597682152661</v>
      </c>
      <c r="AK86" s="710">
        <f t="shared" si="91"/>
        <v>0.35540907055881138</v>
      </c>
      <c r="AL86" s="710">
        <f t="shared" si="92"/>
        <v>0.38358705244355834</v>
      </c>
      <c r="AM86" s="710">
        <f t="shared" si="93"/>
        <v>0.41179360023517175</v>
      </c>
      <c r="AN86" s="710">
        <f t="shared" si="94"/>
        <v>0.44394714693148085</v>
      </c>
      <c r="AO86" s="711">
        <f t="shared" si="95"/>
        <v>0.45944193479461498</v>
      </c>
      <c r="AP86" s="707">
        <f t="shared" si="96"/>
        <v>0.47318743048764839</v>
      </c>
      <c r="AQ86" s="707">
        <f t="shared" si="97"/>
        <v>0.48942074341825165</v>
      </c>
      <c r="AR86" s="707">
        <f t="shared" si="98"/>
        <v>0.50605238638042949</v>
      </c>
      <c r="AS86" s="712">
        <f t="shared" si="99"/>
        <v>0.52309095020708174</v>
      </c>
      <c r="AV86" s="1559"/>
      <c r="AW86" s="1428" t="str">
        <f t="shared" si="48"/>
        <v>Rev</v>
      </c>
      <c r="AX86" s="1429" t="str">
        <f t="shared" si="36"/>
        <v>Water</v>
      </c>
      <c r="AY86" s="1430" t="str">
        <f t="shared" si="49"/>
        <v>Fixed</v>
      </c>
      <c r="AZ86" s="1431">
        <f t="shared" si="117"/>
        <v>3.2143027937465707E-2</v>
      </c>
      <c r="BA86" s="1431">
        <f t="shared" si="117"/>
        <v>1.3287216727181583E-2</v>
      </c>
      <c r="BB86" s="1431">
        <f t="shared" si="117"/>
        <v>-1.2931613095682137E-2</v>
      </c>
      <c r="BC86" s="1431">
        <f t="shared" si="51"/>
        <v>-1.0745531624315352E-2</v>
      </c>
      <c r="BD86" s="1431">
        <f t="shared" si="52"/>
        <v>-1.4923678437160803E-2</v>
      </c>
      <c r="BE86" s="1431">
        <f t="shared" si="53"/>
        <v>-0.17780758229415794</v>
      </c>
      <c r="BF86" s="1431">
        <f t="shared" si="54"/>
        <v>2.289228232869478E-2</v>
      </c>
      <c r="BG86" s="1432">
        <f t="shared" si="55"/>
        <v>2.4982790221258711E-2</v>
      </c>
      <c r="BH86" s="1431">
        <f t="shared" si="56"/>
        <v>8.0585730793874433E-2</v>
      </c>
      <c r="BI86" s="1431">
        <f t="shared" si="57"/>
        <v>7.4600574072408721E-2</v>
      </c>
      <c r="BJ86" s="1431">
        <f t="shared" si="58"/>
        <v>7.928323787696967E-2</v>
      </c>
      <c r="BK86" s="1431">
        <f t="shared" si="59"/>
        <v>7.35336284473882E-2</v>
      </c>
      <c r="BL86" s="1433">
        <f t="shared" si="60"/>
        <v>7.8081705684465375E-2</v>
      </c>
      <c r="BM86" s="1431">
        <f t="shared" si="61"/>
        <v>3.4902325581395388E-2</v>
      </c>
      <c r="BN86" s="1431">
        <f t="shared" si="62"/>
        <v>2.9917808219177999E-2</v>
      </c>
      <c r="BO86" s="1431">
        <f t="shared" si="63"/>
        <v>3.4306306306306267E-2</v>
      </c>
      <c r="BP86" s="1431">
        <f t="shared" si="64"/>
        <v>3.3982300884956018E-2</v>
      </c>
      <c r="BQ86" s="1434">
        <f t="shared" si="65"/>
        <v>3.3669565217391062E-2</v>
      </c>
      <c r="BR86" s="1378"/>
      <c r="BS86" s="1407"/>
      <c r="BT86" s="1408"/>
      <c r="BU86" s="1409"/>
      <c r="BV86" s="1410"/>
      <c r="BW86" s="1378"/>
      <c r="BX86" s="1428" t="str">
        <f t="shared" si="66"/>
        <v>Rev</v>
      </c>
      <c r="BY86" s="1429" t="str">
        <f t="shared" si="67"/>
        <v>Water</v>
      </c>
      <c r="BZ86" s="1430" t="str">
        <f t="shared" si="68"/>
        <v>Fixed</v>
      </c>
      <c r="CA86" s="1435">
        <f t="shared" ref="CA86:CR86" si="124">IFERROR((P86/O86-1)*(O86/O$13),"-")</f>
        <v>1.5045410178527623E-4</v>
      </c>
      <c r="CB86" s="1431">
        <f t="shared" si="124"/>
        <v>6.257016051273645E-5</v>
      </c>
      <c r="CC86" s="1431">
        <f t="shared" si="124"/>
        <v>-6.2818300315922081E-5</v>
      </c>
      <c r="CD86" s="1431">
        <f t="shared" si="124"/>
        <v>-5.2479541485148221E-5</v>
      </c>
      <c r="CE86" s="1431">
        <f t="shared" si="124"/>
        <v>-7.4626131884761657E-5</v>
      </c>
      <c r="CF86" s="1431">
        <f t="shared" si="124"/>
        <v>-8.4584995545767985E-4</v>
      </c>
      <c r="CG86" s="1431">
        <f t="shared" si="124"/>
        <v>8.5224020964329159E-5</v>
      </c>
      <c r="CH86" s="1433">
        <f t="shared" si="124"/>
        <v>9.0816058806549507E-5</v>
      </c>
      <c r="CI86" s="1431">
        <f t="shared" si="124"/>
        <v>3.0574024439526258E-4</v>
      </c>
      <c r="CJ86" s="1431">
        <f t="shared" si="124"/>
        <v>2.8430848934800899E-4</v>
      </c>
      <c r="CK86" s="1431">
        <f t="shared" si="124"/>
        <v>3.0520493979499232E-4</v>
      </c>
      <c r="CL86" s="1431">
        <f t="shared" si="124"/>
        <v>2.8716302273995012E-4</v>
      </c>
      <c r="CM86" s="1433">
        <f t="shared" si="124"/>
        <v>3.0761539643765567E-4</v>
      </c>
      <c r="CN86" s="1431">
        <f t="shared" si="124"/>
        <v>1.3932487663950981E-4</v>
      </c>
      <c r="CO86" s="1431">
        <f t="shared" si="124"/>
        <v>1.2026767632415031E-4</v>
      </c>
      <c r="CP86" s="1431">
        <f t="shared" si="124"/>
        <v>1.3817502953328891E-4</v>
      </c>
      <c r="CQ86" s="1431">
        <f t="shared" si="124"/>
        <v>1.3773410285182393E-4</v>
      </c>
      <c r="CR86" s="1434">
        <f t="shared" si="124"/>
        <v>1.3721786188260353E-4</v>
      </c>
      <c r="CS86" s="1378"/>
      <c r="CT86" s="1428" t="str">
        <f t="shared" si="39"/>
        <v>Rev</v>
      </c>
      <c r="CU86" s="1429" t="str">
        <f t="shared" si="40"/>
        <v>Water</v>
      </c>
      <c r="CV86" s="1429" t="str">
        <f t="shared" si="41"/>
        <v>Fixed</v>
      </c>
      <c r="CW86" s="1435">
        <f t="shared" si="70"/>
        <v>7.7588997088199108E-2</v>
      </c>
      <c r="CX86" s="1431">
        <f t="shared" si="71"/>
        <v>7.8153448301331307E-2</v>
      </c>
      <c r="CY86" s="1431">
        <f t="shared" si="72"/>
        <v>7.699663284430236E-2</v>
      </c>
      <c r="CZ86" s="1434">
        <f t="shared" si="73"/>
        <v>7.721356000839652E-2</v>
      </c>
      <c r="DA86" s="1431">
        <f t="shared" si="74"/>
        <v>7.0043426898936945E-2</v>
      </c>
      <c r="DB86" s="1431">
        <f t="shared" si="75"/>
        <v>6.421687533162812E-2</v>
      </c>
      <c r="DC86" s="1431">
        <f t="shared" si="76"/>
        <v>6.0431256483522544E-2</v>
      </c>
      <c r="DD86" s="1431">
        <f t="shared" si="77"/>
        <v>5.7459385771460036E-2</v>
      </c>
      <c r="DE86" s="1434">
        <f t="shared" si="78"/>
        <v>5.505597072310553E-2</v>
      </c>
      <c r="DF86" s="1378"/>
      <c r="DG86" s="1428" t="str">
        <f t="shared" si="43"/>
        <v>Rev</v>
      </c>
      <c r="DH86" s="1429" t="str">
        <f t="shared" si="44"/>
        <v>Water</v>
      </c>
      <c r="DI86" s="1429" t="str">
        <f t="shared" si="45"/>
        <v>Fixed</v>
      </c>
      <c r="DJ86" s="1429"/>
      <c r="DK86" s="1435">
        <f t="shared" si="79"/>
        <v>7.6939360878466534E-2</v>
      </c>
      <c r="DL86" s="1431">
        <f t="shared" si="80"/>
        <v>7.5802917922331403E-2</v>
      </c>
      <c r="DM86" s="1431">
        <f t="shared" si="81"/>
        <v>7.6372162892314188E-2</v>
      </c>
      <c r="DN86" s="1433">
        <f t="shared" si="82"/>
        <v>6.7947340585749805E-2</v>
      </c>
      <c r="DO86" s="1431">
        <f t="shared" si="83"/>
        <v>6.1512941890210504E-2</v>
      </c>
      <c r="DP86" s="1431">
        <f t="shared" si="84"/>
        <v>5.7582897346491579E-2</v>
      </c>
      <c r="DQ86" s="1431">
        <f t="shared" si="85"/>
        <v>5.4603612727713413E-2</v>
      </c>
      <c r="DR86" s="1434">
        <f t="shared" si="86"/>
        <v>5.2256826543497503E-2</v>
      </c>
    </row>
    <row r="87" spans="4:122">
      <c r="D87" s="70">
        <f>D84+1</f>
        <v>8</v>
      </c>
      <c r="E87" s="713" t="s">
        <v>44</v>
      </c>
      <c r="F87" s="1532" t="s">
        <v>20</v>
      </c>
      <c r="G87" s="1532" t="s">
        <v>870</v>
      </c>
      <c r="H87" s="1532"/>
      <c r="I87" s="781" t="s">
        <v>319</v>
      </c>
      <c r="J87" s="781" t="s">
        <v>345</v>
      </c>
      <c r="K87" s="1533"/>
      <c r="L87" s="1534"/>
      <c r="M87" s="1534"/>
      <c r="N87" s="1535"/>
      <c r="O87" s="2071">
        <v>4147.3394117647058</v>
      </c>
      <c r="P87" s="1547">
        <v>4165.994547069271</v>
      </c>
      <c r="Q87" s="1547">
        <v>4111.2268711656443</v>
      </c>
      <c r="R87" s="1547">
        <v>4023.0787821612348</v>
      </c>
      <c r="S87" s="1547">
        <v>3929.0624173027986</v>
      </c>
      <c r="T87" s="1547">
        <v>3870.4537288135589</v>
      </c>
      <c r="U87" s="1547">
        <v>3935.9604751131219</v>
      </c>
      <c r="V87" s="1547">
        <v>3943.0509388646287</v>
      </c>
      <c r="W87" s="1547">
        <v>3980.02</v>
      </c>
      <c r="X87" s="1550">
        <v>4199.1965210026201</v>
      </c>
      <c r="Y87" s="1551">
        <v>4430.0167810186831</v>
      </c>
      <c r="Z87" s="1551">
        <v>4673.0942874876364</v>
      </c>
      <c r="AA87" s="1551">
        <v>4929.0728059794192</v>
      </c>
      <c r="AB87" s="1551">
        <v>5198.6306490544102</v>
      </c>
      <c r="AC87" s="1550">
        <v>5281.8087394392805</v>
      </c>
      <c r="AD87" s="1551">
        <v>5366.3176792703089</v>
      </c>
      <c r="AE87" s="1551">
        <v>5452.1787621386338</v>
      </c>
      <c r="AF87" s="1551">
        <v>5539.4136223328524</v>
      </c>
      <c r="AG87" s="1552">
        <v>5628.0442402901781</v>
      </c>
      <c r="AH87" s="697"/>
      <c r="AI87" s="707"/>
      <c r="AJ87" s="709">
        <f t="shared" si="90"/>
        <v>4199.1965210026201</v>
      </c>
      <c r="AK87" s="710">
        <f t="shared" si="91"/>
        <v>4430.0167810186831</v>
      </c>
      <c r="AL87" s="710">
        <f t="shared" si="92"/>
        <v>4673.0942874876364</v>
      </c>
      <c r="AM87" s="710">
        <f t="shared" si="93"/>
        <v>4929.0728059794192</v>
      </c>
      <c r="AN87" s="710">
        <f t="shared" si="94"/>
        <v>5198.6306490544102</v>
      </c>
      <c r="AO87" s="711">
        <f t="shared" si="95"/>
        <v>5281.8087394392805</v>
      </c>
      <c r="AP87" s="707">
        <f t="shared" si="96"/>
        <v>5366.3176792703089</v>
      </c>
      <c r="AQ87" s="707">
        <f t="shared" si="97"/>
        <v>5452.1787621386338</v>
      </c>
      <c r="AR87" s="707">
        <f t="shared" si="98"/>
        <v>5539.4136223328524</v>
      </c>
      <c r="AS87" s="712">
        <f t="shared" si="99"/>
        <v>5628.0442402901781</v>
      </c>
      <c r="AU87" s="1369"/>
      <c r="AV87" s="1559"/>
      <c r="AW87" s="1412" t="str">
        <f t="shared" si="48"/>
        <v>Price</v>
      </c>
      <c r="AX87" s="1413" t="str">
        <f t="shared" si="36"/>
        <v>Water</v>
      </c>
      <c r="AY87" s="1414" t="str">
        <f t="shared" si="49"/>
        <v>Fixed</v>
      </c>
      <c r="AZ87" s="1415">
        <f t="shared" si="117"/>
        <v>4.4980970816246302E-3</v>
      </c>
      <c r="BA87" s="1415">
        <f t="shared" si="117"/>
        <v>-1.3146362839614123E-2</v>
      </c>
      <c r="BB87" s="1415">
        <f t="shared" si="117"/>
        <v>-2.1440823327615877E-2</v>
      </c>
      <c r="BC87" s="1415">
        <f t="shared" si="51"/>
        <v>-2.3369257712604341E-2</v>
      </c>
      <c r="BD87" s="1415">
        <f t="shared" si="52"/>
        <v>-1.4916710976934033E-2</v>
      </c>
      <c r="BE87" s="1415">
        <f t="shared" si="53"/>
        <v>1.6924823519242294E-2</v>
      </c>
      <c r="BF87" s="1415">
        <f t="shared" si="54"/>
        <v>1.8014570512938644E-3</v>
      </c>
      <c r="BG87" s="1416">
        <f t="shared" si="55"/>
        <v>9.375750328504795E-3</v>
      </c>
      <c r="BH87" s="1417">
        <f t="shared" si="56"/>
        <v>5.5069200909196425E-2</v>
      </c>
      <c r="BI87" s="1417">
        <f t="shared" si="57"/>
        <v>5.4967720339259341E-2</v>
      </c>
      <c r="BJ87" s="1417">
        <f t="shared" si="58"/>
        <v>5.4870561102718263E-2</v>
      </c>
      <c r="BK87" s="1417">
        <f t="shared" si="59"/>
        <v>5.4777092595194032E-2</v>
      </c>
      <c r="BL87" s="1418">
        <f t="shared" si="60"/>
        <v>5.4687332422437063E-2</v>
      </c>
      <c r="BM87" s="1417">
        <f t="shared" si="61"/>
        <v>1.6000000000000014E-2</v>
      </c>
      <c r="BN87" s="1417">
        <f t="shared" si="62"/>
        <v>1.6000000000000014E-2</v>
      </c>
      <c r="BO87" s="1417">
        <f t="shared" si="63"/>
        <v>1.6000000000000014E-2</v>
      </c>
      <c r="BP87" s="1417">
        <f t="shared" si="64"/>
        <v>1.6000000000000014E-2</v>
      </c>
      <c r="BQ87" s="1419">
        <f t="shared" si="65"/>
        <v>1.6000000000000014E-2</v>
      </c>
      <c r="BR87" s="1378"/>
      <c r="BS87" s="1420"/>
      <c r="BT87" s="1421"/>
      <c r="BU87" s="1422"/>
      <c r="BV87" s="1423"/>
      <c r="BW87" s="1378"/>
      <c r="BX87" s="1412" t="str">
        <f t="shared" si="66"/>
        <v>Price</v>
      </c>
      <c r="BY87" s="1413" t="str">
        <f t="shared" si="67"/>
        <v>Water</v>
      </c>
      <c r="BZ87" s="1414" t="str">
        <f t="shared" si="68"/>
        <v>Fixed</v>
      </c>
      <c r="CA87" s="1424">
        <f t="shared" ref="CA87:CR87" si="125">IFERROR((P87/O87-1)*(O89/O$13),"-")</f>
        <v>1.063847623758885E-5</v>
      </c>
      <c r="CB87" s="1415">
        <f t="shared" si="125"/>
        <v>-3.3274447971231812E-5</v>
      </c>
      <c r="CC87" s="1415">
        <f t="shared" si="125"/>
        <v>-5.3361384320809951E-5</v>
      </c>
      <c r="CD87" s="1415">
        <f t="shared" si="125"/>
        <v>-5.670922691157803E-5</v>
      </c>
      <c r="CE87" s="1415">
        <f t="shared" si="125"/>
        <v>-3.4963356564956737E-5</v>
      </c>
      <c r="CF87" s="1415">
        <f t="shared" si="125"/>
        <v>3.7739424242274027E-5</v>
      </c>
      <c r="CG87" s="1415">
        <f t="shared" si="125"/>
        <v>3.4360179959563057E-6</v>
      </c>
      <c r="CH87" s="1425">
        <f t="shared" si="125"/>
        <v>1.7551696497144805E-5</v>
      </c>
      <c r="CI87" s="1417">
        <f t="shared" si="125"/>
        <v>1.0867415431850243E-4</v>
      </c>
      <c r="CJ87" s="1417">
        <f t="shared" si="125"/>
        <v>1.0638983523483072E-4</v>
      </c>
      <c r="CK87" s="1417">
        <f t="shared" si="125"/>
        <v>1.0794693165974532E-4</v>
      </c>
      <c r="CL87" s="1417">
        <f t="shared" si="125"/>
        <v>1.0945393807585741E-4</v>
      </c>
      <c r="CM87" s="1418">
        <f t="shared" si="125"/>
        <v>1.0831296555960563E-4</v>
      </c>
      <c r="CN87" s="1417">
        <f t="shared" si="125"/>
        <v>3.2160325344682446E-5</v>
      </c>
      <c r="CO87" s="1417">
        <f t="shared" si="125"/>
        <v>3.2534478068975416E-5</v>
      </c>
      <c r="CP87" s="1417">
        <f t="shared" si="125"/>
        <v>3.2887531770710086E-5</v>
      </c>
      <c r="CQ87" s="1417">
        <f t="shared" si="125"/>
        <v>3.2509397027764848E-5</v>
      </c>
      <c r="CR87" s="1419">
        <f t="shared" si="125"/>
        <v>3.2833658094062056E-5</v>
      </c>
      <c r="CS87" s="1378"/>
      <c r="CT87" s="1412" t="str">
        <f t="shared" si="39"/>
        <v>Price</v>
      </c>
      <c r="CU87" s="1413" t="str">
        <f t="shared" si="40"/>
        <v>Water</v>
      </c>
      <c r="CV87" s="1426" t="str">
        <f t="shared" si="41"/>
        <v>Fixed</v>
      </c>
      <c r="CW87" s="1427">
        <f t="shared" si="70"/>
        <v>5.5018459404070796E-2</v>
      </c>
      <c r="CX87" s="1417">
        <f t="shared" si="71"/>
        <v>5.4969157666418411E-2</v>
      </c>
      <c r="CY87" s="1417">
        <f t="shared" si="72"/>
        <v>5.4921138120118229E-2</v>
      </c>
      <c r="CZ87" s="1419">
        <f t="shared" si="73"/>
        <v>5.4874372834499585E-2</v>
      </c>
      <c r="DA87" s="1417">
        <f t="shared" si="74"/>
        <v>4.8293523635966951E-2</v>
      </c>
      <c r="DB87" s="1417">
        <f t="shared" si="75"/>
        <v>4.3618067575031283E-2</v>
      </c>
      <c r="DC87" s="1417">
        <f t="shared" si="76"/>
        <v>4.0125165294043974E-2</v>
      </c>
      <c r="DD87" s="1417">
        <f t="shared" si="77"/>
        <v>3.7416547813171164E-2</v>
      </c>
      <c r="DE87" s="1419">
        <f t="shared" si="78"/>
        <v>3.5254733290242646E-2</v>
      </c>
      <c r="DF87" s="1378"/>
      <c r="DG87" s="1412" t="str">
        <f t="shared" si="43"/>
        <v>Price</v>
      </c>
      <c r="DH87" s="1413" t="str">
        <f t="shared" si="44"/>
        <v>Water</v>
      </c>
      <c r="DI87" s="1426" t="str">
        <f t="shared" si="45"/>
        <v>Fixed</v>
      </c>
      <c r="DJ87" s="1426"/>
      <c r="DK87" s="1427">
        <f t="shared" si="79"/>
        <v>5.4919139602429556E-2</v>
      </c>
      <c r="DL87" s="1417">
        <f t="shared" si="80"/>
        <v>5.4871788474645689E-2</v>
      </c>
      <c r="DM87" s="1417">
        <f t="shared" si="81"/>
        <v>5.4825671437454648E-2</v>
      </c>
      <c r="DN87" s="1418">
        <f t="shared" si="82"/>
        <v>4.6943618775049378E-2</v>
      </c>
      <c r="DO87" s="1417">
        <f t="shared" si="83"/>
        <v>4.1721665152186782E-2</v>
      </c>
      <c r="DP87" s="1417">
        <f t="shared" si="84"/>
        <v>3.8007652458669883E-2</v>
      </c>
      <c r="DQ87" s="1417">
        <f t="shared" si="85"/>
        <v>3.523083521524506E-2</v>
      </c>
      <c r="DR87" s="1419">
        <f t="shared" si="86"/>
        <v>3.3076225158138683E-2</v>
      </c>
    </row>
    <row r="88" spans="4:122">
      <c r="E88" s="742" t="s">
        <v>45</v>
      </c>
      <c r="F88" s="722" t="str">
        <f>+F87</f>
        <v>Water</v>
      </c>
      <c r="G88" s="723" t="str">
        <f>+G87</f>
        <v>Fixed tariff group - 1 -80mm</v>
      </c>
      <c r="H88" s="723">
        <f>+H87</f>
        <v>0</v>
      </c>
      <c r="I88" s="724" t="str">
        <f>+I87</f>
        <v>Fixed</v>
      </c>
      <c r="J88" s="782" t="s">
        <v>323</v>
      </c>
      <c r="K88" s="1540"/>
      <c r="L88" s="1541"/>
      <c r="M88" s="1541"/>
      <c r="N88" s="1542"/>
      <c r="O88" s="2031">
        <v>43</v>
      </c>
      <c r="P88" s="1543">
        <v>47</v>
      </c>
      <c r="Q88" s="1543">
        <v>46</v>
      </c>
      <c r="R88" s="1543">
        <v>45</v>
      </c>
      <c r="S88" s="1543">
        <v>43</v>
      </c>
      <c r="T88" s="1543">
        <v>43</v>
      </c>
      <c r="U88" s="1543">
        <v>38</v>
      </c>
      <c r="V88" s="1543">
        <v>39</v>
      </c>
      <c r="W88" s="1543">
        <v>40</v>
      </c>
      <c r="X88" s="1544">
        <v>40</v>
      </c>
      <c r="Y88" s="1543">
        <v>41</v>
      </c>
      <c r="Z88" s="1543">
        <v>42</v>
      </c>
      <c r="AA88" s="1543">
        <v>42</v>
      </c>
      <c r="AB88" s="1543">
        <v>43</v>
      </c>
      <c r="AC88" s="1544">
        <v>44</v>
      </c>
      <c r="AD88" s="1543">
        <v>45</v>
      </c>
      <c r="AE88" s="1543">
        <v>45</v>
      </c>
      <c r="AF88" s="1543">
        <v>46</v>
      </c>
      <c r="AG88" s="788">
        <v>47</v>
      </c>
      <c r="AH88" s="697"/>
      <c r="AI88" s="707"/>
      <c r="AJ88" s="709">
        <f t="shared" si="90"/>
        <v>40</v>
      </c>
      <c r="AK88" s="710">
        <f t="shared" si="91"/>
        <v>41</v>
      </c>
      <c r="AL88" s="710">
        <f t="shared" si="92"/>
        <v>42</v>
      </c>
      <c r="AM88" s="710">
        <f t="shared" si="93"/>
        <v>42</v>
      </c>
      <c r="AN88" s="710">
        <f t="shared" si="94"/>
        <v>43</v>
      </c>
      <c r="AO88" s="711">
        <f t="shared" si="95"/>
        <v>44</v>
      </c>
      <c r="AP88" s="707">
        <f t="shared" si="96"/>
        <v>45</v>
      </c>
      <c r="AQ88" s="707">
        <f t="shared" si="97"/>
        <v>45</v>
      </c>
      <c r="AR88" s="707">
        <f t="shared" si="98"/>
        <v>46</v>
      </c>
      <c r="AS88" s="712">
        <f t="shared" si="99"/>
        <v>47</v>
      </c>
      <c r="AV88" s="1559"/>
      <c r="AW88" s="1392" t="str">
        <f t="shared" si="48"/>
        <v>Qty</v>
      </c>
      <c r="AX88" s="1393" t="str">
        <f t="shared" si="36"/>
        <v>Water</v>
      </c>
      <c r="AY88" s="1394" t="str">
        <f t="shared" si="49"/>
        <v>Fixed</v>
      </c>
      <c r="AZ88" s="1395">
        <f t="shared" si="117"/>
        <v>9.3023255813953432E-2</v>
      </c>
      <c r="BA88" s="1395">
        <f t="shared" si="117"/>
        <v>-2.1276595744680882E-2</v>
      </c>
      <c r="BB88" s="1395">
        <f t="shared" si="117"/>
        <v>-2.1739130434782594E-2</v>
      </c>
      <c r="BC88" s="1395">
        <f t="shared" si="51"/>
        <v>-4.4444444444444398E-2</v>
      </c>
      <c r="BD88" s="1395">
        <f t="shared" si="52"/>
        <v>0</v>
      </c>
      <c r="BE88" s="1395">
        <f t="shared" si="53"/>
        <v>-0.11627906976744184</v>
      </c>
      <c r="BF88" s="1395">
        <f t="shared" si="54"/>
        <v>2.6315789473684292E-2</v>
      </c>
      <c r="BG88" s="1396">
        <f t="shared" si="55"/>
        <v>2.564102564102555E-2</v>
      </c>
      <c r="BH88" s="1395">
        <f t="shared" si="56"/>
        <v>0</v>
      </c>
      <c r="BI88" s="1395">
        <f t="shared" si="57"/>
        <v>2.4999999999999911E-2</v>
      </c>
      <c r="BJ88" s="1395">
        <f t="shared" si="58"/>
        <v>2.4390243902439046E-2</v>
      </c>
      <c r="BK88" s="1395">
        <f t="shared" si="59"/>
        <v>0</v>
      </c>
      <c r="BL88" s="1397">
        <f t="shared" si="60"/>
        <v>2.3809523809523725E-2</v>
      </c>
      <c r="BM88" s="1395">
        <f t="shared" si="61"/>
        <v>2.3255813953488413E-2</v>
      </c>
      <c r="BN88" s="1395">
        <f t="shared" si="62"/>
        <v>2.2727272727272707E-2</v>
      </c>
      <c r="BO88" s="1395">
        <f t="shared" si="63"/>
        <v>0</v>
      </c>
      <c r="BP88" s="1395">
        <f t="shared" si="64"/>
        <v>2.2222222222222143E-2</v>
      </c>
      <c r="BQ88" s="1398">
        <f t="shared" si="65"/>
        <v>2.1739130434782705E-2</v>
      </c>
      <c r="BR88" s="1378"/>
      <c r="BS88" s="1329"/>
      <c r="BT88" s="1399"/>
      <c r="BU88" s="1331"/>
      <c r="BV88" s="1400"/>
      <c r="BW88" s="1378"/>
      <c r="BX88" s="1392" t="str">
        <f t="shared" si="66"/>
        <v>Qty</v>
      </c>
      <c r="BY88" s="1393" t="str">
        <f t="shared" si="67"/>
        <v>Water</v>
      </c>
      <c r="BZ88" s="1394" t="str">
        <f t="shared" si="68"/>
        <v>Fixed</v>
      </c>
      <c r="CA88" s="1401">
        <f t="shared" ref="CA88:CR88" si="126">IFERROR((P88/O88-1)*(O89/O$13),"-")</f>
        <v>2.2000985718219706E-4</v>
      </c>
      <c r="CB88" s="1395">
        <f t="shared" si="126"/>
        <v>-5.3852688135001806E-5</v>
      </c>
      <c r="CC88" s="1395">
        <f t="shared" si="126"/>
        <v>-5.4103803580925285E-5</v>
      </c>
      <c r="CD88" s="1395">
        <f t="shared" si="126"/>
        <v>-1.0785152510854564E-4</v>
      </c>
      <c r="CE88" s="1395">
        <f t="shared" si="126"/>
        <v>0</v>
      </c>
      <c r="CF88" s="1395">
        <f t="shared" si="126"/>
        <v>-2.5928218037022863E-4</v>
      </c>
      <c r="CG88" s="1395">
        <f t="shared" si="126"/>
        <v>5.0193550906158493E-5</v>
      </c>
      <c r="CH88" s="1397">
        <f t="shared" si="126"/>
        <v>4.800079824635852E-5</v>
      </c>
      <c r="CI88" s="1395">
        <f t="shared" si="126"/>
        <v>0</v>
      </c>
      <c r="CJ88" s="1395">
        <f t="shared" si="126"/>
        <v>4.8387414730952566E-5</v>
      </c>
      <c r="CK88" s="1395">
        <f t="shared" si="126"/>
        <v>4.7982960968311973E-5</v>
      </c>
      <c r="CL88" s="1395">
        <f t="shared" si="126"/>
        <v>0</v>
      </c>
      <c r="CM88" s="1397">
        <f t="shared" si="126"/>
        <v>4.715680977910514E-5</v>
      </c>
      <c r="CN88" s="1395">
        <f t="shared" si="126"/>
        <v>4.6744658931224531E-5</v>
      </c>
      <c r="CO88" s="1395">
        <f t="shared" si="126"/>
        <v>4.6213747257067272E-5</v>
      </c>
      <c r="CP88" s="1395">
        <f t="shared" si="126"/>
        <v>0</v>
      </c>
      <c r="CQ88" s="1395">
        <f t="shared" si="126"/>
        <v>4.515194031633987E-5</v>
      </c>
      <c r="CR88" s="1398">
        <f t="shared" si="126"/>
        <v>4.4610948497367075E-5</v>
      </c>
      <c r="CS88" s="1378"/>
      <c r="CT88" s="1392" t="str">
        <f t="shared" si="39"/>
        <v>Qty</v>
      </c>
      <c r="CU88" s="1393" t="str">
        <f t="shared" si="40"/>
        <v>Water</v>
      </c>
      <c r="CV88" s="1393" t="str">
        <f t="shared" si="41"/>
        <v>Fixed</v>
      </c>
      <c r="CW88" s="1401">
        <f t="shared" si="70"/>
        <v>1.2422836565829209E-2</v>
      </c>
      <c r="CX88" s="1395">
        <f t="shared" si="71"/>
        <v>1.6396356814853519E-2</v>
      </c>
      <c r="CY88" s="1395">
        <f t="shared" si="72"/>
        <v>1.2272234429039353E-2</v>
      </c>
      <c r="CZ88" s="1398">
        <f t="shared" si="73"/>
        <v>1.4569244049656316E-2</v>
      </c>
      <c r="DA88" s="1395">
        <f t="shared" si="74"/>
        <v>1.6011867773387367E-2</v>
      </c>
      <c r="DB88" s="1395">
        <f t="shared" si="75"/>
        <v>1.6968504897215686E-2</v>
      </c>
      <c r="DC88" s="1395">
        <f t="shared" si="76"/>
        <v>1.4831794906702278E-2</v>
      </c>
      <c r="DD88" s="1395">
        <f t="shared" si="77"/>
        <v>1.5650307834140342E-2</v>
      </c>
      <c r="DE88" s="1398">
        <f t="shared" si="78"/>
        <v>1.6257553692097249E-2</v>
      </c>
      <c r="DF88" s="1378"/>
      <c r="DG88" s="1392" t="str">
        <f t="shared" si="43"/>
        <v>Qty</v>
      </c>
      <c r="DH88" s="1393" t="str">
        <f t="shared" si="44"/>
        <v>Water</v>
      </c>
      <c r="DI88" s="1393" t="str">
        <f t="shared" si="45"/>
        <v>Fixed</v>
      </c>
      <c r="DJ88" s="1393"/>
      <c r="DK88" s="1401">
        <f t="shared" si="79"/>
        <v>2.4695076595959931E-2</v>
      </c>
      <c r="DL88" s="1395">
        <f t="shared" si="80"/>
        <v>1.6396356814853519E-2</v>
      </c>
      <c r="DM88" s="1395">
        <f t="shared" si="81"/>
        <v>1.8244601098569957E-2</v>
      </c>
      <c r="DN88" s="1397">
        <f t="shared" si="82"/>
        <v>1.9244876491456564E-2</v>
      </c>
      <c r="DO88" s="1395">
        <f t="shared" si="83"/>
        <v>1.982445132775279E-2</v>
      </c>
      <c r="DP88" s="1395">
        <f t="shared" si="84"/>
        <v>1.6968504897215686E-2</v>
      </c>
      <c r="DQ88" s="1395">
        <f t="shared" si="85"/>
        <v>1.7623740063891224E-2</v>
      </c>
      <c r="DR88" s="1398">
        <f t="shared" si="86"/>
        <v>1.8080185864662868E-2</v>
      </c>
    </row>
    <row r="89" spans="4:122" ht="12.75" thickBot="1">
      <c r="E89" s="743" t="s">
        <v>46</v>
      </c>
      <c r="F89" s="732" t="str">
        <f>+F87</f>
        <v>Water</v>
      </c>
      <c r="G89" s="733" t="str">
        <f>+G87</f>
        <v>Fixed tariff group - 1 -80mm</v>
      </c>
      <c r="H89" s="733">
        <f>+H87</f>
        <v>0</v>
      </c>
      <c r="I89" s="734" t="str">
        <f>+I87</f>
        <v>Fixed</v>
      </c>
      <c r="J89" s="735" t="s">
        <v>344</v>
      </c>
      <c r="K89" s="736">
        <f t="shared" ref="K89:AG89" si="127">K87*K88/10^6</f>
        <v>0</v>
      </c>
      <c r="L89" s="737">
        <f t="shared" si="127"/>
        <v>0</v>
      </c>
      <c r="M89" s="737">
        <f t="shared" si="127"/>
        <v>0</v>
      </c>
      <c r="N89" s="738">
        <f t="shared" si="127"/>
        <v>0</v>
      </c>
      <c r="O89" s="1923">
        <f t="shared" si="127"/>
        <v>0.17833559470588234</v>
      </c>
      <c r="P89" s="737">
        <f t="shared" si="127"/>
        <v>0.19580174371225573</v>
      </c>
      <c r="Q89" s="737">
        <f t="shared" si="127"/>
        <v>0.18911643607361964</v>
      </c>
      <c r="R89" s="737">
        <f t="shared" si="127"/>
        <v>0.18103854519725557</v>
      </c>
      <c r="S89" s="737">
        <f t="shared" si="127"/>
        <v>0.16894968394402032</v>
      </c>
      <c r="T89" s="1531">
        <f t="shared" si="127"/>
        <v>0.16642951033898304</v>
      </c>
      <c r="U89" s="737">
        <f t="shared" si="127"/>
        <v>0.14956649805429864</v>
      </c>
      <c r="V89" s="737">
        <f t="shared" si="127"/>
        <v>0.15377898661572054</v>
      </c>
      <c r="W89" s="737">
        <f t="shared" si="127"/>
        <v>0.15920079999999998</v>
      </c>
      <c r="X89" s="738">
        <f t="shared" si="127"/>
        <v>0.16796786084010482</v>
      </c>
      <c r="Y89" s="737">
        <f t="shared" si="127"/>
        <v>0.18163068802176602</v>
      </c>
      <c r="Z89" s="737">
        <f t="shared" si="127"/>
        <v>0.19626996007448075</v>
      </c>
      <c r="AA89" s="737">
        <f t="shared" si="127"/>
        <v>0.20702105785113561</v>
      </c>
      <c r="AB89" s="737">
        <f t="shared" si="127"/>
        <v>0.22354111790933964</v>
      </c>
      <c r="AC89" s="738">
        <f t="shared" si="127"/>
        <v>0.23239958453532836</v>
      </c>
      <c r="AD89" s="737">
        <f t="shared" si="127"/>
        <v>0.24148429556716391</v>
      </c>
      <c r="AE89" s="737">
        <f t="shared" si="127"/>
        <v>0.24534804429623852</v>
      </c>
      <c r="AF89" s="737">
        <f t="shared" si="127"/>
        <v>0.2548130266273112</v>
      </c>
      <c r="AG89" s="739">
        <f t="shared" si="127"/>
        <v>0.26451807929363835</v>
      </c>
      <c r="AH89" s="697"/>
      <c r="AI89" s="707"/>
      <c r="AJ89" s="709">
        <f t="shared" si="90"/>
        <v>0.16796786084010482</v>
      </c>
      <c r="AK89" s="710">
        <f t="shared" si="91"/>
        <v>0.18163068802176602</v>
      </c>
      <c r="AL89" s="710">
        <f t="shared" si="92"/>
        <v>0.19626996007448075</v>
      </c>
      <c r="AM89" s="710">
        <f t="shared" si="93"/>
        <v>0.20702105785113561</v>
      </c>
      <c r="AN89" s="710">
        <f t="shared" si="94"/>
        <v>0.22354111790933964</v>
      </c>
      <c r="AO89" s="711">
        <f t="shared" si="95"/>
        <v>0.23239958453532836</v>
      </c>
      <c r="AP89" s="707">
        <f t="shared" si="96"/>
        <v>0.24148429556716391</v>
      </c>
      <c r="AQ89" s="707">
        <f t="shared" si="97"/>
        <v>0.24534804429623852</v>
      </c>
      <c r="AR89" s="707">
        <f t="shared" si="98"/>
        <v>0.2548130266273112</v>
      </c>
      <c r="AS89" s="712">
        <f t="shared" si="99"/>
        <v>0.26451807929363835</v>
      </c>
      <c r="AV89" s="1559"/>
      <c r="AW89" s="1428" t="str">
        <f t="shared" si="48"/>
        <v>Rev</v>
      </c>
      <c r="AX89" s="1429" t="str">
        <f t="shared" si="36"/>
        <v>Water</v>
      </c>
      <c r="AY89" s="1430" t="str">
        <f t="shared" si="49"/>
        <v>Fixed</v>
      </c>
      <c r="AZ89" s="1431">
        <f t="shared" si="117"/>
        <v>9.7939780531077991E-2</v>
      </c>
      <c r="BA89" s="1431">
        <f t="shared" si="117"/>
        <v>-3.414324873664365E-2</v>
      </c>
      <c r="BB89" s="1431">
        <f t="shared" si="117"/>
        <v>-4.2713848907450225E-2</v>
      </c>
      <c r="BC89" s="1431">
        <f t="shared" si="51"/>
        <v>-6.6775068480933064E-2</v>
      </c>
      <c r="BD89" s="1431">
        <f t="shared" si="52"/>
        <v>-1.4916710976933922E-2</v>
      </c>
      <c r="BE89" s="1431">
        <f t="shared" si="53"/>
        <v>-0.10132224898299513</v>
      </c>
      <c r="BF89" s="1431">
        <f t="shared" si="54"/>
        <v>2.8164653289485919E-2</v>
      </c>
      <c r="BG89" s="1432">
        <f t="shared" si="55"/>
        <v>3.5257179824107254E-2</v>
      </c>
      <c r="BH89" s="1431">
        <f t="shared" si="56"/>
        <v>5.5069200909196647E-2</v>
      </c>
      <c r="BI89" s="1431">
        <f t="shared" si="57"/>
        <v>8.134191334774088E-2</v>
      </c>
      <c r="BJ89" s="1431">
        <f t="shared" si="58"/>
        <v>8.0599111373516497E-2</v>
      </c>
      <c r="BK89" s="1431">
        <f t="shared" si="59"/>
        <v>5.4777092595194032E-2</v>
      </c>
      <c r="BL89" s="1433">
        <f t="shared" si="60"/>
        <v>7.9798935575352115E-2</v>
      </c>
      <c r="BM89" s="1431">
        <f t="shared" si="61"/>
        <v>3.9627906976744232E-2</v>
      </c>
      <c r="BN89" s="1431">
        <f t="shared" si="62"/>
        <v>3.9090909090909065E-2</v>
      </c>
      <c r="BO89" s="1431">
        <f t="shared" si="63"/>
        <v>1.6000000000000014E-2</v>
      </c>
      <c r="BP89" s="1431">
        <f t="shared" si="64"/>
        <v>3.8577777777777822E-2</v>
      </c>
      <c r="BQ89" s="1434">
        <f t="shared" si="65"/>
        <v>3.8086956521739213E-2</v>
      </c>
      <c r="BR89" s="1378"/>
      <c r="BS89" s="1407"/>
      <c r="BT89" s="1408"/>
      <c r="BU89" s="1409"/>
      <c r="BV89" s="1410"/>
      <c r="BW89" s="1378"/>
      <c r="BX89" s="1428" t="str">
        <f t="shared" si="66"/>
        <v>Rev</v>
      </c>
      <c r="BY89" s="1429" t="str">
        <f t="shared" si="67"/>
        <v>Water</v>
      </c>
      <c r="BZ89" s="1430" t="str">
        <f t="shared" si="68"/>
        <v>Fixed</v>
      </c>
      <c r="CA89" s="1435">
        <f t="shared" ref="CA89:CR89" si="128">IFERROR((P89/O89-1)*(O89/O$13),"-")</f>
        <v>2.3163795911630572E-4</v>
      </c>
      <c r="CB89" s="1431">
        <f t="shared" si="128"/>
        <v>-8.6419169128122328E-5</v>
      </c>
      <c r="CC89" s="1431">
        <f t="shared" si="128"/>
        <v>-1.063051578078044E-4</v>
      </c>
      <c r="CD89" s="1431">
        <f t="shared" si="128"/>
        <v>-1.6204034193516482E-4</v>
      </c>
      <c r="CE89" s="1431">
        <f t="shared" si="128"/>
        <v>-3.4963356564956479E-5</v>
      </c>
      <c r="CF89" s="1431">
        <f t="shared" si="128"/>
        <v>-2.25931061272405E-4</v>
      </c>
      <c r="CG89" s="1431">
        <f t="shared" si="128"/>
        <v>5.3719990428324226E-5</v>
      </c>
      <c r="CH89" s="1433">
        <f t="shared" si="128"/>
        <v>6.6002538243429857E-5</v>
      </c>
      <c r="CI89" s="1431">
        <f t="shared" si="128"/>
        <v>1.0867415431850288E-4</v>
      </c>
      <c r="CJ89" s="1431">
        <f t="shared" si="128"/>
        <v>1.5743699584665433E-4</v>
      </c>
      <c r="CK89" s="1431">
        <f t="shared" si="128"/>
        <v>1.5856274461975881E-4</v>
      </c>
      <c r="CL89" s="1431">
        <f t="shared" si="128"/>
        <v>1.0945393807585741E-4</v>
      </c>
      <c r="CM89" s="1433">
        <f t="shared" si="128"/>
        <v>1.5804865547108227E-4</v>
      </c>
      <c r="CN89" s="1431">
        <f t="shared" si="128"/>
        <v>7.9652898818806549E-5</v>
      </c>
      <c r="CO89" s="1431">
        <f t="shared" si="128"/>
        <v>7.9487645282155718E-5</v>
      </c>
      <c r="CP89" s="1431">
        <f t="shared" si="128"/>
        <v>3.2887531770710086E-5</v>
      </c>
      <c r="CQ89" s="1431">
        <f t="shared" si="128"/>
        <v>7.838376838916638E-5</v>
      </c>
      <c r="CR89" s="1434">
        <f t="shared" si="128"/>
        <v>7.8158381767386942E-5</v>
      </c>
      <c r="CS89" s="1378"/>
      <c r="CT89" s="1428" t="str">
        <f t="shared" si="39"/>
        <v>Rev</v>
      </c>
      <c r="CU89" s="1429" t="str">
        <f t="shared" si="40"/>
        <v>Water</v>
      </c>
      <c r="CV89" s="1429" t="str">
        <f t="shared" si="41"/>
        <v>Fixed</v>
      </c>
      <c r="CW89" s="1435">
        <f t="shared" si="70"/>
        <v>6.8124781299180759E-2</v>
      </c>
      <c r="CX89" s="1431">
        <f t="shared" si="71"/>
        <v>7.2266808404182648E-2</v>
      </c>
      <c r="CY89" s="1431">
        <f t="shared" si="72"/>
        <v>6.7867377631277259E-2</v>
      </c>
      <c r="CZ89" s="1434">
        <f t="shared" si="73"/>
        <v>7.0243095014053569E-2</v>
      </c>
      <c r="DA89" s="1431">
        <f t="shared" si="74"/>
        <v>6.507866092412451E-2</v>
      </c>
      <c r="DB89" s="1431">
        <f t="shared" si="75"/>
        <v>6.132670586550093E-2</v>
      </c>
      <c r="DC89" s="1431">
        <f t="shared" si="76"/>
        <v>5.555208842298498E-2</v>
      </c>
      <c r="DD89" s="1431">
        <f t="shared" si="77"/>
        <v>5.3652436138678761E-2</v>
      </c>
      <c r="DE89" s="1434">
        <f t="shared" si="78"/>
        <v>5.2085442701706786E-2</v>
      </c>
      <c r="DF89" s="1378"/>
      <c r="DG89" s="1428" t="str">
        <f t="shared" si="43"/>
        <v>Rev</v>
      </c>
      <c r="DH89" s="1429" t="str">
        <f t="shared" si="44"/>
        <v>Water</v>
      </c>
      <c r="DI89" s="1429" t="str">
        <f t="shared" si="45"/>
        <v>Fixed</v>
      </c>
      <c r="DJ89" s="1429"/>
      <c r="DK89" s="1435">
        <f t="shared" si="79"/>
        <v>8.097044855745561E-2</v>
      </c>
      <c r="DL89" s="1431">
        <f t="shared" si="80"/>
        <v>7.21678427123984E-2</v>
      </c>
      <c r="DM89" s="1431">
        <f t="shared" si="81"/>
        <v>7.4070545041362346E-2</v>
      </c>
      <c r="DN89" s="1433">
        <f t="shared" si="82"/>
        <v>6.7091919411893741E-2</v>
      </c>
      <c r="DO89" s="1431">
        <f t="shared" si="83"/>
        <v>6.2373225600061755E-2</v>
      </c>
      <c r="DP89" s="1431">
        <f t="shared" si="84"/>
        <v>5.5621090392761863E-2</v>
      </c>
      <c r="DQ89" s="1431">
        <f t="shared" si="85"/>
        <v>5.347547436120359E-2</v>
      </c>
      <c r="DR89" s="1434">
        <f t="shared" si="86"/>
        <v>5.1754435321362369E-2</v>
      </c>
    </row>
    <row r="90" spans="4:122">
      <c r="D90" s="70">
        <f>D87+1</f>
        <v>9</v>
      </c>
      <c r="E90" s="713" t="s">
        <v>44</v>
      </c>
      <c r="F90" s="1532" t="s">
        <v>20</v>
      </c>
      <c r="G90" s="1532" t="s">
        <v>871</v>
      </c>
      <c r="H90" s="1532"/>
      <c r="I90" s="781" t="s">
        <v>319</v>
      </c>
      <c r="J90" s="781" t="s">
        <v>345</v>
      </c>
      <c r="K90" s="1533"/>
      <c r="L90" s="1534"/>
      <c r="M90" s="1534"/>
      <c r="N90" s="1535"/>
      <c r="O90" s="2071">
        <v>6481.1131221719452</v>
      </c>
      <c r="P90" s="1547">
        <v>6510.2739698046171</v>
      </c>
      <c r="Q90" s="1547">
        <v>6424.6875460122692</v>
      </c>
      <c r="R90" s="1547">
        <v>6286.9369554030864</v>
      </c>
      <c r="S90" s="1547">
        <v>6140.0334351145038</v>
      </c>
      <c r="T90" s="1547">
        <v>6048.4533898305081</v>
      </c>
      <c r="U90" s="1547">
        <v>6150.8182805429869</v>
      </c>
      <c r="V90" s="1547">
        <v>6161.8919868995627</v>
      </c>
      <c r="W90" s="1547">
        <v>6219.66</v>
      </c>
      <c r="X90" s="1550">
        <v>6556.4176210026199</v>
      </c>
      <c r="Y90" s="1551">
        <v>6910.9919887686838</v>
      </c>
      <c r="Z90" s="1551">
        <v>7284.3206936445122</v>
      </c>
      <c r="AA90" s="1551">
        <v>7677.3885984595327</v>
      </c>
      <c r="AB90" s="1551">
        <v>8091.2330206397301</v>
      </c>
      <c r="AC90" s="1550">
        <v>8220.6927489699665</v>
      </c>
      <c r="AD90" s="1551">
        <v>8352.2238329534866</v>
      </c>
      <c r="AE90" s="1551">
        <v>8485.8594142807433</v>
      </c>
      <c r="AF90" s="1551">
        <v>8621.6331649092353</v>
      </c>
      <c r="AG90" s="1552">
        <v>8759.5792955477827</v>
      </c>
      <c r="AH90" s="697"/>
      <c r="AI90" s="707"/>
      <c r="AJ90" s="709">
        <f t="shared" si="90"/>
        <v>6556.4176210026199</v>
      </c>
      <c r="AK90" s="710">
        <f t="shared" si="91"/>
        <v>6910.9919887686838</v>
      </c>
      <c r="AL90" s="710">
        <f t="shared" si="92"/>
        <v>7284.3206936445122</v>
      </c>
      <c r="AM90" s="710">
        <f t="shared" si="93"/>
        <v>7677.3885984595327</v>
      </c>
      <c r="AN90" s="710">
        <f t="shared" si="94"/>
        <v>8091.2330206397301</v>
      </c>
      <c r="AO90" s="711">
        <f t="shared" si="95"/>
        <v>8220.6927489699665</v>
      </c>
      <c r="AP90" s="707">
        <f t="shared" si="96"/>
        <v>8352.2238329534866</v>
      </c>
      <c r="AQ90" s="707">
        <f t="shared" si="97"/>
        <v>8485.8594142807433</v>
      </c>
      <c r="AR90" s="707">
        <f t="shared" si="98"/>
        <v>8621.6331649092353</v>
      </c>
      <c r="AS90" s="712">
        <f t="shared" si="99"/>
        <v>8759.5792955477827</v>
      </c>
      <c r="AU90" s="1369"/>
      <c r="AV90" s="1559"/>
      <c r="AW90" s="1412" t="str">
        <f t="shared" si="48"/>
        <v>Price</v>
      </c>
      <c r="AX90" s="1413" t="str">
        <f t="shared" si="36"/>
        <v>Water</v>
      </c>
      <c r="AY90" s="1414" t="str">
        <f t="shared" si="49"/>
        <v>Fixed</v>
      </c>
      <c r="AZ90" s="1415">
        <f t="shared" si="117"/>
        <v>4.4993579162986297E-3</v>
      </c>
      <c r="BA90" s="1415">
        <f t="shared" si="117"/>
        <v>-1.3146362839614345E-2</v>
      </c>
      <c r="BB90" s="1415">
        <f t="shared" si="117"/>
        <v>-2.1440823327615877E-2</v>
      </c>
      <c r="BC90" s="1415">
        <f t="shared" si="51"/>
        <v>-2.3366469447785976E-2</v>
      </c>
      <c r="BD90" s="1415">
        <f t="shared" si="52"/>
        <v>-1.4915235601202892E-2</v>
      </c>
      <c r="BE90" s="1415">
        <f t="shared" si="53"/>
        <v>1.692414310153878E-2</v>
      </c>
      <c r="BF90" s="1415">
        <f t="shared" si="54"/>
        <v>1.8003631145477872E-3</v>
      </c>
      <c r="BG90" s="1416">
        <f t="shared" si="55"/>
        <v>9.375044746525063E-3</v>
      </c>
      <c r="BH90" s="1417">
        <f t="shared" si="56"/>
        <v>5.4144056267162455E-2</v>
      </c>
      <c r="BI90" s="1417">
        <f t="shared" si="57"/>
        <v>5.4080503754097675E-2</v>
      </c>
      <c r="BJ90" s="1417">
        <f t="shared" si="58"/>
        <v>5.4019553992037395E-2</v>
      </c>
      <c r="BK90" s="1417">
        <f t="shared" si="59"/>
        <v>5.3960818221247209E-2</v>
      </c>
      <c r="BL90" s="1418">
        <f t="shared" si="60"/>
        <v>5.3904321355211282E-2</v>
      </c>
      <c r="BM90" s="1417">
        <f t="shared" si="61"/>
        <v>1.6000000000000014E-2</v>
      </c>
      <c r="BN90" s="1417">
        <f t="shared" si="62"/>
        <v>1.6000000000000014E-2</v>
      </c>
      <c r="BO90" s="1417">
        <f t="shared" si="63"/>
        <v>1.6000000000000014E-2</v>
      </c>
      <c r="BP90" s="1417">
        <f t="shared" si="64"/>
        <v>1.6000000000000014E-2</v>
      </c>
      <c r="BQ90" s="1419">
        <f t="shared" si="65"/>
        <v>1.6000000000000014E-2</v>
      </c>
      <c r="BR90" s="1378"/>
      <c r="BS90" s="1420"/>
      <c r="BT90" s="1421"/>
      <c r="BU90" s="1422"/>
      <c r="BV90" s="1423"/>
      <c r="BW90" s="1378"/>
      <c r="BX90" s="1412" t="str">
        <f t="shared" si="66"/>
        <v>Price</v>
      </c>
      <c r="BY90" s="1413" t="str">
        <f t="shared" si="67"/>
        <v>Water</v>
      </c>
      <c r="BZ90" s="1414" t="str">
        <f t="shared" si="68"/>
        <v>Fixed</v>
      </c>
      <c r="CA90" s="1424">
        <f t="shared" ref="CA90:CR90" si="129">IFERROR((P90/O90-1)*(O92/O$13),"-")</f>
        <v>1.546937273755931E-5</v>
      </c>
      <c r="CB90" s="1415">
        <f t="shared" si="129"/>
        <v>-4.7573162732495326E-5</v>
      </c>
      <c r="CC90" s="1415">
        <f t="shared" si="129"/>
        <v>-7.4324788286341234E-5</v>
      </c>
      <c r="CD90" s="1415">
        <f t="shared" si="129"/>
        <v>-8.0733506868523676E-5</v>
      </c>
      <c r="CE90" s="1415">
        <f t="shared" si="129"/>
        <v>-5.3362086796785276E-5</v>
      </c>
      <c r="CF90" s="1415">
        <f t="shared" si="129"/>
        <v>5.7602469607508277E-5</v>
      </c>
      <c r="CG90" s="1415">
        <f t="shared" si="129"/>
        <v>5.50750375733737E-6</v>
      </c>
      <c r="CH90" s="1425">
        <f t="shared" si="129"/>
        <v>2.812959593898171E-5</v>
      </c>
      <c r="CI90" s="1417">
        <f t="shared" si="129"/>
        <v>1.7114867387707692E-4</v>
      </c>
      <c r="CJ90" s="1417">
        <f t="shared" si="129"/>
        <v>1.6751643151499451E-4</v>
      </c>
      <c r="CK90" s="1417">
        <f t="shared" si="129"/>
        <v>1.6983310391706911E-4</v>
      </c>
      <c r="CL90" s="1417">
        <f t="shared" si="129"/>
        <v>1.7207374849533856E-4</v>
      </c>
      <c r="CM90" s="1418">
        <f t="shared" si="129"/>
        <v>1.7420834959745976E-4</v>
      </c>
      <c r="CN90" s="1417">
        <f t="shared" si="129"/>
        <v>5.1218918058348564E-5</v>
      </c>
      <c r="CO90" s="1417">
        <f t="shared" si="129"/>
        <v>5.1788034311490348E-5</v>
      </c>
      <c r="CP90" s="1417">
        <f t="shared" si="129"/>
        <v>5.2324169556414627E-5</v>
      </c>
      <c r="CQ90" s="1417">
        <f t="shared" si="129"/>
        <v>5.2846959346108286E-5</v>
      </c>
      <c r="CR90" s="1419">
        <f t="shared" si="129"/>
        <v>5.2213769001163017E-5</v>
      </c>
      <c r="CS90" s="1378"/>
      <c r="CT90" s="1412" t="str">
        <f t="shared" si="39"/>
        <v>Price</v>
      </c>
      <c r="CU90" s="1413" t="str">
        <f t="shared" si="40"/>
        <v>Water</v>
      </c>
      <c r="CV90" s="1426" t="str">
        <f t="shared" si="41"/>
        <v>Fixed</v>
      </c>
      <c r="CW90" s="1427">
        <f t="shared" si="70"/>
        <v>5.411227953168174E-2</v>
      </c>
      <c r="CX90" s="1417">
        <f t="shared" si="71"/>
        <v>5.4081370112128324E-2</v>
      </c>
      <c r="CY90" s="1417">
        <f t="shared" si="72"/>
        <v>5.4051230846778209E-2</v>
      </c>
      <c r="CZ90" s="1419">
        <f t="shared" si="73"/>
        <v>5.4021847310274707E-2</v>
      </c>
      <c r="DA90" s="1417">
        <f t="shared" si="74"/>
        <v>4.758747021345977E-2</v>
      </c>
      <c r="DB90" s="1417">
        <f t="shared" si="75"/>
        <v>4.3015549114560514E-2</v>
      </c>
      <c r="DC90" s="1417">
        <f t="shared" si="76"/>
        <v>3.9599707183815891E-2</v>
      </c>
      <c r="DD90" s="1417">
        <f t="shared" si="77"/>
        <v>3.6950677179669711E-2</v>
      </c>
      <c r="DE90" s="1419">
        <f t="shared" si="78"/>
        <v>3.4836314045481931E-2</v>
      </c>
      <c r="DF90" s="1378"/>
      <c r="DG90" s="1412" t="str">
        <f t="shared" si="43"/>
        <v>Price</v>
      </c>
      <c r="DH90" s="1413" t="str">
        <f t="shared" si="44"/>
        <v>Water</v>
      </c>
      <c r="DI90" s="1426" t="str">
        <f t="shared" si="45"/>
        <v>Fixed</v>
      </c>
      <c r="DJ90" s="1426"/>
      <c r="DK90" s="1427">
        <f t="shared" si="79"/>
        <v>5.4050028432520048E-2</v>
      </c>
      <c r="DL90" s="1417">
        <f t="shared" si="80"/>
        <v>5.4020290856460207E-2</v>
      </c>
      <c r="DM90" s="1417">
        <f t="shared" si="81"/>
        <v>5.3991297284854411E-2</v>
      </c>
      <c r="DN90" s="1418">
        <f t="shared" si="82"/>
        <v>4.6281054836325275E-2</v>
      </c>
      <c r="DO90" s="1417">
        <f t="shared" si="83"/>
        <v>4.1172253507491652E-2</v>
      </c>
      <c r="DP90" s="1417">
        <f t="shared" si="84"/>
        <v>3.753838948015864E-2</v>
      </c>
      <c r="DQ90" s="1417">
        <f t="shared" si="85"/>
        <v>3.4821316963181026E-2</v>
      </c>
      <c r="DR90" s="1419">
        <f t="shared" si="86"/>
        <v>3.2712958571049944E-2</v>
      </c>
    </row>
    <row r="91" spans="4:122">
      <c r="E91" s="742" t="s">
        <v>45</v>
      </c>
      <c r="F91" s="722" t="str">
        <f>+F90</f>
        <v>Water</v>
      </c>
      <c r="G91" s="723" t="str">
        <f>+G90</f>
        <v>Fixed tariff group - 1 -100mm</v>
      </c>
      <c r="H91" s="723">
        <f>+H90</f>
        <v>0</v>
      </c>
      <c r="I91" s="724" t="str">
        <f>+I90</f>
        <v>Fixed</v>
      </c>
      <c r="J91" s="782" t="s">
        <v>323</v>
      </c>
      <c r="K91" s="1540"/>
      <c r="L91" s="1541"/>
      <c r="M91" s="1541"/>
      <c r="N91" s="1542"/>
      <c r="O91" s="2031">
        <v>40</v>
      </c>
      <c r="P91" s="1543">
        <v>43</v>
      </c>
      <c r="Q91" s="1543">
        <v>41</v>
      </c>
      <c r="R91" s="1543">
        <v>41</v>
      </c>
      <c r="S91" s="1543">
        <v>42</v>
      </c>
      <c r="T91" s="1543">
        <v>42</v>
      </c>
      <c r="U91" s="1543">
        <v>39</v>
      </c>
      <c r="V91" s="1543">
        <v>40</v>
      </c>
      <c r="W91" s="1543">
        <v>41</v>
      </c>
      <c r="X91" s="1544">
        <v>41</v>
      </c>
      <c r="Y91" s="1543">
        <v>42</v>
      </c>
      <c r="Z91" s="1543">
        <v>43</v>
      </c>
      <c r="AA91" s="1543">
        <v>44</v>
      </c>
      <c r="AB91" s="1543">
        <v>44</v>
      </c>
      <c r="AC91" s="1544">
        <v>45</v>
      </c>
      <c r="AD91" s="1543">
        <v>46</v>
      </c>
      <c r="AE91" s="1543">
        <v>47</v>
      </c>
      <c r="AF91" s="1543">
        <v>47</v>
      </c>
      <c r="AG91" s="788">
        <v>48</v>
      </c>
      <c r="AH91" s="697"/>
      <c r="AI91" s="707"/>
      <c r="AJ91" s="709">
        <f t="shared" si="90"/>
        <v>41</v>
      </c>
      <c r="AK91" s="710">
        <f t="shared" si="91"/>
        <v>42</v>
      </c>
      <c r="AL91" s="710">
        <f t="shared" si="92"/>
        <v>43</v>
      </c>
      <c r="AM91" s="710">
        <f t="shared" si="93"/>
        <v>44</v>
      </c>
      <c r="AN91" s="710">
        <f t="shared" si="94"/>
        <v>44</v>
      </c>
      <c r="AO91" s="711">
        <f t="shared" si="95"/>
        <v>45</v>
      </c>
      <c r="AP91" s="707">
        <f t="shared" si="96"/>
        <v>46</v>
      </c>
      <c r="AQ91" s="707">
        <f t="shared" si="97"/>
        <v>47</v>
      </c>
      <c r="AR91" s="707">
        <f t="shared" si="98"/>
        <v>47</v>
      </c>
      <c r="AS91" s="712">
        <f t="shared" si="99"/>
        <v>48</v>
      </c>
      <c r="AV91" s="1559"/>
      <c r="AW91" s="1392" t="str">
        <f t="shared" si="48"/>
        <v>Qty</v>
      </c>
      <c r="AX91" s="1393" t="str">
        <f t="shared" si="36"/>
        <v>Water</v>
      </c>
      <c r="AY91" s="1394" t="str">
        <f t="shared" si="49"/>
        <v>Fixed</v>
      </c>
      <c r="AZ91" s="1395">
        <f t="shared" si="117"/>
        <v>7.4999999999999956E-2</v>
      </c>
      <c r="BA91" s="1395">
        <f t="shared" si="117"/>
        <v>-4.6511627906976716E-2</v>
      </c>
      <c r="BB91" s="1395">
        <f t="shared" si="117"/>
        <v>0</v>
      </c>
      <c r="BC91" s="1395">
        <f t="shared" si="51"/>
        <v>2.4390243902439046E-2</v>
      </c>
      <c r="BD91" s="1395">
        <f t="shared" si="52"/>
        <v>0</v>
      </c>
      <c r="BE91" s="1395">
        <f t="shared" si="53"/>
        <v>-7.1428571428571397E-2</v>
      </c>
      <c r="BF91" s="1395">
        <f t="shared" si="54"/>
        <v>2.564102564102555E-2</v>
      </c>
      <c r="BG91" s="1396">
        <f t="shared" si="55"/>
        <v>2.4999999999999911E-2</v>
      </c>
      <c r="BH91" s="1395">
        <f t="shared" si="56"/>
        <v>0</v>
      </c>
      <c r="BI91" s="1395">
        <f t="shared" si="57"/>
        <v>2.4390243902439046E-2</v>
      </c>
      <c r="BJ91" s="1395">
        <f t="shared" si="58"/>
        <v>2.3809523809523725E-2</v>
      </c>
      <c r="BK91" s="1395">
        <f t="shared" si="59"/>
        <v>2.3255813953488413E-2</v>
      </c>
      <c r="BL91" s="1397">
        <f t="shared" si="60"/>
        <v>0</v>
      </c>
      <c r="BM91" s="1395">
        <f t="shared" si="61"/>
        <v>2.2727272727272707E-2</v>
      </c>
      <c r="BN91" s="1395">
        <f t="shared" si="62"/>
        <v>2.2222222222222143E-2</v>
      </c>
      <c r="BO91" s="1395">
        <f t="shared" si="63"/>
        <v>2.1739130434782705E-2</v>
      </c>
      <c r="BP91" s="1395">
        <f t="shared" si="64"/>
        <v>0</v>
      </c>
      <c r="BQ91" s="1398">
        <f t="shared" si="65"/>
        <v>2.1276595744680771E-2</v>
      </c>
      <c r="BR91" s="1378"/>
      <c r="BS91" s="1329"/>
      <c r="BT91" s="1399"/>
      <c r="BU91" s="1331"/>
      <c r="BV91" s="1400"/>
      <c r="BW91" s="1378"/>
      <c r="BX91" s="1392" t="str">
        <f t="shared" si="66"/>
        <v>Qty</v>
      </c>
      <c r="BY91" s="1393" t="str">
        <f t="shared" si="67"/>
        <v>Water</v>
      </c>
      <c r="BZ91" s="1394" t="str">
        <f t="shared" si="68"/>
        <v>Fixed</v>
      </c>
      <c r="CA91" s="1401">
        <f t="shared" ref="CA91:CR91" si="130">IFERROR((P91/O91-1)*(O92/O$13),"-")</f>
        <v>2.5785967173542432E-4</v>
      </c>
      <c r="CB91" s="1395">
        <f t="shared" si="130"/>
        <v>-1.6831311217915427E-4</v>
      </c>
      <c r="CC91" s="1395">
        <f t="shared" si="130"/>
        <v>0</v>
      </c>
      <c r="CD91" s="1395">
        <f t="shared" si="130"/>
        <v>8.4270750787689402E-5</v>
      </c>
      <c r="CE91" s="1395">
        <f t="shared" si="130"/>
        <v>0</v>
      </c>
      <c r="CF91" s="1395">
        <f t="shared" si="130"/>
        <v>-2.4311199037592172E-4</v>
      </c>
      <c r="CG91" s="1395">
        <f t="shared" si="130"/>
        <v>7.8438646025806306E-5</v>
      </c>
      <c r="CH91" s="1397">
        <f t="shared" si="130"/>
        <v>7.5011897808296E-5</v>
      </c>
      <c r="CI91" s="1395">
        <f t="shared" si="130"/>
        <v>0</v>
      </c>
      <c r="CJ91" s="1395">
        <f t="shared" si="130"/>
        <v>7.5549714568022393E-5</v>
      </c>
      <c r="CK91" s="1395">
        <f t="shared" si="130"/>
        <v>7.4855215057029477E-5</v>
      </c>
      <c r="CL91" s="1395">
        <f t="shared" si="130"/>
        <v>7.4159644223320258E-5</v>
      </c>
      <c r="CM91" s="1397">
        <f t="shared" si="130"/>
        <v>0</v>
      </c>
      <c r="CN91" s="1395">
        <f t="shared" si="130"/>
        <v>7.2754144969244984E-5</v>
      </c>
      <c r="CO91" s="1395">
        <f t="shared" si="130"/>
        <v>7.1927825432625169E-5</v>
      </c>
      <c r="CP91" s="1395">
        <f t="shared" si="130"/>
        <v>7.1092621679911424E-5</v>
      </c>
      <c r="CQ91" s="1395">
        <f t="shared" si="130"/>
        <v>0</v>
      </c>
      <c r="CR91" s="1398">
        <f t="shared" si="130"/>
        <v>6.9433203458993059E-5</v>
      </c>
      <c r="CS91" s="1378"/>
      <c r="CT91" s="1392" t="str">
        <f t="shared" si="39"/>
        <v>Qty</v>
      </c>
      <c r="CU91" s="1393" t="str">
        <f t="shared" si="40"/>
        <v>Water</v>
      </c>
      <c r="CV91" s="1393" t="str">
        <f t="shared" si="41"/>
        <v>Fixed</v>
      </c>
      <c r="CW91" s="1401">
        <f t="shared" si="70"/>
        <v>1.2121654694947859E-2</v>
      </c>
      <c r="CX91" s="1395">
        <f t="shared" si="71"/>
        <v>1.6002709851850705E-2</v>
      </c>
      <c r="CY91" s="1395">
        <f t="shared" si="72"/>
        <v>1.7811151720015461E-2</v>
      </c>
      <c r="CZ91" s="1398">
        <f t="shared" si="73"/>
        <v>1.422372146612827E-2</v>
      </c>
      <c r="DA91" s="1395">
        <f t="shared" si="74"/>
        <v>1.5636054097302843E-2</v>
      </c>
      <c r="DB91" s="1395">
        <f t="shared" si="75"/>
        <v>1.6574330821192973E-2</v>
      </c>
      <c r="DC91" s="1395">
        <f t="shared" si="76"/>
        <v>1.7218500299856387E-2</v>
      </c>
      <c r="DD91" s="1395">
        <f t="shared" si="77"/>
        <v>1.5290785300895893E-2</v>
      </c>
      <c r="DE91" s="1398">
        <f t="shared" si="78"/>
        <v>1.5887784185791398E-2</v>
      </c>
      <c r="DF91" s="1378"/>
      <c r="DG91" s="1392" t="str">
        <f t="shared" si="43"/>
        <v>Qty</v>
      </c>
      <c r="DH91" s="1393" t="str">
        <f t="shared" si="44"/>
        <v>Water</v>
      </c>
      <c r="DI91" s="1393" t="str">
        <f t="shared" si="45"/>
        <v>Fixed</v>
      </c>
      <c r="DJ91" s="1393"/>
      <c r="DK91" s="1401">
        <f t="shared" si="79"/>
        <v>2.4099842693513063E-2</v>
      </c>
      <c r="DL91" s="1395">
        <f t="shared" si="80"/>
        <v>2.3818422453631971E-2</v>
      </c>
      <c r="DM91" s="1395">
        <f t="shared" si="81"/>
        <v>1.7811151720015461E-2</v>
      </c>
      <c r="DN91" s="1397">
        <f t="shared" si="82"/>
        <v>1.8792481782990533E-2</v>
      </c>
      <c r="DO91" s="1395">
        <f t="shared" si="83"/>
        <v>1.9363305019973298E-2</v>
      </c>
      <c r="DP91" s="1395">
        <f t="shared" si="84"/>
        <v>1.9702370119061952E-2</v>
      </c>
      <c r="DQ91" s="1395">
        <f t="shared" si="85"/>
        <v>1.7218500299856387E-2</v>
      </c>
      <c r="DR91" s="1398">
        <f t="shared" si="86"/>
        <v>1.7668602320475291E-2</v>
      </c>
    </row>
    <row r="92" spans="4:122" ht="12.75" thickBot="1">
      <c r="E92" s="743" t="s">
        <v>46</v>
      </c>
      <c r="F92" s="732" t="str">
        <f>+F90</f>
        <v>Water</v>
      </c>
      <c r="G92" s="733" t="str">
        <f>+G90</f>
        <v>Fixed tariff group - 1 -100mm</v>
      </c>
      <c r="H92" s="733">
        <f>+H90</f>
        <v>0</v>
      </c>
      <c r="I92" s="734" t="str">
        <f>+I90</f>
        <v>Fixed</v>
      </c>
      <c r="J92" s="735" t="s">
        <v>344</v>
      </c>
      <c r="K92" s="736">
        <f t="shared" ref="K92:AG92" si="131">K90*K91/10^6</f>
        <v>0</v>
      </c>
      <c r="L92" s="737">
        <f t="shared" si="131"/>
        <v>0</v>
      </c>
      <c r="M92" s="737">
        <f t="shared" si="131"/>
        <v>0</v>
      </c>
      <c r="N92" s="738">
        <f t="shared" si="131"/>
        <v>0</v>
      </c>
      <c r="O92" s="1923">
        <f t="shared" si="131"/>
        <v>0.25924452488687783</v>
      </c>
      <c r="P92" s="737">
        <f t="shared" si="131"/>
        <v>0.27994178070159859</v>
      </c>
      <c r="Q92" s="737">
        <f t="shared" si="131"/>
        <v>0.26341218938650302</v>
      </c>
      <c r="R92" s="737">
        <f t="shared" si="131"/>
        <v>0.25776441517152654</v>
      </c>
      <c r="S92" s="737">
        <f t="shared" si="131"/>
        <v>0.25788140427480916</v>
      </c>
      <c r="T92" s="1531">
        <f t="shared" si="131"/>
        <v>0.25403504237288133</v>
      </c>
      <c r="U92" s="737">
        <f t="shared" si="131"/>
        <v>0.2398819129411765</v>
      </c>
      <c r="V92" s="737">
        <f t="shared" si="131"/>
        <v>0.24647567947598251</v>
      </c>
      <c r="W92" s="737">
        <f t="shared" si="131"/>
        <v>0.25500605999999998</v>
      </c>
      <c r="X92" s="738">
        <f t="shared" si="131"/>
        <v>0.26881312246110745</v>
      </c>
      <c r="Y92" s="737">
        <f t="shared" si="131"/>
        <v>0.2902616635282847</v>
      </c>
      <c r="Z92" s="737">
        <f t="shared" si="131"/>
        <v>0.31322578982671401</v>
      </c>
      <c r="AA92" s="737">
        <f t="shared" si="131"/>
        <v>0.33780509833221939</v>
      </c>
      <c r="AB92" s="737">
        <f t="shared" si="131"/>
        <v>0.35601425290814809</v>
      </c>
      <c r="AC92" s="738">
        <f t="shared" si="131"/>
        <v>0.36993117370364847</v>
      </c>
      <c r="AD92" s="737">
        <f t="shared" si="131"/>
        <v>0.38420229631586039</v>
      </c>
      <c r="AE92" s="737">
        <f t="shared" si="131"/>
        <v>0.39883539247119493</v>
      </c>
      <c r="AF92" s="737">
        <f t="shared" si="131"/>
        <v>0.40521675875073404</v>
      </c>
      <c r="AG92" s="739">
        <f t="shared" si="131"/>
        <v>0.42045980618629358</v>
      </c>
      <c r="AH92" s="697"/>
      <c r="AI92" s="707"/>
      <c r="AJ92" s="709">
        <f t="shared" si="90"/>
        <v>0.26881312246110745</v>
      </c>
      <c r="AK92" s="710">
        <f t="shared" si="91"/>
        <v>0.2902616635282847</v>
      </c>
      <c r="AL92" s="710">
        <f t="shared" si="92"/>
        <v>0.31322578982671401</v>
      </c>
      <c r="AM92" s="710">
        <f t="shared" si="93"/>
        <v>0.33780509833221939</v>
      </c>
      <c r="AN92" s="710">
        <f t="shared" si="94"/>
        <v>0.35601425290814809</v>
      </c>
      <c r="AO92" s="711">
        <f t="shared" si="95"/>
        <v>0.36993117370364847</v>
      </c>
      <c r="AP92" s="707">
        <f t="shared" si="96"/>
        <v>0.38420229631586039</v>
      </c>
      <c r="AQ92" s="707">
        <f t="shared" si="97"/>
        <v>0.39883539247119493</v>
      </c>
      <c r="AR92" s="707">
        <f t="shared" si="98"/>
        <v>0.40521675875073404</v>
      </c>
      <c r="AS92" s="712">
        <f t="shared" si="99"/>
        <v>0.42045980618629358</v>
      </c>
      <c r="AV92" s="1559"/>
      <c r="AW92" s="1428" t="str">
        <f t="shared" si="48"/>
        <v>Rev</v>
      </c>
      <c r="AX92" s="1429" t="str">
        <f t="shared" si="36"/>
        <v>Water</v>
      </c>
      <c r="AY92" s="1430" t="str">
        <f t="shared" si="49"/>
        <v>Fixed</v>
      </c>
      <c r="AZ92" s="1431">
        <f t="shared" si="117"/>
        <v>7.9836809760021277E-2</v>
      </c>
      <c r="BA92" s="1431">
        <f t="shared" si="117"/>
        <v>-5.9046532009865094E-2</v>
      </c>
      <c r="BB92" s="1431">
        <f t="shared" si="117"/>
        <v>-2.1440823327615766E-2</v>
      </c>
      <c r="BC92" s="1431">
        <f t="shared" si="51"/>
        <v>4.5386056568275102E-4</v>
      </c>
      <c r="BD92" s="1431">
        <f t="shared" si="52"/>
        <v>-1.4915235601202892E-2</v>
      </c>
      <c r="BE92" s="1431">
        <f t="shared" si="53"/>
        <v>-5.5713295691428133E-2</v>
      </c>
      <c r="BF92" s="1431">
        <f t="shared" si="54"/>
        <v>2.7487551912356745E-2</v>
      </c>
      <c r="BG92" s="1432">
        <f t="shared" si="55"/>
        <v>3.4609420865188145E-2</v>
      </c>
      <c r="BH92" s="1431">
        <f t="shared" si="56"/>
        <v>5.4144056267162677E-2</v>
      </c>
      <c r="BI92" s="1431">
        <f t="shared" si="57"/>
        <v>7.9789784333465619E-2</v>
      </c>
      <c r="BJ92" s="1431">
        <f t="shared" si="58"/>
        <v>7.9115257658514571E-2</v>
      </c>
      <c r="BK92" s="1431">
        <f t="shared" si="59"/>
        <v>7.8471534924066777E-2</v>
      </c>
      <c r="BL92" s="1433">
        <f t="shared" si="60"/>
        <v>5.3904321355211282E-2</v>
      </c>
      <c r="BM92" s="1431">
        <f t="shared" si="61"/>
        <v>3.9090909090909287E-2</v>
      </c>
      <c r="BN92" s="1431">
        <f t="shared" si="62"/>
        <v>3.8577777777777822E-2</v>
      </c>
      <c r="BO92" s="1431">
        <f t="shared" si="63"/>
        <v>3.8086956521739213E-2</v>
      </c>
      <c r="BP92" s="1431">
        <f t="shared" si="64"/>
        <v>1.6000000000000014E-2</v>
      </c>
      <c r="BQ92" s="1434">
        <f t="shared" si="65"/>
        <v>3.761702127659583E-2</v>
      </c>
      <c r="BR92" s="1378"/>
      <c r="BS92" s="1407"/>
      <c r="BT92" s="1408"/>
      <c r="BU92" s="1409"/>
      <c r="BV92" s="1410"/>
      <c r="BW92" s="1378"/>
      <c r="BX92" s="1428" t="str">
        <f t="shared" si="66"/>
        <v>Rev</v>
      </c>
      <c r="BY92" s="1429" t="str">
        <f t="shared" si="67"/>
        <v>Water</v>
      </c>
      <c r="BZ92" s="1430" t="str">
        <f t="shared" si="68"/>
        <v>Fixed</v>
      </c>
      <c r="CA92" s="1435">
        <f t="shared" ref="CA92:CR92" si="132">IFERROR((P92/O92-1)*(O92/O$13),"-")</f>
        <v>2.7448924742830164E-4</v>
      </c>
      <c r="CB92" s="1431">
        <f t="shared" si="132"/>
        <v>-2.1367356966827872E-4</v>
      </c>
      <c r="CC92" s="1431">
        <f t="shared" si="132"/>
        <v>-7.4324788286340841E-5</v>
      </c>
      <c r="CD92" s="1431">
        <f t="shared" si="132"/>
        <v>1.5681339955434435E-6</v>
      </c>
      <c r="CE92" s="1431">
        <f t="shared" si="132"/>
        <v>-5.3362086796785276E-5</v>
      </c>
      <c r="CF92" s="1431">
        <f t="shared" si="132"/>
        <v>-1.896239828832351E-4</v>
      </c>
      <c r="CG92" s="1431">
        <f t="shared" si="132"/>
        <v>8.4087367828204008E-5</v>
      </c>
      <c r="CH92" s="1433">
        <f t="shared" si="132"/>
        <v>1.0384473364575239E-4</v>
      </c>
      <c r="CI92" s="1431">
        <f t="shared" si="132"/>
        <v>1.7114867387707763E-4</v>
      </c>
      <c r="CJ92" s="1431">
        <f t="shared" si="132"/>
        <v>2.4715191270533284E-4</v>
      </c>
      <c r="CK92" s="1431">
        <f t="shared" si="132"/>
        <v>2.4873196430545794E-4</v>
      </c>
      <c r="CL92" s="1431">
        <f t="shared" si="132"/>
        <v>2.502351077999452E-4</v>
      </c>
      <c r="CM92" s="1433">
        <f t="shared" si="132"/>
        <v>1.7420834959745976E-4</v>
      </c>
      <c r="CN92" s="1431">
        <f t="shared" si="132"/>
        <v>1.2513712934710211E-4</v>
      </c>
      <c r="CO92" s="1431">
        <f t="shared" si="132"/>
        <v>1.2486670495103787E-4</v>
      </c>
      <c r="CP92" s="1431">
        <f t="shared" si="132"/>
        <v>1.2455427318320455E-4</v>
      </c>
      <c r="CQ92" s="1431">
        <f t="shared" si="132"/>
        <v>5.2846959346108286E-5</v>
      </c>
      <c r="CR92" s="1434">
        <f t="shared" si="132"/>
        <v>1.2275790371550047E-4</v>
      </c>
      <c r="CS92" s="1378"/>
      <c r="CT92" s="1428" t="str">
        <f t="shared" si="39"/>
        <v>Rev</v>
      </c>
      <c r="CU92" s="1429" t="str">
        <f t="shared" si="40"/>
        <v>Water</v>
      </c>
      <c r="CV92" s="1429" t="str">
        <f t="shared" si="41"/>
        <v>Fixed</v>
      </c>
      <c r="CW92" s="1435">
        <f t="shared" si="70"/>
        <v>6.6889864593869142E-2</v>
      </c>
      <c r="CX92" s="1431">
        <f t="shared" si="71"/>
        <v>7.0949528438273735E-2</v>
      </c>
      <c r="CY92" s="1431">
        <f t="shared" si="72"/>
        <v>7.2825097240059256E-2</v>
      </c>
      <c r="CZ92" s="1434">
        <f t="shared" si="73"/>
        <v>6.901396048562991E-2</v>
      </c>
      <c r="DA92" s="1431">
        <f t="shared" si="74"/>
        <v>6.3967604569374226E-2</v>
      </c>
      <c r="DB92" s="1431">
        <f t="shared" si="75"/>
        <v>6.0302833877233342E-2</v>
      </c>
      <c r="DC92" s="1431">
        <f t="shared" si="76"/>
        <v>5.7500055053691046E-2</v>
      </c>
      <c r="DD92" s="1431">
        <f t="shared" si="77"/>
        <v>5.280646735204253E-2</v>
      </c>
      <c r="DE92" s="1434">
        <f t="shared" si="78"/>
        <v>5.1277570070656253E-2</v>
      </c>
      <c r="DF92" s="1378"/>
      <c r="DG92" s="1428" t="str">
        <f t="shared" si="43"/>
        <v>Rev</v>
      </c>
      <c r="DH92" s="1429" t="str">
        <f t="shared" si="44"/>
        <v>Water</v>
      </c>
      <c r="DI92" s="1429" t="str">
        <f t="shared" si="45"/>
        <v>Fixed</v>
      </c>
      <c r="DJ92" s="1429"/>
      <c r="DK92" s="1435">
        <f t="shared" si="79"/>
        <v>7.9452468308836455E-2</v>
      </c>
      <c r="DL92" s="1431">
        <f t="shared" si="80"/>
        <v>7.9125391418779278E-2</v>
      </c>
      <c r="DM92" s="1431">
        <f t="shared" si="81"/>
        <v>7.2764096192370786E-2</v>
      </c>
      <c r="DN92" s="1433">
        <f t="shared" si="82"/>
        <v>6.5943272499225047E-2</v>
      </c>
      <c r="DO92" s="1431">
        <f t="shared" si="83"/>
        <v>6.1332789430490031E-2</v>
      </c>
      <c r="DP92" s="1431">
        <f t="shared" si="84"/>
        <v>5.7980354842432025E-2</v>
      </c>
      <c r="DQ92" s="1431">
        <f t="shared" si="85"/>
        <v>5.2639388119609221E-2</v>
      </c>
      <c r="DR92" s="1434">
        <f t="shared" si="86"/>
        <v>5.0959553147243319E-2</v>
      </c>
    </row>
    <row r="93" spans="4:122">
      <c r="D93" s="70">
        <f>D90+1</f>
        <v>10</v>
      </c>
      <c r="E93" s="713" t="s">
        <v>44</v>
      </c>
      <c r="F93" s="1532" t="s">
        <v>20</v>
      </c>
      <c r="G93" s="1532" t="s">
        <v>872</v>
      </c>
      <c r="H93" s="1532"/>
      <c r="I93" s="781" t="s">
        <v>319</v>
      </c>
      <c r="J93" s="781" t="s">
        <v>345</v>
      </c>
      <c r="K93" s="1533"/>
      <c r="L93" s="1534"/>
      <c r="M93" s="1534"/>
      <c r="N93" s="1535"/>
      <c r="O93" s="2071">
        <v>14584.541809954751</v>
      </c>
      <c r="P93" s="1547">
        <v>14650.168827708701</v>
      </c>
      <c r="Q93" s="1547">
        <v>14457.572392638036</v>
      </c>
      <c r="R93" s="1547">
        <v>14147.590137221267</v>
      </c>
      <c r="S93" s="1547">
        <v>13817.0144783715</v>
      </c>
      <c r="T93" s="1547">
        <v>13610.936440677964</v>
      </c>
      <c r="U93" s="1547">
        <v>13841.304140271493</v>
      </c>
      <c r="V93" s="1547">
        <v>13866.230764192138</v>
      </c>
      <c r="W93" s="1547">
        <v>13996.25</v>
      </c>
      <c r="X93" s="1550">
        <v>14741.278596002619</v>
      </c>
      <c r="Y93" s="1551">
        <v>15525.558164956183</v>
      </c>
      <c r="Z93" s="1551">
        <v>16351.151594081855</v>
      </c>
      <c r="AA93" s="1551">
        <v>17220.228121169836</v>
      </c>
      <c r="AB93" s="1551">
        <v>18135.071618292324</v>
      </c>
      <c r="AC93" s="1550">
        <v>18425.232764185002</v>
      </c>
      <c r="AD93" s="1551">
        <v>18720.036488411963</v>
      </c>
      <c r="AE93" s="1551">
        <v>19019.557072226555</v>
      </c>
      <c r="AF93" s="1551">
        <v>19323.869985382178</v>
      </c>
      <c r="AG93" s="1552">
        <v>19633.051905148292</v>
      </c>
      <c r="AH93" s="697"/>
      <c r="AI93" s="707"/>
      <c r="AJ93" s="709">
        <f t="shared" si="90"/>
        <v>14741.278596002619</v>
      </c>
      <c r="AK93" s="710">
        <f t="shared" si="91"/>
        <v>15525.558164956183</v>
      </c>
      <c r="AL93" s="710">
        <f t="shared" si="92"/>
        <v>16351.151594081855</v>
      </c>
      <c r="AM93" s="710">
        <f t="shared" si="93"/>
        <v>17220.228121169836</v>
      </c>
      <c r="AN93" s="710">
        <f t="shared" si="94"/>
        <v>18135.071618292324</v>
      </c>
      <c r="AO93" s="711">
        <f t="shared" si="95"/>
        <v>18425.232764185002</v>
      </c>
      <c r="AP93" s="707">
        <f t="shared" si="96"/>
        <v>18720.036488411963</v>
      </c>
      <c r="AQ93" s="707">
        <f t="shared" si="97"/>
        <v>19019.557072226555</v>
      </c>
      <c r="AR93" s="707">
        <f t="shared" si="98"/>
        <v>19323.869985382178</v>
      </c>
      <c r="AS93" s="712">
        <f t="shared" si="99"/>
        <v>19633.051905148292</v>
      </c>
      <c r="AU93" s="1369"/>
      <c r="AV93" s="1559"/>
      <c r="AW93" s="1412" t="str">
        <f t="shared" si="48"/>
        <v>Price</v>
      </c>
      <c r="AX93" s="1413" t="str">
        <f t="shared" si="36"/>
        <v>Water</v>
      </c>
      <c r="AY93" s="1414" t="str">
        <f t="shared" si="49"/>
        <v>Fixed</v>
      </c>
      <c r="AZ93" s="1415">
        <f t="shared" si="117"/>
        <v>4.4997654783474061E-3</v>
      </c>
      <c r="BA93" s="1415">
        <f t="shared" si="117"/>
        <v>-1.3146362839614345E-2</v>
      </c>
      <c r="BB93" s="1415">
        <f t="shared" si="117"/>
        <v>-2.1440823327615877E-2</v>
      </c>
      <c r="BC93" s="1415">
        <f t="shared" si="51"/>
        <v>-2.3366216835759568E-2</v>
      </c>
      <c r="BD93" s="1415">
        <f t="shared" si="52"/>
        <v>-1.4914802182202314E-2</v>
      </c>
      <c r="BE93" s="1415">
        <f t="shared" si="53"/>
        <v>1.692519104747614E-2</v>
      </c>
      <c r="BF93" s="1415">
        <f t="shared" si="54"/>
        <v>1.8008869444694486E-3</v>
      </c>
      <c r="BG93" s="1416">
        <f t="shared" si="55"/>
        <v>9.3766819562546289E-3</v>
      </c>
      <c r="BH93" s="1417">
        <f t="shared" si="56"/>
        <v>5.3230586478708153E-2</v>
      </c>
      <c r="BI93" s="1417">
        <f t="shared" si="57"/>
        <v>5.3202954129517366E-2</v>
      </c>
      <c r="BJ93" s="1417">
        <f t="shared" si="58"/>
        <v>5.3176408883590209E-2</v>
      </c>
      <c r="BK93" s="1417">
        <f t="shared" si="59"/>
        <v>5.3150784034228682E-2</v>
      </c>
      <c r="BL93" s="1418">
        <f t="shared" si="60"/>
        <v>5.3126096279631607E-2</v>
      </c>
      <c r="BM93" s="1417">
        <f t="shared" si="61"/>
        <v>1.6000000000000014E-2</v>
      </c>
      <c r="BN93" s="1417">
        <f t="shared" si="62"/>
        <v>1.6000000000000014E-2</v>
      </c>
      <c r="BO93" s="1417">
        <f t="shared" si="63"/>
        <v>1.6000000000000014E-2</v>
      </c>
      <c r="BP93" s="1417">
        <f t="shared" si="64"/>
        <v>1.6000000000000014E-2</v>
      </c>
      <c r="BQ93" s="1419">
        <f t="shared" si="65"/>
        <v>1.6000000000000014E-2</v>
      </c>
      <c r="BR93" s="1378"/>
      <c r="BS93" s="1420"/>
      <c r="BT93" s="1421"/>
      <c r="BU93" s="1422"/>
      <c r="BV93" s="1423"/>
      <c r="BW93" s="1378"/>
      <c r="BX93" s="1412" t="str">
        <f t="shared" si="66"/>
        <v>Price</v>
      </c>
      <c r="BY93" s="1413" t="str">
        <f t="shared" si="67"/>
        <v>Water</v>
      </c>
      <c r="BZ93" s="1414" t="str">
        <f t="shared" si="68"/>
        <v>Fixed</v>
      </c>
      <c r="CA93" s="1424">
        <f t="shared" ref="CA93:CR93" si="133">IFERROR((P93/O93-1)*(O95/O$13),"-")</f>
        <v>1.6536699678187566E-5</v>
      </c>
      <c r="CB93" s="1415">
        <f t="shared" si="133"/>
        <v>-4.481355927344237E-5</v>
      </c>
      <c r="CC93" s="1415">
        <f t="shared" si="133"/>
        <v>-6.9349304469315729E-5</v>
      </c>
      <c r="CD93" s="1415">
        <f t="shared" si="133"/>
        <v>-7.5328193321690126E-5</v>
      </c>
      <c r="CE93" s="1415">
        <f t="shared" si="133"/>
        <v>-4.8603024117318238E-5</v>
      </c>
      <c r="CF93" s="1415">
        <f t="shared" si="133"/>
        <v>5.2470027628956751E-5</v>
      </c>
      <c r="CG93" s="1415">
        <f t="shared" si="133"/>
        <v>5.7218063907477553E-6</v>
      </c>
      <c r="CH93" s="1425">
        <f t="shared" si="133"/>
        <v>3.0073036553558867E-5</v>
      </c>
      <c r="CI93" s="1417">
        <f t="shared" si="133"/>
        <v>1.7546834996546483E-4</v>
      </c>
      <c r="CJ93" s="1417">
        <f t="shared" si="133"/>
        <v>1.8074534296341042E-4</v>
      </c>
      <c r="CK93" s="1417">
        <f t="shared" si="133"/>
        <v>1.7884545022568785E-4</v>
      </c>
      <c r="CL93" s="1417">
        <f t="shared" si="133"/>
        <v>1.7695653105420084E-4</v>
      </c>
      <c r="CM93" s="1418">
        <f t="shared" si="133"/>
        <v>1.8379990555253577E-4</v>
      </c>
      <c r="CN93" s="1417">
        <f t="shared" si="133"/>
        <v>5.4790035881580587E-5</v>
      </c>
      <c r="CO93" s="1417">
        <f t="shared" si="133"/>
        <v>5.4167747253486897E-5</v>
      </c>
      <c r="CP93" s="1417">
        <f t="shared" si="133"/>
        <v>5.6088233203495864E-5</v>
      </c>
      <c r="CQ93" s="1417">
        <f t="shared" si="133"/>
        <v>5.5443341096890741E-5</v>
      </c>
      <c r="CR93" s="1419">
        <f t="shared" si="133"/>
        <v>5.7268998436602223E-5</v>
      </c>
      <c r="CS93" s="1378"/>
      <c r="CT93" s="1412" t="str">
        <f t="shared" si="39"/>
        <v>Price</v>
      </c>
      <c r="CU93" s="1413" t="str">
        <f t="shared" si="40"/>
        <v>Water</v>
      </c>
      <c r="CV93" s="1426" t="str">
        <f t="shared" si="41"/>
        <v>Fixed</v>
      </c>
      <c r="CW93" s="1427">
        <f t="shared" si="70"/>
        <v>5.3216770213492026E-2</v>
      </c>
      <c r="CX93" s="1417">
        <f t="shared" si="71"/>
        <v>5.3203316264996081E-2</v>
      </c>
      <c r="CY93" s="1417">
        <f t="shared" si="72"/>
        <v>5.3190182961650345E-2</v>
      </c>
      <c r="CZ93" s="1419">
        <f t="shared" si="73"/>
        <v>5.3177365313261005E-2</v>
      </c>
      <c r="DA93" s="1417">
        <f t="shared" si="74"/>
        <v>4.6887984519745851E-2</v>
      </c>
      <c r="DB93" s="1417">
        <f t="shared" si="75"/>
        <v>4.2418578089836068E-2</v>
      </c>
      <c r="DC93" s="1417">
        <f t="shared" si="76"/>
        <v>3.9079049586986825E-2</v>
      </c>
      <c r="DD93" s="1417">
        <f t="shared" si="77"/>
        <v>3.6489036869861602E-2</v>
      </c>
      <c r="DE93" s="1419">
        <f t="shared" si="78"/>
        <v>3.4421675700134102E-2</v>
      </c>
      <c r="DF93" s="1378"/>
      <c r="DG93" s="1412" t="str">
        <f t="shared" si="43"/>
        <v>Price</v>
      </c>
      <c r="DH93" s="1413" t="str">
        <f t="shared" si="44"/>
        <v>Water</v>
      </c>
      <c r="DI93" s="1426" t="str">
        <f t="shared" si="45"/>
        <v>Fixed</v>
      </c>
      <c r="DJ93" s="1426"/>
      <c r="DK93" s="1427">
        <f t="shared" si="79"/>
        <v>5.3189681422920909E-2</v>
      </c>
      <c r="DL93" s="1417">
        <f t="shared" si="80"/>
        <v>5.3176715467065261E-2</v>
      </c>
      <c r="DM93" s="1417">
        <f t="shared" si="81"/>
        <v>5.3164060442113525E-2</v>
      </c>
      <c r="DN93" s="1418">
        <f t="shared" si="82"/>
        <v>4.5624054960544447E-2</v>
      </c>
      <c r="DO93" s="1417">
        <f t="shared" si="83"/>
        <v>4.0627398437319773E-2</v>
      </c>
      <c r="DP93" s="1417">
        <f t="shared" si="84"/>
        <v>3.7072983421805095E-2</v>
      </c>
      <c r="DQ93" s="1417">
        <f t="shared" si="85"/>
        <v>3.4415141714963182E-2</v>
      </c>
      <c r="DR93" s="1419">
        <f t="shared" si="86"/>
        <v>3.2352641645023272E-2</v>
      </c>
    </row>
    <row r="94" spans="4:122">
      <c r="E94" s="742" t="s">
        <v>45</v>
      </c>
      <c r="F94" s="722" t="str">
        <f>+F93</f>
        <v>Water</v>
      </c>
      <c r="G94" s="723" t="str">
        <f>+G93</f>
        <v>Fixed tariff group - 1 -150mm</v>
      </c>
      <c r="H94" s="723">
        <f>+H93</f>
        <v>0</v>
      </c>
      <c r="I94" s="724" t="str">
        <f>+I93</f>
        <v>Fixed</v>
      </c>
      <c r="J94" s="782" t="s">
        <v>323</v>
      </c>
      <c r="K94" s="1540"/>
      <c r="L94" s="1541"/>
      <c r="M94" s="1541"/>
      <c r="N94" s="1542"/>
      <c r="O94" s="2031">
        <v>19</v>
      </c>
      <c r="P94" s="1543">
        <v>18</v>
      </c>
      <c r="Q94" s="1543">
        <v>17</v>
      </c>
      <c r="R94" s="1543">
        <v>17</v>
      </c>
      <c r="S94" s="1543">
        <v>17</v>
      </c>
      <c r="T94" s="1543">
        <v>17</v>
      </c>
      <c r="U94" s="1543">
        <v>18</v>
      </c>
      <c r="V94" s="1543">
        <v>19</v>
      </c>
      <c r="W94" s="1543">
        <v>19</v>
      </c>
      <c r="X94" s="1544">
        <v>20</v>
      </c>
      <c r="Y94" s="1543">
        <v>20</v>
      </c>
      <c r="Z94" s="1543">
        <v>20</v>
      </c>
      <c r="AA94" s="1543">
        <v>21</v>
      </c>
      <c r="AB94" s="1543">
        <v>21</v>
      </c>
      <c r="AC94" s="1544">
        <v>21</v>
      </c>
      <c r="AD94" s="1543">
        <v>22</v>
      </c>
      <c r="AE94" s="1543">
        <v>22</v>
      </c>
      <c r="AF94" s="1543">
        <v>23</v>
      </c>
      <c r="AG94" s="788">
        <v>23</v>
      </c>
      <c r="AH94" s="697"/>
      <c r="AI94" s="707"/>
      <c r="AJ94" s="709">
        <f t="shared" si="90"/>
        <v>20</v>
      </c>
      <c r="AK94" s="710">
        <f t="shared" si="91"/>
        <v>20</v>
      </c>
      <c r="AL94" s="710">
        <f t="shared" si="92"/>
        <v>20</v>
      </c>
      <c r="AM94" s="710">
        <f t="shared" si="93"/>
        <v>21</v>
      </c>
      <c r="AN94" s="710">
        <f t="shared" si="94"/>
        <v>21</v>
      </c>
      <c r="AO94" s="711">
        <f t="shared" si="95"/>
        <v>21</v>
      </c>
      <c r="AP94" s="707">
        <f t="shared" si="96"/>
        <v>22</v>
      </c>
      <c r="AQ94" s="707">
        <f t="shared" si="97"/>
        <v>22</v>
      </c>
      <c r="AR94" s="707">
        <f t="shared" si="98"/>
        <v>23</v>
      </c>
      <c r="AS94" s="712">
        <f t="shared" si="99"/>
        <v>23</v>
      </c>
      <c r="AV94" s="1559"/>
      <c r="AW94" s="1392" t="str">
        <f t="shared" si="48"/>
        <v>Qty</v>
      </c>
      <c r="AX94" s="1393" t="str">
        <f t="shared" si="36"/>
        <v>Water</v>
      </c>
      <c r="AY94" s="1394" t="str">
        <f t="shared" si="49"/>
        <v>Fixed</v>
      </c>
      <c r="AZ94" s="1395">
        <f t="shared" si="117"/>
        <v>-5.2631578947368474E-2</v>
      </c>
      <c r="BA94" s="1395">
        <f t="shared" si="117"/>
        <v>-5.555555555555558E-2</v>
      </c>
      <c r="BB94" s="1395">
        <f t="shared" si="117"/>
        <v>0</v>
      </c>
      <c r="BC94" s="1395">
        <f t="shared" si="51"/>
        <v>0</v>
      </c>
      <c r="BD94" s="1395">
        <f t="shared" si="52"/>
        <v>0</v>
      </c>
      <c r="BE94" s="1395">
        <f t="shared" si="53"/>
        <v>5.8823529411764719E-2</v>
      </c>
      <c r="BF94" s="1395">
        <f t="shared" si="54"/>
        <v>5.555555555555558E-2</v>
      </c>
      <c r="BG94" s="1396">
        <f t="shared" si="55"/>
        <v>0</v>
      </c>
      <c r="BH94" s="1395">
        <f t="shared" si="56"/>
        <v>5.2631578947368363E-2</v>
      </c>
      <c r="BI94" s="1395">
        <f t="shared" si="57"/>
        <v>0</v>
      </c>
      <c r="BJ94" s="1395">
        <f t="shared" si="58"/>
        <v>0</v>
      </c>
      <c r="BK94" s="1395">
        <f t="shared" si="59"/>
        <v>5.0000000000000044E-2</v>
      </c>
      <c r="BL94" s="1397">
        <f t="shared" si="60"/>
        <v>0</v>
      </c>
      <c r="BM94" s="1395">
        <f t="shared" si="61"/>
        <v>0</v>
      </c>
      <c r="BN94" s="1395">
        <f t="shared" si="62"/>
        <v>4.7619047619047672E-2</v>
      </c>
      <c r="BO94" s="1395">
        <f t="shared" si="63"/>
        <v>0</v>
      </c>
      <c r="BP94" s="1395">
        <f t="shared" si="64"/>
        <v>4.5454545454545414E-2</v>
      </c>
      <c r="BQ94" s="1398">
        <f t="shared" si="65"/>
        <v>0</v>
      </c>
      <c r="BR94" s="1378"/>
      <c r="BS94" s="1329"/>
      <c r="BT94" s="1399"/>
      <c r="BU94" s="1331"/>
      <c r="BV94" s="1400"/>
      <c r="BW94" s="1378"/>
      <c r="BX94" s="1392" t="str">
        <f t="shared" si="66"/>
        <v>Qty</v>
      </c>
      <c r="BY94" s="1393" t="str">
        <f t="shared" si="67"/>
        <v>Water</v>
      </c>
      <c r="BZ94" s="1394" t="str">
        <f t="shared" si="68"/>
        <v>Fixed</v>
      </c>
      <c r="CA94" s="1401">
        <f t="shared" ref="CA94:CR94" si="134">IFERROR((P94/O94-1)*(O95/O$13),"-")</f>
        <v>-1.9342177249670784E-4</v>
      </c>
      <c r="CB94" s="1395">
        <f t="shared" si="134"/>
        <v>-1.893787819666588E-4</v>
      </c>
      <c r="CC94" s="1395">
        <f t="shared" si="134"/>
        <v>0</v>
      </c>
      <c r="CD94" s="1395">
        <f t="shared" si="134"/>
        <v>0</v>
      </c>
      <c r="CE94" s="1395">
        <f t="shared" si="134"/>
        <v>0</v>
      </c>
      <c r="CF94" s="1395">
        <f t="shared" si="134"/>
        <v>1.8235966759904285E-4</v>
      </c>
      <c r="CG94" s="1395">
        <f t="shared" si="134"/>
        <v>1.7651198693817424E-4</v>
      </c>
      <c r="CH94" s="1397">
        <f t="shared" si="134"/>
        <v>0</v>
      </c>
      <c r="CI94" s="1395">
        <f t="shared" si="134"/>
        <v>1.7349379228924757E-4</v>
      </c>
      <c r="CJ94" s="1395">
        <f t="shared" si="134"/>
        <v>0</v>
      </c>
      <c r="CK94" s="1395">
        <f t="shared" si="134"/>
        <v>0</v>
      </c>
      <c r="CL94" s="1395">
        <f t="shared" si="134"/>
        <v>1.6646652939328457E-4</v>
      </c>
      <c r="CM94" s="1397">
        <f t="shared" si="134"/>
        <v>0</v>
      </c>
      <c r="CN94" s="1395">
        <f t="shared" si="134"/>
        <v>0</v>
      </c>
      <c r="CO94" s="1395">
        <f t="shared" si="134"/>
        <v>1.6121353349252056E-4</v>
      </c>
      <c r="CP94" s="1395">
        <f t="shared" si="134"/>
        <v>0</v>
      </c>
      <c r="CQ94" s="1395">
        <f t="shared" si="134"/>
        <v>1.5750949175253023E-4</v>
      </c>
      <c r="CR94" s="1398">
        <f t="shared" si="134"/>
        <v>0</v>
      </c>
      <c r="CS94" s="1378"/>
      <c r="CT94" s="1392" t="str">
        <f t="shared" si="39"/>
        <v>Qty</v>
      </c>
      <c r="CU94" s="1393" t="str">
        <f t="shared" si="40"/>
        <v>Water</v>
      </c>
      <c r="CV94" s="1393" t="str">
        <f t="shared" si="41"/>
        <v>Fixed</v>
      </c>
      <c r="CW94" s="1401">
        <f t="shared" si="70"/>
        <v>2.5978352085153977E-2</v>
      </c>
      <c r="CX94" s="1395">
        <f t="shared" si="71"/>
        <v>1.724476819110099E-2</v>
      </c>
      <c r="CY94" s="1395">
        <f t="shared" si="72"/>
        <v>2.5336513577710162E-2</v>
      </c>
      <c r="CZ94" s="1398">
        <f t="shared" si="73"/>
        <v>2.0218369075211573E-2</v>
      </c>
      <c r="DA94" s="1395">
        <f t="shared" si="74"/>
        <v>1.6820474016138842E-2</v>
      </c>
      <c r="DB94" s="1395">
        <f t="shared" si="75"/>
        <v>2.1164204576062051E-2</v>
      </c>
      <c r="DC94" s="1395">
        <f t="shared" si="76"/>
        <v>1.8494375440192945E-2</v>
      </c>
      <c r="DD94" s="1395">
        <f t="shared" si="77"/>
        <v>2.145528416734277E-2</v>
      </c>
      <c r="DE94" s="1398">
        <f t="shared" si="78"/>
        <v>1.9289202086376855E-2</v>
      </c>
      <c r="DF94" s="1378"/>
      <c r="DG94" s="1392" t="str">
        <f t="shared" si="43"/>
        <v>Qty</v>
      </c>
      <c r="DH94" s="1393" t="str">
        <f t="shared" si="44"/>
        <v>Water</v>
      </c>
      <c r="DI94" s="1393" t="str">
        <f t="shared" si="45"/>
        <v>Fixed</v>
      </c>
      <c r="DJ94" s="1393"/>
      <c r="DK94" s="1401">
        <f t="shared" si="79"/>
        <v>0</v>
      </c>
      <c r="DL94" s="1395">
        <f t="shared" si="80"/>
        <v>1.6396356814853519E-2</v>
      </c>
      <c r="DM94" s="1395">
        <f t="shared" si="81"/>
        <v>1.2272234429039353E-2</v>
      </c>
      <c r="DN94" s="1397">
        <f t="shared" si="82"/>
        <v>9.805797673485328E-3</v>
      </c>
      <c r="DO94" s="1395">
        <f t="shared" si="83"/>
        <v>1.6011867773387367E-2</v>
      </c>
      <c r="DP94" s="1395">
        <f t="shared" si="84"/>
        <v>1.3708856295468141E-2</v>
      </c>
      <c r="DQ94" s="1395">
        <f t="shared" si="85"/>
        <v>1.7623740063891224E-2</v>
      </c>
      <c r="DR94" s="1398">
        <f t="shared" si="86"/>
        <v>1.5650307834140342E-2</v>
      </c>
    </row>
    <row r="95" spans="4:122" ht="12.75" thickBot="1">
      <c r="E95" s="743" t="s">
        <v>46</v>
      </c>
      <c r="F95" s="732" t="str">
        <f>+F93</f>
        <v>Water</v>
      </c>
      <c r="G95" s="733" t="str">
        <f>+G93</f>
        <v>Fixed tariff group - 1 -150mm</v>
      </c>
      <c r="H95" s="733">
        <f>+H93</f>
        <v>0</v>
      </c>
      <c r="I95" s="734" t="str">
        <f>+I93</f>
        <v>Fixed</v>
      </c>
      <c r="J95" s="735" t="s">
        <v>344</v>
      </c>
      <c r="K95" s="736">
        <f t="shared" ref="K95:AG95" si="135">K93*K94/10^6</f>
        <v>0</v>
      </c>
      <c r="L95" s="737">
        <f t="shared" si="135"/>
        <v>0</v>
      </c>
      <c r="M95" s="737">
        <f t="shared" si="135"/>
        <v>0</v>
      </c>
      <c r="N95" s="738">
        <f t="shared" si="135"/>
        <v>0</v>
      </c>
      <c r="O95" s="1923">
        <f t="shared" si="135"/>
        <v>0.27710629438914025</v>
      </c>
      <c r="P95" s="737">
        <f t="shared" si="135"/>
        <v>0.26370303889875663</v>
      </c>
      <c r="Q95" s="737">
        <f t="shared" si="135"/>
        <v>0.24577873067484662</v>
      </c>
      <c r="R95" s="737">
        <f t="shared" si="135"/>
        <v>0.24050903233276152</v>
      </c>
      <c r="S95" s="737">
        <f t="shared" si="135"/>
        <v>0.23488924613231552</v>
      </c>
      <c r="T95" s="1531">
        <f t="shared" si="135"/>
        <v>0.2313859194915254</v>
      </c>
      <c r="U95" s="737">
        <f t="shared" si="135"/>
        <v>0.24914347452488686</v>
      </c>
      <c r="V95" s="737">
        <f t="shared" si="135"/>
        <v>0.26345838451965059</v>
      </c>
      <c r="W95" s="737">
        <f t="shared" si="135"/>
        <v>0.26592874999999999</v>
      </c>
      <c r="X95" s="738">
        <f t="shared" si="135"/>
        <v>0.29482557192005238</v>
      </c>
      <c r="Y95" s="737">
        <f t="shared" si="135"/>
        <v>0.31051116329912365</v>
      </c>
      <c r="Z95" s="737">
        <f t="shared" si="135"/>
        <v>0.32702303188163712</v>
      </c>
      <c r="AA95" s="737">
        <f t="shared" si="135"/>
        <v>0.36162479054456653</v>
      </c>
      <c r="AB95" s="737">
        <f t="shared" si="135"/>
        <v>0.38083650398413882</v>
      </c>
      <c r="AC95" s="738">
        <f t="shared" si="135"/>
        <v>0.38692988804788503</v>
      </c>
      <c r="AD95" s="737">
        <f t="shared" si="135"/>
        <v>0.41184080274506318</v>
      </c>
      <c r="AE95" s="737">
        <f t="shared" si="135"/>
        <v>0.41843025558898422</v>
      </c>
      <c r="AF95" s="737">
        <f t="shared" si="135"/>
        <v>0.44444900966379014</v>
      </c>
      <c r="AG95" s="739">
        <f t="shared" si="135"/>
        <v>0.45156019381841067</v>
      </c>
      <c r="AH95" s="697"/>
      <c r="AI95" s="707"/>
      <c r="AJ95" s="709">
        <f t="shared" si="90"/>
        <v>0.29482557192005238</v>
      </c>
      <c r="AK95" s="710">
        <f t="shared" si="91"/>
        <v>0.31051116329912365</v>
      </c>
      <c r="AL95" s="710">
        <f t="shared" si="92"/>
        <v>0.32702303188163712</v>
      </c>
      <c r="AM95" s="710">
        <f t="shared" si="93"/>
        <v>0.36162479054456653</v>
      </c>
      <c r="AN95" s="710">
        <f t="shared" si="94"/>
        <v>0.38083650398413882</v>
      </c>
      <c r="AO95" s="711">
        <f t="shared" si="95"/>
        <v>0.38692988804788503</v>
      </c>
      <c r="AP95" s="707">
        <f t="shared" si="96"/>
        <v>0.41184080274506318</v>
      </c>
      <c r="AQ95" s="707">
        <f t="shared" si="97"/>
        <v>0.41843025558898422</v>
      </c>
      <c r="AR95" s="707">
        <f t="shared" si="98"/>
        <v>0.44444900966379014</v>
      </c>
      <c r="AS95" s="712">
        <f t="shared" si="99"/>
        <v>0.45156019381841067</v>
      </c>
      <c r="AV95" s="1559"/>
      <c r="AW95" s="1428" t="str">
        <f t="shared" si="48"/>
        <v>Rev</v>
      </c>
      <c r="AX95" s="1429" t="str">
        <f t="shared" si="36"/>
        <v>Water</v>
      </c>
      <c r="AY95" s="1430" t="str">
        <f t="shared" si="49"/>
        <v>Fixed</v>
      </c>
      <c r="AZ95" s="1431">
        <f t="shared" si="117"/>
        <v>-4.8368643231039177E-2</v>
      </c>
      <c r="BA95" s="1431">
        <f t="shared" si="117"/>
        <v>-6.7971564904080073E-2</v>
      </c>
      <c r="BB95" s="1431">
        <f t="shared" si="117"/>
        <v>-2.1440823327615988E-2</v>
      </c>
      <c r="BC95" s="1431">
        <f t="shared" si="51"/>
        <v>-2.3366216835759568E-2</v>
      </c>
      <c r="BD95" s="1431">
        <f t="shared" si="52"/>
        <v>-1.4914802182202314E-2</v>
      </c>
      <c r="BE95" s="1431">
        <f t="shared" si="53"/>
        <v>7.6744319932621652E-2</v>
      </c>
      <c r="BF95" s="1431">
        <f t="shared" si="54"/>
        <v>5.7456491774717566E-2</v>
      </c>
      <c r="BG95" s="1432">
        <f t="shared" si="55"/>
        <v>9.3766819562546289E-3</v>
      </c>
      <c r="BH95" s="1431">
        <f t="shared" si="56"/>
        <v>0.10866377524074555</v>
      </c>
      <c r="BI95" s="1431">
        <f t="shared" si="57"/>
        <v>5.3202954129517366E-2</v>
      </c>
      <c r="BJ95" s="1431">
        <f t="shared" si="58"/>
        <v>5.3176408883590209E-2</v>
      </c>
      <c r="BK95" s="1431">
        <f t="shared" si="59"/>
        <v>0.10580832323594014</v>
      </c>
      <c r="BL95" s="1433">
        <f t="shared" si="60"/>
        <v>5.3126096279631607E-2</v>
      </c>
      <c r="BM95" s="1431">
        <f t="shared" si="61"/>
        <v>1.6000000000000014E-2</v>
      </c>
      <c r="BN95" s="1431">
        <f t="shared" si="62"/>
        <v>6.4380952380952428E-2</v>
      </c>
      <c r="BO95" s="1431">
        <f t="shared" si="63"/>
        <v>1.6000000000000014E-2</v>
      </c>
      <c r="BP95" s="1431">
        <f t="shared" si="64"/>
        <v>6.2181818181818116E-2</v>
      </c>
      <c r="BQ95" s="1434">
        <f t="shared" si="65"/>
        <v>1.5999999999999792E-2</v>
      </c>
      <c r="BR95" s="1378"/>
      <c r="BS95" s="1407"/>
      <c r="BT95" s="1408"/>
      <c r="BU95" s="1409"/>
      <c r="BV95" s="1410"/>
      <c r="BW95" s="1378"/>
      <c r="BX95" s="1428" t="str">
        <f t="shared" si="66"/>
        <v>Rev</v>
      </c>
      <c r="BY95" s="1429" t="str">
        <f t="shared" si="67"/>
        <v>Water</v>
      </c>
      <c r="BZ95" s="1430" t="str">
        <f t="shared" si="68"/>
        <v>Fixed</v>
      </c>
      <c r="CA95" s="1435">
        <f t="shared" ref="CA95:CR95" si="136">IFERROR((P95/O95-1)*(O95/O$13),"-")</f>
        <v>-1.7775542543316107E-4</v>
      </c>
      <c r="CB95" s="1431">
        <f t="shared" si="136"/>
        <v>-2.3170269905824271E-4</v>
      </c>
      <c r="CC95" s="1431">
        <f t="shared" si="136"/>
        <v>-6.9349304469316082E-5</v>
      </c>
      <c r="CD95" s="1431">
        <f t="shared" si="136"/>
        <v>-7.5328193321690126E-5</v>
      </c>
      <c r="CE95" s="1431">
        <f t="shared" si="136"/>
        <v>-4.8603024117318238E-5</v>
      </c>
      <c r="CF95" s="1431">
        <f t="shared" si="136"/>
        <v>2.3791616744146715E-4</v>
      </c>
      <c r="CG95" s="1431">
        <f t="shared" si="136"/>
        <v>1.8255167146174065E-4</v>
      </c>
      <c r="CH95" s="1433">
        <f t="shared" si="136"/>
        <v>3.0073036553558867E-5</v>
      </c>
      <c r="CI95" s="1431">
        <f t="shared" si="136"/>
        <v>3.5819731856868482E-4</v>
      </c>
      <c r="CJ95" s="1431">
        <f t="shared" si="136"/>
        <v>1.8074534296341042E-4</v>
      </c>
      <c r="CK95" s="1431">
        <f t="shared" si="136"/>
        <v>1.7884545022568785E-4</v>
      </c>
      <c r="CL95" s="1431">
        <f t="shared" si="136"/>
        <v>3.5227088700019537E-4</v>
      </c>
      <c r="CM95" s="1433">
        <f t="shared" si="136"/>
        <v>1.8379990555253577E-4</v>
      </c>
      <c r="CN95" s="1431">
        <f t="shared" si="136"/>
        <v>5.4790035881580587E-5</v>
      </c>
      <c r="CO95" s="1431">
        <f t="shared" si="136"/>
        <v>2.1796069728188773E-4</v>
      </c>
      <c r="CP95" s="1431">
        <f t="shared" si="136"/>
        <v>5.6088233203495864E-5</v>
      </c>
      <c r="CQ95" s="1431">
        <f t="shared" si="136"/>
        <v>2.1547298471746133E-4</v>
      </c>
      <c r="CR95" s="1434">
        <f t="shared" si="136"/>
        <v>5.726899843660143E-5</v>
      </c>
      <c r="CS95" s="1378"/>
      <c r="CT95" s="1428" t="str">
        <f t="shared" si="39"/>
        <v>Rev</v>
      </c>
      <c r="CU95" s="1429" t="str">
        <f t="shared" si="40"/>
        <v>Water</v>
      </c>
      <c r="CV95" s="1429" t="str">
        <f t="shared" si="41"/>
        <v>Fixed</v>
      </c>
      <c r="CW95" s="1435">
        <f t="shared" si="70"/>
        <v>8.0577606292086879E-2</v>
      </c>
      <c r="CX95" s="1431">
        <f t="shared" si="71"/>
        <v>7.1365563312084657E-2</v>
      </c>
      <c r="CY95" s="1431">
        <f t="shared" si="72"/>
        <v>7.9874350332169275E-2</v>
      </c>
      <c r="CZ95" s="1434">
        <f t="shared" si="73"/>
        <v>7.4470893986823272E-2</v>
      </c>
      <c r="DA95" s="1431">
        <f t="shared" si="74"/>
        <v>6.4497136661167964E-2</v>
      </c>
      <c r="DB95" s="1431">
        <f t="shared" si="75"/>
        <v>6.4480538130417209E-2</v>
      </c>
      <c r="DC95" s="1431">
        <f t="shared" si="76"/>
        <v>5.8296167642087449E-2</v>
      </c>
      <c r="DD95" s="1431">
        <f t="shared" si="77"/>
        <v>5.872720369224016E-2</v>
      </c>
      <c r="DE95" s="1434">
        <f t="shared" si="78"/>
        <v>5.4374844445242543E-2</v>
      </c>
      <c r="DF95" s="1378"/>
      <c r="DG95" s="1428" t="str">
        <f t="shared" si="43"/>
        <v>Rev</v>
      </c>
      <c r="DH95" s="1429" t="str">
        <f t="shared" si="44"/>
        <v>Water</v>
      </c>
      <c r="DI95" s="1429" t="str">
        <f t="shared" si="45"/>
        <v>Fixed</v>
      </c>
      <c r="DJ95" s="1429"/>
      <c r="DK95" s="1435">
        <f t="shared" si="79"/>
        <v>5.3189681422920909E-2</v>
      </c>
      <c r="DL95" s="1431">
        <f t="shared" si="80"/>
        <v>7.0444976682958682E-2</v>
      </c>
      <c r="DM95" s="1431">
        <f t="shared" si="81"/>
        <v>6.6088736684098093E-2</v>
      </c>
      <c r="DN95" s="1433">
        <f t="shared" si="82"/>
        <v>5.5877232886016648E-2</v>
      </c>
      <c r="DO95" s="1431">
        <f t="shared" si="83"/>
        <v>5.7289786742462212E-2</v>
      </c>
      <c r="DP95" s="1431">
        <f t="shared" si="84"/>
        <v>5.1290067919447013E-2</v>
      </c>
      <c r="DQ95" s="1431">
        <f t="shared" si="85"/>
        <v>5.2645405290701053E-2</v>
      </c>
      <c r="DR95" s="1434">
        <f t="shared" si="86"/>
        <v>4.8509278280155943E-2</v>
      </c>
    </row>
    <row r="96" spans="4:122">
      <c r="D96" s="70">
        <f>D93+1</f>
        <v>11</v>
      </c>
      <c r="E96" s="713" t="s">
        <v>44</v>
      </c>
      <c r="F96" s="1532" t="s">
        <v>20</v>
      </c>
      <c r="G96" s="1532" t="s">
        <v>873</v>
      </c>
      <c r="H96" s="1532"/>
      <c r="I96" s="781" t="s">
        <v>319</v>
      </c>
      <c r="J96" s="781" t="s">
        <v>345</v>
      </c>
      <c r="K96" s="1533"/>
      <c r="L96" s="1534"/>
      <c r="M96" s="1534"/>
      <c r="N96" s="1535"/>
      <c r="O96" s="2071">
        <v>25929.482036199093</v>
      </c>
      <c r="P96" s="1547">
        <v>26046.156580817053</v>
      </c>
      <c r="Q96" s="1547">
        <v>25703.744355828221</v>
      </c>
      <c r="R96" s="1547">
        <v>25152.634914236707</v>
      </c>
      <c r="S96" s="1547">
        <v>24564.943078880406</v>
      </c>
      <c r="T96" s="1547">
        <v>24198.548983050841</v>
      </c>
      <c r="U96" s="1547">
        <v>24608.122285067875</v>
      </c>
      <c r="V96" s="1547">
        <v>24652.442270742358</v>
      </c>
      <c r="W96" s="1547">
        <v>24883.599999999999</v>
      </c>
      <c r="X96" s="1550">
        <v>26200.214471002619</v>
      </c>
      <c r="Y96" s="1551">
        <v>27586.08817339368</v>
      </c>
      <c r="Z96" s="1551">
        <v>29044.859427962318</v>
      </c>
      <c r="AA96" s="1551">
        <v>30580.35561632902</v>
      </c>
      <c r="AB96" s="1551">
        <v>32196.605806947362</v>
      </c>
      <c r="AC96" s="1550">
        <v>32711.751499858521</v>
      </c>
      <c r="AD96" s="1551">
        <v>33235.139523856255</v>
      </c>
      <c r="AE96" s="1551">
        <v>33766.901756237952</v>
      </c>
      <c r="AF96" s="1551">
        <v>34307.17218433776</v>
      </c>
      <c r="AG96" s="1552">
        <v>34856.086939287168</v>
      </c>
      <c r="AH96" s="697"/>
      <c r="AI96" s="707"/>
      <c r="AJ96" s="709">
        <f t="shared" si="90"/>
        <v>26200.214471002619</v>
      </c>
      <c r="AK96" s="710">
        <f t="shared" si="91"/>
        <v>27586.08817339368</v>
      </c>
      <c r="AL96" s="710">
        <f t="shared" si="92"/>
        <v>29044.859427962318</v>
      </c>
      <c r="AM96" s="710">
        <f t="shared" si="93"/>
        <v>30580.35561632902</v>
      </c>
      <c r="AN96" s="710">
        <f t="shared" si="94"/>
        <v>32196.605806947362</v>
      </c>
      <c r="AO96" s="711">
        <f t="shared" si="95"/>
        <v>32711.751499858521</v>
      </c>
      <c r="AP96" s="707">
        <f t="shared" si="96"/>
        <v>33235.139523856255</v>
      </c>
      <c r="AQ96" s="707">
        <f t="shared" si="97"/>
        <v>33766.901756237952</v>
      </c>
      <c r="AR96" s="707">
        <f t="shared" si="98"/>
        <v>34307.17218433776</v>
      </c>
      <c r="AS96" s="712">
        <f t="shared" si="99"/>
        <v>34856.086939287168</v>
      </c>
      <c r="AU96" s="1369"/>
      <c r="AV96" s="1559"/>
      <c r="AW96" s="1412" t="str">
        <f t="shared" si="48"/>
        <v>Price</v>
      </c>
      <c r="AX96" s="1413" t="str">
        <f t="shared" si="36"/>
        <v>Water</v>
      </c>
      <c r="AY96" s="1414" t="str">
        <f t="shared" si="49"/>
        <v>Fixed</v>
      </c>
      <c r="AZ96" s="1415">
        <f t="shared" si="117"/>
        <v>4.4996866676731972E-3</v>
      </c>
      <c r="BA96" s="1415">
        <f t="shared" si="117"/>
        <v>-1.3146362839614456E-2</v>
      </c>
      <c r="BB96" s="1415">
        <f t="shared" si="117"/>
        <v>-2.1440823327615766E-2</v>
      </c>
      <c r="BC96" s="1415">
        <f t="shared" si="51"/>
        <v>-2.3365020697042826E-2</v>
      </c>
      <c r="BD96" s="1415">
        <f t="shared" si="52"/>
        <v>-1.4915324438287469E-2</v>
      </c>
      <c r="BE96" s="1415">
        <f t="shared" si="53"/>
        <v>1.6925531456613685E-2</v>
      </c>
      <c r="BF96" s="1415">
        <f t="shared" si="54"/>
        <v>1.8010307800435665E-3</v>
      </c>
      <c r="BG96" s="1416">
        <f t="shared" si="55"/>
        <v>9.376666486791807E-3</v>
      </c>
      <c r="BH96" s="1417">
        <f t="shared" si="56"/>
        <v>5.2910932140149303E-2</v>
      </c>
      <c r="BI96" s="1417">
        <f t="shared" si="57"/>
        <v>5.2895509841146326E-2</v>
      </c>
      <c r="BJ96" s="1417">
        <f t="shared" si="58"/>
        <v>5.2880685561485175E-2</v>
      </c>
      <c r="BK96" s="1417">
        <f t="shared" si="59"/>
        <v>5.2866366668947729E-2</v>
      </c>
      <c r="BL96" s="1418">
        <f t="shared" si="60"/>
        <v>5.2852563616209602E-2</v>
      </c>
      <c r="BM96" s="1417">
        <f t="shared" si="61"/>
        <v>1.6000000000000014E-2</v>
      </c>
      <c r="BN96" s="1417">
        <f t="shared" si="62"/>
        <v>1.6000000000000014E-2</v>
      </c>
      <c r="BO96" s="1417">
        <f t="shared" si="63"/>
        <v>1.6000000000000014E-2</v>
      </c>
      <c r="BP96" s="1417">
        <f t="shared" si="64"/>
        <v>1.6000000000000014E-2</v>
      </c>
      <c r="BQ96" s="1419">
        <f t="shared" si="65"/>
        <v>1.6000000000000014E-2</v>
      </c>
      <c r="BR96" s="1378"/>
      <c r="BS96" s="1420"/>
      <c r="BT96" s="1421"/>
      <c r="BU96" s="1422"/>
      <c r="BV96" s="1423"/>
      <c r="BW96" s="1378"/>
      <c r="BX96" s="1412" t="str">
        <f t="shared" si="66"/>
        <v>Price</v>
      </c>
      <c r="BY96" s="1413" t="str">
        <f t="shared" si="67"/>
        <v>Water</v>
      </c>
      <c r="BZ96" s="1414" t="str">
        <f t="shared" si="68"/>
        <v>Fixed</v>
      </c>
      <c r="CA96" s="1424">
        <f t="shared" ref="CA96:CR96" si="137">IFERROR((P96/O96-1)*(O98/O$13),"-")</f>
        <v>3.0947008852685246E-6</v>
      </c>
      <c r="CB96" s="1415">
        <f t="shared" si="137"/>
        <v>-8.8525409995593286E-6</v>
      </c>
      <c r="CC96" s="1415">
        <f t="shared" si="137"/>
        <v>-1.4505216040780906E-5</v>
      </c>
      <c r="CD96" s="1415">
        <f t="shared" si="137"/>
        <v>-1.5754963839651044E-5</v>
      </c>
      <c r="CE96" s="1415">
        <f t="shared" si="137"/>
        <v>-1.0166257903962461E-5</v>
      </c>
      <c r="CF96" s="1415">
        <f t="shared" si="137"/>
        <v>1.0974946733282726E-5</v>
      </c>
      <c r="CG96" s="1415">
        <f t="shared" si="137"/>
        <v>1.1303860753573488E-6</v>
      </c>
      <c r="CH96" s="1425">
        <f t="shared" si="137"/>
        <v>8.4420077477193089E-6</v>
      </c>
      <c r="CI96" s="1417">
        <f t="shared" si="137"/>
        <v>4.8961208371630871E-5</v>
      </c>
      <c r="CJ96" s="1417">
        <f t="shared" si="137"/>
        <v>4.7908340512465036E-5</v>
      </c>
      <c r="CK96" s="1417">
        <f t="shared" si="137"/>
        <v>4.7401286019666036E-5</v>
      </c>
      <c r="CL96" s="1417">
        <f t="shared" si="137"/>
        <v>4.6897379656097706E-5</v>
      </c>
      <c r="CM96" s="1418">
        <f t="shared" si="137"/>
        <v>4.6388360931881568E-5</v>
      </c>
      <c r="CN96" s="1417">
        <f t="shared" si="137"/>
        <v>1.3896145739494724E-5</v>
      </c>
      <c r="CO96" s="1417">
        <f t="shared" si="137"/>
        <v>1.3738317526227807E-5</v>
      </c>
      <c r="CP96" s="1417">
        <f t="shared" si="137"/>
        <v>1.3578792414980917E-5</v>
      </c>
      <c r="CQ96" s="1417">
        <f t="shared" si="137"/>
        <v>1.3422665977304055E-5</v>
      </c>
      <c r="CR96" s="1419">
        <f t="shared" si="137"/>
        <v>1.768245488206025E-5</v>
      </c>
      <c r="CS96" s="1378"/>
      <c r="CT96" s="1412" t="str">
        <f t="shared" si="39"/>
        <v>Price</v>
      </c>
      <c r="CU96" s="1413" t="str">
        <f t="shared" si="40"/>
        <v>Water</v>
      </c>
      <c r="CV96" s="1426" t="str">
        <f t="shared" si="41"/>
        <v>Fixed</v>
      </c>
      <c r="CW96" s="1427">
        <f t="shared" si="70"/>
        <v>5.2903220962410735E-2</v>
      </c>
      <c r="CX96" s="1417">
        <f t="shared" si="71"/>
        <v>5.2895709108509603E-2</v>
      </c>
      <c r="CY96" s="1417">
        <f t="shared" si="72"/>
        <v>5.2888373421956292E-2</v>
      </c>
      <c r="CZ96" s="1419">
        <f t="shared" si="73"/>
        <v>5.2881211363370761E-2</v>
      </c>
      <c r="DA96" s="1417">
        <f t="shared" si="74"/>
        <v>4.6642657626102313E-2</v>
      </c>
      <c r="DB96" s="1417">
        <f t="shared" si="75"/>
        <v>4.2209192124903927E-2</v>
      </c>
      <c r="DC96" s="1417">
        <f t="shared" si="76"/>
        <v>3.8896421521452673E-2</v>
      </c>
      <c r="DD96" s="1417">
        <f t="shared" si="77"/>
        <v>3.632710386986715E-2</v>
      </c>
      <c r="DE96" s="1419">
        <f t="shared" si="78"/>
        <v>3.4276225553495188E-2</v>
      </c>
      <c r="DF96" s="1378"/>
      <c r="DG96" s="1412" t="str">
        <f t="shared" si="43"/>
        <v>Price</v>
      </c>
      <c r="DH96" s="1413" t="str">
        <f t="shared" si="44"/>
        <v>Water</v>
      </c>
      <c r="DI96" s="1426" t="str">
        <f t="shared" si="45"/>
        <v>Fixed</v>
      </c>
      <c r="DJ96" s="1426"/>
      <c r="DK96" s="1427">
        <f t="shared" si="79"/>
        <v>5.2888097675225731E-2</v>
      </c>
      <c r="DL96" s="1417">
        <f t="shared" si="80"/>
        <v>5.288085395663078E-2</v>
      </c>
      <c r="DM96" s="1417">
        <f t="shared" si="81"/>
        <v>5.2873781300260658E-2</v>
      </c>
      <c r="DN96" s="1418">
        <f t="shared" si="82"/>
        <v>4.5393487867291027E-2</v>
      </c>
      <c r="DO96" s="1417">
        <f t="shared" si="83"/>
        <v>4.0436173842314904E-2</v>
      </c>
      <c r="DP96" s="1417">
        <f t="shared" si="84"/>
        <v>3.6909634329526764E-2</v>
      </c>
      <c r="DQ96" s="1417">
        <f t="shared" si="85"/>
        <v>3.4272576162137636E-2</v>
      </c>
      <c r="DR96" s="1419">
        <f t="shared" si="86"/>
        <v>3.222616841512127E-2</v>
      </c>
    </row>
    <row r="97" spans="4:122">
      <c r="E97" s="742" t="s">
        <v>45</v>
      </c>
      <c r="F97" s="722" t="str">
        <f>+F96</f>
        <v>Water</v>
      </c>
      <c r="G97" s="723" t="str">
        <f>+G96</f>
        <v>Fixed tariff group - 1 -200mm</v>
      </c>
      <c r="H97" s="723">
        <f>+H96</f>
        <v>0</v>
      </c>
      <c r="I97" s="724" t="str">
        <f>+I96</f>
        <v>Fixed</v>
      </c>
      <c r="J97" s="782" t="s">
        <v>323</v>
      </c>
      <c r="K97" s="1540"/>
      <c r="L97" s="1541"/>
      <c r="M97" s="1541"/>
      <c r="N97" s="1542"/>
      <c r="O97" s="2031">
        <v>2</v>
      </c>
      <c r="P97" s="1543">
        <v>2</v>
      </c>
      <c r="Q97" s="1543">
        <v>2</v>
      </c>
      <c r="R97" s="1543">
        <v>2</v>
      </c>
      <c r="S97" s="1543">
        <v>2</v>
      </c>
      <c r="T97" s="1543">
        <v>2</v>
      </c>
      <c r="U97" s="1543">
        <v>2</v>
      </c>
      <c r="V97" s="1543">
        <v>3</v>
      </c>
      <c r="W97" s="1543">
        <v>3</v>
      </c>
      <c r="X97" s="1544">
        <v>3</v>
      </c>
      <c r="Y97" s="1543">
        <v>3</v>
      </c>
      <c r="Z97" s="1543">
        <v>3</v>
      </c>
      <c r="AA97" s="1543">
        <v>3</v>
      </c>
      <c r="AB97" s="1543">
        <v>3</v>
      </c>
      <c r="AC97" s="1544">
        <v>3</v>
      </c>
      <c r="AD97" s="1543">
        <v>3</v>
      </c>
      <c r="AE97" s="1543">
        <v>3</v>
      </c>
      <c r="AF97" s="1543">
        <v>4</v>
      </c>
      <c r="AG97" s="788">
        <v>4</v>
      </c>
      <c r="AH97" s="697"/>
      <c r="AI97" s="707"/>
      <c r="AJ97" s="709">
        <f t="shared" si="90"/>
        <v>3</v>
      </c>
      <c r="AK97" s="710">
        <f t="shared" si="91"/>
        <v>3</v>
      </c>
      <c r="AL97" s="710">
        <f t="shared" si="92"/>
        <v>3</v>
      </c>
      <c r="AM97" s="710">
        <f t="shared" si="93"/>
        <v>3</v>
      </c>
      <c r="AN97" s="710">
        <f t="shared" si="94"/>
        <v>3</v>
      </c>
      <c r="AO97" s="711">
        <f t="shared" si="95"/>
        <v>3</v>
      </c>
      <c r="AP97" s="707">
        <f t="shared" si="96"/>
        <v>3</v>
      </c>
      <c r="AQ97" s="707">
        <f t="shared" si="97"/>
        <v>3</v>
      </c>
      <c r="AR97" s="707">
        <f t="shared" si="98"/>
        <v>4</v>
      </c>
      <c r="AS97" s="712">
        <f t="shared" si="99"/>
        <v>4</v>
      </c>
      <c r="AV97" s="1559"/>
      <c r="AW97" s="1392" t="str">
        <f t="shared" si="48"/>
        <v>Qty</v>
      </c>
      <c r="AX97" s="1393" t="str">
        <f t="shared" si="36"/>
        <v>Water</v>
      </c>
      <c r="AY97" s="1394" t="str">
        <f t="shared" si="49"/>
        <v>Fixed</v>
      </c>
      <c r="AZ97" s="1395">
        <f t="shared" si="117"/>
        <v>0</v>
      </c>
      <c r="BA97" s="1395">
        <f t="shared" si="117"/>
        <v>0</v>
      </c>
      <c r="BB97" s="1395">
        <f t="shared" si="117"/>
        <v>0</v>
      </c>
      <c r="BC97" s="1395">
        <f t="shared" si="51"/>
        <v>0</v>
      </c>
      <c r="BD97" s="1395">
        <f t="shared" si="52"/>
        <v>0</v>
      </c>
      <c r="BE97" s="1395">
        <f t="shared" si="53"/>
        <v>0</v>
      </c>
      <c r="BF97" s="1395">
        <f t="shared" si="54"/>
        <v>0.5</v>
      </c>
      <c r="BG97" s="1396">
        <f t="shared" si="55"/>
        <v>0</v>
      </c>
      <c r="BH97" s="1395">
        <f t="shared" si="56"/>
        <v>0</v>
      </c>
      <c r="BI97" s="1395">
        <f t="shared" si="57"/>
        <v>0</v>
      </c>
      <c r="BJ97" s="1395">
        <f t="shared" si="58"/>
        <v>0</v>
      </c>
      <c r="BK97" s="1395">
        <f t="shared" si="59"/>
        <v>0</v>
      </c>
      <c r="BL97" s="1397">
        <f t="shared" si="60"/>
        <v>0</v>
      </c>
      <c r="BM97" s="1395">
        <f t="shared" si="61"/>
        <v>0</v>
      </c>
      <c r="BN97" s="1395">
        <f t="shared" si="62"/>
        <v>0</v>
      </c>
      <c r="BO97" s="1395">
        <f t="shared" si="63"/>
        <v>0</v>
      </c>
      <c r="BP97" s="1395">
        <f t="shared" si="64"/>
        <v>0.33333333333333326</v>
      </c>
      <c r="BQ97" s="1398">
        <f t="shared" si="65"/>
        <v>0</v>
      </c>
      <c r="BR97" s="1378"/>
      <c r="BS97" s="1329"/>
      <c r="BT97" s="1399"/>
      <c r="BU97" s="1331"/>
      <c r="BV97" s="1400"/>
      <c r="BW97" s="1378"/>
      <c r="BX97" s="1392" t="str">
        <f t="shared" si="66"/>
        <v>Qty</v>
      </c>
      <c r="BY97" s="1393" t="str">
        <f t="shared" si="67"/>
        <v>Water</v>
      </c>
      <c r="BZ97" s="1394" t="str">
        <f t="shared" si="68"/>
        <v>Fixed</v>
      </c>
      <c r="CA97" s="1401">
        <f t="shared" ref="CA97:CR97" si="138">IFERROR((P97/O97-1)*(O98/O$13),"-")</f>
        <v>0</v>
      </c>
      <c r="CB97" s="1395">
        <f t="shared" si="138"/>
        <v>0</v>
      </c>
      <c r="CC97" s="1395">
        <f t="shared" si="138"/>
        <v>0</v>
      </c>
      <c r="CD97" s="1395">
        <f t="shared" si="138"/>
        <v>0</v>
      </c>
      <c r="CE97" s="1395">
        <f t="shared" si="138"/>
        <v>0</v>
      </c>
      <c r="CF97" s="1395">
        <f t="shared" si="138"/>
        <v>0</v>
      </c>
      <c r="CG97" s="1395">
        <f t="shared" si="138"/>
        <v>3.1381642331787497E-4</v>
      </c>
      <c r="CH97" s="1397">
        <f t="shared" si="138"/>
        <v>0</v>
      </c>
      <c r="CI97" s="1395">
        <f t="shared" si="138"/>
        <v>0</v>
      </c>
      <c r="CJ97" s="1395">
        <f t="shared" si="138"/>
        <v>0</v>
      </c>
      <c r="CK97" s="1395">
        <f t="shared" si="138"/>
        <v>0</v>
      </c>
      <c r="CL97" s="1395">
        <f t="shared" si="138"/>
        <v>0</v>
      </c>
      <c r="CM97" s="1397">
        <f t="shared" si="138"/>
        <v>0</v>
      </c>
      <c r="CN97" s="1395">
        <f t="shared" si="138"/>
        <v>0</v>
      </c>
      <c r="CO97" s="1395">
        <f t="shared" si="138"/>
        <v>0</v>
      </c>
      <c r="CP97" s="1395">
        <f t="shared" si="138"/>
        <v>0</v>
      </c>
      <c r="CQ97" s="1395">
        <f t="shared" si="138"/>
        <v>2.796388745271675E-4</v>
      </c>
      <c r="CR97" s="1398">
        <f t="shared" si="138"/>
        <v>0</v>
      </c>
      <c r="CS97" s="1378"/>
      <c r="CT97" s="1392" t="str">
        <f t="shared" si="39"/>
        <v>Qty</v>
      </c>
      <c r="CU97" s="1393" t="str">
        <f t="shared" si="40"/>
        <v>Water</v>
      </c>
      <c r="CV97" s="1393" t="str">
        <f t="shared" si="41"/>
        <v>Fixed</v>
      </c>
      <c r="CW97" s="1401">
        <f t="shared" si="70"/>
        <v>0</v>
      </c>
      <c r="CX97" s="1395">
        <f t="shared" si="71"/>
        <v>0</v>
      </c>
      <c r="CY97" s="1395">
        <f t="shared" si="72"/>
        <v>0</v>
      </c>
      <c r="CZ97" s="1398">
        <f t="shared" si="73"/>
        <v>0</v>
      </c>
      <c r="DA97" s="1395">
        <f t="shared" si="74"/>
        <v>0</v>
      </c>
      <c r="DB97" s="1395">
        <f t="shared" si="75"/>
        <v>0</v>
      </c>
      <c r="DC97" s="1395">
        <f t="shared" si="76"/>
        <v>0</v>
      </c>
      <c r="DD97" s="1395">
        <f t="shared" si="77"/>
        <v>3.24810319761204E-2</v>
      </c>
      <c r="DE97" s="1398">
        <f t="shared" si="78"/>
        <v>2.9186008964760646E-2</v>
      </c>
      <c r="DF97" s="1378"/>
      <c r="DG97" s="1392" t="str">
        <f t="shared" ref="DG97:DG129" si="139">CT97</f>
        <v>Qty</v>
      </c>
      <c r="DH97" s="1393" t="str">
        <f t="shared" ref="DH97:DH129" si="140">CU97</f>
        <v>Water</v>
      </c>
      <c r="DI97" s="1393" t="str">
        <f t="shared" ref="DI97:DI129" si="141">CV97</f>
        <v>Fixed</v>
      </c>
      <c r="DJ97" s="1393"/>
      <c r="DK97" s="1401">
        <f t="shared" si="79"/>
        <v>0</v>
      </c>
      <c r="DL97" s="1395">
        <f t="shared" si="80"/>
        <v>0</v>
      </c>
      <c r="DM97" s="1395">
        <f t="shared" si="81"/>
        <v>0</v>
      </c>
      <c r="DN97" s="1397">
        <f t="shared" si="82"/>
        <v>0</v>
      </c>
      <c r="DO97" s="1395">
        <f t="shared" si="83"/>
        <v>0</v>
      </c>
      <c r="DP97" s="1395">
        <f t="shared" si="84"/>
        <v>0</v>
      </c>
      <c r="DQ97" s="1395">
        <f t="shared" si="85"/>
        <v>3.6614649628077478E-2</v>
      </c>
      <c r="DR97" s="1398">
        <f t="shared" si="86"/>
        <v>3.24810319761204E-2</v>
      </c>
    </row>
    <row r="98" spans="4:122" ht="12.75" thickBot="1">
      <c r="E98" s="743" t="s">
        <v>46</v>
      </c>
      <c r="F98" s="732" t="str">
        <f>+F96</f>
        <v>Water</v>
      </c>
      <c r="G98" s="733" t="str">
        <f>+G96</f>
        <v>Fixed tariff group - 1 -200mm</v>
      </c>
      <c r="H98" s="733">
        <f>+H96</f>
        <v>0</v>
      </c>
      <c r="I98" s="734" t="str">
        <f>+I96</f>
        <v>Fixed</v>
      </c>
      <c r="J98" s="735" t="s">
        <v>344</v>
      </c>
      <c r="K98" s="736">
        <f t="shared" ref="K98:AG98" si="142">K96*K97/10^6</f>
        <v>0</v>
      </c>
      <c r="L98" s="737">
        <f t="shared" si="142"/>
        <v>0</v>
      </c>
      <c r="M98" s="737">
        <f t="shared" si="142"/>
        <v>0</v>
      </c>
      <c r="N98" s="738">
        <f t="shared" si="142"/>
        <v>0</v>
      </c>
      <c r="O98" s="1923">
        <f t="shared" si="142"/>
        <v>5.1858964072398185E-2</v>
      </c>
      <c r="P98" s="737">
        <f t="shared" si="142"/>
        <v>5.2092313161634103E-2</v>
      </c>
      <c r="Q98" s="737">
        <f t="shared" si="142"/>
        <v>5.1407488711656443E-2</v>
      </c>
      <c r="R98" s="737">
        <f t="shared" si="142"/>
        <v>5.0305269828473415E-2</v>
      </c>
      <c r="S98" s="737">
        <f t="shared" si="142"/>
        <v>4.9129886157760809E-2</v>
      </c>
      <c r="T98" s="1531">
        <f t="shared" si="142"/>
        <v>4.8397097966101685E-2</v>
      </c>
      <c r="U98" s="737">
        <f t="shared" si="142"/>
        <v>4.921624457013575E-2</v>
      </c>
      <c r="V98" s="737">
        <f t="shared" si="142"/>
        <v>7.3957326812227081E-2</v>
      </c>
      <c r="W98" s="737">
        <f t="shared" si="142"/>
        <v>7.4650799999999989E-2</v>
      </c>
      <c r="X98" s="738">
        <f t="shared" si="142"/>
        <v>7.8600643413007862E-2</v>
      </c>
      <c r="Y98" s="737">
        <f t="shared" si="142"/>
        <v>8.2758264520181035E-2</v>
      </c>
      <c r="Z98" s="737">
        <f t="shared" si="142"/>
        <v>8.7134578283886946E-2</v>
      </c>
      <c r="AA98" s="737">
        <f t="shared" si="142"/>
        <v>9.1741066848987057E-2</v>
      </c>
      <c r="AB98" s="737">
        <f t="shared" si="142"/>
        <v>9.6589817420842078E-2</v>
      </c>
      <c r="AC98" s="738">
        <f t="shared" si="142"/>
        <v>9.8135254499575567E-2</v>
      </c>
      <c r="AD98" s="737">
        <f t="shared" si="142"/>
        <v>9.9705418571568769E-2</v>
      </c>
      <c r="AE98" s="737">
        <f t="shared" si="142"/>
        <v>0.10130070526871385</v>
      </c>
      <c r="AF98" s="737">
        <f t="shared" si="142"/>
        <v>0.13722868873735103</v>
      </c>
      <c r="AG98" s="739">
        <f t="shared" si="142"/>
        <v>0.13942434775714868</v>
      </c>
      <c r="AH98" s="697"/>
      <c r="AI98" s="707"/>
      <c r="AJ98" s="709">
        <f t="shared" si="90"/>
        <v>7.8600643413007862E-2</v>
      </c>
      <c r="AK98" s="710">
        <f t="shared" si="91"/>
        <v>8.2758264520181035E-2</v>
      </c>
      <c r="AL98" s="710">
        <f t="shared" si="92"/>
        <v>8.7134578283886946E-2</v>
      </c>
      <c r="AM98" s="710">
        <f t="shared" si="93"/>
        <v>9.1741066848987057E-2</v>
      </c>
      <c r="AN98" s="710">
        <f t="shared" si="94"/>
        <v>9.6589817420842078E-2</v>
      </c>
      <c r="AO98" s="711">
        <f t="shared" si="95"/>
        <v>9.8135254499575567E-2</v>
      </c>
      <c r="AP98" s="707">
        <f t="shared" si="96"/>
        <v>9.9705418571568769E-2</v>
      </c>
      <c r="AQ98" s="707">
        <f t="shared" si="97"/>
        <v>0.10130070526871385</v>
      </c>
      <c r="AR98" s="707">
        <f t="shared" si="98"/>
        <v>0.13722868873735103</v>
      </c>
      <c r="AS98" s="712">
        <f t="shared" si="99"/>
        <v>0.13942434775714868</v>
      </c>
      <c r="AV98" s="1559"/>
      <c r="AW98" s="1428" t="str">
        <f t="shared" si="48"/>
        <v>Rev</v>
      </c>
      <c r="AX98" s="1429" t="str">
        <f t="shared" si="36"/>
        <v>Water</v>
      </c>
      <c r="AY98" s="1430" t="str">
        <f t="shared" si="49"/>
        <v>Fixed</v>
      </c>
      <c r="AZ98" s="1431">
        <f t="shared" ref="AZ98:BB113" si="143">IFERROR(P98/O98-1,"-")</f>
        <v>4.4996866676731972E-3</v>
      </c>
      <c r="BA98" s="1431">
        <f t="shared" si="143"/>
        <v>-1.3146362839614345E-2</v>
      </c>
      <c r="BB98" s="1431">
        <f t="shared" si="143"/>
        <v>-2.1440823327615766E-2</v>
      </c>
      <c r="BC98" s="1431">
        <f t="shared" si="51"/>
        <v>-2.3365020697042826E-2</v>
      </c>
      <c r="BD98" s="1431">
        <f t="shared" si="52"/>
        <v>-1.4915324438287358E-2</v>
      </c>
      <c r="BE98" s="1431">
        <f t="shared" si="53"/>
        <v>1.6925531456613685E-2</v>
      </c>
      <c r="BF98" s="1431">
        <f t="shared" si="54"/>
        <v>0.50270154617006546</v>
      </c>
      <c r="BG98" s="1432">
        <f t="shared" si="55"/>
        <v>9.376666486791585E-3</v>
      </c>
      <c r="BH98" s="1431">
        <f t="shared" si="56"/>
        <v>5.2910932140149525E-2</v>
      </c>
      <c r="BI98" s="1431">
        <f t="shared" si="57"/>
        <v>5.2895509841146104E-2</v>
      </c>
      <c r="BJ98" s="1431">
        <f t="shared" si="58"/>
        <v>5.2880685561485175E-2</v>
      </c>
      <c r="BK98" s="1431">
        <f t="shared" si="59"/>
        <v>5.2866366668947951E-2</v>
      </c>
      <c r="BL98" s="1433">
        <f t="shared" si="60"/>
        <v>5.2852563616209602E-2</v>
      </c>
      <c r="BM98" s="1431">
        <f t="shared" si="61"/>
        <v>1.6000000000000236E-2</v>
      </c>
      <c r="BN98" s="1431">
        <f t="shared" si="62"/>
        <v>1.6000000000000014E-2</v>
      </c>
      <c r="BO98" s="1431">
        <f t="shared" si="63"/>
        <v>1.5999999999999792E-2</v>
      </c>
      <c r="BP98" s="1431">
        <f t="shared" si="64"/>
        <v>0.35466666666666669</v>
      </c>
      <c r="BQ98" s="1434">
        <f t="shared" si="65"/>
        <v>1.6000000000000236E-2</v>
      </c>
      <c r="BR98" s="1378"/>
      <c r="BS98" s="1407"/>
      <c r="BT98" s="1408"/>
      <c r="BU98" s="1409"/>
      <c r="BV98" s="1410"/>
      <c r="BW98" s="1378"/>
      <c r="BX98" s="1428" t="str">
        <f t="shared" si="66"/>
        <v>Rev</v>
      </c>
      <c r="BY98" s="1429" t="str">
        <f t="shared" si="67"/>
        <v>Water</v>
      </c>
      <c r="BZ98" s="1430" t="str">
        <f t="shared" si="68"/>
        <v>Fixed</v>
      </c>
      <c r="CA98" s="1435">
        <f t="shared" ref="CA98:CR98" si="144">IFERROR((P98/O98-1)*(O98/O$13),"-")</f>
        <v>3.0947008852685246E-6</v>
      </c>
      <c r="CB98" s="1431">
        <f t="shared" si="144"/>
        <v>-8.852540999559254E-6</v>
      </c>
      <c r="CC98" s="1431">
        <f t="shared" si="144"/>
        <v>-1.4505216040780906E-5</v>
      </c>
      <c r="CD98" s="1431">
        <f t="shared" si="144"/>
        <v>-1.5754963839651044E-5</v>
      </c>
      <c r="CE98" s="1431">
        <f t="shared" si="144"/>
        <v>-1.0166257903962384E-5</v>
      </c>
      <c r="CF98" s="1431">
        <f t="shared" si="144"/>
        <v>1.0974946733282726E-5</v>
      </c>
      <c r="CG98" s="1431">
        <f t="shared" si="144"/>
        <v>3.1551200243091105E-4</v>
      </c>
      <c r="CH98" s="1433">
        <f t="shared" si="144"/>
        <v>8.442007747719109E-6</v>
      </c>
      <c r="CI98" s="1431">
        <f t="shared" si="144"/>
        <v>4.8961208371631081E-5</v>
      </c>
      <c r="CJ98" s="1431">
        <f t="shared" si="144"/>
        <v>4.7908340512464839E-5</v>
      </c>
      <c r="CK98" s="1431">
        <f t="shared" si="144"/>
        <v>4.7401286019666036E-5</v>
      </c>
      <c r="CL98" s="1431">
        <f t="shared" si="144"/>
        <v>4.6897379656097903E-5</v>
      </c>
      <c r="CM98" s="1433">
        <f t="shared" si="144"/>
        <v>4.6388360931881568E-5</v>
      </c>
      <c r="CN98" s="1431">
        <f t="shared" si="144"/>
        <v>1.3896145739494915E-5</v>
      </c>
      <c r="CO98" s="1431">
        <f t="shared" si="144"/>
        <v>1.3738317526227807E-5</v>
      </c>
      <c r="CP98" s="1431">
        <f t="shared" si="144"/>
        <v>1.3578792414980729E-5</v>
      </c>
      <c r="CQ98" s="1431">
        <f t="shared" si="144"/>
        <v>2.975357624969063E-4</v>
      </c>
      <c r="CR98" s="1434">
        <f t="shared" si="144"/>
        <v>1.7682454882060494E-5</v>
      </c>
      <c r="CS98" s="1378"/>
      <c r="CT98" s="1428" t="str">
        <f t="shared" si="39"/>
        <v>Rev</v>
      </c>
      <c r="CU98" s="1429" t="str">
        <f t="shared" si="40"/>
        <v>Water</v>
      </c>
      <c r="CV98" s="1429" t="str">
        <f t="shared" si="41"/>
        <v>Fixed</v>
      </c>
      <c r="CW98" s="1435">
        <f t="shared" si="70"/>
        <v>5.2903220962410735E-2</v>
      </c>
      <c r="CX98" s="1431">
        <f t="shared" si="71"/>
        <v>5.2895709108509603E-2</v>
      </c>
      <c r="CY98" s="1431">
        <f t="shared" si="72"/>
        <v>5.2888373421956292E-2</v>
      </c>
      <c r="CZ98" s="1434">
        <f t="shared" si="73"/>
        <v>5.2881211363370761E-2</v>
      </c>
      <c r="DA98" s="1431">
        <f t="shared" si="74"/>
        <v>4.6642657626102313E-2</v>
      </c>
      <c r="DB98" s="1431">
        <f t="shared" si="75"/>
        <v>4.2209192124903927E-2</v>
      </c>
      <c r="DC98" s="1431">
        <f t="shared" si="76"/>
        <v>3.8896421521452673E-2</v>
      </c>
      <c r="DD98" s="1431">
        <f t="shared" si="77"/>
        <v>6.998807766838433E-2</v>
      </c>
      <c r="DE98" s="1434">
        <f t="shared" si="78"/>
        <v>6.4462620744538457E-2</v>
      </c>
      <c r="DF98" s="1378"/>
      <c r="DG98" s="1428" t="str">
        <f t="shared" si="139"/>
        <v>Rev</v>
      </c>
      <c r="DH98" s="1429" t="str">
        <f t="shared" si="140"/>
        <v>Water</v>
      </c>
      <c r="DI98" s="1429" t="str">
        <f t="shared" si="141"/>
        <v>Fixed</v>
      </c>
      <c r="DJ98" s="1429"/>
      <c r="DK98" s="1435">
        <f t="shared" si="79"/>
        <v>5.2888097675225509E-2</v>
      </c>
      <c r="DL98" s="1431">
        <f t="shared" si="80"/>
        <v>5.288085395663078E-2</v>
      </c>
      <c r="DM98" s="1431">
        <f t="shared" si="81"/>
        <v>5.2873781300260658E-2</v>
      </c>
      <c r="DN98" s="1433">
        <f t="shared" si="82"/>
        <v>4.5393487867291027E-2</v>
      </c>
      <c r="DO98" s="1431">
        <f t="shared" si="83"/>
        <v>4.0436173842314904E-2</v>
      </c>
      <c r="DP98" s="1431">
        <f t="shared" si="84"/>
        <v>3.6909634329526764E-2</v>
      </c>
      <c r="DQ98" s="1431">
        <f t="shared" si="85"/>
        <v>7.2142104158243514E-2</v>
      </c>
      <c r="DR98" s="1434">
        <f t="shared" si="86"/>
        <v>6.575393959800091E-2</v>
      </c>
    </row>
    <row r="99" spans="4:122">
      <c r="D99" s="70">
        <f>D96+1</f>
        <v>12</v>
      </c>
      <c r="E99" s="713" t="s">
        <v>44</v>
      </c>
      <c r="F99" s="1532" t="s">
        <v>20</v>
      </c>
      <c r="G99" s="1532" t="s">
        <v>874</v>
      </c>
      <c r="H99" s="1532"/>
      <c r="I99" s="781" t="s">
        <v>319</v>
      </c>
      <c r="J99" s="781" t="s">
        <v>345</v>
      </c>
      <c r="K99" s="1533"/>
      <c r="L99" s="1534"/>
      <c r="M99" s="1534"/>
      <c r="N99" s="1535"/>
      <c r="O99" s="2071">
        <v>40515.679140271488</v>
      </c>
      <c r="P99" s="1547">
        <v>40697.987317939602</v>
      </c>
      <c r="Q99" s="1547">
        <v>40162.956809815951</v>
      </c>
      <c r="R99" s="1547">
        <v>39301.829948542021</v>
      </c>
      <c r="S99" s="1547">
        <v>38383.556692111953</v>
      </c>
      <c r="T99" s="1547">
        <v>37811.063898305074</v>
      </c>
      <c r="U99" s="1547">
        <v>38451.018054298642</v>
      </c>
      <c r="V99" s="1547">
        <v>38520.280742358074</v>
      </c>
      <c r="W99" s="1547">
        <v>38881.480000000003</v>
      </c>
      <c r="X99" s="1550">
        <v>40932.983171002626</v>
      </c>
      <c r="Y99" s="1551">
        <v>43092.327230143688</v>
      </c>
      <c r="Z99" s="1551">
        <v>45365.176035191704</v>
      </c>
      <c r="AA99" s="1551">
        <v>47757.488845437954</v>
      </c>
      <c r="AB99" s="1551">
        <v>50275.538530584519</v>
      </c>
      <c r="AC99" s="1550">
        <v>51079.947147073872</v>
      </c>
      <c r="AD99" s="1551">
        <v>51897.226301427057</v>
      </c>
      <c r="AE99" s="1551">
        <v>52727.58192224989</v>
      </c>
      <c r="AF99" s="1551">
        <v>53571.223233005891</v>
      </c>
      <c r="AG99" s="1552">
        <v>54428.362804733988</v>
      </c>
      <c r="AH99" s="697"/>
      <c r="AI99" s="707"/>
      <c r="AJ99" s="709">
        <f t="shared" si="90"/>
        <v>40932.983171002626</v>
      </c>
      <c r="AK99" s="710">
        <f t="shared" si="91"/>
        <v>43092.327230143688</v>
      </c>
      <c r="AL99" s="710">
        <f t="shared" si="92"/>
        <v>45365.176035191704</v>
      </c>
      <c r="AM99" s="710">
        <f t="shared" si="93"/>
        <v>47757.488845437954</v>
      </c>
      <c r="AN99" s="710">
        <f t="shared" si="94"/>
        <v>50275.538530584519</v>
      </c>
      <c r="AO99" s="711">
        <f t="shared" si="95"/>
        <v>51079.947147073872</v>
      </c>
      <c r="AP99" s="707">
        <f t="shared" si="96"/>
        <v>51897.226301427057</v>
      </c>
      <c r="AQ99" s="707">
        <f t="shared" si="97"/>
        <v>52727.58192224989</v>
      </c>
      <c r="AR99" s="707">
        <f t="shared" si="98"/>
        <v>53571.223233005891</v>
      </c>
      <c r="AS99" s="712">
        <f t="shared" si="99"/>
        <v>54428.362804733988</v>
      </c>
      <c r="AU99" s="1369"/>
      <c r="AV99" s="1559"/>
      <c r="AW99" s="1412" t="str">
        <f t="shared" si="48"/>
        <v>Price</v>
      </c>
      <c r="AX99" s="1413" t="str">
        <f t="shared" si="36"/>
        <v>Water</v>
      </c>
      <c r="AY99" s="1414" t="str">
        <f t="shared" si="49"/>
        <v>Fixed</v>
      </c>
      <c r="AZ99" s="1415">
        <f t="shared" si="143"/>
        <v>4.4996944772155434E-3</v>
      </c>
      <c r="BA99" s="1415">
        <f t="shared" si="143"/>
        <v>-1.3146362839614234E-2</v>
      </c>
      <c r="BB99" s="1415">
        <f t="shared" si="143"/>
        <v>-2.1440823327615877E-2</v>
      </c>
      <c r="BC99" s="1415">
        <f t="shared" si="51"/>
        <v>-2.3364643774408611E-2</v>
      </c>
      <c r="BD99" s="1415">
        <f t="shared" si="52"/>
        <v>-1.4915053297406611E-2</v>
      </c>
      <c r="BE99" s="1415">
        <f t="shared" si="53"/>
        <v>1.6925050237008854E-2</v>
      </c>
      <c r="BF99" s="1415">
        <f t="shared" si="54"/>
        <v>1.8013226063773313E-3</v>
      </c>
      <c r="BG99" s="1416">
        <f t="shared" si="55"/>
        <v>9.3768594278376138E-3</v>
      </c>
      <c r="BH99" s="1417">
        <f t="shared" si="56"/>
        <v>5.2762990786426434E-2</v>
      </c>
      <c r="BI99" s="1417">
        <f t="shared" si="57"/>
        <v>5.2753156302342674E-2</v>
      </c>
      <c r="BJ99" s="1417">
        <f t="shared" si="58"/>
        <v>5.2743700587563724E-2</v>
      </c>
      <c r="BK99" s="1417">
        <f t="shared" si="59"/>
        <v>5.2734564688792007E-2</v>
      </c>
      <c r="BL99" s="1418">
        <f t="shared" si="60"/>
        <v>5.2725755604444924E-2</v>
      </c>
      <c r="BM99" s="1417">
        <f t="shared" si="61"/>
        <v>1.6000000000000014E-2</v>
      </c>
      <c r="BN99" s="1417">
        <f t="shared" si="62"/>
        <v>1.6000000000000014E-2</v>
      </c>
      <c r="BO99" s="1417">
        <f t="shared" si="63"/>
        <v>1.6000000000000014E-2</v>
      </c>
      <c r="BP99" s="1417">
        <f t="shared" si="64"/>
        <v>1.6000000000000014E-2</v>
      </c>
      <c r="BQ99" s="1419">
        <f t="shared" si="65"/>
        <v>1.6000000000000014E-2</v>
      </c>
      <c r="BR99" s="1378"/>
      <c r="BS99" s="1420"/>
      <c r="BT99" s="1421"/>
      <c r="BU99" s="1422"/>
      <c r="BV99" s="1423"/>
      <c r="BW99" s="1378"/>
      <c r="BX99" s="1412" t="str">
        <f t="shared" si="66"/>
        <v>Price</v>
      </c>
      <c r="BY99" s="1413" t="str">
        <f t="shared" si="67"/>
        <v>Water</v>
      </c>
      <c r="BZ99" s="1414" t="str">
        <f t="shared" si="68"/>
        <v>Fixed</v>
      </c>
      <c r="CA99" s="1424">
        <f t="shared" ref="CA99:CR99" si="145">IFERROR((P99/O99-1)*(O101/O$13),"-")</f>
        <v>2.417790790050278E-6</v>
      </c>
      <c r="CB99" s="1415">
        <f t="shared" si="145"/>
        <v>-6.9161951056714814E-6</v>
      </c>
      <c r="CC99" s="1415">
        <f t="shared" si="145"/>
        <v>-1.1332441633758315E-5</v>
      </c>
      <c r="CD99" s="1415">
        <f t="shared" si="145"/>
        <v>-1.2308629352663322E-5</v>
      </c>
      <c r="CE99" s="1415">
        <f t="shared" si="145"/>
        <v>-7.9424169988645864E-6</v>
      </c>
      <c r="CF99" s="1415">
        <f t="shared" si="145"/>
        <v>8.5741218228625849E-6</v>
      </c>
      <c r="CG99" s="1415">
        <f t="shared" si="145"/>
        <v>0</v>
      </c>
      <c r="CH99" s="1425">
        <f t="shared" si="145"/>
        <v>0</v>
      </c>
      <c r="CI99" s="1417">
        <f t="shared" si="145"/>
        <v>0</v>
      </c>
      <c r="CJ99" s="1417">
        <f t="shared" si="145"/>
        <v>0</v>
      </c>
      <c r="CK99" s="1417">
        <f t="shared" si="145"/>
        <v>0</v>
      </c>
      <c r="CL99" s="1417">
        <f t="shared" si="145"/>
        <v>0</v>
      </c>
      <c r="CM99" s="1418">
        <f t="shared" si="145"/>
        <v>0</v>
      </c>
      <c r="CN99" s="1417">
        <f t="shared" si="145"/>
        <v>0</v>
      </c>
      <c r="CO99" s="1417">
        <f t="shared" si="145"/>
        <v>0</v>
      </c>
      <c r="CP99" s="1417">
        <f t="shared" si="145"/>
        <v>0</v>
      </c>
      <c r="CQ99" s="1417">
        <f t="shared" si="145"/>
        <v>0</v>
      </c>
      <c r="CR99" s="1419">
        <f t="shared" si="145"/>
        <v>0</v>
      </c>
      <c r="CS99" s="1378"/>
      <c r="CT99" s="1412" t="str">
        <f t="shared" si="39"/>
        <v>Price</v>
      </c>
      <c r="CU99" s="1413" t="str">
        <f t="shared" si="40"/>
        <v>Water</v>
      </c>
      <c r="CV99" s="1426" t="str">
        <f t="shared" si="41"/>
        <v>Fixed</v>
      </c>
      <c r="CW99" s="1427">
        <f t="shared" si="70"/>
        <v>5.275807353290074E-2</v>
      </c>
      <c r="CX99" s="1417">
        <f t="shared" si="71"/>
        <v>5.2753282529318435E-2</v>
      </c>
      <c r="CY99" s="1417">
        <f t="shared" si="72"/>
        <v>5.274860303798623E-2</v>
      </c>
      <c r="CZ99" s="1419">
        <f t="shared" si="73"/>
        <v>5.2744033511609612E-2</v>
      </c>
      <c r="DA99" s="1417">
        <f t="shared" si="74"/>
        <v>4.6529018856663829E-2</v>
      </c>
      <c r="DB99" s="1417">
        <f t="shared" si="75"/>
        <v>4.2112199308789622E-2</v>
      </c>
      <c r="DC99" s="1417">
        <f t="shared" si="76"/>
        <v>3.8811822079320546E-2</v>
      </c>
      <c r="DD99" s="1417">
        <f t="shared" si="77"/>
        <v>3.6252090003930038E-2</v>
      </c>
      <c r="DE99" s="1419">
        <f t="shared" si="78"/>
        <v>3.4208846436635021E-2</v>
      </c>
      <c r="DF99" s="1378"/>
      <c r="DG99" s="1412" t="str">
        <f t="shared" si="139"/>
        <v>Price</v>
      </c>
      <c r="DH99" s="1413" t="str">
        <f t="shared" si="140"/>
        <v>Water</v>
      </c>
      <c r="DI99" s="1426" t="str">
        <f t="shared" si="141"/>
        <v>Fixed</v>
      </c>
      <c r="DJ99" s="1426"/>
      <c r="DK99" s="1427">
        <f t="shared" si="79"/>
        <v>5.2748428434336914E-2</v>
      </c>
      <c r="DL99" s="1417">
        <f t="shared" si="80"/>
        <v>5.2743807165535728E-2</v>
      </c>
      <c r="DM99" s="1417">
        <f t="shared" si="81"/>
        <v>5.2739294246244128E-2</v>
      </c>
      <c r="DN99" s="1418">
        <f t="shared" si="82"/>
        <v>4.5286661245610871E-2</v>
      </c>
      <c r="DO99" s="1417">
        <f t="shared" si="83"/>
        <v>4.0347573051211505E-2</v>
      </c>
      <c r="DP99" s="1417">
        <f t="shared" si="84"/>
        <v>3.6833947743140083E-2</v>
      </c>
      <c r="DQ99" s="1417">
        <f t="shared" si="85"/>
        <v>3.4206518522380991E-2</v>
      </c>
      <c r="DR99" s="1419">
        <f t="shared" si="86"/>
        <v>3.2167566484191612E-2</v>
      </c>
    </row>
    <row r="100" spans="4:122">
      <c r="E100" s="742" t="s">
        <v>45</v>
      </c>
      <c r="F100" s="722" t="str">
        <f>+F99</f>
        <v>Water</v>
      </c>
      <c r="G100" s="723" t="str">
        <f>+G99</f>
        <v>Fixed tariff group - 1 -250mm</v>
      </c>
      <c r="H100" s="723">
        <f>+H99</f>
        <v>0</v>
      </c>
      <c r="I100" s="724" t="str">
        <f>+I99</f>
        <v>Fixed</v>
      </c>
      <c r="J100" s="782" t="s">
        <v>323</v>
      </c>
      <c r="K100" s="1540"/>
      <c r="L100" s="1541"/>
      <c r="M100" s="1541"/>
      <c r="N100" s="1542"/>
      <c r="O100" s="2031">
        <v>1</v>
      </c>
      <c r="P100" s="1543">
        <v>1</v>
      </c>
      <c r="Q100" s="1543">
        <v>1</v>
      </c>
      <c r="R100" s="1543">
        <v>1</v>
      </c>
      <c r="S100" s="1543">
        <v>1</v>
      </c>
      <c r="T100" s="1543">
        <v>1</v>
      </c>
      <c r="U100" s="1543">
        <v>0</v>
      </c>
      <c r="V100" s="1543">
        <v>0</v>
      </c>
      <c r="W100" s="1543">
        <v>0</v>
      </c>
      <c r="X100" s="1544">
        <v>0</v>
      </c>
      <c r="Y100" s="1543">
        <v>0</v>
      </c>
      <c r="Z100" s="1543">
        <v>0</v>
      </c>
      <c r="AA100" s="1543">
        <v>0</v>
      </c>
      <c r="AB100" s="1543">
        <v>0</v>
      </c>
      <c r="AC100" s="1544">
        <v>0</v>
      </c>
      <c r="AD100" s="1543">
        <v>0</v>
      </c>
      <c r="AE100" s="1543">
        <v>0</v>
      </c>
      <c r="AF100" s="1543">
        <v>0</v>
      </c>
      <c r="AG100" s="788">
        <v>0</v>
      </c>
      <c r="AH100" s="697"/>
      <c r="AI100" s="707"/>
      <c r="AJ100" s="709">
        <f t="shared" si="90"/>
        <v>0</v>
      </c>
      <c r="AK100" s="710">
        <f t="shared" si="91"/>
        <v>0</v>
      </c>
      <c r="AL100" s="710">
        <f t="shared" si="92"/>
        <v>0</v>
      </c>
      <c r="AM100" s="710">
        <f t="shared" si="93"/>
        <v>0</v>
      </c>
      <c r="AN100" s="710">
        <f t="shared" si="94"/>
        <v>0</v>
      </c>
      <c r="AO100" s="711">
        <f t="shared" si="95"/>
        <v>0</v>
      </c>
      <c r="AP100" s="707">
        <f t="shared" si="96"/>
        <v>0</v>
      </c>
      <c r="AQ100" s="707">
        <f t="shared" si="97"/>
        <v>0</v>
      </c>
      <c r="AR100" s="707">
        <f t="shared" si="98"/>
        <v>0</v>
      </c>
      <c r="AS100" s="712">
        <f t="shared" si="99"/>
        <v>0</v>
      </c>
      <c r="AV100" s="1559"/>
      <c r="AW100" s="1392" t="str">
        <f t="shared" si="48"/>
        <v>Qty</v>
      </c>
      <c r="AX100" s="1393" t="str">
        <f t="shared" si="36"/>
        <v>Water</v>
      </c>
      <c r="AY100" s="1394" t="str">
        <f t="shared" si="49"/>
        <v>Fixed</v>
      </c>
      <c r="AZ100" s="1395">
        <f t="shared" si="143"/>
        <v>0</v>
      </c>
      <c r="BA100" s="1395">
        <f t="shared" si="143"/>
        <v>0</v>
      </c>
      <c r="BB100" s="1395">
        <f t="shared" si="143"/>
        <v>0</v>
      </c>
      <c r="BC100" s="1395">
        <f t="shared" si="51"/>
        <v>0</v>
      </c>
      <c r="BD100" s="1395">
        <f t="shared" si="52"/>
        <v>0</v>
      </c>
      <c r="BE100" s="1395">
        <f t="shared" si="53"/>
        <v>-1</v>
      </c>
      <c r="BF100" s="1395" t="str">
        <f t="shared" si="54"/>
        <v>-</v>
      </c>
      <c r="BG100" s="1396" t="str">
        <f t="shared" si="55"/>
        <v>-</v>
      </c>
      <c r="BH100" s="1395" t="str">
        <f t="shared" si="56"/>
        <v>-</v>
      </c>
      <c r="BI100" s="1395" t="str">
        <f t="shared" si="57"/>
        <v>-</v>
      </c>
      <c r="BJ100" s="1395" t="str">
        <f t="shared" si="58"/>
        <v>-</v>
      </c>
      <c r="BK100" s="1395" t="str">
        <f t="shared" si="59"/>
        <v>-</v>
      </c>
      <c r="BL100" s="1397" t="str">
        <f t="shared" si="60"/>
        <v>-</v>
      </c>
      <c r="BM100" s="1395" t="str">
        <f t="shared" si="61"/>
        <v>-</v>
      </c>
      <c r="BN100" s="1395" t="str">
        <f t="shared" si="62"/>
        <v>-</v>
      </c>
      <c r="BO100" s="1395" t="str">
        <f t="shared" si="63"/>
        <v>-</v>
      </c>
      <c r="BP100" s="1395" t="str">
        <f t="shared" si="64"/>
        <v>-</v>
      </c>
      <c r="BQ100" s="1398" t="str">
        <f t="shared" si="65"/>
        <v>-</v>
      </c>
      <c r="BR100" s="1378"/>
      <c r="BS100" s="1329"/>
      <c r="BT100" s="1399"/>
      <c r="BU100" s="1331"/>
      <c r="BV100" s="1400"/>
      <c r="BW100" s="1378"/>
      <c r="BX100" s="1392" t="str">
        <f t="shared" si="66"/>
        <v>Qty</v>
      </c>
      <c r="BY100" s="1393" t="str">
        <f t="shared" si="67"/>
        <v>Water</v>
      </c>
      <c r="BZ100" s="1394" t="str">
        <f t="shared" si="68"/>
        <v>Fixed</v>
      </c>
      <c r="CA100" s="1401">
        <f t="shared" ref="CA100:CR100" si="146">IFERROR((P100/O100-1)*(O101/O$13),"-")</f>
        <v>0</v>
      </c>
      <c r="CB100" s="1395">
        <f t="shared" si="146"/>
        <v>0</v>
      </c>
      <c r="CC100" s="1395">
        <f t="shared" si="146"/>
        <v>0</v>
      </c>
      <c r="CD100" s="1395">
        <f t="shared" si="146"/>
        <v>0</v>
      </c>
      <c r="CE100" s="1395">
        <f t="shared" si="146"/>
        <v>0</v>
      </c>
      <c r="CF100" s="1395">
        <f t="shared" si="146"/>
        <v>-5.0659358186802529E-4</v>
      </c>
      <c r="CG100" s="1395" t="str">
        <f t="shared" si="146"/>
        <v>-</v>
      </c>
      <c r="CH100" s="1397" t="str">
        <f t="shared" si="146"/>
        <v>-</v>
      </c>
      <c r="CI100" s="1395" t="str">
        <f t="shared" si="146"/>
        <v>-</v>
      </c>
      <c r="CJ100" s="1395" t="str">
        <f t="shared" si="146"/>
        <v>-</v>
      </c>
      <c r="CK100" s="1395" t="str">
        <f t="shared" si="146"/>
        <v>-</v>
      </c>
      <c r="CL100" s="1395" t="str">
        <f t="shared" si="146"/>
        <v>-</v>
      </c>
      <c r="CM100" s="1397" t="str">
        <f t="shared" si="146"/>
        <v>-</v>
      </c>
      <c r="CN100" s="1395" t="str">
        <f t="shared" si="146"/>
        <v>-</v>
      </c>
      <c r="CO100" s="1395" t="str">
        <f t="shared" si="146"/>
        <v>-</v>
      </c>
      <c r="CP100" s="1395" t="str">
        <f t="shared" si="146"/>
        <v>-</v>
      </c>
      <c r="CQ100" s="1395" t="str">
        <f t="shared" si="146"/>
        <v>-</v>
      </c>
      <c r="CR100" s="1398" t="str">
        <f t="shared" si="146"/>
        <v>-</v>
      </c>
      <c r="CS100" s="1378"/>
      <c r="CT100" s="1392" t="str">
        <f t="shared" si="39"/>
        <v>Qty</v>
      </c>
      <c r="CU100" s="1393" t="str">
        <f t="shared" si="40"/>
        <v>Water</v>
      </c>
      <c r="CV100" s="1393" t="str">
        <f t="shared" si="41"/>
        <v>Fixed</v>
      </c>
      <c r="CW100" s="1401" t="str">
        <f t="shared" si="70"/>
        <v>-</v>
      </c>
      <c r="CX100" s="1395" t="str">
        <f t="shared" si="71"/>
        <v>-</v>
      </c>
      <c r="CY100" s="1395" t="str">
        <f t="shared" si="72"/>
        <v>-</v>
      </c>
      <c r="CZ100" s="1398" t="str">
        <f t="shared" si="73"/>
        <v>-</v>
      </c>
      <c r="DA100" s="1395" t="str">
        <f t="shared" si="74"/>
        <v>-</v>
      </c>
      <c r="DB100" s="1395" t="str">
        <f t="shared" si="75"/>
        <v>-</v>
      </c>
      <c r="DC100" s="1395" t="str">
        <f t="shared" si="76"/>
        <v>-</v>
      </c>
      <c r="DD100" s="1395" t="str">
        <f t="shared" si="77"/>
        <v>-</v>
      </c>
      <c r="DE100" s="1398" t="str">
        <f t="shared" si="78"/>
        <v>-</v>
      </c>
      <c r="DF100" s="1378"/>
      <c r="DG100" s="1392" t="str">
        <f t="shared" si="139"/>
        <v>Qty</v>
      </c>
      <c r="DH100" s="1393" t="str">
        <f t="shared" si="140"/>
        <v>Water</v>
      </c>
      <c r="DI100" s="1393" t="str">
        <f t="shared" si="141"/>
        <v>Fixed</v>
      </c>
      <c r="DJ100" s="1393"/>
      <c r="DK100" s="1401" t="str">
        <f t="shared" si="79"/>
        <v>-</v>
      </c>
      <c r="DL100" s="1395" t="str">
        <f t="shared" si="80"/>
        <v>-</v>
      </c>
      <c r="DM100" s="1395" t="str">
        <f t="shared" si="81"/>
        <v>-</v>
      </c>
      <c r="DN100" s="1397" t="str">
        <f t="shared" si="82"/>
        <v>-</v>
      </c>
      <c r="DO100" s="1395" t="str">
        <f t="shared" si="83"/>
        <v>-</v>
      </c>
      <c r="DP100" s="1395" t="str">
        <f t="shared" si="84"/>
        <v>-</v>
      </c>
      <c r="DQ100" s="1395" t="str">
        <f t="shared" si="85"/>
        <v>-</v>
      </c>
      <c r="DR100" s="1398" t="str">
        <f t="shared" si="86"/>
        <v>-</v>
      </c>
    </row>
    <row r="101" spans="4:122" ht="12.75" thickBot="1">
      <c r="E101" s="743" t="s">
        <v>46</v>
      </c>
      <c r="F101" s="732" t="str">
        <f>+F99</f>
        <v>Water</v>
      </c>
      <c r="G101" s="733" t="str">
        <f>+G99</f>
        <v>Fixed tariff group - 1 -250mm</v>
      </c>
      <c r="H101" s="733">
        <f>+H99</f>
        <v>0</v>
      </c>
      <c r="I101" s="734" t="str">
        <f>+I99</f>
        <v>Fixed</v>
      </c>
      <c r="J101" s="735" t="s">
        <v>344</v>
      </c>
      <c r="K101" s="736">
        <f t="shared" ref="K101:AG101" si="147">K99*K100/10^6</f>
        <v>0</v>
      </c>
      <c r="L101" s="737">
        <f t="shared" si="147"/>
        <v>0</v>
      </c>
      <c r="M101" s="737">
        <f t="shared" si="147"/>
        <v>0</v>
      </c>
      <c r="N101" s="738">
        <f t="shared" si="147"/>
        <v>0</v>
      </c>
      <c r="O101" s="1923">
        <f t="shared" si="147"/>
        <v>4.0515679140271488E-2</v>
      </c>
      <c r="P101" s="737">
        <f t="shared" si="147"/>
        <v>4.0697987317939603E-2</v>
      </c>
      <c r="Q101" s="737">
        <f t="shared" si="147"/>
        <v>4.016295680981595E-2</v>
      </c>
      <c r="R101" s="737">
        <f t="shared" si="147"/>
        <v>3.9301829948542019E-2</v>
      </c>
      <c r="S101" s="737">
        <f t="shared" si="147"/>
        <v>3.838355669211195E-2</v>
      </c>
      <c r="T101" s="1531">
        <f t="shared" si="147"/>
        <v>3.7811063898305075E-2</v>
      </c>
      <c r="U101" s="737">
        <f t="shared" si="147"/>
        <v>0</v>
      </c>
      <c r="V101" s="737">
        <f t="shared" si="147"/>
        <v>0</v>
      </c>
      <c r="W101" s="737">
        <f t="shared" si="147"/>
        <v>0</v>
      </c>
      <c r="X101" s="738">
        <f t="shared" si="147"/>
        <v>0</v>
      </c>
      <c r="Y101" s="737">
        <f t="shared" si="147"/>
        <v>0</v>
      </c>
      <c r="Z101" s="737">
        <f t="shared" si="147"/>
        <v>0</v>
      </c>
      <c r="AA101" s="737">
        <f t="shared" si="147"/>
        <v>0</v>
      </c>
      <c r="AB101" s="737">
        <f t="shared" si="147"/>
        <v>0</v>
      </c>
      <c r="AC101" s="738">
        <f t="shared" si="147"/>
        <v>0</v>
      </c>
      <c r="AD101" s="737">
        <f t="shared" si="147"/>
        <v>0</v>
      </c>
      <c r="AE101" s="737">
        <f t="shared" si="147"/>
        <v>0</v>
      </c>
      <c r="AF101" s="737">
        <f t="shared" si="147"/>
        <v>0</v>
      </c>
      <c r="AG101" s="739">
        <f t="shared" si="147"/>
        <v>0</v>
      </c>
      <c r="AH101" s="697"/>
      <c r="AI101" s="707"/>
      <c r="AJ101" s="709">
        <f t="shared" si="90"/>
        <v>0</v>
      </c>
      <c r="AK101" s="710">
        <f t="shared" si="91"/>
        <v>0</v>
      </c>
      <c r="AL101" s="710">
        <f t="shared" si="92"/>
        <v>0</v>
      </c>
      <c r="AM101" s="710">
        <f t="shared" si="93"/>
        <v>0</v>
      </c>
      <c r="AN101" s="710">
        <f t="shared" si="94"/>
        <v>0</v>
      </c>
      <c r="AO101" s="711">
        <f t="shared" si="95"/>
        <v>0</v>
      </c>
      <c r="AP101" s="707">
        <f t="shared" si="96"/>
        <v>0</v>
      </c>
      <c r="AQ101" s="707">
        <f t="shared" si="97"/>
        <v>0</v>
      </c>
      <c r="AR101" s="707">
        <f t="shared" si="98"/>
        <v>0</v>
      </c>
      <c r="AS101" s="712">
        <f t="shared" si="99"/>
        <v>0</v>
      </c>
      <c r="AV101" s="1559"/>
      <c r="AW101" s="1428" t="str">
        <f t="shared" si="48"/>
        <v>Rev</v>
      </c>
      <c r="AX101" s="1429" t="str">
        <f t="shared" si="36"/>
        <v>Water</v>
      </c>
      <c r="AY101" s="1430" t="str">
        <f t="shared" si="49"/>
        <v>Fixed</v>
      </c>
      <c r="AZ101" s="1431">
        <f t="shared" si="143"/>
        <v>4.4996944772155434E-3</v>
      </c>
      <c r="BA101" s="1431">
        <f t="shared" si="143"/>
        <v>-1.3146362839614234E-2</v>
      </c>
      <c r="BB101" s="1431">
        <f t="shared" si="143"/>
        <v>-2.1440823327615877E-2</v>
      </c>
      <c r="BC101" s="1431">
        <f t="shared" si="51"/>
        <v>-2.3364643774408611E-2</v>
      </c>
      <c r="BD101" s="1431">
        <f t="shared" si="52"/>
        <v>-1.49150532974065E-2</v>
      </c>
      <c r="BE101" s="1431">
        <f t="shared" si="53"/>
        <v>-1</v>
      </c>
      <c r="BF101" s="1431" t="str">
        <f t="shared" si="54"/>
        <v>-</v>
      </c>
      <c r="BG101" s="1432" t="str">
        <f t="shared" si="55"/>
        <v>-</v>
      </c>
      <c r="BH101" s="1431" t="str">
        <f t="shared" si="56"/>
        <v>-</v>
      </c>
      <c r="BI101" s="1431" t="str">
        <f t="shared" si="57"/>
        <v>-</v>
      </c>
      <c r="BJ101" s="1431" t="str">
        <f t="shared" si="58"/>
        <v>-</v>
      </c>
      <c r="BK101" s="1431" t="str">
        <f t="shared" si="59"/>
        <v>-</v>
      </c>
      <c r="BL101" s="1433" t="str">
        <f t="shared" si="60"/>
        <v>-</v>
      </c>
      <c r="BM101" s="1431" t="str">
        <f t="shared" si="61"/>
        <v>-</v>
      </c>
      <c r="BN101" s="1431" t="str">
        <f t="shared" si="62"/>
        <v>-</v>
      </c>
      <c r="BO101" s="1431" t="str">
        <f t="shared" si="63"/>
        <v>-</v>
      </c>
      <c r="BP101" s="1431" t="str">
        <f t="shared" si="64"/>
        <v>-</v>
      </c>
      <c r="BQ101" s="1434" t="str">
        <f t="shared" si="65"/>
        <v>-</v>
      </c>
      <c r="BR101" s="1378"/>
      <c r="BS101" s="1407"/>
      <c r="BT101" s="1408"/>
      <c r="BU101" s="1409"/>
      <c r="BV101" s="1410"/>
      <c r="BW101" s="1378"/>
      <c r="BX101" s="1428" t="str">
        <f t="shared" si="66"/>
        <v>Rev</v>
      </c>
      <c r="BY101" s="1429" t="str">
        <f t="shared" si="67"/>
        <v>Water</v>
      </c>
      <c r="BZ101" s="1430" t="str">
        <f t="shared" si="68"/>
        <v>Fixed</v>
      </c>
      <c r="CA101" s="1435">
        <f t="shared" ref="CA101:CR101" si="148">IFERROR((P101/O101-1)*(O101/O$13),"-")</f>
        <v>2.417790790050278E-6</v>
      </c>
      <c r="CB101" s="1431">
        <f t="shared" si="148"/>
        <v>-6.9161951056714814E-6</v>
      </c>
      <c r="CC101" s="1431">
        <f t="shared" si="148"/>
        <v>-1.1332441633758315E-5</v>
      </c>
      <c r="CD101" s="1431">
        <f t="shared" si="148"/>
        <v>-1.2308629352663322E-5</v>
      </c>
      <c r="CE101" s="1431">
        <f t="shared" si="148"/>
        <v>-7.9424169988645288E-6</v>
      </c>
      <c r="CF101" s="1431">
        <f t="shared" si="148"/>
        <v>-5.0659358186802529E-4</v>
      </c>
      <c r="CG101" s="1431" t="str">
        <f t="shared" si="148"/>
        <v>-</v>
      </c>
      <c r="CH101" s="1433" t="str">
        <f t="shared" si="148"/>
        <v>-</v>
      </c>
      <c r="CI101" s="1431" t="str">
        <f t="shared" si="148"/>
        <v>-</v>
      </c>
      <c r="CJ101" s="1431" t="str">
        <f t="shared" si="148"/>
        <v>-</v>
      </c>
      <c r="CK101" s="1431" t="str">
        <f t="shared" si="148"/>
        <v>-</v>
      </c>
      <c r="CL101" s="1431" t="str">
        <f t="shared" si="148"/>
        <v>-</v>
      </c>
      <c r="CM101" s="1433" t="str">
        <f t="shared" si="148"/>
        <v>-</v>
      </c>
      <c r="CN101" s="1431" t="str">
        <f t="shared" si="148"/>
        <v>-</v>
      </c>
      <c r="CO101" s="1431" t="str">
        <f t="shared" si="148"/>
        <v>-</v>
      </c>
      <c r="CP101" s="1431" t="str">
        <f t="shared" si="148"/>
        <v>-</v>
      </c>
      <c r="CQ101" s="1431" t="str">
        <f t="shared" si="148"/>
        <v>-</v>
      </c>
      <c r="CR101" s="1434" t="str">
        <f t="shared" si="148"/>
        <v>-</v>
      </c>
      <c r="CS101" s="1378"/>
      <c r="CT101" s="1428" t="str">
        <f t="shared" si="39"/>
        <v>Rev</v>
      </c>
      <c r="CU101" s="1429" t="str">
        <f t="shared" si="40"/>
        <v>Water</v>
      </c>
      <c r="CV101" s="1429" t="str">
        <f t="shared" si="41"/>
        <v>Fixed</v>
      </c>
      <c r="CW101" s="1435" t="str">
        <f t="shared" si="70"/>
        <v>-</v>
      </c>
      <c r="CX101" s="1431" t="str">
        <f t="shared" si="71"/>
        <v>-</v>
      </c>
      <c r="CY101" s="1431" t="str">
        <f t="shared" si="72"/>
        <v>-</v>
      </c>
      <c r="CZ101" s="1434" t="str">
        <f t="shared" si="73"/>
        <v>-</v>
      </c>
      <c r="DA101" s="1431" t="str">
        <f t="shared" si="74"/>
        <v>-</v>
      </c>
      <c r="DB101" s="1431" t="str">
        <f t="shared" si="75"/>
        <v>-</v>
      </c>
      <c r="DC101" s="1431" t="str">
        <f t="shared" si="76"/>
        <v>-</v>
      </c>
      <c r="DD101" s="1431" t="str">
        <f t="shared" si="77"/>
        <v>-</v>
      </c>
      <c r="DE101" s="1434" t="str">
        <f t="shared" si="78"/>
        <v>-</v>
      </c>
      <c r="DF101" s="1378"/>
      <c r="DG101" s="1428" t="str">
        <f t="shared" si="139"/>
        <v>Rev</v>
      </c>
      <c r="DH101" s="1429" t="str">
        <f t="shared" si="140"/>
        <v>Water</v>
      </c>
      <c r="DI101" s="1429" t="str">
        <f t="shared" si="141"/>
        <v>Fixed</v>
      </c>
      <c r="DJ101" s="1429"/>
      <c r="DK101" s="1435" t="str">
        <f t="shared" si="79"/>
        <v>-</v>
      </c>
      <c r="DL101" s="1431" t="str">
        <f t="shared" si="80"/>
        <v>-</v>
      </c>
      <c r="DM101" s="1431" t="str">
        <f t="shared" si="81"/>
        <v>-</v>
      </c>
      <c r="DN101" s="1433" t="str">
        <f t="shared" si="82"/>
        <v>-</v>
      </c>
      <c r="DO101" s="1431" t="str">
        <f t="shared" si="83"/>
        <v>-</v>
      </c>
      <c r="DP101" s="1431" t="str">
        <f t="shared" si="84"/>
        <v>-</v>
      </c>
      <c r="DQ101" s="1431" t="str">
        <f t="shared" si="85"/>
        <v>-</v>
      </c>
      <c r="DR101" s="1434" t="str">
        <f t="shared" si="86"/>
        <v>-</v>
      </c>
    </row>
    <row r="102" spans="4:122">
      <c r="D102" s="70">
        <f>D99+1</f>
        <v>13</v>
      </c>
      <c r="E102" s="713" t="s">
        <v>44</v>
      </c>
      <c r="F102" s="1532" t="s">
        <v>20</v>
      </c>
      <c r="G102" s="1532" t="s">
        <v>875</v>
      </c>
      <c r="H102" s="1532"/>
      <c r="I102" s="781" t="s">
        <v>319</v>
      </c>
      <c r="J102" s="781" t="s">
        <v>345</v>
      </c>
      <c r="K102" s="1533"/>
      <c r="L102" s="1534"/>
      <c r="M102" s="1534"/>
      <c r="N102" s="1535"/>
      <c r="O102" s="2071">
        <v>58343.324117647055</v>
      </c>
      <c r="P102" s="1547">
        <v>58605.860968028413</v>
      </c>
      <c r="Q102" s="1547">
        <v>57835.407055214724</v>
      </c>
      <c r="R102" s="1547">
        <v>56595.368310463113</v>
      </c>
      <c r="S102" s="1547">
        <v>55273.046259541981</v>
      </c>
      <c r="T102" s="1547">
        <v>54448.640169491518</v>
      </c>
      <c r="U102" s="1547">
        <v>55370.203665158377</v>
      </c>
      <c r="V102" s="1547">
        <v>55469.940742358078</v>
      </c>
      <c r="W102" s="1547">
        <v>55990.07</v>
      </c>
      <c r="X102" s="1550">
        <v>58939.774146002623</v>
      </c>
      <c r="Y102" s="1551">
        <v>62044.474731331182</v>
      </c>
      <c r="Z102" s="1551">
        <v>65312.311280191541</v>
      </c>
      <c r="AA102" s="1551">
        <v>68751.848690800281</v>
      </c>
      <c r="AB102" s="1595">
        <v>72372.102267828377</v>
      </c>
      <c r="AC102" s="1550">
        <v>73530.055904113629</v>
      </c>
      <c r="AD102" s="1551">
        <v>74706.536798579444</v>
      </c>
      <c r="AE102" s="1551">
        <v>75901.841387356719</v>
      </c>
      <c r="AF102" s="1551">
        <v>77116.270849554421</v>
      </c>
      <c r="AG102" s="1552">
        <v>78350.131183147299</v>
      </c>
      <c r="AH102" s="697"/>
      <c r="AI102" s="707"/>
      <c r="AJ102" s="709">
        <f t="shared" si="90"/>
        <v>58939.774146002623</v>
      </c>
      <c r="AK102" s="710">
        <f t="shared" si="91"/>
        <v>62044.474731331182</v>
      </c>
      <c r="AL102" s="710">
        <f t="shared" si="92"/>
        <v>65312.311280191541</v>
      </c>
      <c r="AM102" s="710">
        <f t="shared" si="93"/>
        <v>68751.848690800281</v>
      </c>
      <c r="AN102" s="710">
        <f t="shared" si="94"/>
        <v>72372.102267828377</v>
      </c>
      <c r="AO102" s="711">
        <f t="shared" si="95"/>
        <v>73530.055904113629</v>
      </c>
      <c r="AP102" s="707">
        <f t="shared" si="96"/>
        <v>74706.536798579444</v>
      </c>
      <c r="AQ102" s="707">
        <f t="shared" si="97"/>
        <v>75901.841387356719</v>
      </c>
      <c r="AR102" s="707">
        <f t="shared" si="98"/>
        <v>77116.270849554421</v>
      </c>
      <c r="AS102" s="712">
        <f t="shared" si="99"/>
        <v>78350.131183147299</v>
      </c>
      <c r="AU102" s="1369"/>
      <c r="AV102" s="1559"/>
      <c r="AW102" s="1412" t="str">
        <f t="shared" si="48"/>
        <v>Price</v>
      </c>
      <c r="AX102" s="1413" t="str">
        <f t="shared" si="36"/>
        <v>Water</v>
      </c>
      <c r="AY102" s="1414" t="str">
        <f t="shared" si="49"/>
        <v>Fixed</v>
      </c>
      <c r="AZ102" s="1415">
        <f t="shared" si="143"/>
        <v>4.4998610269781913E-3</v>
      </c>
      <c r="BA102" s="1415">
        <f t="shared" si="143"/>
        <v>-1.3146362839614234E-2</v>
      </c>
      <c r="BB102" s="1415">
        <f t="shared" si="143"/>
        <v>-2.1440823327615988E-2</v>
      </c>
      <c r="BC102" s="1415">
        <f t="shared" si="51"/>
        <v>-2.3364492367419887E-2</v>
      </c>
      <c r="BD102" s="1415">
        <f t="shared" si="52"/>
        <v>-1.4915155683284609E-2</v>
      </c>
      <c r="BE102" s="1415">
        <f t="shared" si="53"/>
        <v>1.6925372108433701E-2</v>
      </c>
      <c r="BF102" s="1415">
        <f t="shared" si="54"/>
        <v>1.8012770515138943E-3</v>
      </c>
      <c r="BG102" s="1416">
        <f t="shared" si="55"/>
        <v>9.3767768755652625E-3</v>
      </c>
      <c r="BH102" s="1417">
        <f t="shared" si="56"/>
        <v>5.2682630080702175E-2</v>
      </c>
      <c r="BI102" s="1417">
        <f t="shared" si="57"/>
        <v>5.2675814088424477E-2</v>
      </c>
      <c r="BJ102" s="1417">
        <f t="shared" si="58"/>
        <v>5.2669259640136357E-2</v>
      </c>
      <c r="BK102" s="1417">
        <f t="shared" si="59"/>
        <v>5.2662925919939152E-2</v>
      </c>
      <c r="BL102" s="1418">
        <f t="shared" si="60"/>
        <v>5.2656817903320219E-2</v>
      </c>
      <c r="BM102" s="1417">
        <f t="shared" si="61"/>
        <v>1.6000000000000014E-2</v>
      </c>
      <c r="BN102" s="1417">
        <f t="shared" si="62"/>
        <v>1.6000000000000014E-2</v>
      </c>
      <c r="BO102" s="1417">
        <f t="shared" si="63"/>
        <v>1.6000000000000014E-2</v>
      </c>
      <c r="BP102" s="1417">
        <f t="shared" si="64"/>
        <v>1.6000000000000014E-2</v>
      </c>
      <c r="BQ102" s="1419">
        <f t="shared" si="65"/>
        <v>1.6000000000000014E-2</v>
      </c>
      <c r="BR102" s="1378"/>
      <c r="BS102" s="1420"/>
      <c r="BT102" s="1421"/>
      <c r="BU102" s="1422"/>
      <c r="BV102" s="1423"/>
      <c r="BW102" s="1378"/>
      <c r="BX102" s="1412" t="str">
        <f t="shared" si="66"/>
        <v>Price</v>
      </c>
      <c r="BY102" s="1413" t="str">
        <f t="shared" si="67"/>
        <v>Water</v>
      </c>
      <c r="BZ102" s="1414" t="str">
        <f t="shared" si="68"/>
        <v>Fixed</v>
      </c>
      <c r="CA102" s="1424">
        <f t="shared" ref="CA102:CR102" si="149">IFERROR((P102/O102-1)*(O104/O$13),"-")</f>
        <v>3.4817921336277145E-6</v>
      </c>
      <c r="CB102" s="1415">
        <f t="shared" si="149"/>
        <v>-9.9594499753572044E-6</v>
      </c>
      <c r="CC102" s="1415">
        <f t="shared" si="149"/>
        <v>-1.6318927361884182E-5</v>
      </c>
      <c r="CD102" s="1415">
        <f t="shared" si="149"/>
        <v>-1.772454102923265E-5</v>
      </c>
      <c r="CE102" s="1415">
        <f t="shared" si="149"/>
        <v>-1.1437308931076371E-5</v>
      </c>
      <c r="CF102" s="1415">
        <f t="shared" si="149"/>
        <v>1.234713081452378E-5</v>
      </c>
      <c r="CG102" s="1415">
        <f t="shared" si="149"/>
        <v>1.2719025237444035E-6</v>
      </c>
      <c r="CH102" s="1425">
        <f t="shared" si="149"/>
        <v>1.266360488119233E-5</v>
      </c>
      <c r="CI102" s="1417">
        <f t="shared" si="149"/>
        <v>7.3127496068062746E-5</v>
      </c>
      <c r="CJ102" s="1417">
        <f t="shared" si="149"/>
        <v>7.1551037959926469E-5</v>
      </c>
      <c r="CK102" s="1417">
        <f t="shared" si="149"/>
        <v>7.0790013368181228E-5</v>
      </c>
      <c r="CL102" s="1417">
        <f t="shared" si="149"/>
        <v>7.0033948638777895E-5</v>
      </c>
      <c r="CM102" s="1418">
        <f t="shared" si="149"/>
        <v>6.9270475809138311E-5</v>
      </c>
      <c r="CN102" s="1417">
        <f t="shared" si="149"/>
        <v>2.0824002103773558E-5</v>
      </c>
      <c r="CO102" s="1417">
        <f t="shared" si="149"/>
        <v>2.0587489396817404E-5</v>
      </c>
      <c r="CP102" s="1417">
        <f t="shared" si="149"/>
        <v>2.0348433811586424E-5</v>
      </c>
      <c r="CQ102" s="1417">
        <f t="shared" si="149"/>
        <v>2.0114471292224143E-5</v>
      </c>
      <c r="CR102" s="1419">
        <f t="shared" si="149"/>
        <v>1.9873468041072043E-5</v>
      </c>
      <c r="CS102" s="1378"/>
      <c r="CT102" s="1412" t="str">
        <f t="shared" si="39"/>
        <v>Price</v>
      </c>
      <c r="CU102" s="1413" t="str">
        <f t="shared" si="40"/>
        <v>Water</v>
      </c>
      <c r="CV102" s="1426" t="str">
        <f t="shared" si="41"/>
        <v>Fixed</v>
      </c>
      <c r="CW102" s="1427">
        <f t="shared" si="70"/>
        <v>5.2679222079046628E-2</v>
      </c>
      <c r="CX102" s="1417">
        <f t="shared" si="71"/>
        <v>5.2675901255600621E-2</v>
      </c>
      <c r="CY102" s="1417">
        <f t="shared" si="72"/>
        <v>5.2672657406691359E-2</v>
      </c>
      <c r="CZ102" s="1419">
        <f t="shared" si="73"/>
        <v>5.2669489486949939E-2</v>
      </c>
      <c r="DA102" s="1417">
        <f t="shared" si="74"/>
        <v>4.6467265205529573E-2</v>
      </c>
      <c r="DB102" s="1417">
        <f t="shared" si="75"/>
        <v>4.2059490781056752E-2</v>
      </c>
      <c r="DC102" s="1417">
        <f t="shared" si="76"/>
        <v>3.8765848034489014E-2</v>
      </c>
      <c r="DD102" s="1417">
        <f t="shared" si="77"/>
        <v>3.6211324783370191E-2</v>
      </c>
      <c r="DE102" s="1419">
        <f t="shared" si="78"/>
        <v>3.4172230007526894E-2</v>
      </c>
      <c r="DF102" s="1378"/>
      <c r="DG102" s="1412" t="str">
        <f t="shared" si="139"/>
        <v>Price</v>
      </c>
      <c r="DH102" s="1413" t="str">
        <f t="shared" si="140"/>
        <v>Water</v>
      </c>
      <c r="DI102" s="1426" t="str">
        <f t="shared" si="141"/>
        <v>Fixed</v>
      </c>
      <c r="DJ102" s="1426"/>
      <c r="DK102" s="1427">
        <f t="shared" si="79"/>
        <v>5.2672536859178942E-2</v>
      </c>
      <c r="DL102" s="1417">
        <f t="shared" si="80"/>
        <v>5.2669333203015922E-2</v>
      </c>
      <c r="DM102" s="1417">
        <f t="shared" si="81"/>
        <v>5.2666204364142155E-2</v>
      </c>
      <c r="DN102" s="1418">
        <f t="shared" si="82"/>
        <v>4.5228602875644786E-2</v>
      </c>
      <c r="DO102" s="1417">
        <f t="shared" si="83"/>
        <v>4.0299419463216912E-2</v>
      </c>
      <c r="DP102" s="1417">
        <f t="shared" si="84"/>
        <v>3.6792812501884598E-2</v>
      </c>
      <c r="DQ102" s="1417">
        <f t="shared" si="85"/>
        <v>3.4170616307564794E-2</v>
      </c>
      <c r="DR102" s="1419">
        <f t="shared" si="86"/>
        <v>3.2135716259993563E-2</v>
      </c>
    </row>
    <row r="103" spans="4:122">
      <c r="E103" s="742" t="s">
        <v>45</v>
      </c>
      <c r="F103" s="722" t="str">
        <f>+F102</f>
        <v>Water</v>
      </c>
      <c r="G103" s="723" t="str">
        <f>+G102</f>
        <v>Fixed tariff group - 1 -300mm</v>
      </c>
      <c r="H103" s="723">
        <f>+H102</f>
        <v>0</v>
      </c>
      <c r="I103" s="724" t="str">
        <f>+I102</f>
        <v>Fixed</v>
      </c>
      <c r="J103" s="782" t="s">
        <v>323</v>
      </c>
      <c r="K103" s="1540"/>
      <c r="L103" s="1541"/>
      <c r="M103" s="1541"/>
      <c r="N103" s="1542"/>
      <c r="O103" s="2031">
        <v>1</v>
      </c>
      <c r="P103" s="1543">
        <v>1</v>
      </c>
      <c r="Q103" s="1543">
        <v>1</v>
      </c>
      <c r="R103" s="1543">
        <v>1</v>
      </c>
      <c r="S103" s="1543">
        <v>1</v>
      </c>
      <c r="T103" s="1543">
        <v>1</v>
      </c>
      <c r="U103" s="1543">
        <v>1</v>
      </c>
      <c r="V103" s="1543">
        <v>2</v>
      </c>
      <c r="W103" s="1543">
        <v>2</v>
      </c>
      <c r="X103" s="1544">
        <v>2</v>
      </c>
      <c r="Y103" s="1543">
        <v>2</v>
      </c>
      <c r="Z103" s="1543">
        <v>2</v>
      </c>
      <c r="AA103" s="1543">
        <v>2</v>
      </c>
      <c r="AB103" s="1543">
        <v>2</v>
      </c>
      <c r="AC103" s="1544">
        <v>2</v>
      </c>
      <c r="AD103" s="1543">
        <v>2</v>
      </c>
      <c r="AE103" s="1543">
        <v>2</v>
      </c>
      <c r="AF103" s="1543">
        <v>2</v>
      </c>
      <c r="AG103" s="788">
        <v>2</v>
      </c>
      <c r="AH103" s="697"/>
      <c r="AI103" s="707"/>
      <c r="AJ103" s="709">
        <f t="shared" si="90"/>
        <v>2</v>
      </c>
      <c r="AK103" s="710">
        <f t="shared" si="91"/>
        <v>2</v>
      </c>
      <c r="AL103" s="710">
        <f t="shared" si="92"/>
        <v>2</v>
      </c>
      <c r="AM103" s="710">
        <f t="shared" si="93"/>
        <v>2</v>
      </c>
      <c r="AN103" s="710">
        <f t="shared" si="94"/>
        <v>2</v>
      </c>
      <c r="AO103" s="711">
        <f t="shared" si="95"/>
        <v>2</v>
      </c>
      <c r="AP103" s="707">
        <f t="shared" si="96"/>
        <v>2</v>
      </c>
      <c r="AQ103" s="707">
        <f t="shared" si="97"/>
        <v>2</v>
      </c>
      <c r="AR103" s="707">
        <f t="shared" si="98"/>
        <v>2</v>
      </c>
      <c r="AS103" s="712">
        <f t="shared" si="99"/>
        <v>2</v>
      </c>
      <c r="AV103" s="1559"/>
      <c r="AW103" s="1392" t="str">
        <f t="shared" si="48"/>
        <v>Qty</v>
      </c>
      <c r="AX103" s="1393" t="str">
        <f t="shared" si="36"/>
        <v>Water</v>
      </c>
      <c r="AY103" s="1394" t="str">
        <f t="shared" si="49"/>
        <v>Fixed</v>
      </c>
      <c r="AZ103" s="1395">
        <f t="shared" si="143"/>
        <v>0</v>
      </c>
      <c r="BA103" s="1395">
        <f t="shared" si="143"/>
        <v>0</v>
      </c>
      <c r="BB103" s="1395">
        <f t="shared" si="143"/>
        <v>0</v>
      </c>
      <c r="BC103" s="1395">
        <f t="shared" si="51"/>
        <v>0</v>
      </c>
      <c r="BD103" s="1395">
        <f t="shared" si="52"/>
        <v>0</v>
      </c>
      <c r="BE103" s="1395">
        <f t="shared" si="53"/>
        <v>0</v>
      </c>
      <c r="BF103" s="1395">
        <f t="shared" si="54"/>
        <v>1</v>
      </c>
      <c r="BG103" s="1396">
        <f t="shared" si="55"/>
        <v>0</v>
      </c>
      <c r="BH103" s="1395">
        <f t="shared" si="56"/>
        <v>0</v>
      </c>
      <c r="BI103" s="1395">
        <f t="shared" si="57"/>
        <v>0</v>
      </c>
      <c r="BJ103" s="1395">
        <f t="shared" si="58"/>
        <v>0</v>
      </c>
      <c r="BK103" s="1395">
        <f t="shared" si="59"/>
        <v>0</v>
      </c>
      <c r="BL103" s="1397">
        <f t="shared" si="60"/>
        <v>0</v>
      </c>
      <c r="BM103" s="1395">
        <f t="shared" si="61"/>
        <v>0</v>
      </c>
      <c r="BN103" s="1395">
        <f t="shared" si="62"/>
        <v>0</v>
      </c>
      <c r="BO103" s="1395">
        <f t="shared" si="63"/>
        <v>0</v>
      </c>
      <c r="BP103" s="1395">
        <f t="shared" si="64"/>
        <v>0</v>
      </c>
      <c r="BQ103" s="1398">
        <f t="shared" si="65"/>
        <v>0</v>
      </c>
      <c r="BR103" s="1378"/>
      <c r="BS103" s="1329"/>
      <c r="BT103" s="1399"/>
      <c r="BU103" s="1331"/>
      <c r="BV103" s="1400"/>
      <c r="BW103" s="1378"/>
      <c r="BX103" s="1392" t="str">
        <f t="shared" si="66"/>
        <v>Qty</v>
      </c>
      <c r="BY103" s="1393" t="str">
        <f t="shared" si="67"/>
        <v>Water</v>
      </c>
      <c r="BZ103" s="1394" t="str">
        <f t="shared" si="68"/>
        <v>Fixed</v>
      </c>
      <c r="CA103" s="1401">
        <f t="shared" ref="CA103:CR103" si="150">IFERROR((P103/O103-1)*(O104/O$13),"-")</f>
        <v>0</v>
      </c>
      <c r="CB103" s="1395">
        <f t="shared" si="150"/>
        <v>0</v>
      </c>
      <c r="CC103" s="1395">
        <f t="shared" si="150"/>
        <v>0</v>
      </c>
      <c r="CD103" s="1395">
        <f t="shared" si="150"/>
        <v>0</v>
      </c>
      <c r="CE103" s="1395">
        <f t="shared" si="150"/>
        <v>0</v>
      </c>
      <c r="CF103" s="1395">
        <f t="shared" si="150"/>
        <v>0</v>
      </c>
      <c r="CG103" s="1395">
        <f t="shared" si="150"/>
        <v>7.0611154606973158E-4</v>
      </c>
      <c r="CH103" s="1397">
        <f t="shared" si="150"/>
        <v>0</v>
      </c>
      <c r="CI103" s="1395">
        <f t="shared" si="150"/>
        <v>0</v>
      </c>
      <c r="CJ103" s="1395">
        <f t="shared" si="150"/>
        <v>0</v>
      </c>
      <c r="CK103" s="1395">
        <f t="shared" si="150"/>
        <v>0</v>
      </c>
      <c r="CL103" s="1395">
        <f t="shared" si="150"/>
        <v>0</v>
      </c>
      <c r="CM103" s="1397">
        <f t="shared" si="150"/>
        <v>0</v>
      </c>
      <c r="CN103" s="1395">
        <f t="shared" si="150"/>
        <v>0</v>
      </c>
      <c r="CO103" s="1395">
        <f t="shared" si="150"/>
        <v>0</v>
      </c>
      <c r="CP103" s="1395">
        <f t="shared" si="150"/>
        <v>0</v>
      </c>
      <c r="CQ103" s="1395">
        <f t="shared" si="150"/>
        <v>0</v>
      </c>
      <c r="CR103" s="1398">
        <f t="shared" si="150"/>
        <v>0</v>
      </c>
      <c r="CS103" s="1378"/>
      <c r="CT103" s="1392" t="str">
        <f t="shared" si="39"/>
        <v>Qty</v>
      </c>
      <c r="CU103" s="1393" t="str">
        <f t="shared" si="40"/>
        <v>Water</v>
      </c>
      <c r="CV103" s="1393" t="str">
        <f t="shared" si="41"/>
        <v>Fixed</v>
      </c>
      <c r="CW103" s="1401">
        <f t="shared" si="70"/>
        <v>0</v>
      </c>
      <c r="CX103" s="1395">
        <f t="shared" si="71"/>
        <v>0</v>
      </c>
      <c r="CY103" s="1395">
        <f t="shared" si="72"/>
        <v>0</v>
      </c>
      <c r="CZ103" s="1398">
        <f t="shared" si="73"/>
        <v>0</v>
      </c>
      <c r="DA103" s="1395">
        <f t="shared" si="74"/>
        <v>0</v>
      </c>
      <c r="DB103" s="1395">
        <f t="shared" si="75"/>
        <v>0</v>
      </c>
      <c r="DC103" s="1395">
        <f t="shared" si="76"/>
        <v>0</v>
      </c>
      <c r="DD103" s="1395">
        <f t="shared" si="77"/>
        <v>0</v>
      </c>
      <c r="DE103" s="1398">
        <f t="shared" si="78"/>
        <v>0</v>
      </c>
      <c r="DF103" s="1378"/>
      <c r="DG103" s="1392" t="str">
        <f t="shared" si="139"/>
        <v>Qty</v>
      </c>
      <c r="DH103" s="1393" t="str">
        <f t="shared" si="140"/>
        <v>Water</v>
      </c>
      <c r="DI103" s="1393" t="str">
        <f t="shared" si="141"/>
        <v>Fixed</v>
      </c>
      <c r="DJ103" s="1393"/>
      <c r="DK103" s="1401">
        <f t="shared" si="79"/>
        <v>0</v>
      </c>
      <c r="DL103" s="1395">
        <f t="shared" si="80"/>
        <v>0</v>
      </c>
      <c r="DM103" s="1395">
        <f t="shared" si="81"/>
        <v>0</v>
      </c>
      <c r="DN103" s="1397">
        <f t="shared" si="82"/>
        <v>0</v>
      </c>
      <c r="DO103" s="1395">
        <f t="shared" si="83"/>
        <v>0</v>
      </c>
      <c r="DP103" s="1395">
        <f t="shared" si="84"/>
        <v>0</v>
      </c>
      <c r="DQ103" s="1395">
        <f t="shared" si="85"/>
        <v>0</v>
      </c>
      <c r="DR103" s="1398">
        <f t="shared" si="86"/>
        <v>0</v>
      </c>
    </row>
    <row r="104" spans="4:122" ht="12.75" thickBot="1">
      <c r="E104" s="743" t="s">
        <v>46</v>
      </c>
      <c r="F104" s="732" t="str">
        <f>+F102</f>
        <v>Water</v>
      </c>
      <c r="G104" s="733" t="str">
        <f>+G102</f>
        <v>Fixed tariff group - 1 -300mm</v>
      </c>
      <c r="H104" s="733">
        <f>+H102</f>
        <v>0</v>
      </c>
      <c r="I104" s="734" t="str">
        <f>+I102</f>
        <v>Fixed</v>
      </c>
      <c r="J104" s="735" t="s">
        <v>344</v>
      </c>
      <c r="K104" s="736">
        <f t="shared" ref="K104:AG104" si="151">K102*K103/10^6</f>
        <v>0</v>
      </c>
      <c r="L104" s="737">
        <f t="shared" si="151"/>
        <v>0</v>
      </c>
      <c r="M104" s="737">
        <f t="shared" si="151"/>
        <v>0</v>
      </c>
      <c r="N104" s="738">
        <f t="shared" si="151"/>
        <v>0</v>
      </c>
      <c r="O104" s="1923">
        <f t="shared" si="151"/>
        <v>5.8343324117647054E-2</v>
      </c>
      <c r="P104" s="737">
        <f t="shared" si="151"/>
        <v>5.860586096802841E-2</v>
      </c>
      <c r="Q104" s="737">
        <f t="shared" si="151"/>
        <v>5.7835407055214727E-2</v>
      </c>
      <c r="R104" s="737">
        <f t="shared" si="151"/>
        <v>5.6595368310463114E-2</v>
      </c>
      <c r="S104" s="737">
        <f t="shared" si="151"/>
        <v>5.5273046259541984E-2</v>
      </c>
      <c r="T104" s="1531">
        <f t="shared" si="151"/>
        <v>5.4448640169491518E-2</v>
      </c>
      <c r="U104" s="737">
        <f t="shared" si="151"/>
        <v>5.537020366515838E-2</v>
      </c>
      <c r="V104" s="737">
        <f t="shared" si="151"/>
        <v>0.11093988148471616</v>
      </c>
      <c r="W104" s="737">
        <f t="shared" si="151"/>
        <v>0.11198014000000001</v>
      </c>
      <c r="X104" s="738">
        <f t="shared" si="151"/>
        <v>0.11787954829200524</v>
      </c>
      <c r="Y104" s="737">
        <f t="shared" si="151"/>
        <v>0.12408894946266236</v>
      </c>
      <c r="Z104" s="737">
        <f t="shared" si="151"/>
        <v>0.13062462256038307</v>
      </c>
      <c r="AA104" s="737">
        <f t="shared" si="151"/>
        <v>0.13750369738160056</v>
      </c>
      <c r="AB104" s="737">
        <f t="shared" si="151"/>
        <v>0.14474420453565676</v>
      </c>
      <c r="AC104" s="738">
        <f t="shared" si="151"/>
        <v>0.14706011180822726</v>
      </c>
      <c r="AD104" s="737">
        <f t="shared" si="151"/>
        <v>0.14941307359715889</v>
      </c>
      <c r="AE104" s="737">
        <f t="shared" si="151"/>
        <v>0.15180368277471343</v>
      </c>
      <c r="AF104" s="737">
        <f t="shared" si="151"/>
        <v>0.15423254169910885</v>
      </c>
      <c r="AG104" s="739">
        <f t="shared" si="151"/>
        <v>0.15670026236629461</v>
      </c>
      <c r="AH104" s="697"/>
      <c r="AI104" s="707"/>
      <c r="AJ104" s="709">
        <f t="shared" si="90"/>
        <v>0.11787954829200524</v>
      </c>
      <c r="AK104" s="710">
        <f t="shared" si="91"/>
        <v>0.12408894946266236</v>
      </c>
      <c r="AL104" s="710">
        <f t="shared" si="92"/>
        <v>0.13062462256038307</v>
      </c>
      <c r="AM104" s="710">
        <f t="shared" si="93"/>
        <v>0.13750369738160056</v>
      </c>
      <c r="AN104" s="710">
        <f t="shared" si="94"/>
        <v>0.14474420453565676</v>
      </c>
      <c r="AO104" s="711">
        <f t="shared" si="95"/>
        <v>0.14706011180822726</v>
      </c>
      <c r="AP104" s="707">
        <f t="shared" si="96"/>
        <v>0.14941307359715889</v>
      </c>
      <c r="AQ104" s="707">
        <f t="shared" si="97"/>
        <v>0.15180368277471343</v>
      </c>
      <c r="AR104" s="707">
        <f t="shared" si="98"/>
        <v>0.15423254169910885</v>
      </c>
      <c r="AS104" s="712">
        <f t="shared" si="99"/>
        <v>0.15670026236629461</v>
      </c>
      <c r="AV104" s="1559"/>
      <c r="AW104" s="1428" t="str">
        <f t="shared" si="48"/>
        <v>Rev</v>
      </c>
      <c r="AX104" s="1429" t="str">
        <f t="shared" si="36"/>
        <v>Water</v>
      </c>
      <c r="AY104" s="1430" t="str">
        <f t="shared" si="49"/>
        <v>Fixed</v>
      </c>
      <c r="AZ104" s="1431">
        <f t="shared" si="143"/>
        <v>4.4998610269781913E-3</v>
      </c>
      <c r="BA104" s="1431">
        <f t="shared" si="143"/>
        <v>-1.3146362839614123E-2</v>
      </c>
      <c r="BB104" s="1431">
        <f t="shared" si="143"/>
        <v>-2.1440823327615988E-2</v>
      </c>
      <c r="BC104" s="1431">
        <f t="shared" si="51"/>
        <v>-2.3364492367419776E-2</v>
      </c>
      <c r="BD104" s="1431">
        <f t="shared" si="52"/>
        <v>-1.491515568328472E-2</v>
      </c>
      <c r="BE104" s="1431">
        <f t="shared" si="53"/>
        <v>1.6925372108433923E-2</v>
      </c>
      <c r="BF104" s="1431">
        <f t="shared" si="54"/>
        <v>1.0036025541030278</v>
      </c>
      <c r="BG104" s="1432">
        <f t="shared" si="55"/>
        <v>9.3767768755652625E-3</v>
      </c>
      <c r="BH104" s="1431">
        <f t="shared" si="56"/>
        <v>5.2682630080702175E-2</v>
      </c>
      <c r="BI104" s="1431">
        <f t="shared" si="57"/>
        <v>5.2675814088424477E-2</v>
      </c>
      <c r="BJ104" s="1431">
        <f t="shared" si="58"/>
        <v>5.2669259640136357E-2</v>
      </c>
      <c r="BK104" s="1431">
        <f t="shared" si="59"/>
        <v>5.2662925919939374E-2</v>
      </c>
      <c r="BL104" s="1433">
        <f t="shared" si="60"/>
        <v>5.2656817903320219E-2</v>
      </c>
      <c r="BM104" s="1431">
        <f t="shared" si="61"/>
        <v>1.6000000000000014E-2</v>
      </c>
      <c r="BN104" s="1431">
        <f t="shared" si="62"/>
        <v>1.6000000000000014E-2</v>
      </c>
      <c r="BO104" s="1431">
        <f t="shared" si="63"/>
        <v>1.6000000000000014E-2</v>
      </c>
      <c r="BP104" s="1431">
        <f t="shared" si="64"/>
        <v>1.6000000000000014E-2</v>
      </c>
      <c r="BQ104" s="1434">
        <f t="shared" si="65"/>
        <v>1.6000000000000014E-2</v>
      </c>
      <c r="BR104" s="1378"/>
      <c r="BS104" s="1407"/>
      <c r="BT104" s="1408"/>
      <c r="BU104" s="1409"/>
      <c r="BV104" s="1410"/>
      <c r="BW104" s="1378"/>
      <c r="BX104" s="1428" t="str">
        <f t="shared" si="66"/>
        <v>Rev</v>
      </c>
      <c r="BY104" s="1429" t="str">
        <f t="shared" si="67"/>
        <v>Water</v>
      </c>
      <c r="BZ104" s="1430" t="str">
        <f t="shared" si="68"/>
        <v>Fixed</v>
      </c>
      <c r="CA104" s="1435">
        <f t="shared" ref="CA104:CR104" si="152">IFERROR((P104/O104-1)*(O104/O$13),"-")</f>
        <v>3.4817921336277145E-6</v>
      </c>
      <c r="CB104" s="1431">
        <f t="shared" si="152"/>
        <v>-9.9594499753571214E-6</v>
      </c>
      <c r="CC104" s="1431">
        <f t="shared" si="152"/>
        <v>-1.6318927361884182E-5</v>
      </c>
      <c r="CD104" s="1431">
        <f t="shared" si="152"/>
        <v>-1.7724541029232566E-5</v>
      </c>
      <c r="CE104" s="1431">
        <f t="shared" si="152"/>
        <v>-1.1437308931076457E-5</v>
      </c>
      <c r="CF104" s="1431">
        <f t="shared" si="152"/>
        <v>1.2347130814523941E-5</v>
      </c>
      <c r="CG104" s="1431">
        <f t="shared" si="152"/>
        <v>7.0865535111722035E-4</v>
      </c>
      <c r="CH104" s="1433">
        <f t="shared" si="152"/>
        <v>1.266360488119233E-5</v>
      </c>
      <c r="CI104" s="1431">
        <f t="shared" si="152"/>
        <v>7.3127496068062746E-5</v>
      </c>
      <c r="CJ104" s="1431">
        <f t="shared" si="152"/>
        <v>7.1551037959926469E-5</v>
      </c>
      <c r="CK104" s="1431">
        <f t="shared" si="152"/>
        <v>7.0790013368181228E-5</v>
      </c>
      <c r="CL104" s="1431">
        <f t="shared" si="152"/>
        <v>7.0033948638778193E-5</v>
      </c>
      <c r="CM104" s="1433">
        <f t="shared" si="152"/>
        <v>6.9270475809138311E-5</v>
      </c>
      <c r="CN104" s="1431">
        <f t="shared" si="152"/>
        <v>2.0824002103773558E-5</v>
      </c>
      <c r="CO104" s="1431">
        <f t="shared" si="152"/>
        <v>2.0587489396817404E-5</v>
      </c>
      <c r="CP104" s="1431">
        <f t="shared" si="152"/>
        <v>2.0348433811586424E-5</v>
      </c>
      <c r="CQ104" s="1431">
        <f t="shared" si="152"/>
        <v>2.0114471292224143E-5</v>
      </c>
      <c r="CR104" s="1434">
        <f t="shared" si="152"/>
        <v>1.9873468041072043E-5</v>
      </c>
      <c r="CS104" s="1378"/>
      <c r="CT104" s="1428" t="str">
        <f t="shared" si="39"/>
        <v>Rev</v>
      </c>
      <c r="CU104" s="1429" t="str">
        <f t="shared" si="40"/>
        <v>Water</v>
      </c>
      <c r="CV104" s="1429" t="str">
        <f t="shared" si="41"/>
        <v>Fixed</v>
      </c>
      <c r="CW104" s="1435">
        <f t="shared" si="70"/>
        <v>5.2679222079046628E-2</v>
      </c>
      <c r="CX104" s="1431">
        <f t="shared" si="71"/>
        <v>5.2675901255600621E-2</v>
      </c>
      <c r="CY104" s="1431">
        <f t="shared" si="72"/>
        <v>5.2672657406691359E-2</v>
      </c>
      <c r="CZ104" s="1434">
        <f t="shared" si="73"/>
        <v>5.2669489486949939E-2</v>
      </c>
      <c r="DA104" s="1431">
        <f t="shared" si="74"/>
        <v>4.6467265205529573E-2</v>
      </c>
      <c r="DB104" s="1431">
        <f t="shared" si="75"/>
        <v>4.2059490781056752E-2</v>
      </c>
      <c r="DC104" s="1431">
        <f t="shared" si="76"/>
        <v>3.8765848034489014E-2</v>
      </c>
      <c r="DD104" s="1431">
        <f t="shared" si="77"/>
        <v>3.6211324783370191E-2</v>
      </c>
      <c r="DE104" s="1434">
        <f t="shared" si="78"/>
        <v>3.4172230007526894E-2</v>
      </c>
      <c r="DF104" s="1378"/>
      <c r="DG104" s="1428" t="str">
        <f t="shared" si="139"/>
        <v>Rev</v>
      </c>
      <c r="DH104" s="1429" t="str">
        <f t="shared" si="140"/>
        <v>Water</v>
      </c>
      <c r="DI104" s="1429" t="str">
        <f t="shared" si="141"/>
        <v>Fixed</v>
      </c>
      <c r="DJ104" s="1429"/>
      <c r="DK104" s="1435">
        <f t="shared" si="79"/>
        <v>5.2672536859178942E-2</v>
      </c>
      <c r="DL104" s="1431">
        <f t="shared" si="80"/>
        <v>5.2669333203015922E-2</v>
      </c>
      <c r="DM104" s="1431">
        <f t="shared" si="81"/>
        <v>5.2666204364142377E-2</v>
      </c>
      <c r="DN104" s="1433">
        <f t="shared" si="82"/>
        <v>4.5228602875644786E-2</v>
      </c>
      <c r="DO104" s="1431">
        <f t="shared" si="83"/>
        <v>4.0299419463216912E-2</v>
      </c>
      <c r="DP104" s="1431">
        <f t="shared" si="84"/>
        <v>3.6792812501884598E-2</v>
      </c>
      <c r="DQ104" s="1431">
        <f t="shared" si="85"/>
        <v>3.4170616307564794E-2</v>
      </c>
      <c r="DR104" s="1434">
        <f t="shared" si="86"/>
        <v>3.2135716259993563E-2</v>
      </c>
    </row>
    <row r="105" spans="4:122">
      <c r="D105" s="70">
        <f>D102+1</f>
        <v>14</v>
      </c>
      <c r="E105" s="713" t="s">
        <v>44</v>
      </c>
      <c r="F105" s="1532" t="s">
        <v>20</v>
      </c>
      <c r="G105" s="1532" t="s">
        <v>876</v>
      </c>
      <c r="H105" s="1532"/>
      <c r="I105" s="781" t="s">
        <v>319</v>
      </c>
      <c r="J105" s="781" t="s">
        <v>345</v>
      </c>
      <c r="K105" s="1533"/>
      <c r="L105" s="1534"/>
      <c r="M105" s="1534"/>
      <c r="N105" s="1535"/>
      <c r="O105" s="2071">
        <v>386.44751131221716</v>
      </c>
      <c r="P105" s="1547">
        <v>388.17455595026638</v>
      </c>
      <c r="Q105" s="1547">
        <v>383.07147239263799</v>
      </c>
      <c r="R105" s="1547">
        <v>374.85810463121777</v>
      </c>
      <c r="S105" s="1547">
        <v>366.08254452926207</v>
      </c>
      <c r="T105" s="1547">
        <v>360.61898305084742</v>
      </c>
      <c r="U105" s="1547">
        <v>366.72192307692308</v>
      </c>
      <c r="V105" s="1547">
        <v>367.37650655021827</v>
      </c>
      <c r="W105" s="1547">
        <v>370.815</v>
      </c>
      <c r="X105" s="1550">
        <v>405.62099400392992</v>
      </c>
      <c r="Y105" s="1551">
        <v>442.45976018427501</v>
      </c>
      <c r="Z105" s="1551">
        <v>481.44133579215782</v>
      </c>
      <c r="AA105" s="1551">
        <v>522.67860851927037</v>
      </c>
      <c r="AB105" s="1551">
        <v>566.29151660814011</v>
      </c>
      <c r="AC105" s="1550">
        <v>575.35218087387034</v>
      </c>
      <c r="AD105" s="1551">
        <v>584.55781576785228</v>
      </c>
      <c r="AE105" s="1551">
        <v>593.9107408201379</v>
      </c>
      <c r="AF105" s="1551">
        <v>603.41331267326007</v>
      </c>
      <c r="AG105" s="1552">
        <v>613.06792567603225</v>
      </c>
      <c r="AH105" s="697"/>
      <c r="AI105" s="707"/>
      <c r="AJ105" s="709">
        <f t="shared" si="90"/>
        <v>405.62099400392992</v>
      </c>
      <c r="AK105" s="710">
        <f t="shared" si="91"/>
        <v>442.45976018427501</v>
      </c>
      <c r="AL105" s="710">
        <f t="shared" si="92"/>
        <v>481.44133579215782</v>
      </c>
      <c r="AM105" s="710">
        <f t="shared" si="93"/>
        <v>522.67860851927037</v>
      </c>
      <c r="AN105" s="710">
        <f t="shared" si="94"/>
        <v>566.29151660814011</v>
      </c>
      <c r="AO105" s="711">
        <f t="shared" si="95"/>
        <v>575.35218087387034</v>
      </c>
      <c r="AP105" s="707">
        <f t="shared" si="96"/>
        <v>584.55781576785228</v>
      </c>
      <c r="AQ105" s="707">
        <f t="shared" si="97"/>
        <v>593.9107408201379</v>
      </c>
      <c r="AR105" s="707">
        <f t="shared" si="98"/>
        <v>603.41331267326007</v>
      </c>
      <c r="AS105" s="712">
        <f t="shared" si="99"/>
        <v>613.06792567603225</v>
      </c>
      <c r="AU105" s="1369"/>
      <c r="AV105" s="1559"/>
      <c r="AW105" s="1412" t="str">
        <f t="shared" si="48"/>
        <v>Price</v>
      </c>
      <c r="AX105" s="1413" t="str">
        <f t="shared" si="36"/>
        <v>Water</v>
      </c>
      <c r="AY105" s="1414" t="str">
        <f t="shared" si="49"/>
        <v>Fixed</v>
      </c>
      <c r="AZ105" s="1415">
        <f t="shared" si="143"/>
        <v>4.4690277139705081E-3</v>
      </c>
      <c r="BA105" s="1415">
        <f t="shared" si="143"/>
        <v>-1.3146362839614345E-2</v>
      </c>
      <c r="BB105" s="1415">
        <f t="shared" si="143"/>
        <v>-2.1440823327615877E-2</v>
      </c>
      <c r="BC105" s="1415">
        <f t="shared" si="51"/>
        <v>-2.3410351793217932E-2</v>
      </c>
      <c r="BD105" s="1415">
        <f t="shared" si="52"/>
        <v>-1.4924397680419643E-2</v>
      </c>
      <c r="BE105" s="1415">
        <f t="shared" si="53"/>
        <v>1.6923512940013818E-2</v>
      </c>
      <c r="BF105" s="1415">
        <f t="shared" si="54"/>
        <v>1.7849586624192337E-3</v>
      </c>
      <c r="BG105" s="1416">
        <f t="shared" si="55"/>
        <v>9.3595899260687787E-3</v>
      </c>
      <c r="BH105" s="1417">
        <f t="shared" si="56"/>
        <v>9.386350067804683E-2</v>
      </c>
      <c r="BI105" s="1417">
        <f t="shared" si="57"/>
        <v>9.0820659494730727E-2</v>
      </c>
      <c r="BJ105" s="1417">
        <f t="shared" si="58"/>
        <v>8.8101967943136295E-2</v>
      </c>
      <c r="BK105" s="1417">
        <f t="shared" si="59"/>
        <v>8.5653785126823978E-2</v>
      </c>
      <c r="BL105" s="1418">
        <f t="shared" si="60"/>
        <v>8.344115748762615E-2</v>
      </c>
      <c r="BM105" s="1417">
        <f t="shared" si="61"/>
        <v>1.6000000000000014E-2</v>
      </c>
      <c r="BN105" s="1417">
        <f t="shared" si="62"/>
        <v>1.6000000000000014E-2</v>
      </c>
      <c r="BO105" s="1417">
        <f t="shared" si="63"/>
        <v>1.6000000000000014E-2</v>
      </c>
      <c r="BP105" s="1417">
        <f t="shared" si="64"/>
        <v>1.6000000000000014E-2</v>
      </c>
      <c r="BQ105" s="1419">
        <f t="shared" si="65"/>
        <v>1.6000000000000014E-2</v>
      </c>
      <c r="BR105" s="1378"/>
      <c r="BS105" s="1420"/>
      <c r="BT105" s="1421"/>
      <c r="BU105" s="1422"/>
      <c r="BV105" s="1423"/>
      <c r="BW105" s="1378"/>
      <c r="BX105" s="1412" t="str">
        <f t="shared" si="66"/>
        <v>Price</v>
      </c>
      <c r="BY105" s="1413" t="str">
        <f t="shared" si="67"/>
        <v>Water</v>
      </c>
      <c r="BZ105" s="1414" t="str">
        <f t="shared" si="68"/>
        <v>Fixed</v>
      </c>
      <c r="CA105" s="1424">
        <f t="shared" ref="CA105:CR105" si="153">IFERROR((P105/O105-1)*(O107/O$13),"-")</f>
        <v>1.3513509252529442E-6</v>
      </c>
      <c r="CB105" s="1415">
        <f t="shared" si="153"/>
        <v>-4.0899034752810739E-6</v>
      </c>
      <c r="CC105" s="1415">
        <f t="shared" si="153"/>
        <v>-6.8095462380734352E-6</v>
      </c>
      <c r="CD105" s="1415">
        <f t="shared" si="153"/>
        <v>-7.4105962487091146E-6</v>
      </c>
      <c r="CE105" s="1415">
        <f t="shared" si="153"/>
        <v>-4.8510803592909326E-6</v>
      </c>
      <c r="CF105" s="1415">
        <f t="shared" si="153"/>
        <v>5.1513426369381061E-6</v>
      </c>
      <c r="CG105" s="1415">
        <f t="shared" si="153"/>
        <v>5.2589952391693168E-7</v>
      </c>
      <c r="CH105" s="1425">
        <f t="shared" si="153"/>
        <v>2.6370892168391047E-6</v>
      </c>
      <c r="CI105" s="1417">
        <f t="shared" si="153"/>
        <v>2.7181088172241368E-5</v>
      </c>
      <c r="CJ105" s="1417">
        <f t="shared" si="153"/>
        <v>2.6743105937304178E-5</v>
      </c>
      <c r="CK105" s="1417">
        <f t="shared" si="153"/>
        <v>2.6599998451498506E-5</v>
      </c>
      <c r="CL105" s="1417">
        <f t="shared" si="153"/>
        <v>2.6448988310139315E-5</v>
      </c>
      <c r="CM105" s="1418">
        <f t="shared" si="153"/>
        <v>2.6286621961523583E-5</v>
      </c>
      <c r="CN105" s="1417">
        <f t="shared" si="153"/>
        <v>5.1326732809423009E-6</v>
      </c>
      <c r="CO105" s="1417">
        <f t="shared" si="153"/>
        <v>5.0743779328364138E-6</v>
      </c>
      <c r="CP105" s="1417">
        <f t="shared" si="153"/>
        <v>5.0154558193607958E-6</v>
      </c>
      <c r="CQ105" s="1417">
        <f t="shared" si="153"/>
        <v>4.957789038216209E-6</v>
      </c>
      <c r="CR105" s="1419">
        <f t="shared" si="153"/>
        <v>4.8983868665469842E-6</v>
      </c>
      <c r="CS105" s="1378"/>
      <c r="CT105" s="1412" t="str">
        <f t="shared" si="39"/>
        <v>Price</v>
      </c>
      <c r="CU105" s="1413" t="str">
        <f t="shared" si="40"/>
        <v>Water</v>
      </c>
      <c r="CV105" s="1426" t="str">
        <f t="shared" si="41"/>
        <v>Fixed</v>
      </c>
      <c r="CW105" s="1427">
        <f t="shared" si="70"/>
        <v>9.2341020564018716E-2</v>
      </c>
      <c r="CX105" s="1417">
        <f t="shared" si="71"/>
        <v>9.0926171238317366E-2</v>
      </c>
      <c r="CY105" s="1417">
        <f t="shared" si="72"/>
        <v>8.9605679095298596E-2</v>
      </c>
      <c r="CZ105" s="1419">
        <f t="shared" si="73"/>
        <v>8.8369975167441828E-2</v>
      </c>
      <c r="DA105" s="1417">
        <f t="shared" si="74"/>
        <v>7.5959881261861373E-2</v>
      </c>
      <c r="DB105" s="1417">
        <f t="shared" si="75"/>
        <v>6.7182258973948805E-2</v>
      </c>
      <c r="DC105" s="1417">
        <f t="shared" si="76"/>
        <v>6.0646066620444694E-2</v>
      </c>
      <c r="DD105" s="1417">
        <f t="shared" si="77"/>
        <v>5.5590050720942585E-2</v>
      </c>
      <c r="DE105" s="1419">
        <f t="shared" si="78"/>
        <v>5.156259669604113E-2</v>
      </c>
      <c r="DF105" s="1378"/>
      <c r="DG105" s="1412" t="str">
        <f t="shared" si="139"/>
        <v>Price</v>
      </c>
      <c r="DH105" s="1413" t="str">
        <f t="shared" si="140"/>
        <v>Water</v>
      </c>
      <c r="DI105" s="1426" t="str">
        <f t="shared" si="141"/>
        <v>Fixed</v>
      </c>
      <c r="DJ105" s="1426"/>
      <c r="DK105" s="1427">
        <f t="shared" si="79"/>
        <v>8.9460465675210266E-2</v>
      </c>
      <c r="DL105" s="1417">
        <f t="shared" si="80"/>
        <v>8.8190091404563908E-2</v>
      </c>
      <c r="DM105" s="1417">
        <f t="shared" si="81"/>
        <v>8.7000910027102307E-2</v>
      </c>
      <c r="DN105" s="1418">
        <f t="shared" si="82"/>
        <v>7.2414476120448379E-2</v>
      </c>
      <c r="DO105" s="1417">
        <f t="shared" si="83"/>
        <v>6.2799091343963109E-2</v>
      </c>
      <c r="DP105" s="1417">
        <f t="shared" si="84"/>
        <v>5.5983787779009475E-2</v>
      </c>
      <c r="DQ105" s="1417">
        <f t="shared" si="85"/>
        <v>5.090100608360637E-2</v>
      </c>
      <c r="DR105" s="1419">
        <f t="shared" si="86"/>
        <v>4.6964651562449999E-2</v>
      </c>
    </row>
    <row r="106" spans="4:122">
      <c r="E106" s="742" t="s">
        <v>45</v>
      </c>
      <c r="F106" s="722" t="str">
        <f>+F105</f>
        <v>Water</v>
      </c>
      <c r="G106" s="723" t="str">
        <f>+G105</f>
        <v>Fixed tariff group - 1 -20mm Eskdale</v>
      </c>
      <c r="H106" s="723">
        <f>+H105</f>
        <v>0</v>
      </c>
      <c r="I106" s="724" t="str">
        <f>+I105</f>
        <v>Fixed</v>
      </c>
      <c r="J106" s="782" t="s">
        <v>323</v>
      </c>
      <c r="K106" s="1540"/>
      <c r="L106" s="1541"/>
      <c r="M106" s="1541"/>
      <c r="N106" s="1542"/>
      <c r="O106" s="2031">
        <v>59</v>
      </c>
      <c r="P106" s="1543">
        <v>62</v>
      </c>
      <c r="Q106" s="1543">
        <v>63</v>
      </c>
      <c r="R106" s="1543">
        <v>63</v>
      </c>
      <c r="S106" s="1543">
        <v>64</v>
      </c>
      <c r="T106" s="1543">
        <v>63</v>
      </c>
      <c r="U106" s="1543">
        <v>63</v>
      </c>
      <c r="V106" s="1543">
        <v>63</v>
      </c>
      <c r="W106" s="1543">
        <v>63</v>
      </c>
      <c r="X106" s="1544">
        <v>63</v>
      </c>
      <c r="Y106" s="1543">
        <v>63</v>
      </c>
      <c r="Z106" s="1543">
        <v>63</v>
      </c>
      <c r="AA106" s="1543">
        <v>63</v>
      </c>
      <c r="AB106" s="1543">
        <v>63</v>
      </c>
      <c r="AC106" s="1544">
        <v>63</v>
      </c>
      <c r="AD106" s="1543">
        <v>63</v>
      </c>
      <c r="AE106" s="1543">
        <v>63</v>
      </c>
      <c r="AF106" s="1543">
        <v>63</v>
      </c>
      <c r="AG106" s="788">
        <v>63</v>
      </c>
      <c r="AH106" s="697"/>
      <c r="AI106" s="707"/>
      <c r="AJ106" s="709">
        <f t="shared" si="90"/>
        <v>63</v>
      </c>
      <c r="AK106" s="710">
        <f t="shared" si="91"/>
        <v>63</v>
      </c>
      <c r="AL106" s="710">
        <f t="shared" si="92"/>
        <v>63</v>
      </c>
      <c r="AM106" s="710">
        <f t="shared" si="93"/>
        <v>63</v>
      </c>
      <c r="AN106" s="710">
        <f t="shared" si="94"/>
        <v>63</v>
      </c>
      <c r="AO106" s="711">
        <f t="shared" si="95"/>
        <v>63</v>
      </c>
      <c r="AP106" s="707">
        <f t="shared" si="96"/>
        <v>63</v>
      </c>
      <c r="AQ106" s="707">
        <f t="shared" si="97"/>
        <v>63</v>
      </c>
      <c r="AR106" s="707">
        <f t="shared" si="98"/>
        <v>63</v>
      </c>
      <c r="AS106" s="712">
        <f t="shared" si="99"/>
        <v>63</v>
      </c>
      <c r="AV106" s="1559"/>
      <c r="AW106" s="1392" t="str">
        <f t="shared" si="48"/>
        <v>Qty</v>
      </c>
      <c r="AX106" s="1393" t="str">
        <f t="shared" si="36"/>
        <v>Water</v>
      </c>
      <c r="AY106" s="1394" t="str">
        <f t="shared" si="49"/>
        <v>Fixed</v>
      </c>
      <c r="AZ106" s="1395">
        <f t="shared" si="143"/>
        <v>5.0847457627118731E-2</v>
      </c>
      <c r="BA106" s="1395">
        <f t="shared" si="143"/>
        <v>1.6129032258064502E-2</v>
      </c>
      <c r="BB106" s="1395">
        <f t="shared" si="143"/>
        <v>0</v>
      </c>
      <c r="BC106" s="1395">
        <f t="shared" si="51"/>
        <v>1.5873015873015817E-2</v>
      </c>
      <c r="BD106" s="1395">
        <f t="shared" si="52"/>
        <v>-1.5625E-2</v>
      </c>
      <c r="BE106" s="1395">
        <f t="shared" si="53"/>
        <v>0</v>
      </c>
      <c r="BF106" s="1395">
        <f t="shared" si="54"/>
        <v>0</v>
      </c>
      <c r="BG106" s="1396">
        <f t="shared" si="55"/>
        <v>0</v>
      </c>
      <c r="BH106" s="1395">
        <f t="shared" si="56"/>
        <v>0</v>
      </c>
      <c r="BI106" s="1395">
        <f t="shared" si="57"/>
        <v>0</v>
      </c>
      <c r="BJ106" s="1395">
        <f t="shared" si="58"/>
        <v>0</v>
      </c>
      <c r="BK106" s="1395">
        <f t="shared" si="59"/>
        <v>0</v>
      </c>
      <c r="BL106" s="1397">
        <f t="shared" si="60"/>
        <v>0</v>
      </c>
      <c r="BM106" s="1395">
        <f t="shared" si="61"/>
        <v>0</v>
      </c>
      <c r="BN106" s="1395">
        <f t="shared" si="62"/>
        <v>0</v>
      </c>
      <c r="BO106" s="1395">
        <f t="shared" si="63"/>
        <v>0</v>
      </c>
      <c r="BP106" s="1395">
        <f t="shared" si="64"/>
        <v>0</v>
      </c>
      <c r="BQ106" s="1398">
        <f t="shared" si="65"/>
        <v>0</v>
      </c>
      <c r="BR106" s="1378"/>
      <c r="BS106" s="1329"/>
      <c r="BT106" s="1399"/>
      <c r="BU106" s="1331"/>
      <c r="BV106" s="1400"/>
      <c r="BW106" s="1378"/>
      <c r="BX106" s="1392" t="str">
        <f t="shared" si="66"/>
        <v>Qty</v>
      </c>
      <c r="BY106" s="1393" t="str">
        <f t="shared" si="67"/>
        <v>Water</v>
      </c>
      <c r="BZ106" s="1394" t="str">
        <f t="shared" si="68"/>
        <v>Fixed</v>
      </c>
      <c r="CA106" s="1401">
        <f t="shared" ref="CA106:CR106" si="154">IFERROR((P106/O106-1)*(O107/O$13),"-")</f>
        <v>1.5375326202691843E-5</v>
      </c>
      <c r="CB106" s="1395">
        <f t="shared" si="154"/>
        <v>5.0178278121459261E-6</v>
      </c>
      <c r="CC106" s="1395">
        <f t="shared" si="154"/>
        <v>0</v>
      </c>
      <c r="CD106" s="1395">
        <f t="shared" si="154"/>
        <v>5.0246366617330655E-6</v>
      </c>
      <c r="CE106" s="1395">
        <f t="shared" si="154"/>
        <v>-5.0788066786350556E-6</v>
      </c>
      <c r="CF106" s="1395">
        <f t="shared" si="154"/>
        <v>0</v>
      </c>
      <c r="CG106" s="1395">
        <f t="shared" si="154"/>
        <v>0</v>
      </c>
      <c r="CH106" s="1397">
        <f t="shared" si="154"/>
        <v>0</v>
      </c>
      <c r="CI106" s="1395">
        <f t="shared" si="154"/>
        <v>0</v>
      </c>
      <c r="CJ106" s="1395">
        <f t="shared" si="154"/>
        <v>0</v>
      </c>
      <c r="CK106" s="1395">
        <f t="shared" si="154"/>
        <v>0</v>
      </c>
      <c r="CL106" s="1395">
        <f t="shared" si="154"/>
        <v>0</v>
      </c>
      <c r="CM106" s="1397">
        <f t="shared" si="154"/>
        <v>0</v>
      </c>
      <c r="CN106" s="1395">
        <f t="shared" si="154"/>
        <v>0</v>
      </c>
      <c r="CO106" s="1395">
        <f t="shared" si="154"/>
        <v>0</v>
      </c>
      <c r="CP106" s="1395">
        <f t="shared" si="154"/>
        <v>0</v>
      </c>
      <c r="CQ106" s="1395">
        <f t="shared" si="154"/>
        <v>0</v>
      </c>
      <c r="CR106" s="1398">
        <f t="shared" si="154"/>
        <v>0</v>
      </c>
      <c r="CS106" s="1378"/>
      <c r="CT106" s="1392" t="str">
        <f t="shared" si="39"/>
        <v>Qty</v>
      </c>
      <c r="CU106" s="1393" t="str">
        <f t="shared" si="40"/>
        <v>Water</v>
      </c>
      <c r="CV106" s="1393" t="str">
        <f t="shared" si="41"/>
        <v>Fixed</v>
      </c>
      <c r="CW106" s="1401">
        <f t="shared" si="70"/>
        <v>0</v>
      </c>
      <c r="CX106" s="1395">
        <f t="shared" si="71"/>
        <v>0</v>
      </c>
      <c r="CY106" s="1395">
        <f t="shared" si="72"/>
        <v>0</v>
      </c>
      <c r="CZ106" s="1398">
        <f t="shared" si="73"/>
        <v>0</v>
      </c>
      <c r="DA106" s="1395">
        <f t="shared" si="74"/>
        <v>0</v>
      </c>
      <c r="DB106" s="1395">
        <f t="shared" si="75"/>
        <v>0</v>
      </c>
      <c r="DC106" s="1395">
        <f t="shared" si="76"/>
        <v>0</v>
      </c>
      <c r="DD106" s="1395">
        <f t="shared" si="77"/>
        <v>0</v>
      </c>
      <c r="DE106" s="1398">
        <f t="shared" si="78"/>
        <v>0</v>
      </c>
      <c r="DF106" s="1378"/>
      <c r="DG106" s="1392" t="str">
        <f t="shared" si="139"/>
        <v>Qty</v>
      </c>
      <c r="DH106" s="1393" t="str">
        <f t="shared" si="140"/>
        <v>Water</v>
      </c>
      <c r="DI106" s="1393" t="str">
        <f t="shared" si="141"/>
        <v>Fixed</v>
      </c>
      <c r="DJ106" s="1393"/>
      <c r="DK106" s="1401">
        <f t="shared" si="79"/>
        <v>0</v>
      </c>
      <c r="DL106" s="1395">
        <f t="shared" si="80"/>
        <v>0</v>
      </c>
      <c r="DM106" s="1395">
        <f t="shared" si="81"/>
        <v>0</v>
      </c>
      <c r="DN106" s="1397">
        <f t="shared" si="82"/>
        <v>0</v>
      </c>
      <c r="DO106" s="1395">
        <f t="shared" si="83"/>
        <v>0</v>
      </c>
      <c r="DP106" s="1395">
        <f t="shared" si="84"/>
        <v>0</v>
      </c>
      <c r="DQ106" s="1395">
        <f t="shared" si="85"/>
        <v>0</v>
      </c>
      <c r="DR106" s="1398">
        <f t="shared" si="86"/>
        <v>0</v>
      </c>
    </row>
    <row r="107" spans="4:122" ht="12.75" thickBot="1">
      <c r="E107" s="743" t="s">
        <v>46</v>
      </c>
      <c r="F107" s="732" t="str">
        <f>+F105</f>
        <v>Water</v>
      </c>
      <c r="G107" s="733" t="str">
        <f>+G105</f>
        <v>Fixed tariff group - 1 -20mm Eskdale</v>
      </c>
      <c r="H107" s="733">
        <f>+H105</f>
        <v>0</v>
      </c>
      <c r="I107" s="734" t="str">
        <f>+I105</f>
        <v>Fixed</v>
      </c>
      <c r="J107" s="735" t="s">
        <v>344</v>
      </c>
      <c r="K107" s="736">
        <f t="shared" ref="K107:AG107" si="155">K105*K106/10^6</f>
        <v>0</v>
      </c>
      <c r="L107" s="737">
        <f t="shared" si="155"/>
        <v>0</v>
      </c>
      <c r="M107" s="737">
        <f t="shared" si="155"/>
        <v>0</v>
      </c>
      <c r="N107" s="738">
        <f t="shared" si="155"/>
        <v>0</v>
      </c>
      <c r="O107" s="1923">
        <f t="shared" si="155"/>
        <v>2.2800403167420814E-2</v>
      </c>
      <c r="P107" s="737">
        <f t="shared" si="155"/>
        <v>2.4066822468916515E-2</v>
      </c>
      <c r="Q107" s="737">
        <f t="shared" si="155"/>
        <v>2.413350276073619E-2</v>
      </c>
      <c r="R107" s="737">
        <f t="shared" si="155"/>
        <v>2.361606059176672E-2</v>
      </c>
      <c r="S107" s="737">
        <f t="shared" si="155"/>
        <v>2.3429282849872772E-2</v>
      </c>
      <c r="T107" s="1531">
        <f t="shared" si="155"/>
        <v>2.2718995932203386E-2</v>
      </c>
      <c r="U107" s="737">
        <f t="shared" si="155"/>
        <v>2.3103481153846153E-2</v>
      </c>
      <c r="V107" s="737">
        <f t="shared" si="155"/>
        <v>2.3144719912663751E-2</v>
      </c>
      <c r="W107" s="737">
        <f t="shared" si="155"/>
        <v>2.3361345000000002E-2</v>
      </c>
      <c r="X107" s="738">
        <f t="shared" si="155"/>
        <v>2.5554122622247585E-2</v>
      </c>
      <c r="Y107" s="737">
        <f t="shared" si="155"/>
        <v>2.7874964891609323E-2</v>
      </c>
      <c r="Z107" s="737">
        <f t="shared" si="155"/>
        <v>3.0330804154905942E-2</v>
      </c>
      <c r="AA107" s="737">
        <f t="shared" si="155"/>
        <v>3.292875233671403E-2</v>
      </c>
      <c r="AB107" s="737">
        <f t="shared" si="155"/>
        <v>3.567636554631283E-2</v>
      </c>
      <c r="AC107" s="738">
        <f t="shared" si="155"/>
        <v>3.624718739505383E-2</v>
      </c>
      <c r="AD107" s="737">
        <f t="shared" si="155"/>
        <v>3.6827142393374694E-2</v>
      </c>
      <c r="AE107" s="737">
        <f t="shared" si="155"/>
        <v>3.7416376671668687E-2</v>
      </c>
      <c r="AF107" s="737">
        <f t="shared" si="155"/>
        <v>3.8015038698415382E-2</v>
      </c>
      <c r="AG107" s="739">
        <f t="shared" si="155"/>
        <v>3.8623279317590027E-2</v>
      </c>
      <c r="AH107" s="697"/>
      <c r="AI107" s="707"/>
      <c r="AJ107" s="709">
        <f t="shared" si="90"/>
        <v>2.5554122622247585E-2</v>
      </c>
      <c r="AK107" s="710">
        <f t="shared" si="91"/>
        <v>2.7874964891609323E-2</v>
      </c>
      <c r="AL107" s="710">
        <f t="shared" si="92"/>
        <v>3.0330804154905942E-2</v>
      </c>
      <c r="AM107" s="710">
        <f t="shared" si="93"/>
        <v>3.292875233671403E-2</v>
      </c>
      <c r="AN107" s="710">
        <f t="shared" si="94"/>
        <v>3.567636554631283E-2</v>
      </c>
      <c r="AO107" s="711">
        <f t="shared" si="95"/>
        <v>3.624718739505383E-2</v>
      </c>
      <c r="AP107" s="707">
        <f t="shared" si="96"/>
        <v>3.6827142393374694E-2</v>
      </c>
      <c r="AQ107" s="707">
        <f t="shared" si="97"/>
        <v>3.7416376671668687E-2</v>
      </c>
      <c r="AR107" s="707">
        <f t="shared" si="98"/>
        <v>3.8015038698415382E-2</v>
      </c>
      <c r="AS107" s="712">
        <f t="shared" si="99"/>
        <v>3.8623279317590027E-2</v>
      </c>
      <c r="AV107" s="1559"/>
      <c r="AW107" s="1428" t="str">
        <f t="shared" si="48"/>
        <v>Rev</v>
      </c>
      <c r="AX107" s="1429" t="str">
        <f t="shared" si="36"/>
        <v>Water</v>
      </c>
      <c r="AY107" s="1430" t="str">
        <f t="shared" si="49"/>
        <v>Fixed</v>
      </c>
      <c r="AZ107" s="1431">
        <f t="shared" si="143"/>
        <v>5.554372403840957E-2</v>
      </c>
      <c r="BA107" s="1431">
        <f t="shared" si="143"/>
        <v>2.7706313081337086E-3</v>
      </c>
      <c r="BB107" s="1431">
        <f t="shared" si="143"/>
        <v>-2.1440823327615655E-2</v>
      </c>
      <c r="BC107" s="1431">
        <f t="shared" si="51"/>
        <v>-7.9089288058087348E-3</v>
      </c>
      <c r="BD107" s="1431">
        <f t="shared" si="52"/>
        <v>-3.0316203966663124E-2</v>
      </c>
      <c r="BE107" s="1431">
        <f t="shared" si="53"/>
        <v>1.6923512940013818E-2</v>
      </c>
      <c r="BF107" s="1431">
        <f t="shared" si="54"/>
        <v>1.7849586624192337E-3</v>
      </c>
      <c r="BG107" s="1432">
        <f t="shared" si="55"/>
        <v>9.3595899260687787E-3</v>
      </c>
      <c r="BH107" s="1431">
        <f t="shared" si="56"/>
        <v>9.3863500678046607E-2</v>
      </c>
      <c r="BI107" s="1431">
        <f t="shared" si="57"/>
        <v>9.0820659494730505E-2</v>
      </c>
      <c r="BJ107" s="1431">
        <f t="shared" si="58"/>
        <v>8.8101967943136517E-2</v>
      </c>
      <c r="BK107" s="1431">
        <f t="shared" si="59"/>
        <v>8.5653785126823756E-2</v>
      </c>
      <c r="BL107" s="1433">
        <f t="shared" si="60"/>
        <v>8.3441157487626372E-2</v>
      </c>
      <c r="BM107" s="1431">
        <f t="shared" si="61"/>
        <v>1.5999999999999792E-2</v>
      </c>
      <c r="BN107" s="1431">
        <f t="shared" si="62"/>
        <v>1.6000000000000014E-2</v>
      </c>
      <c r="BO107" s="1431">
        <f t="shared" si="63"/>
        <v>1.6000000000000014E-2</v>
      </c>
      <c r="BP107" s="1431">
        <f t="shared" si="64"/>
        <v>1.5999999999999792E-2</v>
      </c>
      <c r="BQ107" s="1434">
        <f t="shared" si="65"/>
        <v>1.6000000000000014E-2</v>
      </c>
      <c r="BR107" s="1378"/>
      <c r="BS107" s="1407"/>
      <c r="BT107" s="1408"/>
      <c r="BU107" s="1409"/>
      <c r="BV107" s="1410"/>
      <c r="BW107" s="1378"/>
      <c r="BX107" s="1428" t="str">
        <f t="shared" si="66"/>
        <v>Rev</v>
      </c>
      <c r="BY107" s="1429" t="str">
        <f t="shared" si="67"/>
        <v>Water</v>
      </c>
      <c r="BZ107" s="1430" t="str">
        <f t="shared" si="68"/>
        <v>Fixed</v>
      </c>
      <c r="CA107" s="1435">
        <f t="shared" ref="CA107:CR107" si="156">IFERROR((P107/O107-1)*(O107/O$13),"-")</f>
        <v>1.6795389886855891E-5</v>
      </c>
      <c r="CB107" s="1431">
        <f t="shared" si="156"/>
        <v>8.6195815177964617E-7</v>
      </c>
      <c r="CC107" s="1431">
        <f t="shared" si="156"/>
        <v>-6.8095462380733649E-6</v>
      </c>
      <c r="CD107" s="1431">
        <f t="shared" si="156"/>
        <v>-2.503588098860316E-6</v>
      </c>
      <c r="CE107" s="1431">
        <f t="shared" si="156"/>
        <v>-9.854088907312079E-6</v>
      </c>
      <c r="CF107" s="1431">
        <f t="shared" si="156"/>
        <v>5.1513426369381061E-6</v>
      </c>
      <c r="CG107" s="1431">
        <f t="shared" si="156"/>
        <v>5.2589952391693168E-7</v>
      </c>
      <c r="CH107" s="1433">
        <f t="shared" si="156"/>
        <v>2.6370892168391047E-6</v>
      </c>
      <c r="CI107" s="1431">
        <f t="shared" si="156"/>
        <v>2.7181088172241304E-5</v>
      </c>
      <c r="CJ107" s="1431">
        <f t="shared" si="156"/>
        <v>2.674310593730411E-5</v>
      </c>
      <c r="CK107" s="1431">
        <f t="shared" si="156"/>
        <v>2.659999845149857E-5</v>
      </c>
      <c r="CL107" s="1431">
        <f t="shared" si="156"/>
        <v>2.6448988310139244E-5</v>
      </c>
      <c r="CM107" s="1433">
        <f t="shared" si="156"/>
        <v>2.6286621961523651E-5</v>
      </c>
      <c r="CN107" s="1431">
        <f t="shared" si="156"/>
        <v>5.1326732809422298E-6</v>
      </c>
      <c r="CO107" s="1431">
        <f t="shared" si="156"/>
        <v>5.0743779328364138E-6</v>
      </c>
      <c r="CP107" s="1431">
        <f t="shared" si="156"/>
        <v>5.0154558193607958E-6</v>
      </c>
      <c r="CQ107" s="1431">
        <f t="shared" si="156"/>
        <v>4.9577890382161396E-6</v>
      </c>
      <c r="CR107" s="1434">
        <f t="shared" si="156"/>
        <v>4.8983868665469842E-6</v>
      </c>
      <c r="CS107" s="1378"/>
      <c r="CT107" s="1428" t="str">
        <f t="shared" si="39"/>
        <v>Rev</v>
      </c>
      <c r="CU107" s="1429" t="str">
        <f t="shared" si="40"/>
        <v>Water</v>
      </c>
      <c r="CV107" s="1429" t="str">
        <f t="shared" si="41"/>
        <v>Fixed</v>
      </c>
      <c r="CW107" s="1435">
        <f t="shared" si="70"/>
        <v>9.2341020564018494E-2</v>
      </c>
      <c r="CX107" s="1431">
        <f t="shared" si="71"/>
        <v>9.0926171238317366E-2</v>
      </c>
      <c r="CY107" s="1431">
        <f t="shared" si="72"/>
        <v>8.9605679095298596E-2</v>
      </c>
      <c r="CZ107" s="1434">
        <f t="shared" si="73"/>
        <v>8.8369975167441828E-2</v>
      </c>
      <c r="DA107" s="1431">
        <f t="shared" si="74"/>
        <v>7.5959881261861151E-2</v>
      </c>
      <c r="DB107" s="1431">
        <f t="shared" si="75"/>
        <v>6.7182258973948805E-2</v>
      </c>
      <c r="DC107" s="1431">
        <f t="shared" si="76"/>
        <v>6.0646066620444694E-2</v>
      </c>
      <c r="DD107" s="1431">
        <f t="shared" si="77"/>
        <v>5.5590050720942585E-2</v>
      </c>
      <c r="DE107" s="1434">
        <f t="shared" si="78"/>
        <v>5.156259669604113E-2</v>
      </c>
      <c r="DF107" s="1378"/>
      <c r="DG107" s="1428" t="str">
        <f t="shared" si="139"/>
        <v>Rev</v>
      </c>
      <c r="DH107" s="1429" t="str">
        <f t="shared" si="140"/>
        <v>Water</v>
      </c>
      <c r="DI107" s="1429" t="str">
        <f t="shared" si="141"/>
        <v>Fixed</v>
      </c>
      <c r="DJ107" s="1429"/>
      <c r="DK107" s="1435">
        <f t="shared" si="79"/>
        <v>8.9460465675210266E-2</v>
      </c>
      <c r="DL107" s="1431">
        <f t="shared" si="80"/>
        <v>8.8190091404563908E-2</v>
      </c>
      <c r="DM107" s="1431">
        <f t="shared" si="81"/>
        <v>8.7000910027102529E-2</v>
      </c>
      <c r="DN107" s="1433">
        <f t="shared" si="82"/>
        <v>7.2414476120448379E-2</v>
      </c>
      <c r="DO107" s="1431">
        <f t="shared" si="83"/>
        <v>6.2799091343963109E-2</v>
      </c>
      <c r="DP107" s="1431">
        <f t="shared" si="84"/>
        <v>5.5983787779009475E-2</v>
      </c>
      <c r="DQ107" s="1431">
        <f t="shared" si="85"/>
        <v>5.090100608360637E-2</v>
      </c>
      <c r="DR107" s="1434">
        <f t="shared" si="86"/>
        <v>4.6964651562449999E-2</v>
      </c>
    </row>
    <row r="108" spans="4:122">
      <c r="D108" s="70">
        <f>D105+1</f>
        <v>15</v>
      </c>
      <c r="E108" s="713" t="s">
        <v>44</v>
      </c>
      <c r="F108" s="1532" t="s">
        <v>20</v>
      </c>
      <c r="G108" s="1532" t="s">
        <v>877</v>
      </c>
      <c r="H108" s="1532"/>
      <c r="I108" s="781" t="s">
        <v>319</v>
      </c>
      <c r="J108" s="781" t="s">
        <v>345</v>
      </c>
      <c r="K108" s="1533"/>
      <c r="L108" s="1534"/>
      <c r="M108" s="1534"/>
      <c r="N108" s="1535"/>
      <c r="O108" s="2071">
        <v>403.50977375565606</v>
      </c>
      <c r="P108" s="1547">
        <v>405.31846358792183</v>
      </c>
      <c r="Q108" s="1547">
        <v>399.99</v>
      </c>
      <c r="R108" s="1547">
        <v>391.41388507718693</v>
      </c>
      <c r="S108" s="1547">
        <v>382.26483460559797</v>
      </c>
      <c r="T108" s="1547">
        <v>376.56271186440677</v>
      </c>
      <c r="U108" s="1547">
        <v>382.92470588235295</v>
      </c>
      <c r="V108" s="1547">
        <v>383.60718340611351</v>
      </c>
      <c r="W108" s="1547">
        <v>387.2</v>
      </c>
      <c r="X108" s="1550">
        <v>417.75347100261996</v>
      </c>
      <c r="Y108" s="1551">
        <v>450.04797089368338</v>
      </c>
      <c r="Z108" s="1551">
        <v>484.17711483107399</v>
      </c>
      <c r="AA108" s="1551">
        <v>520.23748175838818</v>
      </c>
      <c r="AB108" s="1551">
        <v>558.33147031177555</v>
      </c>
      <c r="AC108" s="1550">
        <v>567.26477383676399</v>
      </c>
      <c r="AD108" s="1551">
        <v>576.34101021815218</v>
      </c>
      <c r="AE108" s="1551">
        <v>585.56246638164259</v>
      </c>
      <c r="AF108" s="1551">
        <v>594.93146584374892</v>
      </c>
      <c r="AG108" s="1552">
        <v>604.45036929724893</v>
      </c>
      <c r="AH108" s="697"/>
      <c r="AI108" s="707"/>
      <c r="AJ108" s="709">
        <f t="shared" si="90"/>
        <v>417.75347100261996</v>
      </c>
      <c r="AK108" s="710">
        <f t="shared" si="91"/>
        <v>450.04797089368338</v>
      </c>
      <c r="AL108" s="710">
        <f t="shared" si="92"/>
        <v>484.17711483107399</v>
      </c>
      <c r="AM108" s="710">
        <f t="shared" si="93"/>
        <v>520.23748175838818</v>
      </c>
      <c r="AN108" s="710">
        <f t="shared" si="94"/>
        <v>558.33147031177555</v>
      </c>
      <c r="AO108" s="711">
        <f t="shared" si="95"/>
        <v>567.26477383676399</v>
      </c>
      <c r="AP108" s="707">
        <f t="shared" si="96"/>
        <v>576.34101021815218</v>
      </c>
      <c r="AQ108" s="707">
        <f t="shared" si="97"/>
        <v>585.56246638164259</v>
      </c>
      <c r="AR108" s="707">
        <f t="shared" si="98"/>
        <v>594.93146584374892</v>
      </c>
      <c r="AS108" s="712">
        <f t="shared" si="99"/>
        <v>604.45036929724893</v>
      </c>
      <c r="AU108" s="1369"/>
      <c r="AV108" s="1559"/>
      <c r="AW108" s="1412" t="str">
        <f t="shared" si="48"/>
        <v>Price</v>
      </c>
      <c r="AX108" s="1413" t="str">
        <f t="shared" si="36"/>
        <v>Water</v>
      </c>
      <c r="AY108" s="1414" t="str">
        <f t="shared" si="49"/>
        <v>Fixed</v>
      </c>
      <c r="AZ108" s="1415">
        <f t="shared" si="143"/>
        <v>4.4823941076603813E-3</v>
      </c>
      <c r="BA108" s="1415">
        <f t="shared" si="143"/>
        <v>-1.3146362839614345E-2</v>
      </c>
      <c r="BB108" s="1415">
        <f t="shared" si="143"/>
        <v>-2.1440823327615877E-2</v>
      </c>
      <c r="BC108" s="1415">
        <f t="shared" si="51"/>
        <v>-2.3374363609468651E-2</v>
      </c>
      <c r="BD108" s="1415">
        <f t="shared" si="52"/>
        <v>-1.4916681381572428E-2</v>
      </c>
      <c r="BE108" s="1415">
        <f t="shared" si="53"/>
        <v>1.6894912367842352E-2</v>
      </c>
      <c r="BF108" s="1415">
        <f t="shared" si="54"/>
        <v>1.78227602783676E-3</v>
      </c>
      <c r="BG108" s="1416">
        <f t="shared" si="55"/>
        <v>9.3658741267179657E-3</v>
      </c>
      <c r="BH108" s="1417">
        <f t="shared" si="56"/>
        <v>7.8908757754700298E-2</v>
      </c>
      <c r="BI108" s="1417">
        <f t="shared" si="57"/>
        <v>7.7305162333075828E-2</v>
      </c>
      <c r="BJ108" s="1417">
        <f t="shared" si="58"/>
        <v>7.5834457979265135E-2</v>
      </c>
      <c r="BK108" s="1417">
        <f t="shared" si="59"/>
        <v>7.4477636019404603E-2</v>
      </c>
      <c r="BL108" s="1418">
        <f t="shared" si="60"/>
        <v>7.322422910519788E-2</v>
      </c>
      <c r="BM108" s="1417">
        <f t="shared" si="61"/>
        <v>1.6000000000000014E-2</v>
      </c>
      <c r="BN108" s="1417">
        <f t="shared" si="62"/>
        <v>1.6000000000000014E-2</v>
      </c>
      <c r="BO108" s="1417">
        <f t="shared" si="63"/>
        <v>1.6000000000000014E-2</v>
      </c>
      <c r="BP108" s="1417">
        <f t="shared" si="64"/>
        <v>1.6000000000000014E-2</v>
      </c>
      <c r="BQ108" s="1419">
        <f t="shared" si="65"/>
        <v>1.6000000000000014E-2</v>
      </c>
      <c r="BR108" s="1378"/>
      <c r="BS108" s="1420"/>
      <c r="BT108" s="1421"/>
      <c r="BU108" s="1422"/>
      <c r="BV108" s="1423"/>
      <c r="BW108" s="1378"/>
      <c r="BX108" s="1412" t="str">
        <f t="shared" si="66"/>
        <v>Price</v>
      </c>
      <c r="BY108" s="1413" t="str">
        <f t="shared" si="67"/>
        <v>Water</v>
      </c>
      <c r="BZ108" s="1414" t="str">
        <f t="shared" si="68"/>
        <v>Fixed</v>
      </c>
      <c r="CA108" s="1424">
        <f t="shared" ref="CA108:CR108" si="157">IFERROR((P108/O108-1)*(O110/O$13),"-")</f>
        <v>1.199352018775196E-7</v>
      </c>
      <c r="CB108" s="1415">
        <f t="shared" si="157"/>
        <v>-4.1327767177362412E-7</v>
      </c>
      <c r="CC108" s="1415">
        <f t="shared" si="157"/>
        <v>-6.771707596955326E-7</v>
      </c>
      <c r="CD108" s="1415">
        <f t="shared" si="157"/>
        <v>-7.358088917109215E-7</v>
      </c>
      <c r="CE108" s="1415">
        <f t="shared" si="157"/>
        <v>-4.7464670730363828E-7</v>
      </c>
      <c r="CF108" s="1415">
        <f t="shared" si="157"/>
        <v>5.1142893191938958E-7</v>
      </c>
      <c r="CG108" s="1415">
        <f t="shared" si="157"/>
        <v>5.2219991355782089E-8</v>
      </c>
      <c r="CH108" s="1425">
        <f t="shared" si="157"/>
        <v>2.6242328663748705E-7</v>
      </c>
      <c r="CI108" s="1417">
        <f t="shared" si="157"/>
        <v>2.2723961997724105E-6</v>
      </c>
      <c r="CJ108" s="1417">
        <f t="shared" si="157"/>
        <v>2.232780512093521E-6</v>
      </c>
      <c r="CK108" s="1417">
        <f t="shared" si="157"/>
        <v>2.2179835369198864E-6</v>
      </c>
      <c r="CL108" s="1417">
        <f t="shared" si="157"/>
        <v>2.2027234338201751E-6</v>
      </c>
      <c r="CM108" s="1418">
        <f t="shared" si="157"/>
        <v>2.1866882993819663E-6</v>
      </c>
      <c r="CN108" s="1417">
        <f t="shared" si="157"/>
        <v>4.819548699586617E-7</v>
      </c>
      <c r="CO108" s="1417">
        <f t="shared" si="157"/>
        <v>4.7648097256100598E-7</v>
      </c>
      <c r="CP108" s="1417">
        <f t="shared" si="157"/>
        <v>4.7094822227992478E-7</v>
      </c>
      <c r="CQ108" s="1417">
        <f t="shared" si="157"/>
        <v>4.6553334693403655E-7</v>
      </c>
      <c r="CR108" s="1419">
        <f t="shared" si="157"/>
        <v>4.5995551948329995E-7</v>
      </c>
      <c r="CS108" s="1378"/>
      <c r="CT108" s="1412" t="str">
        <f t="shared" si="39"/>
        <v>Price</v>
      </c>
      <c r="CU108" s="1413" t="str">
        <f t="shared" si="40"/>
        <v>Water</v>
      </c>
      <c r="CV108" s="1426" t="str">
        <f t="shared" si="41"/>
        <v>Fixed</v>
      </c>
      <c r="CW108" s="1427">
        <f t="shared" si="70"/>
        <v>7.8106661891811369E-2</v>
      </c>
      <c r="CX108" s="1417">
        <f t="shared" si="71"/>
        <v>7.7348727867273093E-2</v>
      </c>
      <c r="CY108" s="1417">
        <f t="shared" si="72"/>
        <v>7.6630236474418689E-2</v>
      </c>
      <c r="CZ108" s="1419">
        <f t="shared" si="73"/>
        <v>7.5948171346190918E-2</v>
      </c>
      <c r="DA108" s="1417">
        <f t="shared" si="74"/>
        <v>6.5716634128814899E-2</v>
      </c>
      <c r="DB108" s="1417">
        <f t="shared" si="75"/>
        <v>5.8468015726912181E-2</v>
      </c>
      <c r="DC108" s="1417">
        <f t="shared" si="76"/>
        <v>5.3063925053208116E-2</v>
      </c>
      <c r="DD108" s="1417">
        <f t="shared" si="77"/>
        <v>4.8879825905993268E-2</v>
      </c>
      <c r="DE108" s="1419">
        <f t="shared" si="78"/>
        <v>4.5544519419297602E-2</v>
      </c>
      <c r="DF108" s="1378"/>
      <c r="DG108" s="1412" t="str">
        <f t="shared" si="139"/>
        <v>Price</v>
      </c>
      <c r="DH108" s="1413" t="str">
        <f t="shared" si="140"/>
        <v>Water</v>
      </c>
      <c r="DI108" s="1426" t="str">
        <f t="shared" si="141"/>
        <v>Fixed</v>
      </c>
      <c r="DJ108" s="1426"/>
      <c r="DK108" s="1427">
        <f t="shared" si="79"/>
        <v>7.6569559014590061E-2</v>
      </c>
      <c r="DL108" s="1417">
        <f t="shared" si="80"/>
        <v>7.5871799206365997E-2</v>
      </c>
      <c r="DM108" s="1417">
        <f t="shared" si="81"/>
        <v>7.5209294993402898E-2</v>
      </c>
      <c r="DN108" s="1418">
        <f t="shared" si="82"/>
        <v>6.3097629327969029E-2</v>
      </c>
      <c r="DO108" s="1417">
        <f t="shared" si="83"/>
        <v>5.5099076067482322E-2</v>
      </c>
      <c r="DP108" s="1417">
        <f t="shared" si="84"/>
        <v>4.9422694893861197E-2</v>
      </c>
      <c r="DQ108" s="1417">
        <f t="shared" si="85"/>
        <v>4.5185459003949768E-2</v>
      </c>
      <c r="DR108" s="1419">
        <f t="shared" si="86"/>
        <v>4.1901662809304963E-2</v>
      </c>
    </row>
    <row r="109" spans="4:122">
      <c r="E109" s="742" t="s">
        <v>45</v>
      </c>
      <c r="F109" s="722" t="str">
        <f>+F108</f>
        <v>Water</v>
      </c>
      <c r="G109" s="723" t="str">
        <f>+G108</f>
        <v>Fixed tariff group - 1 -25mm Eskdale</v>
      </c>
      <c r="H109" s="723">
        <f>+H108</f>
        <v>0</v>
      </c>
      <c r="I109" s="724" t="str">
        <f>+I108</f>
        <v>Fixed</v>
      </c>
      <c r="J109" s="782" t="s">
        <v>323</v>
      </c>
      <c r="K109" s="1540"/>
      <c r="L109" s="1541"/>
      <c r="M109" s="1541"/>
      <c r="N109" s="1542"/>
      <c r="O109" s="2031">
        <v>5</v>
      </c>
      <c r="P109" s="1543">
        <v>6</v>
      </c>
      <c r="Q109" s="1543">
        <v>6</v>
      </c>
      <c r="R109" s="1543">
        <v>6</v>
      </c>
      <c r="S109" s="1543">
        <v>6</v>
      </c>
      <c r="T109" s="1543">
        <v>6</v>
      </c>
      <c r="U109" s="1543">
        <v>6</v>
      </c>
      <c r="V109" s="1543">
        <v>6</v>
      </c>
      <c r="W109" s="1543">
        <v>6</v>
      </c>
      <c r="X109" s="1544">
        <v>6</v>
      </c>
      <c r="Y109" s="1543">
        <v>6</v>
      </c>
      <c r="Z109" s="1543">
        <v>6</v>
      </c>
      <c r="AA109" s="1543">
        <v>6</v>
      </c>
      <c r="AB109" s="1543">
        <v>6</v>
      </c>
      <c r="AC109" s="1544">
        <v>6</v>
      </c>
      <c r="AD109" s="1543">
        <v>6</v>
      </c>
      <c r="AE109" s="1543">
        <v>6</v>
      </c>
      <c r="AF109" s="1543">
        <v>6</v>
      </c>
      <c r="AG109" s="788">
        <v>6</v>
      </c>
      <c r="AH109" s="697"/>
      <c r="AI109" s="707"/>
      <c r="AJ109" s="709">
        <f t="shared" si="90"/>
        <v>6</v>
      </c>
      <c r="AK109" s="710">
        <f t="shared" si="91"/>
        <v>6</v>
      </c>
      <c r="AL109" s="710">
        <f t="shared" si="92"/>
        <v>6</v>
      </c>
      <c r="AM109" s="710">
        <f t="shared" si="93"/>
        <v>6</v>
      </c>
      <c r="AN109" s="710">
        <f t="shared" si="94"/>
        <v>6</v>
      </c>
      <c r="AO109" s="711">
        <f t="shared" si="95"/>
        <v>6</v>
      </c>
      <c r="AP109" s="707">
        <f t="shared" si="96"/>
        <v>6</v>
      </c>
      <c r="AQ109" s="707">
        <f t="shared" si="97"/>
        <v>6</v>
      </c>
      <c r="AR109" s="707">
        <f t="shared" si="98"/>
        <v>6</v>
      </c>
      <c r="AS109" s="712">
        <f t="shared" si="99"/>
        <v>6</v>
      </c>
      <c r="AV109" s="1559"/>
      <c r="AW109" s="1392" t="str">
        <f t="shared" si="48"/>
        <v>Qty</v>
      </c>
      <c r="AX109" s="1393" t="str">
        <f t="shared" si="36"/>
        <v>Water</v>
      </c>
      <c r="AY109" s="1394" t="str">
        <f t="shared" si="49"/>
        <v>Fixed</v>
      </c>
      <c r="AZ109" s="1395">
        <f t="shared" si="143"/>
        <v>0.19999999999999996</v>
      </c>
      <c r="BA109" s="1395">
        <f t="shared" si="143"/>
        <v>0</v>
      </c>
      <c r="BB109" s="1395">
        <f t="shared" si="143"/>
        <v>0</v>
      </c>
      <c r="BC109" s="1395">
        <f t="shared" si="51"/>
        <v>0</v>
      </c>
      <c r="BD109" s="1395">
        <f t="shared" si="52"/>
        <v>0</v>
      </c>
      <c r="BE109" s="1395">
        <f t="shared" si="53"/>
        <v>0</v>
      </c>
      <c r="BF109" s="1395">
        <f t="shared" si="54"/>
        <v>0</v>
      </c>
      <c r="BG109" s="1396">
        <f t="shared" si="55"/>
        <v>0</v>
      </c>
      <c r="BH109" s="1395">
        <f t="shared" si="56"/>
        <v>0</v>
      </c>
      <c r="BI109" s="1395">
        <f t="shared" si="57"/>
        <v>0</v>
      </c>
      <c r="BJ109" s="1395">
        <f t="shared" si="58"/>
        <v>0</v>
      </c>
      <c r="BK109" s="1395">
        <f t="shared" si="59"/>
        <v>0</v>
      </c>
      <c r="BL109" s="1397">
        <f t="shared" si="60"/>
        <v>0</v>
      </c>
      <c r="BM109" s="1395">
        <f t="shared" si="61"/>
        <v>0</v>
      </c>
      <c r="BN109" s="1395">
        <f t="shared" si="62"/>
        <v>0</v>
      </c>
      <c r="BO109" s="1395">
        <f t="shared" si="63"/>
        <v>0</v>
      </c>
      <c r="BP109" s="1395">
        <f t="shared" si="64"/>
        <v>0</v>
      </c>
      <c r="BQ109" s="1398">
        <f t="shared" si="65"/>
        <v>0</v>
      </c>
      <c r="BR109" s="1378"/>
      <c r="BS109" s="1329"/>
      <c r="BT109" s="1399"/>
      <c r="BU109" s="1331"/>
      <c r="BV109" s="1400"/>
      <c r="BW109" s="1378"/>
      <c r="BX109" s="1392" t="str">
        <f t="shared" si="66"/>
        <v>Qty</v>
      </c>
      <c r="BY109" s="1393" t="str">
        <f t="shared" si="67"/>
        <v>Water</v>
      </c>
      <c r="BZ109" s="1394" t="str">
        <f t="shared" si="68"/>
        <v>Fixed</v>
      </c>
      <c r="CA109" s="1401">
        <f t="shared" ref="CA109:CR109" si="158">IFERROR((P109/O109-1)*(O110/O$13),"-")</f>
        <v>5.3513903060220037E-6</v>
      </c>
      <c r="CB109" s="1395">
        <f t="shared" si="158"/>
        <v>0</v>
      </c>
      <c r="CC109" s="1395">
        <f t="shared" si="158"/>
        <v>0</v>
      </c>
      <c r="CD109" s="1395">
        <f t="shared" si="158"/>
        <v>0</v>
      </c>
      <c r="CE109" s="1395">
        <f t="shared" si="158"/>
        <v>0</v>
      </c>
      <c r="CF109" s="1395">
        <f t="shared" si="158"/>
        <v>0</v>
      </c>
      <c r="CG109" s="1395">
        <f t="shared" si="158"/>
        <v>0</v>
      </c>
      <c r="CH109" s="1397">
        <f t="shared" si="158"/>
        <v>0</v>
      </c>
      <c r="CI109" s="1395">
        <f t="shared" si="158"/>
        <v>0</v>
      </c>
      <c r="CJ109" s="1395">
        <f t="shared" si="158"/>
        <v>0</v>
      </c>
      <c r="CK109" s="1395">
        <f t="shared" si="158"/>
        <v>0</v>
      </c>
      <c r="CL109" s="1395">
        <f t="shared" si="158"/>
        <v>0</v>
      </c>
      <c r="CM109" s="1397">
        <f t="shared" si="158"/>
        <v>0</v>
      </c>
      <c r="CN109" s="1395">
        <f t="shared" si="158"/>
        <v>0</v>
      </c>
      <c r="CO109" s="1395">
        <f t="shared" si="158"/>
        <v>0</v>
      </c>
      <c r="CP109" s="1395">
        <f t="shared" si="158"/>
        <v>0</v>
      </c>
      <c r="CQ109" s="1395">
        <f t="shared" si="158"/>
        <v>0</v>
      </c>
      <c r="CR109" s="1398">
        <f t="shared" si="158"/>
        <v>0</v>
      </c>
      <c r="CS109" s="1378"/>
      <c r="CT109" s="1392" t="str">
        <f t="shared" si="39"/>
        <v>Qty</v>
      </c>
      <c r="CU109" s="1393" t="str">
        <f t="shared" si="40"/>
        <v>Water</v>
      </c>
      <c r="CV109" s="1393" t="str">
        <f t="shared" si="41"/>
        <v>Fixed</v>
      </c>
      <c r="CW109" s="1401">
        <f t="shared" si="70"/>
        <v>0</v>
      </c>
      <c r="CX109" s="1395">
        <f t="shared" si="71"/>
        <v>0</v>
      </c>
      <c r="CY109" s="1395">
        <f t="shared" si="72"/>
        <v>0</v>
      </c>
      <c r="CZ109" s="1398">
        <f t="shared" si="73"/>
        <v>0</v>
      </c>
      <c r="DA109" s="1395">
        <f t="shared" si="74"/>
        <v>0</v>
      </c>
      <c r="DB109" s="1395">
        <f t="shared" si="75"/>
        <v>0</v>
      </c>
      <c r="DC109" s="1395">
        <f t="shared" si="76"/>
        <v>0</v>
      </c>
      <c r="DD109" s="1395">
        <f t="shared" si="77"/>
        <v>0</v>
      </c>
      <c r="DE109" s="1398">
        <f t="shared" si="78"/>
        <v>0</v>
      </c>
      <c r="DF109" s="1378"/>
      <c r="DG109" s="1392" t="str">
        <f t="shared" si="139"/>
        <v>Qty</v>
      </c>
      <c r="DH109" s="1393" t="str">
        <f t="shared" si="140"/>
        <v>Water</v>
      </c>
      <c r="DI109" s="1393" t="str">
        <f t="shared" si="141"/>
        <v>Fixed</v>
      </c>
      <c r="DJ109" s="1393"/>
      <c r="DK109" s="1401">
        <f t="shared" si="79"/>
        <v>0</v>
      </c>
      <c r="DL109" s="1395">
        <f t="shared" si="80"/>
        <v>0</v>
      </c>
      <c r="DM109" s="1395">
        <f t="shared" si="81"/>
        <v>0</v>
      </c>
      <c r="DN109" s="1397">
        <f t="shared" si="82"/>
        <v>0</v>
      </c>
      <c r="DO109" s="1395">
        <f t="shared" si="83"/>
        <v>0</v>
      </c>
      <c r="DP109" s="1395">
        <f t="shared" si="84"/>
        <v>0</v>
      </c>
      <c r="DQ109" s="1395">
        <f t="shared" si="85"/>
        <v>0</v>
      </c>
      <c r="DR109" s="1398">
        <f t="shared" si="86"/>
        <v>0</v>
      </c>
    </row>
    <row r="110" spans="4:122" ht="12.75" thickBot="1">
      <c r="E110" s="743" t="s">
        <v>46</v>
      </c>
      <c r="F110" s="732" t="str">
        <f>+F108</f>
        <v>Water</v>
      </c>
      <c r="G110" s="733" t="str">
        <f>+G108</f>
        <v>Fixed tariff group - 1 -25mm Eskdale</v>
      </c>
      <c r="H110" s="733">
        <f>+H108</f>
        <v>0</v>
      </c>
      <c r="I110" s="734" t="str">
        <f>+I108</f>
        <v>Fixed</v>
      </c>
      <c r="J110" s="735" t="s">
        <v>344</v>
      </c>
      <c r="K110" s="736">
        <f t="shared" ref="K110:AG110" si="159">K108*K109/10^6</f>
        <v>0</v>
      </c>
      <c r="L110" s="737">
        <f t="shared" si="159"/>
        <v>0</v>
      </c>
      <c r="M110" s="737">
        <f t="shared" si="159"/>
        <v>0</v>
      </c>
      <c r="N110" s="738">
        <f t="shared" si="159"/>
        <v>0</v>
      </c>
      <c r="O110" s="1923">
        <f t="shared" si="159"/>
        <v>2.0175488687782803E-3</v>
      </c>
      <c r="P110" s="737">
        <f t="shared" si="159"/>
        <v>2.4319107815275309E-3</v>
      </c>
      <c r="Q110" s="737">
        <f t="shared" si="159"/>
        <v>2.3999400000000001E-3</v>
      </c>
      <c r="R110" s="737">
        <f t="shared" si="159"/>
        <v>2.3484833104631215E-3</v>
      </c>
      <c r="S110" s="737">
        <f t="shared" si="159"/>
        <v>2.2935890076335877E-3</v>
      </c>
      <c r="T110" s="1531">
        <f t="shared" si="159"/>
        <v>2.2593762711864405E-3</v>
      </c>
      <c r="U110" s="737">
        <f t="shared" si="159"/>
        <v>2.2975482352941175E-3</v>
      </c>
      <c r="V110" s="737">
        <f t="shared" si="159"/>
        <v>2.301643100436681E-3</v>
      </c>
      <c r="W110" s="737">
        <f t="shared" si="159"/>
        <v>2.3231999999999997E-3</v>
      </c>
      <c r="X110" s="738">
        <f t="shared" si="159"/>
        <v>2.5065208260157197E-3</v>
      </c>
      <c r="Y110" s="737">
        <f t="shared" si="159"/>
        <v>2.7002878253621003E-3</v>
      </c>
      <c r="Z110" s="737">
        <f t="shared" si="159"/>
        <v>2.9050626889864438E-3</v>
      </c>
      <c r="AA110" s="737">
        <f t="shared" si="159"/>
        <v>3.121424890550329E-3</v>
      </c>
      <c r="AB110" s="737">
        <f t="shared" si="159"/>
        <v>3.3499888218706535E-3</v>
      </c>
      <c r="AC110" s="738">
        <f t="shared" si="159"/>
        <v>3.4035886430205838E-3</v>
      </c>
      <c r="AD110" s="737">
        <f t="shared" si="159"/>
        <v>3.458046061308913E-3</v>
      </c>
      <c r="AE110" s="737">
        <f t="shared" si="159"/>
        <v>3.5133747982898558E-3</v>
      </c>
      <c r="AF110" s="737">
        <f t="shared" si="159"/>
        <v>3.569588795062494E-3</v>
      </c>
      <c r="AG110" s="739">
        <f t="shared" si="159"/>
        <v>3.6267022157834934E-3</v>
      </c>
      <c r="AH110" s="697"/>
      <c r="AI110" s="707"/>
      <c r="AJ110" s="709">
        <f t="shared" si="90"/>
        <v>2.5065208260157197E-3</v>
      </c>
      <c r="AK110" s="710">
        <f t="shared" si="91"/>
        <v>2.7002878253621003E-3</v>
      </c>
      <c r="AL110" s="710">
        <f t="shared" si="92"/>
        <v>2.9050626889864438E-3</v>
      </c>
      <c r="AM110" s="710">
        <f t="shared" si="93"/>
        <v>3.121424890550329E-3</v>
      </c>
      <c r="AN110" s="710">
        <f t="shared" si="94"/>
        <v>3.3499888218706535E-3</v>
      </c>
      <c r="AO110" s="711">
        <f t="shared" si="95"/>
        <v>3.4035886430205838E-3</v>
      </c>
      <c r="AP110" s="707">
        <f t="shared" si="96"/>
        <v>3.458046061308913E-3</v>
      </c>
      <c r="AQ110" s="707">
        <f t="shared" si="97"/>
        <v>3.5133747982898558E-3</v>
      </c>
      <c r="AR110" s="707">
        <f t="shared" si="98"/>
        <v>3.569588795062494E-3</v>
      </c>
      <c r="AS110" s="712">
        <f t="shared" si="99"/>
        <v>3.6267022157834934E-3</v>
      </c>
      <c r="AV110" s="1559"/>
      <c r="AW110" s="1428" t="str">
        <f t="shared" si="48"/>
        <v>Rev</v>
      </c>
      <c r="AX110" s="1429" t="str">
        <f t="shared" si="36"/>
        <v>Water</v>
      </c>
      <c r="AY110" s="1430" t="str">
        <f t="shared" si="49"/>
        <v>Fixed</v>
      </c>
      <c r="AZ110" s="1431">
        <f t="shared" si="143"/>
        <v>0.20537887292919255</v>
      </c>
      <c r="BA110" s="1431">
        <f t="shared" si="143"/>
        <v>-1.3146362839614234E-2</v>
      </c>
      <c r="BB110" s="1431">
        <f t="shared" si="143"/>
        <v>-2.1440823327615988E-2</v>
      </c>
      <c r="BC110" s="1431">
        <f t="shared" si="51"/>
        <v>-2.3374363609468762E-2</v>
      </c>
      <c r="BD110" s="1431">
        <f t="shared" si="52"/>
        <v>-1.4916681381572428E-2</v>
      </c>
      <c r="BE110" s="1431">
        <f t="shared" si="53"/>
        <v>1.689491236784213E-2</v>
      </c>
      <c r="BF110" s="1431">
        <f t="shared" si="54"/>
        <v>1.78227602783676E-3</v>
      </c>
      <c r="BG110" s="1432">
        <f t="shared" si="55"/>
        <v>9.3658741267179657E-3</v>
      </c>
      <c r="BH110" s="1431">
        <f t="shared" si="56"/>
        <v>7.890875775470052E-2</v>
      </c>
      <c r="BI110" s="1431">
        <f t="shared" si="57"/>
        <v>7.7305162333075828E-2</v>
      </c>
      <c r="BJ110" s="1431">
        <f t="shared" si="58"/>
        <v>7.5834457979265135E-2</v>
      </c>
      <c r="BK110" s="1431">
        <f t="shared" si="59"/>
        <v>7.4477636019404603E-2</v>
      </c>
      <c r="BL110" s="1433">
        <f t="shared" si="60"/>
        <v>7.322422910519788E-2</v>
      </c>
      <c r="BM110" s="1431">
        <f t="shared" si="61"/>
        <v>1.6000000000000014E-2</v>
      </c>
      <c r="BN110" s="1431">
        <f t="shared" si="62"/>
        <v>1.6000000000000014E-2</v>
      </c>
      <c r="BO110" s="1431">
        <f t="shared" si="63"/>
        <v>1.6000000000000014E-2</v>
      </c>
      <c r="BP110" s="1431">
        <f t="shared" si="64"/>
        <v>1.6000000000000236E-2</v>
      </c>
      <c r="BQ110" s="1434">
        <f t="shared" si="65"/>
        <v>1.5999999999999792E-2</v>
      </c>
      <c r="BR110" s="1378"/>
      <c r="BS110" s="1407"/>
      <c r="BT110" s="1408"/>
      <c r="BU110" s="1409"/>
      <c r="BV110" s="1410"/>
      <c r="BW110" s="1378"/>
      <c r="BX110" s="1428" t="str">
        <f t="shared" si="66"/>
        <v>Rev</v>
      </c>
      <c r="BY110" s="1429" t="str">
        <f t="shared" si="67"/>
        <v>Water</v>
      </c>
      <c r="BZ110" s="1430" t="str">
        <f t="shared" si="68"/>
        <v>Fixed</v>
      </c>
      <c r="CA110" s="1435">
        <f t="shared" ref="CA110:CR110" si="160">IFERROR((P110/O110-1)*(O110/O$13),"-")</f>
        <v>5.4953125482750307E-6</v>
      </c>
      <c r="CB110" s="1431">
        <f t="shared" si="160"/>
        <v>-4.1327767177362063E-7</v>
      </c>
      <c r="CC110" s="1431">
        <f t="shared" si="160"/>
        <v>-6.771707596955361E-7</v>
      </c>
      <c r="CD110" s="1431">
        <f t="shared" si="160"/>
        <v>-7.3580889171092499E-7</v>
      </c>
      <c r="CE110" s="1431">
        <f t="shared" si="160"/>
        <v>-4.7464670730363828E-7</v>
      </c>
      <c r="CF110" s="1431">
        <f t="shared" si="160"/>
        <v>5.1142893191938291E-7</v>
      </c>
      <c r="CG110" s="1431">
        <f t="shared" si="160"/>
        <v>5.2219991355782089E-8</v>
      </c>
      <c r="CH110" s="1433">
        <f t="shared" si="160"/>
        <v>2.6242328663748705E-7</v>
      </c>
      <c r="CI110" s="1431">
        <f t="shared" si="160"/>
        <v>2.2723961997724173E-6</v>
      </c>
      <c r="CJ110" s="1431">
        <f t="shared" si="160"/>
        <v>2.232780512093521E-6</v>
      </c>
      <c r="CK110" s="1431">
        <f t="shared" si="160"/>
        <v>2.2179835369198864E-6</v>
      </c>
      <c r="CL110" s="1431">
        <f t="shared" si="160"/>
        <v>2.2027234338201751E-6</v>
      </c>
      <c r="CM110" s="1433">
        <f t="shared" si="160"/>
        <v>2.1866882993819663E-6</v>
      </c>
      <c r="CN110" s="1431">
        <f t="shared" si="160"/>
        <v>4.819548699586617E-7</v>
      </c>
      <c r="CO110" s="1431">
        <f t="shared" si="160"/>
        <v>4.7648097256100598E-7</v>
      </c>
      <c r="CP110" s="1431">
        <f t="shared" si="160"/>
        <v>4.7094822227992478E-7</v>
      </c>
      <c r="CQ110" s="1431">
        <f t="shared" si="160"/>
        <v>4.6553334693404301E-7</v>
      </c>
      <c r="CR110" s="1434">
        <f t="shared" si="160"/>
        <v>4.5995551948329354E-7</v>
      </c>
      <c r="CS110" s="1378"/>
      <c r="CT110" s="1428" t="str">
        <f t="shared" si="39"/>
        <v>Rev</v>
      </c>
      <c r="CU110" s="1429" t="str">
        <f t="shared" si="40"/>
        <v>Water</v>
      </c>
      <c r="CV110" s="1429" t="str">
        <f t="shared" si="41"/>
        <v>Fixed</v>
      </c>
      <c r="CW110" s="1435">
        <f t="shared" si="70"/>
        <v>7.8106661891811369E-2</v>
      </c>
      <c r="CX110" s="1431">
        <f t="shared" si="71"/>
        <v>7.7348727867273093E-2</v>
      </c>
      <c r="CY110" s="1431">
        <f t="shared" si="72"/>
        <v>7.6630236474418689E-2</v>
      </c>
      <c r="CZ110" s="1434">
        <f t="shared" si="73"/>
        <v>7.5948171346190918E-2</v>
      </c>
      <c r="DA110" s="1431">
        <f t="shared" si="74"/>
        <v>6.5716634128815121E-2</v>
      </c>
      <c r="DB110" s="1431">
        <f t="shared" si="75"/>
        <v>5.8468015726912403E-2</v>
      </c>
      <c r="DC110" s="1431">
        <f t="shared" si="76"/>
        <v>5.3063925053208116E-2</v>
      </c>
      <c r="DD110" s="1431">
        <f t="shared" si="77"/>
        <v>4.8879825905993268E-2</v>
      </c>
      <c r="DE110" s="1434">
        <f t="shared" si="78"/>
        <v>4.5544519419297602E-2</v>
      </c>
      <c r="DF110" s="1378"/>
      <c r="DG110" s="1428" t="str">
        <f t="shared" si="139"/>
        <v>Rev</v>
      </c>
      <c r="DH110" s="1429" t="str">
        <f t="shared" si="140"/>
        <v>Water</v>
      </c>
      <c r="DI110" s="1429" t="str">
        <f t="shared" si="141"/>
        <v>Fixed</v>
      </c>
      <c r="DJ110" s="1429"/>
      <c r="DK110" s="1435">
        <f t="shared" si="79"/>
        <v>7.6569559014590061E-2</v>
      </c>
      <c r="DL110" s="1431">
        <f t="shared" si="80"/>
        <v>7.5871799206365997E-2</v>
      </c>
      <c r="DM110" s="1431">
        <f t="shared" si="81"/>
        <v>7.5209294993402898E-2</v>
      </c>
      <c r="DN110" s="1433">
        <f t="shared" si="82"/>
        <v>6.3097629327969029E-2</v>
      </c>
      <c r="DO110" s="1431">
        <f t="shared" si="83"/>
        <v>5.5099076067482322E-2</v>
      </c>
      <c r="DP110" s="1431">
        <f t="shared" si="84"/>
        <v>4.9422694893861197E-2</v>
      </c>
      <c r="DQ110" s="1431">
        <f t="shared" si="85"/>
        <v>4.5185459003949768E-2</v>
      </c>
      <c r="DR110" s="1434">
        <f t="shared" si="86"/>
        <v>4.1901662809304963E-2</v>
      </c>
    </row>
    <row r="111" spans="4:122">
      <c r="D111" s="70">
        <f>D108+1</f>
        <v>16</v>
      </c>
      <c r="E111" s="713" t="s">
        <v>44</v>
      </c>
      <c r="F111" s="1532" t="s">
        <v>20</v>
      </c>
      <c r="G111" s="1532" t="s">
        <v>878</v>
      </c>
      <c r="H111" s="1532"/>
      <c r="I111" s="781" t="s">
        <v>319</v>
      </c>
      <c r="J111" s="781" t="s">
        <v>345</v>
      </c>
      <c r="K111" s="1533"/>
      <c r="L111" s="1534"/>
      <c r="M111" s="1534"/>
      <c r="N111" s="1535"/>
      <c r="O111" s="2071">
        <v>1553.3661990950222</v>
      </c>
      <c r="P111" s="1547">
        <v>1560.3455062166961</v>
      </c>
      <c r="Q111" s="1547">
        <v>1539.8326380368098</v>
      </c>
      <c r="R111" s="1547">
        <v>1506.817358490566</v>
      </c>
      <c r="S111" s="1547">
        <v>1471.5859541984735</v>
      </c>
      <c r="T111" s="1547">
        <v>1449.6358474576271</v>
      </c>
      <c r="U111" s="1547">
        <v>1474.1508257918554</v>
      </c>
      <c r="V111" s="1547">
        <v>1476.7970305676856</v>
      </c>
      <c r="W111" s="1547">
        <v>1490.6399999999999</v>
      </c>
      <c r="X111" s="1550">
        <v>1584.2368065039298</v>
      </c>
      <c r="Y111" s="1551">
        <v>1682.9529028405248</v>
      </c>
      <c r="Z111" s="1551">
        <v>1787.0603684378611</v>
      </c>
      <c r="AA111" s="1551">
        <v>1896.8426403788728</v>
      </c>
      <c r="AB111" s="1551">
        <v>2012.5991601403719</v>
      </c>
      <c r="AC111" s="1550">
        <v>2044.8007467026177</v>
      </c>
      <c r="AD111" s="1551">
        <v>2077.5175586498594</v>
      </c>
      <c r="AE111" s="1551">
        <v>2110.7578395882574</v>
      </c>
      <c r="AF111" s="1551">
        <v>2144.5299650216693</v>
      </c>
      <c r="AG111" s="1552">
        <v>2178.8424444620159</v>
      </c>
      <c r="AH111" s="697"/>
      <c r="AI111" s="707"/>
      <c r="AJ111" s="709">
        <f t="shared" si="90"/>
        <v>1584.2368065039298</v>
      </c>
      <c r="AK111" s="710">
        <f t="shared" si="91"/>
        <v>1682.9529028405248</v>
      </c>
      <c r="AL111" s="710">
        <f t="shared" si="92"/>
        <v>1787.0603684378611</v>
      </c>
      <c r="AM111" s="710">
        <f t="shared" si="93"/>
        <v>1896.8426403788728</v>
      </c>
      <c r="AN111" s="710">
        <f t="shared" si="94"/>
        <v>2012.5991601403719</v>
      </c>
      <c r="AO111" s="711">
        <f t="shared" si="95"/>
        <v>2044.8007467026177</v>
      </c>
      <c r="AP111" s="707">
        <f t="shared" si="96"/>
        <v>2077.5175586498594</v>
      </c>
      <c r="AQ111" s="707">
        <f t="shared" si="97"/>
        <v>2110.7578395882574</v>
      </c>
      <c r="AR111" s="707">
        <f t="shared" si="98"/>
        <v>2144.5299650216693</v>
      </c>
      <c r="AS111" s="712">
        <f t="shared" si="99"/>
        <v>2178.8424444620159</v>
      </c>
      <c r="AU111" s="1369"/>
      <c r="AV111" s="1559"/>
      <c r="AW111" s="1412" t="str">
        <f t="shared" si="48"/>
        <v>Price</v>
      </c>
      <c r="AX111" s="1413" t="str">
        <f t="shared" si="36"/>
        <v>Water</v>
      </c>
      <c r="AY111" s="1414" t="str">
        <f t="shared" si="49"/>
        <v>Fixed</v>
      </c>
      <c r="AZ111" s="1415">
        <f t="shared" si="143"/>
        <v>4.4930211084417415E-3</v>
      </c>
      <c r="BA111" s="1415">
        <f t="shared" si="143"/>
        <v>-1.3146362839614234E-2</v>
      </c>
      <c r="BB111" s="1415">
        <f t="shared" si="143"/>
        <v>-2.1440823327615877E-2</v>
      </c>
      <c r="BC111" s="1415">
        <f t="shared" si="51"/>
        <v>-2.338133689101185E-2</v>
      </c>
      <c r="BD111" s="1415">
        <f t="shared" si="52"/>
        <v>-1.491595287262848E-2</v>
      </c>
      <c r="BE111" s="1415">
        <f t="shared" si="53"/>
        <v>1.6911128665328512E-2</v>
      </c>
      <c r="BF111" s="1415">
        <f t="shared" si="54"/>
        <v>1.7950705786220489E-3</v>
      </c>
      <c r="BG111" s="1416">
        <f t="shared" si="55"/>
        <v>9.3736438696609969E-3</v>
      </c>
      <c r="BH111" s="1417">
        <f t="shared" si="56"/>
        <v>6.2789678597065635E-2</v>
      </c>
      <c r="BI111" s="1417">
        <f t="shared" si="57"/>
        <v>6.2311452385985344E-2</v>
      </c>
      <c r="BJ111" s="1417">
        <f t="shared" si="58"/>
        <v>6.185999942221887E-2</v>
      </c>
      <c r="BK111" s="1417">
        <f t="shared" si="59"/>
        <v>6.1431764634216846E-2</v>
      </c>
      <c r="BL111" s="1418">
        <f t="shared" si="60"/>
        <v>6.1025894977971396E-2</v>
      </c>
      <c r="BM111" s="1417">
        <f t="shared" si="61"/>
        <v>1.6000000000000014E-2</v>
      </c>
      <c r="BN111" s="1417">
        <f t="shared" si="62"/>
        <v>1.6000000000000014E-2</v>
      </c>
      <c r="BO111" s="1417">
        <f t="shared" si="63"/>
        <v>1.6000000000000014E-2</v>
      </c>
      <c r="BP111" s="1417">
        <f t="shared" si="64"/>
        <v>1.6000000000000014E-2</v>
      </c>
      <c r="BQ111" s="1419">
        <f t="shared" si="65"/>
        <v>1.6000000000000014E-2</v>
      </c>
      <c r="BR111" s="1378"/>
      <c r="BS111" s="1420"/>
      <c r="BT111" s="1421"/>
      <c r="BU111" s="1422"/>
      <c r="BV111" s="1423"/>
      <c r="BW111" s="1378"/>
      <c r="BX111" s="1412" t="str">
        <f t="shared" si="66"/>
        <v>Price</v>
      </c>
      <c r="BY111" s="1413" t="str">
        <f t="shared" si="67"/>
        <v>Water</v>
      </c>
      <c r="BZ111" s="1414" t="str">
        <f t="shared" si="68"/>
        <v>Fixed</v>
      </c>
      <c r="CA111" s="1424">
        <f t="shared" ref="CA111:CR111" si="161">IFERROR((P111/O111-1)*(O113/O$13),"-")</f>
        <v>9.2560326670779335E-8</v>
      </c>
      <c r="CB111" s="1415">
        <f t="shared" si="161"/>
        <v>-2.6516431559492525E-7</v>
      </c>
      <c r="CC111" s="1415">
        <f t="shared" si="161"/>
        <v>-4.3448154424834064E-7</v>
      </c>
      <c r="CD111" s="1415">
        <f t="shared" si="161"/>
        <v>-4.722453735515309E-7</v>
      </c>
      <c r="CE111" s="1415">
        <f t="shared" si="161"/>
        <v>-3.0452243729761421E-7</v>
      </c>
      <c r="CF111" s="1415">
        <f t="shared" si="161"/>
        <v>3.2845229420562632E-7</v>
      </c>
      <c r="CG111" s="1415">
        <f t="shared" si="161"/>
        <v>3.3745870916029182E-8</v>
      </c>
      <c r="CH111" s="1425">
        <f t="shared" si="161"/>
        <v>1.6851762585708867E-7</v>
      </c>
      <c r="CI111" s="1417">
        <f t="shared" si="161"/>
        <v>1.1602011186231835E-6</v>
      </c>
      <c r="CJ111" s="1417">
        <f t="shared" si="161"/>
        <v>1.1375072993533114E-6</v>
      </c>
      <c r="CK111" s="1417">
        <f t="shared" si="161"/>
        <v>1.1276220170701432E-6</v>
      </c>
      <c r="CL111" s="1417">
        <f t="shared" si="161"/>
        <v>1.1176627954170781E-6</v>
      </c>
      <c r="CM111" s="1418">
        <f t="shared" si="161"/>
        <v>1.1074513195387052E-6</v>
      </c>
      <c r="CN111" s="1417">
        <f t="shared" si="161"/>
        <v>2.8954782182309525E-7</v>
      </c>
      <c r="CO111" s="1417">
        <f t="shared" si="161"/>
        <v>2.8625922538561081E-7</v>
      </c>
      <c r="CP111" s="1417">
        <f t="shared" si="161"/>
        <v>2.8293527143798164E-7</v>
      </c>
      <c r="CQ111" s="1417">
        <f t="shared" si="161"/>
        <v>2.7968213414323871E-7</v>
      </c>
      <c r="CR111" s="1419">
        <f t="shared" si="161"/>
        <v>2.763310988294874E-7</v>
      </c>
      <c r="CS111" s="1378"/>
      <c r="CT111" s="1412" t="str">
        <f t="shared" si="39"/>
        <v>Price</v>
      </c>
      <c r="CU111" s="1413" t="str">
        <f t="shared" si="40"/>
        <v>Water</v>
      </c>
      <c r="CV111" s="1426" t="str">
        <f t="shared" si="41"/>
        <v>Fixed</v>
      </c>
      <c r="CW111" s="1427">
        <f t="shared" si="70"/>
        <v>6.255053858688675E-2</v>
      </c>
      <c r="CX111" s="1417">
        <f t="shared" si="71"/>
        <v>6.2320308983617068E-2</v>
      </c>
      <c r="CY111" s="1417">
        <f t="shared" si="72"/>
        <v>6.2098103187728348E-2</v>
      </c>
      <c r="CZ111" s="1419">
        <f t="shared" si="73"/>
        <v>6.1883574900125193E-2</v>
      </c>
      <c r="DA111" s="1417">
        <f t="shared" si="74"/>
        <v>5.4094880382501653E-2</v>
      </c>
      <c r="DB111" s="1417">
        <f t="shared" si="75"/>
        <v>4.8566528248180418E-2</v>
      </c>
      <c r="DC111" s="1417">
        <f t="shared" si="76"/>
        <v>4.4439299945492339E-2</v>
      </c>
      <c r="DD111" s="1417">
        <f t="shared" si="77"/>
        <v>4.124046791056668E-2</v>
      </c>
      <c r="DE111" s="1419">
        <f t="shared" si="78"/>
        <v>3.8688457670791321E-2</v>
      </c>
      <c r="DF111" s="1378"/>
      <c r="DG111" s="1412" t="str">
        <f t="shared" si="139"/>
        <v>Price</v>
      </c>
      <c r="DH111" s="1413" t="str">
        <f t="shared" si="140"/>
        <v>Water</v>
      </c>
      <c r="DI111" s="1426" t="str">
        <f t="shared" si="141"/>
        <v>Fixed</v>
      </c>
      <c r="DJ111" s="1426"/>
      <c r="DK111" s="1427">
        <f t="shared" si="79"/>
        <v>6.2085701917128144E-2</v>
      </c>
      <c r="DL111" s="1417">
        <f t="shared" si="80"/>
        <v>6.1867678070178567E-2</v>
      </c>
      <c r="DM111" s="1417">
        <f t="shared" si="81"/>
        <v>6.1657169707528325E-2</v>
      </c>
      <c r="DN111" s="1418">
        <f t="shared" si="82"/>
        <v>5.2364475401826205E-2</v>
      </c>
      <c r="DO111" s="1417">
        <f t="shared" si="83"/>
        <v>4.6214578293282571E-2</v>
      </c>
      <c r="DP111" s="1417">
        <f t="shared" si="84"/>
        <v>4.1843810562071981E-2</v>
      </c>
      <c r="DQ111" s="1417">
        <f t="shared" si="85"/>
        <v>3.8577721898004569E-2</v>
      </c>
      <c r="DR111" s="1419">
        <f t="shared" si="86"/>
        <v>3.6044511106270605E-2</v>
      </c>
    </row>
    <row r="112" spans="4:122">
      <c r="E112" s="742" t="s">
        <v>45</v>
      </c>
      <c r="F112" s="722" t="str">
        <f>+F111</f>
        <v>Water</v>
      </c>
      <c r="G112" s="723" t="str">
        <f>+G111</f>
        <v>Fixed tariff group - 1 -40mm Eskdale</v>
      </c>
      <c r="H112" s="723">
        <f>+H111</f>
        <v>0</v>
      </c>
      <c r="I112" s="724" t="str">
        <f>+I111</f>
        <v>Fixed</v>
      </c>
      <c r="J112" s="782" t="s">
        <v>323</v>
      </c>
      <c r="K112" s="1540"/>
      <c r="L112" s="1541"/>
      <c r="M112" s="1541"/>
      <c r="N112" s="1542"/>
      <c r="O112" s="2031">
        <v>1</v>
      </c>
      <c r="P112" s="1543">
        <v>1</v>
      </c>
      <c r="Q112" s="1543">
        <v>1</v>
      </c>
      <c r="R112" s="1543">
        <v>1</v>
      </c>
      <c r="S112" s="1543">
        <v>1</v>
      </c>
      <c r="T112" s="1543">
        <v>1</v>
      </c>
      <c r="U112" s="1543">
        <v>1</v>
      </c>
      <c r="V112" s="1543">
        <v>1</v>
      </c>
      <c r="W112" s="1543">
        <v>1</v>
      </c>
      <c r="X112" s="1544">
        <v>1</v>
      </c>
      <c r="Y112" s="1543">
        <v>1</v>
      </c>
      <c r="Z112" s="1543">
        <v>1</v>
      </c>
      <c r="AA112" s="1543">
        <v>1</v>
      </c>
      <c r="AB112" s="1543">
        <v>1</v>
      </c>
      <c r="AC112" s="1544">
        <v>1</v>
      </c>
      <c r="AD112" s="1543">
        <v>1</v>
      </c>
      <c r="AE112" s="1543">
        <v>1</v>
      </c>
      <c r="AF112" s="1543">
        <v>1</v>
      </c>
      <c r="AG112" s="788">
        <v>1</v>
      </c>
      <c r="AH112" s="697"/>
      <c r="AI112" s="707"/>
      <c r="AJ112" s="709">
        <f t="shared" si="90"/>
        <v>1</v>
      </c>
      <c r="AK112" s="710">
        <f t="shared" si="91"/>
        <v>1</v>
      </c>
      <c r="AL112" s="710">
        <f t="shared" si="92"/>
        <v>1</v>
      </c>
      <c r="AM112" s="710">
        <f t="shared" si="93"/>
        <v>1</v>
      </c>
      <c r="AN112" s="710">
        <f t="shared" si="94"/>
        <v>1</v>
      </c>
      <c r="AO112" s="711">
        <f t="shared" si="95"/>
        <v>1</v>
      </c>
      <c r="AP112" s="707">
        <f t="shared" si="96"/>
        <v>1</v>
      </c>
      <c r="AQ112" s="707">
        <f t="shared" si="97"/>
        <v>1</v>
      </c>
      <c r="AR112" s="707">
        <f t="shared" si="98"/>
        <v>1</v>
      </c>
      <c r="AS112" s="712">
        <f t="shared" si="99"/>
        <v>1</v>
      </c>
      <c r="AV112" s="1559"/>
      <c r="AW112" s="1392" t="str">
        <f t="shared" si="48"/>
        <v>Qty</v>
      </c>
      <c r="AX112" s="1393" t="str">
        <f t="shared" si="36"/>
        <v>Water</v>
      </c>
      <c r="AY112" s="1394" t="str">
        <f t="shared" si="49"/>
        <v>Fixed</v>
      </c>
      <c r="AZ112" s="1395">
        <f t="shared" si="143"/>
        <v>0</v>
      </c>
      <c r="BA112" s="1395">
        <f t="shared" si="143"/>
        <v>0</v>
      </c>
      <c r="BB112" s="1395">
        <f t="shared" si="143"/>
        <v>0</v>
      </c>
      <c r="BC112" s="1395">
        <f t="shared" si="51"/>
        <v>0</v>
      </c>
      <c r="BD112" s="1395">
        <f t="shared" si="52"/>
        <v>0</v>
      </c>
      <c r="BE112" s="1395">
        <f t="shared" si="53"/>
        <v>0</v>
      </c>
      <c r="BF112" s="1395">
        <f t="shared" si="54"/>
        <v>0</v>
      </c>
      <c r="BG112" s="1396">
        <f t="shared" si="55"/>
        <v>0</v>
      </c>
      <c r="BH112" s="1395">
        <f t="shared" si="56"/>
        <v>0</v>
      </c>
      <c r="BI112" s="1395">
        <f t="shared" si="57"/>
        <v>0</v>
      </c>
      <c r="BJ112" s="1395">
        <f t="shared" si="58"/>
        <v>0</v>
      </c>
      <c r="BK112" s="1395">
        <f t="shared" si="59"/>
        <v>0</v>
      </c>
      <c r="BL112" s="1397">
        <f t="shared" si="60"/>
        <v>0</v>
      </c>
      <c r="BM112" s="1395">
        <f t="shared" si="61"/>
        <v>0</v>
      </c>
      <c r="BN112" s="1395">
        <f t="shared" si="62"/>
        <v>0</v>
      </c>
      <c r="BO112" s="1395">
        <f t="shared" si="63"/>
        <v>0</v>
      </c>
      <c r="BP112" s="1395">
        <f t="shared" si="64"/>
        <v>0</v>
      </c>
      <c r="BQ112" s="1398">
        <f t="shared" si="65"/>
        <v>0</v>
      </c>
      <c r="BR112" s="1378"/>
      <c r="BS112" s="1329"/>
      <c r="BT112" s="1399"/>
      <c r="BU112" s="1331"/>
      <c r="BV112" s="1400"/>
      <c r="BW112" s="1378"/>
      <c r="BX112" s="1392" t="str">
        <f t="shared" si="66"/>
        <v>Qty</v>
      </c>
      <c r="BY112" s="1393" t="str">
        <f t="shared" si="67"/>
        <v>Water</v>
      </c>
      <c r="BZ112" s="1394" t="str">
        <f t="shared" si="68"/>
        <v>Fixed</v>
      </c>
      <c r="CA112" s="1401">
        <f t="shared" ref="CA112:CR112" si="162">IFERROR((P112/O112-1)*(O113/O$13),"-")</f>
        <v>0</v>
      </c>
      <c r="CB112" s="1395">
        <f t="shared" si="162"/>
        <v>0</v>
      </c>
      <c r="CC112" s="1395">
        <f t="shared" si="162"/>
        <v>0</v>
      </c>
      <c r="CD112" s="1395">
        <f t="shared" si="162"/>
        <v>0</v>
      </c>
      <c r="CE112" s="1395">
        <f t="shared" si="162"/>
        <v>0</v>
      </c>
      <c r="CF112" s="1395">
        <f t="shared" si="162"/>
        <v>0</v>
      </c>
      <c r="CG112" s="1395">
        <f t="shared" si="162"/>
        <v>0</v>
      </c>
      <c r="CH112" s="1397">
        <f t="shared" si="162"/>
        <v>0</v>
      </c>
      <c r="CI112" s="1395">
        <f t="shared" si="162"/>
        <v>0</v>
      </c>
      <c r="CJ112" s="1395">
        <f t="shared" si="162"/>
        <v>0</v>
      </c>
      <c r="CK112" s="1395">
        <f t="shared" si="162"/>
        <v>0</v>
      </c>
      <c r="CL112" s="1395">
        <f t="shared" si="162"/>
        <v>0</v>
      </c>
      <c r="CM112" s="1397">
        <f t="shared" si="162"/>
        <v>0</v>
      </c>
      <c r="CN112" s="1395">
        <f t="shared" si="162"/>
        <v>0</v>
      </c>
      <c r="CO112" s="1395">
        <f t="shared" si="162"/>
        <v>0</v>
      </c>
      <c r="CP112" s="1395">
        <f t="shared" si="162"/>
        <v>0</v>
      </c>
      <c r="CQ112" s="1395">
        <f t="shared" si="162"/>
        <v>0</v>
      </c>
      <c r="CR112" s="1398">
        <f t="shared" si="162"/>
        <v>0</v>
      </c>
      <c r="CS112" s="1378"/>
      <c r="CT112" s="1392" t="str">
        <f t="shared" si="39"/>
        <v>Qty</v>
      </c>
      <c r="CU112" s="1393" t="str">
        <f t="shared" si="40"/>
        <v>Water</v>
      </c>
      <c r="CV112" s="1393" t="str">
        <f t="shared" si="41"/>
        <v>Fixed</v>
      </c>
      <c r="CW112" s="1401">
        <f t="shared" si="70"/>
        <v>0</v>
      </c>
      <c r="CX112" s="1395">
        <f t="shared" si="71"/>
        <v>0</v>
      </c>
      <c r="CY112" s="1395">
        <f t="shared" si="72"/>
        <v>0</v>
      </c>
      <c r="CZ112" s="1398">
        <f t="shared" si="73"/>
        <v>0</v>
      </c>
      <c r="DA112" s="1395">
        <f t="shared" si="74"/>
        <v>0</v>
      </c>
      <c r="DB112" s="1395">
        <f t="shared" si="75"/>
        <v>0</v>
      </c>
      <c r="DC112" s="1395">
        <f t="shared" si="76"/>
        <v>0</v>
      </c>
      <c r="DD112" s="1395">
        <f t="shared" si="77"/>
        <v>0</v>
      </c>
      <c r="DE112" s="1398">
        <f t="shared" si="78"/>
        <v>0</v>
      </c>
      <c r="DF112" s="1378"/>
      <c r="DG112" s="1392" t="str">
        <f t="shared" si="139"/>
        <v>Qty</v>
      </c>
      <c r="DH112" s="1393" t="str">
        <f t="shared" si="140"/>
        <v>Water</v>
      </c>
      <c r="DI112" s="1393" t="str">
        <f t="shared" si="141"/>
        <v>Fixed</v>
      </c>
      <c r="DJ112" s="1393"/>
      <c r="DK112" s="1401">
        <f t="shared" si="79"/>
        <v>0</v>
      </c>
      <c r="DL112" s="1395">
        <f t="shared" si="80"/>
        <v>0</v>
      </c>
      <c r="DM112" s="1395">
        <f t="shared" si="81"/>
        <v>0</v>
      </c>
      <c r="DN112" s="1397">
        <f t="shared" si="82"/>
        <v>0</v>
      </c>
      <c r="DO112" s="1395">
        <f t="shared" si="83"/>
        <v>0</v>
      </c>
      <c r="DP112" s="1395">
        <f t="shared" si="84"/>
        <v>0</v>
      </c>
      <c r="DQ112" s="1395">
        <f t="shared" si="85"/>
        <v>0</v>
      </c>
      <c r="DR112" s="1398">
        <f t="shared" si="86"/>
        <v>0</v>
      </c>
    </row>
    <row r="113" spans="4:122" ht="12.75" thickBot="1">
      <c r="E113" s="743" t="s">
        <v>46</v>
      </c>
      <c r="F113" s="732" t="str">
        <f>+F111</f>
        <v>Water</v>
      </c>
      <c r="G113" s="733" t="str">
        <f>+G111</f>
        <v>Fixed tariff group - 1 -40mm Eskdale</v>
      </c>
      <c r="H113" s="733">
        <f>+H111</f>
        <v>0</v>
      </c>
      <c r="I113" s="734" t="str">
        <f>+I111</f>
        <v>Fixed</v>
      </c>
      <c r="J113" s="735" t="s">
        <v>344</v>
      </c>
      <c r="K113" s="736">
        <f t="shared" ref="K113:AG113" si="163">K111*K112/10^6</f>
        <v>0</v>
      </c>
      <c r="L113" s="737">
        <f t="shared" si="163"/>
        <v>0</v>
      </c>
      <c r="M113" s="737">
        <f t="shared" si="163"/>
        <v>0</v>
      </c>
      <c r="N113" s="738">
        <f t="shared" si="163"/>
        <v>0</v>
      </c>
      <c r="O113" s="1923">
        <f t="shared" si="163"/>
        <v>1.5533661990950222E-3</v>
      </c>
      <c r="P113" s="737">
        <f t="shared" si="163"/>
        <v>1.560345506216696E-3</v>
      </c>
      <c r="Q113" s="737">
        <f t="shared" si="163"/>
        <v>1.5398326380368099E-3</v>
      </c>
      <c r="R113" s="737">
        <f t="shared" si="163"/>
        <v>1.5068173584905659E-3</v>
      </c>
      <c r="S113" s="737">
        <f t="shared" si="163"/>
        <v>1.4715859541984736E-3</v>
      </c>
      <c r="T113" s="1531">
        <f t="shared" si="163"/>
        <v>1.449635847457627E-3</v>
      </c>
      <c r="U113" s="737">
        <f t="shared" si="163"/>
        <v>1.4741508257918553E-3</v>
      </c>
      <c r="V113" s="737">
        <f t="shared" si="163"/>
        <v>1.4767970305676857E-3</v>
      </c>
      <c r="W113" s="737">
        <f t="shared" si="163"/>
        <v>1.4906399999999999E-3</v>
      </c>
      <c r="X113" s="738">
        <f t="shared" si="163"/>
        <v>1.5842368065039298E-3</v>
      </c>
      <c r="Y113" s="737">
        <f t="shared" si="163"/>
        <v>1.6829529028405247E-3</v>
      </c>
      <c r="Z113" s="737">
        <f t="shared" si="163"/>
        <v>1.7870603684378612E-3</v>
      </c>
      <c r="AA113" s="737">
        <f t="shared" si="163"/>
        <v>1.8968426403788729E-3</v>
      </c>
      <c r="AB113" s="737">
        <f t="shared" si="163"/>
        <v>2.0125991601403718E-3</v>
      </c>
      <c r="AC113" s="738">
        <f t="shared" si="163"/>
        <v>2.0448007467026175E-3</v>
      </c>
      <c r="AD113" s="737">
        <f t="shared" si="163"/>
        <v>2.0775175586498595E-3</v>
      </c>
      <c r="AE113" s="737">
        <f t="shared" si="163"/>
        <v>2.1107578395882574E-3</v>
      </c>
      <c r="AF113" s="737">
        <f t="shared" si="163"/>
        <v>2.1445299650216694E-3</v>
      </c>
      <c r="AG113" s="739">
        <f t="shared" si="163"/>
        <v>2.1788424444620161E-3</v>
      </c>
      <c r="AH113" s="697"/>
      <c r="AI113" s="707"/>
      <c r="AJ113" s="709">
        <f t="shared" si="90"/>
        <v>1.5842368065039298E-3</v>
      </c>
      <c r="AK113" s="710">
        <f t="shared" si="91"/>
        <v>1.6829529028405247E-3</v>
      </c>
      <c r="AL113" s="710">
        <f t="shared" si="92"/>
        <v>1.7870603684378612E-3</v>
      </c>
      <c r="AM113" s="710">
        <f t="shared" si="93"/>
        <v>1.8968426403788729E-3</v>
      </c>
      <c r="AN113" s="710">
        <f t="shared" si="94"/>
        <v>2.0125991601403718E-3</v>
      </c>
      <c r="AO113" s="711">
        <f t="shared" si="95"/>
        <v>2.0448007467026175E-3</v>
      </c>
      <c r="AP113" s="707">
        <f t="shared" si="96"/>
        <v>2.0775175586498595E-3</v>
      </c>
      <c r="AQ113" s="707">
        <f t="shared" si="97"/>
        <v>2.1107578395882574E-3</v>
      </c>
      <c r="AR113" s="707">
        <f t="shared" si="98"/>
        <v>2.1445299650216694E-3</v>
      </c>
      <c r="AS113" s="712">
        <f t="shared" si="99"/>
        <v>2.1788424444620161E-3</v>
      </c>
      <c r="AV113" s="1559"/>
      <c r="AW113" s="1428" t="str">
        <f t="shared" si="48"/>
        <v>Rev</v>
      </c>
      <c r="AX113" s="1429" t="str">
        <f t="shared" si="36"/>
        <v>Water</v>
      </c>
      <c r="AY113" s="1430" t="str">
        <f t="shared" si="49"/>
        <v>Fixed</v>
      </c>
      <c r="AZ113" s="1431">
        <f t="shared" si="143"/>
        <v>4.4930211084417415E-3</v>
      </c>
      <c r="BA113" s="1431">
        <f t="shared" si="143"/>
        <v>-1.3146362839614123E-2</v>
      </c>
      <c r="BB113" s="1431">
        <f t="shared" si="143"/>
        <v>-2.1440823327615877E-2</v>
      </c>
      <c r="BC113" s="1431">
        <f t="shared" si="51"/>
        <v>-2.3381336891011739E-2</v>
      </c>
      <c r="BD113" s="1431">
        <f t="shared" si="52"/>
        <v>-1.4915952872628591E-2</v>
      </c>
      <c r="BE113" s="1431">
        <f t="shared" si="53"/>
        <v>1.691112866532829E-2</v>
      </c>
      <c r="BF113" s="1431">
        <f t="shared" si="54"/>
        <v>1.7950705786220489E-3</v>
      </c>
      <c r="BG113" s="1432">
        <f t="shared" si="55"/>
        <v>9.3736438696607749E-3</v>
      </c>
      <c r="BH113" s="1431">
        <f t="shared" si="56"/>
        <v>6.2789678597065635E-2</v>
      </c>
      <c r="BI113" s="1431">
        <f t="shared" si="57"/>
        <v>6.2311452385985344E-2</v>
      </c>
      <c r="BJ113" s="1431">
        <f t="shared" si="58"/>
        <v>6.185999942221887E-2</v>
      </c>
      <c r="BK113" s="1431">
        <f t="shared" si="59"/>
        <v>6.1431764634216846E-2</v>
      </c>
      <c r="BL113" s="1433">
        <f t="shared" si="60"/>
        <v>6.1025894977971396E-2</v>
      </c>
      <c r="BM113" s="1431">
        <f t="shared" si="61"/>
        <v>1.6000000000000014E-2</v>
      </c>
      <c r="BN113" s="1431">
        <f t="shared" si="62"/>
        <v>1.6000000000000014E-2</v>
      </c>
      <c r="BO113" s="1431">
        <f t="shared" si="63"/>
        <v>1.6000000000000014E-2</v>
      </c>
      <c r="BP113" s="1431">
        <f t="shared" si="64"/>
        <v>1.6000000000000014E-2</v>
      </c>
      <c r="BQ113" s="1434">
        <f t="shared" si="65"/>
        <v>1.6000000000000014E-2</v>
      </c>
      <c r="BR113" s="1378"/>
      <c r="BS113" s="1407"/>
      <c r="BT113" s="1408"/>
      <c r="BU113" s="1409"/>
      <c r="BV113" s="1410"/>
      <c r="BW113" s="1378"/>
      <c r="BX113" s="1428" t="str">
        <f t="shared" si="66"/>
        <v>Rev</v>
      </c>
      <c r="BY113" s="1429" t="str">
        <f t="shared" si="67"/>
        <v>Water</v>
      </c>
      <c r="BZ113" s="1430" t="str">
        <f t="shared" si="68"/>
        <v>Fixed</v>
      </c>
      <c r="CA113" s="1435">
        <f t="shared" ref="CA113:CR113" si="164">IFERROR((P113/O113-1)*(O113/O$13),"-")</f>
        <v>9.2560326670779335E-8</v>
      </c>
      <c r="CB113" s="1431">
        <f t="shared" si="164"/>
        <v>-2.6516431559492302E-7</v>
      </c>
      <c r="CC113" s="1431">
        <f t="shared" si="164"/>
        <v>-4.3448154424834064E-7</v>
      </c>
      <c r="CD113" s="1431">
        <f t="shared" si="164"/>
        <v>-4.7224537355152868E-7</v>
      </c>
      <c r="CE113" s="1431">
        <f t="shared" si="164"/>
        <v>-3.0452243729761649E-7</v>
      </c>
      <c r="CF113" s="1431">
        <f t="shared" si="164"/>
        <v>3.2845229420562198E-7</v>
      </c>
      <c r="CG113" s="1431">
        <f t="shared" si="164"/>
        <v>3.3745870916029182E-8</v>
      </c>
      <c r="CH113" s="1433">
        <f t="shared" si="164"/>
        <v>1.6851762585708468E-7</v>
      </c>
      <c r="CI113" s="1431">
        <f t="shared" si="164"/>
        <v>1.1602011186231835E-6</v>
      </c>
      <c r="CJ113" s="1431">
        <f t="shared" si="164"/>
        <v>1.1375072993533114E-6</v>
      </c>
      <c r="CK113" s="1431">
        <f t="shared" si="164"/>
        <v>1.1276220170701432E-6</v>
      </c>
      <c r="CL113" s="1431">
        <f t="shared" si="164"/>
        <v>1.1176627954170781E-6</v>
      </c>
      <c r="CM113" s="1433">
        <f t="shared" si="164"/>
        <v>1.1074513195387052E-6</v>
      </c>
      <c r="CN113" s="1431">
        <f t="shared" si="164"/>
        <v>2.8954782182309525E-7</v>
      </c>
      <c r="CO113" s="1431">
        <f t="shared" si="164"/>
        <v>2.8625922538561081E-7</v>
      </c>
      <c r="CP113" s="1431">
        <f t="shared" si="164"/>
        <v>2.8293527143798164E-7</v>
      </c>
      <c r="CQ113" s="1431">
        <f t="shared" si="164"/>
        <v>2.7968213414323871E-7</v>
      </c>
      <c r="CR113" s="1434">
        <f t="shared" si="164"/>
        <v>2.763310988294874E-7</v>
      </c>
      <c r="CS113" s="1378"/>
      <c r="CT113" s="1428" t="str">
        <f t="shared" si="39"/>
        <v>Rev</v>
      </c>
      <c r="CU113" s="1429" t="str">
        <f t="shared" si="40"/>
        <v>Water</v>
      </c>
      <c r="CV113" s="1429" t="str">
        <f t="shared" si="41"/>
        <v>Fixed</v>
      </c>
      <c r="CW113" s="1435">
        <f t="shared" si="70"/>
        <v>6.255053858688675E-2</v>
      </c>
      <c r="CX113" s="1431">
        <f t="shared" si="71"/>
        <v>6.2320308983617068E-2</v>
      </c>
      <c r="CY113" s="1431">
        <f t="shared" si="72"/>
        <v>6.2098103187728348E-2</v>
      </c>
      <c r="CZ113" s="1434">
        <f t="shared" si="73"/>
        <v>6.1883574900125193E-2</v>
      </c>
      <c r="DA113" s="1431">
        <f t="shared" si="74"/>
        <v>5.4094880382501653E-2</v>
      </c>
      <c r="DB113" s="1431">
        <f t="shared" si="75"/>
        <v>4.8566528248180418E-2</v>
      </c>
      <c r="DC113" s="1431">
        <f t="shared" si="76"/>
        <v>4.4439299945492339E-2</v>
      </c>
      <c r="DD113" s="1431">
        <f t="shared" si="77"/>
        <v>4.124046791056668E-2</v>
      </c>
      <c r="DE113" s="1434">
        <f t="shared" si="78"/>
        <v>3.8688457670791321E-2</v>
      </c>
      <c r="DF113" s="1378"/>
      <c r="DG113" s="1428" t="str">
        <f t="shared" si="139"/>
        <v>Rev</v>
      </c>
      <c r="DH113" s="1429" t="str">
        <f t="shared" si="140"/>
        <v>Water</v>
      </c>
      <c r="DI113" s="1429" t="str">
        <f t="shared" si="141"/>
        <v>Fixed</v>
      </c>
      <c r="DJ113" s="1429"/>
      <c r="DK113" s="1435">
        <f t="shared" si="79"/>
        <v>6.2085701917128144E-2</v>
      </c>
      <c r="DL113" s="1431">
        <f t="shared" si="80"/>
        <v>6.1867678070178567E-2</v>
      </c>
      <c r="DM113" s="1431">
        <f t="shared" si="81"/>
        <v>6.1657169707528325E-2</v>
      </c>
      <c r="DN113" s="1433">
        <f t="shared" si="82"/>
        <v>5.2364475401825983E-2</v>
      </c>
      <c r="DO113" s="1431">
        <f t="shared" si="83"/>
        <v>4.6214578293282571E-2</v>
      </c>
      <c r="DP113" s="1431">
        <f t="shared" si="84"/>
        <v>4.1843810562071981E-2</v>
      </c>
      <c r="DQ113" s="1431">
        <f t="shared" si="85"/>
        <v>3.8577721898004569E-2</v>
      </c>
      <c r="DR113" s="1434">
        <f t="shared" si="86"/>
        <v>3.6044511106270605E-2</v>
      </c>
    </row>
    <row r="114" spans="4:122">
      <c r="D114" s="70">
        <f>D111+1</f>
        <v>17</v>
      </c>
      <c r="E114" s="713" t="s">
        <v>44</v>
      </c>
      <c r="F114" s="1532" t="s">
        <v>20</v>
      </c>
      <c r="G114" s="1532" t="s">
        <v>879</v>
      </c>
      <c r="H114" s="1532"/>
      <c r="I114" s="781" t="s">
        <v>319</v>
      </c>
      <c r="J114" s="781" t="s">
        <v>345</v>
      </c>
      <c r="K114" s="1533"/>
      <c r="L114" s="1534"/>
      <c r="M114" s="1534"/>
      <c r="N114" s="1535"/>
      <c r="O114" s="2071">
        <v>2428.5074660633481</v>
      </c>
      <c r="P114" s="1547">
        <v>2439.4268605683837</v>
      </c>
      <c r="Q114" s="1547">
        <v>2407.3572699386505</v>
      </c>
      <c r="R114" s="1547">
        <v>2355.741548027444</v>
      </c>
      <c r="S114" s="1547">
        <v>2300.6777099236642</v>
      </c>
      <c r="T114" s="1547">
        <v>2266.3431355932203</v>
      </c>
      <c r="U114" s="1547">
        <v>2304.6946493212668</v>
      </c>
      <c r="V114" s="1547">
        <v>2308.8470633187771</v>
      </c>
      <c r="W114" s="1547">
        <v>2330.4900000000002</v>
      </c>
      <c r="X114" s="1550">
        <v>2468.17893150393</v>
      </c>
      <c r="Y114" s="1551">
        <v>2613.3019894030249</v>
      </c>
      <c r="Z114" s="1551">
        <v>2766.2527820448918</v>
      </c>
      <c r="AA114" s="1551">
        <v>2927.442655700273</v>
      </c>
      <c r="AB114" s="1551">
        <v>3097.3056762661449</v>
      </c>
      <c r="AC114" s="1550">
        <v>3146.8625670864035</v>
      </c>
      <c r="AD114" s="1551">
        <v>3197.2123681597859</v>
      </c>
      <c r="AE114" s="1551">
        <v>3248.3677660503427</v>
      </c>
      <c r="AF114" s="1551">
        <v>3300.341650307148</v>
      </c>
      <c r="AG114" s="1552">
        <v>3353.1471167120626</v>
      </c>
      <c r="AH114" s="697"/>
      <c r="AI114" s="707"/>
      <c r="AJ114" s="709">
        <f t="shared" si="90"/>
        <v>2468.17893150393</v>
      </c>
      <c r="AK114" s="710">
        <f t="shared" si="91"/>
        <v>2613.3019894030249</v>
      </c>
      <c r="AL114" s="710">
        <f t="shared" si="92"/>
        <v>2766.2527820448918</v>
      </c>
      <c r="AM114" s="710">
        <f t="shared" si="93"/>
        <v>2927.442655700273</v>
      </c>
      <c r="AN114" s="710">
        <f t="shared" si="94"/>
        <v>3097.3056762661449</v>
      </c>
      <c r="AO114" s="711">
        <f t="shared" si="95"/>
        <v>3146.8625670864035</v>
      </c>
      <c r="AP114" s="707">
        <f t="shared" si="96"/>
        <v>3197.2123681597859</v>
      </c>
      <c r="AQ114" s="707">
        <f t="shared" si="97"/>
        <v>3248.3677660503427</v>
      </c>
      <c r="AR114" s="707">
        <f t="shared" si="98"/>
        <v>3300.341650307148</v>
      </c>
      <c r="AS114" s="712">
        <f t="shared" si="99"/>
        <v>3353.1471167120626</v>
      </c>
      <c r="AU114" s="1369"/>
      <c r="AV114" s="1559"/>
      <c r="AW114" s="1412" t="str">
        <f t="shared" si="48"/>
        <v>Price</v>
      </c>
      <c r="AX114" s="1413" t="str">
        <f t="shared" si="36"/>
        <v>Water</v>
      </c>
      <c r="AY114" s="1414" t="str">
        <f t="shared" si="49"/>
        <v>Fixed</v>
      </c>
      <c r="AZ114" s="1415">
        <f t="shared" ref="AZ114:BB129" si="165">IFERROR(P114/O114-1,"-")</f>
        <v>4.4963396891408713E-3</v>
      </c>
      <c r="BA114" s="1415">
        <f t="shared" si="165"/>
        <v>-1.3146362839614345E-2</v>
      </c>
      <c r="BB114" s="1415">
        <f t="shared" si="165"/>
        <v>-2.1440823327615988E-2</v>
      </c>
      <c r="BC114" s="1415">
        <f t="shared" si="51"/>
        <v>-2.3374312071664627E-2</v>
      </c>
      <c r="BD114" s="1415">
        <f t="shared" si="52"/>
        <v>-1.4923678437160692E-2</v>
      </c>
      <c r="BE114" s="1415">
        <f t="shared" si="53"/>
        <v>1.6922200846699154E-2</v>
      </c>
      <c r="BF114" s="1415">
        <f t="shared" si="54"/>
        <v>1.8017198064539386E-3</v>
      </c>
      <c r="BG114" s="1416">
        <f t="shared" si="55"/>
        <v>9.3739152432699147E-3</v>
      </c>
      <c r="BH114" s="1417">
        <f t="shared" si="56"/>
        <v>5.9081537146235208E-2</v>
      </c>
      <c r="BI114" s="1417">
        <f t="shared" si="57"/>
        <v>5.8797624453696962E-2</v>
      </c>
      <c r="BJ114" s="1417">
        <f t="shared" si="58"/>
        <v>5.8527790994720164E-2</v>
      </c>
      <c r="BK114" s="1417">
        <f t="shared" si="59"/>
        <v>5.8270117142448896E-2</v>
      </c>
      <c r="BL114" s="1418">
        <f t="shared" si="60"/>
        <v>5.802437162521934E-2</v>
      </c>
      <c r="BM114" s="1417">
        <f t="shared" si="61"/>
        <v>1.6000000000000014E-2</v>
      </c>
      <c r="BN114" s="1417">
        <f t="shared" si="62"/>
        <v>1.6000000000000014E-2</v>
      </c>
      <c r="BO114" s="1417">
        <f t="shared" si="63"/>
        <v>1.6000000000000014E-2</v>
      </c>
      <c r="BP114" s="1417">
        <f t="shared" si="64"/>
        <v>1.6000000000000014E-2</v>
      </c>
      <c r="BQ114" s="1419">
        <f t="shared" si="65"/>
        <v>1.6000000000000014E-2</v>
      </c>
      <c r="BR114" s="1378"/>
      <c r="BS114" s="1420"/>
      <c r="BT114" s="1421"/>
      <c r="BU114" s="1422"/>
      <c r="BV114" s="1423"/>
      <c r="BW114" s="1378"/>
      <c r="BX114" s="1412" t="str">
        <f t="shared" si="66"/>
        <v>Price</v>
      </c>
      <c r="BY114" s="1413" t="str">
        <f t="shared" si="67"/>
        <v>Water</v>
      </c>
      <c r="BZ114" s="1414" t="str">
        <f t="shared" si="68"/>
        <v>Fixed</v>
      </c>
      <c r="CA114" s="1424">
        <f t="shared" ref="CA114:CR114" si="166">IFERROR((P114/O114-1)*(O116/O$13),"-")</f>
        <v>1.4481419212725614E-7</v>
      </c>
      <c r="CB114" s="1415">
        <f t="shared" si="166"/>
        <v>-4.1455495039357378E-7</v>
      </c>
      <c r="CC114" s="1415">
        <f t="shared" si="166"/>
        <v>-6.7926362798358618E-7</v>
      </c>
      <c r="CD114" s="1415">
        <f t="shared" si="166"/>
        <v>-7.3808135999668028E-7</v>
      </c>
      <c r="CE114" s="1415">
        <f t="shared" si="166"/>
        <v>-4.7633701203038996E-7</v>
      </c>
      <c r="CF114" s="1415">
        <f t="shared" si="166"/>
        <v>5.1383454223362079E-7</v>
      </c>
      <c r="CG114" s="1415">
        <f t="shared" si="166"/>
        <v>5.2953886271304463E-8</v>
      </c>
      <c r="CH114" s="1425">
        <f t="shared" si="166"/>
        <v>2.6347066096823783E-7</v>
      </c>
      <c r="CI114" s="1417">
        <f t="shared" si="166"/>
        <v>1.7067553725370183E-6</v>
      </c>
      <c r="CJ114" s="1417">
        <f t="shared" si="166"/>
        <v>1.6722555266146356E-6</v>
      </c>
      <c r="CK114" s="1417">
        <f t="shared" si="166"/>
        <v>1.6566600706463795E-6</v>
      </c>
      <c r="CL114" s="1417">
        <f t="shared" si="166"/>
        <v>1.6410292991513291E-6</v>
      </c>
      <c r="CM114" s="1418">
        <f t="shared" si="166"/>
        <v>1.6250922769109749E-6</v>
      </c>
      <c r="CN114" s="1417">
        <f t="shared" si="166"/>
        <v>4.4560195087263245E-7</v>
      </c>
      <c r="CO114" s="1417">
        <f t="shared" si="166"/>
        <v>4.4054093891630295E-7</v>
      </c>
      <c r="CP114" s="1417">
        <f t="shared" si="166"/>
        <v>4.3542551323515488E-7</v>
      </c>
      <c r="CQ114" s="1417">
        <f t="shared" si="166"/>
        <v>4.3041907141194678E-7</v>
      </c>
      <c r="CR114" s="1419">
        <f t="shared" si="166"/>
        <v>4.2526196864443577E-7</v>
      </c>
      <c r="CS114" s="1378"/>
      <c r="CT114" s="1412" t="str">
        <f t="shared" si="39"/>
        <v>Price</v>
      </c>
      <c r="CU114" s="1413" t="str">
        <f t="shared" si="40"/>
        <v>Water</v>
      </c>
      <c r="CV114" s="1426" t="str">
        <f t="shared" si="41"/>
        <v>Fixed</v>
      </c>
      <c r="CW114" s="1427">
        <f t="shared" si="70"/>
        <v>5.8939571284973624E-2</v>
      </c>
      <c r="CX114" s="1417">
        <f t="shared" si="71"/>
        <v>5.8802293392678839E-2</v>
      </c>
      <c r="CY114" s="1417">
        <f t="shared" si="72"/>
        <v>5.8669224246239882E-2</v>
      </c>
      <c r="CZ114" s="1419">
        <f t="shared" si="73"/>
        <v>5.8540222287330135E-2</v>
      </c>
      <c r="DA114" s="1417">
        <f t="shared" si="74"/>
        <v>5.1328462325869184E-2</v>
      </c>
      <c r="DB114" s="1417">
        <f t="shared" si="75"/>
        <v>4.6207306330557252E-2</v>
      </c>
      <c r="DC114" s="1417">
        <f t="shared" si="76"/>
        <v>4.2382816676496793E-2</v>
      </c>
      <c r="DD114" s="1417">
        <f t="shared" si="77"/>
        <v>3.9417881908618169E-2</v>
      </c>
      <c r="DE114" s="1419">
        <f t="shared" si="78"/>
        <v>3.7052007299502643E-2</v>
      </c>
      <c r="DF114" s="1378"/>
      <c r="DG114" s="1412" t="str">
        <f t="shared" si="139"/>
        <v>Price</v>
      </c>
      <c r="DH114" s="1413" t="str">
        <f t="shared" si="140"/>
        <v>Water</v>
      </c>
      <c r="DI114" s="1426" t="str">
        <f t="shared" si="141"/>
        <v>Fixed</v>
      </c>
      <c r="DJ114" s="1426"/>
      <c r="DK114" s="1427">
        <f t="shared" si="79"/>
        <v>5.8662699127266515E-2</v>
      </c>
      <c r="DL114" s="1417">
        <f t="shared" si="80"/>
        <v>5.8531822286719493E-2</v>
      </c>
      <c r="DM114" s="1417">
        <f t="shared" si="81"/>
        <v>5.8404936808655661E-2</v>
      </c>
      <c r="DN114" s="1418">
        <f t="shared" si="82"/>
        <v>4.9784671527752566E-2</v>
      </c>
      <c r="DO114" s="1417">
        <f t="shared" si="83"/>
        <v>4.4076868097023825E-2</v>
      </c>
      <c r="DP114" s="1417">
        <f t="shared" si="84"/>
        <v>4.001887591217379E-2</v>
      </c>
      <c r="DQ114" s="1417">
        <f t="shared" si="85"/>
        <v>3.6985735580578938E-2</v>
      </c>
      <c r="DR114" s="1419">
        <f t="shared" si="86"/>
        <v>3.4632743464892535E-2</v>
      </c>
    </row>
    <row r="115" spans="4:122">
      <c r="E115" s="742" t="s">
        <v>45</v>
      </c>
      <c r="F115" s="722" t="str">
        <f>+F114</f>
        <v>Water</v>
      </c>
      <c r="G115" s="723" t="str">
        <f>+G114</f>
        <v>Fixed tariff group - 1 -50mm Eskdale</v>
      </c>
      <c r="H115" s="723">
        <f>+H114</f>
        <v>0</v>
      </c>
      <c r="I115" s="724" t="str">
        <f>+I114</f>
        <v>Fixed</v>
      </c>
      <c r="J115" s="782" t="s">
        <v>323</v>
      </c>
      <c r="K115" s="1540"/>
      <c r="L115" s="1541"/>
      <c r="M115" s="1541"/>
      <c r="N115" s="1542"/>
      <c r="O115" s="2031">
        <v>1</v>
      </c>
      <c r="P115" s="1543">
        <v>1</v>
      </c>
      <c r="Q115" s="1543">
        <v>1</v>
      </c>
      <c r="R115" s="1543">
        <v>1</v>
      </c>
      <c r="S115" s="1543">
        <v>1</v>
      </c>
      <c r="T115" s="1543">
        <v>1</v>
      </c>
      <c r="U115" s="1543">
        <v>1</v>
      </c>
      <c r="V115" s="1543">
        <v>1</v>
      </c>
      <c r="W115" s="1543">
        <v>1</v>
      </c>
      <c r="X115" s="1544">
        <v>1</v>
      </c>
      <c r="Y115" s="1543">
        <v>1</v>
      </c>
      <c r="Z115" s="1543">
        <v>1</v>
      </c>
      <c r="AA115" s="1543">
        <v>1</v>
      </c>
      <c r="AB115" s="1543">
        <v>1</v>
      </c>
      <c r="AC115" s="1544">
        <v>1</v>
      </c>
      <c r="AD115" s="1543">
        <v>1</v>
      </c>
      <c r="AE115" s="1543">
        <v>1</v>
      </c>
      <c r="AF115" s="1543">
        <v>1</v>
      </c>
      <c r="AG115" s="788">
        <v>1</v>
      </c>
      <c r="AH115" s="697"/>
      <c r="AI115" s="707"/>
      <c r="AJ115" s="709">
        <f t="shared" si="90"/>
        <v>1</v>
      </c>
      <c r="AK115" s="710">
        <f t="shared" si="91"/>
        <v>1</v>
      </c>
      <c r="AL115" s="710">
        <f t="shared" si="92"/>
        <v>1</v>
      </c>
      <c r="AM115" s="710">
        <f t="shared" si="93"/>
        <v>1</v>
      </c>
      <c r="AN115" s="710">
        <f t="shared" si="94"/>
        <v>1</v>
      </c>
      <c r="AO115" s="711">
        <f t="shared" si="95"/>
        <v>1</v>
      </c>
      <c r="AP115" s="707">
        <f t="shared" si="96"/>
        <v>1</v>
      </c>
      <c r="AQ115" s="707">
        <f t="shared" si="97"/>
        <v>1</v>
      </c>
      <c r="AR115" s="707">
        <f t="shared" si="98"/>
        <v>1</v>
      </c>
      <c r="AS115" s="712">
        <f t="shared" si="99"/>
        <v>1</v>
      </c>
      <c r="AV115" s="1559"/>
      <c r="AW115" s="1392" t="str">
        <f t="shared" si="48"/>
        <v>Qty</v>
      </c>
      <c r="AX115" s="1393" t="str">
        <f t="shared" si="36"/>
        <v>Water</v>
      </c>
      <c r="AY115" s="1394" t="str">
        <f t="shared" si="49"/>
        <v>Fixed</v>
      </c>
      <c r="AZ115" s="1395">
        <f t="shared" si="165"/>
        <v>0</v>
      </c>
      <c r="BA115" s="1395">
        <f t="shared" si="165"/>
        <v>0</v>
      </c>
      <c r="BB115" s="1395">
        <f t="shared" si="165"/>
        <v>0</v>
      </c>
      <c r="BC115" s="1395">
        <f t="shared" si="51"/>
        <v>0</v>
      </c>
      <c r="BD115" s="1395">
        <f t="shared" si="52"/>
        <v>0</v>
      </c>
      <c r="BE115" s="1395">
        <f t="shared" si="53"/>
        <v>0</v>
      </c>
      <c r="BF115" s="1395">
        <f t="shared" si="54"/>
        <v>0</v>
      </c>
      <c r="BG115" s="1396">
        <f t="shared" si="55"/>
        <v>0</v>
      </c>
      <c r="BH115" s="1395">
        <f t="shared" si="56"/>
        <v>0</v>
      </c>
      <c r="BI115" s="1395">
        <f t="shared" si="57"/>
        <v>0</v>
      </c>
      <c r="BJ115" s="1395">
        <f t="shared" si="58"/>
        <v>0</v>
      </c>
      <c r="BK115" s="1395">
        <f t="shared" si="59"/>
        <v>0</v>
      </c>
      <c r="BL115" s="1397">
        <f t="shared" si="60"/>
        <v>0</v>
      </c>
      <c r="BM115" s="1395">
        <f t="shared" si="61"/>
        <v>0</v>
      </c>
      <c r="BN115" s="1395">
        <f t="shared" si="62"/>
        <v>0</v>
      </c>
      <c r="BO115" s="1395">
        <f t="shared" si="63"/>
        <v>0</v>
      </c>
      <c r="BP115" s="1395">
        <f t="shared" si="64"/>
        <v>0</v>
      </c>
      <c r="BQ115" s="1398">
        <f t="shared" si="65"/>
        <v>0</v>
      </c>
      <c r="BR115" s="1378"/>
      <c r="BS115" s="1329"/>
      <c r="BT115" s="1399"/>
      <c r="BU115" s="1331"/>
      <c r="BV115" s="1400"/>
      <c r="BW115" s="1378"/>
      <c r="BX115" s="1392" t="str">
        <f t="shared" si="66"/>
        <v>Qty</v>
      </c>
      <c r="BY115" s="1393" t="str">
        <f t="shared" si="67"/>
        <v>Water</v>
      </c>
      <c r="BZ115" s="1394" t="str">
        <f t="shared" si="68"/>
        <v>Fixed</v>
      </c>
      <c r="CA115" s="1401">
        <f t="shared" ref="CA115:CR115" si="167">IFERROR((P115/O115-1)*(O116/O$13),"-")</f>
        <v>0</v>
      </c>
      <c r="CB115" s="1395">
        <f t="shared" si="167"/>
        <v>0</v>
      </c>
      <c r="CC115" s="1395">
        <f t="shared" si="167"/>
        <v>0</v>
      </c>
      <c r="CD115" s="1395">
        <f t="shared" si="167"/>
        <v>0</v>
      </c>
      <c r="CE115" s="1395">
        <f t="shared" si="167"/>
        <v>0</v>
      </c>
      <c r="CF115" s="1395">
        <f t="shared" si="167"/>
        <v>0</v>
      </c>
      <c r="CG115" s="1395">
        <f t="shared" si="167"/>
        <v>0</v>
      </c>
      <c r="CH115" s="1397">
        <f t="shared" si="167"/>
        <v>0</v>
      </c>
      <c r="CI115" s="1395">
        <f t="shared" si="167"/>
        <v>0</v>
      </c>
      <c r="CJ115" s="1395">
        <f t="shared" si="167"/>
        <v>0</v>
      </c>
      <c r="CK115" s="1395">
        <f t="shared" si="167"/>
        <v>0</v>
      </c>
      <c r="CL115" s="1395">
        <f t="shared" si="167"/>
        <v>0</v>
      </c>
      <c r="CM115" s="1397">
        <f t="shared" si="167"/>
        <v>0</v>
      </c>
      <c r="CN115" s="1395">
        <f t="shared" si="167"/>
        <v>0</v>
      </c>
      <c r="CO115" s="1395">
        <f t="shared" si="167"/>
        <v>0</v>
      </c>
      <c r="CP115" s="1395">
        <f t="shared" si="167"/>
        <v>0</v>
      </c>
      <c r="CQ115" s="1395">
        <f t="shared" si="167"/>
        <v>0</v>
      </c>
      <c r="CR115" s="1398">
        <f t="shared" si="167"/>
        <v>0</v>
      </c>
      <c r="CS115" s="1378"/>
      <c r="CT115" s="1392" t="str">
        <f t="shared" si="39"/>
        <v>Qty</v>
      </c>
      <c r="CU115" s="1393" t="str">
        <f t="shared" si="40"/>
        <v>Water</v>
      </c>
      <c r="CV115" s="1393" t="str">
        <f t="shared" si="41"/>
        <v>Fixed</v>
      </c>
      <c r="CW115" s="1401">
        <f t="shared" si="70"/>
        <v>0</v>
      </c>
      <c r="CX115" s="1395">
        <f t="shared" si="71"/>
        <v>0</v>
      </c>
      <c r="CY115" s="1395">
        <f t="shared" si="72"/>
        <v>0</v>
      </c>
      <c r="CZ115" s="1398">
        <f t="shared" si="73"/>
        <v>0</v>
      </c>
      <c r="DA115" s="1395">
        <f t="shared" si="74"/>
        <v>0</v>
      </c>
      <c r="DB115" s="1395">
        <f t="shared" si="75"/>
        <v>0</v>
      </c>
      <c r="DC115" s="1395">
        <f t="shared" si="76"/>
        <v>0</v>
      </c>
      <c r="DD115" s="1395">
        <f t="shared" si="77"/>
        <v>0</v>
      </c>
      <c r="DE115" s="1398">
        <f t="shared" si="78"/>
        <v>0</v>
      </c>
      <c r="DF115" s="1378"/>
      <c r="DG115" s="1392" t="str">
        <f t="shared" si="139"/>
        <v>Qty</v>
      </c>
      <c r="DH115" s="1393" t="str">
        <f t="shared" si="140"/>
        <v>Water</v>
      </c>
      <c r="DI115" s="1393" t="str">
        <f t="shared" si="141"/>
        <v>Fixed</v>
      </c>
      <c r="DJ115" s="1393"/>
      <c r="DK115" s="1401">
        <f t="shared" si="79"/>
        <v>0</v>
      </c>
      <c r="DL115" s="1395">
        <f t="shared" si="80"/>
        <v>0</v>
      </c>
      <c r="DM115" s="1395">
        <f t="shared" si="81"/>
        <v>0</v>
      </c>
      <c r="DN115" s="1397">
        <f t="shared" si="82"/>
        <v>0</v>
      </c>
      <c r="DO115" s="1395">
        <f t="shared" si="83"/>
        <v>0</v>
      </c>
      <c r="DP115" s="1395">
        <f t="shared" si="84"/>
        <v>0</v>
      </c>
      <c r="DQ115" s="1395">
        <f t="shared" si="85"/>
        <v>0</v>
      </c>
      <c r="DR115" s="1398">
        <f t="shared" si="86"/>
        <v>0</v>
      </c>
    </row>
    <row r="116" spans="4:122" ht="12.75" thickBot="1">
      <c r="E116" s="743" t="s">
        <v>46</v>
      </c>
      <c r="F116" s="732" t="str">
        <f>+F114</f>
        <v>Water</v>
      </c>
      <c r="G116" s="733" t="str">
        <f>+G114</f>
        <v>Fixed tariff group - 1 -50mm Eskdale</v>
      </c>
      <c r="H116" s="733">
        <f>+H114</f>
        <v>0</v>
      </c>
      <c r="I116" s="734" t="str">
        <f>+I114</f>
        <v>Fixed</v>
      </c>
      <c r="J116" s="735" t="s">
        <v>344</v>
      </c>
      <c r="K116" s="736">
        <f t="shared" ref="K116:AG116" si="168">K114*K115/10^6</f>
        <v>0</v>
      </c>
      <c r="L116" s="737">
        <f t="shared" si="168"/>
        <v>0</v>
      </c>
      <c r="M116" s="737">
        <f t="shared" si="168"/>
        <v>0</v>
      </c>
      <c r="N116" s="738">
        <f t="shared" si="168"/>
        <v>0</v>
      </c>
      <c r="O116" s="1923">
        <f t="shared" si="168"/>
        <v>2.428507466063348E-3</v>
      </c>
      <c r="P116" s="737">
        <f t="shared" si="168"/>
        <v>2.4394268605683837E-3</v>
      </c>
      <c r="Q116" s="737">
        <f t="shared" si="168"/>
        <v>2.4073572699386506E-3</v>
      </c>
      <c r="R116" s="737">
        <f t="shared" si="168"/>
        <v>2.3557415480274439E-3</v>
      </c>
      <c r="S116" s="737">
        <f t="shared" si="168"/>
        <v>2.3006777099236642E-3</v>
      </c>
      <c r="T116" s="1531">
        <f t="shared" si="168"/>
        <v>2.2663431355932203E-3</v>
      </c>
      <c r="U116" s="737">
        <f t="shared" si="168"/>
        <v>2.3046946493212668E-3</v>
      </c>
      <c r="V116" s="737">
        <f t="shared" si="168"/>
        <v>2.308847063318777E-3</v>
      </c>
      <c r="W116" s="737">
        <f t="shared" si="168"/>
        <v>2.3304900000000002E-3</v>
      </c>
      <c r="X116" s="738">
        <f t="shared" si="168"/>
        <v>2.4681789315039301E-3</v>
      </c>
      <c r="Y116" s="737">
        <f t="shared" si="168"/>
        <v>2.613301989403025E-3</v>
      </c>
      <c r="Z116" s="737">
        <f t="shared" si="168"/>
        <v>2.7662527820448918E-3</v>
      </c>
      <c r="AA116" s="737">
        <f t="shared" si="168"/>
        <v>2.9274426557002729E-3</v>
      </c>
      <c r="AB116" s="737">
        <f t="shared" si="168"/>
        <v>3.0973056762661449E-3</v>
      </c>
      <c r="AC116" s="738">
        <f t="shared" si="168"/>
        <v>3.1468625670864033E-3</v>
      </c>
      <c r="AD116" s="737">
        <f t="shared" si="168"/>
        <v>3.1972123681597857E-3</v>
      </c>
      <c r="AE116" s="737">
        <f t="shared" si="168"/>
        <v>3.2483677660503428E-3</v>
      </c>
      <c r="AF116" s="737">
        <f t="shared" si="168"/>
        <v>3.300341650307148E-3</v>
      </c>
      <c r="AG116" s="739">
        <f t="shared" si="168"/>
        <v>3.3531471167120627E-3</v>
      </c>
      <c r="AH116" s="697"/>
      <c r="AI116" s="707"/>
      <c r="AJ116" s="709">
        <f t="shared" si="90"/>
        <v>2.4681789315039301E-3</v>
      </c>
      <c r="AK116" s="710">
        <f t="shared" si="91"/>
        <v>2.613301989403025E-3</v>
      </c>
      <c r="AL116" s="710">
        <f t="shared" si="92"/>
        <v>2.7662527820448918E-3</v>
      </c>
      <c r="AM116" s="710">
        <f t="shared" si="93"/>
        <v>2.9274426557002729E-3</v>
      </c>
      <c r="AN116" s="710">
        <f t="shared" si="94"/>
        <v>3.0973056762661449E-3</v>
      </c>
      <c r="AO116" s="711">
        <f t="shared" si="95"/>
        <v>3.1468625670864033E-3</v>
      </c>
      <c r="AP116" s="707">
        <f t="shared" si="96"/>
        <v>3.1972123681597857E-3</v>
      </c>
      <c r="AQ116" s="707">
        <f t="shared" si="97"/>
        <v>3.2483677660503428E-3</v>
      </c>
      <c r="AR116" s="707">
        <f t="shared" si="98"/>
        <v>3.300341650307148E-3</v>
      </c>
      <c r="AS116" s="712">
        <f t="shared" si="99"/>
        <v>3.3531471167120627E-3</v>
      </c>
      <c r="AV116" s="1559"/>
      <c r="AW116" s="1428" t="str">
        <f t="shared" si="48"/>
        <v>Rev</v>
      </c>
      <c r="AX116" s="1429" t="str">
        <f t="shared" si="36"/>
        <v>Water</v>
      </c>
      <c r="AY116" s="1430" t="str">
        <f t="shared" si="49"/>
        <v>Fixed</v>
      </c>
      <c r="AZ116" s="1431">
        <f t="shared" si="165"/>
        <v>4.4963396891408713E-3</v>
      </c>
      <c r="BA116" s="1431">
        <f t="shared" si="165"/>
        <v>-1.3146362839614234E-2</v>
      </c>
      <c r="BB116" s="1431">
        <f t="shared" si="165"/>
        <v>-2.1440823327615988E-2</v>
      </c>
      <c r="BC116" s="1431">
        <f t="shared" si="51"/>
        <v>-2.3374312071664627E-2</v>
      </c>
      <c r="BD116" s="1431">
        <f t="shared" si="52"/>
        <v>-1.4923678437160581E-2</v>
      </c>
      <c r="BE116" s="1431">
        <f t="shared" si="53"/>
        <v>1.6922200846699154E-2</v>
      </c>
      <c r="BF116" s="1431">
        <f t="shared" si="54"/>
        <v>1.8017198064537165E-3</v>
      </c>
      <c r="BG116" s="1432">
        <f t="shared" si="55"/>
        <v>9.3739152432701367E-3</v>
      </c>
      <c r="BH116" s="1431">
        <f t="shared" si="56"/>
        <v>5.9081537146235208E-2</v>
      </c>
      <c r="BI116" s="1431">
        <f t="shared" si="57"/>
        <v>5.8797624453696962E-2</v>
      </c>
      <c r="BJ116" s="1431">
        <f t="shared" si="58"/>
        <v>5.8527790994720164E-2</v>
      </c>
      <c r="BK116" s="1431">
        <f t="shared" si="59"/>
        <v>5.8270117142448896E-2</v>
      </c>
      <c r="BL116" s="1433">
        <f t="shared" si="60"/>
        <v>5.8024371625219562E-2</v>
      </c>
      <c r="BM116" s="1431">
        <f t="shared" si="61"/>
        <v>1.6000000000000014E-2</v>
      </c>
      <c r="BN116" s="1431">
        <f t="shared" si="62"/>
        <v>1.6000000000000014E-2</v>
      </c>
      <c r="BO116" s="1431">
        <f t="shared" si="63"/>
        <v>1.6000000000000236E-2</v>
      </c>
      <c r="BP116" s="1431">
        <f t="shared" si="64"/>
        <v>1.6000000000000014E-2</v>
      </c>
      <c r="BQ116" s="1434">
        <f t="shared" si="65"/>
        <v>1.6000000000000014E-2</v>
      </c>
      <c r="BR116" s="1378"/>
      <c r="BS116" s="1407"/>
      <c r="BT116" s="1408"/>
      <c r="BU116" s="1409"/>
      <c r="BV116" s="1410"/>
      <c r="BW116" s="1378"/>
      <c r="BX116" s="1428" t="str">
        <f t="shared" si="66"/>
        <v>Rev</v>
      </c>
      <c r="BY116" s="1429" t="str">
        <f t="shared" si="67"/>
        <v>Water</v>
      </c>
      <c r="BZ116" s="1430" t="str">
        <f t="shared" si="68"/>
        <v>Fixed</v>
      </c>
      <c r="CA116" s="1435">
        <f t="shared" ref="CA116:CR116" si="169">IFERROR((P116/O116-1)*(O116/O$13),"-")</f>
        <v>1.4481419212725614E-7</v>
      </c>
      <c r="CB116" s="1431">
        <f t="shared" si="169"/>
        <v>-4.1455495039357023E-7</v>
      </c>
      <c r="CC116" s="1431">
        <f t="shared" si="169"/>
        <v>-6.7926362798358618E-7</v>
      </c>
      <c r="CD116" s="1431">
        <f t="shared" si="169"/>
        <v>-7.3808135999668028E-7</v>
      </c>
      <c r="CE116" s="1431">
        <f t="shared" si="169"/>
        <v>-4.7633701203038641E-7</v>
      </c>
      <c r="CF116" s="1431">
        <f t="shared" si="169"/>
        <v>5.1383454223362079E-7</v>
      </c>
      <c r="CG116" s="1431">
        <f t="shared" si="169"/>
        <v>5.2953886271297932E-8</v>
      </c>
      <c r="CH116" s="1433">
        <f t="shared" si="169"/>
        <v>2.6347066096824408E-7</v>
      </c>
      <c r="CI116" s="1431">
        <f t="shared" si="169"/>
        <v>1.7067553725370183E-6</v>
      </c>
      <c r="CJ116" s="1431">
        <f t="shared" si="169"/>
        <v>1.6722555266146356E-6</v>
      </c>
      <c r="CK116" s="1431">
        <f t="shared" si="169"/>
        <v>1.6566600706463795E-6</v>
      </c>
      <c r="CL116" s="1431">
        <f t="shared" si="169"/>
        <v>1.6410292991513291E-6</v>
      </c>
      <c r="CM116" s="1433">
        <f t="shared" si="169"/>
        <v>1.625092276910981E-6</v>
      </c>
      <c r="CN116" s="1431">
        <f t="shared" si="169"/>
        <v>4.4560195087263245E-7</v>
      </c>
      <c r="CO116" s="1431">
        <f t="shared" si="169"/>
        <v>4.4054093891630295E-7</v>
      </c>
      <c r="CP116" s="1431">
        <f t="shared" si="169"/>
        <v>4.3542551323516091E-7</v>
      </c>
      <c r="CQ116" s="1431">
        <f t="shared" si="169"/>
        <v>4.3041907141194678E-7</v>
      </c>
      <c r="CR116" s="1434">
        <f t="shared" si="169"/>
        <v>4.2526196864443577E-7</v>
      </c>
      <c r="CS116" s="1378"/>
      <c r="CT116" s="1428" t="str">
        <f t="shared" si="39"/>
        <v>Rev</v>
      </c>
      <c r="CU116" s="1429" t="str">
        <f t="shared" si="40"/>
        <v>Water</v>
      </c>
      <c r="CV116" s="1429" t="str">
        <f t="shared" si="41"/>
        <v>Fixed</v>
      </c>
      <c r="CW116" s="1435">
        <f t="shared" si="70"/>
        <v>5.8939571284973624E-2</v>
      </c>
      <c r="CX116" s="1431">
        <f t="shared" si="71"/>
        <v>5.8802293392678839E-2</v>
      </c>
      <c r="CY116" s="1431">
        <f t="shared" si="72"/>
        <v>5.8669224246239882E-2</v>
      </c>
      <c r="CZ116" s="1434">
        <f t="shared" si="73"/>
        <v>5.8540222287330135E-2</v>
      </c>
      <c r="DA116" s="1431">
        <f t="shared" si="74"/>
        <v>5.1328462325869184E-2</v>
      </c>
      <c r="DB116" s="1431">
        <f t="shared" si="75"/>
        <v>4.6207306330557252E-2</v>
      </c>
      <c r="DC116" s="1431">
        <f t="shared" si="76"/>
        <v>4.2382816676496793E-2</v>
      </c>
      <c r="DD116" s="1431">
        <f t="shared" si="77"/>
        <v>3.9417881908618169E-2</v>
      </c>
      <c r="DE116" s="1434">
        <f t="shared" si="78"/>
        <v>3.7052007299502643E-2</v>
      </c>
      <c r="DF116" s="1378"/>
      <c r="DG116" s="1428" t="str">
        <f t="shared" si="139"/>
        <v>Rev</v>
      </c>
      <c r="DH116" s="1429" t="str">
        <f t="shared" si="140"/>
        <v>Water</v>
      </c>
      <c r="DI116" s="1429" t="str">
        <f t="shared" si="141"/>
        <v>Fixed</v>
      </c>
      <c r="DJ116" s="1429"/>
      <c r="DK116" s="1435">
        <f t="shared" si="79"/>
        <v>5.8662699127266515E-2</v>
      </c>
      <c r="DL116" s="1431">
        <f t="shared" si="80"/>
        <v>5.8531822286719493E-2</v>
      </c>
      <c r="DM116" s="1431">
        <f t="shared" si="81"/>
        <v>5.8404936808655661E-2</v>
      </c>
      <c r="DN116" s="1433">
        <f t="shared" si="82"/>
        <v>4.9784671527752566E-2</v>
      </c>
      <c r="DO116" s="1431">
        <f t="shared" si="83"/>
        <v>4.4076868097023825E-2</v>
      </c>
      <c r="DP116" s="1431">
        <f t="shared" si="84"/>
        <v>4.001887591217379E-2</v>
      </c>
      <c r="DQ116" s="1431">
        <f t="shared" si="85"/>
        <v>3.6985735580578938E-2</v>
      </c>
      <c r="DR116" s="1434">
        <f t="shared" si="86"/>
        <v>3.4632743464892535E-2</v>
      </c>
    </row>
    <row r="117" spans="4:122">
      <c r="D117" s="70">
        <f>D114+1</f>
        <v>18</v>
      </c>
      <c r="E117" s="713" t="s">
        <v>44</v>
      </c>
      <c r="F117" s="1532" t="s">
        <v>20</v>
      </c>
      <c r="G117" s="1532" t="s">
        <v>880</v>
      </c>
      <c r="H117" s="1532"/>
      <c r="I117" s="781" t="s">
        <v>319</v>
      </c>
      <c r="J117" s="781" t="s">
        <v>345</v>
      </c>
      <c r="K117" s="1533"/>
      <c r="L117" s="1534"/>
      <c r="M117" s="1534"/>
      <c r="N117" s="1535"/>
      <c r="O117" s="2071">
        <v>283.37361990950228</v>
      </c>
      <c r="P117" s="1547">
        <v>284.68633214920072</v>
      </c>
      <c r="Q117" s="1547">
        <v>280.94374233128838</v>
      </c>
      <c r="R117" s="1547">
        <v>274.92007718696397</v>
      </c>
      <c r="S117" s="1547">
        <v>268.47564885496183</v>
      </c>
      <c r="T117" s="1547">
        <v>264.46830508474574</v>
      </c>
      <c r="U117" s="1547">
        <v>268.93223981900451</v>
      </c>
      <c r="V117" s="1547">
        <v>269.4087554585152</v>
      </c>
      <c r="W117" s="1547">
        <v>271.94</v>
      </c>
      <c r="X117" s="1550">
        <v>297.45539560288194</v>
      </c>
      <c r="Y117" s="1551">
        <v>324.47049080180176</v>
      </c>
      <c r="Z117" s="1551">
        <v>353.05697958091577</v>
      </c>
      <c r="AA117" s="1551">
        <v>383.29764624746497</v>
      </c>
      <c r="AB117" s="1551">
        <v>415.28044551263616</v>
      </c>
      <c r="AC117" s="1550">
        <v>421.92493264083834</v>
      </c>
      <c r="AD117" s="1551">
        <v>428.67573156309174</v>
      </c>
      <c r="AE117" s="1551">
        <v>435.53454326810123</v>
      </c>
      <c r="AF117" s="1551">
        <v>442.50309596039085</v>
      </c>
      <c r="AG117" s="1552">
        <v>449.58314549575709</v>
      </c>
      <c r="AH117" s="697"/>
      <c r="AI117" s="707"/>
      <c r="AJ117" s="709">
        <f t="shared" si="90"/>
        <v>297.45539560288194</v>
      </c>
      <c r="AK117" s="710">
        <f t="shared" si="91"/>
        <v>324.47049080180176</v>
      </c>
      <c r="AL117" s="710">
        <f t="shared" si="92"/>
        <v>353.05697958091577</v>
      </c>
      <c r="AM117" s="710">
        <f t="shared" si="93"/>
        <v>383.29764624746497</v>
      </c>
      <c r="AN117" s="710">
        <f t="shared" si="94"/>
        <v>415.28044551263616</v>
      </c>
      <c r="AO117" s="711">
        <f t="shared" si="95"/>
        <v>421.92493264083834</v>
      </c>
      <c r="AP117" s="707">
        <f t="shared" si="96"/>
        <v>428.67573156309174</v>
      </c>
      <c r="AQ117" s="707">
        <f t="shared" si="97"/>
        <v>435.53454326810123</v>
      </c>
      <c r="AR117" s="707">
        <f t="shared" si="98"/>
        <v>442.50309596039085</v>
      </c>
      <c r="AS117" s="712">
        <f t="shared" si="99"/>
        <v>449.58314549575709</v>
      </c>
      <c r="AU117" s="1369"/>
      <c r="AV117" s="1559"/>
      <c r="AW117" s="1412" t="str">
        <f t="shared" si="48"/>
        <v>Price</v>
      </c>
      <c r="AX117" s="1413" t="str">
        <f t="shared" si="36"/>
        <v>Water</v>
      </c>
      <c r="AY117" s="1414" t="str">
        <f t="shared" si="49"/>
        <v>Fixed</v>
      </c>
      <c r="AZ117" s="1415">
        <f t="shared" si="165"/>
        <v>4.6324433450004587E-3</v>
      </c>
      <c r="BA117" s="1415">
        <f t="shared" si="165"/>
        <v>-1.3146362839614345E-2</v>
      </c>
      <c r="BB117" s="1415">
        <f t="shared" si="165"/>
        <v>-2.1440823327615988E-2</v>
      </c>
      <c r="BC117" s="1415">
        <f t="shared" si="51"/>
        <v>-2.3441097492561402E-2</v>
      </c>
      <c r="BD117" s="1415">
        <f t="shared" si="52"/>
        <v>-1.4926283956505082E-2</v>
      </c>
      <c r="BE117" s="1415">
        <f t="shared" si="53"/>
        <v>1.6878902493923986E-2</v>
      </c>
      <c r="BF117" s="1415">
        <f t="shared" si="54"/>
        <v>1.7718799346311265E-3</v>
      </c>
      <c r="BG117" s="1416">
        <f t="shared" si="55"/>
        <v>9.395554116928384E-3</v>
      </c>
      <c r="BH117" s="1417">
        <f t="shared" si="56"/>
        <v>9.3827298679421745E-2</v>
      </c>
      <c r="BI117" s="1417">
        <f t="shared" si="57"/>
        <v>9.0820659494730949E-2</v>
      </c>
      <c r="BJ117" s="1417">
        <f t="shared" si="58"/>
        <v>8.8101967943136295E-2</v>
      </c>
      <c r="BK117" s="1417">
        <f t="shared" si="59"/>
        <v>8.5653785126823978E-2</v>
      </c>
      <c r="BL117" s="1418">
        <f t="shared" si="60"/>
        <v>8.3441157487626372E-2</v>
      </c>
      <c r="BM117" s="1417">
        <f t="shared" si="61"/>
        <v>1.6000000000000014E-2</v>
      </c>
      <c r="BN117" s="1417">
        <f t="shared" si="62"/>
        <v>1.6000000000000014E-2</v>
      </c>
      <c r="BO117" s="1417">
        <f t="shared" si="63"/>
        <v>1.6000000000000014E-2</v>
      </c>
      <c r="BP117" s="1417">
        <f t="shared" si="64"/>
        <v>1.6000000000000014E-2</v>
      </c>
      <c r="BQ117" s="1419">
        <f t="shared" si="65"/>
        <v>1.6000000000000014E-2</v>
      </c>
      <c r="BR117" s="1378"/>
      <c r="BS117" s="1420"/>
      <c r="BT117" s="1421"/>
      <c r="BU117" s="1422"/>
      <c r="BV117" s="1423"/>
      <c r="BW117" s="1378"/>
      <c r="BX117" s="1412" t="str">
        <f t="shared" si="66"/>
        <v>Price</v>
      </c>
      <c r="BY117" s="1413" t="str">
        <f t="shared" si="67"/>
        <v>Water</v>
      </c>
      <c r="BZ117" s="1414" t="str">
        <f t="shared" si="68"/>
        <v>Fixed</v>
      </c>
      <c r="CA117" s="1424">
        <f t="shared" ref="CA117:CR117" si="170">IFERROR((P117/O117-1)*(O119/O$13),"-")</f>
        <v>1.2484231866237352E-4</v>
      </c>
      <c r="CB117" s="1415">
        <f t="shared" si="170"/>
        <v>-3.5254104758653524E-4</v>
      </c>
      <c r="CC117" s="1415">
        <f t="shared" si="170"/>
        <v>-5.8637142024029528E-4</v>
      </c>
      <c r="CD117" s="1415">
        <f t="shared" si="170"/>
        <v>-6.4760421536813736E-4</v>
      </c>
      <c r="CE117" s="1415">
        <f t="shared" si="170"/>
        <v>-4.2319257586956273E-4</v>
      </c>
      <c r="CF117" s="1415">
        <f t="shared" si="170"/>
        <v>4.60207131779025E-4</v>
      </c>
      <c r="CG117" s="1415">
        <f t="shared" si="170"/>
        <v>4.6997907130935009E-5</v>
      </c>
      <c r="CH117" s="1425">
        <f t="shared" si="170"/>
        <v>2.3958000729830305E-4</v>
      </c>
      <c r="CI117" s="1417">
        <f t="shared" si="170"/>
        <v>2.4717442780336006E-3</v>
      </c>
      <c r="CJ117" s="1417">
        <f t="shared" si="170"/>
        <v>2.4455367647387124E-3</v>
      </c>
      <c r="CK117" s="1417">
        <f t="shared" si="170"/>
        <v>2.4451450428426679E-3</v>
      </c>
      <c r="CL117" s="1417">
        <f t="shared" si="170"/>
        <v>2.443886519856873E-3</v>
      </c>
      <c r="CM117" s="1418">
        <f t="shared" si="170"/>
        <v>2.4414291248052592E-3</v>
      </c>
      <c r="CN117" s="1417">
        <f t="shared" si="170"/>
        <v>4.7921787963049755E-4</v>
      </c>
      <c r="CO117" s="1417">
        <f t="shared" si="170"/>
        <v>4.7619680829608362E-4</v>
      </c>
      <c r="CP117" s="1417">
        <f t="shared" si="170"/>
        <v>4.7311935826571303E-4</v>
      </c>
      <c r="CQ117" s="1417">
        <f t="shared" si="170"/>
        <v>4.7016103728870058E-4</v>
      </c>
      <c r="CR117" s="1419">
        <f t="shared" si="170"/>
        <v>4.6692252968432384E-4</v>
      </c>
      <c r="CS117" s="1378"/>
      <c r="CT117" s="1412" t="str">
        <f t="shared" si="39"/>
        <v>Price</v>
      </c>
      <c r="CU117" s="1413" t="str">
        <f t="shared" si="40"/>
        <v>Water</v>
      </c>
      <c r="CV117" s="1426" t="str">
        <f t="shared" si="41"/>
        <v>Fixed</v>
      </c>
      <c r="CW117" s="1427">
        <f t="shared" si="70"/>
        <v>9.2322944608794089E-2</v>
      </c>
      <c r="CX117" s="1417">
        <f t="shared" si="71"/>
        <v>9.0914136176836191E-2</v>
      </c>
      <c r="CY117" s="1417">
        <f t="shared" si="72"/>
        <v>8.9596663712474767E-2</v>
      </c>
      <c r="CZ117" s="1419">
        <f t="shared" si="73"/>
        <v>8.8362771034580234E-2</v>
      </c>
      <c r="DA117" s="1417">
        <f t="shared" si="74"/>
        <v>7.5953946268560335E-2</v>
      </c>
      <c r="DB117" s="1417">
        <f t="shared" si="75"/>
        <v>6.7177213335434027E-2</v>
      </c>
      <c r="DC117" s="1417">
        <f t="shared" si="76"/>
        <v>6.0641678725679826E-2</v>
      </c>
      <c r="DD117" s="1417">
        <f t="shared" si="77"/>
        <v>5.5586168961812454E-2</v>
      </c>
      <c r="DE117" s="1419">
        <f t="shared" si="78"/>
        <v>5.1559116441455055E-2</v>
      </c>
      <c r="DF117" s="1378"/>
      <c r="DG117" s="1412" t="str">
        <f t="shared" si="139"/>
        <v>Price</v>
      </c>
      <c r="DH117" s="1413" t="str">
        <f t="shared" si="140"/>
        <v>Water</v>
      </c>
      <c r="DI117" s="1426" t="str">
        <f t="shared" si="141"/>
        <v>Fixed</v>
      </c>
      <c r="DJ117" s="1426"/>
      <c r="DK117" s="1427">
        <f t="shared" si="79"/>
        <v>8.9460465675210488E-2</v>
      </c>
      <c r="DL117" s="1417">
        <f t="shared" si="80"/>
        <v>8.819009140456413E-2</v>
      </c>
      <c r="DM117" s="1417">
        <f t="shared" si="81"/>
        <v>8.7000910027102529E-2</v>
      </c>
      <c r="DN117" s="1418">
        <f t="shared" si="82"/>
        <v>7.2414476120448601E-2</v>
      </c>
      <c r="DO117" s="1417">
        <f t="shared" si="83"/>
        <v>6.2799091343963109E-2</v>
      </c>
      <c r="DP117" s="1417">
        <f t="shared" si="84"/>
        <v>5.5983787779009475E-2</v>
      </c>
      <c r="DQ117" s="1417">
        <f t="shared" si="85"/>
        <v>5.090100608360637E-2</v>
      </c>
      <c r="DR117" s="1419">
        <f t="shared" si="86"/>
        <v>4.6964651562449999E-2</v>
      </c>
    </row>
    <row r="118" spans="4:122">
      <c r="E118" s="742" t="s">
        <v>45</v>
      </c>
      <c r="F118" s="722" t="str">
        <f>+F117</f>
        <v>Water</v>
      </c>
      <c r="G118" s="723" t="str">
        <f>+G117</f>
        <v>Fixed tariff group 2 -20 mm</v>
      </c>
      <c r="H118" s="723">
        <f>+H117</f>
        <v>0</v>
      </c>
      <c r="I118" s="724" t="str">
        <f>+I117</f>
        <v>Fixed</v>
      </c>
      <c r="J118" s="782" t="s">
        <v>323</v>
      </c>
      <c r="K118" s="1540"/>
      <c r="L118" s="1541"/>
      <c r="M118" s="1541"/>
      <c r="N118" s="1542"/>
      <c r="O118" s="2031">
        <v>7171</v>
      </c>
      <c r="P118" s="1543">
        <v>7287</v>
      </c>
      <c r="Q118" s="1543">
        <v>7397</v>
      </c>
      <c r="R118" s="1543">
        <v>7497</v>
      </c>
      <c r="S118" s="1543">
        <v>7612</v>
      </c>
      <c r="T118" s="1543">
        <v>7694.7536860364262</v>
      </c>
      <c r="U118" s="1543">
        <v>7734</v>
      </c>
      <c r="V118" s="1543">
        <v>7775</v>
      </c>
      <c r="W118" s="1543">
        <v>7815</v>
      </c>
      <c r="X118" s="1544">
        <v>7856</v>
      </c>
      <c r="Y118" s="1543">
        <v>7897</v>
      </c>
      <c r="Z118" s="1543">
        <v>7938</v>
      </c>
      <c r="AA118" s="1543">
        <v>7979</v>
      </c>
      <c r="AB118" s="1543">
        <v>8021</v>
      </c>
      <c r="AC118" s="1544">
        <v>8062</v>
      </c>
      <c r="AD118" s="1543">
        <v>8104</v>
      </c>
      <c r="AE118" s="1543">
        <v>8147</v>
      </c>
      <c r="AF118" s="1543">
        <v>8189</v>
      </c>
      <c r="AG118" s="788">
        <v>8231</v>
      </c>
      <c r="AH118" s="697"/>
      <c r="AI118" s="707"/>
      <c r="AJ118" s="709">
        <f t="shared" si="90"/>
        <v>7856</v>
      </c>
      <c r="AK118" s="710">
        <f t="shared" si="91"/>
        <v>7897</v>
      </c>
      <c r="AL118" s="710">
        <f t="shared" si="92"/>
        <v>7938</v>
      </c>
      <c r="AM118" s="710">
        <f t="shared" si="93"/>
        <v>7979</v>
      </c>
      <c r="AN118" s="710">
        <f t="shared" si="94"/>
        <v>8021</v>
      </c>
      <c r="AO118" s="711">
        <f t="shared" si="95"/>
        <v>8062</v>
      </c>
      <c r="AP118" s="707">
        <f t="shared" si="96"/>
        <v>8104</v>
      </c>
      <c r="AQ118" s="707">
        <f t="shared" si="97"/>
        <v>8147</v>
      </c>
      <c r="AR118" s="707">
        <f t="shared" si="98"/>
        <v>8189</v>
      </c>
      <c r="AS118" s="712">
        <f t="shared" si="99"/>
        <v>8231</v>
      </c>
      <c r="AV118" s="1559"/>
      <c r="AW118" s="1392" t="str">
        <f t="shared" si="48"/>
        <v>Qty</v>
      </c>
      <c r="AX118" s="1393" t="str">
        <f t="shared" si="36"/>
        <v>Water</v>
      </c>
      <c r="AY118" s="1394" t="str">
        <f t="shared" si="49"/>
        <v>Fixed</v>
      </c>
      <c r="AZ118" s="1395">
        <f t="shared" si="165"/>
        <v>1.6176265513875299E-2</v>
      </c>
      <c r="BA118" s="1395">
        <f t="shared" si="165"/>
        <v>1.5095375325922866E-2</v>
      </c>
      <c r="BB118" s="1395">
        <f t="shared" si="165"/>
        <v>1.3518994186832556E-2</v>
      </c>
      <c r="BC118" s="1395">
        <f t="shared" si="51"/>
        <v>1.533946912098183E-2</v>
      </c>
      <c r="BD118" s="1395">
        <f t="shared" si="52"/>
        <v>1.0871477408884056E-2</v>
      </c>
      <c r="BE118" s="1395">
        <f t="shared" si="53"/>
        <v>5.1003989945503925E-3</v>
      </c>
      <c r="BF118" s="1395">
        <f t="shared" si="54"/>
        <v>5.3012671321437388E-3</v>
      </c>
      <c r="BG118" s="1396">
        <f t="shared" si="55"/>
        <v>5.1446945337620953E-3</v>
      </c>
      <c r="BH118" s="1395">
        <f t="shared" si="56"/>
        <v>5.2463211772233453E-3</v>
      </c>
      <c r="BI118" s="1395">
        <f t="shared" si="57"/>
        <v>5.2189409368634809E-3</v>
      </c>
      <c r="BJ118" s="1395">
        <f t="shared" si="58"/>
        <v>5.1918450044321496E-3</v>
      </c>
      <c r="BK118" s="1395">
        <f t="shared" si="59"/>
        <v>5.1650289745528433E-3</v>
      </c>
      <c r="BL118" s="1397">
        <f t="shared" si="60"/>
        <v>5.2638175209926974E-3</v>
      </c>
      <c r="BM118" s="1395">
        <f t="shared" si="61"/>
        <v>5.1115820969953596E-3</v>
      </c>
      <c r="BN118" s="1395">
        <f t="shared" si="62"/>
        <v>5.2096254031257505E-3</v>
      </c>
      <c r="BO118" s="1395">
        <f t="shared" si="63"/>
        <v>5.3060217176703617E-3</v>
      </c>
      <c r="BP118" s="1395">
        <f t="shared" si="64"/>
        <v>5.1552718792193808E-3</v>
      </c>
      <c r="BQ118" s="1398">
        <f t="shared" si="65"/>
        <v>5.1288313591402179E-3</v>
      </c>
      <c r="BR118" s="1378"/>
      <c r="BS118" s="1329"/>
      <c r="BT118" s="1399"/>
      <c r="BU118" s="1331"/>
      <c r="BV118" s="1400"/>
      <c r="BW118" s="1378"/>
      <c r="BX118" s="1392" t="str">
        <f t="shared" si="66"/>
        <v>Qty</v>
      </c>
      <c r="BY118" s="1393" t="str">
        <f t="shared" si="67"/>
        <v>Water</v>
      </c>
      <c r="BZ118" s="1394" t="str">
        <f t="shared" si="68"/>
        <v>Fixed</v>
      </c>
      <c r="CA118" s="1401">
        <f t="shared" ref="CA118:CR118" si="171">IFERROR((P118/O118-1)*(O119/O$13),"-")</f>
        <v>4.35943268735256E-4</v>
      </c>
      <c r="CB118" s="1395">
        <f t="shared" si="171"/>
        <v>4.0480697939331326E-4</v>
      </c>
      <c r="CC118" s="1395">
        <f t="shared" si="171"/>
        <v>3.697223609572424E-4</v>
      </c>
      <c r="CD118" s="1395">
        <f t="shared" si="171"/>
        <v>4.2378156003188629E-4</v>
      </c>
      <c r="CE118" s="1395">
        <f t="shared" si="171"/>
        <v>3.0823000162531023E-4</v>
      </c>
      <c r="CF118" s="1395">
        <f t="shared" si="171"/>
        <v>1.3906354356011067E-4</v>
      </c>
      <c r="CG118" s="1395">
        <f t="shared" si="171"/>
        <v>1.4061249607448027E-4</v>
      </c>
      <c r="CH118" s="1397">
        <f t="shared" si="171"/>
        <v>1.3118608424866546E-4</v>
      </c>
      <c r="CI118" s="1395">
        <f t="shared" si="171"/>
        <v>1.3820673229477041E-4</v>
      </c>
      <c r="CJ118" s="1395">
        <f t="shared" si="171"/>
        <v>1.4053093211506581E-4</v>
      </c>
      <c r="CK118" s="1395">
        <f t="shared" si="171"/>
        <v>1.4409228729133906E-4</v>
      </c>
      <c r="CL118" s="1395">
        <f t="shared" si="171"/>
        <v>1.4736937389153194E-4</v>
      </c>
      <c r="CM118" s="1397">
        <f t="shared" si="171"/>
        <v>1.5401556965838497E-4</v>
      </c>
      <c r="CN118" s="1395">
        <f t="shared" si="171"/>
        <v>1.5309759587995789E-4</v>
      </c>
      <c r="CO118" s="1395">
        <f t="shared" si="171"/>
        <v>1.5505043683666737E-4</v>
      </c>
      <c r="CP118" s="1395">
        <f t="shared" si="171"/>
        <v>1.5689884937550847E-4</v>
      </c>
      <c r="CQ118" s="1395">
        <f t="shared" si="171"/>
        <v>1.5148799838994066E-4</v>
      </c>
      <c r="CR118" s="1398">
        <f t="shared" si="171"/>
        <v>1.4967293203337732E-4</v>
      </c>
      <c r="CS118" s="1378"/>
      <c r="CT118" s="1392" t="str">
        <f t="shared" si="39"/>
        <v>Qty</v>
      </c>
      <c r="CU118" s="1393" t="str">
        <f t="shared" si="40"/>
        <v>Water</v>
      </c>
      <c r="CV118" s="1393" t="str">
        <f t="shared" si="41"/>
        <v>Fixed</v>
      </c>
      <c r="CW118" s="1401">
        <f t="shared" si="70"/>
        <v>5.2326309638215385E-3</v>
      </c>
      <c r="CX118" s="1395">
        <f t="shared" si="71"/>
        <v>5.2190354601502342E-3</v>
      </c>
      <c r="CY118" s="1395">
        <f t="shared" si="72"/>
        <v>5.2055335667213765E-3</v>
      </c>
      <c r="CZ118" s="1398">
        <f t="shared" si="73"/>
        <v>5.2171900872308719E-3</v>
      </c>
      <c r="DA118" s="1395">
        <f t="shared" si="74"/>
        <v>5.1995879849779936E-3</v>
      </c>
      <c r="DB118" s="1395">
        <f t="shared" si="75"/>
        <v>5.201021895719915E-3</v>
      </c>
      <c r="DC118" s="1395">
        <f t="shared" si="76"/>
        <v>5.2141462736947641E-3</v>
      </c>
      <c r="DD118" s="1395">
        <f t="shared" si="77"/>
        <v>5.2076045040201357E-3</v>
      </c>
      <c r="DE118" s="1398">
        <f t="shared" si="78"/>
        <v>5.1997269117307621E-3</v>
      </c>
      <c r="DF118" s="1378"/>
      <c r="DG118" s="1392" t="str">
        <f t="shared" si="139"/>
        <v>Qty</v>
      </c>
      <c r="DH118" s="1393" t="str">
        <f t="shared" si="140"/>
        <v>Water</v>
      </c>
      <c r="DI118" s="1393" t="str">
        <f t="shared" si="141"/>
        <v>Fixed</v>
      </c>
      <c r="DJ118" s="1393"/>
      <c r="DK118" s="1401">
        <f t="shared" si="79"/>
        <v>5.205392879349402E-3</v>
      </c>
      <c r="DL118" s="1395">
        <f t="shared" si="80"/>
        <v>5.191938064323498E-3</v>
      </c>
      <c r="DM118" s="1395">
        <f t="shared" si="81"/>
        <v>5.2099074466387396E-3</v>
      </c>
      <c r="DN118" s="1397">
        <f t="shared" si="82"/>
        <v>5.1902416072435731E-3</v>
      </c>
      <c r="DO118" s="1395">
        <f t="shared" si="83"/>
        <v>5.1934722139330702E-3</v>
      </c>
      <c r="DP118" s="1395">
        <f t="shared" si="84"/>
        <v>5.2095499429729575E-3</v>
      </c>
      <c r="DQ118" s="1395">
        <f t="shared" si="85"/>
        <v>5.202765024717948E-3</v>
      </c>
      <c r="DR118" s="1398">
        <f t="shared" si="86"/>
        <v>5.194549904436796E-3</v>
      </c>
    </row>
    <row r="119" spans="4:122" ht="12.75" thickBot="1">
      <c r="E119" s="743" t="s">
        <v>46</v>
      </c>
      <c r="F119" s="732" t="str">
        <f>+F117</f>
        <v>Water</v>
      </c>
      <c r="G119" s="733" t="str">
        <f>+G117</f>
        <v>Fixed tariff group 2 -20 mm</v>
      </c>
      <c r="H119" s="733">
        <f>+H117</f>
        <v>0</v>
      </c>
      <c r="I119" s="734" t="str">
        <f>+I117</f>
        <v>Fixed</v>
      </c>
      <c r="J119" s="735" t="s">
        <v>344</v>
      </c>
      <c r="K119" s="736">
        <f t="shared" ref="K119:X119" si="172">K117*K118/10^6</f>
        <v>0</v>
      </c>
      <c r="L119" s="737">
        <f t="shared" si="172"/>
        <v>0</v>
      </c>
      <c r="M119" s="737">
        <f t="shared" si="172"/>
        <v>0</v>
      </c>
      <c r="N119" s="738">
        <f t="shared" si="172"/>
        <v>0</v>
      </c>
      <c r="O119" s="1923">
        <f t="shared" si="172"/>
        <v>2.0320722283710411</v>
      </c>
      <c r="P119" s="737">
        <f t="shared" si="172"/>
        <v>2.0745093023712258</v>
      </c>
      <c r="Q119" s="737">
        <f t="shared" si="172"/>
        <v>2.0781408620245401</v>
      </c>
      <c r="R119" s="737">
        <f t="shared" si="172"/>
        <v>2.0610758186706688</v>
      </c>
      <c r="S119" s="1716">
        <f t="shared" si="172"/>
        <v>2.0436366390839695</v>
      </c>
      <c r="T119" s="1716">
        <f t="shared" si="172"/>
        <v>2.0350184653906536</v>
      </c>
      <c r="U119" s="1716">
        <f t="shared" si="172"/>
        <v>2.0799219427601807</v>
      </c>
      <c r="V119" s="1716">
        <f t="shared" si="172"/>
        <v>2.0946530736899556</v>
      </c>
      <c r="W119" s="737">
        <f t="shared" si="172"/>
        <v>2.1252111</v>
      </c>
      <c r="X119" s="738">
        <f t="shared" si="172"/>
        <v>2.3368095878562407</v>
      </c>
      <c r="Y119" s="1716">
        <f t="shared" ref="Y119:AF119" si="173">Y117*Y118/10^6</f>
        <v>2.5623434658618285</v>
      </c>
      <c r="Z119" s="1716">
        <f t="shared" si="173"/>
        <v>2.8025663039133093</v>
      </c>
      <c r="AA119" s="1716">
        <f t="shared" si="173"/>
        <v>3.058331919408523</v>
      </c>
      <c r="AB119" s="737">
        <f t="shared" si="173"/>
        <v>3.3309644534568545</v>
      </c>
      <c r="AC119" s="738">
        <f t="shared" si="173"/>
        <v>3.4015588069504386</v>
      </c>
      <c r="AD119" s="1716">
        <f t="shared" si="173"/>
        <v>3.4739881285872953</v>
      </c>
      <c r="AE119" s="1716">
        <f t="shared" si="173"/>
        <v>3.5482999240052204</v>
      </c>
      <c r="AF119" s="1716">
        <f t="shared" si="173"/>
        <v>3.6236578528196408</v>
      </c>
      <c r="AG119" s="739">
        <f>AG117*AG118/10^6</f>
        <v>3.7005188705755767</v>
      </c>
      <c r="AH119" s="697"/>
      <c r="AI119" s="707"/>
      <c r="AJ119" s="709">
        <f t="shared" si="90"/>
        <v>2.3368095878562407</v>
      </c>
      <c r="AK119" s="710">
        <f t="shared" si="91"/>
        <v>2.5623434658618285</v>
      </c>
      <c r="AL119" s="710">
        <f t="shared" si="92"/>
        <v>2.8025663039133093</v>
      </c>
      <c r="AM119" s="710">
        <f t="shared" si="93"/>
        <v>3.058331919408523</v>
      </c>
      <c r="AN119" s="710">
        <f t="shared" si="94"/>
        <v>3.3309644534568545</v>
      </c>
      <c r="AO119" s="711">
        <f t="shared" si="95"/>
        <v>3.4015588069504386</v>
      </c>
      <c r="AP119" s="707">
        <f t="shared" si="96"/>
        <v>3.4739881285872953</v>
      </c>
      <c r="AQ119" s="707">
        <f t="shared" si="97"/>
        <v>3.5482999240052204</v>
      </c>
      <c r="AR119" s="707">
        <f t="shared" si="98"/>
        <v>3.6236578528196408</v>
      </c>
      <c r="AS119" s="712">
        <f t="shared" si="99"/>
        <v>3.7005188705755767</v>
      </c>
      <c r="AV119" s="1559"/>
      <c r="AW119" s="1428" t="str">
        <f t="shared" si="48"/>
        <v>Rev</v>
      </c>
      <c r="AX119" s="1429" t="str">
        <f t="shared" si="36"/>
        <v>Water</v>
      </c>
      <c r="AY119" s="1430" t="str">
        <f t="shared" si="49"/>
        <v>Fixed</v>
      </c>
      <c r="AZ119" s="1431">
        <f t="shared" si="165"/>
        <v>2.088364449240232E-2</v>
      </c>
      <c r="BA119" s="1431">
        <f t="shared" si="165"/>
        <v>1.7505632050738296E-3</v>
      </c>
      <c r="BB119" s="1431">
        <f t="shared" si="165"/>
        <v>-8.2116875067104189E-3</v>
      </c>
      <c r="BC119" s="1431">
        <f t="shared" si="51"/>
        <v>-8.4612023627287369E-3</v>
      </c>
      <c r="BD119" s="1431">
        <f t="shared" si="52"/>
        <v>-4.217077306452599E-3</v>
      </c>
      <c r="BE119" s="1431">
        <f t="shared" si="53"/>
        <v>2.2065390625783499E-2</v>
      </c>
      <c r="BF119" s="1431">
        <f t="shared" si="54"/>
        <v>7.0825402756344857E-3</v>
      </c>
      <c r="BG119" s="1432">
        <f t="shared" si="55"/>
        <v>1.4588585906597507E-2</v>
      </c>
      <c r="BH119" s="1431">
        <f t="shared" si="56"/>
        <v>9.9565868000708546E-2</v>
      </c>
      <c r="BI119" s="1431">
        <f t="shared" si="57"/>
        <v>9.6513588089344404E-2</v>
      </c>
      <c r="BJ119" s="1431">
        <f t="shared" si="58"/>
        <v>9.3751224709714531E-2</v>
      </c>
      <c r="BK119" s="1431">
        <f t="shared" si="59"/>
        <v>9.1261218383336784E-2</v>
      </c>
      <c r="BL119" s="1433">
        <f t="shared" si="60"/>
        <v>8.9144194035374102E-2</v>
      </c>
      <c r="BM119" s="1431">
        <f t="shared" si="61"/>
        <v>2.1193367410547337E-2</v>
      </c>
      <c r="BN119" s="1431">
        <f t="shared" si="62"/>
        <v>2.1292979409575752E-2</v>
      </c>
      <c r="BO119" s="1431">
        <f t="shared" si="63"/>
        <v>2.1390918065153031E-2</v>
      </c>
      <c r="BP119" s="1431">
        <f t="shared" si="64"/>
        <v>2.1237756229286919E-2</v>
      </c>
      <c r="BQ119" s="1434">
        <f t="shared" si="65"/>
        <v>2.1210892660886493E-2</v>
      </c>
      <c r="BR119" s="1378"/>
      <c r="BS119" s="1407"/>
      <c r="BT119" s="1408"/>
      <c r="BU119" s="1409"/>
      <c r="BV119" s="1410"/>
      <c r="BW119" s="1378"/>
      <c r="BX119" s="1428" t="str">
        <f t="shared" si="66"/>
        <v>Rev</v>
      </c>
      <c r="BY119" s="1429" t="str">
        <f t="shared" si="67"/>
        <v>Water</v>
      </c>
      <c r="BZ119" s="1430" t="str">
        <f t="shared" si="68"/>
        <v>Fixed</v>
      </c>
      <c r="CA119" s="1435">
        <f t="shared" ref="CA119:CR119" si="174">IFERROR((P119/O119-1)*(O119/O$13),"-")</f>
        <v>5.6280506989167588E-4</v>
      </c>
      <c r="CB119" s="1431">
        <f t="shared" si="174"/>
        <v>4.6944192375666615E-5</v>
      </c>
      <c r="CC119" s="1431">
        <f t="shared" si="174"/>
        <v>-2.2457621110460733E-4</v>
      </c>
      <c r="CD119" s="1431">
        <f t="shared" si="174"/>
        <v>-2.3375656020051085E-4</v>
      </c>
      <c r="CE119" s="1431">
        <f t="shared" si="174"/>
        <v>-1.1956330277242137E-4</v>
      </c>
      <c r="CF119" s="1431">
        <f t="shared" si="174"/>
        <v>6.0161791533134624E-4</v>
      </c>
      <c r="CG119" s="1431">
        <f t="shared" si="174"/>
        <v>1.8785955166576951E-4</v>
      </c>
      <c r="CH119" s="1433">
        <f t="shared" si="174"/>
        <v>3.7199865750091478E-4</v>
      </c>
      <c r="CI119" s="1431">
        <f t="shared" si="174"/>
        <v>2.6229185746788979E-3</v>
      </c>
      <c r="CJ119" s="1431">
        <f t="shared" si="174"/>
        <v>2.5988308087878773E-3</v>
      </c>
      <c r="CK119" s="1431">
        <f t="shared" si="174"/>
        <v>2.6019321442097981E-3</v>
      </c>
      <c r="CL119" s="1431">
        <f t="shared" si="174"/>
        <v>2.6038786384339789E-3</v>
      </c>
      <c r="CM119" s="1433">
        <f t="shared" si="174"/>
        <v>2.6082959318670489E-3</v>
      </c>
      <c r="CN119" s="1431">
        <f t="shared" si="174"/>
        <v>6.3476503704453587E-4</v>
      </c>
      <c r="CO119" s="1431">
        <f t="shared" si="174"/>
        <v>6.3372805212213697E-4</v>
      </c>
      <c r="CP119" s="1431">
        <f t="shared" si="174"/>
        <v>6.3252858923122754E-4</v>
      </c>
      <c r="CQ119" s="1431">
        <f t="shared" si="174"/>
        <v>6.2407284365288077E-4</v>
      </c>
      <c r="CR119" s="1434">
        <f t="shared" si="174"/>
        <v>6.1899022863023566E-4</v>
      </c>
      <c r="CS119" s="1378"/>
      <c r="CT119" s="1428" t="str">
        <f t="shared" si="39"/>
        <v>Rev</v>
      </c>
      <c r="CU119" s="1429" t="str">
        <f t="shared" si="40"/>
        <v>Water</v>
      </c>
      <c r="CV119" s="1429" t="str">
        <f t="shared" si="41"/>
        <v>Fixed</v>
      </c>
      <c r="CW119" s="1435">
        <f t="shared" si="70"/>
        <v>9.8038667471246788E-2</v>
      </c>
      <c r="CX119" s="1431">
        <f t="shared" si="71"/>
        <v>9.6607655737522391E-2</v>
      </c>
      <c r="CY119" s="1431">
        <f t="shared" si="72"/>
        <v>9.5268595719617766E-2</v>
      </c>
      <c r="CZ119" s="1434">
        <f t="shared" si="73"/>
        <v>9.4040966494933098E-2</v>
      </c>
      <c r="DA119" s="1431">
        <f t="shared" si="74"/>
        <v>8.1548463479968136E-2</v>
      </c>
      <c r="DB119" s="1431">
        <f t="shared" si="75"/>
        <v>7.2727625388605111E-2</v>
      </c>
      <c r="DC119" s="1431">
        <f t="shared" si="76"/>
        <v>6.6172019582532826E-2</v>
      </c>
      <c r="DD119" s="1431">
        <f t="shared" si="77"/>
        <v>6.1083244249679591E-2</v>
      </c>
      <c r="DE119" s="1434">
        <f t="shared" si="78"/>
        <v>5.7026936678491458E-2</v>
      </c>
      <c r="DF119" s="1378"/>
      <c r="DG119" s="1428" t="str">
        <f t="shared" si="139"/>
        <v>Rev</v>
      </c>
      <c r="DH119" s="1429" t="str">
        <f t="shared" si="140"/>
        <v>Water</v>
      </c>
      <c r="DI119" s="1429" t="str">
        <f t="shared" si="141"/>
        <v>Fixed</v>
      </c>
      <c r="DJ119" s="1429"/>
      <c r="DK119" s="1435">
        <f t="shared" si="79"/>
        <v>9.5131535425568847E-2</v>
      </c>
      <c r="DL119" s="1431">
        <f t="shared" si="80"/>
        <v>9.3839906961346919E-2</v>
      </c>
      <c r="DM119" s="1431">
        <f t="shared" si="81"/>
        <v>9.2664084162755511E-2</v>
      </c>
      <c r="DN119" s="1433">
        <f t="shared" si="82"/>
        <v>7.7980566354619141E-2</v>
      </c>
      <c r="DO119" s="1431">
        <f t="shared" si="83"/>
        <v>6.8318708893851277E-2</v>
      </c>
      <c r="DP119" s="1431">
        <f t="shared" si="84"/>
        <v>6.1484988060414025E-2</v>
      </c>
      <c r="DQ119" s="1431">
        <f t="shared" si="85"/>
        <v>5.6368597082499194E-2</v>
      </c>
      <c r="DR119" s="1434">
        <f t="shared" si="86"/>
        <v>5.2403161693172384E-2</v>
      </c>
    </row>
    <row r="120" spans="4:122">
      <c r="D120" s="70">
        <f>D117+1</f>
        <v>19</v>
      </c>
      <c r="E120" s="713" t="s">
        <v>44</v>
      </c>
      <c r="F120" s="1532" t="s">
        <v>20</v>
      </c>
      <c r="G120" s="1532" t="s">
        <v>881</v>
      </c>
      <c r="H120" s="1532"/>
      <c r="I120" s="781" t="s">
        <v>319</v>
      </c>
      <c r="J120" s="781" t="s">
        <v>345</v>
      </c>
      <c r="K120" s="1533"/>
      <c r="L120" s="1534"/>
      <c r="M120" s="1534"/>
      <c r="N120" s="1535"/>
      <c r="O120" s="2071">
        <v>443.87348416289592</v>
      </c>
      <c r="P120" s="1547">
        <v>445.86655417406746</v>
      </c>
      <c r="Q120" s="1547">
        <v>440.00503067484664</v>
      </c>
      <c r="R120" s="1547">
        <v>430.57096054888501</v>
      </c>
      <c r="S120" s="1547">
        <v>420.5008651399491</v>
      </c>
      <c r="T120" s="1547">
        <v>414.21898305084738</v>
      </c>
      <c r="U120" s="1547">
        <v>421.22990950226244</v>
      </c>
      <c r="V120" s="1547">
        <v>421.98735807860254</v>
      </c>
      <c r="W120" s="1547">
        <v>425.93</v>
      </c>
      <c r="X120" s="1550">
        <v>459.52881810288198</v>
      </c>
      <c r="Y120" s="1551">
        <v>495.05276798305175</v>
      </c>
      <c r="Z120" s="1551">
        <v>532.59482631418143</v>
      </c>
      <c r="AA120" s="1551">
        <v>572.26122993422712</v>
      </c>
      <c r="AB120" s="1551">
        <v>614.16461734295308</v>
      </c>
      <c r="AC120" s="1550">
        <v>623.99125122044029</v>
      </c>
      <c r="AD120" s="1551">
        <v>633.9751112399673</v>
      </c>
      <c r="AE120" s="1551">
        <v>644.11871301980682</v>
      </c>
      <c r="AF120" s="1551">
        <v>654.42461242812374</v>
      </c>
      <c r="AG120" s="1552">
        <v>664.89540622697371</v>
      </c>
      <c r="AH120" s="697"/>
      <c r="AI120" s="707"/>
      <c r="AJ120" s="709">
        <f t="shared" si="90"/>
        <v>459.52881810288198</v>
      </c>
      <c r="AK120" s="710">
        <f t="shared" si="91"/>
        <v>495.05276798305175</v>
      </c>
      <c r="AL120" s="710">
        <f t="shared" si="92"/>
        <v>532.59482631418143</v>
      </c>
      <c r="AM120" s="710">
        <f t="shared" si="93"/>
        <v>572.26122993422712</v>
      </c>
      <c r="AN120" s="710">
        <f t="shared" si="94"/>
        <v>614.16461734295308</v>
      </c>
      <c r="AO120" s="711">
        <f t="shared" si="95"/>
        <v>623.99125122044029</v>
      </c>
      <c r="AP120" s="707">
        <f t="shared" si="96"/>
        <v>633.9751112399673</v>
      </c>
      <c r="AQ120" s="707">
        <f t="shared" si="97"/>
        <v>644.11871301980682</v>
      </c>
      <c r="AR120" s="707">
        <f t="shared" si="98"/>
        <v>654.42461242812374</v>
      </c>
      <c r="AS120" s="712">
        <f t="shared" si="99"/>
        <v>664.89540622697371</v>
      </c>
      <c r="AU120" s="1369"/>
      <c r="AV120" s="1559"/>
      <c r="AW120" s="1412" t="str">
        <f t="shared" si="48"/>
        <v>Price</v>
      </c>
      <c r="AX120" s="1413" t="str">
        <f t="shared" si="36"/>
        <v>Water</v>
      </c>
      <c r="AY120" s="1414" t="str">
        <f t="shared" si="49"/>
        <v>Fixed</v>
      </c>
      <c r="AZ120" s="1415">
        <f t="shared" si="165"/>
        <v>4.4901758773230327E-3</v>
      </c>
      <c r="BA120" s="1415">
        <f t="shared" si="165"/>
        <v>-1.3146362839614234E-2</v>
      </c>
      <c r="BB120" s="1415">
        <f t="shared" si="165"/>
        <v>-2.1440823327615988E-2</v>
      </c>
      <c r="BC120" s="1415">
        <f t="shared" si="51"/>
        <v>-2.3387771892695031E-2</v>
      </c>
      <c r="BD120" s="1415">
        <f t="shared" si="52"/>
        <v>-1.493904676512614E-2</v>
      </c>
      <c r="BE120" s="1415">
        <f t="shared" si="53"/>
        <v>1.6925652223317877E-2</v>
      </c>
      <c r="BF120" s="1415">
        <f t="shared" si="54"/>
        <v>1.7981832705924461E-3</v>
      </c>
      <c r="BG120" s="1416">
        <f t="shared" si="55"/>
        <v>9.3430332589798937E-3</v>
      </c>
      <c r="BH120" s="1417">
        <f t="shared" si="56"/>
        <v>7.8883427095724601E-2</v>
      </c>
      <c r="BI120" s="1417">
        <f t="shared" si="57"/>
        <v>7.7305162333075828E-2</v>
      </c>
      <c r="BJ120" s="1417">
        <f t="shared" si="58"/>
        <v>7.5834457979265135E-2</v>
      </c>
      <c r="BK120" s="1417">
        <f t="shared" si="59"/>
        <v>7.4477636019404825E-2</v>
      </c>
      <c r="BL120" s="1418">
        <f t="shared" si="60"/>
        <v>7.3224229105197436E-2</v>
      </c>
      <c r="BM120" s="1417">
        <f t="shared" si="61"/>
        <v>1.6000000000000014E-2</v>
      </c>
      <c r="BN120" s="1417">
        <f t="shared" si="62"/>
        <v>1.6000000000000014E-2</v>
      </c>
      <c r="BO120" s="1417">
        <f t="shared" si="63"/>
        <v>1.6000000000000014E-2</v>
      </c>
      <c r="BP120" s="1417">
        <f t="shared" si="64"/>
        <v>1.6000000000000014E-2</v>
      </c>
      <c r="BQ120" s="1419">
        <f t="shared" si="65"/>
        <v>1.6000000000000014E-2</v>
      </c>
      <c r="BR120" s="1378"/>
      <c r="BS120" s="1420"/>
      <c r="BT120" s="1421"/>
      <c r="BU120" s="1422"/>
      <c r="BV120" s="1423"/>
      <c r="BW120" s="1378"/>
      <c r="BX120" s="1412" t="str">
        <f t="shared" si="66"/>
        <v>Price</v>
      </c>
      <c r="BY120" s="1413" t="str">
        <f t="shared" si="67"/>
        <v>Water</v>
      </c>
      <c r="BZ120" s="1414" t="str">
        <f t="shared" si="68"/>
        <v>Fixed</v>
      </c>
      <c r="CA120" s="1424">
        <f t="shared" ref="CA120:CR120" si="175">IFERROR((P120/O120-1)*(O122/O$13),"-")</f>
        <v>4.3613311945989323E-6</v>
      </c>
      <c r="CB120" s="1415">
        <f t="shared" si="175"/>
        <v>-1.2577875393231859E-5</v>
      </c>
      <c r="CC120" s="1415">
        <f t="shared" si="175"/>
        <v>-2.0981771798769325E-5</v>
      </c>
      <c r="CD120" s="1415">
        <f t="shared" si="175"/>
        <v>-2.3891565586594986E-5</v>
      </c>
      <c r="CE120" s="1415">
        <f t="shared" si="175"/>
        <v>-1.4902823274935308E-5</v>
      </c>
      <c r="CF120" s="1415">
        <f t="shared" si="175"/>
        <v>1.5885439287557445E-5</v>
      </c>
      <c r="CG120" s="1415">
        <f t="shared" si="175"/>
        <v>1.6420987369339993E-6</v>
      </c>
      <c r="CH120" s="1425">
        <f t="shared" si="175"/>
        <v>8.2072850601501042E-6</v>
      </c>
      <c r="CI120" s="1417">
        <f t="shared" si="175"/>
        <v>7.1634906170307572E-5</v>
      </c>
      <c r="CJ120" s="1417">
        <f t="shared" si="175"/>
        <v>7.0816355241899517E-5</v>
      </c>
      <c r="CK120" s="1417">
        <f t="shared" si="175"/>
        <v>7.0753674827744376E-5</v>
      </c>
      <c r="CL120" s="1417">
        <f t="shared" si="175"/>
        <v>7.0670710168397517E-5</v>
      </c>
      <c r="CM120" s="1418">
        <f t="shared" si="175"/>
        <v>7.0156249605171002E-5</v>
      </c>
      <c r="CN120" s="1417">
        <f t="shared" si="175"/>
        <v>1.5551077137332817E-5</v>
      </c>
      <c r="CO120" s="1417">
        <f t="shared" si="175"/>
        <v>1.546180755960464E-5</v>
      </c>
      <c r="CP120" s="1417">
        <f t="shared" si="175"/>
        <v>1.536861032040154E-5</v>
      </c>
      <c r="CQ120" s="1417">
        <f t="shared" si="175"/>
        <v>1.5277252668551964E-5</v>
      </c>
      <c r="CR120" s="1419">
        <f t="shared" si="175"/>
        <v>1.5178532142948895E-5</v>
      </c>
      <c r="CS120" s="1378"/>
      <c r="CT120" s="1412" t="str">
        <f t="shared" si="39"/>
        <v>Price</v>
      </c>
      <c r="CU120" s="1413" t="str">
        <f t="shared" si="40"/>
        <v>Water</v>
      </c>
      <c r="CV120" s="1426" t="str">
        <f t="shared" si="41"/>
        <v>Fixed</v>
      </c>
      <c r="CW120" s="1427">
        <f t="shared" si="70"/>
        <v>7.8094005903856623E-2</v>
      </c>
      <c r="CX120" s="1417">
        <f t="shared" si="71"/>
        <v>7.734029645710927E-2</v>
      </c>
      <c r="CY120" s="1417">
        <f t="shared" si="72"/>
        <v>7.662391712783867E-2</v>
      </c>
      <c r="CZ120" s="1419">
        <f t="shared" si="73"/>
        <v>7.594311906869966E-2</v>
      </c>
      <c r="DA120" s="1417">
        <f t="shared" si="74"/>
        <v>6.5712463932383391E-2</v>
      </c>
      <c r="DB120" s="1417">
        <f t="shared" si="75"/>
        <v>5.8464465583977221E-2</v>
      </c>
      <c r="DC120" s="1417">
        <f t="shared" si="76"/>
        <v>5.3060834537331347E-2</v>
      </c>
      <c r="DD120" s="1417">
        <f t="shared" si="77"/>
        <v>4.88770896953723E-2</v>
      </c>
      <c r="DE120" s="1419">
        <f t="shared" si="78"/>
        <v>4.5542064660144987E-2</v>
      </c>
      <c r="DF120" s="1378"/>
      <c r="DG120" s="1412" t="str">
        <f t="shared" si="139"/>
        <v>Price</v>
      </c>
      <c r="DH120" s="1413" t="str">
        <f t="shared" si="140"/>
        <v>Water</v>
      </c>
      <c r="DI120" s="1426" t="str">
        <f t="shared" si="141"/>
        <v>Fixed</v>
      </c>
      <c r="DJ120" s="1426"/>
      <c r="DK120" s="1427">
        <f t="shared" si="79"/>
        <v>7.6569559014590061E-2</v>
      </c>
      <c r="DL120" s="1417">
        <f t="shared" si="80"/>
        <v>7.5871799206365997E-2</v>
      </c>
      <c r="DM120" s="1417">
        <f t="shared" si="81"/>
        <v>7.5209294993402898E-2</v>
      </c>
      <c r="DN120" s="1418">
        <f t="shared" si="82"/>
        <v>6.3097629327969029E-2</v>
      </c>
      <c r="DO120" s="1417">
        <f t="shared" si="83"/>
        <v>5.5099076067482322E-2</v>
      </c>
      <c r="DP120" s="1417">
        <f t="shared" si="84"/>
        <v>4.9422694893861197E-2</v>
      </c>
      <c r="DQ120" s="1417">
        <f t="shared" si="85"/>
        <v>4.5185459003949768E-2</v>
      </c>
      <c r="DR120" s="1419">
        <f t="shared" si="86"/>
        <v>4.1901662809304963E-2</v>
      </c>
    </row>
    <row r="121" spans="4:122">
      <c r="E121" s="742" t="s">
        <v>45</v>
      </c>
      <c r="F121" s="722" t="str">
        <f>+F120</f>
        <v>Water</v>
      </c>
      <c r="G121" s="723" t="str">
        <f>+G120</f>
        <v>Fixed tariff group 2 -25 mm</v>
      </c>
      <c r="H121" s="723">
        <f>+H120</f>
        <v>0</v>
      </c>
      <c r="I121" s="724" t="str">
        <f>+I120</f>
        <v>Fixed</v>
      </c>
      <c r="J121" s="782" t="s">
        <v>323</v>
      </c>
      <c r="K121" s="1540"/>
      <c r="L121" s="1541"/>
      <c r="M121" s="1541"/>
      <c r="N121" s="1542"/>
      <c r="O121" s="2031">
        <v>165</v>
      </c>
      <c r="P121" s="1543">
        <v>166</v>
      </c>
      <c r="Q121" s="1543">
        <v>169</v>
      </c>
      <c r="R121" s="1543">
        <v>177</v>
      </c>
      <c r="S121" s="1543">
        <v>171</v>
      </c>
      <c r="T121" s="1543">
        <v>169.11535125758891</v>
      </c>
      <c r="U121" s="1543">
        <v>170</v>
      </c>
      <c r="V121" s="1543">
        <v>171</v>
      </c>
      <c r="W121" s="1543">
        <v>172</v>
      </c>
      <c r="X121" s="1544">
        <v>173</v>
      </c>
      <c r="Y121" s="1543">
        <v>174</v>
      </c>
      <c r="Z121" s="1543">
        <v>175</v>
      </c>
      <c r="AA121" s="1543">
        <v>175</v>
      </c>
      <c r="AB121" s="1543">
        <v>176</v>
      </c>
      <c r="AC121" s="1544">
        <v>177</v>
      </c>
      <c r="AD121" s="1543">
        <v>178</v>
      </c>
      <c r="AE121" s="1543">
        <v>179</v>
      </c>
      <c r="AF121" s="1543">
        <v>180</v>
      </c>
      <c r="AG121" s="788">
        <v>181</v>
      </c>
      <c r="AH121" s="697"/>
      <c r="AI121" s="707"/>
      <c r="AJ121" s="709">
        <f t="shared" si="90"/>
        <v>173</v>
      </c>
      <c r="AK121" s="710">
        <f t="shared" si="91"/>
        <v>174</v>
      </c>
      <c r="AL121" s="710">
        <f t="shared" si="92"/>
        <v>175</v>
      </c>
      <c r="AM121" s="710">
        <f t="shared" si="93"/>
        <v>175</v>
      </c>
      <c r="AN121" s="710">
        <f t="shared" si="94"/>
        <v>176</v>
      </c>
      <c r="AO121" s="711">
        <f t="shared" si="95"/>
        <v>177</v>
      </c>
      <c r="AP121" s="707">
        <f t="shared" si="96"/>
        <v>178</v>
      </c>
      <c r="AQ121" s="707">
        <f t="shared" si="97"/>
        <v>179</v>
      </c>
      <c r="AR121" s="707">
        <f t="shared" si="98"/>
        <v>180</v>
      </c>
      <c r="AS121" s="712">
        <f t="shared" si="99"/>
        <v>181</v>
      </c>
      <c r="AV121" s="1559"/>
      <c r="AW121" s="1392" t="str">
        <f t="shared" si="48"/>
        <v>Qty</v>
      </c>
      <c r="AX121" s="1393" t="str">
        <f t="shared" si="36"/>
        <v>Water</v>
      </c>
      <c r="AY121" s="1394" t="str">
        <f t="shared" si="49"/>
        <v>Fixed</v>
      </c>
      <c r="AZ121" s="1395">
        <f t="shared" si="165"/>
        <v>6.0606060606060996E-3</v>
      </c>
      <c r="BA121" s="1395">
        <f t="shared" si="165"/>
        <v>1.8072289156626509E-2</v>
      </c>
      <c r="BB121" s="1395">
        <f t="shared" si="165"/>
        <v>4.7337278106508895E-2</v>
      </c>
      <c r="BC121" s="1395">
        <f t="shared" si="51"/>
        <v>-3.3898305084745783E-2</v>
      </c>
      <c r="BD121" s="1395">
        <f t="shared" si="52"/>
        <v>-1.1021337674918641E-2</v>
      </c>
      <c r="BE121" s="1395">
        <f t="shared" si="53"/>
        <v>5.2310374891020306E-3</v>
      </c>
      <c r="BF121" s="1395">
        <f t="shared" si="54"/>
        <v>5.8823529411764497E-3</v>
      </c>
      <c r="BG121" s="1396">
        <f t="shared" si="55"/>
        <v>5.8479532163742132E-3</v>
      </c>
      <c r="BH121" s="1395">
        <f t="shared" si="56"/>
        <v>5.8139534883721034E-3</v>
      </c>
      <c r="BI121" s="1395">
        <f t="shared" si="57"/>
        <v>5.7803468208093012E-3</v>
      </c>
      <c r="BJ121" s="1395">
        <f t="shared" si="58"/>
        <v>5.7471264367816577E-3</v>
      </c>
      <c r="BK121" s="1395">
        <f t="shared" si="59"/>
        <v>0</v>
      </c>
      <c r="BL121" s="1397">
        <f t="shared" si="60"/>
        <v>5.7142857142857828E-3</v>
      </c>
      <c r="BM121" s="1395">
        <f t="shared" si="61"/>
        <v>5.6818181818181213E-3</v>
      </c>
      <c r="BN121" s="1395">
        <f t="shared" si="62"/>
        <v>5.6497175141243527E-3</v>
      </c>
      <c r="BO121" s="1395">
        <f t="shared" si="63"/>
        <v>5.6179775280897903E-3</v>
      </c>
      <c r="BP121" s="1395">
        <f t="shared" si="64"/>
        <v>5.5865921787709993E-3</v>
      </c>
      <c r="BQ121" s="1398">
        <f t="shared" si="65"/>
        <v>5.5555555555555358E-3</v>
      </c>
      <c r="BR121" s="1378"/>
      <c r="BS121" s="1329"/>
      <c r="BT121" s="1399"/>
      <c r="BU121" s="1331"/>
      <c r="BV121" s="1400"/>
      <c r="BW121" s="1378"/>
      <c r="BX121" s="1392" t="str">
        <f t="shared" si="66"/>
        <v>Qty</v>
      </c>
      <c r="BY121" s="1393" t="str">
        <f t="shared" si="67"/>
        <v>Water</v>
      </c>
      <c r="BZ121" s="1394" t="str">
        <f t="shared" si="68"/>
        <v>Fixed</v>
      </c>
      <c r="CA121" s="1401">
        <f t="shared" ref="CA121:CR121" si="176">IFERROR((P121/O121-1)*(O122/O$13),"-")</f>
        <v>5.8866982034688643E-6</v>
      </c>
      <c r="CB121" s="1395">
        <f t="shared" si="176"/>
        <v>1.7290790149009284E-5</v>
      </c>
      <c r="CC121" s="1395">
        <f t="shared" si="176"/>
        <v>4.6323779251815016E-5</v>
      </c>
      <c r="CD121" s="1395">
        <f t="shared" si="176"/>
        <v>-3.4628505140310963E-5</v>
      </c>
      <c r="CE121" s="1395">
        <f t="shared" si="176"/>
        <v>-1.0994613659428628E-5</v>
      </c>
      <c r="CF121" s="1395">
        <f t="shared" si="176"/>
        <v>4.9095495610849767E-6</v>
      </c>
      <c r="CG121" s="1395">
        <f t="shared" si="176"/>
        <v>5.3717574247720414E-6</v>
      </c>
      <c r="CH121" s="1397">
        <f t="shared" si="176"/>
        <v>5.1370703426614138E-6</v>
      </c>
      <c r="CI121" s="1395">
        <f t="shared" si="176"/>
        <v>5.279714991498397E-6</v>
      </c>
      <c r="CJ121" s="1395">
        <f t="shared" si="176"/>
        <v>5.2951585835901439E-6</v>
      </c>
      <c r="CK121" s="1395">
        <f t="shared" si="176"/>
        <v>5.362078479062441E-6</v>
      </c>
      <c r="CL121" s="1395">
        <f t="shared" si="176"/>
        <v>0</v>
      </c>
      <c r="CM121" s="1397">
        <f t="shared" si="176"/>
        <v>5.4748661718343851E-6</v>
      </c>
      <c r="CN121" s="1395">
        <f t="shared" si="176"/>
        <v>5.5223995516096016E-6</v>
      </c>
      <c r="CO121" s="1395">
        <f t="shared" si="176"/>
        <v>5.4596778105949112E-6</v>
      </c>
      <c r="CP121" s="1395">
        <f t="shared" si="176"/>
        <v>5.3962817136240383E-6</v>
      </c>
      <c r="CQ121" s="1395">
        <f t="shared" si="176"/>
        <v>5.3342362669525442E-6</v>
      </c>
      <c r="CR121" s="1398">
        <f t="shared" si="176"/>
        <v>5.2703236607461209E-6</v>
      </c>
      <c r="CS121" s="1378"/>
      <c r="CT121" s="1392" t="str">
        <f t="shared" si="39"/>
        <v>Qty</v>
      </c>
      <c r="CU121" s="1393" t="str">
        <f t="shared" si="40"/>
        <v>Water</v>
      </c>
      <c r="CV121" s="1393" t="str">
        <f t="shared" si="41"/>
        <v>Fixed</v>
      </c>
      <c r="CW121" s="1401">
        <f t="shared" si="70"/>
        <v>5.7971500142284249E-3</v>
      </c>
      <c r="CX121" s="1395">
        <f t="shared" si="71"/>
        <v>5.7804752119678948E-3</v>
      </c>
      <c r="CY121" s="1395">
        <f t="shared" si="72"/>
        <v>4.3322313768543452E-3</v>
      </c>
      <c r="CZ121" s="1398">
        <f t="shared" si="73"/>
        <v>4.6084902230403291E-3</v>
      </c>
      <c r="DA121" s="1395">
        <f t="shared" si="74"/>
        <v>4.7872986328389988E-3</v>
      </c>
      <c r="DB121" s="1395">
        <f t="shared" si="75"/>
        <v>4.9104560344759296E-3</v>
      </c>
      <c r="DC121" s="1395">
        <f t="shared" si="76"/>
        <v>4.9988689910969164E-3</v>
      </c>
      <c r="DD121" s="1395">
        <f t="shared" si="77"/>
        <v>5.0641546008911575E-3</v>
      </c>
      <c r="DE121" s="1398">
        <f t="shared" si="78"/>
        <v>5.1132838880856291E-3</v>
      </c>
      <c r="DF121" s="1378"/>
      <c r="DG121" s="1392" t="str">
        <f t="shared" si="139"/>
        <v>Qty</v>
      </c>
      <c r="DH121" s="1393" t="str">
        <f t="shared" si="140"/>
        <v>Water</v>
      </c>
      <c r="DI121" s="1393" t="str">
        <f t="shared" si="141"/>
        <v>Fixed</v>
      </c>
      <c r="DJ121" s="1393"/>
      <c r="DK121" s="1401">
        <f t="shared" si="79"/>
        <v>5.7637364916367506E-3</v>
      </c>
      <c r="DL121" s="1395">
        <f t="shared" si="80"/>
        <v>3.8388092340557733E-3</v>
      </c>
      <c r="DM121" s="1395">
        <f t="shared" si="81"/>
        <v>4.3073502153210264E-3</v>
      </c>
      <c r="DN121" s="1397">
        <f t="shared" si="82"/>
        <v>4.5820934472873276E-3</v>
      </c>
      <c r="DO121" s="1395">
        <f t="shared" si="83"/>
        <v>4.7599520496861558E-3</v>
      </c>
      <c r="DP121" s="1395">
        <f t="shared" si="84"/>
        <v>4.8824822813215984E-3</v>
      </c>
      <c r="DQ121" s="1395">
        <f t="shared" si="85"/>
        <v>4.9704690495826487E-3</v>
      </c>
      <c r="DR121" s="1398">
        <f t="shared" si="86"/>
        <v>5.0354618461325718E-3</v>
      </c>
    </row>
    <row r="122" spans="4:122" ht="12.75" thickBot="1">
      <c r="E122" s="743" t="s">
        <v>46</v>
      </c>
      <c r="F122" s="732" t="str">
        <f>+F120</f>
        <v>Water</v>
      </c>
      <c r="G122" s="733" t="str">
        <f>+G120</f>
        <v>Fixed tariff group 2 -25 mm</v>
      </c>
      <c r="H122" s="733">
        <f>+H120</f>
        <v>0</v>
      </c>
      <c r="I122" s="734" t="str">
        <f>+I120</f>
        <v>Fixed</v>
      </c>
      <c r="J122" s="735" t="s">
        <v>344</v>
      </c>
      <c r="K122" s="736">
        <f t="shared" ref="K122:AG122" si="177">K120*K121/10^6</f>
        <v>0</v>
      </c>
      <c r="L122" s="737">
        <f t="shared" si="177"/>
        <v>0</v>
      </c>
      <c r="M122" s="737">
        <f t="shared" si="177"/>
        <v>0</v>
      </c>
      <c r="N122" s="738">
        <f t="shared" si="177"/>
        <v>0</v>
      </c>
      <c r="O122" s="1923">
        <f t="shared" si="177"/>
        <v>7.3239124886877824E-2</v>
      </c>
      <c r="P122" s="737">
        <f t="shared" si="177"/>
        <v>7.4013847992895204E-2</v>
      </c>
      <c r="Q122" s="737">
        <f t="shared" si="177"/>
        <v>7.4360850184049074E-2</v>
      </c>
      <c r="R122" s="737">
        <f t="shared" si="177"/>
        <v>7.6211060017152651E-2</v>
      </c>
      <c r="S122" s="737">
        <f t="shared" si="177"/>
        <v>7.1905647938931297E-2</v>
      </c>
      <c r="T122" s="1531">
        <f t="shared" si="177"/>
        <v>7.0050788816205328E-2</v>
      </c>
      <c r="U122" s="737">
        <f t="shared" si="177"/>
        <v>7.1609084615384622E-2</v>
      </c>
      <c r="V122" s="737">
        <f t="shared" si="177"/>
        <v>7.2159838231441037E-2</v>
      </c>
      <c r="W122" s="737">
        <f t="shared" si="177"/>
        <v>7.3259960000000013E-2</v>
      </c>
      <c r="X122" s="738">
        <f t="shared" si="177"/>
        <v>7.9498485531798585E-2</v>
      </c>
      <c r="Y122" s="737">
        <f t="shared" si="177"/>
        <v>8.6139181629051001E-2</v>
      </c>
      <c r="Z122" s="737">
        <f t="shared" si="177"/>
        <v>9.320409460498176E-2</v>
      </c>
      <c r="AA122" s="737">
        <f t="shared" si="177"/>
        <v>0.10014571523848975</v>
      </c>
      <c r="AB122" s="737">
        <f t="shared" si="177"/>
        <v>0.10809297265235975</v>
      </c>
      <c r="AC122" s="738">
        <f t="shared" si="177"/>
        <v>0.11044645146601792</v>
      </c>
      <c r="AD122" s="737">
        <f t="shared" si="177"/>
        <v>0.11284756980071417</v>
      </c>
      <c r="AE122" s="737">
        <f t="shared" si="177"/>
        <v>0.11529724963054543</v>
      </c>
      <c r="AF122" s="737">
        <f t="shared" si="177"/>
        <v>0.11779643023706228</v>
      </c>
      <c r="AG122" s="739">
        <f t="shared" si="177"/>
        <v>0.12034606852708224</v>
      </c>
      <c r="AH122" s="697"/>
      <c r="AI122" s="707"/>
      <c r="AJ122" s="709">
        <f t="shared" si="90"/>
        <v>7.9498485531798585E-2</v>
      </c>
      <c r="AK122" s="710">
        <f t="shared" si="91"/>
        <v>8.6139181629051001E-2</v>
      </c>
      <c r="AL122" s="710">
        <f t="shared" si="92"/>
        <v>9.320409460498176E-2</v>
      </c>
      <c r="AM122" s="710">
        <f t="shared" si="93"/>
        <v>0.10014571523848975</v>
      </c>
      <c r="AN122" s="710">
        <f t="shared" si="94"/>
        <v>0.10809297265235975</v>
      </c>
      <c r="AO122" s="711">
        <f t="shared" si="95"/>
        <v>0.11044645146601792</v>
      </c>
      <c r="AP122" s="707">
        <f t="shared" si="96"/>
        <v>0.11284756980071417</v>
      </c>
      <c r="AQ122" s="707">
        <f t="shared" si="97"/>
        <v>0.11529724963054543</v>
      </c>
      <c r="AR122" s="707">
        <f t="shared" si="98"/>
        <v>0.11779643023706228</v>
      </c>
      <c r="AS122" s="712">
        <f t="shared" si="99"/>
        <v>0.12034606852708224</v>
      </c>
      <c r="AV122" s="1559"/>
      <c r="AW122" s="1428" t="str">
        <f t="shared" si="48"/>
        <v>Rev</v>
      </c>
      <c r="AX122" s="1429" t="str">
        <f t="shared" si="36"/>
        <v>Water</v>
      </c>
      <c r="AY122" s="1430" t="str">
        <f t="shared" si="49"/>
        <v>Fixed</v>
      </c>
      <c r="AZ122" s="1431">
        <f t="shared" si="165"/>
        <v>1.057799512506441E-2</v>
      </c>
      <c r="BA122" s="1431">
        <f t="shared" si="165"/>
        <v>4.6883414464167217E-3</v>
      </c>
      <c r="BB122" s="1431">
        <f t="shared" si="165"/>
        <v>2.4881504562201284E-2</v>
      </c>
      <c r="BC122" s="1431">
        <f t="shared" si="51"/>
        <v>-5.649327115056979E-2</v>
      </c>
      <c r="BD122" s="1431">
        <f t="shared" si="52"/>
        <v>-2.5795736161104865E-2</v>
      </c>
      <c r="BE122" s="1431">
        <f t="shared" si="53"/>
        <v>2.224522843372756E-2</v>
      </c>
      <c r="BF122" s="1431">
        <f t="shared" si="54"/>
        <v>7.6911137604191993E-3</v>
      </c>
      <c r="BG122" s="1432">
        <f t="shared" si="55"/>
        <v>1.5245624096751786E-2</v>
      </c>
      <c r="BH122" s="1431">
        <f t="shared" si="56"/>
        <v>8.5156005160234471E-2</v>
      </c>
      <c r="BI122" s="1431">
        <f t="shared" si="57"/>
        <v>8.3532359803209166E-2</v>
      </c>
      <c r="BJ122" s="1431">
        <f t="shared" si="58"/>
        <v>8.2017414634318664E-2</v>
      </c>
      <c r="BK122" s="1431">
        <f t="shared" si="59"/>
        <v>7.4477636019404603E-2</v>
      </c>
      <c r="BL122" s="1433">
        <f t="shared" si="60"/>
        <v>7.9356938985798653E-2</v>
      </c>
      <c r="BM122" s="1431">
        <f t="shared" si="61"/>
        <v>2.1772727272727055E-2</v>
      </c>
      <c r="BN122" s="1431">
        <f t="shared" si="62"/>
        <v>2.1740112994350191E-2</v>
      </c>
      <c r="BO122" s="1431">
        <f t="shared" si="63"/>
        <v>2.170786516853962E-2</v>
      </c>
      <c r="BP122" s="1431">
        <f t="shared" si="64"/>
        <v>2.1675977653631273E-2</v>
      </c>
      <c r="BQ122" s="1434">
        <f t="shared" si="65"/>
        <v>2.1644444444444355E-2</v>
      </c>
      <c r="BR122" s="1378"/>
      <c r="BS122" s="1407"/>
      <c r="BT122" s="1408"/>
      <c r="BU122" s="1409"/>
      <c r="BV122" s="1410"/>
      <c r="BW122" s="1378"/>
      <c r="BX122" s="1428" t="str">
        <f t="shared" si="66"/>
        <v>Rev</v>
      </c>
      <c r="BY122" s="1429" t="str">
        <f t="shared" si="67"/>
        <v>Water</v>
      </c>
      <c r="BZ122" s="1430" t="str">
        <f t="shared" si="68"/>
        <v>Fixed</v>
      </c>
      <c r="CA122" s="1435">
        <f t="shared" ref="CA122:CR122" si="178">IFERROR((P122/O122-1)*(O122/O$13),"-")</f>
        <v>1.027446170833808E-5</v>
      </c>
      <c r="CB122" s="1431">
        <f t="shared" si="178"/>
        <v>4.4856037546948115E-6</v>
      </c>
      <c r="CC122" s="1431">
        <f t="shared" si="178"/>
        <v>2.4348787486240298E-5</v>
      </c>
      <c r="CD122" s="1431">
        <f t="shared" si="178"/>
        <v>-5.7710187147699337E-5</v>
      </c>
      <c r="CE122" s="1431">
        <f t="shared" si="178"/>
        <v>-2.5733187886741178E-5</v>
      </c>
      <c r="CF122" s="1431">
        <f t="shared" si="178"/>
        <v>2.0878086177086465E-5</v>
      </c>
      <c r="CG122" s="1431">
        <f t="shared" si="178"/>
        <v>7.0235155660407267E-6</v>
      </c>
      <c r="CH122" s="1433">
        <f t="shared" si="178"/>
        <v>1.3392351221876843E-5</v>
      </c>
      <c r="CI122" s="1431">
        <f t="shared" si="178"/>
        <v>7.7331103174423888E-5</v>
      </c>
      <c r="CJ122" s="1431">
        <f t="shared" si="178"/>
        <v>7.6520856919373384E-5</v>
      </c>
      <c r="CK122" s="1431">
        <f t="shared" si="178"/>
        <v>7.6522383621909016E-5</v>
      </c>
      <c r="CL122" s="1431">
        <f t="shared" si="178"/>
        <v>7.0670710168397314E-5</v>
      </c>
      <c r="CM122" s="1433">
        <f t="shared" si="178"/>
        <v>7.6032008631892096E-5</v>
      </c>
      <c r="CN122" s="1431">
        <f t="shared" si="178"/>
        <v>2.1161835081768007E-5</v>
      </c>
      <c r="CO122" s="1431">
        <f t="shared" si="178"/>
        <v>2.100884021516891E-5</v>
      </c>
      <c r="CP122" s="1431">
        <f t="shared" si="178"/>
        <v>2.0851232541443926E-5</v>
      </c>
      <c r="CQ122" s="1431">
        <f t="shared" si="178"/>
        <v>2.0696836715775678E-5</v>
      </c>
      <c r="CR122" s="1434">
        <f t="shared" si="178"/>
        <v>2.0533180982266874E-5</v>
      </c>
      <c r="CS122" s="1378"/>
      <c r="CT122" s="1428" t="str">
        <f t="shared" si="39"/>
        <v>Rev</v>
      </c>
      <c r="CU122" s="1429" t="str">
        <f t="shared" si="40"/>
        <v>Water</v>
      </c>
      <c r="CV122" s="1429" t="str">
        <f t="shared" si="41"/>
        <v>Fixed</v>
      </c>
      <c r="CW122" s="1435">
        <f t="shared" si="70"/>
        <v>8.4343878585521503E-2</v>
      </c>
      <c r="CX122" s="1431">
        <f t="shared" si="71"/>
        <v>8.3567835335633722E-2</v>
      </c>
      <c r="CY122" s="1431">
        <f t="shared" si="72"/>
        <v>8.1288101042691574E-2</v>
      </c>
      <c r="CZ122" s="1434">
        <f t="shared" si="73"/>
        <v>8.0901592413475276E-2</v>
      </c>
      <c r="DA122" s="1431">
        <f t="shared" si="74"/>
        <v>7.0814347753966222E-2</v>
      </c>
      <c r="DB122" s="1431">
        <f t="shared" si="75"/>
        <v>6.3662008806282477E-2</v>
      </c>
      <c r="DC122" s="1431">
        <f t="shared" si="76"/>
        <v>5.832494768883878E-2</v>
      </c>
      <c r="DD122" s="1431">
        <f t="shared" si="77"/>
        <v>5.4188765434922459E-2</v>
      </c>
      <c r="DE122" s="1434">
        <f t="shared" si="78"/>
        <v>5.0888218053687373E-2</v>
      </c>
      <c r="DF122" s="1378"/>
      <c r="DG122" s="1428" t="str">
        <f t="shared" si="139"/>
        <v>Rev</v>
      </c>
      <c r="DH122" s="1429" t="str">
        <f t="shared" si="140"/>
        <v>Water</v>
      </c>
      <c r="DI122" s="1429" t="str">
        <f t="shared" si="141"/>
        <v>Fixed</v>
      </c>
      <c r="DJ122" s="1429"/>
      <c r="DK122" s="1435">
        <f t="shared" si="79"/>
        <v>8.2774622267667741E-2</v>
      </c>
      <c r="DL122" s="1431">
        <f t="shared" si="80"/>
        <v>8.0001865803819738E-2</v>
      </c>
      <c r="DM122" s="1431">
        <f t="shared" si="81"/>
        <v>7.9840597981708061E-2</v>
      </c>
      <c r="DN122" s="1433">
        <f t="shared" si="82"/>
        <v>6.796884200913933E-2</v>
      </c>
      <c r="DO122" s="1431">
        <f t="shared" si="83"/>
        <v>6.0121297077231795E-2</v>
      </c>
      <c r="DP122" s="1431">
        <f t="shared" si="84"/>
        <v>5.454648260729722E-2</v>
      </c>
      <c r="DQ122" s="1431">
        <f t="shared" si="85"/>
        <v>5.0380520979002696E-2</v>
      </c>
      <c r="DR122" s="1434">
        <f t="shared" si="86"/>
        <v>4.7148118879803302E-2</v>
      </c>
    </row>
    <row r="123" spans="4:122">
      <c r="D123" s="70">
        <f>D120+1</f>
        <v>20</v>
      </c>
      <c r="E123" s="713" t="s">
        <v>44</v>
      </c>
      <c r="F123" s="1532" t="s">
        <v>20</v>
      </c>
      <c r="G123" s="1532" t="s">
        <v>882</v>
      </c>
      <c r="H123" s="1532"/>
      <c r="I123" s="781" t="s">
        <v>319</v>
      </c>
      <c r="J123" s="781" t="s">
        <v>345</v>
      </c>
      <c r="K123" s="1533"/>
      <c r="L123" s="1534"/>
      <c r="M123" s="1534"/>
      <c r="N123" s="1535"/>
      <c r="O123" s="2071">
        <v>728.39307692307682</v>
      </c>
      <c r="P123" s="1547">
        <v>731.66499111900521</v>
      </c>
      <c r="Q123" s="1547">
        <v>722.04625766871163</v>
      </c>
      <c r="R123" s="1547">
        <v>706.56499142367056</v>
      </c>
      <c r="S123" s="1547">
        <v>690.03862595419844</v>
      </c>
      <c r="T123" s="1547">
        <v>679.74338983050848</v>
      </c>
      <c r="U123" s="1547">
        <v>691.24445701357467</v>
      </c>
      <c r="V123" s="1547">
        <v>692.4815720524017</v>
      </c>
      <c r="W123" s="1547">
        <v>698.97</v>
      </c>
      <c r="X123" s="1550">
        <v>746.91710060288187</v>
      </c>
      <c r="Y123" s="1551">
        <v>797.52893531430163</v>
      </c>
      <c r="Z123" s="1551">
        <v>850.95099243032212</v>
      </c>
      <c r="AA123" s="1551">
        <v>907.33109477146513</v>
      </c>
      <c r="AB123" s="1551">
        <v>966.82565008414622</v>
      </c>
      <c r="AC123" s="1550">
        <v>982.29486048549256</v>
      </c>
      <c r="AD123" s="1551">
        <v>998.0115782532605</v>
      </c>
      <c r="AE123" s="1551">
        <v>1013.9797635053127</v>
      </c>
      <c r="AF123" s="1551">
        <v>1030.2034397213977</v>
      </c>
      <c r="AG123" s="1552">
        <v>1046.6866947569401</v>
      </c>
      <c r="AH123" s="697"/>
      <c r="AI123" s="707"/>
      <c r="AJ123" s="709">
        <f t="shared" si="90"/>
        <v>746.91710060288187</v>
      </c>
      <c r="AK123" s="710">
        <f t="shared" si="91"/>
        <v>797.52893531430163</v>
      </c>
      <c r="AL123" s="710">
        <f t="shared" si="92"/>
        <v>850.95099243032212</v>
      </c>
      <c r="AM123" s="710">
        <f t="shared" si="93"/>
        <v>907.33109477146513</v>
      </c>
      <c r="AN123" s="710">
        <f t="shared" si="94"/>
        <v>966.82565008414622</v>
      </c>
      <c r="AO123" s="711">
        <f t="shared" si="95"/>
        <v>982.29486048549256</v>
      </c>
      <c r="AP123" s="707">
        <f t="shared" si="96"/>
        <v>998.0115782532605</v>
      </c>
      <c r="AQ123" s="707">
        <f t="shared" si="97"/>
        <v>1013.9797635053127</v>
      </c>
      <c r="AR123" s="707">
        <f t="shared" si="98"/>
        <v>1030.2034397213977</v>
      </c>
      <c r="AS123" s="712">
        <f t="shared" si="99"/>
        <v>1046.6866947569401</v>
      </c>
      <c r="AU123" s="1369"/>
      <c r="AV123" s="1559"/>
      <c r="AW123" s="1412" t="str">
        <f t="shared" si="48"/>
        <v>Price</v>
      </c>
      <c r="AX123" s="1413" t="str">
        <f t="shared" si="36"/>
        <v>Water</v>
      </c>
      <c r="AY123" s="1414" t="str">
        <f t="shared" si="49"/>
        <v>Fixed</v>
      </c>
      <c r="AZ123" s="1415">
        <f t="shared" si="165"/>
        <v>4.4919622379577806E-3</v>
      </c>
      <c r="BA123" s="1415">
        <f t="shared" si="165"/>
        <v>-1.3146362839614234E-2</v>
      </c>
      <c r="BB123" s="1415">
        <f t="shared" si="165"/>
        <v>-2.1440823327615877E-2</v>
      </c>
      <c r="BC123" s="1415">
        <f t="shared" si="51"/>
        <v>-2.338973154638313E-2</v>
      </c>
      <c r="BD123" s="1415">
        <f t="shared" si="52"/>
        <v>-1.491979685840561E-2</v>
      </c>
      <c r="BE123" s="1415">
        <f t="shared" si="53"/>
        <v>1.6919719051529114E-2</v>
      </c>
      <c r="BF123" s="1415">
        <f t="shared" si="54"/>
        <v>1.7896925266811525E-3</v>
      </c>
      <c r="BG123" s="1416">
        <f t="shared" si="55"/>
        <v>9.3698203814545078E-3</v>
      </c>
      <c r="BH123" s="1417">
        <f t="shared" si="56"/>
        <v>6.8596793285665925E-2</v>
      </c>
      <c r="BI123" s="1417">
        <f t="shared" si="57"/>
        <v>6.7760979994390125E-2</v>
      </c>
      <c r="BJ123" s="1417">
        <f t="shared" si="58"/>
        <v>6.6984475108689434E-2</v>
      </c>
      <c r="BK123" s="1417">
        <f t="shared" si="59"/>
        <v>6.6255404650414684E-2</v>
      </c>
      <c r="BL123" s="1418">
        <f t="shared" si="60"/>
        <v>6.5570942796429055E-2</v>
      </c>
      <c r="BM123" s="1417">
        <f t="shared" si="61"/>
        <v>1.6000000000000014E-2</v>
      </c>
      <c r="BN123" s="1417">
        <f t="shared" si="62"/>
        <v>1.6000000000000014E-2</v>
      </c>
      <c r="BO123" s="1417">
        <f t="shared" si="63"/>
        <v>1.6000000000000014E-2</v>
      </c>
      <c r="BP123" s="1417">
        <f t="shared" si="64"/>
        <v>1.6000000000000014E-2</v>
      </c>
      <c r="BQ123" s="1419">
        <f t="shared" si="65"/>
        <v>1.6000000000000014E-2</v>
      </c>
      <c r="BR123" s="1378"/>
      <c r="BS123" s="1420"/>
      <c r="BT123" s="1421"/>
      <c r="BU123" s="1422"/>
      <c r="BV123" s="1423"/>
      <c r="BW123" s="1378"/>
      <c r="BX123" s="1412" t="str">
        <f t="shared" si="66"/>
        <v>Price</v>
      </c>
      <c r="BY123" s="1413" t="str">
        <f t="shared" si="67"/>
        <v>Water</v>
      </c>
      <c r="BZ123" s="1414" t="str">
        <f t="shared" si="68"/>
        <v>Fixed</v>
      </c>
      <c r="CA123" s="1424">
        <f t="shared" ref="CA123:CR123" si="179">IFERROR((P123/O123-1)*(O125/O$13),"-")</f>
        <v>2.6035488182493512E-6</v>
      </c>
      <c r="CB123" s="1415">
        <f t="shared" si="179"/>
        <v>-7.709003962388733E-6</v>
      </c>
      <c r="CC123" s="1415">
        <f t="shared" si="179"/>
        <v>-1.2427754603569716E-5</v>
      </c>
      <c r="CD123" s="1415">
        <f t="shared" si="179"/>
        <v>-1.3734308554160128E-5</v>
      </c>
      <c r="CE123" s="1415">
        <f t="shared" si="179"/>
        <v>-8.8554505408667611E-6</v>
      </c>
      <c r="CF123" s="1415">
        <f t="shared" si="179"/>
        <v>9.3506730491520814E-6</v>
      </c>
      <c r="CG123" s="1415">
        <f t="shared" si="179"/>
        <v>9.6235900266691375E-7</v>
      </c>
      <c r="CH123" s="1425">
        <f t="shared" si="179"/>
        <v>4.8971933135054712E-6</v>
      </c>
      <c r="CI123" s="1417">
        <f t="shared" si="179"/>
        <v>3.6849049380928443E-5</v>
      </c>
      <c r="CJ123" s="1417">
        <f t="shared" si="179"/>
        <v>3.6741666394109029E-5</v>
      </c>
      <c r="CK123" s="1417">
        <f t="shared" si="179"/>
        <v>3.6453801941106015E-5</v>
      </c>
      <c r="CL123" s="1417">
        <f t="shared" si="179"/>
        <v>3.6161379478544408E-5</v>
      </c>
      <c r="CM123" s="1418">
        <f t="shared" si="179"/>
        <v>3.6428088292716045E-5</v>
      </c>
      <c r="CN123" s="1417">
        <f t="shared" si="179"/>
        <v>8.9020730322089599E-6</v>
      </c>
      <c r="CO123" s="1417">
        <f t="shared" si="179"/>
        <v>8.800965983723428E-6</v>
      </c>
      <c r="CP123" s="1417">
        <f t="shared" si="179"/>
        <v>8.8346901883057152E-6</v>
      </c>
      <c r="CQ123" s="1417">
        <f t="shared" si="179"/>
        <v>8.7331105584737488E-6</v>
      </c>
      <c r="CR123" s="1419">
        <f t="shared" si="179"/>
        <v>8.6284740504251107E-6</v>
      </c>
      <c r="CS123" s="1378"/>
      <c r="CT123" s="1412" t="str">
        <f t="shared" si="39"/>
        <v>Price</v>
      </c>
      <c r="CU123" s="1413" t="str">
        <f t="shared" si="40"/>
        <v>Water</v>
      </c>
      <c r="CV123" s="1426" t="str">
        <f t="shared" si="41"/>
        <v>Fixed</v>
      </c>
      <c r="CW123" s="1427">
        <f t="shared" si="70"/>
        <v>6.8178804890625555E-2</v>
      </c>
      <c r="CX123" s="1417">
        <f t="shared" si="71"/>
        <v>6.7780546495625815E-2</v>
      </c>
      <c r="CY123" s="1417">
        <f t="shared" si="72"/>
        <v>6.7399056638601351E-2</v>
      </c>
      <c r="CZ123" s="1419">
        <f t="shared" si="73"/>
        <v>6.7033183134430185E-2</v>
      </c>
      <c r="DA123" s="1417">
        <f t="shared" si="74"/>
        <v>5.8353026211853232E-2</v>
      </c>
      <c r="DB123" s="1417">
        <f t="shared" si="75"/>
        <v>5.219617941469834E-2</v>
      </c>
      <c r="DC123" s="1417">
        <f t="shared" si="76"/>
        <v>4.76020604724392E-2</v>
      </c>
      <c r="DD123" s="1417">
        <f t="shared" si="77"/>
        <v>4.4042729243677137E-2</v>
      </c>
      <c r="DE123" s="1419">
        <f t="shared" si="78"/>
        <v>4.1203973323469922E-2</v>
      </c>
      <c r="DF123" s="1378"/>
      <c r="DG123" s="1412" t="str">
        <f t="shared" si="139"/>
        <v>Price</v>
      </c>
      <c r="DH123" s="1413" t="str">
        <f t="shared" si="140"/>
        <v>Water</v>
      </c>
      <c r="DI123" s="1426" t="str">
        <f t="shared" si="141"/>
        <v>Fixed</v>
      </c>
      <c r="DJ123" s="1426"/>
      <c r="DK123" s="1427">
        <f t="shared" si="79"/>
        <v>6.737265693892236E-2</v>
      </c>
      <c r="DL123" s="1417">
        <f t="shared" si="80"/>
        <v>6.7000109493487114E-2</v>
      </c>
      <c r="DM123" s="1417">
        <f t="shared" si="81"/>
        <v>6.6642638216839245E-2</v>
      </c>
      <c r="DN123" s="1418">
        <f t="shared" si="82"/>
        <v>5.6316086889106831E-2</v>
      </c>
      <c r="DO123" s="1417">
        <f t="shared" si="83"/>
        <v>4.9487320977844362E-2</v>
      </c>
      <c r="DP123" s="1417">
        <f t="shared" si="84"/>
        <v>4.4636675830091788E-2</v>
      </c>
      <c r="DQ123" s="1417">
        <f t="shared" si="85"/>
        <v>4.1013410301860009E-2</v>
      </c>
      <c r="DR123" s="1419">
        <f t="shared" si="86"/>
        <v>3.8204005490727555E-2</v>
      </c>
    </row>
    <row r="124" spans="4:122">
      <c r="E124" s="742" t="s">
        <v>45</v>
      </c>
      <c r="F124" s="722" t="str">
        <f>+F123</f>
        <v>Water</v>
      </c>
      <c r="G124" s="723" t="str">
        <f>+G123</f>
        <v>Fixed tariff group 2 -32 mm</v>
      </c>
      <c r="H124" s="723">
        <f>+H123</f>
        <v>0</v>
      </c>
      <c r="I124" s="724" t="str">
        <f>+I123</f>
        <v>Fixed</v>
      </c>
      <c r="J124" s="782" t="s">
        <v>323</v>
      </c>
      <c r="K124" s="1540"/>
      <c r="L124" s="1541"/>
      <c r="M124" s="1541"/>
      <c r="N124" s="1542"/>
      <c r="O124" s="2031">
        <v>60</v>
      </c>
      <c r="P124" s="1543">
        <v>62</v>
      </c>
      <c r="Q124" s="1543">
        <v>61</v>
      </c>
      <c r="R124" s="1543">
        <v>62</v>
      </c>
      <c r="S124" s="1543">
        <v>62</v>
      </c>
      <c r="T124" s="1543">
        <v>60.682567215958365</v>
      </c>
      <c r="U124" s="1543">
        <v>61</v>
      </c>
      <c r="V124" s="1543">
        <v>62</v>
      </c>
      <c r="W124" s="1543">
        <v>62</v>
      </c>
      <c r="X124" s="1544">
        <v>63</v>
      </c>
      <c r="Y124" s="1543">
        <v>63</v>
      </c>
      <c r="Z124" s="1543">
        <v>63</v>
      </c>
      <c r="AA124" s="1543">
        <v>64</v>
      </c>
      <c r="AB124" s="1543">
        <v>64</v>
      </c>
      <c r="AC124" s="1544">
        <v>64</v>
      </c>
      <c r="AD124" s="1543">
        <v>65</v>
      </c>
      <c r="AE124" s="1543">
        <v>65</v>
      </c>
      <c r="AF124" s="1543">
        <v>65</v>
      </c>
      <c r="AG124" s="788">
        <v>66</v>
      </c>
      <c r="AH124" s="697"/>
      <c r="AI124" s="707"/>
      <c r="AJ124" s="709">
        <f t="shared" si="90"/>
        <v>63</v>
      </c>
      <c r="AK124" s="710">
        <f t="shared" si="91"/>
        <v>63</v>
      </c>
      <c r="AL124" s="710">
        <f t="shared" si="92"/>
        <v>63</v>
      </c>
      <c r="AM124" s="710">
        <f t="shared" si="93"/>
        <v>64</v>
      </c>
      <c r="AN124" s="710">
        <f t="shared" si="94"/>
        <v>64</v>
      </c>
      <c r="AO124" s="711">
        <f t="shared" si="95"/>
        <v>64</v>
      </c>
      <c r="AP124" s="707">
        <f t="shared" si="96"/>
        <v>65</v>
      </c>
      <c r="AQ124" s="707">
        <f t="shared" si="97"/>
        <v>65</v>
      </c>
      <c r="AR124" s="707">
        <f t="shared" si="98"/>
        <v>65</v>
      </c>
      <c r="AS124" s="712">
        <f t="shared" si="99"/>
        <v>66</v>
      </c>
      <c r="AV124" s="1559"/>
      <c r="AW124" s="1392" t="str">
        <f t="shared" si="48"/>
        <v>Qty</v>
      </c>
      <c r="AX124" s="1393" t="str">
        <f t="shared" si="36"/>
        <v>Water</v>
      </c>
      <c r="AY124" s="1394" t="str">
        <f t="shared" si="49"/>
        <v>Fixed</v>
      </c>
      <c r="AZ124" s="1395">
        <f t="shared" si="165"/>
        <v>3.3333333333333437E-2</v>
      </c>
      <c r="BA124" s="1395">
        <f t="shared" si="165"/>
        <v>-1.6129032258064502E-2</v>
      </c>
      <c r="BB124" s="1395">
        <f t="shared" si="165"/>
        <v>1.6393442622950838E-2</v>
      </c>
      <c r="BC124" s="1395">
        <f t="shared" si="51"/>
        <v>0</v>
      </c>
      <c r="BD124" s="1395">
        <f t="shared" si="52"/>
        <v>-2.124891587163924E-2</v>
      </c>
      <c r="BE124" s="1395">
        <f t="shared" si="53"/>
        <v>5.2310374891020306E-3</v>
      </c>
      <c r="BF124" s="1395">
        <f t="shared" si="54"/>
        <v>1.6393442622950838E-2</v>
      </c>
      <c r="BG124" s="1396">
        <f t="shared" si="55"/>
        <v>0</v>
      </c>
      <c r="BH124" s="1395">
        <f t="shared" si="56"/>
        <v>1.6129032258064502E-2</v>
      </c>
      <c r="BI124" s="1395">
        <f t="shared" si="57"/>
        <v>0</v>
      </c>
      <c r="BJ124" s="1395">
        <f t="shared" si="58"/>
        <v>0</v>
      </c>
      <c r="BK124" s="1395">
        <f t="shared" si="59"/>
        <v>1.5873015873015817E-2</v>
      </c>
      <c r="BL124" s="1397">
        <f t="shared" si="60"/>
        <v>0</v>
      </c>
      <c r="BM124" s="1395">
        <f t="shared" si="61"/>
        <v>0</v>
      </c>
      <c r="BN124" s="1395">
        <f t="shared" si="62"/>
        <v>1.5625E-2</v>
      </c>
      <c r="BO124" s="1395">
        <f t="shared" si="63"/>
        <v>0</v>
      </c>
      <c r="BP124" s="1395">
        <f t="shared" si="64"/>
        <v>0</v>
      </c>
      <c r="BQ124" s="1398">
        <f t="shared" si="65"/>
        <v>1.538461538461533E-2</v>
      </c>
      <c r="BR124" s="1378"/>
      <c r="BS124" s="1329"/>
      <c r="BT124" s="1399"/>
      <c r="BU124" s="1331"/>
      <c r="BV124" s="1400"/>
      <c r="BW124" s="1378"/>
      <c r="BX124" s="1392" t="str">
        <f t="shared" si="66"/>
        <v>Qty</v>
      </c>
      <c r="BY124" s="1393" t="str">
        <f t="shared" si="67"/>
        <v>Water</v>
      </c>
      <c r="BZ124" s="1394" t="str">
        <f t="shared" si="68"/>
        <v>Fixed</v>
      </c>
      <c r="CA124" s="1401">
        <f t="shared" ref="CA124:CR124" si="180">IFERROR((P124/O124-1)*(O125/O$13),"-")</f>
        <v>1.9320055693025544E-5</v>
      </c>
      <c r="CB124" s="1395">
        <f t="shared" si="180"/>
        <v>-9.4580360441780961E-6</v>
      </c>
      <c r="CC124" s="1395">
        <f t="shared" si="180"/>
        <v>9.5021389296801566E-6</v>
      </c>
      <c r="CD124" s="1395">
        <f t="shared" si="180"/>
        <v>0</v>
      </c>
      <c r="CE124" s="1395">
        <f t="shared" si="180"/>
        <v>-1.2612016459347991E-5</v>
      </c>
      <c r="CF124" s="1395">
        <f t="shared" si="180"/>
        <v>2.8909298741594631E-6</v>
      </c>
      <c r="CG124" s="1395">
        <f t="shared" si="180"/>
        <v>8.8151326877116273E-6</v>
      </c>
      <c r="CH124" s="1397">
        <f t="shared" si="180"/>
        <v>0</v>
      </c>
      <c r="CI124" s="1395">
        <f t="shared" si="180"/>
        <v>8.6642462085498183E-6</v>
      </c>
      <c r="CJ124" s="1395">
        <f t="shared" si="180"/>
        <v>0</v>
      </c>
      <c r="CK124" s="1395">
        <f t="shared" si="180"/>
        <v>0</v>
      </c>
      <c r="CL124" s="1395">
        <f t="shared" si="180"/>
        <v>8.6632955225561552E-6</v>
      </c>
      <c r="CM124" s="1397">
        <f t="shared" si="180"/>
        <v>0</v>
      </c>
      <c r="CN124" s="1395">
        <f t="shared" si="180"/>
        <v>0</v>
      </c>
      <c r="CO124" s="1395">
        <f t="shared" si="180"/>
        <v>8.5946933434799019E-6</v>
      </c>
      <c r="CP124" s="1395">
        <f t="shared" si="180"/>
        <v>0</v>
      </c>
      <c r="CQ124" s="1395">
        <f t="shared" si="180"/>
        <v>0</v>
      </c>
      <c r="CR124" s="1398">
        <f t="shared" si="180"/>
        <v>8.2966096638702623E-6</v>
      </c>
      <c r="CS124" s="1378"/>
      <c r="CT124" s="1392" t="str">
        <f t="shared" si="39"/>
        <v>Qty</v>
      </c>
      <c r="CU124" s="1393" t="str">
        <f t="shared" si="40"/>
        <v>Water</v>
      </c>
      <c r="CV124" s="1393" t="str">
        <f t="shared" si="41"/>
        <v>Fixed</v>
      </c>
      <c r="CW124" s="1401">
        <f t="shared" si="70"/>
        <v>8.0322575483706693E-3</v>
      </c>
      <c r="CX124" s="1395">
        <f t="shared" si="71"/>
        <v>5.347695263866914E-3</v>
      </c>
      <c r="CY124" s="1395">
        <f t="shared" si="72"/>
        <v>7.9687574530888927E-3</v>
      </c>
      <c r="CZ124" s="1398">
        <f t="shared" si="73"/>
        <v>6.3699419970277837E-3</v>
      </c>
      <c r="DA124" s="1395">
        <f t="shared" si="74"/>
        <v>5.3054741647997616E-3</v>
      </c>
      <c r="DB124" s="1395">
        <f t="shared" si="75"/>
        <v>6.7732475072488363E-3</v>
      </c>
      <c r="DC124" s="1395">
        <f t="shared" si="76"/>
        <v>5.9240890265410684E-3</v>
      </c>
      <c r="DD124" s="1395">
        <f t="shared" si="77"/>
        <v>5.2641276251303992E-3</v>
      </c>
      <c r="DE124" s="1398">
        <f t="shared" si="78"/>
        <v>6.2716204669364117E-3</v>
      </c>
      <c r="DF124" s="1378"/>
      <c r="DG124" s="1392" t="str">
        <f t="shared" si="139"/>
        <v>Qty</v>
      </c>
      <c r="DH124" s="1393" t="str">
        <f t="shared" si="140"/>
        <v>Water</v>
      </c>
      <c r="DI124" s="1393" t="str">
        <f t="shared" si="141"/>
        <v>Fixed</v>
      </c>
      <c r="DJ124" s="1393"/>
      <c r="DK124" s="1401">
        <f t="shared" si="79"/>
        <v>0</v>
      </c>
      <c r="DL124" s="1395">
        <f t="shared" si="80"/>
        <v>5.2632548388718003E-3</v>
      </c>
      <c r="DM124" s="1395">
        <f t="shared" si="81"/>
        <v>3.9448497591585419E-3</v>
      </c>
      <c r="DN124" s="1397">
        <f t="shared" si="82"/>
        <v>3.154636820357215E-3</v>
      </c>
      <c r="DO124" s="1395">
        <f t="shared" si="83"/>
        <v>5.2223464106992967E-3</v>
      </c>
      <c r="DP124" s="1395">
        <f t="shared" si="84"/>
        <v>4.4746304666294368E-3</v>
      </c>
      <c r="DQ124" s="1395">
        <f t="shared" si="85"/>
        <v>3.9142085207855004E-3</v>
      </c>
      <c r="DR124" s="1398">
        <f t="shared" si="86"/>
        <v>5.1822723876040477E-3</v>
      </c>
    </row>
    <row r="125" spans="4:122" ht="12.75" thickBot="1">
      <c r="E125" s="743" t="s">
        <v>46</v>
      </c>
      <c r="F125" s="732" t="str">
        <f>+F123</f>
        <v>Water</v>
      </c>
      <c r="G125" s="733" t="str">
        <f>+G123</f>
        <v>Fixed tariff group 2 -32 mm</v>
      </c>
      <c r="H125" s="733">
        <f>+H123</f>
        <v>0</v>
      </c>
      <c r="I125" s="734" t="str">
        <f>+I123</f>
        <v>Fixed</v>
      </c>
      <c r="J125" s="735" t="s">
        <v>344</v>
      </c>
      <c r="K125" s="736">
        <f t="shared" ref="K125:AG125" si="181">K123*K124/10^6</f>
        <v>0</v>
      </c>
      <c r="L125" s="737">
        <f t="shared" si="181"/>
        <v>0</v>
      </c>
      <c r="M125" s="737">
        <f t="shared" si="181"/>
        <v>0</v>
      </c>
      <c r="N125" s="738">
        <f t="shared" si="181"/>
        <v>0</v>
      </c>
      <c r="O125" s="1923">
        <f t="shared" si="181"/>
        <v>4.3703584615384608E-2</v>
      </c>
      <c r="P125" s="737">
        <f t="shared" si="181"/>
        <v>4.5363229449378324E-2</v>
      </c>
      <c r="Q125" s="737">
        <f t="shared" si="181"/>
        <v>4.4044821717791414E-2</v>
      </c>
      <c r="R125" s="737">
        <f t="shared" si="181"/>
        <v>4.3807029468267575E-2</v>
      </c>
      <c r="S125" s="737">
        <f t="shared" si="181"/>
        <v>4.2782394809160303E-2</v>
      </c>
      <c r="T125" s="1531">
        <f t="shared" si="181"/>
        <v>4.1248573942993222E-2</v>
      </c>
      <c r="U125" s="737">
        <f t="shared" si="181"/>
        <v>4.2165911877828054E-2</v>
      </c>
      <c r="V125" s="737">
        <f t="shared" si="181"/>
        <v>4.2933857467248905E-2</v>
      </c>
      <c r="W125" s="737">
        <f t="shared" si="181"/>
        <v>4.3336140000000002E-2</v>
      </c>
      <c r="X125" s="738">
        <f t="shared" si="181"/>
        <v>4.7055777337981552E-2</v>
      </c>
      <c r="Y125" s="737">
        <f t="shared" si="181"/>
        <v>5.0244322924801001E-2</v>
      </c>
      <c r="Z125" s="737">
        <f t="shared" si="181"/>
        <v>5.3609912523110294E-2</v>
      </c>
      <c r="AA125" s="737">
        <f t="shared" si="181"/>
        <v>5.8069190065373769E-2</v>
      </c>
      <c r="AB125" s="737">
        <f t="shared" si="181"/>
        <v>6.1876841605385355E-2</v>
      </c>
      <c r="AC125" s="738">
        <f t="shared" si="181"/>
        <v>6.2866871071071528E-2</v>
      </c>
      <c r="AD125" s="737">
        <f t="shared" si="181"/>
        <v>6.4870752586461924E-2</v>
      </c>
      <c r="AE125" s="737">
        <f t="shared" si="181"/>
        <v>6.5908684627845326E-2</v>
      </c>
      <c r="AF125" s="737">
        <f t="shared" si="181"/>
        <v>6.6963223581890857E-2</v>
      </c>
      <c r="AG125" s="739">
        <f t="shared" si="181"/>
        <v>6.9081321853958058E-2</v>
      </c>
      <c r="AH125" s="697"/>
      <c r="AI125" s="707"/>
      <c r="AJ125" s="709">
        <f t="shared" si="90"/>
        <v>4.7055777337981552E-2</v>
      </c>
      <c r="AK125" s="710">
        <f t="shared" si="91"/>
        <v>5.0244322924801001E-2</v>
      </c>
      <c r="AL125" s="710">
        <f t="shared" si="92"/>
        <v>5.3609912523110294E-2</v>
      </c>
      <c r="AM125" s="710">
        <f t="shared" si="93"/>
        <v>5.8069190065373769E-2</v>
      </c>
      <c r="AN125" s="710">
        <f t="shared" si="94"/>
        <v>6.1876841605385355E-2</v>
      </c>
      <c r="AO125" s="711">
        <f t="shared" si="95"/>
        <v>6.2866871071071528E-2</v>
      </c>
      <c r="AP125" s="707">
        <f t="shared" si="96"/>
        <v>6.4870752586461924E-2</v>
      </c>
      <c r="AQ125" s="707">
        <f t="shared" si="97"/>
        <v>6.5908684627845326E-2</v>
      </c>
      <c r="AR125" s="707">
        <f t="shared" si="98"/>
        <v>6.6963223581890857E-2</v>
      </c>
      <c r="AS125" s="712">
        <f t="shared" si="99"/>
        <v>6.9081321853958058E-2</v>
      </c>
      <c r="AV125" s="1559"/>
      <c r="AW125" s="1428" t="str">
        <f t="shared" si="48"/>
        <v>Rev</v>
      </c>
      <c r="AX125" s="1429" t="str">
        <f t="shared" si="36"/>
        <v>Water</v>
      </c>
      <c r="AY125" s="1430" t="str">
        <f t="shared" si="49"/>
        <v>Fixed</v>
      </c>
      <c r="AZ125" s="1431">
        <f t="shared" si="165"/>
        <v>3.7975027645889892E-2</v>
      </c>
      <c r="BA125" s="1431">
        <f t="shared" si="165"/>
        <v>-2.9063356987362288E-2</v>
      </c>
      <c r="BB125" s="1431">
        <f t="shared" si="165"/>
        <v>-5.3988696116752388E-3</v>
      </c>
      <c r="BC125" s="1431">
        <f t="shared" si="51"/>
        <v>-2.338973154638313E-2</v>
      </c>
      <c r="BD125" s="1431">
        <f t="shared" si="52"/>
        <v>-3.5851683221778563E-2</v>
      </c>
      <c r="BE125" s="1431">
        <f t="shared" si="53"/>
        <v>2.2239264225294653E-2</v>
      </c>
      <c r="BF125" s="1431">
        <f t="shared" si="54"/>
        <v>1.821247437138096E-2</v>
      </c>
      <c r="BG125" s="1432">
        <f t="shared" si="55"/>
        <v>9.3698203814547298E-3</v>
      </c>
      <c r="BH125" s="1431">
        <f t="shared" si="56"/>
        <v>8.583222543543445E-2</v>
      </c>
      <c r="BI125" s="1431">
        <f t="shared" si="57"/>
        <v>6.7760979994390125E-2</v>
      </c>
      <c r="BJ125" s="1431">
        <f t="shared" si="58"/>
        <v>6.6984475108689656E-2</v>
      </c>
      <c r="BK125" s="1431">
        <f t="shared" si="59"/>
        <v>8.3180093613119732E-2</v>
      </c>
      <c r="BL125" s="1433">
        <f t="shared" si="60"/>
        <v>6.5570942796429055E-2</v>
      </c>
      <c r="BM125" s="1431">
        <f t="shared" si="61"/>
        <v>1.6000000000000236E-2</v>
      </c>
      <c r="BN125" s="1431">
        <f t="shared" si="62"/>
        <v>3.1874999999999876E-2</v>
      </c>
      <c r="BO125" s="1431">
        <f t="shared" si="63"/>
        <v>1.6000000000000236E-2</v>
      </c>
      <c r="BP125" s="1431">
        <f t="shared" si="64"/>
        <v>1.6000000000000014E-2</v>
      </c>
      <c r="BQ125" s="1434">
        <f t="shared" si="65"/>
        <v>3.1630769230769351E-2</v>
      </c>
      <c r="BR125" s="1378"/>
      <c r="BS125" s="1407"/>
      <c r="BT125" s="1408"/>
      <c r="BU125" s="1409"/>
      <c r="BV125" s="1410"/>
      <c r="BW125" s="1378"/>
      <c r="BX125" s="1428" t="str">
        <f t="shared" si="66"/>
        <v>Rev</v>
      </c>
      <c r="BY125" s="1429" t="str">
        <f t="shared" si="67"/>
        <v>Water</v>
      </c>
      <c r="BZ125" s="1430" t="str">
        <f t="shared" si="68"/>
        <v>Fixed</v>
      </c>
      <c r="CA125" s="1435">
        <f t="shared" ref="CA125:CR125" si="182">IFERROR((P125/O125-1)*(O125/O$13),"-")</f>
        <v>2.2010389471883256E-5</v>
      </c>
      <c r="CB125" s="1431">
        <f t="shared" si="182"/>
        <v>-1.7042701232979859E-5</v>
      </c>
      <c r="CC125" s="1431">
        <f t="shared" si="182"/>
        <v>-3.1293493559153519E-6</v>
      </c>
      <c r="CD125" s="1431">
        <f t="shared" si="182"/>
        <v>-1.3734308554160128E-5</v>
      </c>
      <c r="CE125" s="1431">
        <f t="shared" si="182"/>
        <v>-2.1279298276666364E-5</v>
      </c>
      <c r="CF125" s="1431">
        <f t="shared" si="182"/>
        <v>1.2290516644579932E-5</v>
      </c>
      <c r="CG125" s="1431">
        <f t="shared" si="182"/>
        <v>9.7932680674714943E-6</v>
      </c>
      <c r="CH125" s="1433">
        <f t="shared" si="182"/>
        <v>4.8971933135055873E-6</v>
      </c>
      <c r="CI125" s="1431">
        <f t="shared" si="182"/>
        <v>4.6107635095622133E-5</v>
      </c>
      <c r="CJ125" s="1431">
        <f t="shared" si="182"/>
        <v>3.6741666394109029E-5</v>
      </c>
      <c r="CK125" s="1431">
        <f t="shared" si="182"/>
        <v>3.6453801941106137E-5</v>
      </c>
      <c r="CL125" s="1431">
        <f t="shared" si="182"/>
        <v>4.5398665151553704E-5</v>
      </c>
      <c r="CM125" s="1433">
        <f t="shared" si="182"/>
        <v>3.6428088292716045E-5</v>
      </c>
      <c r="CN125" s="1431">
        <f t="shared" si="182"/>
        <v>8.9020730322090836E-6</v>
      </c>
      <c r="CO125" s="1431">
        <f t="shared" si="182"/>
        <v>1.7533174420698933E-5</v>
      </c>
      <c r="CP125" s="1431">
        <f t="shared" si="182"/>
        <v>8.8346901883058372E-6</v>
      </c>
      <c r="CQ125" s="1431">
        <f t="shared" si="182"/>
        <v>8.7331105584737488E-6</v>
      </c>
      <c r="CR125" s="1434">
        <f t="shared" si="182"/>
        <v>1.7057829468917386E-5</v>
      </c>
      <c r="CS125" s="1378"/>
      <c r="CT125" s="1428" t="str">
        <f t="shared" si="39"/>
        <v>Rev</v>
      </c>
      <c r="CU125" s="1429" t="str">
        <f t="shared" si="40"/>
        <v>Water</v>
      </c>
      <c r="CV125" s="1429" t="str">
        <f t="shared" si="41"/>
        <v>Fixed</v>
      </c>
      <c r="CW125" s="1435">
        <f t="shared" si="70"/>
        <v>7.6758692159217823E-2</v>
      </c>
      <c r="CX125" s="1431">
        <f t="shared" si="71"/>
        <v>7.3490711466969616E-2</v>
      </c>
      <c r="CY125" s="1431">
        <f t="shared" si="72"/>
        <v>7.5904900826610167E-2</v>
      </c>
      <c r="CZ125" s="1434">
        <f t="shared" si="73"/>
        <v>7.3830122619900296E-2</v>
      </c>
      <c r="DA125" s="1431">
        <f t="shared" si="74"/>
        <v>6.3968090849658044E-2</v>
      </c>
      <c r="DB125" s="1431">
        <f t="shared" si="75"/>
        <v>5.9322964564055836E-2</v>
      </c>
      <c r="DC125" s="1431">
        <f t="shared" si="76"/>
        <v>5.3808148343065687E-2</v>
      </c>
      <c r="DD125" s="1431">
        <f t="shared" si="77"/>
        <v>4.9538703416505347E-2</v>
      </c>
      <c r="DE125" s="1434">
        <f t="shared" si="78"/>
        <v>4.7734009472820915E-2</v>
      </c>
      <c r="DF125" s="1378"/>
      <c r="DG125" s="1428" t="str">
        <f t="shared" si="139"/>
        <v>Rev</v>
      </c>
      <c r="DH125" s="1429" t="str">
        <f t="shared" si="140"/>
        <v>Water</v>
      </c>
      <c r="DI125" s="1429" t="str">
        <f t="shared" si="141"/>
        <v>Fixed</v>
      </c>
      <c r="DJ125" s="1429"/>
      <c r="DK125" s="1435">
        <f t="shared" si="79"/>
        <v>6.737265693892236E-2</v>
      </c>
      <c r="DL125" s="1431">
        <f t="shared" si="80"/>
        <v>7.261600298285531E-2</v>
      </c>
      <c r="DM125" s="1431">
        <f t="shared" si="81"/>
        <v>7.0850383171317199E-2</v>
      </c>
      <c r="DN125" s="1433">
        <f t="shared" si="82"/>
        <v>5.964838051074306E-2</v>
      </c>
      <c r="DO125" s="1431">
        <f t="shared" si="83"/>
        <v>5.4968107321627491E-2</v>
      </c>
      <c r="DP125" s="1431">
        <f t="shared" si="84"/>
        <v>4.9311038926319606E-2</v>
      </c>
      <c r="DQ125" s="1431">
        <f t="shared" si="85"/>
        <v>4.5088153862715696E-2</v>
      </c>
      <c r="DR125" s="1434">
        <f t="shared" si="86"/>
        <v>4.3584261441081962E-2</v>
      </c>
    </row>
    <row r="126" spans="4:122">
      <c r="D126" s="70">
        <f>D123+1</f>
        <v>21</v>
      </c>
      <c r="E126" s="713" t="s">
        <v>44</v>
      </c>
      <c r="F126" s="1532" t="s">
        <v>20</v>
      </c>
      <c r="G126" s="1532" t="s">
        <v>883</v>
      </c>
      <c r="H126" s="1532"/>
      <c r="I126" s="781" t="s">
        <v>319</v>
      </c>
      <c r="J126" s="781" t="s">
        <v>345</v>
      </c>
      <c r="K126" s="1533"/>
      <c r="L126" s="1534"/>
      <c r="M126" s="1534"/>
      <c r="N126" s="1535"/>
      <c r="O126" s="2071">
        <v>1139.1606787330315</v>
      </c>
      <c r="P126" s="1547">
        <v>1144.2808614564831</v>
      </c>
      <c r="Q126" s="1547">
        <v>1129.2377300613498</v>
      </c>
      <c r="R126" s="1547">
        <v>1105.0259433962262</v>
      </c>
      <c r="S126" s="1547">
        <v>1079.1892875318065</v>
      </c>
      <c r="T126" s="1547">
        <v>1063.0855932203388</v>
      </c>
      <c r="U126" s="1547">
        <v>1081.0768325791855</v>
      </c>
      <c r="V126" s="1547">
        <v>1083.0213537117902</v>
      </c>
      <c r="W126" s="1547">
        <v>1093.17</v>
      </c>
      <c r="X126" s="1550">
        <v>1161.7736581028819</v>
      </c>
      <c r="Y126" s="1551">
        <v>1234.1654620830518</v>
      </c>
      <c r="Z126" s="1551">
        <v>1310.5109368544317</v>
      </c>
      <c r="AA126" s="1551">
        <v>1391.0179362778401</v>
      </c>
      <c r="AB126" s="1551">
        <v>1475.9060507696061</v>
      </c>
      <c r="AC126" s="1550">
        <v>1499.5205475819198</v>
      </c>
      <c r="AD126" s="1551">
        <v>1523.5128763432306</v>
      </c>
      <c r="AE126" s="1551">
        <v>1547.8890823647223</v>
      </c>
      <c r="AF126" s="1551">
        <v>1572.6553076825578</v>
      </c>
      <c r="AG126" s="1552">
        <v>1597.8177926054786</v>
      </c>
      <c r="AH126" s="697"/>
      <c r="AI126" s="707"/>
      <c r="AJ126" s="709">
        <f t="shared" si="90"/>
        <v>1161.7736581028819</v>
      </c>
      <c r="AK126" s="710">
        <f t="shared" si="91"/>
        <v>1234.1654620830518</v>
      </c>
      <c r="AL126" s="710">
        <f t="shared" si="92"/>
        <v>1310.5109368544317</v>
      </c>
      <c r="AM126" s="710">
        <f t="shared" si="93"/>
        <v>1391.0179362778401</v>
      </c>
      <c r="AN126" s="710">
        <f t="shared" si="94"/>
        <v>1475.9060507696061</v>
      </c>
      <c r="AO126" s="711">
        <f t="shared" si="95"/>
        <v>1499.5205475819198</v>
      </c>
      <c r="AP126" s="707">
        <f t="shared" si="96"/>
        <v>1523.5128763432306</v>
      </c>
      <c r="AQ126" s="707">
        <f t="shared" si="97"/>
        <v>1547.8890823647223</v>
      </c>
      <c r="AR126" s="707">
        <f t="shared" si="98"/>
        <v>1572.6553076825578</v>
      </c>
      <c r="AS126" s="712">
        <f t="shared" si="99"/>
        <v>1597.8177926054786</v>
      </c>
      <c r="AU126" s="1369"/>
      <c r="AV126" s="1559"/>
      <c r="AW126" s="1412" t="str">
        <f t="shared" si="48"/>
        <v>Price</v>
      </c>
      <c r="AX126" s="1413" t="str">
        <f t="shared" si="36"/>
        <v>Water</v>
      </c>
      <c r="AY126" s="1414" t="str">
        <f t="shared" si="49"/>
        <v>Fixed</v>
      </c>
      <c r="AZ126" s="1415">
        <f t="shared" si="165"/>
        <v>4.4946975602653261E-3</v>
      </c>
      <c r="BA126" s="1415">
        <f t="shared" si="165"/>
        <v>-1.3146362839614234E-2</v>
      </c>
      <c r="BB126" s="1415">
        <f t="shared" si="165"/>
        <v>-2.1440823327615988E-2</v>
      </c>
      <c r="BC126" s="1415">
        <f t="shared" si="51"/>
        <v>-2.3381040073152004E-2</v>
      </c>
      <c r="BD126" s="1415">
        <f t="shared" si="52"/>
        <v>-1.4922029432202888E-2</v>
      </c>
      <c r="BE126" s="1415">
        <f t="shared" si="53"/>
        <v>1.69236037752587E-2</v>
      </c>
      <c r="BF126" s="1415">
        <f t="shared" si="54"/>
        <v>1.7986891162633523E-3</v>
      </c>
      <c r="BG126" s="1416">
        <f t="shared" si="55"/>
        <v>9.3706797686194943E-3</v>
      </c>
      <c r="BH126" s="1417">
        <f t="shared" si="56"/>
        <v>6.2756623492120855E-2</v>
      </c>
      <c r="BI126" s="1417">
        <f t="shared" si="57"/>
        <v>6.2311452385985566E-2</v>
      </c>
      <c r="BJ126" s="1417">
        <f t="shared" si="58"/>
        <v>6.185999942221887E-2</v>
      </c>
      <c r="BK126" s="1417">
        <f t="shared" si="59"/>
        <v>6.1431764634216846E-2</v>
      </c>
      <c r="BL126" s="1418">
        <f t="shared" si="60"/>
        <v>6.1025894977971396E-2</v>
      </c>
      <c r="BM126" s="1417">
        <f t="shared" si="61"/>
        <v>1.6000000000000014E-2</v>
      </c>
      <c r="BN126" s="1417">
        <f t="shared" si="62"/>
        <v>1.6000000000000014E-2</v>
      </c>
      <c r="BO126" s="1417">
        <f t="shared" si="63"/>
        <v>1.6000000000000014E-2</v>
      </c>
      <c r="BP126" s="1417">
        <f t="shared" si="64"/>
        <v>1.6000000000000014E-2</v>
      </c>
      <c r="BQ126" s="1419">
        <f t="shared" si="65"/>
        <v>1.6000000000000014E-2</v>
      </c>
      <c r="BR126" s="1378"/>
      <c r="BS126" s="1420"/>
      <c r="BT126" s="1421"/>
      <c r="BU126" s="1422"/>
      <c r="BV126" s="1423"/>
      <c r="BW126" s="1378"/>
      <c r="BX126" s="1412" t="str">
        <f t="shared" si="66"/>
        <v>Price</v>
      </c>
      <c r="BY126" s="1413" t="str">
        <f t="shared" si="67"/>
        <v>Water</v>
      </c>
      <c r="BZ126" s="1414" t="str">
        <f t="shared" si="68"/>
        <v>Fixed</v>
      </c>
      <c r="CA126" s="1424">
        <f t="shared" ref="CA126:CR126" si="183">IFERROR((P126/O126-1)*(O128/O$13),"-")</f>
        <v>2.7840811224691979E-6</v>
      </c>
      <c r="CB126" s="1415">
        <f t="shared" si="183"/>
        <v>-7.7783401244811588E-6</v>
      </c>
      <c r="CC126" s="1415">
        <f t="shared" si="183"/>
        <v>-1.274509815316228E-5</v>
      </c>
      <c r="CD126" s="1415">
        <f t="shared" si="183"/>
        <v>-1.3852687901803299E-5</v>
      </c>
      <c r="CE126" s="1415">
        <f t="shared" si="183"/>
        <v>-8.9365146131125489E-6</v>
      </c>
      <c r="CF126" s="1415">
        <f t="shared" si="183"/>
        <v>9.6418830356707124E-6</v>
      </c>
      <c r="CG126" s="1415">
        <f t="shared" si="183"/>
        <v>9.6710686550600376E-7</v>
      </c>
      <c r="CH126" s="1425">
        <f t="shared" si="183"/>
        <v>4.9417887874843723E-6</v>
      </c>
      <c r="CI126" s="1417">
        <f t="shared" si="183"/>
        <v>3.4015707948011607E-5</v>
      </c>
      <c r="CJ126" s="1417">
        <f t="shared" si="183"/>
        <v>3.3366880781030588E-5</v>
      </c>
      <c r="CK126" s="1417">
        <f t="shared" si="183"/>
        <v>3.3903835313242313E-5</v>
      </c>
      <c r="CL126" s="1417">
        <f t="shared" si="183"/>
        <v>3.3604394715540152E-5</v>
      </c>
      <c r="CM126" s="1418">
        <f t="shared" si="183"/>
        <v>3.3297369674130395E-5</v>
      </c>
      <c r="CN126" s="1417">
        <f t="shared" si="183"/>
        <v>8.7057378428143978E-6</v>
      </c>
      <c r="CO126" s="1417">
        <f t="shared" si="183"/>
        <v>8.6068607099273675E-6</v>
      </c>
      <c r="CP126" s="1417">
        <f t="shared" si="183"/>
        <v>8.7144063602898387E-6</v>
      </c>
      <c r="CQ126" s="1417">
        <f t="shared" si="183"/>
        <v>8.6142097316117546E-6</v>
      </c>
      <c r="CR126" s="1419">
        <f t="shared" si="183"/>
        <v>8.5109978439482147E-6</v>
      </c>
      <c r="CS126" s="1378"/>
      <c r="CT126" s="1412" t="str">
        <f t="shared" si="39"/>
        <v>Price</v>
      </c>
      <c r="CU126" s="1413" t="str">
        <f t="shared" si="40"/>
        <v>Water</v>
      </c>
      <c r="CV126" s="1426" t="str">
        <f t="shared" si="41"/>
        <v>Fixed</v>
      </c>
      <c r="CW126" s="1427">
        <f t="shared" si="70"/>
        <v>6.2534014624821888E-2</v>
      </c>
      <c r="CX126" s="1417">
        <f t="shared" si="71"/>
        <v>6.2309295367262374E-2</v>
      </c>
      <c r="CY126" s="1417">
        <f t="shared" si="72"/>
        <v>6.2089844692550633E-2</v>
      </c>
      <c r="CZ126" s="1419">
        <f t="shared" si="73"/>
        <v>6.187696943332277E-2</v>
      </c>
      <c r="DA126" s="1417">
        <f t="shared" si="74"/>
        <v>5.408941619876817E-2</v>
      </c>
      <c r="DB126" s="1417">
        <f t="shared" si="75"/>
        <v>4.8561869224138299E-2</v>
      </c>
      <c r="DC126" s="1417">
        <f t="shared" si="76"/>
        <v>4.4435239344280619E-2</v>
      </c>
      <c r="DD126" s="1417">
        <f t="shared" si="77"/>
        <v>4.123686954116712E-2</v>
      </c>
      <c r="DE126" s="1419">
        <f t="shared" si="78"/>
        <v>3.8685227075198059E-2</v>
      </c>
      <c r="DF126" s="1378"/>
      <c r="DG126" s="1412" t="str">
        <f t="shared" si="139"/>
        <v>Price</v>
      </c>
      <c r="DH126" s="1413" t="str">
        <f t="shared" si="140"/>
        <v>Water</v>
      </c>
      <c r="DI126" s="1426" t="str">
        <f t="shared" si="141"/>
        <v>Fixed</v>
      </c>
      <c r="DJ126" s="1426"/>
      <c r="DK126" s="1427">
        <f t="shared" si="79"/>
        <v>6.2085701917128366E-2</v>
      </c>
      <c r="DL126" s="1417">
        <f t="shared" si="80"/>
        <v>6.1867678070178567E-2</v>
      </c>
      <c r="DM126" s="1417">
        <f t="shared" si="81"/>
        <v>6.1657169707528325E-2</v>
      </c>
      <c r="DN126" s="1418">
        <f t="shared" si="82"/>
        <v>5.2364475401826205E-2</v>
      </c>
      <c r="DO126" s="1417">
        <f t="shared" si="83"/>
        <v>4.6214578293282571E-2</v>
      </c>
      <c r="DP126" s="1417">
        <f t="shared" si="84"/>
        <v>4.1843810562071981E-2</v>
      </c>
      <c r="DQ126" s="1417">
        <f t="shared" si="85"/>
        <v>3.8577721898004569E-2</v>
      </c>
      <c r="DR126" s="1419">
        <f t="shared" si="86"/>
        <v>3.6044511106270605E-2</v>
      </c>
    </row>
    <row r="127" spans="4:122">
      <c r="E127" s="742" t="s">
        <v>45</v>
      </c>
      <c r="F127" s="722" t="str">
        <f>+F126</f>
        <v>Water</v>
      </c>
      <c r="G127" s="723" t="str">
        <f>+G126</f>
        <v>Fixed tariff group - 2 -40mm</v>
      </c>
      <c r="H127" s="723">
        <f>+H126</f>
        <v>0</v>
      </c>
      <c r="I127" s="724" t="str">
        <f>+I126</f>
        <v>Fixed</v>
      </c>
      <c r="J127" s="782" t="s">
        <v>323</v>
      </c>
      <c r="K127" s="1540"/>
      <c r="L127" s="1541"/>
      <c r="M127" s="1541"/>
      <c r="N127" s="1542"/>
      <c r="O127" s="2031">
        <v>41</v>
      </c>
      <c r="P127" s="1543">
        <v>40</v>
      </c>
      <c r="Q127" s="1543">
        <v>40</v>
      </c>
      <c r="R127" s="1543">
        <v>40</v>
      </c>
      <c r="S127" s="1543">
        <v>40</v>
      </c>
      <c r="T127" s="1543">
        <v>40</v>
      </c>
      <c r="U127" s="1543">
        <v>39</v>
      </c>
      <c r="V127" s="1543">
        <v>40</v>
      </c>
      <c r="W127" s="1543">
        <v>40</v>
      </c>
      <c r="X127" s="1544">
        <v>40</v>
      </c>
      <c r="Y127" s="1543">
        <v>41</v>
      </c>
      <c r="Z127" s="1543">
        <v>41</v>
      </c>
      <c r="AA127" s="1543">
        <v>41</v>
      </c>
      <c r="AB127" s="1543">
        <v>41</v>
      </c>
      <c r="AC127" s="1544">
        <v>41</v>
      </c>
      <c r="AD127" s="1543">
        <v>42</v>
      </c>
      <c r="AE127" s="1543">
        <v>42</v>
      </c>
      <c r="AF127" s="1543">
        <v>42</v>
      </c>
      <c r="AG127" s="788">
        <v>42</v>
      </c>
      <c r="AH127" s="697"/>
      <c r="AI127" s="707"/>
      <c r="AJ127" s="709">
        <f t="shared" si="90"/>
        <v>40</v>
      </c>
      <c r="AK127" s="710">
        <f t="shared" si="91"/>
        <v>41</v>
      </c>
      <c r="AL127" s="710">
        <f t="shared" si="92"/>
        <v>41</v>
      </c>
      <c r="AM127" s="710">
        <f t="shared" si="93"/>
        <v>41</v>
      </c>
      <c r="AN127" s="710">
        <f t="shared" si="94"/>
        <v>41</v>
      </c>
      <c r="AO127" s="711">
        <f t="shared" si="95"/>
        <v>41</v>
      </c>
      <c r="AP127" s="707">
        <f t="shared" si="96"/>
        <v>42</v>
      </c>
      <c r="AQ127" s="707">
        <f t="shared" si="97"/>
        <v>42</v>
      </c>
      <c r="AR127" s="707">
        <f t="shared" si="98"/>
        <v>42</v>
      </c>
      <c r="AS127" s="712">
        <f t="shared" si="99"/>
        <v>42</v>
      </c>
      <c r="AV127" s="1559"/>
      <c r="AW127" s="1392" t="str">
        <f t="shared" si="48"/>
        <v>Qty</v>
      </c>
      <c r="AX127" s="1393" t="str">
        <f t="shared" si="36"/>
        <v>Water</v>
      </c>
      <c r="AY127" s="1394" t="str">
        <f t="shared" si="49"/>
        <v>Fixed</v>
      </c>
      <c r="AZ127" s="1395">
        <f t="shared" si="165"/>
        <v>-2.4390243902439046E-2</v>
      </c>
      <c r="BA127" s="1395">
        <f t="shared" si="165"/>
        <v>0</v>
      </c>
      <c r="BB127" s="1395">
        <f t="shared" si="165"/>
        <v>0</v>
      </c>
      <c r="BC127" s="1395">
        <f t="shared" si="51"/>
        <v>0</v>
      </c>
      <c r="BD127" s="1395">
        <f t="shared" si="52"/>
        <v>0</v>
      </c>
      <c r="BE127" s="1395">
        <f t="shared" si="53"/>
        <v>-2.5000000000000022E-2</v>
      </c>
      <c r="BF127" s="1395">
        <f t="shared" si="54"/>
        <v>2.564102564102555E-2</v>
      </c>
      <c r="BG127" s="1396">
        <f t="shared" si="55"/>
        <v>0</v>
      </c>
      <c r="BH127" s="1395">
        <f t="shared" si="56"/>
        <v>0</v>
      </c>
      <c r="BI127" s="1395">
        <f t="shared" si="57"/>
        <v>2.4999999999999911E-2</v>
      </c>
      <c r="BJ127" s="1395">
        <f t="shared" si="58"/>
        <v>0</v>
      </c>
      <c r="BK127" s="1395">
        <f t="shared" si="59"/>
        <v>0</v>
      </c>
      <c r="BL127" s="1397">
        <f t="shared" si="60"/>
        <v>0</v>
      </c>
      <c r="BM127" s="1395">
        <f t="shared" si="61"/>
        <v>0</v>
      </c>
      <c r="BN127" s="1395">
        <f t="shared" si="62"/>
        <v>2.4390243902439046E-2</v>
      </c>
      <c r="BO127" s="1395">
        <f t="shared" si="63"/>
        <v>0</v>
      </c>
      <c r="BP127" s="1395">
        <f t="shared" si="64"/>
        <v>0</v>
      </c>
      <c r="BQ127" s="1398">
        <f t="shared" si="65"/>
        <v>0</v>
      </c>
      <c r="BR127" s="1378"/>
      <c r="BS127" s="1329"/>
      <c r="BT127" s="1399"/>
      <c r="BU127" s="1331"/>
      <c r="BV127" s="1400"/>
      <c r="BW127" s="1378"/>
      <c r="BX127" s="1392" t="str">
        <f t="shared" si="66"/>
        <v>Qty</v>
      </c>
      <c r="BY127" s="1393" t="str">
        <f t="shared" si="67"/>
        <v>Water</v>
      </c>
      <c r="BZ127" s="1394" t="str">
        <f t="shared" si="68"/>
        <v>Fixed</v>
      </c>
      <c r="CA127" s="1401">
        <f t="shared" ref="CA127:CR127" si="184">IFERROR((P127/O127-1)*(O128/O$13),"-")</f>
        <v>-1.5107672253968419E-5</v>
      </c>
      <c r="CB127" s="1395">
        <f t="shared" si="184"/>
        <v>0</v>
      </c>
      <c r="CC127" s="1395">
        <f t="shared" si="184"/>
        <v>0</v>
      </c>
      <c r="CD127" s="1395">
        <f t="shared" si="184"/>
        <v>0</v>
      </c>
      <c r="CE127" s="1395">
        <f t="shared" si="184"/>
        <v>0</v>
      </c>
      <c r="CF127" s="1395">
        <f t="shared" si="184"/>
        <v>-1.4243247424887393E-5</v>
      </c>
      <c r="CG127" s="1395">
        <f t="shared" si="184"/>
        <v>1.3786491346301441E-5</v>
      </c>
      <c r="CH127" s="1397">
        <f t="shared" si="184"/>
        <v>0</v>
      </c>
      <c r="CI127" s="1395">
        <f t="shared" si="184"/>
        <v>0</v>
      </c>
      <c r="CJ127" s="1395">
        <f t="shared" si="184"/>
        <v>1.3387138119627186E-5</v>
      </c>
      <c r="CK127" s="1395">
        <f t="shared" si="184"/>
        <v>0</v>
      </c>
      <c r="CL127" s="1395">
        <f t="shared" si="184"/>
        <v>0</v>
      </c>
      <c r="CM127" s="1397">
        <f t="shared" si="184"/>
        <v>0</v>
      </c>
      <c r="CN127" s="1395">
        <f t="shared" si="184"/>
        <v>0</v>
      </c>
      <c r="CO127" s="1395">
        <f t="shared" si="184"/>
        <v>1.3120214496840497E-5</v>
      </c>
      <c r="CP127" s="1395">
        <f t="shared" si="184"/>
        <v>0</v>
      </c>
      <c r="CQ127" s="1395">
        <f t="shared" si="184"/>
        <v>0</v>
      </c>
      <c r="CR127" s="1398">
        <f t="shared" si="184"/>
        <v>0</v>
      </c>
      <c r="CS127" s="1378"/>
      <c r="CT127" s="1392" t="str">
        <f t="shared" si="39"/>
        <v>Qty</v>
      </c>
      <c r="CU127" s="1393" t="str">
        <f t="shared" si="40"/>
        <v>Water</v>
      </c>
      <c r="CV127" s="1393" t="str">
        <f t="shared" si="41"/>
        <v>Fixed</v>
      </c>
      <c r="CW127" s="1401">
        <f t="shared" si="70"/>
        <v>1.2422836565829209E-2</v>
      </c>
      <c r="CX127" s="1395">
        <f t="shared" si="71"/>
        <v>8.2648376090521669E-3</v>
      </c>
      <c r="CY127" s="1395">
        <f t="shared" si="72"/>
        <v>6.192246325636086E-3</v>
      </c>
      <c r="CZ127" s="1398">
        <f t="shared" si="73"/>
        <v>4.9507371194885685E-3</v>
      </c>
      <c r="DA127" s="1395">
        <f t="shared" si="74"/>
        <v>4.1239154651442345E-3</v>
      </c>
      <c r="DB127" s="1395">
        <f t="shared" si="75"/>
        <v>6.9943706001001082E-3</v>
      </c>
      <c r="DC127" s="1395">
        <f t="shared" si="76"/>
        <v>6.1174058871256154E-3</v>
      </c>
      <c r="DD127" s="1395">
        <f t="shared" si="77"/>
        <v>5.4358502631846051E-3</v>
      </c>
      <c r="DE127" s="1398">
        <f t="shared" si="78"/>
        <v>4.8909381985118294E-3</v>
      </c>
      <c r="DF127" s="1378"/>
      <c r="DG127" s="1392" t="str">
        <f t="shared" si="139"/>
        <v>Qty</v>
      </c>
      <c r="DH127" s="1393" t="str">
        <f t="shared" si="140"/>
        <v>Water</v>
      </c>
      <c r="DI127" s="1393" t="str">
        <f t="shared" si="141"/>
        <v>Fixed</v>
      </c>
      <c r="DJ127" s="1393"/>
      <c r="DK127" s="1401">
        <f t="shared" si="79"/>
        <v>1.2422836565829209E-2</v>
      </c>
      <c r="DL127" s="1395">
        <f t="shared" si="80"/>
        <v>8.2648376090521669E-3</v>
      </c>
      <c r="DM127" s="1395">
        <f t="shared" si="81"/>
        <v>6.192246325636086E-3</v>
      </c>
      <c r="DN127" s="1397">
        <f t="shared" si="82"/>
        <v>4.9507371194885685E-3</v>
      </c>
      <c r="DO127" s="1395">
        <f t="shared" si="83"/>
        <v>8.1648460519010424E-3</v>
      </c>
      <c r="DP127" s="1395">
        <f t="shared" si="84"/>
        <v>6.9943706001001082E-3</v>
      </c>
      <c r="DQ127" s="1395">
        <f t="shared" si="85"/>
        <v>6.1174058871256154E-3</v>
      </c>
      <c r="DR127" s="1398">
        <f t="shared" si="86"/>
        <v>5.4358502631846051E-3</v>
      </c>
    </row>
    <row r="128" spans="4:122" ht="12.75" thickBot="1">
      <c r="E128" s="743" t="s">
        <v>46</v>
      </c>
      <c r="F128" s="732" t="str">
        <f>+F126</f>
        <v>Water</v>
      </c>
      <c r="G128" s="733" t="str">
        <f>+G126</f>
        <v>Fixed tariff group - 2 -40mm</v>
      </c>
      <c r="H128" s="733">
        <f>+H126</f>
        <v>0</v>
      </c>
      <c r="I128" s="734" t="str">
        <f>+I126</f>
        <v>Fixed</v>
      </c>
      <c r="J128" s="735" t="s">
        <v>344</v>
      </c>
      <c r="K128" s="736">
        <f t="shared" ref="K128:AG128" si="185">K126*K127/10^6</f>
        <v>0</v>
      </c>
      <c r="L128" s="737">
        <f t="shared" si="185"/>
        <v>0</v>
      </c>
      <c r="M128" s="737">
        <f t="shared" si="185"/>
        <v>0</v>
      </c>
      <c r="N128" s="738">
        <f t="shared" si="185"/>
        <v>0</v>
      </c>
      <c r="O128" s="1923">
        <f t="shared" si="185"/>
        <v>4.6705587828054299E-2</v>
      </c>
      <c r="P128" s="737">
        <f t="shared" si="185"/>
        <v>4.577123445825932E-2</v>
      </c>
      <c r="Q128" s="737">
        <f t="shared" si="185"/>
        <v>4.5169509202453995E-2</v>
      </c>
      <c r="R128" s="737">
        <f t="shared" si="185"/>
        <v>4.4201037735849054E-2</v>
      </c>
      <c r="S128" s="737">
        <f t="shared" si="185"/>
        <v>4.3167571501272255E-2</v>
      </c>
      <c r="T128" s="1531">
        <f t="shared" si="185"/>
        <v>4.2523423728813549E-2</v>
      </c>
      <c r="U128" s="737">
        <f t="shared" si="185"/>
        <v>4.2161996470588235E-2</v>
      </c>
      <c r="V128" s="737">
        <f t="shared" si="185"/>
        <v>4.3320854148471609E-2</v>
      </c>
      <c r="W128" s="737">
        <f t="shared" si="185"/>
        <v>4.3726800000000003E-2</v>
      </c>
      <c r="X128" s="738">
        <f t="shared" si="185"/>
        <v>4.6470946324115275E-2</v>
      </c>
      <c r="Y128" s="737">
        <f t="shared" si="185"/>
        <v>5.0600783945405119E-2</v>
      </c>
      <c r="Z128" s="737">
        <f t="shared" si="185"/>
        <v>5.3730948411031702E-2</v>
      </c>
      <c r="AA128" s="737">
        <f t="shared" si="185"/>
        <v>5.7031735387391445E-2</v>
      </c>
      <c r="AB128" s="737">
        <f t="shared" si="185"/>
        <v>6.0512148081553849E-2</v>
      </c>
      <c r="AC128" s="738">
        <f t="shared" si="185"/>
        <v>6.1480342450858712E-2</v>
      </c>
      <c r="AD128" s="737">
        <f t="shared" si="185"/>
        <v>6.3987540806415694E-2</v>
      </c>
      <c r="AE128" s="737">
        <f t="shared" si="185"/>
        <v>6.5011341459318334E-2</v>
      </c>
      <c r="AF128" s="737">
        <f t="shared" si="185"/>
        <v>6.605152292266743E-2</v>
      </c>
      <c r="AG128" s="739">
        <f t="shared" si="185"/>
        <v>6.7108347289430104E-2</v>
      </c>
      <c r="AH128" s="697"/>
      <c r="AI128" s="707"/>
      <c r="AJ128" s="709">
        <f t="shared" si="90"/>
        <v>4.6470946324115275E-2</v>
      </c>
      <c r="AK128" s="710">
        <f t="shared" si="91"/>
        <v>5.0600783945405119E-2</v>
      </c>
      <c r="AL128" s="710">
        <f t="shared" si="92"/>
        <v>5.3730948411031702E-2</v>
      </c>
      <c r="AM128" s="710">
        <f t="shared" si="93"/>
        <v>5.7031735387391445E-2</v>
      </c>
      <c r="AN128" s="710">
        <f t="shared" si="94"/>
        <v>6.0512148081553849E-2</v>
      </c>
      <c r="AO128" s="711">
        <f t="shared" si="95"/>
        <v>6.1480342450858712E-2</v>
      </c>
      <c r="AP128" s="707">
        <f t="shared" si="96"/>
        <v>6.3987540806415694E-2</v>
      </c>
      <c r="AQ128" s="707">
        <f t="shared" si="97"/>
        <v>6.5011341459318334E-2</v>
      </c>
      <c r="AR128" s="707">
        <f t="shared" si="98"/>
        <v>6.605152292266743E-2</v>
      </c>
      <c r="AS128" s="712">
        <f t="shared" si="99"/>
        <v>6.7108347289430104E-2</v>
      </c>
      <c r="AV128" s="1559"/>
      <c r="AW128" s="1428" t="str">
        <f t="shared" si="48"/>
        <v>Rev</v>
      </c>
      <c r="AX128" s="1429" t="str">
        <f t="shared" si="36"/>
        <v>Water</v>
      </c>
      <c r="AY128" s="1430" t="str">
        <f t="shared" si="49"/>
        <v>Fixed</v>
      </c>
      <c r="AZ128" s="1431">
        <f t="shared" si="165"/>
        <v>-2.0005173111936503E-2</v>
      </c>
      <c r="BA128" s="1431">
        <f t="shared" si="165"/>
        <v>-1.3146362839614123E-2</v>
      </c>
      <c r="BB128" s="1431">
        <f t="shared" si="165"/>
        <v>-2.1440823327615988E-2</v>
      </c>
      <c r="BC128" s="1431">
        <f t="shared" si="51"/>
        <v>-2.3381040073152226E-2</v>
      </c>
      <c r="BD128" s="1431">
        <f t="shared" si="52"/>
        <v>-1.4922029432202888E-2</v>
      </c>
      <c r="BE128" s="1431">
        <f t="shared" si="53"/>
        <v>-8.4994863191227843E-3</v>
      </c>
      <c r="BF128" s="1431">
        <f t="shared" si="54"/>
        <v>2.7485834991039404E-2</v>
      </c>
      <c r="BG128" s="1432">
        <f t="shared" si="55"/>
        <v>9.3706797686194943E-3</v>
      </c>
      <c r="BH128" s="1431">
        <f t="shared" si="56"/>
        <v>6.2756623492120855E-2</v>
      </c>
      <c r="BI128" s="1431">
        <f t="shared" si="57"/>
        <v>8.8869238695635122E-2</v>
      </c>
      <c r="BJ128" s="1431">
        <f t="shared" si="58"/>
        <v>6.185999942221887E-2</v>
      </c>
      <c r="BK128" s="1431">
        <f t="shared" si="59"/>
        <v>6.1431764634216846E-2</v>
      </c>
      <c r="BL128" s="1433">
        <f t="shared" si="60"/>
        <v>6.1025894977971396E-2</v>
      </c>
      <c r="BM128" s="1431">
        <f t="shared" si="61"/>
        <v>1.6000000000000014E-2</v>
      </c>
      <c r="BN128" s="1431">
        <f t="shared" si="62"/>
        <v>4.0780487804878307E-2</v>
      </c>
      <c r="BO128" s="1431">
        <f t="shared" si="63"/>
        <v>1.5999999999999792E-2</v>
      </c>
      <c r="BP128" s="1431">
        <f t="shared" si="64"/>
        <v>1.6000000000000014E-2</v>
      </c>
      <c r="BQ128" s="1434">
        <f t="shared" si="65"/>
        <v>1.6000000000000014E-2</v>
      </c>
      <c r="BR128" s="1378"/>
      <c r="BS128" s="1407"/>
      <c r="BT128" s="1408"/>
      <c r="BU128" s="1409"/>
      <c r="BV128" s="1410"/>
      <c r="BW128" s="1378"/>
      <c r="BX128" s="1428" t="str">
        <f t="shared" si="66"/>
        <v>Rev</v>
      </c>
      <c r="BY128" s="1429" t="str">
        <f t="shared" si="67"/>
        <v>Water</v>
      </c>
      <c r="BZ128" s="1430" t="str">
        <f t="shared" si="68"/>
        <v>Fixed</v>
      </c>
      <c r="CA128" s="1435">
        <f t="shared" ref="CA128:CR128" si="186">IFERROR((P128/O128-1)*(O128/O$13),"-")</f>
        <v>-1.2391495549120553E-5</v>
      </c>
      <c r="CB128" s="1431">
        <f t="shared" si="186"/>
        <v>-7.7783401244810927E-6</v>
      </c>
      <c r="CC128" s="1431">
        <f t="shared" si="186"/>
        <v>-1.274509815316228E-5</v>
      </c>
      <c r="CD128" s="1431">
        <f t="shared" si="186"/>
        <v>-1.3852687901803431E-5</v>
      </c>
      <c r="CE128" s="1431">
        <f t="shared" si="186"/>
        <v>-8.9365146131125489E-6</v>
      </c>
      <c r="CF128" s="1431">
        <f t="shared" si="186"/>
        <v>-4.8424114651084448E-6</v>
      </c>
      <c r="CG128" s="1431">
        <f t="shared" si="186"/>
        <v>1.4778395823743582E-5</v>
      </c>
      <c r="CH128" s="1433">
        <f t="shared" si="186"/>
        <v>4.9417887874843723E-6</v>
      </c>
      <c r="CI128" s="1431">
        <f t="shared" si="186"/>
        <v>3.4015707948011607E-5</v>
      </c>
      <c r="CJ128" s="1431">
        <f t="shared" si="186"/>
        <v>4.7588190920183545E-5</v>
      </c>
      <c r="CK128" s="1431">
        <f t="shared" si="186"/>
        <v>3.3903835313242313E-5</v>
      </c>
      <c r="CL128" s="1431">
        <f t="shared" si="186"/>
        <v>3.3604394715540152E-5</v>
      </c>
      <c r="CM128" s="1433">
        <f t="shared" si="186"/>
        <v>3.3297369674130395E-5</v>
      </c>
      <c r="CN128" s="1431">
        <f t="shared" si="186"/>
        <v>8.7057378428143978E-6</v>
      </c>
      <c r="CO128" s="1431">
        <f t="shared" si="186"/>
        <v>2.1936998638717433E-5</v>
      </c>
      <c r="CP128" s="1431">
        <f t="shared" si="186"/>
        <v>8.7144063602897168E-6</v>
      </c>
      <c r="CQ128" s="1431">
        <f t="shared" si="186"/>
        <v>8.6142097316117546E-6</v>
      </c>
      <c r="CR128" s="1434">
        <f t="shared" si="186"/>
        <v>8.5109978439482147E-6</v>
      </c>
      <c r="CS128" s="1378"/>
      <c r="CT128" s="1428" t="str">
        <f t="shared" si="39"/>
        <v>Rev</v>
      </c>
      <c r="CU128" s="1429" t="str">
        <f t="shared" si="40"/>
        <v>Water</v>
      </c>
      <c r="CV128" s="1429" t="str">
        <f t="shared" si="41"/>
        <v>Fixed</v>
      </c>
      <c r="CW128" s="1435">
        <f t="shared" si="70"/>
        <v>7.5733701034140344E-2</v>
      </c>
      <c r="CX128" s="1431">
        <f t="shared" si="71"/>
        <v>7.1089109184059529E-2</v>
      </c>
      <c r="CY128" s="1431">
        <f t="shared" si="72"/>
        <v>6.8666566630843251E-2</v>
      </c>
      <c r="CZ128" s="1434">
        <f t="shared" si="73"/>
        <v>6.7134043162226487E-2</v>
      </c>
      <c r="DA128" s="1431">
        <f t="shared" si="74"/>
        <v>5.8436391843875279E-2</v>
      </c>
      <c r="DB128" s="1431">
        <f t="shared" si="75"/>
        <v>5.5895899534625926E-2</v>
      </c>
      <c r="DC128" s="1431">
        <f t="shared" si="76"/>
        <v>5.0824473626166933E-2</v>
      </c>
      <c r="DD128" s="1431">
        <f t="shared" si="77"/>
        <v>4.6896877252500024E-2</v>
      </c>
      <c r="DE128" s="1434">
        <f t="shared" si="78"/>
        <v>4.3765372328530283E-2</v>
      </c>
      <c r="DF128" s="1378"/>
      <c r="DG128" s="1428" t="str">
        <f t="shared" si="139"/>
        <v>Rev</v>
      </c>
      <c r="DH128" s="1429" t="str">
        <f t="shared" si="140"/>
        <v>Water</v>
      </c>
      <c r="DI128" s="1429" t="str">
        <f t="shared" si="141"/>
        <v>Fixed</v>
      </c>
      <c r="DJ128" s="1429"/>
      <c r="DK128" s="1435">
        <f t="shared" si="79"/>
        <v>7.5279819010948712E-2</v>
      </c>
      <c r="DL128" s="1431">
        <f t="shared" si="80"/>
        <v>7.0643841991729905E-2</v>
      </c>
      <c r="DM128" s="1431">
        <f t="shared" si="81"/>
        <v>6.8231212415734932E-2</v>
      </c>
      <c r="DN128" s="1433">
        <f t="shared" si="82"/>
        <v>5.7574455273429193E-2</v>
      </c>
      <c r="DO128" s="1431">
        <f t="shared" si="83"/>
        <v>5.4756759262301946E-2</v>
      </c>
      <c r="DP128" s="1431">
        <f t="shared" si="84"/>
        <v>4.9130852280563575E-2</v>
      </c>
      <c r="DQ128" s="1431">
        <f t="shared" si="85"/>
        <v>4.4931123368181058E-2</v>
      </c>
      <c r="DR128" s="1434">
        <f t="shared" si="86"/>
        <v>4.1676293934638897E-2</v>
      </c>
    </row>
    <row r="129" spans="4:122">
      <c r="D129" s="70">
        <f>D126+1</f>
        <v>22</v>
      </c>
      <c r="E129" s="713" t="s">
        <v>44</v>
      </c>
      <c r="F129" s="1532" t="s">
        <v>20</v>
      </c>
      <c r="G129" s="1532" t="s">
        <v>884</v>
      </c>
      <c r="H129" s="1532"/>
      <c r="I129" s="781" t="s">
        <v>319</v>
      </c>
      <c r="J129" s="781" t="s">
        <v>345</v>
      </c>
      <c r="K129" s="1533"/>
      <c r="L129" s="1534"/>
      <c r="M129" s="1534"/>
      <c r="N129" s="1535"/>
      <c r="O129" s="2071">
        <v>1780.9054751131221</v>
      </c>
      <c r="P129" s="1547">
        <v>1788.9142806394316</v>
      </c>
      <c r="Q129" s="1547">
        <v>1765.3965644171781</v>
      </c>
      <c r="R129" s="1547">
        <v>1727.5450085763293</v>
      </c>
      <c r="S129" s="1547">
        <v>1687.1708142493637</v>
      </c>
      <c r="T129" s="1547">
        <v>1661.9974576271184</v>
      </c>
      <c r="U129" s="1547">
        <v>1690.1189592760181</v>
      </c>
      <c r="V129" s="1547">
        <v>1693.1616812227073</v>
      </c>
      <c r="W129" s="1547">
        <v>1709.04</v>
      </c>
      <c r="X129" s="1550">
        <v>1809.9978831028823</v>
      </c>
      <c r="Y129" s="1551">
        <v>1916.4214588955517</v>
      </c>
      <c r="Z129" s="1551">
        <v>2028.5853734995878</v>
      </c>
      <c r="AA129" s="1551">
        <v>2146.7912808468673</v>
      </c>
      <c r="AB129" s="1551">
        <v>2271.3574959285065</v>
      </c>
      <c r="AC129" s="1550">
        <v>2307.6992158633625</v>
      </c>
      <c r="AD129" s="1551">
        <v>2344.6224033171761</v>
      </c>
      <c r="AE129" s="1551">
        <v>2382.1363617702509</v>
      </c>
      <c r="AF129" s="1551">
        <v>2420.2505435585749</v>
      </c>
      <c r="AG129" s="1552">
        <v>2458.9745522555122</v>
      </c>
      <c r="AH129" s="697"/>
      <c r="AI129" s="707"/>
      <c r="AJ129" s="709">
        <f t="shared" si="90"/>
        <v>1809.9978831028823</v>
      </c>
      <c r="AK129" s="710">
        <f t="shared" si="91"/>
        <v>1916.4214588955517</v>
      </c>
      <c r="AL129" s="710">
        <f t="shared" si="92"/>
        <v>2028.5853734995878</v>
      </c>
      <c r="AM129" s="710">
        <f t="shared" si="93"/>
        <v>2146.7912808468673</v>
      </c>
      <c r="AN129" s="710">
        <f t="shared" si="94"/>
        <v>2271.3574959285065</v>
      </c>
      <c r="AO129" s="711">
        <f t="shared" si="95"/>
        <v>2307.6992158633625</v>
      </c>
      <c r="AP129" s="707">
        <f t="shared" si="96"/>
        <v>2344.6224033171761</v>
      </c>
      <c r="AQ129" s="707">
        <f t="shared" si="97"/>
        <v>2382.1363617702509</v>
      </c>
      <c r="AR129" s="707">
        <f t="shared" si="98"/>
        <v>2420.2505435585749</v>
      </c>
      <c r="AS129" s="712">
        <f t="shared" si="99"/>
        <v>2458.9745522555122</v>
      </c>
      <c r="AU129" s="1369"/>
      <c r="AV129" s="1559"/>
      <c r="AW129" s="1412" t="str">
        <f t="shared" si="48"/>
        <v>Price</v>
      </c>
      <c r="AX129" s="1413" t="str">
        <f t="shared" si="48"/>
        <v>Water</v>
      </c>
      <c r="AY129" s="1414" t="str">
        <f t="shared" si="49"/>
        <v>Fixed</v>
      </c>
      <c r="AZ129" s="1415">
        <f t="shared" si="165"/>
        <v>4.4970413299452172E-3</v>
      </c>
      <c r="BA129" s="1415">
        <f t="shared" si="165"/>
        <v>-1.3146362839614234E-2</v>
      </c>
      <c r="BB129" s="1415">
        <f t="shared" si="165"/>
        <v>-2.1440823327615877E-2</v>
      </c>
      <c r="BC129" s="1415">
        <f t="shared" si="51"/>
        <v>-2.3370849457773568E-2</v>
      </c>
      <c r="BD129" s="1415">
        <f t="shared" si="52"/>
        <v>-1.4920455243558228E-2</v>
      </c>
      <c r="BE129" s="1415">
        <f t="shared" si="53"/>
        <v>1.6920303650193036E-2</v>
      </c>
      <c r="BF129" s="1415">
        <f t="shared" si="54"/>
        <v>1.8003004640529952E-3</v>
      </c>
      <c r="BG129" s="1416">
        <f t="shared" si="55"/>
        <v>9.3779105406084362E-3</v>
      </c>
      <c r="BH129" s="1417">
        <f t="shared" si="56"/>
        <v>5.9072861432665213E-2</v>
      </c>
      <c r="BI129" s="1417">
        <f t="shared" si="57"/>
        <v>5.879762445369674E-2</v>
      </c>
      <c r="BJ129" s="1417">
        <f t="shared" si="58"/>
        <v>5.8527790994720386E-2</v>
      </c>
      <c r="BK129" s="1417">
        <f t="shared" si="59"/>
        <v>5.8270117142448896E-2</v>
      </c>
      <c r="BL129" s="1418">
        <f t="shared" si="60"/>
        <v>5.802437162521934E-2</v>
      </c>
      <c r="BM129" s="1417">
        <f t="shared" si="61"/>
        <v>1.6000000000000014E-2</v>
      </c>
      <c r="BN129" s="1417">
        <f t="shared" si="62"/>
        <v>1.6000000000000014E-2</v>
      </c>
      <c r="BO129" s="1417">
        <f t="shared" si="63"/>
        <v>1.6000000000000014E-2</v>
      </c>
      <c r="BP129" s="1417">
        <f t="shared" si="64"/>
        <v>1.6000000000000014E-2</v>
      </c>
      <c r="BQ129" s="1419">
        <f t="shared" si="65"/>
        <v>1.6000000000000014E-2</v>
      </c>
      <c r="BR129" s="1378"/>
      <c r="BS129" s="1420"/>
      <c r="BT129" s="1421"/>
      <c r="BU129" s="1422"/>
      <c r="BV129" s="1423"/>
      <c r="BW129" s="1378"/>
      <c r="BX129" s="1412" t="str">
        <f t="shared" si="66"/>
        <v>Price</v>
      </c>
      <c r="BY129" s="1413" t="str">
        <f t="shared" si="67"/>
        <v>Water</v>
      </c>
      <c r="BZ129" s="1414" t="str">
        <f t="shared" si="68"/>
        <v>Fixed</v>
      </c>
      <c r="CA129" s="1424">
        <f t="shared" ref="CA129:CR129" si="187">IFERROR((P129/O129-1)*(O131/O$13),"-")</f>
        <v>6.4790324043498538E-6</v>
      </c>
      <c r="CB129" s="1415">
        <f t="shared" si="187"/>
        <v>-1.8240430558250956E-5</v>
      </c>
      <c r="CC129" s="1415">
        <f t="shared" si="187"/>
        <v>-3.0385747516232108E-5</v>
      </c>
      <c r="CD129" s="1415">
        <f t="shared" si="187"/>
        <v>-3.4094331250421863E-5</v>
      </c>
      <c r="CE129" s="1415">
        <f t="shared" si="187"/>
        <v>-2.1652870496378253E-5</v>
      </c>
      <c r="CF129" s="1415">
        <f t="shared" si="187"/>
        <v>2.3359900206475292E-5</v>
      </c>
      <c r="CG129" s="1415">
        <f t="shared" si="187"/>
        <v>2.3281486674997552E-6</v>
      </c>
      <c r="CH129" s="1425">
        <f t="shared" si="187"/>
        <v>1.1790994147470787E-5</v>
      </c>
      <c r="CI129" s="1417">
        <f t="shared" si="187"/>
        <v>7.6338271041302439E-5</v>
      </c>
      <c r="CJ129" s="1417">
        <f t="shared" si="187"/>
        <v>7.6031884610078471E-5</v>
      </c>
      <c r="CK129" s="1417">
        <f t="shared" si="187"/>
        <v>7.5322811212055681E-5</v>
      </c>
      <c r="CL129" s="1417">
        <f t="shared" si="187"/>
        <v>7.461213213474711E-5</v>
      </c>
      <c r="CM129" s="1418">
        <f t="shared" si="187"/>
        <v>7.5079263193287047E-5</v>
      </c>
      <c r="CN129" s="1417">
        <f t="shared" si="187"/>
        <v>2.0586810130315621E-5</v>
      </c>
      <c r="CO129" s="1417">
        <f t="shared" si="187"/>
        <v>2.0352991377933198E-5</v>
      </c>
      <c r="CP129" s="1417">
        <f t="shared" si="187"/>
        <v>2.0435970754503271E-5</v>
      </c>
      <c r="CQ129" s="1417">
        <f t="shared" si="187"/>
        <v>2.0201001751600697E-5</v>
      </c>
      <c r="CR129" s="1419">
        <f t="shared" si="187"/>
        <v>1.9958961728378851E-5</v>
      </c>
      <c r="CS129" s="1378"/>
      <c r="CT129" s="1412" t="str">
        <f t="shared" ref="CT129:CT192" si="188">AW129</f>
        <v>Price</v>
      </c>
      <c r="CU129" s="1413" t="str">
        <f t="shared" ref="CU129:CU192" si="189">AX129</f>
        <v>Water</v>
      </c>
      <c r="CV129" s="1426" t="str">
        <f t="shared" ref="CV129:CV192" si="190">AY129</f>
        <v>Fixed</v>
      </c>
      <c r="CW129" s="1427">
        <f t="shared" si="70"/>
        <v>5.893523400077938E-2</v>
      </c>
      <c r="CX129" s="1417">
        <f t="shared" si="71"/>
        <v>5.8799402242757814E-2</v>
      </c>
      <c r="CY129" s="1417">
        <f t="shared" si="72"/>
        <v>5.8667056155576658E-2</v>
      </c>
      <c r="CZ129" s="1419">
        <f t="shared" si="73"/>
        <v>5.8538488025794866E-2</v>
      </c>
      <c r="DA129" s="1417">
        <f t="shared" si="74"/>
        <v>5.1327026953895238E-2</v>
      </c>
      <c r="DB129" s="1417">
        <f t="shared" si="75"/>
        <v>4.6206082004644156E-2</v>
      </c>
      <c r="DC129" s="1417">
        <f t="shared" si="76"/>
        <v>4.2381749307408345E-2</v>
      </c>
      <c r="DD129" s="1417">
        <f t="shared" si="77"/>
        <v>3.941693583471273E-2</v>
      </c>
      <c r="DE129" s="1419">
        <f t="shared" si="78"/>
        <v>3.7051157771017307E-2</v>
      </c>
      <c r="DF129" s="1378"/>
      <c r="DG129" s="1412" t="str">
        <f t="shared" si="139"/>
        <v>Price</v>
      </c>
      <c r="DH129" s="1413" t="str">
        <f t="shared" si="140"/>
        <v>Water</v>
      </c>
      <c r="DI129" s="1426" t="str">
        <f t="shared" si="141"/>
        <v>Fixed</v>
      </c>
      <c r="DJ129" s="1426"/>
      <c r="DK129" s="1427">
        <f t="shared" si="79"/>
        <v>5.8662699127266515E-2</v>
      </c>
      <c r="DL129" s="1417">
        <f t="shared" si="80"/>
        <v>5.8531822286719493E-2</v>
      </c>
      <c r="DM129" s="1417">
        <f t="shared" si="81"/>
        <v>5.8404936808655661E-2</v>
      </c>
      <c r="DN129" s="1418">
        <f t="shared" si="82"/>
        <v>4.9784671527752566E-2</v>
      </c>
      <c r="DO129" s="1417">
        <f t="shared" si="83"/>
        <v>4.4076868097023825E-2</v>
      </c>
      <c r="DP129" s="1417">
        <f t="shared" si="84"/>
        <v>4.001887591217379E-2</v>
      </c>
      <c r="DQ129" s="1417">
        <f t="shared" si="85"/>
        <v>3.6985735580578716E-2</v>
      </c>
      <c r="DR129" s="1419">
        <f t="shared" si="86"/>
        <v>3.4632743464892535E-2</v>
      </c>
    </row>
    <row r="130" spans="4:122">
      <c r="E130" s="742" t="s">
        <v>45</v>
      </c>
      <c r="F130" s="722" t="str">
        <f>+F129</f>
        <v>Water</v>
      </c>
      <c r="G130" s="723" t="str">
        <f>+G129</f>
        <v>Fixed tariff group - 2 -50mm</v>
      </c>
      <c r="H130" s="723">
        <f>+H129</f>
        <v>0</v>
      </c>
      <c r="I130" s="724" t="str">
        <f>+I129</f>
        <v>Fixed</v>
      </c>
      <c r="J130" s="782" t="s">
        <v>323</v>
      </c>
      <c r="K130" s="1540"/>
      <c r="L130" s="1541"/>
      <c r="M130" s="1541"/>
      <c r="N130" s="1542"/>
      <c r="O130" s="2031">
        <v>61</v>
      </c>
      <c r="P130" s="1543">
        <v>60</v>
      </c>
      <c r="Q130" s="1543">
        <v>61</v>
      </c>
      <c r="R130" s="1543">
        <v>63</v>
      </c>
      <c r="S130" s="1543">
        <v>62</v>
      </c>
      <c r="T130" s="1543">
        <v>62</v>
      </c>
      <c r="U130" s="1543">
        <v>60</v>
      </c>
      <c r="V130" s="1543">
        <v>61</v>
      </c>
      <c r="W130" s="1543">
        <v>61</v>
      </c>
      <c r="X130" s="1544">
        <v>62</v>
      </c>
      <c r="Y130" s="1543">
        <v>62</v>
      </c>
      <c r="Z130" s="1543">
        <v>62</v>
      </c>
      <c r="AA130" s="1543">
        <v>63</v>
      </c>
      <c r="AB130" s="1543">
        <v>63</v>
      </c>
      <c r="AC130" s="1544">
        <v>63</v>
      </c>
      <c r="AD130" s="1543">
        <v>64</v>
      </c>
      <c r="AE130" s="1543">
        <v>64</v>
      </c>
      <c r="AF130" s="1543">
        <v>64</v>
      </c>
      <c r="AG130" s="788">
        <v>65</v>
      </c>
      <c r="AH130" s="697"/>
      <c r="AI130" s="707"/>
      <c r="AJ130" s="709">
        <f t="shared" si="90"/>
        <v>62</v>
      </c>
      <c r="AK130" s="710">
        <f t="shared" si="91"/>
        <v>62</v>
      </c>
      <c r="AL130" s="710">
        <f t="shared" si="92"/>
        <v>62</v>
      </c>
      <c r="AM130" s="710">
        <f t="shared" si="93"/>
        <v>63</v>
      </c>
      <c r="AN130" s="710">
        <f t="shared" si="94"/>
        <v>63</v>
      </c>
      <c r="AO130" s="711">
        <f t="shared" si="95"/>
        <v>63</v>
      </c>
      <c r="AP130" s="707">
        <f t="shared" si="96"/>
        <v>64</v>
      </c>
      <c r="AQ130" s="707">
        <f t="shared" si="97"/>
        <v>64</v>
      </c>
      <c r="AR130" s="707">
        <f t="shared" si="98"/>
        <v>64</v>
      </c>
      <c r="AS130" s="712">
        <f t="shared" si="99"/>
        <v>65</v>
      </c>
      <c r="AV130" s="1559"/>
      <c r="AW130" s="1392" t="str">
        <f t="shared" ref="AW130:AX193" si="191">E130</f>
        <v>Qty</v>
      </c>
      <c r="AX130" s="1393" t="str">
        <f t="shared" si="191"/>
        <v>Water</v>
      </c>
      <c r="AY130" s="1394" t="str">
        <f t="shared" ref="AY130:AY193" si="192">I130</f>
        <v>Fixed</v>
      </c>
      <c r="AZ130" s="1395">
        <f t="shared" ref="AZ130:BB145" si="193">IFERROR(P130/O130-1,"-")</f>
        <v>-1.6393442622950838E-2</v>
      </c>
      <c r="BA130" s="1395">
        <f t="shared" si="193"/>
        <v>1.6666666666666607E-2</v>
      </c>
      <c r="BB130" s="1395">
        <f t="shared" si="193"/>
        <v>3.2786885245901676E-2</v>
      </c>
      <c r="BC130" s="1395">
        <f t="shared" ref="BC130:BC193" si="194">IFERROR(S130/R130-1,"-")</f>
        <v>-1.5873015873015928E-2</v>
      </c>
      <c r="BD130" s="1395">
        <f t="shared" ref="BD130:BD193" si="195">IFERROR(T130/S130-1,"-")</f>
        <v>0</v>
      </c>
      <c r="BE130" s="1395">
        <f t="shared" ref="BE130:BE193" si="196">IFERROR(U130/T130-1,"-")</f>
        <v>-3.2258064516129004E-2</v>
      </c>
      <c r="BF130" s="1395">
        <f t="shared" ref="BF130:BF193" si="197">IFERROR(V130/U130-1,"-")</f>
        <v>1.6666666666666607E-2</v>
      </c>
      <c r="BG130" s="1396">
        <f t="shared" ref="BG130:BG193" si="198">IFERROR(W130/V130-1,"-")</f>
        <v>0</v>
      </c>
      <c r="BH130" s="1395">
        <f t="shared" ref="BH130:BH193" si="199">IFERROR(X130/W130-1,"-")</f>
        <v>1.6393442622950838E-2</v>
      </c>
      <c r="BI130" s="1395">
        <f t="shared" ref="BI130:BI193" si="200">IFERROR(Y130/X130-1,"-")</f>
        <v>0</v>
      </c>
      <c r="BJ130" s="1395">
        <f t="shared" ref="BJ130:BJ193" si="201">IFERROR(Z130/Y130-1,"-")</f>
        <v>0</v>
      </c>
      <c r="BK130" s="1395">
        <f t="shared" ref="BK130:BK193" si="202">IFERROR(AA130/Z130-1,"-")</f>
        <v>1.6129032258064502E-2</v>
      </c>
      <c r="BL130" s="1397">
        <f t="shared" ref="BL130:BL193" si="203">IFERROR(AB130/AA130-1,"-")</f>
        <v>0</v>
      </c>
      <c r="BM130" s="1395">
        <f t="shared" ref="BM130:BM193" si="204">IFERROR(AC130/AB130-1,"-")</f>
        <v>0</v>
      </c>
      <c r="BN130" s="1395">
        <f t="shared" ref="BN130:BN193" si="205">IFERROR(AD130/AC130-1,"-")</f>
        <v>1.5873015873015817E-2</v>
      </c>
      <c r="BO130" s="1395">
        <f t="shared" ref="BO130:BO193" si="206">IFERROR(AE130/AD130-1,"-")</f>
        <v>0</v>
      </c>
      <c r="BP130" s="1395">
        <f t="shared" ref="BP130:BP193" si="207">IFERROR(AF130/AE130-1,"-")</f>
        <v>0</v>
      </c>
      <c r="BQ130" s="1398">
        <f t="shared" ref="BQ130:BQ193" si="208">IFERROR(AG130/AF130-1,"-")</f>
        <v>1.5625E-2</v>
      </c>
      <c r="BR130" s="1378"/>
      <c r="BS130" s="1329"/>
      <c r="BT130" s="1399"/>
      <c r="BU130" s="1331"/>
      <c r="BV130" s="1400"/>
      <c r="BW130" s="1378"/>
      <c r="BX130" s="1392" t="str">
        <f t="shared" ref="BX130:BX193" si="209">AW130</f>
        <v>Qty</v>
      </c>
      <c r="BY130" s="1393" t="str">
        <f t="shared" ref="BY130:BY193" si="210">AX130</f>
        <v>Water</v>
      </c>
      <c r="BZ130" s="1394" t="str">
        <f t="shared" ref="BZ130:BZ193" si="211">AY130</f>
        <v>Fixed</v>
      </c>
      <c r="CA130" s="1401">
        <f t="shared" ref="CA130:CR130" si="212">IFERROR((P130/O130-1)*(O131/O$13),"-")</f>
        <v>-2.3618561222839021E-5</v>
      </c>
      <c r="CB130" s="1395">
        <f t="shared" si="212"/>
        <v>2.3124812518849427E-5</v>
      </c>
      <c r="CC130" s="1395">
        <f t="shared" si="212"/>
        <v>4.6465287349411833E-5</v>
      </c>
      <c r="CD130" s="1395">
        <f t="shared" si="212"/>
        <v>-2.3156191309845739E-5</v>
      </c>
      <c r="CE130" s="1395">
        <f t="shared" si="212"/>
        <v>0</v>
      </c>
      <c r="CF130" s="1395">
        <f t="shared" si="212"/>
        <v>-4.4534967192637724E-5</v>
      </c>
      <c r="CG130" s="1395">
        <f t="shared" si="212"/>
        <v>2.1553334327486026E-5</v>
      </c>
      <c r="CH130" s="1397">
        <f t="shared" si="212"/>
        <v>0</v>
      </c>
      <c r="CI130" s="1395">
        <f t="shared" si="212"/>
        <v>2.1184805270984466E-5</v>
      </c>
      <c r="CJ130" s="1395">
        <f t="shared" si="212"/>
        <v>0</v>
      </c>
      <c r="CK130" s="1395">
        <f t="shared" si="212"/>
        <v>0</v>
      </c>
      <c r="CL130" s="1395">
        <f t="shared" si="212"/>
        <v>2.0652463819531828E-5</v>
      </c>
      <c r="CM130" s="1397">
        <f t="shared" si="212"/>
        <v>0</v>
      </c>
      <c r="CN130" s="1395">
        <f t="shared" si="212"/>
        <v>0</v>
      </c>
      <c r="CO130" s="1395">
        <f t="shared" si="212"/>
        <v>2.0191459700330462E-5</v>
      </c>
      <c r="CP130" s="1395">
        <f t="shared" si="212"/>
        <v>0</v>
      </c>
      <c r="CQ130" s="1395">
        <f t="shared" si="212"/>
        <v>0</v>
      </c>
      <c r="CR130" s="1398">
        <f t="shared" si="212"/>
        <v>1.9491173562869955E-5</v>
      </c>
      <c r="CS130" s="1378"/>
      <c r="CT130" s="1392" t="str">
        <f t="shared" si="188"/>
        <v>Qty</v>
      </c>
      <c r="CU130" s="1393" t="str">
        <f t="shared" si="189"/>
        <v>Water</v>
      </c>
      <c r="CV130" s="1393" t="str">
        <f t="shared" si="190"/>
        <v>Fixed</v>
      </c>
      <c r="CW130" s="1401">
        <f t="shared" ref="CW130:CW193" si="213">IFERROR((Y130/$W130)^(1/CW$61)-1,"-")</f>
        <v>8.1634007555277943E-3</v>
      </c>
      <c r="CX130" s="1395">
        <f t="shared" ref="CX130:CX193" si="214">IFERROR((Z130/$W130)^(1/CX$61)-1,"-")</f>
        <v>5.4348893402160758E-3</v>
      </c>
      <c r="CY130" s="1395">
        <f t="shared" ref="CY130:CY193" si="215">IFERROR((AA130/$W130)^(1/CY$61)-1,"-")</f>
        <v>8.0978270194005386E-3</v>
      </c>
      <c r="CZ130" s="1398">
        <f t="shared" ref="CZ130:CZ193" si="216">IFERROR((AB130/$W130)^(1/CZ$61)-1,"-")</f>
        <v>6.4730325484636531E-3</v>
      </c>
      <c r="DA130" s="1395">
        <f t="shared" ref="DA130:DA193" si="217">IFERROR((AC130/$W130)^(1/DA$61)-1,"-")</f>
        <v>5.3912913567866205E-3</v>
      </c>
      <c r="DB130" s="1395">
        <f t="shared" ref="DB130:DB193" si="218">IFERROR((AD130/$W130)^(1/DB$61)-1,"-")</f>
        <v>6.882032980652264E-3</v>
      </c>
      <c r="DC130" s="1395">
        <f t="shared" ref="DC130:DC193" si="219">IFERROR((AE130/$W130)^(1/DC$61)-1,"-")</f>
        <v>6.0191953882025029E-3</v>
      </c>
      <c r="DD130" s="1395">
        <f t="shared" ref="DD130:DD193" si="220">IFERROR((AF130/$W130)^(1/DD$61)-1,"-")</f>
        <v>5.3486107056377463E-3</v>
      </c>
      <c r="DE130" s="1398">
        <f t="shared" ref="DE130:DE193" si="221">IFERROR((AG130/$W130)^(1/DE$61)-1,"-")</f>
        <v>6.3715531053334384E-3</v>
      </c>
      <c r="DF130" s="1378"/>
      <c r="DG130" s="1392" t="str">
        <f t="shared" ref="DG130:DI193" si="222">CT130</f>
        <v>Qty</v>
      </c>
      <c r="DH130" s="1393" t="str">
        <f t="shared" si="222"/>
        <v>Water</v>
      </c>
      <c r="DI130" s="1393" t="str">
        <f t="shared" si="222"/>
        <v>Fixed</v>
      </c>
      <c r="DJ130" s="1393"/>
      <c r="DK130" s="1401">
        <f t="shared" ref="DK130:DK193" si="223">IFERROR((Z130/$X130)^(1/DK$61)-1,"-")</f>
        <v>0</v>
      </c>
      <c r="DL130" s="1395">
        <f t="shared" ref="DL130:DL193" si="224">IFERROR((AA130/$X130)^(1/DL$61)-1,"-")</f>
        <v>5.347695263866914E-3</v>
      </c>
      <c r="DM130" s="1395">
        <f t="shared" ref="DM130:DM193" si="225">IFERROR((AB130/$X130)^(1/DM$61)-1,"-")</f>
        <v>4.0080963559858684E-3</v>
      </c>
      <c r="DN130" s="1397">
        <f t="shared" ref="DN130:DN193" si="226">IFERROR((AC130/$X130)^(1/DN$61)-1,"-")</f>
        <v>3.2051939538073615E-3</v>
      </c>
      <c r="DO130" s="1395">
        <f t="shared" ref="DO130:DO193" si="227">IFERROR((AD130/$X130)^(1/DO$61)-1,"-")</f>
        <v>5.3054741647997616E-3</v>
      </c>
      <c r="DP130" s="1395">
        <f t="shared" ref="DP130:DP193" si="228">IFERROR((AE130/$X130)^(1/DP$61)-1,"-")</f>
        <v>4.5458294069933292E-3</v>
      </c>
      <c r="DQ130" s="1395">
        <f t="shared" ref="DQ130:DQ193" si="229">IFERROR((AF130/$X130)^(1/DQ$61)-1,"-")</f>
        <v>3.9764725595361483E-3</v>
      </c>
      <c r="DR130" s="1398">
        <f t="shared" ref="DR130:DR193" si="230">IFERROR((AG130/$X130)^(1/DR$61)-1,"-")</f>
        <v>5.2641276251303992E-3</v>
      </c>
    </row>
    <row r="131" spans="4:122" ht="12.75" thickBot="1">
      <c r="E131" s="743" t="s">
        <v>46</v>
      </c>
      <c r="F131" s="732" t="str">
        <f>+F129</f>
        <v>Water</v>
      </c>
      <c r="G131" s="733" t="str">
        <f>+G129</f>
        <v>Fixed tariff group - 2 -50mm</v>
      </c>
      <c r="H131" s="733">
        <f>+H129</f>
        <v>0</v>
      </c>
      <c r="I131" s="734" t="str">
        <f>+I129</f>
        <v>Fixed</v>
      </c>
      <c r="J131" s="735" t="s">
        <v>344</v>
      </c>
      <c r="K131" s="736">
        <f t="shared" ref="K131:AG131" si="231">K129*K130/10^6</f>
        <v>0</v>
      </c>
      <c r="L131" s="737">
        <f t="shared" si="231"/>
        <v>0</v>
      </c>
      <c r="M131" s="737">
        <f t="shared" si="231"/>
        <v>0</v>
      </c>
      <c r="N131" s="738">
        <f t="shared" si="231"/>
        <v>0</v>
      </c>
      <c r="O131" s="1923">
        <f t="shared" si="231"/>
        <v>0.10863523398190045</v>
      </c>
      <c r="P131" s="737">
        <f t="shared" si="231"/>
        <v>0.1073348568383659</v>
      </c>
      <c r="Q131" s="737">
        <f t="shared" si="231"/>
        <v>0.10768919042944786</v>
      </c>
      <c r="R131" s="737">
        <f t="shared" si="231"/>
        <v>0.10883533554030875</v>
      </c>
      <c r="S131" s="737">
        <f t="shared" si="231"/>
        <v>0.10460459048346055</v>
      </c>
      <c r="T131" s="1531">
        <f t="shared" si="231"/>
        <v>0.10304384237288133</v>
      </c>
      <c r="U131" s="737">
        <f t="shared" si="231"/>
        <v>0.1014071375565611</v>
      </c>
      <c r="V131" s="737">
        <f t="shared" si="231"/>
        <v>0.10328286255458516</v>
      </c>
      <c r="W131" s="737">
        <f t="shared" si="231"/>
        <v>0.10425144</v>
      </c>
      <c r="X131" s="738">
        <f t="shared" si="231"/>
        <v>0.11221986875237869</v>
      </c>
      <c r="Y131" s="737">
        <f t="shared" si="231"/>
        <v>0.11881813045152421</v>
      </c>
      <c r="Z131" s="737">
        <f t="shared" si="231"/>
        <v>0.12577229315697444</v>
      </c>
      <c r="AA131" s="737">
        <f t="shared" si="231"/>
        <v>0.13524785069335263</v>
      </c>
      <c r="AB131" s="737">
        <f t="shared" si="231"/>
        <v>0.14309552224349592</v>
      </c>
      <c r="AC131" s="738">
        <f t="shared" si="231"/>
        <v>0.14538505059939183</v>
      </c>
      <c r="AD131" s="737">
        <f t="shared" si="231"/>
        <v>0.15005583381229928</v>
      </c>
      <c r="AE131" s="737">
        <f t="shared" si="231"/>
        <v>0.15245672715329606</v>
      </c>
      <c r="AF131" s="737">
        <f t="shared" si="231"/>
        <v>0.1548960347877488</v>
      </c>
      <c r="AG131" s="739">
        <f t="shared" si="231"/>
        <v>0.15983334589660828</v>
      </c>
      <c r="AH131" s="697"/>
      <c r="AI131" s="707"/>
      <c r="AJ131" s="709">
        <f t="shared" si="90"/>
        <v>0.11221986875237869</v>
      </c>
      <c r="AK131" s="710">
        <f t="shared" si="91"/>
        <v>0.11881813045152421</v>
      </c>
      <c r="AL131" s="710">
        <f t="shared" si="92"/>
        <v>0.12577229315697444</v>
      </c>
      <c r="AM131" s="710">
        <f t="shared" si="93"/>
        <v>0.13524785069335263</v>
      </c>
      <c r="AN131" s="710">
        <f t="shared" si="94"/>
        <v>0.14309552224349592</v>
      </c>
      <c r="AO131" s="711">
        <f t="shared" si="95"/>
        <v>0.14538505059939183</v>
      </c>
      <c r="AP131" s="707">
        <f t="shared" si="96"/>
        <v>0.15005583381229928</v>
      </c>
      <c r="AQ131" s="707">
        <f t="shared" si="97"/>
        <v>0.15245672715329606</v>
      </c>
      <c r="AR131" s="707">
        <f t="shared" si="98"/>
        <v>0.1548960347877488</v>
      </c>
      <c r="AS131" s="712">
        <f t="shared" si="99"/>
        <v>0.15983334589660828</v>
      </c>
      <c r="AV131" s="1559"/>
      <c r="AW131" s="1428" t="str">
        <f t="shared" si="191"/>
        <v>Rev</v>
      </c>
      <c r="AX131" s="1429" t="str">
        <f t="shared" si="191"/>
        <v>Water</v>
      </c>
      <c r="AY131" s="1430" t="str">
        <f t="shared" si="192"/>
        <v>Fixed</v>
      </c>
      <c r="AZ131" s="1431">
        <f t="shared" si="193"/>
        <v>-1.1970123282021072E-2</v>
      </c>
      <c r="BA131" s="1431">
        <f t="shared" si="193"/>
        <v>3.3011977797254843E-3</v>
      </c>
      <c r="BB131" s="1431">
        <f t="shared" si="193"/>
        <v>1.0643084104265732E-2</v>
      </c>
      <c r="BC131" s="1431">
        <f t="shared" si="194"/>
        <v>-3.8872899466380395E-2</v>
      </c>
      <c r="BD131" s="1431">
        <f t="shared" si="195"/>
        <v>-1.4920455243558228E-2</v>
      </c>
      <c r="BE131" s="1431">
        <f t="shared" si="196"/>
        <v>-1.5883577112716263E-2</v>
      </c>
      <c r="BF131" s="1431">
        <f t="shared" si="197"/>
        <v>1.8496972138453804E-2</v>
      </c>
      <c r="BG131" s="1432">
        <f t="shared" si="198"/>
        <v>9.3779105406082142E-3</v>
      </c>
      <c r="BH131" s="1431">
        <f t="shared" si="199"/>
        <v>7.643471162008586E-2</v>
      </c>
      <c r="BI131" s="1431">
        <f t="shared" si="200"/>
        <v>5.8797624453696962E-2</v>
      </c>
      <c r="BJ131" s="1431">
        <f t="shared" si="201"/>
        <v>5.8527790994720386E-2</v>
      </c>
      <c r="BK131" s="1431">
        <f t="shared" si="202"/>
        <v>7.5338989999585104E-2</v>
      </c>
      <c r="BL131" s="1433">
        <f t="shared" si="203"/>
        <v>5.8024371625219562E-2</v>
      </c>
      <c r="BM131" s="1431">
        <f t="shared" si="204"/>
        <v>1.5999999999999792E-2</v>
      </c>
      <c r="BN131" s="1431">
        <f t="shared" si="205"/>
        <v>3.2126984126984226E-2</v>
      </c>
      <c r="BO131" s="1431">
        <f t="shared" si="206"/>
        <v>1.5999999999999792E-2</v>
      </c>
      <c r="BP131" s="1431">
        <f t="shared" si="207"/>
        <v>1.6000000000000014E-2</v>
      </c>
      <c r="BQ131" s="1434">
        <f t="shared" si="208"/>
        <v>3.1874999999999876E-2</v>
      </c>
      <c r="BR131" s="1378"/>
      <c r="BS131" s="1407"/>
      <c r="BT131" s="1408"/>
      <c r="BU131" s="1409"/>
      <c r="BV131" s="1410"/>
      <c r="BW131" s="1378"/>
      <c r="BX131" s="1428" t="str">
        <f t="shared" si="209"/>
        <v>Rev</v>
      </c>
      <c r="BY131" s="1429" t="str">
        <f t="shared" si="210"/>
        <v>Water</v>
      </c>
      <c r="BZ131" s="1430" t="str">
        <f t="shared" si="211"/>
        <v>Fixed</v>
      </c>
      <c r="CA131" s="1435">
        <f t="shared" ref="CA131:CR131" si="232">IFERROR((P131/O131-1)*(O131/O$13),"-")</f>
        <v>-1.7245742464462055E-5</v>
      </c>
      <c r="CB131" s="1431">
        <f t="shared" si="232"/>
        <v>4.5803747846276457E-6</v>
      </c>
      <c r="CC131" s="1431">
        <f t="shared" si="232"/>
        <v>1.5083285816254256E-5</v>
      </c>
      <c r="CD131" s="1431">
        <f t="shared" si="232"/>
        <v>-5.6709342699149801E-5</v>
      </c>
      <c r="CE131" s="1431">
        <f t="shared" si="232"/>
        <v>-2.1652870496378253E-5</v>
      </c>
      <c r="CF131" s="1431">
        <f t="shared" si="232"/>
        <v>-2.1928612154113076E-5</v>
      </c>
      <c r="CG131" s="1431">
        <f t="shared" si="232"/>
        <v>2.3920285472777427E-5</v>
      </c>
      <c r="CH131" s="1433">
        <f t="shared" si="232"/>
        <v>1.1790994147470508E-5</v>
      </c>
      <c r="CI131" s="1431">
        <f t="shared" si="232"/>
        <v>9.8774523378537612E-5</v>
      </c>
      <c r="CJ131" s="1431">
        <f t="shared" si="232"/>
        <v>7.6031884610078769E-5</v>
      </c>
      <c r="CK131" s="1431">
        <f t="shared" si="232"/>
        <v>7.5322811212055681E-5</v>
      </c>
      <c r="CL131" s="1431">
        <f t="shared" si="232"/>
        <v>9.6468017440323178E-5</v>
      </c>
      <c r="CM131" s="1433">
        <f t="shared" si="232"/>
        <v>7.5079263193287332E-5</v>
      </c>
      <c r="CN131" s="1431">
        <f t="shared" si="232"/>
        <v>2.0586810130315336E-5</v>
      </c>
      <c r="CO131" s="1431">
        <f t="shared" si="232"/>
        <v>4.0867514433469131E-5</v>
      </c>
      <c r="CP131" s="1431">
        <f t="shared" si="232"/>
        <v>2.0435970754502987E-5</v>
      </c>
      <c r="CQ131" s="1431">
        <f t="shared" si="232"/>
        <v>2.0201001751600697E-5</v>
      </c>
      <c r="CR131" s="1434">
        <f t="shared" si="232"/>
        <v>3.9761994068254552E-5</v>
      </c>
      <c r="CS131" s="1378"/>
      <c r="CT131" s="1428" t="str">
        <f t="shared" si="188"/>
        <v>Rev</v>
      </c>
      <c r="CU131" s="1429" t="str">
        <f t="shared" si="189"/>
        <v>Water</v>
      </c>
      <c r="CV131" s="1429" t="str">
        <f t="shared" si="190"/>
        <v>Fixed</v>
      </c>
      <c r="CW131" s="1435">
        <f t="shared" si="213"/>
        <v>6.757974669007627E-2</v>
      </c>
      <c r="CX131" s="1431">
        <f t="shared" si="214"/>
        <v>6.4553859827434001E-2</v>
      </c>
      <c r="CY131" s="1431">
        <f t="shared" si="215"/>
        <v>6.7239958847462367E-2</v>
      </c>
      <c r="CZ131" s="1434">
        <f t="shared" si="216"/>
        <v>6.5390442112587266E-2</v>
      </c>
      <c r="DA131" s="1431">
        <f t="shared" si="217"/>
        <v>5.6995037267468129E-2</v>
      </c>
      <c r="DB131" s="1431">
        <f t="shared" si="218"/>
        <v>5.3406106765559125E-2</v>
      </c>
      <c r="DC131" s="1431">
        <f t="shared" si="219"/>
        <v>4.8656048725586043E-2</v>
      </c>
      <c r="DD131" s="1431">
        <f t="shared" si="220"/>
        <v>4.4976372385339358E-2</v>
      </c>
      <c r="DE131" s="1434">
        <f t="shared" si="221"/>
        <v>4.3658784295703024E-2</v>
      </c>
      <c r="DF131" s="1378"/>
      <c r="DG131" s="1428" t="str">
        <f t="shared" si="222"/>
        <v>Rev</v>
      </c>
      <c r="DH131" s="1429" t="str">
        <f t="shared" si="222"/>
        <v>Water</v>
      </c>
      <c r="DI131" s="1429" t="str">
        <f t="shared" si="222"/>
        <v>Fixed</v>
      </c>
      <c r="DJ131" s="1429"/>
      <c r="DK131" s="1435">
        <f t="shared" si="223"/>
        <v>5.8662699127266515E-2</v>
      </c>
      <c r="DL131" s="1431">
        <f t="shared" si="224"/>
        <v>6.4192527899414653E-2</v>
      </c>
      <c r="DM131" s="1431">
        <f t="shared" si="225"/>
        <v>6.2647125779035973E-2</v>
      </c>
      <c r="DN131" s="1433">
        <f t="shared" si="226"/>
        <v>5.3149435009733015E-2</v>
      </c>
      <c r="DO131" s="1431">
        <f t="shared" si="227"/>
        <v>4.9616190946777605E-2</v>
      </c>
      <c r="DP131" s="1431">
        <f t="shared" si="228"/>
        <v>4.4746624302123506E-2</v>
      </c>
      <c r="DQ131" s="1431">
        <f t="shared" si="229"/>
        <v>4.1109280902745349E-2</v>
      </c>
      <c r="DR131" s="1434">
        <f t="shared" si="230"/>
        <v>4.0079182271630431E-2</v>
      </c>
    </row>
    <row r="132" spans="4:122">
      <c r="D132" s="70">
        <f>D129+1</f>
        <v>23</v>
      </c>
      <c r="E132" s="713" t="s">
        <v>44</v>
      </c>
      <c r="F132" s="1532" t="s">
        <v>20</v>
      </c>
      <c r="G132" s="1532" t="s">
        <v>885</v>
      </c>
      <c r="H132" s="1532"/>
      <c r="I132" s="781" t="s">
        <v>319</v>
      </c>
      <c r="J132" s="781" t="s">
        <v>345</v>
      </c>
      <c r="K132" s="1533"/>
      <c r="L132" s="1534"/>
      <c r="M132" s="1534"/>
      <c r="N132" s="1535"/>
      <c r="O132" s="2071">
        <v>4562.0669864253396</v>
      </c>
      <c r="P132" s="1547">
        <v>4582.5840053285965</v>
      </c>
      <c r="Q132" s="1547">
        <v>4522.3396932515334</v>
      </c>
      <c r="R132" s="1547">
        <v>4425.3770068610629</v>
      </c>
      <c r="S132" s="1547">
        <v>4321.9603053435112</v>
      </c>
      <c r="T132" s="1547">
        <v>4257.4866101694915</v>
      </c>
      <c r="U132" s="1547">
        <v>4329.5490950226249</v>
      </c>
      <c r="V132" s="1547">
        <v>4337.338624454148</v>
      </c>
      <c r="W132" s="1547">
        <v>4378</v>
      </c>
      <c r="X132" s="1550">
        <v>4619.1161731028824</v>
      </c>
      <c r="Y132" s="1551">
        <v>4873.0184591205525</v>
      </c>
      <c r="Z132" s="1551">
        <v>5140.4037162364011</v>
      </c>
      <c r="AA132" s="1551">
        <v>5421.9800865773623</v>
      </c>
      <c r="AB132" s="1551">
        <v>5718.4937139598514</v>
      </c>
      <c r="AC132" s="1550">
        <v>5809.989613383209</v>
      </c>
      <c r="AD132" s="1551">
        <v>5902.9494471973403</v>
      </c>
      <c r="AE132" s="1551">
        <v>5997.3966383524976</v>
      </c>
      <c r="AF132" s="1551">
        <v>6093.3549845661373</v>
      </c>
      <c r="AG132" s="1552">
        <v>6190.8486643191954</v>
      </c>
      <c r="AH132" s="697"/>
      <c r="AI132" s="707"/>
      <c r="AJ132" s="709">
        <f t="shared" si="90"/>
        <v>4619.1161731028824</v>
      </c>
      <c r="AK132" s="710">
        <f t="shared" si="91"/>
        <v>4873.0184591205525</v>
      </c>
      <c r="AL132" s="710">
        <f t="shared" si="92"/>
        <v>5140.4037162364011</v>
      </c>
      <c r="AM132" s="710">
        <f t="shared" si="93"/>
        <v>5421.9800865773623</v>
      </c>
      <c r="AN132" s="710">
        <f t="shared" si="94"/>
        <v>5718.4937139598514</v>
      </c>
      <c r="AO132" s="711">
        <f t="shared" si="95"/>
        <v>5809.989613383209</v>
      </c>
      <c r="AP132" s="707">
        <f t="shared" si="96"/>
        <v>5902.9494471973403</v>
      </c>
      <c r="AQ132" s="707">
        <f t="shared" si="97"/>
        <v>5997.3966383524976</v>
      </c>
      <c r="AR132" s="707">
        <f t="shared" si="98"/>
        <v>6093.3549845661373</v>
      </c>
      <c r="AS132" s="712">
        <f t="shared" si="99"/>
        <v>6190.8486643191954</v>
      </c>
      <c r="AU132" s="1369"/>
      <c r="AV132" s="1559"/>
      <c r="AW132" s="1412" t="str">
        <f t="shared" si="191"/>
        <v>Price</v>
      </c>
      <c r="AX132" s="1413" t="str">
        <f t="shared" si="191"/>
        <v>Water</v>
      </c>
      <c r="AY132" s="1414" t="str">
        <f t="shared" si="192"/>
        <v>Fixed</v>
      </c>
      <c r="AZ132" s="1415">
        <f t="shared" si="193"/>
        <v>4.4973076818701774E-3</v>
      </c>
      <c r="BA132" s="1415">
        <f t="shared" si="193"/>
        <v>-1.3146362839614345E-2</v>
      </c>
      <c r="BB132" s="1415">
        <f t="shared" si="193"/>
        <v>-2.1440823327615877E-2</v>
      </c>
      <c r="BC132" s="1415">
        <f t="shared" si="194"/>
        <v>-2.3369014969168878E-2</v>
      </c>
      <c r="BD132" s="1415">
        <f t="shared" si="195"/>
        <v>-1.4917697206590863E-2</v>
      </c>
      <c r="BE132" s="1415">
        <f t="shared" si="196"/>
        <v>1.6926062593128011E-2</v>
      </c>
      <c r="BF132" s="1415">
        <f t="shared" si="197"/>
        <v>1.7991548913207644E-3</v>
      </c>
      <c r="BG132" s="1416">
        <f t="shared" si="198"/>
        <v>9.3747293136396959E-3</v>
      </c>
      <c r="BH132" s="1417">
        <f t="shared" si="199"/>
        <v>5.5074502764477451E-2</v>
      </c>
      <c r="BI132" s="1417">
        <f t="shared" si="200"/>
        <v>5.4967720339259563E-2</v>
      </c>
      <c r="BJ132" s="1417">
        <f t="shared" si="201"/>
        <v>5.4870561102718263E-2</v>
      </c>
      <c r="BK132" s="1417">
        <f t="shared" si="202"/>
        <v>5.4777092595194032E-2</v>
      </c>
      <c r="BL132" s="1418">
        <f t="shared" si="203"/>
        <v>5.4687332422436841E-2</v>
      </c>
      <c r="BM132" s="1417">
        <f t="shared" si="204"/>
        <v>1.6000000000000014E-2</v>
      </c>
      <c r="BN132" s="1417">
        <f t="shared" si="205"/>
        <v>1.6000000000000014E-2</v>
      </c>
      <c r="BO132" s="1417">
        <f t="shared" si="206"/>
        <v>1.6000000000000014E-2</v>
      </c>
      <c r="BP132" s="1417">
        <f t="shared" si="207"/>
        <v>1.6000000000000014E-2</v>
      </c>
      <c r="BQ132" s="1419">
        <f t="shared" si="208"/>
        <v>1.6000000000000014E-2</v>
      </c>
      <c r="BR132" s="1378"/>
      <c r="BS132" s="1420"/>
      <c r="BT132" s="1421"/>
      <c r="BU132" s="1422"/>
      <c r="BV132" s="1423"/>
      <c r="BW132" s="1378"/>
      <c r="BX132" s="1412" t="str">
        <f t="shared" si="209"/>
        <v>Price</v>
      </c>
      <c r="BY132" s="1413" t="str">
        <f t="shared" si="210"/>
        <v>Water</v>
      </c>
      <c r="BZ132" s="1414" t="str">
        <f t="shared" si="211"/>
        <v>Fixed</v>
      </c>
      <c r="CA132" s="1424">
        <f t="shared" ref="CA132:CR132" si="233">IFERROR((P132/O132-1)*(O134/O$13),"-")</f>
        <v>5.4419785198980348E-7</v>
      </c>
      <c r="CB132" s="1415">
        <f t="shared" si="233"/>
        <v>-4.6725718627876675E-6</v>
      </c>
      <c r="CC132" s="1415">
        <f t="shared" si="233"/>
        <v>-7.6561819187489748E-6</v>
      </c>
      <c r="CD132" s="1415">
        <f t="shared" si="233"/>
        <v>-8.3172487422963596E-6</v>
      </c>
      <c r="CE132" s="1415">
        <f t="shared" si="233"/>
        <v>-5.3668131169785989E-6</v>
      </c>
      <c r="CF132" s="1415">
        <f t="shared" si="233"/>
        <v>5.7929698701276974E-6</v>
      </c>
      <c r="CG132" s="1415">
        <f t="shared" si="233"/>
        <v>1.9867279894112677E-7</v>
      </c>
      <c r="CH132" s="1425">
        <f t="shared" si="233"/>
        <v>1.4849758582306296E-6</v>
      </c>
      <c r="CI132" s="1417">
        <f t="shared" si="233"/>
        <v>8.9664358497218399E-6</v>
      </c>
      <c r="CJ132" s="1417">
        <f t="shared" si="233"/>
        <v>8.7771614068735684E-6</v>
      </c>
      <c r="CK132" s="1417">
        <f t="shared" si="233"/>
        <v>8.6884115726136488E-6</v>
      </c>
      <c r="CL132" s="1417">
        <f t="shared" si="233"/>
        <v>8.5999522773887968E-6</v>
      </c>
      <c r="CM132" s="1418">
        <f t="shared" si="233"/>
        <v>8.510304436826124E-6</v>
      </c>
      <c r="CN132" s="1417">
        <f t="shared" si="233"/>
        <v>2.4681179915686529E-6</v>
      </c>
      <c r="CO132" s="1417">
        <f t="shared" si="233"/>
        <v>2.4400858551731566E-6</v>
      </c>
      <c r="CP132" s="1417">
        <f t="shared" si="233"/>
        <v>2.4117523298520733E-6</v>
      </c>
      <c r="CQ132" s="1417">
        <f t="shared" si="233"/>
        <v>2.3840224487027562E-6</v>
      </c>
      <c r="CR132" s="1419">
        <f t="shared" si="233"/>
        <v>2.3554580806609734E-6</v>
      </c>
      <c r="CS132" s="1378"/>
      <c r="CT132" s="1412" t="str">
        <f t="shared" si="188"/>
        <v>Price</v>
      </c>
      <c r="CU132" s="1413" t="str">
        <f t="shared" si="189"/>
        <v>Water</v>
      </c>
      <c r="CV132" s="1426" t="str">
        <f t="shared" si="190"/>
        <v>Fixed</v>
      </c>
      <c r="CW132" s="1427">
        <f t="shared" si="213"/>
        <v>5.5021110200889956E-2</v>
      </c>
      <c r="CX132" s="1417">
        <f t="shared" si="214"/>
        <v>5.4970924780975539E-2</v>
      </c>
      <c r="CY132" s="1417">
        <f t="shared" si="215"/>
        <v>5.4922463395432608E-2</v>
      </c>
      <c r="CZ132" s="1419">
        <f t="shared" si="216"/>
        <v>5.4875433007617547E-2</v>
      </c>
      <c r="DA132" s="1417">
        <f t="shared" si="217"/>
        <v>4.8294401601904013E-2</v>
      </c>
      <c r="DB132" s="1417">
        <f t="shared" si="218"/>
        <v>4.3618816760831569E-2</v>
      </c>
      <c r="DC132" s="1417">
        <f t="shared" si="219"/>
        <v>4.0125818637560817E-2</v>
      </c>
      <c r="DD132" s="1417">
        <f t="shared" si="220"/>
        <v>3.7417127050597854E-2</v>
      </c>
      <c r="DE132" s="1419">
        <f t="shared" si="221"/>
        <v>3.5255253517575413E-2</v>
      </c>
      <c r="DF132" s="1378"/>
      <c r="DG132" s="1412" t="str">
        <f t="shared" si="222"/>
        <v>Price</v>
      </c>
      <c r="DH132" s="1413" t="str">
        <f t="shared" si="222"/>
        <v>Water</v>
      </c>
      <c r="DI132" s="1426" t="str">
        <f t="shared" si="222"/>
        <v>Fixed</v>
      </c>
      <c r="DJ132" s="1426"/>
      <c r="DK132" s="1427">
        <f t="shared" si="223"/>
        <v>5.4919139602429556E-2</v>
      </c>
      <c r="DL132" s="1417">
        <f t="shared" si="224"/>
        <v>5.4871788474645689E-2</v>
      </c>
      <c r="DM132" s="1417">
        <f t="shared" si="225"/>
        <v>5.4825671437454648E-2</v>
      </c>
      <c r="DN132" s="1418">
        <f t="shared" si="226"/>
        <v>4.6943618775049378E-2</v>
      </c>
      <c r="DO132" s="1417">
        <f t="shared" si="227"/>
        <v>4.1721665152186782E-2</v>
      </c>
      <c r="DP132" s="1417">
        <f t="shared" si="228"/>
        <v>3.8007652458669883E-2</v>
      </c>
      <c r="DQ132" s="1417">
        <f t="shared" si="229"/>
        <v>3.523083521524506E-2</v>
      </c>
      <c r="DR132" s="1419">
        <f t="shared" si="230"/>
        <v>3.3076225158138683E-2</v>
      </c>
    </row>
    <row r="133" spans="4:122">
      <c r="E133" s="742" t="s">
        <v>45</v>
      </c>
      <c r="F133" s="722" t="str">
        <f>+F132</f>
        <v>Water</v>
      </c>
      <c r="G133" s="723" t="str">
        <f>+G132</f>
        <v>Fixed tariff group - 2 -80mm</v>
      </c>
      <c r="H133" s="723">
        <f>+H132</f>
        <v>0</v>
      </c>
      <c r="I133" s="724" t="str">
        <f>+I132</f>
        <v>Fixed</v>
      </c>
      <c r="J133" s="782" t="s">
        <v>323</v>
      </c>
      <c r="K133" s="1540"/>
      <c r="L133" s="1541"/>
      <c r="M133" s="1541"/>
      <c r="N133" s="1542"/>
      <c r="O133" s="2031">
        <v>2</v>
      </c>
      <c r="P133" s="1543">
        <v>6</v>
      </c>
      <c r="Q133" s="1543">
        <v>6</v>
      </c>
      <c r="R133" s="1543">
        <v>6</v>
      </c>
      <c r="S133" s="1543">
        <v>6</v>
      </c>
      <c r="T133" s="1543">
        <v>6</v>
      </c>
      <c r="U133" s="1543">
        <v>2</v>
      </c>
      <c r="V133" s="1543">
        <v>3</v>
      </c>
      <c r="W133" s="1543">
        <v>3</v>
      </c>
      <c r="X133" s="1544">
        <v>3</v>
      </c>
      <c r="Y133" s="1543">
        <v>3</v>
      </c>
      <c r="Z133" s="1543">
        <v>3</v>
      </c>
      <c r="AA133" s="1543">
        <v>3</v>
      </c>
      <c r="AB133" s="1543">
        <v>3</v>
      </c>
      <c r="AC133" s="1544">
        <v>3</v>
      </c>
      <c r="AD133" s="1543">
        <v>3</v>
      </c>
      <c r="AE133" s="1543">
        <v>3</v>
      </c>
      <c r="AF133" s="1543">
        <v>3</v>
      </c>
      <c r="AG133" s="788">
        <v>3</v>
      </c>
      <c r="AH133" s="697"/>
      <c r="AI133" s="707"/>
      <c r="AJ133" s="709">
        <f t="shared" ref="AJ133:AJ196" si="234">+X133</f>
        <v>3</v>
      </c>
      <c r="AK133" s="710">
        <f t="shared" ref="AK133:AK196" si="235">+Y133</f>
        <v>3</v>
      </c>
      <c r="AL133" s="710">
        <f t="shared" ref="AL133:AL196" si="236">+Z133</f>
        <v>3</v>
      </c>
      <c r="AM133" s="710">
        <f t="shared" ref="AM133:AM196" si="237">+AA133</f>
        <v>3</v>
      </c>
      <c r="AN133" s="710">
        <f t="shared" ref="AN133:AN196" si="238">+AB133</f>
        <v>3</v>
      </c>
      <c r="AO133" s="711">
        <f t="shared" ref="AO133:AO196" si="239">+AC133</f>
        <v>3</v>
      </c>
      <c r="AP133" s="707">
        <f t="shared" ref="AP133:AP196" si="240">+AD133</f>
        <v>3</v>
      </c>
      <c r="AQ133" s="707">
        <f t="shared" ref="AQ133:AQ196" si="241">+AE133</f>
        <v>3</v>
      </c>
      <c r="AR133" s="707">
        <f t="shared" ref="AR133:AR196" si="242">+AF133</f>
        <v>3</v>
      </c>
      <c r="AS133" s="712">
        <f t="shared" ref="AS133:AS196" si="243">+AG133</f>
        <v>3</v>
      </c>
      <c r="AV133" s="1559"/>
      <c r="AW133" s="1392" t="str">
        <f t="shared" si="191"/>
        <v>Qty</v>
      </c>
      <c r="AX133" s="1393" t="str">
        <f t="shared" si="191"/>
        <v>Water</v>
      </c>
      <c r="AY133" s="1394" t="str">
        <f t="shared" si="192"/>
        <v>Fixed</v>
      </c>
      <c r="AZ133" s="1395">
        <f t="shared" si="193"/>
        <v>2</v>
      </c>
      <c r="BA133" s="1395">
        <f t="shared" si="193"/>
        <v>0</v>
      </c>
      <c r="BB133" s="1395">
        <f t="shared" si="193"/>
        <v>0</v>
      </c>
      <c r="BC133" s="1395">
        <f t="shared" si="194"/>
        <v>0</v>
      </c>
      <c r="BD133" s="1395">
        <f t="shared" si="195"/>
        <v>0</v>
      </c>
      <c r="BE133" s="1395">
        <f t="shared" si="196"/>
        <v>-0.66666666666666674</v>
      </c>
      <c r="BF133" s="1395">
        <f t="shared" si="197"/>
        <v>0.5</v>
      </c>
      <c r="BG133" s="1396">
        <f t="shared" si="198"/>
        <v>0</v>
      </c>
      <c r="BH133" s="1395">
        <f t="shared" si="199"/>
        <v>0</v>
      </c>
      <c r="BI133" s="1395">
        <f t="shared" si="200"/>
        <v>0</v>
      </c>
      <c r="BJ133" s="1395">
        <f t="shared" si="201"/>
        <v>0</v>
      </c>
      <c r="BK133" s="1395">
        <f t="shared" si="202"/>
        <v>0</v>
      </c>
      <c r="BL133" s="1397">
        <f t="shared" si="203"/>
        <v>0</v>
      </c>
      <c r="BM133" s="1395">
        <f t="shared" si="204"/>
        <v>0</v>
      </c>
      <c r="BN133" s="1395">
        <f t="shared" si="205"/>
        <v>0</v>
      </c>
      <c r="BO133" s="1395">
        <f t="shared" si="206"/>
        <v>0</v>
      </c>
      <c r="BP133" s="1395">
        <f t="shared" si="207"/>
        <v>0</v>
      </c>
      <c r="BQ133" s="1398">
        <f t="shared" si="208"/>
        <v>0</v>
      </c>
      <c r="BR133" s="1378"/>
      <c r="BS133" s="1329"/>
      <c r="BT133" s="1399"/>
      <c r="BU133" s="1331"/>
      <c r="BV133" s="1400"/>
      <c r="BW133" s="1378"/>
      <c r="BX133" s="1392" t="str">
        <f t="shared" si="209"/>
        <v>Qty</v>
      </c>
      <c r="BY133" s="1393" t="str">
        <f t="shared" si="210"/>
        <v>Water</v>
      </c>
      <c r="BZ133" s="1394" t="str">
        <f t="shared" si="211"/>
        <v>Fixed</v>
      </c>
      <c r="CA133" s="1401">
        <f t="shared" ref="CA133:CR133" si="244">IFERROR((P133/O133-1)*(O134/O$13),"-")</f>
        <v>2.4201050516672773E-4</v>
      </c>
      <c r="CB133" s="1395">
        <f t="shared" si="244"/>
        <v>0</v>
      </c>
      <c r="CC133" s="1395">
        <f t="shared" si="244"/>
        <v>0</v>
      </c>
      <c r="CD133" s="1395">
        <f t="shared" si="244"/>
        <v>0</v>
      </c>
      <c r="CE133" s="1395">
        <f t="shared" si="244"/>
        <v>0</v>
      </c>
      <c r="CF133" s="1395">
        <f t="shared" si="244"/>
        <v>-2.2816764927871831E-4</v>
      </c>
      <c r="CG133" s="1395">
        <f t="shared" si="244"/>
        <v>5.521281127587646E-5</v>
      </c>
      <c r="CH133" s="1397">
        <f t="shared" si="244"/>
        <v>0</v>
      </c>
      <c r="CI133" s="1395">
        <f t="shared" si="244"/>
        <v>0</v>
      </c>
      <c r="CJ133" s="1395">
        <f t="shared" si="244"/>
        <v>0</v>
      </c>
      <c r="CK133" s="1395">
        <f t="shared" si="244"/>
        <v>0</v>
      </c>
      <c r="CL133" s="1395">
        <f t="shared" si="244"/>
        <v>0</v>
      </c>
      <c r="CM133" s="1397">
        <f t="shared" si="244"/>
        <v>0</v>
      </c>
      <c r="CN133" s="1395">
        <f t="shared" si="244"/>
        <v>0</v>
      </c>
      <c r="CO133" s="1395">
        <f t="shared" si="244"/>
        <v>0</v>
      </c>
      <c r="CP133" s="1395">
        <f t="shared" si="244"/>
        <v>0</v>
      </c>
      <c r="CQ133" s="1395">
        <f t="shared" si="244"/>
        <v>0</v>
      </c>
      <c r="CR133" s="1398">
        <f t="shared" si="244"/>
        <v>0</v>
      </c>
      <c r="CS133" s="1378"/>
      <c r="CT133" s="1392" t="str">
        <f t="shared" si="188"/>
        <v>Qty</v>
      </c>
      <c r="CU133" s="1393" t="str">
        <f t="shared" si="189"/>
        <v>Water</v>
      </c>
      <c r="CV133" s="1393" t="str">
        <f t="shared" si="190"/>
        <v>Fixed</v>
      </c>
      <c r="CW133" s="1401">
        <f t="shared" si="213"/>
        <v>0</v>
      </c>
      <c r="CX133" s="1395">
        <f t="shared" si="214"/>
        <v>0</v>
      </c>
      <c r="CY133" s="1395">
        <f t="shared" si="215"/>
        <v>0</v>
      </c>
      <c r="CZ133" s="1398">
        <f t="shared" si="216"/>
        <v>0</v>
      </c>
      <c r="DA133" s="1395">
        <f t="shared" si="217"/>
        <v>0</v>
      </c>
      <c r="DB133" s="1395">
        <f t="shared" si="218"/>
        <v>0</v>
      </c>
      <c r="DC133" s="1395">
        <f t="shared" si="219"/>
        <v>0</v>
      </c>
      <c r="DD133" s="1395">
        <f t="shared" si="220"/>
        <v>0</v>
      </c>
      <c r="DE133" s="1398">
        <f t="shared" si="221"/>
        <v>0</v>
      </c>
      <c r="DF133" s="1378"/>
      <c r="DG133" s="1392" t="str">
        <f t="shared" si="222"/>
        <v>Qty</v>
      </c>
      <c r="DH133" s="1393" t="str">
        <f t="shared" si="222"/>
        <v>Water</v>
      </c>
      <c r="DI133" s="1393" t="str">
        <f t="shared" si="222"/>
        <v>Fixed</v>
      </c>
      <c r="DJ133" s="1393"/>
      <c r="DK133" s="1401">
        <f t="shared" si="223"/>
        <v>0</v>
      </c>
      <c r="DL133" s="1395">
        <f t="shared" si="224"/>
        <v>0</v>
      </c>
      <c r="DM133" s="1395">
        <f t="shared" si="225"/>
        <v>0</v>
      </c>
      <c r="DN133" s="1397">
        <f t="shared" si="226"/>
        <v>0</v>
      </c>
      <c r="DO133" s="1395">
        <f t="shared" si="227"/>
        <v>0</v>
      </c>
      <c r="DP133" s="1395">
        <f t="shared" si="228"/>
        <v>0</v>
      </c>
      <c r="DQ133" s="1395">
        <f t="shared" si="229"/>
        <v>0</v>
      </c>
      <c r="DR133" s="1398">
        <f t="shared" si="230"/>
        <v>0</v>
      </c>
    </row>
    <row r="134" spans="4:122" ht="12.75" thickBot="1">
      <c r="E134" s="743" t="s">
        <v>46</v>
      </c>
      <c r="F134" s="732" t="str">
        <f>+F132</f>
        <v>Water</v>
      </c>
      <c r="G134" s="733" t="str">
        <f>+G132</f>
        <v>Fixed tariff group - 2 -80mm</v>
      </c>
      <c r="H134" s="733">
        <f>+H132</f>
        <v>0</v>
      </c>
      <c r="I134" s="734" t="str">
        <f>+I132</f>
        <v>Fixed</v>
      </c>
      <c r="J134" s="735" t="s">
        <v>344</v>
      </c>
      <c r="K134" s="736">
        <f t="shared" ref="K134:AG134" si="245">K132*K133/10^6</f>
        <v>0</v>
      </c>
      <c r="L134" s="737">
        <f t="shared" si="245"/>
        <v>0</v>
      </c>
      <c r="M134" s="737">
        <f t="shared" si="245"/>
        <v>0</v>
      </c>
      <c r="N134" s="738">
        <f t="shared" si="245"/>
        <v>0</v>
      </c>
      <c r="O134" s="1923">
        <f t="shared" si="245"/>
        <v>9.1241339728506798E-3</v>
      </c>
      <c r="P134" s="737">
        <f t="shared" si="245"/>
        <v>2.7495504031971579E-2</v>
      </c>
      <c r="Q134" s="737">
        <f t="shared" si="245"/>
        <v>2.71340381595092E-2</v>
      </c>
      <c r="R134" s="737">
        <f t="shared" si="245"/>
        <v>2.6552262041166376E-2</v>
      </c>
      <c r="S134" s="737">
        <f t="shared" si="245"/>
        <v>2.5931761832061067E-2</v>
      </c>
      <c r="T134" s="1531">
        <f t="shared" si="245"/>
        <v>2.5544919661016949E-2</v>
      </c>
      <c r="U134" s="737">
        <f t="shared" si="245"/>
        <v>8.6590981900452491E-3</v>
      </c>
      <c r="V134" s="737">
        <f t="shared" si="245"/>
        <v>1.3012015873362445E-2</v>
      </c>
      <c r="W134" s="737">
        <f t="shared" si="245"/>
        <v>1.3134E-2</v>
      </c>
      <c r="X134" s="738">
        <f t="shared" si="245"/>
        <v>1.3857348519308647E-2</v>
      </c>
      <c r="Y134" s="737">
        <f t="shared" si="245"/>
        <v>1.4619055377361658E-2</v>
      </c>
      <c r="Z134" s="737">
        <f t="shared" si="245"/>
        <v>1.5421211148709204E-2</v>
      </c>
      <c r="AA134" s="737">
        <f t="shared" si="245"/>
        <v>1.6265940259732086E-2</v>
      </c>
      <c r="AB134" s="737">
        <f t="shared" si="245"/>
        <v>1.7155481141879553E-2</v>
      </c>
      <c r="AC134" s="738">
        <f t="shared" si="245"/>
        <v>1.7429968840149627E-2</v>
      </c>
      <c r="AD134" s="737">
        <f t="shared" si="245"/>
        <v>1.7708848341592021E-2</v>
      </c>
      <c r="AE134" s="737">
        <f t="shared" si="245"/>
        <v>1.7992189915057494E-2</v>
      </c>
      <c r="AF134" s="737">
        <f t="shared" si="245"/>
        <v>1.8280064953698414E-2</v>
      </c>
      <c r="AG134" s="739">
        <f t="shared" si="245"/>
        <v>1.8572545992957587E-2</v>
      </c>
      <c r="AH134" s="697"/>
      <c r="AI134" s="707"/>
      <c r="AJ134" s="709">
        <f t="shared" si="234"/>
        <v>1.3857348519308647E-2</v>
      </c>
      <c r="AK134" s="710">
        <f t="shared" si="235"/>
        <v>1.4619055377361658E-2</v>
      </c>
      <c r="AL134" s="710">
        <f t="shared" si="236"/>
        <v>1.5421211148709204E-2</v>
      </c>
      <c r="AM134" s="710">
        <f t="shared" si="237"/>
        <v>1.6265940259732086E-2</v>
      </c>
      <c r="AN134" s="710">
        <f t="shared" si="238"/>
        <v>1.7155481141879553E-2</v>
      </c>
      <c r="AO134" s="711">
        <f t="shared" si="239"/>
        <v>1.7429968840149627E-2</v>
      </c>
      <c r="AP134" s="707">
        <f t="shared" si="240"/>
        <v>1.7708848341592021E-2</v>
      </c>
      <c r="AQ134" s="707">
        <f t="shared" si="241"/>
        <v>1.7992189915057494E-2</v>
      </c>
      <c r="AR134" s="707">
        <f t="shared" si="242"/>
        <v>1.8280064953698414E-2</v>
      </c>
      <c r="AS134" s="712">
        <f t="shared" si="243"/>
        <v>1.8572545992957587E-2</v>
      </c>
      <c r="AV134" s="1559"/>
      <c r="AW134" s="1428" t="str">
        <f t="shared" si="191"/>
        <v>Rev</v>
      </c>
      <c r="AX134" s="1429" t="str">
        <f t="shared" si="191"/>
        <v>Water</v>
      </c>
      <c r="AY134" s="1430" t="str">
        <f t="shared" si="192"/>
        <v>Fixed</v>
      </c>
      <c r="AZ134" s="1431">
        <f t="shared" si="193"/>
        <v>2.0134919230456103</v>
      </c>
      <c r="BA134" s="1431">
        <f t="shared" si="193"/>
        <v>-1.3146362839614345E-2</v>
      </c>
      <c r="BB134" s="1431">
        <f t="shared" si="193"/>
        <v>-2.1440823327615877E-2</v>
      </c>
      <c r="BC134" s="1431">
        <f t="shared" si="194"/>
        <v>-2.3369014969168767E-2</v>
      </c>
      <c r="BD134" s="1431">
        <f t="shared" si="195"/>
        <v>-1.4917697206590863E-2</v>
      </c>
      <c r="BE134" s="1431">
        <f t="shared" si="196"/>
        <v>-0.66102464580229059</v>
      </c>
      <c r="BF134" s="1431">
        <f t="shared" si="197"/>
        <v>0.50269873233698137</v>
      </c>
      <c r="BG134" s="1432">
        <f t="shared" si="198"/>
        <v>9.3747293136396959E-3</v>
      </c>
      <c r="BH134" s="1431">
        <f t="shared" si="199"/>
        <v>5.5074502764477451E-2</v>
      </c>
      <c r="BI134" s="1431">
        <f t="shared" si="200"/>
        <v>5.4967720339259563E-2</v>
      </c>
      <c r="BJ134" s="1431">
        <f t="shared" si="201"/>
        <v>5.4870561102718263E-2</v>
      </c>
      <c r="BK134" s="1431">
        <f t="shared" si="202"/>
        <v>5.4777092595194032E-2</v>
      </c>
      <c r="BL134" s="1433">
        <f t="shared" si="203"/>
        <v>5.4687332422436841E-2</v>
      </c>
      <c r="BM134" s="1431">
        <f t="shared" si="204"/>
        <v>1.6000000000000014E-2</v>
      </c>
      <c r="BN134" s="1431">
        <f t="shared" si="205"/>
        <v>1.6000000000000014E-2</v>
      </c>
      <c r="BO134" s="1431">
        <f t="shared" si="206"/>
        <v>1.6000000000000014E-2</v>
      </c>
      <c r="BP134" s="1431">
        <f t="shared" si="207"/>
        <v>1.6000000000000014E-2</v>
      </c>
      <c r="BQ134" s="1434">
        <f t="shared" si="208"/>
        <v>1.6000000000000014E-2</v>
      </c>
      <c r="BR134" s="1378"/>
      <c r="BS134" s="1407"/>
      <c r="BT134" s="1408"/>
      <c r="BU134" s="1409"/>
      <c r="BV134" s="1410"/>
      <c r="BW134" s="1378"/>
      <c r="BX134" s="1428" t="str">
        <f t="shared" si="209"/>
        <v>Rev</v>
      </c>
      <c r="BY134" s="1429" t="str">
        <f t="shared" si="210"/>
        <v>Water</v>
      </c>
      <c r="BZ134" s="1430" t="str">
        <f t="shared" si="211"/>
        <v>Fixed</v>
      </c>
      <c r="CA134" s="1435">
        <f t="shared" ref="CA134:CR134" si="246">IFERROR((P134/O134-1)*(O134/O$13),"-")</f>
        <v>2.436430987226971E-4</v>
      </c>
      <c r="CB134" s="1431">
        <f t="shared" si="246"/>
        <v>-4.6725718627876675E-6</v>
      </c>
      <c r="CC134" s="1431">
        <f t="shared" si="246"/>
        <v>-7.6561819187489748E-6</v>
      </c>
      <c r="CD134" s="1431">
        <f t="shared" si="246"/>
        <v>-8.3172487422963207E-6</v>
      </c>
      <c r="CE134" s="1431">
        <f t="shared" si="246"/>
        <v>-5.3668131169785989E-6</v>
      </c>
      <c r="CF134" s="1431">
        <f t="shared" si="246"/>
        <v>-2.2623665932200904E-4</v>
      </c>
      <c r="CG134" s="1431">
        <f t="shared" si="246"/>
        <v>5.5510820474288176E-5</v>
      </c>
      <c r="CH134" s="1433">
        <f t="shared" si="246"/>
        <v>1.4849758582306296E-6</v>
      </c>
      <c r="CI134" s="1431">
        <f t="shared" si="246"/>
        <v>8.9664358497218399E-6</v>
      </c>
      <c r="CJ134" s="1431">
        <f t="shared" si="246"/>
        <v>8.7771614068735684E-6</v>
      </c>
      <c r="CK134" s="1431">
        <f t="shared" si="246"/>
        <v>8.6884115726136488E-6</v>
      </c>
      <c r="CL134" s="1431">
        <f t="shared" si="246"/>
        <v>8.5999522773887968E-6</v>
      </c>
      <c r="CM134" s="1433">
        <f t="shared" si="246"/>
        <v>8.510304436826124E-6</v>
      </c>
      <c r="CN134" s="1431">
        <f t="shared" si="246"/>
        <v>2.4681179915686529E-6</v>
      </c>
      <c r="CO134" s="1431">
        <f t="shared" si="246"/>
        <v>2.4400858551731566E-6</v>
      </c>
      <c r="CP134" s="1431">
        <f t="shared" si="246"/>
        <v>2.4117523298520733E-6</v>
      </c>
      <c r="CQ134" s="1431">
        <f t="shared" si="246"/>
        <v>2.3840224487027562E-6</v>
      </c>
      <c r="CR134" s="1434">
        <f t="shared" si="246"/>
        <v>2.3554580806609734E-6</v>
      </c>
      <c r="CS134" s="1378"/>
      <c r="CT134" s="1428" t="str">
        <f t="shared" si="188"/>
        <v>Rev</v>
      </c>
      <c r="CU134" s="1429" t="str">
        <f t="shared" si="189"/>
        <v>Water</v>
      </c>
      <c r="CV134" s="1429" t="str">
        <f t="shared" si="190"/>
        <v>Fixed</v>
      </c>
      <c r="CW134" s="1435">
        <f t="shared" si="213"/>
        <v>5.5021110200890178E-2</v>
      </c>
      <c r="CX134" s="1431">
        <f t="shared" si="214"/>
        <v>5.4970924780975539E-2</v>
      </c>
      <c r="CY134" s="1431">
        <f t="shared" si="215"/>
        <v>5.4922463395432608E-2</v>
      </c>
      <c r="CZ134" s="1434">
        <f t="shared" si="216"/>
        <v>5.4875433007617547E-2</v>
      </c>
      <c r="DA134" s="1431">
        <f t="shared" si="217"/>
        <v>4.8294401601904013E-2</v>
      </c>
      <c r="DB134" s="1431">
        <f t="shared" si="218"/>
        <v>4.3618816760831569E-2</v>
      </c>
      <c r="DC134" s="1431">
        <f t="shared" si="219"/>
        <v>4.0125818637560817E-2</v>
      </c>
      <c r="DD134" s="1431">
        <f t="shared" si="220"/>
        <v>3.7417127050597854E-2</v>
      </c>
      <c r="DE134" s="1434">
        <f t="shared" si="221"/>
        <v>3.5255253517575413E-2</v>
      </c>
      <c r="DF134" s="1378"/>
      <c r="DG134" s="1428" t="str">
        <f t="shared" si="222"/>
        <v>Rev</v>
      </c>
      <c r="DH134" s="1429" t="str">
        <f t="shared" si="222"/>
        <v>Water</v>
      </c>
      <c r="DI134" s="1429" t="str">
        <f t="shared" si="222"/>
        <v>Fixed</v>
      </c>
      <c r="DJ134" s="1429"/>
      <c r="DK134" s="1435">
        <f t="shared" si="223"/>
        <v>5.4919139602429556E-2</v>
      </c>
      <c r="DL134" s="1431">
        <f t="shared" si="224"/>
        <v>5.4871788474645689E-2</v>
      </c>
      <c r="DM134" s="1431">
        <f t="shared" si="225"/>
        <v>5.4825671437454648E-2</v>
      </c>
      <c r="DN134" s="1433">
        <f t="shared" si="226"/>
        <v>4.6943618775049378E-2</v>
      </c>
      <c r="DO134" s="1431">
        <f t="shared" si="227"/>
        <v>4.1721665152186782E-2</v>
      </c>
      <c r="DP134" s="1431">
        <f t="shared" si="228"/>
        <v>3.8007652458669883E-2</v>
      </c>
      <c r="DQ134" s="1431">
        <f t="shared" si="229"/>
        <v>3.523083521524506E-2</v>
      </c>
      <c r="DR134" s="1434">
        <f t="shared" si="230"/>
        <v>3.3076225158138683E-2</v>
      </c>
    </row>
    <row r="135" spans="4:122">
      <c r="D135" s="70">
        <f>D132+1</f>
        <v>24</v>
      </c>
      <c r="E135" s="713" t="s">
        <v>44</v>
      </c>
      <c r="F135" s="1532" t="s">
        <v>20</v>
      </c>
      <c r="G135" s="1532" t="s">
        <v>886</v>
      </c>
      <c r="H135" s="1532"/>
      <c r="I135" s="781" t="s">
        <v>319</v>
      </c>
      <c r="J135" s="781" t="s">
        <v>345</v>
      </c>
      <c r="K135" s="1533"/>
      <c r="L135" s="1534"/>
      <c r="M135" s="1534"/>
      <c r="N135" s="1535"/>
      <c r="O135" s="2071">
        <v>7129.2117013574652</v>
      </c>
      <c r="P135" s="1547">
        <v>7161.2926198934274</v>
      </c>
      <c r="Q135" s="1547">
        <v>7067.1476687116556</v>
      </c>
      <c r="R135" s="1547">
        <v>6915.6222041166375</v>
      </c>
      <c r="S135" s="1547">
        <v>6754.029618320611</v>
      </c>
      <c r="T135" s="1547">
        <v>6653.2930508474565</v>
      </c>
      <c r="U135" s="1547">
        <v>6765.8873755656114</v>
      </c>
      <c r="V135" s="1547">
        <v>6778.0740174672483</v>
      </c>
      <c r="W135" s="1547">
        <v>6841.62</v>
      </c>
      <c r="X135" s="1550">
        <v>7212.0593831028827</v>
      </c>
      <c r="Y135" s="1551">
        <v>7602.0911876455521</v>
      </c>
      <c r="Z135" s="1551">
        <v>8012.7527630089635</v>
      </c>
      <c r="AA135" s="1551">
        <v>8445.1274583054874</v>
      </c>
      <c r="AB135" s="1551">
        <v>8900.356322703703</v>
      </c>
      <c r="AC135" s="1550">
        <v>9042.7620238669624</v>
      </c>
      <c r="AD135" s="1551">
        <v>9187.4462162488344</v>
      </c>
      <c r="AE135" s="1551">
        <v>9334.4453557088164</v>
      </c>
      <c r="AF135" s="1551">
        <v>9483.7964814001571</v>
      </c>
      <c r="AG135" s="1552">
        <v>9635.5372251025601</v>
      </c>
      <c r="AH135" s="697"/>
      <c r="AI135" s="707"/>
      <c r="AJ135" s="709">
        <f t="shared" si="234"/>
        <v>7212.0593831028827</v>
      </c>
      <c r="AK135" s="710">
        <f t="shared" si="235"/>
        <v>7602.0911876455521</v>
      </c>
      <c r="AL135" s="710">
        <f t="shared" si="236"/>
        <v>8012.7527630089635</v>
      </c>
      <c r="AM135" s="710">
        <f t="shared" si="237"/>
        <v>8445.1274583054874</v>
      </c>
      <c r="AN135" s="710">
        <f t="shared" si="238"/>
        <v>8900.356322703703</v>
      </c>
      <c r="AO135" s="711">
        <f t="shared" si="239"/>
        <v>9042.7620238669624</v>
      </c>
      <c r="AP135" s="707">
        <f t="shared" si="240"/>
        <v>9187.4462162488344</v>
      </c>
      <c r="AQ135" s="707">
        <f t="shared" si="241"/>
        <v>9334.4453557088164</v>
      </c>
      <c r="AR135" s="707">
        <f t="shared" si="242"/>
        <v>9483.7964814001571</v>
      </c>
      <c r="AS135" s="712">
        <f t="shared" si="243"/>
        <v>9635.5372251025601</v>
      </c>
      <c r="AU135" s="1369"/>
      <c r="AV135" s="1559"/>
      <c r="AW135" s="1412" t="str">
        <f t="shared" si="191"/>
        <v>Price</v>
      </c>
      <c r="AX135" s="1413" t="str">
        <f t="shared" si="191"/>
        <v>Water</v>
      </c>
      <c r="AY135" s="1414" t="str">
        <f t="shared" si="192"/>
        <v>Fixed</v>
      </c>
      <c r="AZ135" s="1415">
        <f t="shared" si="193"/>
        <v>4.4999250800552559E-3</v>
      </c>
      <c r="BA135" s="1415">
        <f t="shared" si="193"/>
        <v>-1.3146362839614456E-2</v>
      </c>
      <c r="BB135" s="1415">
        <f t="shared" si="193"/>
        <v>-2.1440823327615766E-2</v>
      </c>
      <c r="BC135" s="1415">
        <f t="shared" si="194"/>
        <v>-2.3366311956693586E-2</v>
      </c>
      <c r="BD135" s="1415">
        <f t="shared" si="195"/>
        <v>-1.4915031938844581E-2</v>
      </c>
      <c r="BE135" s="1415">
        <f t="shared" si="196"/>
        <v>1.6923097157701905E-2</v>
      </c>
      <c r="BF135" s="1415">
        <f t="shared" si="197"/>
        <v>1.8011889978613027E-3</v>
      </c>
      <c r="BG135" s="1416">
        <f t="shared" si="198"/>
        <v>9.3752269994384907E-3</v>
      </c>
      <c r="BH135" s="1417">
        <f t="shared" si="199"/>
        <v>5.4144980735978177E-2</v>
      </c>
      <c r="BI135" s="1417">
        <f t="shared" si="200"/>
        <v>5.4080503754097453E-2</v>
      </c>
      <c r="BJ135" s="1417">
        <f t="shared" si="201"/>
        <v>5.4019553992037617E-2</v>
      </c>
      <c r="BK135" s="1417">
        <f t="shared" si="202"/>
        <v>5.3960818221247431E-2</v>
      </c>
      <c r="BL135" s="1418">
        <f t="shared" si="203"/>
        <v>5.390432135521106E-2</v>
      </c>
      <c r="BM135" s="1417">
        <f t="shared" si="204"/>
        <v>1.6000000000000014E-2</v>
      </c>
      <c r="BN135" s="1417">
        <f t="shared" si="205"/>
        <v>1.6000000000000014E-2</v>
      </c>
      <c r="BO135" s="1417">
        <f t="shared" si="206"/>
        <v>1.6000000000000014E-2</v>
      </c>
      <c r="BP135" s="1417">
        <f t="shared" si="207"/>
        <v>1.6000000000000014E-2</v>
      </c>
      <c r="BQ135" s="1419">
        <f t="shared" si="208"/>
        <v>1.6000000000000014E-2</v>
      </c>
      <c r="BR135" s="1378"/>
      <c r="BS135" s="1420"/>
      <c r="BT135" s="1421"/>
      <c r="BU135" s="1422"/>
      <c r="BV135" s="1423"/>
      <c r="BW135" s="1378"/>
      <c r="BX135" s="1412" t="str">
        <f t="shared" si="209"/>
        <v>Price</v>
      </c>
      <c r="BY135" s="1413" t="str">
        <f t="shared" si="210"/>
        <v>Water</v>
      </c>
      <c r="BZ135" s="1414" t="str">
        <f t="shared" si="211"/>
        <v>Fixed</v>
      </c>
      <c r="CA135" s="1424">
        <f t="shared" ref="CA135:CR135" si="247">IFERROR((P135/O135-1)*(O137/O$13),"-")</f>
        <v>2.5527636894206186E-6</v>
      </c>
      <c r="CB135" s="1415">
        <f t="shared" si="247"/>
        <v>-6.084931987061288E-6</v>
      </c>
      <c r="CC135" s="1415">
        <f t="shared" si="247"/>
        <v>-9.9703862507020168E-6</v>
      </c>
      <c r="CD135" s="1415">
        <f t="shared" si="247"/>
        <v>-1.0830018356595837E-5</v>
      </c>
      <c r="CE135" s="1415">
        <f t="shared" si="247"/>
        <v>-8.3853473919109124E-6</v>
      </c>
      <c r="CF135" s="1415">
        <f t="shared" si="247"/>
        <v>9.0512495089361818E-6</v>
      </c>
      <c r="CG135" s="1415">
        <f t="shared" si="247"/>
        <v>6.2164326550802753E-7</v>
      </c>
      <c r="CH135" s="1425">
        <f t="shared" si="247"/>
        <v>3.8678905423924529E-6</v>
      </c>
      <c r="CI135" s="1417">
        <f t="shared" si="247"/>
        <v>2.2959340318945667E-5</v>
      </c>
      <c r="CJ135" s="1417">
        <f t="shared" si="247"/>
        <v>2.2471716422743076E-5</v>
      </c>
      <c r="CK135" s="1417">
        <f t="shared" si="247"/>
        <v>2.2240049322473427E-5</v>
      </c>
      <c r="CL135" s="1417">
        <f t="shared" si="247"/>
        <v>2.2009432947078279E-5</v>
      </c>
      <c r="CM135" s="1418">
        <f t="shared" si="247"/>
        <v>2.1776043699682388E-5</v>
      </c>
      <c r="CN135" s="1417">
        <f t="shared" si="247"/>
        <v>6.4023647572935705E-6</v>
      </c>
      <c r="CO135" s="1417">
        <f t="shared" si="247"/>
        <v>6.3296486380710432E-6</v>
      </c>
      <c r="CP135" s="1417">
        <f t="shared" si="247"/>
        <v>6.2561507078321831E-6</v>
      </c>
      <c r="CQ135" s="1417">
        <f t="shared" si="247"/>
        <v>6.1842186468850123E-6</v>
      </c>
      <c r="CR135" s="1419">
        <f t="shared" si="247"/>
        <v>6.1101219043914165E-6</v>
      </c>
      <c r="CS135" s="1378"/>
      <c r="CT135" s="1412" t="str">
        <f t="shared" si="188"/>
        <v>Price</v>
      </c>
      <c r="CU135" s="1413" t="str">
        <f t="shared" si="189"/>
        <v>Water</v>
      </c>
      <c r="CV135" s="1426" t="str">
        <f t="shared" si="190"/>
        <v>Fixed</v>
      </c>
      <c r="CW135" s="1427">
        <f t="shared" si="213"/>
        <v>5.4112741752054383E-2</v>
      </c>
      <c r="CX135" s="1417">
        <f t="shared" si="214"/>
        <v>5.408167824998511E-2</v>
      </c>
      <c r="CY135" s="1417">
        <f t="shared" si="215"/>
        <v>5.4051461943554369E-2</v>
      </c>
      <c r="CZ135" s="1419">
        <f t="shared" si="216"/>
        <v>5.402203218253776E-2</v>
      </c>
      <c r="DA135" s="1417">
        <f t="shared" si="217"/>
        <v>4.7587623333201545E-2</v>
      </c>
      <c r="DB135" s="1417">
        <f t="shared" si="218"/>
        <v>4.3015679787265393E-2</v>
      </c>
      <c r="DC135" s="1417">
        <f t="shared" si="219"/>
        <v>3.9599821147976666E-2</v>
      </c>
      <c r="DD135" s="1417">
        <f t="shared" si="220"/>
        <v>3.695077822301629E-2</v>
      </c>
      <c r="DE135" s="1419">
        <f t="shared" si="221"/>
        <v>3.4836404799067022E-2</v>
      </c>
      <c r="DF135" s="1378"/>
      <c r="DG135" s="1412" t="str">
        <f t="shared" si="222"/>
        <v>Price</v>
      </c>
      <c r="DH135" s="1413" t="str">
        <f t="shared" si="222"/>
        <v>Water</v>
      </c>
      <c r="DI135" s="1426" t="str">
        <f t="shared" si="222"/>
        <v>Fixed</v>
      </c>
      <c r="DJ135" s="1426"/>
      <c r="DK135" s="1427">
        <f t="shared" si="223"/>
        <v>5.4050028432520048E-2</v>
      </c>
      <c r="DL135" s="1417">
        <f t="shared" si="224"/>
        <v>5.4020290856460207E-2</v>
      </c>
      <c r="DM135" s="1417">
        <f t="shared" si="225"/>
        <v>5.3991297284854411E-2</v>
      </c>
      <c r="DN135" s="1418">
        <f t="shared" si="226"/>
        <v>4.6281054836325275E-2</v>
      </c>
      <c r="DO135" s="1417">
        <f t="shared" si="227"/>
        <v>4.1172253507491652E-2</v>
      </c>
      <c r="DP135" s="1417">
        <f t="shared" si="228"/>
        <v>3.753838948015864E-2</v>
      </c>
      <c r="DQ135" s="1417">
        <f t="shared" si="229"/>
        <v>3.4821316963180804E-2</v>
      </c>
      <c r="DR135" s="1419">
        <f t="shared" si="230"/>
        <v>3.2712958571049944E-2</v>
      </c>
    </row>
    <row r="136" spans="4:122">
      <c r="E136" s="742" t="s">
        <v>45</v>
      </c>
      <c r="F136" s="722" t="str">
        <f>+F135</f>
        <v>Water</v>
      </c>
      <c r="G136" s="723" t="str">
        <f>+G135</f>
        <v>Fixed tariff group - 2 -100mm</v>
      </c>
      <c r="H136" s="723">
        <f>+H135</f>
        <v>0</v>
      </c>
      <c r="I136" s="724" t="str">
        <f>+I135</f>
        <v>Fixed</v>
      </c>
      <c r="J136" s="782" t="s">
        <v>323</v>
      </c>
      <c r="K136" s="1540"/>
      <c r="L136" s="1541"/>
      <c r="M136" s="1541"/>
      <c r="N136" s="1542"/>
      <c r="O136" s="2031">
        <v>6</v>
      </c>
      <c r="P136" s="1543">
        <v>5</v>
      </c>
      <c r="Q136" s="1543">
        <v>5</v>
      </c>
      <c r="R136" s="1543">
        <v>5</v>
      </c>
      <c r="S136" s="1543">
        <v>6</v>
      </c>
      <c r="T136" s="1543">
        <v>6</v>
      </c>
      <c r="U136" s="1543">
        <v>4</v>
      </c>
      <c r="V136" s="1543">
        <v>5</v>
      </c>
      <c r="W136" s="1543">
        <v>5</v>
      </c>
      <c r="X136" s="1544">
        <v>5</v>
      </c>
      <c r="Y136" s="1543">
        <v>5</v>
      </c>
      <c r="Z136" s="1543">
        <v>5</v>
      </c>
      <c r="AA136" s="1543">
        <v>5</v>
      </c>
      <c r="AB136" s="1543">
        <v>5</v>
      </c>
      <c r="AC136" s="1544">
        <v>5</v>
      </c>
      <c r="AD136" s="1543">
        <v>5</v>
      </c>
      <c r="AE136" s="1543">
        <v>5</v>
      </c>
      <c r="AF136" s="1543">
        <v>5</v>
      </c>
      <c r="AG136" s="788">
        <v>5</v>
      </c>
      <c r="AH136" s="697"/>
      <c r="AI136" s="707"/>
      <c r="AJ136" s="709">
        <f t="shared" si="234"/>
        <v>5</v>
      </c>
      <c r="AK136" s="710">
        <f t="shared" si="235"/>
        <v>5</v>
      </c>
      <c r="AL136" s="710">
        <f t="shared" si="236"/>
        <v>5</v>
      </c>
      <c r="AM136" s="710">
        <f t="shared" si="237"/>
        <v>5</v>
      </c>
      <c r="AN136" s="710">
        <f t="shared" si="238"/>
        <v>5</v>
      </c>
      <c r="AO136" s="711">
        <f t="shared" si="239"/>
        <v>5</v>
      </c>
      <c r="AP136" s="707">
        <f t="shared" si="240"/>
        <v>5</v>
      </c>
      <c r="AQ136" s="707">
        <f t="shared" si="241"/>
        <v>5</v>
      </c>
      <c r="AR136" s="707">
        <f t="shared" si="242"/>
        <v>5</v>
      </c>
      <c r="AS136" s="712">
        <f t="shared" si="243"/>
        <v>5</v>
      </c>
      <c r="AV136" s="1559"/>
      <c r="AW136" s="1392" t="str">
        <f t="shared" si="191"/>
        <v>Qty</v>
      </c>
      <c r="AX136" s="1393" t="str">
        <f t="shared" si="191"/>
        <v>Water</v>
      </c>
      <c r="AY136" s="1394" t="str">
        <f t="shared" si="192"/>
        <v>Fixed</v>
      </c>
      <c r="AZ136" s="1395">
        <f t="shared" si="193"/>
        <v>-0.16666666666666663</v>
      </c>
      <c r="BA136" s="1395">
        <f t="shared" si="193"/>
        <v>0</v>
      </c>
      <c r="BB136" s="1395">
        <f t="shared" si="193"/>
        <v>0</v>
      </c>
      <c r="BC136" s="1395">
        <f t="shared" si="194"/>
        <v>0.19999999999999996</v>
      </c>
      <c r="BD136" s="1395">
        <f t="shared" si="195"/>
        <v>0</v>
      </c>
      <c r="BE136" s="1395">
        <f t="shared" si="196"/>
        <v>-0.33333333333333337</v>
      </c>
      <c r="BF136" s="1395">
        <f t="shared" si="197"/>
        <v>0.25</v>
      </c>
      <c r="BG136" s="1396">
        <f t="shared" si="198"/>
        <v>0</v>
      </c>
      <c r="BH136" s="1395">
        <f t="shared" si="199"/>
        <v>0</v>
      </c>
      <c r="BI136" s="1395">
        <f t="shared" si="200"/>
        <v>0</v>
      </c>
      <c r="BJ136" s="1395">
        <f t="shared" si="201"/>
        <v>0</v>
      </c>
      <c r="BK136" s="1395">
        <f t="shared" si="202"/>
        <v>0</v>
      </c>
      <c r="BL136" s="1397">
        <f t="shared" si="203"/>
        <v>0</v>
      </c>
      <c r="BM136" s="1395">
        <f t="shared" si="204"/>
        <v>0</v>
      </c>
      <c r="BN136" s="1395">
        <f t="shared" si="205"/>
        <v>0</v>
      </c>
      <c r="BO136" s="1395">
        <f t="shared" si="206"/>
        <v>0</v>
      </c>
      <c r="BP136" s="1395">
        <f t="shared" si="207"/>
        <v>0</v>
      </c>
      <c r="BQ136" s="1398">
        <f t="shared" si="208"/>
        <v>0</v>
      </c>
      <c r="BR136" s="1378"/>
      <c r="BS136" s="1329"/>
      <c r="BT136" s="1399"/>
      <c r="BU136" s="1331"/>
      <c r="BV136" s="1400"/>
      <c r="BW136" s="1378"/>
      <c r="BX136" s="1392" t="str">
        <f t="shared" si="209"/>
        <v>Qty</v>
      </c>
      <c r="BY136" s="1393" t="str">
        <f t="shared" si="210"/>
        <v>Water</v>
      </c>
      <c r="BZ136" s="1394" t="str">
        <f t="shared" si="211"/>
        <v>Fixed</v>
      </c>
      <c r="CA136" s="1401">
        <f t="shared" ref="CA136:CR136" si="248">IFERROR((P136/O136-1)*(O137/O$13),"-")</f>
        <v>-9.4548377436144327E-5</v>
      </c>
      <c r="CB136" s="1395">
        <f t="shared" si="248"/>
        <v>0</v>
      </c>
      <c r="CC136" s="1395">
        <f t="shared" si="248"/>
        <v>0</v>
      </c>
      <c r="CD136" s="1395">
        <f t="shared" si="248"/>
        <v>9.2697712644321983E-5</v>
      </c>
      <c r="CE136" s="1395">
        <f t="shared" si="248"/>
        <v>0</v>
      </c>
      <c r="CF136" s="1395">
        <f t="shared" si="248"/>
        <v>-1.7828197412861176E-4</v>
      </c>
      <c r="CG136" s="1395">
        <f t="shared" si="248"/>
        <v>8.6282348249705452E-5</v>
      </c>
      <c r="CH136" s="1397">
        <f t="shared" si="248"/>
        <v>0</v>
      </c>
      <c r="CI136" s="1395">
        <f t="shared" si="248"/>
        <v>0</v>
      </c>
      <c r="CJ136" s="1395">
        <f t="shared" si="248"/>
        <v>0</v>
      </c>
      <c r="CK136" s="1395">
        <f t="shared" si="248"/>
        <v>0</v>
      </c>
      <c r="CL136" s="1395">
        <f t="shared" si="248"/>
        <v>0</v>
      </c>
      <c r="CM136" s="1397">
        <f t="shared" si="248"/>
        <v>0</v>
      </c>
      <c r="CN136" s="1395">
        <f t="shared" si="248"/>
        <v>0</v>
      </c>
      <c r="CO136" s="1395">
        <f t="shared" si="248"/>
        <v>0</v>
      </c>
      <c r="CP136" s="1395">
        <f t="shared" si="248"/>
        <v>0</v>
      </c>
      <c r="CQ136" s="1395">
        <f t="shared" si="248"/>
        <v>0</v>
      </c>
      <c r="CR136" s="1398">
        <f t="shared" si="248"/>
        <v>0</v>
      </c>
      <c r="CS136" s="1378"/>
      <c r="CT136" s="1392" t="str">
        <f t="shared" si="188"/>
        <v>Qty</v>
      </c>
      <c r="CU136" s="1393" t="str">
        <f t="shared" si="189"/>
        <v>Water</v>
      </c>
      <c r="CV136" s="1393" t="str">
        <f t="shared" si="190"/>
        <v>Fixed</v>
      </c>
      <c r="CW136" s="1401">
        <f t="shared" si="213"/>
        <v>0</v>
      </c>
      <c r="CX136" s="1395">
        <f t="shared" si="214"/>
        <v>0</v>
      </c>
      <c r="CY136" s="1395">
        <f t="shared" si="215"/>
        <v>0</v>
      </c>
      <c r="CZ136" s="1398">
        <f t="shared" si="216"/>
        <v>0</v>
      </c>
      <c r="DA136" s="1395">
        <f t="shared" si="217"/>
        <v>0</v>
      </c>
      <c r="DB136" s="1395">
        <f t="shared" si="218"/>
        <v>0</v>
      </c>
      <c r="DC136" s="1395">
        <f t="shared" si="219"/>
        <v>0</v>
      </c>
      <c r="DD136" s="1395">
        <f t="shared" si="220"/>
        <v>0</v>
      </c>
      <c r="DE136" s="1398">
        <f t="shared" si="221"/>
        <v>0</v>
      </c>
      <c r="DF136" s="1378"/>
      <c r="DG136" s="1392" t="str">
        <f t="shared" si="222"/>
        <v>Qty</v>
      </c>
      <c r="DH136" s="1393" t="str">
        <f t="shared" si="222"/>
        <v>Water</v>
      </c>
      <c r="DI136" s="1393" t="str">
        <f t="shared" si="222"/>
        <v>Fixed</v>
      </c>
      <c r="DJ136" s="1393"/>
      <c r="DK136" s="1401">
        <f t="shared" si="223"/>
        <v>0</v>
      </c>
      <c r="DL136" s="1395">
        <f t="shared" si="224"/>
        <v>0</v>
      </c>
      <c r="DM136" s="1395">
        <f t="shared" si="225"/>
        <v>0</v>
      </c>
      <c r="DN136" s="1397">
        <f t="shared" si="226"/>
        <v>0</v>
      </c>
      <c r="DO136" s="1395">
        <f t="shared" si="227"/>
        <v>0</v>
      </c>
      <c r="DP136" s="1395">
        <f t="shared" si="228"/>
        <v>0</v>
      </c>
      <c r="DQ136" s="1395">
        <f t="shared" si="229"/>
        <v>0</v>
      </c>
      <c r="DR136" s="1398">
        <f t="shared" si="230"/>
        <v>0</v>
      </c>
    </row>
    <row r="137" spans="4:122" ht="12.75" thickBot="1">
      <c r="E137" s="743" t="s">
        <v>46</v>
      </c>
      <c r="F137" s="732" t="str">
        <f>+F135</f>
        <v>Water</v>
      </c>
      <c r="G137" s="733" t="str">
        <f>+G135</f>
        <v>Fixed tariff group - 2 -100mm</v>
      </c>
      <c r="H137" s="733">
        <f>+H135</f>
        <v>0</v>
      </c>
      <c r="I137" s="734" t="str">
        <f>+I135</f>
        <v>Fixed</v>
      </c>
      <c r="J137" s="735" t="s">
        <v>344</v>
      </c>
      <c r="K137" s="736">
        <f t="shared" ref="K137:AG137" si="249">K135*K136/10^6</f>
        <v>0</v>
      </c>
      <c r="L137" s="737">
        <f t="shared" si="249"/>
        <v>0</v>
      </c>
      <c r="M137" s="737">
        <f t="shared" si="249"/>
        <v>0</v>
      </c>
      <c r="N137" s="738">
        <f t="shared" si="249"/>
        <v>0</v>
      </c>
      <c r="O137" s="1923">
        <f t="shared" si="249"/>
        <v>4.277527020814479E-2</v>
      </c>
      <c r="P137" s="737">
        <f t="shared" si="249"/>
        <v>3.580646309946714E-2</v>
      </c>
      <c r="Q137" s="737">
        <f t="shared" si="249"/>
        <v>3.5335738343558278E-2</v>
      </c>
      <c r="R137" s="737">
        <f t="shared" si="249"/>
        <v>3.457811102058319E-2</v>
      </c>
      <c r="S137" s="737">
        <f t="shared" si="249"/>
        <v>4.0524177709923663E-2</v>
      </c>
      <c r="T137" s="1531">
        <f t="shared" si="249"/>
        <v>3.9919758305084742E-2</v>
      </c>
      <c r="U137" s="737">
        <f t="shared" si="249"/>
        <v>2.7063549502262446E-2</v>
      </c>
      <c r="V137" s="737">
        <f t="shared" si="249"/>
        <v>3.3890370087336238E-2</v>
      </c>
      <c r="W137" s="737">
        <f t="shared" si="249"/>
        <v>3.4208099999999998E-2</v>
      </c>
      <c r="X137" s="738">
        <f t="shared" si="249"/>
        <v>3.606029691551442E-2</v>
      </c>
      <c r="Y137" s="737">
        <f t="shared" si="249"/>
        <v>3.8010455938227758E-2</v>
      </c>
      <c r="Z137" s="737">
        <f t="shared" si="249"/>
        <v>4.0063763815044819E-2</v>
      </c>
      <c r="AA137" s="737">
        <f t="shared" si="249"/>
        <v>4.2225637291527438E-2</v>
      </c>
      <c r="AB137" s="737">
        <f t="shared" si="249"/>
        <v>4.4501781613518511E-2</v>
      </c>
      <c r="AC137" s="738">
        <f t="shared" si="249"/>
        <v>4.5213810119334813E-2</v>
      </c>
      <c r="AD137" s="737">
        <f t="shared" si="249"/>
        <v>4.5937231081244173E-2</v>
      </c>
      <c r="AE137" s="737">
        <f t="shared" si="249"/>
        <v>4.6672226778544081E-2</v>
      </c>
      <c r="AF137" s="737">
        <f t="shared" si="249"/>
        <v>4.7418982407000786E-2</v>
      </c>
      <c r="AG137" s="739">
        <f t="shared" si="249"/>
        <v>4.8177686125512806E-2</v>
      </c>
      <c r="AH137" s="697"/>
      <c r="AI137" s="707"/>
      <c r="AJ137" s="709">
        <f t="shared" si="234"/>
        <v>3.606029691551442E-2</v>
      </c>
      <c r="AK137" s="710">
        <f t="shared" si="235"/>
        <v>3.8010455938227758E-2</v>
      </c>
      <c r="AL137" s="710">
        <f t="shared" si="236"/>
        <v>4.0063763815044819E-2</v>
      </c>
      <c r="AM137" s="710">
        <f t="shared" si="237"/>
        <v>4.2225637291527438E-2</v>
      </c>
      <c r="AN137" s="710">
        <f t="shared" si="238"/>
        <v>4.4501781613518511E-2</v>
      </c>
      <c r="AO137" s="711">
        <f t="shared" si="239"/>
        <v>4.5213810119334813E-2</v>
      </c>
      <c r="AP137" s="707">
        <f t="shared" si="240"/>
        <v>4.5937231081244173E-2</v>
      </c>
      <c r="AQ137" s="707">
        <f t="shared" si="241"/>
        <v>4.6672226778544081E-2</v>
      </c>
      <c r="AR137" s="707">
        <f t="shared" si="242"/>
        <v>4.7418982407000786E-2</v>
      </c>
      <c r="AS137" s="712">
        <f t="shared" si="243"/>
        <v>4.8177686125512806E-2</v>
      </c>
      <c r="AV137" s="1559"/>
      <c r="AW137" s="1428" t="str">
        <f t="shared" si="191"/>
        <v>Rev</v>
      </c>
      <c r="AX137" s="1429" t="str">
        <f t="shared" si="191"/>
        <v>Water</v>
      </c>
      <c r="AY137" s="1430" t="str">
        <f t="shared" si="192"/>
        <v>Fixed</v>
      </c>
      <c r="AZ137" s="1431">
        <f t="shared" si="193"/>
        <v>-0.16291672909995381</v>
      </c>
      <c r="BA137" s="1431">
        <f t="shared" si="193"/>
        <v>-1.3146362839614456E-2</v>
      </c>
      <c r="BB137" s="1431">
        <f t="shared" si="193"/>
        <v>-2.1440823327615655E-2</v>
      </c>
      <c r="BC137" s="1431">
        <f t="shared" si="194"/>
        <v>0.17196042565196756</v>
      </c>
      <c r="BD137" s="1431">
        <f t="shared" si="195"/>
        <v>-1.491503193884447E-2</v>
      </c>
      <c r="BE137" s="1431">
        <f t="shared" si="196"/>
        <v>-0.3220512685615321</v>
      </c>
      <c r="BF137" s="1431">
        <f t="shared" si="197"/>
        <v>0.25225148624732641</v>
      </c>
      <c r="BG137" s="1432">
        <f t="shared" si="198"/>
        <v>9.3752269994384907E-3</v>
      </c>
      <c r="BH137" s="1431">
        <f t="shared" si="199"/>
        <v>5.4144980735978399E-2</v>
      </c>
      <c r="BI137" s="1431">
        <f t="shared" si="200"/>
        <v>5.4080503754097231E-2</v>
      </c>
      <c r="BJ137" s="1431">
        <f t="shared" si="201"/>
        <v>5.4019553992037617E-2</v>
      </c>
      <c r="BK137" s="1431">
        <f t="shared" si="202"/>
        <v>5.3960818221247209E-2</v>
      </c>
      <c r="BL137" s="1433">
        <f t="shared" si="203"/>
        <v>5.3904321355210838E-2</v>
      </c>
      <c r="BM137" s="1431">
        <f t="shared" si="204"/>
        <v>1.6000000000000236E-2</v>
      </c>
      <c r="BN137" s="1431">
        <f t="shared" si="205"/>
        <v>1.6000000000000014E-2</v>
      </c>
      <c r="BO137" s="1431">
        <f t="shared" si="206"/>
        <v>1.6000000000000014E-2</v>
      </c>
      <c r="BP137" s="1431">
        <f t="shared" si="207"/>
        <v>1.6000000000000014E-2</v>
      </c>
      <c r="BQ137" s="1434">
        <f t="shared" si="208"/>
        <v>1.6000000000000236E-2</v>
      </c>
      <c r="BR137" s="1378"/>
      <c r="BS137" s="1407"/>
      <c r="BT137" s="1408"/>
      <c r="BU137" s="1409"/>
      <c r="BV137" s="1410"/>
      <c r="BW137" s="1378"/>
      <c r="BX137" s="1428" t="str">
        <f t="shared" si="209"/>
        <v>Rev</v>
      </c>
      <c r="BY137" s="1429" t="str">
        <f t="shared" si="210"/>
        <v>Water</v>
      </c>
      <c r="BZ137" s="1430" t="str">
        <f t="shared" si="211"/>
        <v>Fixed</v>
      </c>
      <c r="CA137" s="1435">
        <f t="shared" ref="CA137:CR137" si="250">IFERROR((P137/O137-1)*(O137/O$13),"-")</f>
        <v>-9.2421074361627087E-5</v>
      </c>
      <c r="CB137" s="1431">
        <f t="shared" si="250"/>
        <v>-6.084931987061288E-6</v>
      </c>
      <c r="CC137" s="1431">
        <f t="shared" si="250"/>
        <v>-9.9703862507019643E-6</v>
      </c>
      <c r="CD137" s="1431">
        <f t="shared" si="250"/>
        <v>7.9701690616406932E-5</v>
      </c>
      <c r="CE137" s="1431">
        <f t="shared" si="250"/>
        <v>-8.3853473919108497E-6</v>
      </c>
      <c r="CF137" s="1431">
        <f t="shared" si="250"/>
        <v>-1.7224780778932097E-4</v>
      </c>
      <c r="CG137" s="1431">
        <f t="shared" si="250"/>
        <v>8.7059402331590415E-5</v>
      </c>
      <c r="CH137" s="1433">
        <f t="shared" si="250"/>
        <v>3.8678905423924529E-6</v>
      </c>
      <c r="CI137" s="1431">
        <f t="shared" si="250"/>
        <v>2.2959340318945762E-5</v>
      </c>
      <c r="CJ137" s="1431">
        <f t="shared" si="250"/>
        <v>2.2471716422742984E-5</v>
      </c>
      <c r="CK137" s="1431">
        <f t="shared" si="250"/>
        <v>2.2240049322473427E-5</v>
      </c>
      <c r="CL137" s="1431">
        <f t="shared" si="250"/>
        <v>2.2009432947078188E-5</v>
      </c>
      <c r="CM137" s="1433">
        <f t="shared" si="250"/>
        <v>2.17760436996823E-5</v>
      </c>
      <c r="CN137" s="1431">
        <f t="shared" si="250"/>
        <v>6.4023647572936594E-6</v>
      </c>
      <c r="CO137" s="1431">
        <f t="shared" si="250"/>
        <v>6.3296486380710432E-6</v>
      </c>
      <c r="CP137" s="1431">
        <f t="shared" si="250"/>
        <v>6.2561507078321831E-6</v>
      </c>
      <c r="CQ137" s="1431">
        <f t="shared" si="250"/>
        <v>6.1842186468850123E-6</v>
      </c>
      <c r="CR137" s="1434">
        <f t="shared" si="250"/>
        <v>6.1101219043915012E-6</v>
      </c>
      <c r="CS137" s="1378"/>
      <c r="CT137" s="1428" t="str">
        <f t="shared" si="188"/>
        <v>Rev</v>
      </c>
      <c r="CU137" s="1429" t="str">
        <f t="shared" si="189"/>
        <v>Water</v>
      </c>
      <c r="CV137" s="1429" t="str">
        <f t="shared" si="190"/>
        <v>Fixed</v>
      </c>
      <c r="CW137" s="1435">
        <f t="shared" si="213"/>
        <v>5.4112741752054383E-2</v>
      </c>
      <c r="CX137" s="1431">
        <f t="shared" si="214"/>
        <v>5.408167824998511E-2</v>
      </c>
      <c r="CY137" s="1431">
        <f t="shared" si="215"/>
        <v>5.4051461943554369E-2</v>
      </c>
      <c r="CZ137" s="1434">
        <f t="shared" si="216"/>
        <v>5.402203218253776E-2</v>
      </c>
      <c r="DA137" s="1431">
        <f t="shared" si="217"/>
        <v>4.7587623333201545E-2</v>
      </c>
      <c r="DB137" s="1431">
        <f t="shared" si="218"/>
        <v>4.3015679787265393E-2</v>
      </c>
      <c r="DC137" s="1431">
        <f t="shared" si="219"/>
        <v>3.9599821147976666E-2</v>
      </c>
      <c r="DD137" s="1431">
        <f t="shared" si="220"/>
        <v>3.695077822301629E-2</v>
      </c>
      <c r="DE137" s="1434">
        <f t="shared" si="221"/>
        <v>3.4836404799067022E-2</v>
      </c>
      <c r="DF137" s="1378"/>
      <c r="DG137" s="1428" t="str">
        <f t="shared" si="222"/>
        <v>Rev</v>
      </c>
      <c r="DH137" s="1429" t="str">
        <f t="shared" si="222"/>
        <v>Water</v>
      </c>
      <c r="DI137" s="1429" t="str">
        <f t="shared" si="222"/>
        <v>Fixed</v>
      </c>
      <c r="DJ137" s="1429"/>
      <c r="DK137" s="1435">
        <f t="shared" si="223"/>
        <v>5.4050028432519825E-2</v>
      </c>
      <c r="DL137" s="1431">
        <f t="shared" si="224"/>
        <v>5.4020290856460207E-2</v>
      </c>
      <c r="DM137" s="1431">
        <f t="shared" si="225"/>
        <v>5.3991297284854411E-2</v>
      </c>
      <c r="DN137" s="1433">
        <f t="shared" si="226"/>
        <v>4.6281054836325053E-2</v>
      </c>
      <c r="DO137" s="1431">
        <f t="shared" si="227"/>
        <v>4.117225350749143E-2</v>
      </c>
      <c r="DP137" s="1431">
        <f t="shared" si="228"/>
        <v>3.753838948015864E-2</v>
      </c>
      <c r="DQ137" s="1431">
        <f t="shared" si="229"/>
        <v>3.4821316963180804E-2</v>
      </c>
      <c r="DR137" s="1434">
        <f t="shared" si="230"/>
        <v>3.2712958571049944E-2</v>
      </c>
    </row>
    <row r="138" spans="4:122">
      <c r="D138" s="70">
        <f>D135+1</f>
        <v>25</v>
      </c>
      <c r="E138" s="713" t="s">
        <v>44</v>
      </c>
      <c r="F138" s="1532" t="s">
        <v>20</v>
      </c>
      <c r="G138" s="1532" t="s">
        <v>887</v>
      </c>
      <c r="H138" s="1532"/>
      <c r="I138" s="781" t="s">
        <v>319</v>
      </c>
      <c r="J138" s="781" t="s">
        <v>345</v>
      </c>
      <c r="K138" s="1533"/>
      <c r="L138" s="1534"/>
      <c r="M138" s="1534"/>
      <c r="N138" s="1535"/>
      <c r="O138" s="2071">
        <v>16043.021457013574</v>
      </c>
      <c r="P138" s="1547">
        <v>16115.210701598578</v>
      </c>
      <c r="Q138" s="1547">
        <v>15903.354294478528</v>
      </c>
      <c r="R138" s="1547">
        <v>15562.373284734133</v>
      </c>
      <c r="S138" s="1547">
        <v>15198.750534351144</v>
      </c>
      <c r="T138" s="1547">
        <v>14972.05847457627</v>
      </c>
      <c r="U138" s="1547">
        <v>15225.458959276019</v>
      </c>
      <c r="V138" s="1547">
        <v>15252.883537117901</v>
      </c>
      <c r="W138" s="1547">
        <v>15395.9</v>
      </c>
      <c r="X138" s="1550">
        <v>16215.406455602882</v>
      </c>
      <c r="Y138" s="1551">
        <v>17078.113981451803</v>
      </c>
      <c r="Z138" s="1551">
        <v>17986.266753490039</v>
      </c>
      <c r="AA138" s="1551">
        <v>18942.250933286821</v>
      </c>
      <c r="AB138" s="1551">
        <v>19948.578780121556</v>
      </c>
      <c r="AC138" s="1550">
        <v>20267.756040603501</v>
      </c>
      <c r="AD138" s="1551">
        <v>20592.040137253156</v>
      </c>
      <c r="AE138" s="1551">
        <v>20921.512779449207</v>
      </c>
      <c r="AF138" s="1551">
        <v>21256.256983920393</v>
      </c>
      <c r="AG138" s="1552">
        <v>21596.357095663119</v>
      </c>
      <c r="AH138" s="697"/>
      <c r="AI138" s="707"/>
      <c r="AJ138" s="709">
        <f t="shared" si="234"/>
        <v>16215.406455602882</v>
      </c>
      <c r="AK138" s="710">
        <f t="shared" si="235"/>
        <v>17078.113981451803</v>
      </c>
      <c r="AL138" s="710">
        <f t="shared" si="236"/>
        <v>17986.266753490039</v>
      </c>
      <c r="AM138" s="710">
        <f t="shared" si="237"/>
        <v>18942.250933286821</v>
      </c>
      <c r="AN138" s="710">
        <f t="shared" si="238"/>
        <v>19948.578780121556</v>
      </c>
      <c r="AO138" s="711">
        <f t="shared" si="239"/>
        <v>20267.756040603501</v>
      </c>
      <c r="AP138" s="707">
        <f t="shared" si="240"/>
        <v>20592.040137253156</v>
      </c>
      <c r="AQ138" s="707">
        <f t="shared" si="241"/>
        <v>20921.512779449207</v>
      </c>
      <c r="AR138" s="707">
        <f t="shared" si="242"/>
        <v>21256.256983920393</v>
      </c>
      <c r="AS138" s="712">
        <f t="shared" si="243"/>
        <v>21596.357095663119</v>
      </c>
      <c r="AU138" s="1369"/>
      <c r="AV138" s="1559"/>
      <c r="AW138" s="1412" t="str">
        <f t="shared" si="191"/>
        <v>Price</v>
      </c>
      <c r="AX138" s="1413" t="str">
        <f t="shared" si="191"/>
        <v>Water</v>
      </c>
      <c r="AY138" s="1414" t="str">
        <f t="shared" si="192"/>
        <v>Fixed</v>
      </c>
      <c r="AZ138" s="1415">
        <f t="shared" si="193"/>
        <v>4.4997287311765444E-3</v>
      </c>
      <c r="BA138" s="1415">
        <f t="shared" si="193"/>
        <v>-1.3146362839614345E-2</v>
      </c>
      <c r="BB138" s="1415">
        <f t="shared" si="193"/>
        <v>-2.1440823327615877E-2</v>
      </c>
      <c r="BC138" s="1415">
        <f t="shared" si="194"/>
        <v>-2.3365507543742225E-2</v>
      </c>
      <c r="BD138" s="1415">
        <f t="shared" si="195"/>
        <v>-1.4915177353725273E-2</v>
      </c>
      <c r="BE138" s="1415">
        <f t="shared" si="196"/>
        <v>1.6924892801483571E-2</v>
      </c>
      <c r="BF138" s="1415">
        <f t="shared" si="197"/>
        <v>1.8012316026225772E-3</v>
      </c>
      <c r="BG138" s="1416">
        <f t="shared" si="198"/>
        <v>9.3763557909603001E-3</v>
      </c>
      <c r="BH138" s="1417">
        <f t="shared" si="199"/>
        <v>5.3228876233470057E-2</v>
      </c>
      <c r="BI138" s="1417">
        <f t="shared" si="200"/>
        <v>5.3202954129517366E-2</v>
      </c>
      <c r="BJ138" s="1417">
        <f t="shared" si="201"/>
        <v>5.3176408883589987E-2</v>
      </c>
      <c r="BK138" s="1417">
        <f t="shared" si="202"/>
        <v>5.3150784034228904E-2</v>
      </c>
      <c r="BL138" s="1418">
        <f t="shared" si="203"/>
        <v>5.3126096279631385E-2</v>
      </c>
      <c r="BM138" s="1417">
        <f t="shared" si="204"/>
        <v>1.6000000000000014E-2</v>
      </c>
      <c r="BN138" s="1417">
        <f t="shared" si="205"/>
        <v>1.6000000000000014E-2</v>
      </c>
      <c r="BO138" s="1417">
        <f t="shared" si="206"/>
        <v>1.6000000000000014E-2</v>
      </c>
      <c r="BP138" s="1417">
        <f t="shared" si="207"/>
        <v>1.6000000000000014E-2</v>
      </c>
      <c r="BQ138" s="1419">
        <f t="shared" si="208"/>
        <v>1.6000000000000014E-2</v>
      </c>
      <c r="BR138" s="1378"/>
      <c r="BS138" s="1420"/>
      <c r="BT138" s="1421"/>
      <c r="BU138" s="1422"/>
      <c r="BV138" s="1423"/>
      <c r="BW138" s="1378"/>
      <c r="BX138" s="1412" t="str">
        <f t="shared" si="209"/>
        <v>Price</v>
      </c>
      <c r="BY138" s="1413" t="str">
        <f t="shared" si="210"/>
        <v>Water</v>
      </c>
      <c r="BZ138" s="1414" t="str">
        <f t="shared" si="211"/>
        <v>Fixed</v>
      </c>
      <c r="CA138" s="1424">
        <f t="shared" ref="CA138:CR138" si="251">IFERROR((P138/O138-1)*(O140/O$13),"-")</f>
        <v>9.5738157734236618E-7</v>
      </c>
      <c r="CB138" s="1415">
        <f t="shared" si="251"/>
        <v>-2.7386106470216558E-6</v>
      </c>
      <c r="CC138" s="1415">
        <f t="shared" si="251"/>
        <v>-8.9746297901607832E-6</v>
      </c>
      <c r="CD138" s="1415">
        <f t="shared" si="251"/>
        <v>-4.8740368156426461E-6</v>
      </c>
      <c r="CE138" s="1415">
        <f t="shared" si="251"/>
        <v>-3.1449878296126705E-6</v>
      </c>
      <c r="CF138" s="1415">
        <f t="shared" si="251"/>
        <v>3.3950660456526578E-6</v>
      </c>
      <c r="CG138" s="1415">
        <f t="shared" si="251"/>
        <v>3.4973342661597589E-7</v>
      </c>
      <c r="CH138" s="1425">
        <f t="shared" si="251"/>
        <v>3.4820267286164713E-6</v>
      </c>
      <c r="CI138" s="1417">
        <f t="shared" si="251"/>
        <v>2.0316768104037006E-5</v>
      </c>
      <c r="CJ138" s="1417">
        <f t="shared" si="251"/>
        <v>1.9881987725975149E-5</v>
      </c>
      <c r="CK138" s="1417">
        <f t="shared" si="251"/>
        <v>1.9672999524825585E-5</v>
      </c>
      <c r="CL138" s="1417">
        <f t="shared" si="251"/>
        <v>1.946521841596217E-5</v>
      </c>
      <c r="CM138" s="1418">
        <f t="shared" si="251"/>
        <v>1.9255228200741765E-5</v>
      </c>
      <c r="CN138" s="1417">
        <f t="shared" si="251"/>
        <v>5.7399085209274895E-6</v>
      </c>
      <c r="CO138" s="1417">
        <f t="shared" si="251"/>
        <v>5.6747163789367227E-6</v>
      </c>
      <c r="CP138" s="1417">
        <f t="shared" si="251"/>
        <v>5.6088233203495852E-6</v>
      </c>
      <c r="CQ138" s="1417">
        <f t="shared" si="251"/>
        <v>5.5443341096890736E-6</v>
      </c>
      <c r="CR138" s="1419">
        <f t="shared" si="251"/>
        <v>5.4779041982836898E-6</v>
      </c>
      <c r="CS138" s="1378"/>
      <c r="CT138" s="1412" t="str">
        <f t="shared" si="188"/>
        <v>Price</v>
      </c>
      <c r="CU138" s="1413" t="str">
        <f t="shared" si="189"/>
        <v>Water</v>
      </c>
      <c r="CV138" s="1426" t="str">
        <f t="shared" si="190"/>
        <v>Fixed</v>
      </c>
      <c r="CW138" s="1427">
        <f t="shared" si="213"/>
        <v>5.3215915101743283E-2</v>
      </c>
      <c r="CX138" s="1417">
        <f t="shared" si="214"/>
        <v>5.3202746197701822E-2</v>
      </c>
      <c r="CY138" s="1417">
        <f t="shared" si="215"/>
        <v>5.3189755416482631E-2</v>
      </c>
      <c r="CZ138" s="1419">
        <f t="shared" si="216"/>
        <v>5.3177023281275382E-2</v>
      </c>
      <c r="DA138" s="1417">
        <f t="shared" si="217"/>
        <v>4.6887701195210019E-2</v>
      </c>
      <c r="DB138" s="1417">
        <f t="shared" si="218"/>
        <v>4.2418336277010305E-2</v>
      </c>
      <c r="DC138" s="1417">
        <f t="shared" si="219"/>
        <v>3.9078838678606287E-2</v>
      </c>
      <c r="DD138" s="1417">
        <f t="shared" si="220"/>
        <v>3.6488849863042239E-2</v>
      </c>
      <c r="DE138" s="1419">
        <f t="shared" si="221"/>
        <v>3.4421507729695211E-2</v>
      </c>
      <c r="DF138" s="1378"/>
      <c r="DG138" s="1412" t="str">
        <f t="shared" si="222"/>
        <v>Price</v>
      </c>
      <c r="DH138" s="1413" t="str">
        <f t="shared" si="222"/>
        <v>Water</v>
      </c>
      <c r="DI138" s="1426" t="str">
        <f t="shared" si="222"/>
        <v>Fixed</v>
      </c>
      <c r="DJ138" s="1426"/>
      <c r="DK138" s="1427">
        <f t="shared" si="223"/>
        <v>5.3189681422920909E-2</v>
      </c>
      <c r="DL138" s="1417">
        <f t="shared" si="224"/>
        <v>5.3176715467065261E-2</v>
      </c>
      <c r="DM138" s="1417">
        <f t="shared" si="225"/>
        <v>5.3164060442113525E-2</v>
      </c>
      <c r="DN138" s="1418">
        <f t="shared" si="226"/>
        <v>4.5624054960544225E-2</v>
      </c>
      <c r="DO138" s="1417">
        <f t="shared" si="227"/>
        <v>4.0627398437319773E-2</v>
      </c>
      <c r="DP138" s="1417">
        <f t="shared" si="228"/>
        <v>3.7072983421804873E-2</v>
      </c>
      <c r="DQ138" s="1417">
        <f t="shared" si="229"/>
        <v>3.4415141714963182E-2</v>
      </c>
      <c r="DR138" s="1419">
        <f t="shared" si="230"/>
        <v>3.2352641645023272E-2</v>
      </c>
    </row>
    <row r="139" spans="4:122">
      <c r="E139" s="742" t="s">
        <v>45</v>
      </c>
      <c r="F139" s="722" t="str">
        <f>+F138</f>
        <v>Water</v>
      </c>
      <c r="G139" s="723" t="str">
        <f>+G138</f>
        <v>Fixed tariff group - 2 -150mm</v>
      </c>
      <c r="H139" s="723">
        <f>+H138</f>
        <v>0</v>
      </c>
      <c r="I139" s="724" t="str">
        <f>+I138</f>
        <v>Fixed</v>
      </c>
      <c r="J139" s="782" t="s">
        <v>323</v>
      </c>
      <c r="K139" s="1540"/>
      <c r="L139" s="1541"/>
      <c r="M139" s="1541"/>
      <c r="N139" s="1542"/>
      <c r="O139" s="2031">
        <v>1</v>
      </c>
      <c r="P139" s="1543">
        <v>1</v>
      </c>
      <c r="Q139" s="1543">
        <v>2</v>
      </c>
      <c r="R139" s="1543">
        <v>1</v>
      </c>
      <c r="S139" s="1543">
        <v>1</v>
      </c>
      <c r="T139" s="1543">
        <v>1</v>
      </c>
      <c r="U139" s="1543">
        <v>1</v>
      </c>
      <c r="V139" s="1543">
        <v>2</v>
      </c>
      <c r="W139" s="1543">
        <v>2</v>
      </c>
      <c r="X139" s="1544">
        <v>2</v>
      </c>
      <c r="Y139" s="1543">
        <v>2</v>
      </c>
      <c r="Z139" s="1543">
        <v>2</v>
      </c>
      <c r="AA139" s="1543">
        <v>2</v>
      </c>
      <c r="AB139" s="1543">
        <v>2</v>
      </c>
      <c r="AC139" s="1544">
        <v>2</v>
      </c>
      <c r="AD139" s="1543">
        <v>2</v>
      </c>
      <c r="AE139" s="1543">
        <v>2</v>
      </c>
      <c r="AF139" s="1543">
        <v>2</v>
      </c>
      <c r="AG139" s="788">
        <v>2</v>
      </c>
      <c r="AH139" s="697"/>
      <c r="AI139" s="707"/>
      <c r="AJ139" s="709">
        <f t="shared" si="234"/>
        <v>2</v>
      </c>
      <c r="AK139" s="710">
        <f t="shared" si="235"/>
        <v>2</v>
      </c>
      <c r="AL139" s="710">
        <f t="shared" si="236"/>
        <v>2</v>
      </c>
      <c r="AM139" s="710">
        <f t="shared" si="237"/>
        <v>2</v>
      </c>
      <c r="AN139" s="710">
        <f t="shared" si="238"/>
        <v>2</v>
      </c>
      <c r="AO139" s="711">
        <f t="shared" si="239"/>
        <v>2</v>
      </c>
      <c r="AP139" s="707">
        <f t="shared" si="240"/>
        <v>2</v>
      </c>
      <c r="AQ139" s="707">
        <f t="shared" si="241"/>
        <v>2</v>
      </c>
      <c r="AR139" s="707">
        <f t="shared" si="242"/>
        <v>2</v>
      </c>
      <c r="AS139" s="712">
        <f t="shared" si="243"/>
        <v>2</v>
      </c>
      <c r="AV139" s="1559"/>
      <c r="AW139" s="1392" t="str">
        <f t="shared" si="191"/>
        <v>Qty</v>
      </c>
      <c r="AX139" s="1393" t="str">
        <f t="shared" si="191"/>
        <v>Water</v>
      </c>
      <c r="AY139" s="1394" t="str">
        <f t="shared" si="192"/>
        <v>Fixed</v>
      </c>
      <c r="AZ139" s="1395">
        <f t="shared" si="193"/>
        <v>0</v>
      </c>
      <c r="BA139" s="1395">
        <f t="shared" si="193"/>
        <v>1</v>
      </c>
      <c r="BB139" s="1395">
        <f t="shared" si="193"/>
        <v>-0.5</v>
      </c>
      <c r="BC139" s="1395">
        <f t="shared" si="194"/>
        <v>0</v>
      </c>
      <c r="BD139" s="1395">
        <f t="shared" si="195"/>
        <v>0</v>
      </c>
      <c r="BE139" s="1395">
        <f t="shared" si="196"/>
        <v>0</v>
      </c>
      <c r="BF139" s="1395">
        <f t="shared" si="197"/>
        <v>1</v>
      </c>
      <c r="BG139" s="1396">
        <f t="shared" si="198"/>
        <v>0</v>
      </c>
      <c r="BH139" s="1395">
        <f t="shared" si="199"/>
        <v>0</v>
      </c>
      <c r="BI139" s="1395">
        <f t="shared" si="200"/>
        <v>0</v>
      </c>
      <c r="BJ139" s="1395">
        <f t="shared" si="201"/>
        <v>0</v>
      </c>
      <c r="BK139" s="1395">
        <f t="shared" si="202"/>
        <v>0</v>
      </c>
      <c r="BL139" s="1397">
        <f t="shared" si="203"/>
        <v>0</v>
      </c>
      <c r="BM139" s="1395">
        <f t="shared" si="204"/>
        <v>0</v>
      </c>
      <c r="BN139" s="1395">
        <f t="shared" si="205"/>
        <v>0</v>
      </c>
      <c r="BO139" s="1395">
        <f t="shared" si="206"/>
        <v>0</v>
      </c>
      <c r="BP139" s="1395">
        <f t="shared" si="207"/>
        <v>0</v>
      </c>
      <c r="BQ139" s="1398">
        <f t="shared" si="208"/>
        <v>0</v>
      </c>
      <c r="BR139" s="1378"/>
      <c r="BS139" s="1329"/>
      <c r="BT139" s="1399"/>
      <c r="BU139" s="1331"/>
      <c r="BV139" s="1400"/>
      <c r="BW139" s="1378"/>
      <c r="BX139" s="1392" t="str">
        <f t="shared" si="209"/>
        <v>Qty</v>
      </c>
      <c r="BY139" s="1393" t="str">
        <f t="shared" si="210"/>
        <v>Water</v>
      </c>
      <c r="BZ139" s="1394" t="str">
        <f t="shared" si="211"/>
        <v>Fixed</v>
      </c>
      <c r="CA139" s="1401">
        <f t="shared" ref="CA139:CR139" si="252">IFERROR((P139/O139-1)*(O140/O$13),"-")</f>
        <v>0</v>
      </c>
      <c r="CB139" s="1395">
        <f t="shared" si="252"/>
        <v>2.0831698321678108E-4</v>
      </c>
      <c r="CC139" s="1395">
        <f t="shared" si="252"/>
        <v>-2.0928836670654853E-4</v>
      </c>
      <c r="CD139" s="1395">
        <f t="shared" si="252"/>
        <v>0</v>
      </c>
      <c r="CE139" s="1395">
        <f t="shared" si="252"/>
        <v>0</v>
      </c>
      <c r="CF139" s="1395">
        <f t="shared" si="252"/>
        <v>0</v>
      </c>
      <c r="CG139" s="1395">
        <f t="shared" si="252"/>
        <v>1.9416349685779838E-4</v>
      </c>
      <c r="CH139" s="1397">
        <f t="shared" si="252"/>
        <v>0</v>
      </c>
      <c r="CI139" s="1395">
        <f t="shared" si="252"/>
        <v>0</v>
      </c>
      <c r="CJ139" s="1395">
        <f t="shared" si="252"/>
        <v>0</v>
      </c>
      <c r="CK139" s="1395">
        <f t="shared" si="252"/>
        <v>0</v>
      </c>
      <c r="CL139" s="1395">
        <f t="shared" si="252"/>
        <v>0</v>
      </c>
      <c r="CM139" s="1397">
        <f t="shared" si="252"/>
        <v>0</v>
      </c>
      <c r="CN139" s="1395">
        <f t="shared" si="252"/>
        <v>0</v>
      </c>
      <c r="CO139" s="1395">
        <f t="shared" si="252"/>
        <v>0</v>
      </c>
      <c r="CP139" s="1395">
        <f t="shared" si="252"/>
        <v>0</v>
      </c>
      <c r="CQ139" s="1395">
        <f t="shared" si="252"/>
        <v>0</v>
      </c>
      <c r="CR139" s="1398">
        <f t="shared" si="252"/>
        <v>0</v>
      </c>
      <c r="CS139" s="1378"/>
      <c r="CT139" s="1392" t="str">
        <f t="shared" si="188"/>
        <v>Qty</v>
      </c>
      <c r="CU139" s="1393" t="str">
        <f t="shared" si="189"/>
        <v>Water</v>
      </c>
      <c r="CV139" s="1393" t="str">
        <f t="shared" si="190"/>
        <v>Fixed</v>
      </c>
      <c r="CW139" s="1401">
        <f t="shared" si="213"/>
        <v>0</v>
      </c>
      <c r="CX139" s="1395">
        <f t="shared" si="214"/>
        <v>0</v>
      </c>
      <c r="CY139" s="1395">
        <f t="shared" si="215"/>
        <v>0</v>
      </c>
      <c r="CZ139" s="1398">
        <f t="shared" si="216"/>
        <v>0</v>
      </c>
      <c r="DA139" s="1395">
        <f t="shared" si="217"/>
        <v>0</v>
      </c>
      <c r="DB139" s="1395">
        <f t="shared" si="218"/>
        <v>0</v>
      </c>
      <c r="DC139" s="1395">
        <f t="shared" si="219"/>
        <v>0</v>
      </c>
      <c r="DD139" s="1395">
        <f t="shared" si="220"/>
        <v>0</v>
      </c>
      <c r="DE139" s="1398">
        <f t="shared" si="221"/>
        <v>0</v>
      </c>
      <c r="DF139" s="1378"/>
      <c r="DG139" s="1392" t="str">
        <f t="shared" si="222"/>
        <v>Qty</v>
      </c>
      <c r="DH139" s="1393" t="str">
        <f t="shared" si="222"/>
        <v>Water</v>
      </c>
      <c r="DI139" s="1393" t="str">
        <f t="shared" si="222"/>
        <v>Fixed</v>
      </c>
      <c r="DJ139" s="1393"/>
      <c r="DK139" s="1401">
        <f t="shared" si="223"/>
        <v>0</v>
      </c>
      <c r="DL139" s="1395">
        <f t="shared" si="224"/>
        <v>0</v>
      </c>
      <c r="DM139" s="1395">
        <f t="shared" si="225"/>
        <v>0</v>
      </c>
      <c r="DN139" s="1397">
        <f t="shared" si="226"/>
        <v>0</v>
      </c>
      <c r="DO139" s="1395">
        <f t="shared" si="227"/>
        <v>0</v>
      </c>
      <c r="DP139" s="1395">
        <f t="shared" si="228"/>
        <v>0</v>
      </c>
      <c r="DQ139" s="1395">
        <f t="shared" si="229"/>
        <v>0</v>
      </c>
      <c r="DR139" s="1398">
        <f t="shared" si="230"/>
        <v>0</v>
      </c>
    </row>
    <row r="140" spans="4:122" ht="12.75" thickBot="1">
      <c r="E140" s="743" t="s">
        <v>46</v>
      </c>
      <c r="F140" s="732" t="str">
        <f>+F138</f>
        <v>Water</v>
      </c>
      <c r="G140" s="733" t="str">
        <f>+G138</f>
        <v>Fixed tariff group - 2 -150mm</v>
      </c>
      <c r="H140" s="733">
        <f>+H138</f>
        <v>0</v>
      </c>
      <c r="I140" s="734" t="str">
        <f>+I138</f>
        <v>Fixed</v>
      </c>
      <c r="J140" s="735" t="s">
        <v>344</v>
      </c>
      <c r="K140" s="736">
        <f t="shared" ref="K140:AG140" si="253">K138*K139/10^6</f>
        <v>0</v>
      </c>
      <c r="L140" s="737">
        <f t="shared" si="253"/>
        <v>0</v>
      </c>
      <c r="M140" s="737">
        <f t="shared" si="253"/>
        <v>0</v>
      </c>
      <c r="N140" s="738">
        <f t="shared" si="253"/>
        <v>0</v>
      </c>
      <c r="O140" s="1923">
        <f t="shared" si="253"/>
        <v>1.6043021457013574E-2</v>
      </c>
      <c r="P140" s="737">
        <f t="shared" si="253"/>
        <v>1.6115210701598579E-2</v>
      </c>
      <c r="Q140" s="737">
        <f t="shared" si="253"/>
        <v>3.1806708588957053E-2</v>
      </c>
      <c r="R140" s="737">
        <f t="shared" si="253"/>
        <v>1.5562373284734133E-2</v>
      </c>
      <c r="S140" s="737">
        <f t="shared" si="253"/>
        <v>1.5198750534351144E-2</v>
      </c>
      <c r="T140" s="1531">
        <f t="shared" si="253"/>
        <v>1.4972058474576271E-2</v>
      </c>
      <c r="U140" s="737">
        <f t="shared" si="253"/>
        <v>1.5225458959276019E-2</v>
      </c>
      <c r="V140" s="737">
        <f t="shared" si="253"/>
        <v>3.0505767074235801E-2</v>
      </c>
      <c r="W140" s="737">
        <f t="shared" si="253"/>
        <v>3.0791799999999998E-2</v>
      </c>
      <c r="X140" s="738">
        <f t="shared" si="253"/>
        <v>3.2430812911205767E-2</v>
      </c>
      <c r="Y140" s="737">
        <f t="shared" si="253"/>
        <v>3.4156227962903608E-2</v>
      </c>
      <c r="Z140" s="737">
        <f t="shared" si="253"/>
        <v>3.5972533506980077E-2</v>
      </c>
      <c r="AA140" s="737">
        <f t="shared" si="253"/>
        <v>3.788450186657364E-2</v>
      </c>
      <c r="AB140" s="737">
        <f t="shared" si="253"/>
        <v>3.9897157560243111E-2</v>
      </c>
      <c r="AC140" s="738">
        <f t="shared" si="253"/>
        <v>4.0535512081207002E-2</v>
      </c>
      <c r="AD140" s="737">
        <f t="shared" si="253"/>
        <v>4.1184080274506311E-2</v>
      </c>
      <c r="AE140" s="737">
        <f t="shared" si="253"/>
        <v>4.1843025558898413E-2</v>
      </c>
      <c r="AF140" s="737">
        <f t="shared" si="253"/>
        <v>4.2512513967840788E-2</v>
      </c>
      <c r="AG140" s="739">
        <f t="shared" si="253"/>
        <v>4.319271419132624E-2</v>
      </c>
      <c r="AH140" s="697"/>
      <c r="AI140" s="707"/>
      <c r="AJ140" s="709">
        <f t="shared" si="234"/>
        <v>3.2430812911205767E-2</v>
      </c>
      <c r="AK140" s="710">
        <f t="shared" si="235"/>
        <v>3.4156227962903608E-2</v>
      </c>
      <c r="AL140" s="710">
        <f t="shared" si="236"/>
        <v>3.5972533506980077E-2</v>
      </c>
      <c r="AM140" s="710">
        <f t="shared" si="237"/>
        <v>3.788450186657364E-2</v>
      </c>
      <c r="AN140" s="710">
        <f t="shared" si="238"/>
        <v>3.9897157560243111E-2</v>
      </c>
      <c r="AO140" s="711">
        <f t="shared" si="239"/>
        <v>4.0535512081207002E-2</v>
      </c>
      <c r="AP140" s="707">
        <f t="shared" si="240"/>
        <v>4.1184080274506311E-2</v>
      </c>
      <c r="AQ140" s="707">
        <f t="shared" si="241"/>
        <v>4.1843025558898413E-2</v>
      </c>
      <c r="AR140" s="707">
        <f t="shared" si="242"/>
        <v>4.2512513967840788E-2</v>
      </c>
      <c r="AS140" s="712">
        <f t="shared" si="243"/>
        <v>4.319271419132624E-2</v>
      </c>
      <c r="AV140" s="1559"/>
      <c r="AW140" s="1428" t="str">
        <f t="shared" si="191"/>
        <v>Rev</v>
      </c>
      <c r="AX140" s="1429" t="str">
        <f t="shared" si="191"/>
        <v>Water</v>
      </c>
      <c r="AY140" s="1430" t="str">
        <f t="shared" si="192"/>
        <v>Fixed</v>
      </c>
      <c r="AZ140" s="1431">
        <f t="shared" si="193"/>
        <v>4.4997287311765444E-3</v>
      </c>
      <c r="BA140" s="1431">
        <f t="shared" si="193"/>
        <v>0.97370727432077109</v>
      </c>
      <c r="BB140" s="1431">
        <f t="shared" si="193"/>
        <v>-0.51072041166380788</v>
      </c>
      <c r="BC140" s="1431">
        <f t="shared" si="194"/>
        <v>-2.3365507543742337E-2</v>
      </c>
      <c r="BD140" s="1431">
        <f t="shared" si="195"/>
        <v>-1.4915177353725162E-2</v>
      </c>
      <c r="BE140" s="1431">
        <f t="shared" si="196"/>
        <v>1.6924892801483571E-2</v>
      </c>
      <c r="BF140" s="1431">
        <f t="shared" si="197"/>
        <v>1.0036024632052452</v>
      </c>
      <c r="BG140" s="1432">
        <f t="shared" si="198"/>
        <v>9.3763557909603001E-3</v>
      </c>
      <c r="BH140" s="1431">
        <f t="shared" si="199"/>
        <v>5.3228876233470279E-2</v>
      </c>
      <c r="BI140" s="1431">
        <f t="shared" si="200"/>
        <v>5.3202954129517366E-2</v>
      </c>
      <c r="BJ140" s="1431">
        <f t="shared" si="201"/>
        <v>5.3176408883589987E-2</v>
      </c>
      <c r="BK140" s="1431">
        <f t="shared" si="202"/>
        <v>5.3150784034228904E-2</v>
      </c>
      <c r="BL140" s="1433">
        <f t="shared" si="203"/>
        <v>5.3126096279631607E-2</v>
      </c>
      <c r="BM140" s="1431">
        <f t="shared" si="204"/>
        <v>1.6000000000000014E-2</v>
      </c>
      <c r="BN140" s="1431">
        <f t="shared" si="205"/>
        <v>1.6000000000000014E-2</v>
      </c>
      <c r="BO140" s="1431">
        <f t="shared" si="206"/>
        <v>1.6000000000000014E-2</v>
      </c>
      <c r="BP140" s="1431">
        <f t="shared" si="207"/>
        <v>1.6000000000000014E-2</v>
      </c>
      <c r="BQ140" s="1434">
        <f t="shared" si="208"/>
        <v>1.6000000000000014E-2</v>
      </c>
      <c r="BR140" s="1378"/>
      <c r="BS140" s="1407"/>
      <c r="BT140" s="1408"/>
      <c r="BU140" s="1409"/>
      <c r="BV140" s="1410"/>
      <c r="BW140" s="1378"/>
      <c r="BX140" s="1428" t="str">
        <f t="shared" si="209"/>
        <v>Rev</v>
      </c>
      <c r="BY140" s="1429" t="str">
        <f t="shared" si="210"/>
        <v>Water</v>
      </c>
      <c r="BZ140" s="1430" t="str">
        <f t="shared" si="211"/>
        <v>Fixed</v>
      </c>
      <c r="CA140" s="1435">
        <f t="shared" ref="CA140:CR140" si="254">IFERROR((P140/O140-1)*(O140/O$13),"-")</f>
        <v>9.5738157734236618E-7</v>
      </c>
      <c r="CB140" s="1431">
        <f t="shared" si="254"/>
        <v>2.0283976192273773E-4</v>
      </c>
      <c r="CC140" s="1431">
        <f t="shared" si="254"/>
        <v>-2.137756816016289E-4</v>
      </c>
      <c r="CD140" s="1431">
        <f t="shared" si="254"/>
        <v>-4.8740368156426698E-6</v>
      </c>
      <c r="CE140" s="1431">
        <f t="shared" si="254"/>
        <v>-3.1449878296126468E-6</v>
      </c>
      <c r="CF140" s="1431">
        <f t="shared" si="254"/>
        <v>3.3950660456526578E-6</v>
      </c>
      <c r="CG140" s="1431">
        <f t="shared" si="254"/>
        <v>1.9486296371103035E-4</v>
      </c>
      <c r="CH140" s="1433">
        <f t="shared" si="254"/>
        <v>3.4820267286164713E-6</v>
      </c>
      <c r="CI140" s="1431">
        <f t="shared" si="254"/>
        <v>2.031676810403709E-5</v>
      </c>
      <c r="CJ140" s="1431">
        <f t="shared" si="254"/>
        <v>1.9881987725975149E-5</v>
      </c>
      <c r="CK140" s="1431">
        <f t="shared" si="254"/>
        <v>1.9672999524825585E-5</v>
      </c>
      <c r="CL140" s="1431">
        <f t="shared" si="254"/>
        <v>1.946521841596217E-5</v>
      </c>
      <c r="CM140" s="1433">
        <f t="shared" si="254"/>
        <v>1.9255228200741846E-5</v>
      </c>
      <c r="CN140" s="1431">
        <f t="shared" si="254"/>
        <v>5.7399085209274895E-6</v>
      </c>
      <c r="CO140" s="1431">
        <f t="shared" si="254"/>
        <v>5.6747163789367227E-6</v>
      </c>
      <c r="CP140" s="1431">
        <f t="shared" si="254"/>
        <v>5.6088233203495852E-6</v>
      </c>
      <c r="CQ140" s="1431">
        <f t="shared" si="254"/>
        <v>5.5443341096890736E-6</v>
      </c>
      <c r="CR140" s="1434">
        <f t="shared" si="254"/>
        <v>5.4779041982836898E-6</v>
      </c>
      <c r="CS140" s="1378"/>
      <c r="CT140" s="1428" t="str">
        <f t="shared" si="188"/>
        <v>Rev</v>
      </c>
      <c r="CU140" s="1429" t="str">
        <f t="shared" si="189"/>
        <v>Water</v>
      </c>
      <c r="CV140" s="1429" t="str">
        <f t="shared" si="190"/>
        <v>Fixed</v>
      </c>
      <c r="CW140" s="1435">
        <f t="shared" si="213"/>
        <v>5.3215915101743283E-2</v>
      </c>
      <c r="CX140" s="1431">
        <f t="shared" si="214"/>
        <v>5.3202746197701822E-2</v>
      </c>
      <c r="CY140" s="1431">
        <f t="shared" si="215"/>
        <v>5.3189755416482631E-2</v>
      </c>
      <c r="CZ140" s="1434">
        <f t="shared" si="216"/>
        <v>5.3177023281275382E-2</v>
      </c>
      <c r="DA140" s="1431">
        <f t="shared" si="217"/>
        <v>4.6887701195210019E-2</v>
      </c>
      <c r="DB140" s="1431">
        <f t="shared" si="218"/>
        <v>4.2418336277010305E-2</v>
      </c>
      <c r="DC140" s="1431">
        <f t="shared" si="219"/>
        <v>3.9078838678606287E-2</v>
      </c>
      <c r="DD140" s="1431">
        <f t="shared" si="220"/>
        <v>3.6488849863042239E-2</v>
      </c>
      <c r="DE140" s="1434">
        <f t="shared" si="221"/>
        <v>3.4421507729695211E-2</v>
      </c>
      <c r="DF140" s="1378"/>
      <c r="DG140" s="1428" t="str">
        <f t="shared" si="222"/>
        <v>Rev</v>
      </c>
      <c r="DH140" s="1429" t="str">
        <f t="shared" si="222"/>
        <v>Water</v>
      </c>
      <c r="DI140" s="1429" t="str">
        <f t="shared" si="222"/>
        <v>Fixed</v>
      </c>
      <c r="DJ140" s="1429"/>
      <c r="DK140" s="1435">
        <f t="shared" si="223"/>
        <v>5.3189681422920909E-2</v>
      </c>
      <c r="DL140" s="1431">
        <f t="shared" si="224"/>
        <v>5.3176715467065261E-2</v>
      </c>
      <c r="DM140" s="1431">
        <f t="shared" si="225"/>
        <v>5.3164060442113525E-2</v>
      </c>
      <c r="DN140" s="1433">
        <f t="shared" si="226"/>
        <v>4.5624054960544225E-2</v>
      </c>
      <c r="DO140" s="1431">
        <f t="shared" si="227"/>
        <v>4.0627398437319773E-2</v>
      </c>
      <c r="DP140" s="1431">
        <f t="shared" si="228"/>
        <v>3.7072983421804873E-2</v>
      </c>
      <c r="DQ140" s="1431">
        <f t="shared" si="229"/>
        <v>3.4415141714963182E-2</v>
      </c>
      <c r="DR140" s="1434">
        <f t="shared" si="230"/>
        <v>3.2352641645023272E-2</v>
      </c>
    </row>
    <row r="141" spans="4:122">
      <c r="D141" s="70">
        <f>D138+1</f>
        <v>26</v>
      </c>
      <c r="E141" s="713" t="s">
        <v>44</v>
      </c>
      <c r="F141" s="1532" t="s">
        <v>20</v>
      </c>
      <c r="G141" s="1532" t="s">
        <v>888</v>
      </c>
      <c r="H141" s="1532"/>
      <c r="I141" s="781" t="s">
        <v>319</v>
      </c>
      <c r="J141" s="781" t="s">
        <v>345</v>
      </c>
      <c r="K141" s="1533"/>
      <c r="L141" s="1534"/>
      <c r="M141" s="1534"/>
      <c r="N141" s="1535"/>
      <c r="O141" s="2071">
        <v>309.15800904977374</v>
      </c>
      <c r="P141" s="1547">
        <v>310.57713143872115</v>
      </c>
      <c r="Q141" s="1547">
        <v>306.48184049079754</v>
      </c>
      <c r="R141" s="1547">
        <v>299.91061749571179</v>
      </c>
      <c r="S141" s="1547">
        <v>292.88035623409667</v>
      </c>
      <c r="T141" s="1547">
        <v>288.50881355932199</v>
      </c>
      <c r="U141" s="1547">
        <v>293.37966063348415</v>
      </c>
      <c r="V141" s="1547">
        <v>293.91349344978158</v>
      </c>
      <c r="W141" s="1547">
        <v>296.66000000000003</v>
      </c>
      <c r="X141" s="1550">
        <v>324.4967952031439</v>
      </c>
      <c r="Y141" s="1551">
        <v>353.96780814741999</v>
      </c>
      <c r="Z141" s="1551">
        <v>385.15306863372621</v>
      </c>
      <c r="AA141" s="1551">
        <v>418.14288681541626</v>
      </c>
      <c r="AB141" s="1595">
        <v>453.03321328651208</v>
      </c>
      <c r="AC141" s="1550">
        <v>460.28174469909629</v>
      </c>
      <c r="AD141" s="1551">
        <v>467.64625261428182</v>
      </c>
      <c r="AE141" s="1551">
        <v>475.12859265611036</v>
      </c>
      <c r="AF141" s="1551">
        <v>482.73065013860815</v>
      </c>
      <c r="AG141" s="1552">
        <v>490.45434054082591</v>
      </c>
      <c r="AH141" s="697"/>
      <c r="AI141" s="707"/>
      <c r="AJ141" s="709">
        <f t="shared" si="234"/>
        <v>324.4967952031439</v>
      </c>
      <c r="AK141" s="710">
        <f t="shared" si="235"/>
        <v>353.96780814741999</v>
      </c>
      <c r="AL141" s="710">
        <f t="shared" si="236"/>
        <v>385.15306863372621</v>
      </c>
      <c r="AM141" s="710">
        <f t="shared" si="237"/>
        <v>418.14288681541626</v>
      </c>
      <c r="AN141" s="710">
        <f t="shared" si="238"/>
        <v>453.03321328651208</v>
      </c>
      <c r="AO141" s="711">
        <f t="shared" si="239"/>
        <v>460.28174469909629</v>
      </c>
      <c r="AP141" s="707">
        <f t="shared" si="240"/>
        <v>467.64625261428182</v>
      </c>
      <c r="AQ141" s="707">
        <f t="shared" si="241"/>
        <v>475.12859265611036</v>
      </c>
      <c r="AR141" s="707">
        <f t="shared" si="242"/>
        <v>482.73065013860815</v>
      </c>
      <c r="AS141" s="712">
        <f t="shared" si="243"/>
        <v>490.45434054082591</v>
      </c>
      <c r="AU141" s="1369"/>
      <c r="AV141" s="1559"/>
      <c r="AW141" s="1412" t="str">
        <f t="shared" si="191"/>
        <v>Price</v>
      </c>
      <c r="AX141" s="1413" t="str">
        <f t="shared" si="191"/>
        <v>Water</v>
      </c>
      <c r="AY141" s="1414" t="str">
        <f t="shared" si="192"/>
        <v>Fixed</v>
      </c>
      <c r="AZ141" s="1415">
        <f t="shared" si="193"/>
        <v>4.5902818216134733E-3</v>
      </c>
      <c r="BA141" s="1415">
        <f t="shared" si="193"/>
        <v>-1.3186067270801738E-2</v>
      </c>
      <c r="BB141" s="1415">
        <f t="shared" si="193"/>
        <v>-2.1440823327615877E-2</v>
      </c>
      <c r="BC141" s="1415">
        <f t="shared" si="194"/>
        <v>-2.3441188312433248E-2</v>
      </c>
      <c r="BD141" s="1415">
        <f t="shared" si="195"/>
        <v>-1.4926035774418867E-2</v>
      </c>
      <c r="BE141" s="1415">
        <f t="shared" si="196"/>
        <v>1.6882836312938521E-2</v>
      </c>
      <c r="BF141" s="1415">
        <f t="shared" si="197"/>
        <v>1.8195972247863068E-3</v>
      </c>
      <c r="BG141" s="1416">
        <f t="shared" si="198"/>
        <v>9.3446085716637484E-3</v>
      </c>
      <c r="BH141" s="1417">
        <f t="shared" si="199"/>
        <v>9.383400257245289E-2</v>
      </c>
      <c r="BI141" s="1417">
        <f t="shared" si="200"/>
        <v>9.0820659494730727E-2</v>
      </c>
      <c r="BJ141" s="1417">
        <f t="shared" si="201"/>
        <v>8.8101967943136295E-2</v>
      </c>
      <c r="BK141" s="1417">
        <f t="shared" si="202"/>
        <v>8.5653785126823978E-2</v>
      </c>
      <c r="BL141" s="1418">
        <f t="shared" si="203"/>
        <v>8.344115748762615E-2</v>
      </c>
      <c r="BM141" s="1417">
        <f t="shared" si="204"/>
        <v>1.6000000000000014E-2</v>
      </c>
      <c r="BN141" s="1417">
        <f t="shared" si="205"/>
        <v>1.6000000000000014E-2</v>
      </c>
      <c r="BO141" s="1417">
        <f t="shared" si="206"/>
        <v>1.6000000000000014E-2</v>
      </c>
      <c r="BP141" s="1417">
        <f t="shared" si="207"/>
        <v>1.6000000000000014E-2</v>
      </c>
      <c r="BQ141" s="1419">
        <f t="shared" si="208"/>
        <v>1.6000000000000014E-2</v>
      </c>
      <c r="BR141" s="1378"/>
      <c r="BS141" s="1420"/>
      <c r="BT141" s="1421"/>
      <c r="BU141" s="1422"/>
      <c r="BV141" s="1423"/>
      <c r="BW141" s="1378"/>
      <c r="BX141" s="1412" t="str">
        <f t="shared" si="209"/>
        <v>Price</v>
      </c>
      <c r="BY141" s="1413" t="str">
        <f t="shared" si="210"/>
        <v>Water</v>
      </c>
      <c r="BZ141" s="1414" t="str">
        <f t="shared" si="211"/>
        <v>Fixed</v>
      </c>
      <c r="CA141" s="1424">
        <f t="shared" ref="CA141:CR141" si="255">IFERROR((P141/O141-1)*(O143/O$13),"-")</f>
        <v>1.1156824864825346E-4</v>
      </c>
      <c r="CB141" s="1415">
        <f t="shared" si="255"/>
        <v>-3.1715588214993872E-4</v>
      </c>
      <c r="CC141" s="1415">
        <f t="shared" si="255"/>
        <v>-5.2240989638045537E-4</v>
      </c>
      <c r="CD141" s="1415">
        <f t="shared" si="255"/>
        <v>-5.735102320931103E-4</v>
      </c>
      <c r="CE141" s="1415">
        <f t="shared" si="255"/>
        <v>-3.7310726855685212E-4</v>
      </c>
      <c r="CF141" s="1415">
        <f t="shared" si="255"/>
        <v>4.026760766039205E-4</v>
      </c>
      <c r="CG141" s="1415">
        <f t="shared" si="255"/>
        <v>4.2405363519060487E-5</v>
      </c>
      <c r="CH141" s="1425">
        <f t="shared" si="255"/>
        <v>2.1030391456383681E-4</v>
      </c>
      <c r="CI141" s="1417">
        <f t="shared" si="255"/>
        <v>2.1914602417605292E-3</v>
      </c>
      <c r="CJ141" s="1417">
        <f t="shared" si="255"/>
        <v>2.1774831145396109E-3</v>
      </c>
      <c r="CK141" s="1417">
        <f t="shared" si="255"/>
        <v>2.1867732060317632E-3</v>
      </c>
      <c r="CL141" s="1417">
        <f t="shared" si="255"/>
        <v>2.1955179248683261E-3</v>
      </c>
      <c r="CM141" s="1418">
        <f t="shared" si="255"/>
        <v>2.2030692691562622E-3</v>
      </c>
      <c r="CN141" s="1417">
        <f t="shared" si="255"/>
        <v>4.3433821897396178E-4</v>
      </c>
      <c r="CO141" s="1417">
        <f t="shared" si="255"/>
        <v>4.3352907596347172E-4</v>
      </c>
      <c r="CP141" s="1417">
        <f t="shared" si="255"/>
        <v>4.3263481118625878E-4</v>
      </c>
      <c r="CQ141" s="1417">
        <f t="shared" si="255"/>
        <v>4.3181555572222198E-4</v>
      </c>
      <c r="CR141" s="1419">
        <f t="shared" si="255"/>
        <v>4.3074703556619527E-4</v>
      </c>
      <c r="CS141" s="1378"/>
      <c r="CT141" s="1412" t="str">
        <f t="shared" si="188"/>
        <v>Price</v>
      </c>
      <c r="CU141" s="1413" t="str">
        <f t="shared" si="189"/>
        <v>Water</v>
      </c>
      <c r="CV141" s="1426" t="str">
        <f t="shared" si="190"/>
        <v>Fixed</v>
      </c>
      <c r="CW141" s="1427">
        <f t="shared" si="213"/>
        <v>9.2326291940207694E-2</v>
      </c>
      <c r="CX141" s="1417">
        <f t="shared" si="214"/>
        <v>9.091636485185739E-2</v>
      </c>
      <c r="CY141" s="1417">
        <f t="shared" si="215"/>
        <v>8.9598333199673919E-2</v>
      </c>
      <c r="CZ141" s="1419">
        <f t="shared" si="216"/>
        <v>8.8364105111672364E-2</v>
      </c>
      <c r="DA141" s="1417">
        <f t="shared" si="217"/>
        <v>7.5955045324104686E-2</v>
      </c>
      <c r="DB141" s="1417">
        <f t="shared" si="218"/>
        <v>6.7178147698538249E-2</v>
      </c>
      <c r="DC141" s="1417">
        <f t="shared" si="219"/>
        <v>6.0642491286458489E-2</v>
      </c>
      <c r="DD141" s="1417">
        <f t="shared" si="220"/>
        <v>5.5586887795326501E-2</v>
      </c>
      <c r="DE141" s="1419">
        <f t="shared" si="221"/>
        <v>5.1559760923486131E-2</v>
      </c>
      <c r="DF141" s="1378"/>
      <c r="DG141" s="1412" t="str">
        <f t="shared" si="222"/>
        <v>Price</v>
      </c>
      <c r="DH141" s="1413" t="str">
        <f t="shared" si="222"/>
        <v>Water</v>
      </c>
      <c r="DI141" s="1426" t="str">
        <f t="shared" si="222"/>
        <v>Fixed</v>
      </c>
      <c r="DJ141" s="1426"/>
      <c r="DK141" s="1427">
        <f t="shared" si="223"/>
        <v>8.9460465675210266E-2</v>
      </c>
      <c r="DL141" s="1417">
        <f t="shared" si="224"/>
        <v>8.8190091404563908E-2</v>
      </c>
      <c r="DM141" s="1417">
        <f t="shared" si="225"/>
        <v>8.7000910027102529E-2</v>
      </c>
      <c r="DN141" s="1418">
        <f t="shared" si="226"/>
        <v>7.2414476120448601E-2</v>
      </c>
      <c r="DO141" s="1417">
        <f t="shared" si="227"/>
        <v>6.2799091343963109E-2</v>
      </c>
      <c r="DP141" s="1417">
        <f t="shared" si="228"/>
        <v>5.5983787779009475E-2</v>
      </c>
      <c r="DQ141" s="1417">
        <f t="shared" si="229"/>
        <v>5.090100608360637E-2</v>
      </c>
      <c r="DR141" s="1419">
        <f t="shared" si="230"/>
        <v>4.6964651562449999E-2</v>
      </c>
    </row>
    <row r="142" spans="4:122">
      <c r="E142" s="742" t="s">
        <v>45</v>
      </c>
      <c r="F142" s="722" t="str">
        <f>+F141</f>
        <v>Water</v>
      </c>
      <c r="G142" s="723" t="str">
        <f>+G141</f>
        <v>Fixed tariff group - 3 -20mm</v>
      </c>
      <c r="H142" s="723">
        <f>+H141</f>
        <v>0</v>
      </c>
      <c r="I142" s="724" t="str">
        <f>+I141</f>
        <v>Fixed</v>
      </c>
      <c r="J142" s="782" t="s">
        <v>323</v>
      </c>
      <c r="K142" s="1540"/>
      <c r="L142" s="1541"/>
      <c r="M142" s="1541"/>
      <c r="N142" s="1542"/>
      <c r="O142" s="2031">
        <v>5928</v>
      </c>
      <c r="P142" s="1543">
        <v>5991</v>
      </c>
      <c r="Q142" s="1543">
        <v>6041</v>
      </c>
      <c r="R142" s="1543">
        <v>6086</v>
      </c>
      <c r="S142" s="1543">
        <v>6152</v>
      </c>
      <c r="T142" s="1543">
        <v>6170.3606382978724</v>
      </c>
      <c r="U142" s="1543">
        <v>6229</v>
      </c>
      <c r="V142" s="1543">
        <v>6290</v>
      </c>
      <c r="W142" s="1543">
        <v>6351</v>
      </c>
      <c r="X142" s="1544">
        <v>6412</v>
      </c>
      <c r="Y142" s="1543">
        <v>6474</v>
      </c>
      <c r="Z142" s="1543">
        <v>6537</v>
      </c>
      <c r="AA142" s="1543">
        <v>6600</v>
      </c>
      <c r="AB142" s="1543">
        <v>6664</v>
      </c>
      <c r="AC142" s="1544">
        <v>6728</v>
      </c>
      <c r="AD142" s="1543">
        <v>6793</v>
      </c>
      <c r="AE142" s="1543">
        <v>6859</v>
      </c>
      <c r="AF142" s="1543">
        <v>6925</v>
      </c>
      <c r="AG142" s="788">
        <v>6992</v>
      </c>
      <c r="AH142" s="697"/>
      <c r="AI142" s="707"/>
      <c r="AJ142" s="709">
        <f t="shared" si="234"/>
        <v>6412</v>
      </c>
      <c r="AK142" s="710">
        <f t="shared" si="235"/>
        <v>6474</v>
      </c>
      <c r="AL142" s="710">
        <f t="shared" si="236"/>
        <v>6537</v>
      </c>
      <c r="AM142" s="710">
        <f t="shared" si="237"/>
        <v>6600</v>
      </c>
      <c r="AN142" s="710">
        <f t="shared" si="238"/>
        <v>6664</v>
      </c>
      <c r="AO142" s="711">
        <f t="shared" si="239"/>
        <v>6728</v>
      </c>
      <c r="AP142" s="707">
        <f t="shared" si="240"/>
        <v>6793</v>
      </c>
      <c r="AQ142" s="707">
        <f t="shared" si="241"/>
        <v>6859</v>
      </c>
      <c r="AR142" s="707">
        <f t="shared" si="242"/>
        <v>6925</v>
      </c>
      <c r="AS142" s="712">
        <f t="shared" si="243"/>
        <v>6992</v>
      </c>
      <c r="AV142" s="1559"/>
      <c r="AW142" s="1392" t="str">
        <f t="shared" si="191"/>
        <v>Qty</v>
      </c>
      <c r="AX142" s="1393" t="str">
        <f t="shared" si="191"/>
        <v>Water</v>
      </c>
      <c r="AY142" s="1394" t="str">
        <f t="shared" si="192"/>
        <v>Fixed</v>
      </c>
      <c r="AZ142" s="1395">
        <f t="shared" si="193"/>
        <v>1.0627530364372362E-2</v>
      </c>
      <c r="BA142" s="1395">
        <f t="shared" si="193"/>
        <v>8.345852111500518E-3</v>
      </c>
      <c r="BB142" s="1395">
        <f t="shared" si="193"/>
        <v>7.4490978314849521E-3</v>
      </c>
      <c r="BC142" s="1395">
        <f t="shared" si="194"/>
        <v>1.0844561288202437E-2</v>
      </c>
      <c r="BD142" s="1395">
        <f t="shared" si="195"/>
        <v>2.9844990731262566E-3</v>
      </c>
      <c r="BE142" s="1395">
        <f t="shared" si="196"/>
        <v>9.5033929359278346E-3</v>
      </c>
      <c r="BF142" s="1395">
        <f t="shared" si="197"/>
        <v>9.7929041579707388E-3</v>
      </c>
      <c r="BG142" s="1396">
        <f t="shared" si="198"/>
        <v>9.6979332273450236E-3</v>
      </c>
      <c r="BH142" s="1395">
        <f t="shared" si="199"/>
        <v>9.604786647771979E-3</v>
      </c>
      <c r="BI142" s="1395">
        <f t="shared" si="200"/>
        <v>9.6693699313785686E-3</v>
      </c>
      <c r="BJ142" s="1395">
        <f t="shared" si="201"/>
        <v>9.7312326227989576E-3</v>
      </c>
      <c r="BK142" s="1395">
        <f t="shared" si="202"/>
        <v>9.6374483708123737E-3</v>
      </c>
      <c r="BL142" s="1397">
        <f t="shared" si="203"/>
        <v>9.6969696969697594E-3</v>
      </c>
      <c r="BM142" s="1395">
        <f t="shared" si="204"/>
        <v>9.6038415366146435E-3</v>
      </c>
      <c r="BN142" s="1395">
        <f t="shared" si="205"/>
        <v>9.66111771700362E-3</v>
      </c>
      <c r="BO142" s="1395">
        <f t="shared" si="206"/>
        <v>9.7158839982334211E-3</v>
      </c>
      <c r="BP142" s="1395">
        <f t="shared" si="207"/>
        <v>9.6223939349759924E-3</v>
      </c>
      <c r="BQ142" s="1398">
        <f t="shared" si="208"/>
        <v>9.6750902527076299E-3</v>
      </c>
      <c r="BR142" s="1378"/>
      <c r="BS142" s="1329"/>
      <c r="BT142" s="1399"/>
      <c r="BU142" s="1331"/>
      <c r="BV142" s="1400"/>
      <c r="BW142" s="1378"/>
      <c r="BX142" s="1392" t="str">
        <f t="shared" si="209"/>
        <v>Qty</v>
      </c>
      <c r="BY142" s="1393" t="str">
        <f t="shared" si="210"/>
        <v>Water</v>
      </c>
      <c r="BZ142" s="1394" t="str">
        <f t="shared" si="211"/>
        <v>Fixed</v>
      </c>
      <c r="CA142" s="1401">
        <f t="shared" ref="CA142:CR142" si="256">IFERROR((P142/O142-1)*(O143/O$13),"-")</f>
        <v>2.5830548020521979E-4</v>
      </c>
      <c r="CB142" s="1395">
        <f t="shared" si="256"/>
        <v>2.0073734149506859E-4</v>
      </c>
      <c r="CC142" s="1395">
        <f t="shared" si="256"/>
        <v>1.814987403614152E-4</v>
      </c>
      <c r="CD142" s="1395">
        <f t="shared" si="256"/>
        <v>2.6532216619948925E-4</v>
      </c>
      <c r="CE142" s="1395">
        <f t="shared" si="256"/>
        <v>7.460375373701321E-5</v>
      </c>
      <c r="CF142" s="1395">
        <f t="shared" si="256"/>
        <v>2.2666742192673468E-4</v>
      </c>
      <c r="CG142" s="1395">
        <f t="shared" si="256"/>
        <v>2.28221748785552E-4</v>
      </c>
      <c r="CH142" s="1397">
        <f t="shared" si="256"/>
        <v>2.1825561822609758E-4</v>
      </c>
      <c r="CI142" s="1395">
        <f t="shared" si="256"/>
        <v>2.243164257320507E-4</v>
      </c>
      <c r="CJ142" s="1395">
        <f t="shared" si="256"/>
        <v>2.3182929821199372E-4</v>
      </c>
      <c r="CK142" s="1395">
        <f t="shared" si="256"/>
        <v>2.415382908919097E-4</v>
      </c>
      <c r="CL142" s="1395">
        <f t="shared" si="256"/>
        <v>2.470315890509927E-4</v>
      </c>
      <c r="CM142" s="1397">
        <f t="shared" si="256"/>
        <v>2.5602588202952017E-4</v>
      </c>
      <c r="CN142" s="1395">
        <f t="shared" si="256"/>
        <v>2.607072142700848E-4</v>
      </c>
      <c r="CO142" s="1395">
        <f t="shared" si="256"/>
        <v>2.6177346478918135E-4</v>
      </c>
      <c r="CP142" s="1395">
        <f t="shared" si="256"/>
        <v>2.6271435244270658E-4</v>
      </c>
      <c r="CQ142" s="1395">
        <f t="shared" si="256"/>
        <v>2.5969371152561205E-4</v>
      </c>
      <c r="CR142" s="1398">
        <f t="shared" si="256"/>
        <v>2.604697778243249E-4</v>
      </c>
      <c r="CS142" s="1378"/>
      <c r="CT142" s="1392" t="str">
        <f t="shared" si="188"/>
        <v>Qty</v>
      </c>
      <c r="CU142" s="1393" t="str">
        <f t="shared" si="189"/>
        <v>Water</v>
      </c>
      <c r="CV142" s="1393" t="str">
        <f t="shared" si="190"/>
        <v>Fixed</v>
      </c>
      <c r="CW142" s="1401">
        <f t="shared" si="213"/>
        <v>9.6370777731769053E-3</v>
      </c>
      <c r="CX142" s="1395">
        <f t="shared" si="214"/>
        <v>9.6684617474884771E-3</v>
      </c>
      <c r="CY142" s="1395">
        <f t="shared" si="215"/>
        <v>9.6607083140096695E-3</v>
      </c>
      <c r="CZ142" s="1398">
        <f t="shared" si="216"/>
        <v>9.6679604864193802E-3</v>
      </c>
      <c r="DA142" s="1395">
        <f t="shared" si="217"/>
        <v>9.6572737120053098E-3</v>
      </c>
      <c r="DB142" s="1395">
        <f t="shared" si="218"/>
        <v>9.6578228546804201E-3</v>
      </c>
      <c r="DC142" s="1395">
        <f t="shared" si="219"/>
        <v>9.6650803150377662E-3</v>
      </c>
      <c r="DD142" s="1395">
        <f t="shared" si="220"/>
        <v>9.6603372947972055E-3</v>
      </c>
      <c r="DE142" s="1398">
        <f t="shared" si="221"/>
        <v>9.6618125808878297E-3</v>
      </c>
      <c r="DF142" s="1378"/>
      <c r="DG142" s="1392" t="str">
        <f t="shared" si="222"/>
        <v>Qty</v>
      </c>
      <c r="DH142" s="1393" t="str">
        <f t="shared" si="222"/>
        <v>Water</v>
      </c>
      <c r="DI142" s="1393" t="str">
        <f t="shared" si="222"/>
        <v>Fixed</v>
      </c>
      <c r="DJ142" s="1393"/>
      <c r="DK142" s="1401">
        <f t="shared" si="223"/>
        <v>9.7003008033105242E-3</v>
      </c>
      <c r="DL142" s="1395">
        <f t="shared" si="224"/>
        <v>9.6793495577431887E-3</v>
      </c>
      <c r="DM142" s="1395">
        <f t="shared" si="225"/>
        <v>9.683754563722724E-3</v>
      </c>
      <c r="DN142" s="1397">
        <f t="shared" si="226"/>
        <v>9.6677714522894753E-3</v>
      </c>
      <c r="DO142" s="1395">
        <f t="shared" si="227"/>
        <v>9.6666624933634537E-3</v>
      </c>
      <c r="DP142" s="1395">
        <f t="shared" si="228"/>
        <v>9.6736939900088359E-3</v>
      </c>
      <c r="DQ142" s="1395">
        <f t="shared" si="229"/>
        <v>9.6672813405833669E-3</v>
      </c>
      <c r="DR142" s="1398">
        <f t="shared" si="230"/>
        <v>9.6681489945036336E-3</v>
      </c>
    </row>
    <row r="143" spans="4:122" ht="12.75" thickBot="1">
      <c r="E143" s="743" t="s">
        <v>46</v>
      </c>
      <c r="F143" s="732" t="str">
        <f>+F141</f>
        <v>Water</v>
      </c>
      <c r="G143" s="733" t="str">
        <f>+G141</f>
        <v>Fixed tariff group - 3 -20mm</v>
      </c>
      <c r="H143" s="733">
        <f>+H141</f>
        <v>0</v>
      </c>
      <c r="I143" s="734" t="str">
        <f>+I141</f>
        <v>Fixed</v>
      </c>
      <c r="J143" s="735" t="s">
        <v>344</v>
      </c>
      <c r="K143" s="736">
        <f t="shared" ref="K143:AG143" si="257">K141*K142/10^6</f>
        <v>0</v>
      </c>
      <c r="L143" s="737">
        <f t="shared" si="257"/>
        <v>0</v>
      </c>
      <c r="M143" s="737">
        <f t="shared" si="257"/>
        <v>0</v>
      </c>
      <c r="N143" s="738">
        <f t="shared" si="257"/>
        <v>0</v>
      </c>
      <c r="O143" s="1923">
        <f t="shared" si="257"/>
        <v>1.8326886776470586</v>
      </c>
      <c r="P143" s="737">
        <f t="shared" si="257"/>
        <v>1.8606675944493782</v>
      </c>
      <c r="Q143" s="737">
        <f t="shared" si="257"/>
        <v>1.851456798404908</v>
      </c>
      <c r="R143" s="737">
        <f t="shared" si="257"/>
        <v>1.8252560180789021</v>
      </c>
      <c r="S143" s="737">
        <f t="shared" si="257"/>
        <v>1.8017999515521625</v>
      </c>
      <c r="T143" s="737">
        <f t="shared" si="257"/>
        <v>1.7802034269884599</v>
      </c>
      <c r="U143" s="737">
        <f t="shared" si="257"/>
        <v>1.8274619060859727</v>
      </c>
      <c r="V143" s="737">
        <f>V141*V142/10^6</f>
        <v>1.8487158737991261</v>
      </c>
      <c r="W143" s="737">
        <f t="shared" si="257"/>
        <v>1.8840876600000001</v>
      </c>
      <c r="X143" s="738">
        <f t="shared" si="257"/>
        <v>2.0806734508425588</v>
      </c>
      <c r="Y143" s="737">
        <f t="shared" si="257"/>
        <v>2.2915875899463973</v>
      </c>
      <c r="Z143" s="737">
        <f t="shared" si="257"/>
        <v>2.5177456096586681</v>
      </c>
      <c r="AA143" s="737">
        <f t="shared" si="257"/>
        <v>2.7597430529817473</v>
      </c>
      <c r="AB143" s="737">
        <f t="shared" si="257"/>
        <v>3.0190133333413165</v>
      </c>
      <c r="AC143" s="738">
        <f t="shared" si="257"/>
        <v>3.09677557833552</v>
      </c>
      <c r="AD143" s="737">
        <f t="shared" si="257"/>
        <v>3.1767209940088161</v>
      </c>
      <c r="AE143" s="737">
        <f t="shared" si="257"/>
        <v>3.2589070170282608</v>
      </c>
      <c r="AF143" s="737">
        <f t="shared" si="257"/>
        <v>3.3429097522098612</v>
      </c>
      <c r="AG143" s="739">
        <f t="shared" si="257"/>
        <v>3.4292567490614547</v>
      </c>
      <c r="AH143" s="697"/>
      <c r="AI143" s="707"/>
      <c r="AJ143" s="709">
        <f t="shared" si="234"/>
        <v>2.0806734508425588</v>
      </c>
      <c r="AK143" s="710">
        <f t="shared" si="235"/>
        <v>2.2915875899463973</v>
      </c>
      <c r="AL143" s="710">
        <f t="shared" si="236"/>
        <v>2.5177456096586681</v>
      </c>
      <c r="AM143" s="710">
        <f t="shared" si="237"/>
        <v>2.7597430529817473</v>
      </c>
      <c r="AN143" s="710">
        <f t="shared" si="238"/>
        <v>3.0190133333413165</v>
      </c>
      <c r="AO143" s="711">
        <f t="shared" si="239"/>
        <v>3.09677557833552</v>
      </c>
      <c r="AP143" s="707">
        <f t="shared" si="240"/>
        <v>3.1767209940088161</v>
      </c>
      <c r="AQ143" s="707">
        <f t="shared" si="241"/>
        <v>3.2589070170282608</v>
      </c>
      <c r="AR143" s="707">
        <f t="shared" si="242"/>
        <v>3.3429097522098612</v>
      </c>
      <c r="AS143" s="712">
        <f t="shared" si="243"/>
        <v>3.4292567490614547</v>
      </c>
      <c r="AV143" s="1559"/>
      <c r="AW143" s="1428" t="str">
        <f t="shared" si="191"/>
        <v>Rev</v>
      </c>
      <c r="AX143" s="1429" t="str">
        <f t="shared" si="191"/>
        <v>Water</v>
      </c>
      <c r="AY143" s="1430" t="str">
        <f t="shared" si="192"/>
        <v>Fixed</v>
      </c>
      <c r="AZ143" s="1431">
        <f t="shared" si="193"/>
        <v>1.5266595545426309E-2</v>
      </c>
      <c r="BA143" s="1431">
        <f t="shared" si="193"/>
        <v>-4.9502641266754299E-3</v>
      </c>
      <c r="BB143" s="1431">
        <f t="shared" si="193"/>
        <v>-1.4151440286685912E-2</v>
      </c>
      <c r="BC143" s="1431">
        <f t="shared" si="194"/>
        <v>-1.2850836427553469E-2</v>
      </c>
      <c r="BD143" s="1431">
        <f t="shared" si="195"/>
        <v>-1.1986083441226758E-2</v>
      </c>
      <c r="BE143" s="1431">
        <f t="shared" si="196"/>
        <v>2.6546673476221194E-2</v>
      </c>
      <c r="BF143" s="1431">
        <f t="shared" si="197"/>
        <v>1.1630320523985604E-2</v>
      </c>
      <c r="BG143" s="1432">
        <f t="shared" si="198"/>
        <v>1.9133165188972345E-2</v>
      </c>
      <c r="BH143" s="1431">
        <f t="shared" si="199"/>
        <v>0.10434004479523984</v>
      </c>
      <c r="BI143" s="1431">
        <f t="shared" si="200"/>
        <v>0.10136820798017565</v>
      </c>
      <c r="BJ143" s="1431">
        <f t="shared" si="201"/>
        <v>9.8690541310516133E-2</v>
      </c>
      <c r="BK143" s="1431">
        <f t="shared" si="202"/>
        <v>9.6116717429560738E-2</v>
      </c>
      <c r="BL143" s="1433">
        <f t="shared" si="203"/>
        <v>9.3947253560233479E-2</v>
      </c>
      <c r="BM143" s="1431">
        <f t="shared" si="204"/>
        <v>2.5757503001200499E-2</v>
      </c>
      <c r="BN143" s="1431">
        <f t="shared" si="205"/>
        <v>2.5815695600475363E-2</v>
      </c>
      <c r="BO143" s="1431">
        <f t="shared" si="206"/>
        <v>2.5871338142205325E-2</v>
      </c>
      <c r="BP143" s="1431">
        <f t="shared" si="207"/>
        <v>2.5776352237935507E-2</v>
      </c>
      <c r="BQ143" s="1434">
        <f t="shared" si="208"/>
        <v>2.5829891696750984E-2</v>
      </c>
      <c r="BR143" s="1378"/>
      <c r="BS143" s="1407"/>
      <c r="BT143" s="1408"/>
      <c r="BU143" s="1409"/>
      <c r="BV143" s="1410"/>
      <c r="BW143" s="1378"/>
      <c r="BX143" s="1428" t="str">
        <f t="shared" si="209"/>
        <v>Rev</v>
      </c>
      <c r="BY143" s="1429" t="str">
        <f t="shared" si="210"/>
        <v>Water</v>
      </c>
      <c r="BZ143" s="1430" t="str">
        <f t="shared" si="211"/>
        <v>Fixed</v>
      </c>
      <c r="CA143" s="1435">
        <f t="shared" ref="CA143:CR143" si="258">IFERROR((P143/O143-1)*(O143/O$13),"-")</f>
        <v>3.7105942380368851E-4</v>
      </c>
      <c r="CB143" s="1431">
        <f t="shared" si="258"/>
        <v>-1.1906547674358123E-4</v>
      </c>
      <c r="CC143" s="1431">
        <f t="shared" si="258"/>
        <v>-3.4480263844531388E-4</v>
      </c>
      <c r="CD143" s="1431">
        <f t="shared" si="258"/>
        <v>-3.1440753275497046E-4</v>
      </c>
      <c r="CE143" s="1431">
        <f t="shared" si="258"/>
        <v>-2.9961705311702213E-4</v>
      </c>
      <c r="CF143" s="1431">
        <f t="shared" si="258"/>
        <v>6.331702875125208E-4</v>
      </c>
      <c r="CG143" s="1431">
        <f t="shared" si="258"/>
        <v>2.7104238396534128E-4</v>
      </c>
      <c r="CH143" s="1433">
        <f t="shared" si="258"/>
        <v>4.3059904611082158E-4</v>
      </c>
      <c r="CI143" s="1431">
        <f t="shared" si="258"/>
        <v>2.4368251755617662E-3</v>
      </c>
      <c r="CJ143" s="1431">
        <f t="shared" si="258"/>
        <v>2.4303673025054193E-3</v>
      </c>
      <c r="CK143" s="1431">
        <f t="shared" si="258"/>
        <v>2.4495914956848678E-3</v>
      </c>
      <c r="CL143" s="1431">
        <f t="shared" si="258"/>
        <v>2.4637087045674294E-3</v>
      </c>
      <c r="CM143" s="1433">
        <f t="shared" si="258"/>
        <v>2.4804582471291154E-3</v>
      </c>
      <c r="CN143" s="1431">
        <f t="shared" si="258"/>
        <v>6.9921674867236814E-4</v>
      </c>
      <c r="CO143" s="1431">
        <f t="shared" si="258"/>
        <v>6.9949091618927103E-4</v>
      </c>
      <c r="CP143" s="1431">
        <f t="shared" si="258"/>
        <v>6.9955259326805283E-4</v>
      </c>
      <c r="CQ143" s="1431">
        <f t="shared" si="258"/>
        <v>6.9566436663224065E-4</v>
      </c>
      <c r="CR143" s="1434">
        <f t="shared" si="258"/>
        <v>6.9538432983570981E-4</v>
      </c>
      <c r="CS143" s="1378"/>
      <c r="CT143" s="1428" t="str">
        <f t="shared" si="188"/>
        <v>Rev</v>
      </c>
      <c r="CU143" s="1429" t="str">
        <f t="shared" si="189"/>
        <v>Water</v>
      </c>
      <c r="CV143" s="1429" t="str">
        <f t="shared" si="190"/>
        <v>Fixed</v>
      </c>
      <c r="CW143" s="1435">
        <f t="shared" si="213"/>
        <v>0.10285312536932145</v>
      </c>
      <c r="CX143" s="1431">
        <f t="shared" si="214"/>
        <v>0.10146384799513664</v>
      </c>
      <c r="CY143" s="1431">
        <f t="shared" si="215"/>
        <v>0.10012462487614715</v>
      </c>
      <c r="CZ143" s="1434">
        <f t="shared" si="216"/>
        <v>9.8886366274729243E-2</v>
      </c>
      <c r="DA143" s="1431">
        <f t="shared" si="217"/>
        <v>8.6345837698612593E-2</v>
      </c>
      <c r="DB143" s="1431">
        <f t="shared" si="218"/>
        <v>7.7484765203396977E-2</v>
      </c>
      <c r="DC143" s="1431">
        <f t="shared" si="219"/>
        <v>7.0893686150284019E-2</v>
      </c>
      <c r="DD143" s="1431">
        <f t="shared" si="220"/>
        <v>6.5784213175394513E-2</v>
      </c>
      <c r="DE143" s="1434">
        <f t="shared" si="221"/>
        <v>6.1719734251131975E-2</v>
      </c>
      <c r="DF143" s="1378"/>
      <c r="DG143" s="1428" t="str">
        <f t="shared" si="222"/>
        <v>Rev</v>
      </c>
      <c r="DH143" s="1429" t="str">
        <f t="shared" si="222"/>
        <v>Water</v>
      </c>
      <c r="DI143" s="1429" t="str">
        <f t="shared" si="222"/>
        <v>Fixed</v>
      </c>
      <c r="DJ143" s="1429"/>
      <c r="DK143" s="1435">
        <f t="shared" si="223"/>
        <v>0.10002855990557458</v>
      </c>
      <c r="DL143" s="1431">
        <f t="shared" si="224"/>
        <v>9.8723063684541312E-2</v>
      </c>
      <c r="DM143" s="1431">
        <f t="shared" si="225"/>
        <v>9.7527160050348005E-2</v>
      </c>
      <c r="DN143" s="1433">
        <f t="shared" si="226"/>
        <v>8.2782334177707861E-2</v>
      </c>
      <c r="DO143" s="1431">
        <f t="shared" si="227"/>
        <v>7.3072811458238407E-2</v>
      </c>
      <c r="DP143" s="1431">
        <f t="shared" si="228"/>
        <v>6.6199051800394093E-2</v>
      </c>
      <c r="DQ143" s="1431">
        <f t="shared" si="229"/>
        <v>6.1060361770518545E-2</v>
      </c>
      <c r="DR143" s="1434">
        <f t="shared" si="230"/>
        <v>5.7086861805734301E-2</v>
      </c>
    </row>
    <row r="144" spans="4:122">
      <c r="D144" s="70">
        <f>D141+1</f>
        <v>27</v>
      </c>
      <c r="E144" s="713" t="s">
        <v>44</v>
      </c>
      <c r="F144" s="1532" t="s">
        <v>20</v>
      </c>
      <c r="G144" s="1532" t="s">
        <v>889</v>
      </c>
      <c r="H144" s="1532"/>
      <c r="I144" s="781" t="s">
        <v>319</v>
      </c>
      <c r="J144" s="781" t="s">
        <v>345</v>
      </c>
      <c r="K144" s="1533"/>
      <c r="L144" s="1534"/>
      <c r="M144" s="1534"/>
      <c r="N144" s="1535"/>
      <c r="O144" s="2071">
        <v>484.17352941176466</v>
      </c>
      <c r="P144" s="1547">
        <v>486.38965364120776</v>
      </c>
      <c r="Q144" s="1547">
        <v>479.95840490797548</v>
      </c>
      <c r="R144" s="1547">
        <v>469.66770154373927</v>
      </c>
      <c r="S144" s="1547">
        <v>458.67722646310432</v>
      </c>
      <c r="T144" s="1547">
        <v>451.82983050847452</v>
      </c>
      <c r="U144" s="1547">
        <v>459.47144796380087</v>
      </c>
      <c r="V144" s="1547">
        <v>460.29585152838422</v>
      </c>
      <c r="W144" s="1547">
        <v>464.61</v>
      </c>
      <c r="X144" s="1550">
        <v>501.3041652031439</v>
      </c>
      <c r="Y144" s="1551">
        <v>540.05756507242006</v>
      </c>
      <c r="Z144" s="1551">
        <v>581.0125377972887</v>
      </c>
      <c r="AA144" s="1551">
        <v>624.28497811006582</v>
      </c>
      <c r="AB144" s="1551">
        <v>669.99776437413072</v>
      </c>
      <c r="AC144" s="1550">
        <v>680.71772860411681</v>
      </c>
      <c r="AD144" s="1551">
        <v>691.60921226178266</v>
      </c>
      <c r="AE144" s="1551">
        <v>702.67495965797116</v>
      </c>
      <c r="AF144" s="1551">
        <v>713.91775901249866</v>
      </c>
      <c r="AG144" s="1552">
        <v>725.3404431566986</v>
      </c>
      <c r="AH144" s="697"/>
      <c r="AI144" s="707"/>
      <c r="AJ144" s="709">
        <f t="shared" si="234"/>
        <v>501.3041652031439</v>
      </c>
      <c r="AK144" s="710">
        <f t="shared" si="235"/>
        <v>540.05756507242006</v>
      </c>
      <c r="AL144" s="710">
        <f t="shared" si="236"/>
        <v>581.0125377972887</v>
      </c>
      <c r="AM144" s="710">
        <f t="shared" si="237"/>
        <v>624.28497811006582</v>
      </c>
      <c r="AN144" s="710">
        <f t="shared" si="238"/>
        <v>669.99776437413072</v>
      </c>
      <c r="AO144" s="711">
        <f t="shared" si="239"/>
        <v>680.71772860411681</v>
      </c>
      <c r="AP144" s="707">
        <f t="shared" si="240"/>
        <v>691.60921226178266</v>
      </c>
      <c r="AQ144" s="707">
        <f t="shared" si="241"/>
        <v>702.67495965797116</v>
      </c>
      <c r="AR144" s="707">
        <f t="shared" si="242"/>
        <v>713.91775901249866</v>
      </c>
      <c r="AS144" s="712">
        <f t="shared" si="243"/>
        <v>725.3404431566986</v>
      </c>
      <c r="AU144" s="1369"/>
      <c r="AV144" s="1559"/>
      <c r="AW144" s="1412" t="str">
        <f t="shared" si="191"/>
        <v>Price</v>
      </c>
      <c r="AX144" s="1413" t="str">
        <f t="shared" si="191"/>
        <v>Water</v>
      </c>
      <c r="AY144" s="1414" t="str">
        <f t="shared" si="192"/>
        <v>Fixed</v>
      </c>
      <c r="AZ144" s="1415">
        <f t="shared" si="193"/>
        <v>4.5771280229538469E-3</v>
      </c>
      <c r="BA144" s="1415">
        <f t="shared" si="193"/>
        <v>-1.3222420923403089E-2</v>
      </c>
      <c r="BB144" s="1415">
        <f t="shared" si="193"/>
        <v>-2.1440823327615877E-2</v>
      </c>
      <c r="BC144" s="1415">
        <f t="shared" si="194"/>
        <v>-2.3400534131920558E-2</v>
      </c>
      <c r="BD144" s="1415">
        <f t="shared" si="195"/>
        <v>-1.4928571901052567E-2</v>
      </c>
      <c r="BE144" s="1415">
        <f t="shared" si="196"/>
        <v>1.6912600584000348E-2</v>
      </c>
      <c r="BF144" s="1415">
        <f t="shared" si="197"/>
        <v>1.7942432946307374E-3</v>
      </c>
      <c r="BG144" s="1416">
        <f t="shared" si="198"/>
        <v>9.3725556232822083E-3</v>
      </c>
      <c r="BH144" s="1417">
        <f t="shared" si="199"/>
        <v>7.8978423200412928E-2</v>
      </c>
      <c r="BI144" s="1417">
        <f t="shared" si="200"/>
        <v>7.730516233307605E-2</v>
      </c>
      <c r="BJ144" s="1417">
        <f t="shared" si="201"/>
        <v>7.5834457979265135E-2</v>
      </c>
      <c r="BK144" s="1417">
        <f t="shared" si="202"/>
        <v>7.4477636019404825E-2</v>
      </c>
      <c r="BL144" s="1418">
        <f t="shared" si="203"/>
        <v>7.322422910519788E-2</v>
      </c>
      <c r="BM144" s="1417">
        <f t="shared" si="204"/>
        <v>1.6000000000000014E-2</v>
      </c>
      <c r="BN144" s="1417">
        <f t="shared" si="205"/>
        <v>1.6000000000000014E-2</v>
      </c>
      <c r="BO144" s="1417">
        <f t="shared" si="206"/>
        <v>1.6000000000000014E-2</v>
      </c>
      <c r="BP144" s="1417">
        <f t="shared" si="207"/>
        <v>1.6000000000000014E-2</v>
      </c>
      <c r="BQ144" s="1419">
        <f t="shared" si="208"/>
        <v>1.6000000000000014E-2</v>
      </c>
      <c r="BR144" s="1378"/>
      <c r="BS144" s="1420"/>
      <c r="BT144" s="1421"/>
      <c r="BU144" s="1422"/>
      <c r="BV144" s="1423"/>
      <c r="BW144" s="1378"/>
      <c r="BX144" s="1412" t="str">
        <f t="shared" si="209"/>
        <v>Price</v>
      </c>
      <c r="BY144" s="1413" t="str">
        <f t="shared" si="210"/>
        <v>Water</v>
      </c>
      <c r="BZ144" s="1414" t="str">
        <f t="shared" si="211"/>
        <v>Fixed</v>
      </c>
      <c r="CA144" s="1424">
        <f t="shared" ref="CA144:CR144" si="259">IFERROR((P144/O144-1)*(O146/O$13),"-")</f>
        <v>6.0250482897608974E-6</v>
      </c>
      <c r="CB144" s="1415">
        <f t="shared" si="259"/>
        <v>-1.7375218796660015E-5</v>
      </c>
      <c r="CC144" s="1415">
        <f t="shared" si="259"/>
        <v>-2.9251973089968329E-5</v>
      </c>
      <c r="CD144" s="1415">
        <f t="shared" si="259"/>
        <v>-3.2409841308772195E-5</v>
      </c>
      <c r="CE144" s="1415">
        <f t="shared" si="259"/>
        <v>-2.0709260738931285E-5</v>
      </c>
      <c r="CF144" s="1415">
        <f t="shared" si="259"/>
        <v>2.2511315804273393E-5</v>
      </c>
      <c r="CG144" s="1415">
        <f t="shared" si="259"/>
        <v>2.3339418283302712E-6</v>
      </c>
      <c r="CH144" s="1425">
        <f t="shared" si="259"/>
        <v>1.1816631096163723E-5</v>
      </c>
      <c r="CI144" s="1417">
        <f t="shared" si="259"/>
        <v>1.0325120241834914E-4</v>
      </c>
      <c r="CJ144" s="1417">
        <f t="shared" si="259"/>
        <v>1.0226134745388357E-4</v>
      </c>
      <c r="CK144" s="1417">
        <f t="shared" si="259"/>
        <v>1.0291443611308272E-4</v>
      </c>
      <c r="CL144" s="1417">
        <f t="shared" si="259"/>
        <v>1.030874567027845E-4</v>
      </c>
      <c r="CM144" s="1418">
        <f t="shared" si="259"/>
        <v>1.0321168773082881E-4</v>
      </c>
      <c r="CN144" s="1417">
        <f t="shared" si="259"/>
        <v>2.2941051810032297E-5</v>
      </c>
      <c r="CO144" s="1417">
        <f t="shared" si="259"/>
        <v>2.2966382877440493E-5</v>
      </c>
      <c r="CP144" s="1417">
        <f t="shared" si="259"/>
        <v>2.2888083602804345E-5</v>
      </c>
      <c r="CQ144" s="1417">
        <f t="shared" si="259"/>
        <v>2.2811133999767793E-5</v>
      </c>
      <c r="CR144" s="1419">
        <f t="shared" si="259"/>
        <v>2.2813793766371673E-5</v>
      </c>
      <c r="CS144" s="1378"/>
      <c r="CT144" s="1412" t="str">
        <f t="shared" si="188"/>
        <v>Price</v>
      </c>
      <c r="CU144" s="1413" t="str">
        <f t="shared" si="189"/>
        <v>Water</v>
      </c>
      <c r="CV144" s="1426" t="str">
        <f t="shared" si="190"/>
        <v>Fixed</v>
      </c>
      <c r="CW144" s="1427">
        <f t="shared" si="213"/>
        <v>7.8141468157035154E-2</v>
      </c>
      <c r="CX144" s="1417">
        <f t="shared" si="214"/>
        <v>7.7371915606246677E-2</v>
      </c>
      <c r="CY144" s="1417">
        <f t="shared" si="215"/>
        <v>7.6647615633844035E-2</v>
      </c>
      <c r="CZ144" s="1419">
        <f t="shared" si="216"/>
        <v>7.5962065843288018E-2</v>
      </c>
      <c r="DA144" s="1417">
        <f t="shared" si="217"/>
        <v>6.5728102758019213E-2</v>
      </c>
      <c r="DB144" s="1417">
        <f t="shared" si="218"/>
        <v>5.84777791111879E-2</v>
      </c>
      <c r="DC144" s="1417">
        <f t="shared" si="219"/>
        <v>5.3072424392797135E-2</v>
      </c>
      <c r="DD144" s="1417">
        <f t="shared" si="220"/>
        <v>4.888735085327145E-2</v>
      </c>
      <c r="DE144" s="1419">
        <f t="shared" si="221"/>
        <v>4.5551270333875404E-2</v>
      </c>
      <c r="DF144" s="1378"/>
      <c r="DG144" s="1412" t="str">
        <f t="shared" si="222"/>
        <v>Price</v>
      </c>
      <c r="DH144" s="1413" t="str">
        <f t="shared" si="222"/>
        <v>Water</v>
      </c>
      <c r="DI144" s="1426" t="str">
        <f t="shared" si="222"/>
        <v>Fixed</v>
      </c>
      <c r="DJ144" s="1426"/>
      <c r="DK144" s="1427">
        <f t="shared" si="223"/>
        <v>7.6569559014590061E-2</v>
      </c>
      <c r="DL144" s="1417">
        <f t="shared" si="224"/>
        <v>7.5871799206365997E-2</v>
      </c>
      <c r="DM144" s="1417">
        <f t="shared" si="225"/>
        <v>7.5209294993402898E-2</v>
      </c>
      <c r="DN144" s="1418">
        <f t="shared" si="226"/>
        <v>6.3097629327969029E-2</v>
      </c>
      <c r="DO144" s="1417">
        <f t="shared" si="227"/>
        <v>5.5099076067482322E-2</v>
      </c>
      <c r="DP144" s="1417">
        <f t="shared" si="228"/>
        <v>4.9422694893861419E-2</v>
      </c>
      <c r="DQ144" s="1417">
        <f t="shared" si="229"/>
        <v>4.5185459003949768E-2</v>
      </c>
      <c r="DR144" s="1419">
        <f t="shared" si="230"/>
        <v>4.1901662809304963E-2</v>
      </c>
    </row>
    <row r="145" spans="4:122">
      <c r="E145" s="742" t="s">
        <v>45</v>
      </c>
      <c r="F145" s="722" t="str">
        <f>+F144</f>
        <v>Water</v>
      </c>
      <c r="G145" s="723" t="str">
        <f>+G144</f>
        <v>Fixed tariff group - 3 -25mm</v>
      </c>
      <c r="H145" s="723">
        <f>+H144</f>
        <v>0</v>
      </c>
      <c r="I145" s="724" t="str">
        <f>+I144</f>
        <v>Fixed</v>
      </c>
      <c r="J145" s="782" t="s">
        <v>323</v>
      </c>
      <c r="K145" s="1540"/>
      <c r="L145" s="1541"/>
      <c r="M145" s="1541"/>
      <c r="N145" s="1542"/>
      <c r="O145" s="2031">
        <v>205</v>
      </c>
      <c r="P145" s="1543">
        <v>209</v>
      </c>
      <c r="Q145" s="1543">
        <v>216</v>
      </c>
      <c r="R145" s="1543">
        <v>220</v>
      </c>
      <c r="S145" s="1543">
        <v>218</v>
      </c>
      <c r="T145" s="1543">
        <v>219.87446808510637</v>
      </c>
      <c r="U145" s="1543">
        <v>222</v>
      </c>
      <c r="V145" s="1543">
        <v>225</v>
      </c>
      <c r="W145" s="1543">
        <v>227</v>
      </c>
      <c r="X145" s="1544">
        <v>229</v>
      </c>
      <c r="Y145" s="1543">
        <v>232</v>
      </c>
      <c r="Z145" s="1543">
        <v>234</v>
      </c>
      <c r="AA145" s="1543">
        <v>236</v>
      </c>
      <c r="AB145" s="1543">
        <v>238</v>
      </c>
      <c r="AC145" s="1544">
        <v>241</v>
      </c>
      <c r="AD145" s="1543">
        <v>243</v>
      </c>
      <c r="AE145" s="1543">
        <v>245</v>
      </c>
      <c r="AF145" s="1543">
        <v>248</v>
      </c>
      <c r="AG145" s="788">
        <v>250</v>
      </c>
      <c r="AH145" s="697"/>
      <c r="AI145" s="707"/>
      <c r="AJ145" s="709">
        <f t="shared" si="234"/>
        <v>229</v>
      </c>
      <c r="AK145" s="710">
        <f t="shared" si="235"/>
        <v>232</v>
      </c>
      <c r="AL145" s="710">
        <f t="shared" si="236"/>
        <v>234</v>
      </c>
      <c r="AM145" s="710">
        <f t="shared" si="237"/>
        <v>236</v>
      </c>
      <c r="AN145" s="710">
        <f t="shared" si="238"/>
        <v>238</v>
      </c>
      <c r="AO145" s="711">
        <f t="shared" si="239"/>
        <v>241</v>
      </c>
      <c r="AP145" s="707">
        <f t="shared" si="240"/>
        <v>243</v>
      </c>
      <c r="AQ145" s="707">
        <f t="shared" si="241"/>
        <v>245</v>
      </c>
      <c r="AR145" s="707">
        <f t="shared" si="242"/>
        <v>248</v>
      </c>
      <c r="AS145" s="712">
        <f t="shared" si="243"/>
        <v>250</v>
      </c>
      <c r="AV145" s="1559"/>
      <c r="AW145" s="1392" t="str">
        <f t="shared" si="191"/>
        <v>Qty</v>
      </c>
      <c r="AX145" s="1393" t="str">
        <f t="shared" si="191"/>
        <v>Water</v>
      </c>
      <c r="AY145" s="1394" t="str">
        <f t="shared" si="192"/>
        <v>Fixed</v>
      </c>
      <c r="AZ145" s="1395">
        <f t="shared" si="193"/>
        <v>1.9512195121951237E-2</v>
      </c>
      <c r="BA145" s="1395">
        <f t="shared" si="193"/>
        <v>3.3492822966507241E-2</v>
      </c>
      <c r="BB145" s="1395">
        <f t="shared" si="193"/>
        <v>1.8518518518518601E-2</v>
      </c>
      <c r="BC145" s="1395">
        <f t="shared" si="194"/>
        <v>-9.0909090909090384E-3</v>
      </c>
      <c r="BD145" s="1395">
        <f t="shared" si="195"/>
        <v>8.5984774546163933E-3</v>
      </c>
      <c r="BE145" s="1395">
        <f t="shared" si="196"/>
        <v>9.6670247046186653E-3</v>
      </c>
      <c r="BF145" s="1395">
        <f t="shared" si="197"/>
        <v>1.3513513513513598E-2</v>
      </c>
      <c r="BG145" s="1396">
        <f t="shared" si="198"/>
        <v>8.8888888888889461E-3</v>
      </c>
      <c r="BH145" s="1395">
        <f t="shared" si="199"/>
        <v>8.8105726872247381E-3</v>
      </c>
      <c r="BI145" s="1395">
        <f t="shared" si="200"/>
        <v>1.3100436681222627E-2</v>
      </c>
      <c r="BJ145" s="1395">
        <f t="shared" si="201"/>
        <v>8.6206896551723755E-3</v>
      </c>
      <c r="BK145" s="1395">
        <f t="shared" si="202"/>
        <v>8.5470085470085166E-3</v>
      </c>
      <c r="BL145" s="1397">
        <f t="shared" si="203"/>
        <v>8.4745762711864181E-3</v>
      </c>
      <c r="BM145" s="1395">
        <f t="shared" si="204"/>
        <v>1.2605042016806678E-2</v>
      </c>
      <c r="BN145" s="1395">
        <f t="shared" si="205"/>
        <v>8.2987551867219622E-3</v>
      </c>
      <c r="BO145" s="1395">
        <f t="shared" si="206"/>
        <v>8.2304526748970819E-3</v>
      </c>
      <c r="BP145" s="1395">
        <f t="shared" si="207"/>
        <v>1.2244897959183598E-2</v>
      </c>
      <c r="BQ145" s="1398">
        <f t="shared" si="208"/>
        <v>8.0645161290322509E-3</v>
      </c>
      <c r="BR145" s="1378"/>
      <c r="BS145" s="1329"/>
      <c r="BT145" s="1399"/>
      <c r="BU145" s="1331"/>
      <c r="BV145" s="1400"/>
      <c r="BW145" s="1378"/>
      <c r="BX145" s="1392" t="str">
        <f t="shared" si="209"/>
        <v>Qty</v>
      </c>
      <c r="BY145" s="1393" t="str">
        <f t="shared" si="210"/>
        <v>Water</v>
      </c>
      <c r="BZ145" s="1394" t="str">
        <f t="shared" si="211"/>
        <v>Fixed</v>
      </c>
      <c r="CA145" s="1401">
        <f t="shared" ref="CA145:CR145" si="260">IFERROR((P145/O145-1)*(O146/O$13),"-")</f>
        <v>2.5684647066770204E-5</v>
      </c>
      <c r="CB145" s="1395">
        <f t="shared" si="260"/>
        <v>4.4011995271671179E-5</v>
      </c>
      <c r="CC145" s="1395">
        <f t="shared" si="260"/>
        <v>2.526503749844672E-5</v>
      </c>
      <c r="CD145" s="1395">
        <f t="shared" si="260"/>
        <v>-1.259094853680824E-5</v>
      </c>
      <c r="CE145" s="1395">
        <f t="shared" si="260"/>
        <v>1.1928007095770364E-5</v>
      </c>
      <c r="CF145" s="1395">
        <f t="shared" si="260"/>
        <v>1.2867178228004382E-5</v>
      </c>
      <c r="CG145" s="1395">
        <f t="shared" si="260"/>
        <v>1.7578304197250329E-5</v>
      </c>
      <c r="CH145" s="1397">
        <f t="shared" si="260"/>
        <v>1.1206838889690807E-5</v>
      </c>
      <c r="CI145" s="1395">
        <f t="shared" si="260"/>
        <v>1.151836396684941E-5</v>
      </c>
      <c r="CJ145" s="1395">
        <f t="shared" si="260"/>
        <v>1.7329609909931116E-5</v>
      </c>
      <c r="CK145" s="1395">
        <f t="shared" si="260"/>
        <v>1.1699080317954266E-5</v>
      </c>
      <c r="CL145" s="1395">
        <f t="shared" si="260"/>
        <v>1.1830254296719428E-5</v>
      </c>
      <c r="CM145" s="1397">
        <f t="shared" si="260"/>
        <v>1.1945162556729392E-5</v>
      </c>
      <c r="CN145" s="1395">
        <f t="shared" si="260"/>
        <v>1.8073307623449735E-5</v>
      </c>
      <c r="CO145" s="1395">
        <f t="shared" si="260"/>
        <v>1.1912024314025098E-5</v>
      </c>
      <c r="CP145" s="1395">
        <f t="shared" si="260"/>
        <v>1.1773705556998055E-5</v>
      </c>
      <c r="CQ145" s="1395">
        <f t="shared" si="260"/>
        <v>1.7457500510026249E-5</v>
      </c>
      <c r="CR145" s="1398">
        <f t="shared" si="260"/>
        <v>1.1498887987082476E-5</v>
      </c>
      <c r="CS145" s="1378"/>
      <c r="CT145" s="1392" t="str">
        <f t="shared" si="188"/>
        <v>Qty</v>
      </c>
      <c r="CU145" s="1393" t="str">
        <f t="shared" si="189"/>
        <v>Water</v>
      </c>
      <c r="CV145" s="1393" t="str">
        <f t="shared" si="190"/>
        <v>Fixed</v>
      </c>
      <c r="CW145" s="1401">
        <f t="shared" si="213"/>
        <v>1.0953229243599427E-2</v>
      </c>
      <c r="CX145" s="1395">
        <f t="shared" si="214"/>
        <v>1.0175117302788861E-2</v>
      </c>
      <c r="CY145" s="1395">
        <f t="shared" si="215"/>
        <v>9.767843878720095E-3</v>
      </c>
      <c r="CZ145" s="1398">
        <f t="shared" si="216"/>
        <v>9.5090577463332604E-3</v>
      </c>
      <c r="DA145" s="1395">
        <f t="shared" si="217"/>
        <v>1.0024396994513074E-2</v>
      </c>
      <c r="DB145" s="1395">
        <f t="shared" si="218"/>
        <v>9.7776960378730404E-3</v>
      </c>
      <c r="DC145" s="1395">
        <f t="shared" si="219"/>
        <v>9.5841608411015855E-3</v>
      </c>
      <c r="DD145" s="1395">
        <f t="shared" si="220"/>
        <v>9.879452585041637E-3</v>
      </c>
      <c r="DE145" s="1398">
        <f t="shared" si="221"/>
        <v>9.6978119925132944E-3</v>
      </c>
      <c r="DF145" s="1378"/>
      <c r="DG145" s="1392" t="str">
        <f t="shared" si="222"/>
        <v>Qty</v>
      </c>
      <c r="DH145" s="1393" t="str">
        <f t="shared" si="222"/>
        <v>Water</v>
      </c>
      <c r="DI145" s="1393" t="str">
        <f t="shared" si="222"/>
        <v>Fixed</v>
      </c>
      <c r="DJ145" s="1393"/>
      <c r="DK145" s="1401">
        <f t="shared" si="223"/>
        <v>1.0858081599673053E-2</v>
      </c>
      <c r="DL145" s="1395">
        <f t="shared" si="224"/>
        <v>1.0087136092207016E-2</v>
      </c>
      <c r="DM145" s="1395">
        <f t="shared" si="225"/>
        <v>9.683754563722724E-3</v>
      </c>
      <c r="DN145" s="1397">
        <f t="shared" si="226"/>
        <v>1.0267337059958415E-2</v>
      </c>
      <c r="DO145" s="1395">
        <f t="shared" si="227"/>
        <v>9.9389733794237323E-3</v>
      </c>
      <c r="DP145" s="1395">
        <f t="shared" si="228"/>
        <v>9.6947218493836917E-3</v>
      </c>
      <c r="DQ145" s="1395">
        <f t="shared" si="229"/>
        <v>1.0013142178409096E-2</v>
      </c>
      <c r="DR145" s="1398">
        <f t="shared" si="230"/>
        <v>9.7964422928091821E-3</v>
      </c>
    </row>
    <row r="146" spans="4:122" ht="12.75" thickBot="1">
      <c r="E146" s="743" t="s">
        <v>46</v>
      </c>
      <c r="F146" s="732" t="str">
        <f>+F144</f>
        <v>Water</v>
      </c>
      <c r="G146" s="733" t="str">
        <f>+G144</f>
        <v>Fixed tariff group - 3 -25mm</v>
      </c>
      <c r="H146" s="733">
        <f>+H144</f>
        <v>0</v>
      </c>
      <c r="I146" s="734" t="str">
        <f>+I144</f>
        <v>Fixed</v>
      </c>
      <c r="J146" s="735" t="s">
        <v>344</v>
      </c>
      <c r="K146" s="736">
        <f t="shared" ref="K146:AG146" si="261">K144*K145/10^6</f>
        <v>0</v>
      </c>
      <c r="L146" s="737">
        <f t="shared" si="261"/>
        <v>0</v>
      </c>
      <c r="M146" s="737">
        <f t="shared" si="261"/>
        <v>0</v>
      </c>
      <c r="N146" s="738">
        <f t="shared" si="261"/>
        <v>0</v>
      </c>
      <c r="O146" s="1923">
        <f t="shared" si="261"/>
        <v>9.9255573529411764E-2</v>
      </c>
      <c r="P146" s="737">
        <f t="shared" si="261"/>
        <v>0.10165543761101242</v>
      </c>
      <c r="Q146" s="737">
        <f t="shared" si="261"/>
        <v>0.1036710154601227</v>
      </c>
      <c r="R146" s="737">
        <f t="shared" si="261"/>
        <v>0.10332689433962264</v>
      </c>
      <c r="S146" s="737">
        <f>S144*S145/10^6</f>
        <v>9.9991635368956749E-2</v>
      </c>
      <c r="T146" s="1531">
        <f t="shared" si="261"/>
        <v>9.9345843648034601E-2</v>
      </c>
      <c r="U146" s="737">
        <f t="shared" si="261"/>
        <v>0.1020026614479638</v>
      </c>
      <c r="V146" s="737">
        <f t="shared" si="261"/>
        <v>0.10356656659388645</v>
      </c>
      <c r="W146" s="737">
        <f t="shared" si="261"/>
        <v>0.10546647000000001</v>
      </c>
      <c r="X146" s="738">
        <f t="shared" si="261"/>
        <v>0.11479865383151996</v>
      </c>
      <c r="Y146" s="737">
        <f t="shared" si="261"/>
        <v>0.12529335509680145</v>
      </c>
      <c r="Z146" s="737">
        <f t="shared" si="261"/>
        <v>0.13595693384456556</v>
      </c>
      <c r="AA146" s="737">
        <f t="shared" si="261"/>
        <v>0.14733125483397555</v>
      </c>
      <c r="AB146" s="737">
        <f t="shared" si="261"/>
        <v>0.1594594679210431</v>
      </c>
      <c r="AC146" s="738">
        <f t="shared" si="261"/>
        <v>0.16405297259359217</v>
      </c>
      <c r="AD146" s="737">
        <f t="shared" si="261"/>
        <v>0.16806103857961319</v>
      </c>
      <c r="AE146" s="737">
        <f t="shared" si="261"/>
        <v>0.17215536511620294</v>
      </c>
      <c r="AF146" s="737">
        <f t="shared" si="261"/>
        <v>0.17705160423509966</v>
      </c>
      <c r="AG146" s="739">
        <f t="shared" si="261"/>
        <v>0.18133511078917466</v>
      </c>
      <c r="AH146" s="697"/>
      <c r="AI146" s="707"/>
      <c r="AJ146" s="709">
        <f t="shared" si="234"/>
        <v>0.11479865383151996</v>
      </c>
      <c r="AK146" s="710">
        <f t="shared" si="235"/>
        <v>0.12529335509680145</v>
      </c>
      <c r="AL146" s="710">
        <f t="shared" si="236"/>
        <v>0.13595693384456556</v>
      </c>
      <c r="AM146" s="710">
        <f t="shared" si="237"/>
        <v>0.14733125483397555</v>
      </c>
      <c r="AN146" s="710">
        <f t="shared" si="238"/>
        <v>0.1594594679210431</v>
      </c>
      <c r="AO146" s="711">
        <f t="shared" si="239"/>
        <v>0.16405297259359217</v>
      </c>
      <c r="AP146" s="707">
        <f t="shared" si="240"/>
        <v>0.16806103857961319</v>
      </c>
      <c r="AQ146" s="707">
        <f t="shared" si="241"/>
        <v>0.17215536511620294</v>
      </c>
      <c r="AR146" s="707">
        <f t="shared" si="242"/>
        <v>0.17705160423509966</v>
      </c>
      <c r="AS146" s="712">
        <f t="shared" si="243"/>
        <v>0.18133511078917466</v>
      </c>
      <c r="AV146" s="1559"/>
      <c r="AW146" s="1428" t="str">
        <f t="shared" si="191"/>
        <v>Rev</v>
      </c>
      <c r="AX146" s="1429" t="str">
        <f t="shared" si="191"/>
        <v>Water</v>
      </c>
      <c r="AY146" s="1430" t="str">
        <f t="shared" si="192"/>
        <v>Fixed</v>
      </c>
      <c r="AZ146" s="1431">
        <f t="shared" ref="AZ146:BB161" si="262">IFERROR(P146/O146-1,"-")</f>
        <v>2.4178632959987123E-2</v>
      </c>
      <c r="BA146" s="1431">
        <f t="shared" si="262"/>
        <v>1.982754583992774E-2</v>
      </c>
      <c r="BB146" s="1431">
        <f t="shared" si="262"/>
        <v>-3.3193570929419547E-3</v>
      </c>
      <c r="BC146" s="1431">
        <f t="shared" si="194"/>
        <v>-3.2278711094357537E-2</v>
      </c>
      <c r="BD146" s="1431">
        <f t="shared" si="195"/>
        <v>-6.4584574353570012E-3</v>
      </c>
      <c r="BE146" s="1431">
        <f t="shared" si="196"/>
        <v>2.6743119816283967E-2</v>
      </c>
      <c r="BF146" s="1431">
        <f t="shared" si="197"/>
        <v>1.5332003339152855E-2</v>
      </c>
      <c r="BG146" s="1432">
        <f t="shared" si="198"/>
        <v>1.8344756117711247E-2</v>
      </c>
      <c r="BH146" s="1431">
        <f t="shared" si="199"/>
        <v>8.848484102596732E-2</v>
      </c>
      <c r="BI146" s="1431">
        <f t="shared" si="200"/>
        <v>9.1418330398574721E-2</v>
      </c>
      <c r="BJ146" s="1431">
        <f t="shared" si="201"/>
        <v>8.5108892961844873E-2</v>
      </c>
      <c r="BK146" s="1431">
        <f t="shared" si="202"/>
        <v>8.3661205558032359E-2</v>
      </c>
      <c r="BL146" s="1433">
        <f t="shared" si="203"/>
        <v>8.2319349690834986E-2</v>
      </c>
      <c r="BM146" s="1431">
        <f t="shared" si="204"/>
        <v>2.8806722689075803E-2</v>
      </c>
      <c r="BN146" s="1431">
        <f t="shared" si="205"/>
        <v>2.4431535269709315E-2</v>
      </c>
      <c r="BO146" s="1431">
        <f t="shared" si="206"/>
        <v>2.4362139917695425E-2</v>
      </c>
      <c r="BP146" s="1431">
        <f t="shared" si="207"/>
        <v>2.8440816326530394E-2</v>
      </c>
      <c r="BQ146" s="1434">
        <f t="shared" si="208"/>
        <v>2.4193548387096753E-2</v>
      </c>
      <c r="BR146" s="1378"/>
      <c r="BS146" s="1407"/>
      <c r="BT146" s="1408"/>
      <c r="BU146" s="1409"/>
      <c r="BV146" s="1410"/>
      <c r="BW146" s="1378"/>
      <c r="BX146" s="1428" t="str">
        <f t="shared" si="209"/>
        <v>Rev</v>
      </c>
      <c r="BY146" s="1429" t="str">
        <f t="shared" si="210"/>
        <v>Water</v>
      </c>
      <c r="BZ146" s="1430" t="str">
        <f t="shared" si="211"/>
        <v>Fixed</v>
      </c>
      <c r="CA146" s="1435">
        <f t="shared" ref="CA146:CR146" si="263">IFERROR((P146/O146-1)*(O146/O$13),"-")</f>
        <v>3.1827257274380109E-5</v>
      </c>
      <c r="CB146" s="1431">
        <f t="shared" si="263"/>
        <v>2.6054831347849999E-5</v>
      </c>
      <c r="CC146" s="1431">
        <f t="shared" si="263"/>
        <v>-4.5286387968913131E-6</v>
      </c>
      <c r="CD146" s="1431">
        <f t="shared" si="263"/>
        <v>-4.4706154924591522E-5</v>
      </c>
      <c r="CE146" s="1431">
        <f t="shared" si="263"/>
        <v>-8.9593217547264034E-6</v>
      </c>
      <c r="CF146" s="1431">
        <f t="shared" si="263"/>
        <v>3.5596111478291255E-5</v>
      </c>
      <c r="CG146" s="1431">
        <f t="shared" si="263"/>
        <v>1.9943785780017492E-5</v>
      </c>
      <c r="CH146" s="1433">
        <f t="shared" si="263"/>
        <v>2.3128506706709075E-5</v>
      </c>
      <c r="CI146" s="1431">
        <f t="shared" si="263"/>
        <v>1.1567926860914879E-4</v>
      </c>
      <c r="CJ146" s="1431">
        <f t="shared" si="263"/>
        <v>1.2093062567107071E-4</v>
      </c>
      <c r="CK146" s="1431">
        <f t="shared" si="263"/>
        <v>1.1550070984580481E-4</v>
      </c>
      <c r="CL146" s="1431">
        <f t="shared" si="263"/>
        <v>1.1579880037303225E-4</v>
      </c>
      <c r="CM146" s="1433">
        <f t="shared" si="263"/>
        <v>1.160315256073108E-4</v>
      </c>
      <c r="CN146" s="1431">
        <f t="shared" si="263"/>
        <v>4.1303532355457521E-5</v>
      </c>
      <c r="CO146" s="1431">
        <f t="shared" si="263"/>
        <v>3.5068999580489686E-5</v>
      </c>
      <c r="CP146" s="1431">
        <f t="shared" si="263"/>
        <v>3.4850168448714335E-5</v>
      </c>
      <c r="CQ146" s="1431">
        <f t="shared" si="263"/>
        <v>4.0547954517954236E-5</v>
      </c>
      <c r="CR146" s="1434">
        <f t="shared" si="263"/>
        <v>3.4496663961247429E-5</v>
      </c>
      <c r="CS146" s="1378"/>
      <c r="CT146" s="1428" t="str">
        <f t="shared" si="188"/>
        <v>Rev</v>
      </c>
      <c r="CU146" s="1429" t="str">
        <f t="shared" si="189"/>
        <v>Water</v>
      </c>
      <c r="CV146" s="1429" t="str">
        <f t="shared" si="190"/>
        <v>Fixed</v>
      </c>
      <c r="CW146" s="1435">
        <f t="shared" si="213"/>
        <v>8.995059881478995E-2</v>
      </c>
      <c r="CX146" s="1431">
        <f t="shared" si="214"/>
        <v>8.8334301226270728E-2</v>
      </c>
      <c r="CY146" s="1431">
        <f t="shared" si="215"/>
        <v>8.7164141455751576E-2</v>
      </c>
      <c r="CZ146" s="1434">
        <f t="shared" si="216"/>
        <v>8.6193451260256015E-2</v>
      </c>
      <c r="DA146" s="1431">
        <f t="shared" si="217"/>
        <v>7.6411384348274769E-2</v>
      </c>
      <c r="DB146" s="1431">
        <f t="shared" si="218"/>
        <v>6.8827253098179941E-2</v>
      </c>
      <c r="DC146" s="1431">
        <f t="shared" si="219"/>
        <v>6.3165239885506708E-2</v>
      </c>
      <c r="DD146" s="1431">
        <f t="shared" si="220"/>
        <v>5.924978370307632E-2</v>
      </c>
      <c r="DE146" s="1434">
        <f t="shared" si="221"/>
        <v>5.5690829982106838E-2</v>
      </c>
      <c r="DF146" s="1378"/>
      <c r="DG146" s="1428" t="str">
        <f t="shared" si="222"/>
        <v>Rev</v>
      </c>
      <c r="DH146" s="1429" t="str">
        <f t="shared" si="222"/>
        <v>Water</v>
      </c>
      <c r="DI146" s="1429" t="str">
        <f t="shared" si="222"/>
        <v>Fixed</v>
      </c>
      <c r="DJ146" s="1429"/>
      <c r="DK146" s="1435">
        <f t="shared" si="223"/>
        <v>8.8259039134094497E-2</v>
      </c>
      <c r="DL146" s="1431">
        <f t="shared" si="224"/>
        <v>8.6724264462728406E-2</v>
      </c>
      <c r="DM146" s="1431">
        <f t="shared" si="225"/>
        <v>8.5621357910752316E-2</v>
      </c>
      <c r="DN146" s="1433">
        <f t="shared" si="226"/>
        <v>7.4012811015922164E-2</v>
      </c>
      <c r="DO146" s="1431">
        <f t="shared" si="227"/>
        <v>6.5585677697171718E-2</v>
      </c>
      <c r="DP146" s="1431">
        <f t="shared" si="228"/>
        <v>5.9596556023287839E-2</v>
      </c>
      <c r="DQ146" s="1431">
        <f t="shared" si="229"/>
        <v>5.5651049607762237E-2</v>
      </c>
      <c r="DR146" s="1434">
        <f t="shared" si="230"/>
        <v>5.2108592323798053E-2</v>
      </c>
    </row>
    <row r="147" spans="4:122">
      <c r="D147" s="70">
        <f>D144+1</f>
        <v>28</v>
      </c>
      <c r="E147" s="713" t="s">
        <v>44</v>
      </c>
      <c r="F147" s="1532" t="s">
        <v>20</v>
      </c>
      <c r="G147" s="1532" t="s">
        <v>890</v>
      </c>
      <c r="H147" s="1532"/>
      <c r="I147" s="781" t="s">
        <v>319</v>
      </c>
      <c r="J147" s="781" t="s">
        <v>345</v>
      </c>
      <c r="K147" s="1533"/>
      <c r="L147" s="1534"/>
      <c r="M147" s="1534"/>
      <c r="N147" s="1535"/>
      <c r="O147" s="2071">
        <v>794.60484162895921</v>
      </c>
      <c r="P147" s="1547">
        <v>798.19134991118995</v>
      </c>
      <c r="Q147" s="1547">
        <v>787.68570552147241</v>
      </c>
      <c r="R147" s="1547">
        <v>770.79707547169801</v>
      </c>
      <c r="S147" s="1547">
        <v>752.7748346055979</v>
      </c>
      <c r="T147" s="1547">
        <v>741.53101694915244</v>
      </c>
      <c r="U147" s="1547">
        <v>754.08196832579176</v>
      </c>
      <c r="V147" s="1547">
        <v>755.43816593886459</v>
      </c>
      <c r="W147" s="1547">
        <v>762.52</v>
      </c>
      <c r="X147" s="1550">
        <v>814.81865520314375</v>
      </c>
      <c r="Y147" s="1551">
        <v>870.03156579741994</v>
      </c>
      <c r="Z147" s="1551">
        <v>928.31017356035125</v>
      </c>
      <c r="AA147" s="1551">
        <v>989.81573975068909</v>
      </c>
      <c r="AB147" s="1551">
        <v>1054.7188910008867</v>
      </c>
      <c r="AC147" s="1550">
        <v>1071.594393256901</v>
      </c>
      <c r="AD147" s="1551">
        <v>1088.7399035490114</v>
      </c>
      <c r="AE147" s="1551">
        <v>1106.1597420057956</v>
      </c>
      <c r="AF147" s="1551">
        <v>1123.8582978778884</v>
      </c>
      <c r="AG147" s="1552">
        <v>1141.8400306439346</v>
      </c>
      <c r="AH147" s="697"/>
      <c r="AI147" s="707"/>
      <c r="AJ147" s="709">
        <f t="shared" si="234"/>
        <v>814.81865520314375</v>
      </c>
      <c r="AK147" s="710">
        <f t="shared" si="235"/>
        <v>870.03156579741994</v>
      </c>
      <c r="AL147" s="710">
        <f t="shared" si="236"/>
        <v>928.31017356035125</v>
      </c>
      <c r="AM147" s="710">
        <f t="shared" si="237"/>
        <v>989.81573975068909</v>
      </c>
      <c r="AN147" s="710">
        <f t="shared" si="238"/>
        <v>1054.7188910008867</v>
      </c>
      <c r="AO147" s="711">
        <f t="shared" si="239"/>
        <v>1071.594393256901</v>
      </c>
      <c r="AP147" s="707">
        <f t="shared" si="240"/>
        <v>1088.7399035490114</v>
      </c>
      <c r="AQ147" s="707">
        <f t="shared" si="241"/>
        <v>1106.1597420057956</v>
      </c>
      <c r="AR147" s="707">
        <f t="shared" si="242"/>
        <v>1123.8582978778884</v>
      </c>
      <c r="AS147" s="712">
        <f t="shared" si="243"/>
        <v>1141.8400306439346</v>
      </c>
      <c r="AU147" s="1369"/>
      <c r="AV147" s="1559"/>
      <c r="AW147" s="1412" t="str">
        <f t="shared" si="191"/>
        <v>Price</v>
      </c>
      <c r="AX147" s="1413" t="str">
        <f t="shared" si="191"/>
        <v>Water</v>
      </c>
      <c r="AY147" s="1414" t="str">
        <f t="shared" si="192"/>
        <v>Fixed</v>
      </c>
      <c r="AZ147" s="1415">
        <f t="shared" si="262"/>
        <v>4.5135746654629827E-3</v>
      </c>
      <c r="BA147" s="1415">
        <f t="shared" si="262"/>
        <v>-1.3161811877423157E-2</v>
      </c>
      <c r="BB147" s="1415">
        <f t="shared" si="262"/>
        <v>-2.1440823327615988E-2</v>
      </c>
      <c r="BC147" s="1415">
        <f t="shared" si="194"/>
        <v>-2.3381304158518246E-2</v>
      </c>
      <c r="BD147" s="1415">
        <f t="shared" si="195"/>
        <v>-1.4936495137136796E-2</v>
      </c>
      <c r="BE147" s="1415">
        <f t="shared" si="196"/>
        <v>1.6925726759586146E-2</v>
      </c>
      <c r="BF147" s="1415">
        <f t="shared" si="197"/>
        <v>1.7984750597921373E-3</v>
      </c>
      <c r="BG147" s="1416">
        <f t="shared" si="198"/>
        <v>9.3744721678630238E-3</v>
      </c>
      <c r="BH147" s="1417">
        <f t="shared" si="199"/>
        <v>6.8586601273597836E-2</v>
      </c>
      <c r="BI147" s="1417">
        <f t="shared" si="200"/>
        <v>6.7760979994390347E-2</v>
      </c>
      <c r="BJ147" s="1417">
        <f t="shared" si="201"/>
        <v>6.6984475108689434E-2</v>
      </c>
      <c r="BK147" s="1417">
        <f t="shared" si="202"/>
        <v>6.6255404650414684E-2</v>
      </c>
      <c r="BL147" s="1418">
        <f t="shared" si="203"/>
        <v>6.5570942796429055E-2</v>
      </c>
      <c r="BM147" s="1417">
        <f t="shared" si="204"/>
        <v>1.6000000000000014E-2</v>
      </c>
      <c r="BN147" s="1417">
        <f t="shared" si="205"/>
        <v>1.6000000000000014E-2</v>
      </c>
      <c r="BO147" s="1417">
        <f t="shared" si="206"/>
        <v>1.6000000000000014E-2</v>
      </c>
      <c r="BP147" s="1417">
        <f t="shared" si="207"/>
        <v>1.6000000000000014E-2</v>
      </c>
      <c r="BQ147" s="1419">
        <f t="shared" si="208"/>
        <v>1.6000000000000014E-2</v>
      </c>
      <c r="BR147" s="1378"/>
      <c r="BS147" s="1420"/>
      <c r="BT147" s="1421"/>
      <c r="BU147" s="1422"/>
      <c r="BV147" s="1423"/>
      <c r="BW147" s="1378"/>
      <c r="BX147" s="1412" t="str">
        <f t="shared" si="209"/>
        <v>Price</v>
      </c>
      <c r="BY147" s="1413" t="str">
        <f t="shared" si="210"/>
        <v>Water</v>
      </c>
      <c r="BZ147" s="1414" t="str">
        <f t="shared" si="211"/>
        <v>Fixed</v>
      </c>
      <c r="CA147" s="1424">
        <f t="shared" ref="CA147:CR147" si="264">IFERROR((P147/O147-1)*(O149/O$13),"-")</f>
        <v>1.4269398340982278E-6</v>
      </c>
      <c r="CB147" s="1415">
        <f t="shared" si="264"/>
        <v>-4.2099125964088099E-6</v>
      </c>
      <c r="CC147" s="1415">
        <f t="shared" si="264"/>
        <v>-6.8898928956090506E-6</v>
      </c>
      <c r="CD147" s="1415">
        <f t="shared" si="264"/>
        <v>-7.7303031574768955E-6</v>
      </c>
      <c r="CE147" s="1415">
        <f t="shared" si="264"/>
        <v>-4.9916765110199172E-6</v>
      </c>
      <c r="CF147" s="1415">
        <f t="shared" si="264"/>
        <v>5.8291778338374127E-6</v>
      </c>
      <c r="CG147" s="1415">
        <f t="shared" si="264"/>
        <v>6.0532444434722178E-7</v>
      </c>
      <c r="CH147" s="1425">
        <f t="shared" si="264"/>
        <v>3.1035898234940712E-6</v>
      </c>
      <c r="CI147" s="1417">
        <f t="shared" si="264"/>
        <v>2.3338087903657334E-5</v>
      </c>
      <c r="CJ147" s="1417">
        <f t="shared" si="264"/>
        <v>2.3540115265489842E-5</v>
      </c>
      <c r="CK147" s="1417">
        <f t="shared" si="264"/>
        <v>2.3355682628933728E-5</v>
      </c>
      <c r="CL147" s="1417">
        <f t="shared" si="264"/>
        <v>2.3168329709197274E-5</v>
      </c>
      <c r="CM147" s="1418">
        <f t="shared" si="264"/>
        <v>2.3595466280509247E-5</v>
      </c>
      <c r="CN147" s="1417">
        <f t="shared" si="264"/>
        <v>5.7661154867717125E-6</v>
      </c>
      <c r="CO147" s="1417">
        <f t="shared" si="264"/>
        <v>5.8506421596343232E-6</v>
      </c>
      <c r="CP147" s="1417">
        <f t="shared" si="264"/>
        <v>5.7827063050728313E-6</v>
      </c>
      <c r="CQ147" s="1417">
        <f t="shared" si="264"/>
        <v>5.7162178200919084E-6</v>
      </c>
      <c r="CR147" s="1419">
        <f t="shared" si="264"/>
        <v>5.7925420198658092E-6</v>
      </c>
      <c r="CS147" s="1378"/>
      <c r="CT147" s="1412" t="str">
        <f t="shared" si="188"/>
        <v>Price</v>
      </c>
      <c r="CU147" s="1413" t="str">
        <f t="shared" si="189"/>
        <v>Water</v>
      </c>
      <c r="CV147" s="1426" t="str">
        <f t="shared" si="190"/>
        <v>Fixed</v>
      </c>
      <c r="CW147" s="1427">
        <f t="shared" si="213"/>
        <v>6.8173710865780279E-2</v>
      </c>
      <c r="CX147" s="1417">
        <f t="shared" si="214"/>
        <v>6.7777151742530517E-2</v>
      </c>
      <c r="CY147" s="1417">
        <f t="shared" si="215"/>
        <v>6.7396511482410215E-2</v>
      </c>
      <c r="CZ147" s="1419">
        <f t="shared" si="216"/>
        <v>6.7031147706916538E-2</v>
      </c>
      <c r="DA147" s="1417">
        <f t="shared" si="217"/>
        <v>5.8351343820242541E-2</v>
      </c>
      <c r="DB147" s="1417">
        <f t="shared" si="218"/>
        <v>5.2194745753542993E-2</v>
      </c>
      <c r="DC147" s="1417">
        <f t="shared" si="219"/>
        <v>4.7600811496040452E-2</v>
      </c>
      <c r="DD147" s="1417">
        <f t="shared" si="220"/>
        <v>4.4041622814378734E-2</v>
      </c>
      <c r="DE147" s="1419">
        <f t="shared" si="221"/>
        <v>4.1202980244595455E-2</v>
      </c>
      <c r="DF147" s="1378"/>
      <c r="DG147" s="1412" t="str">
        <f t="shared" si="222"/>
        <v>Price</v>
      </c>
      <c r="DH147" s="1413" t="str">
        <f t="shared" si="222"/>
        <v>Water</v>
      </c>
      <c r="DI147" s="1426" t="str">
        <f t="shared" si="222"/>
        <v>Fixed</v>
      </c>
      <c r="DJ147" s="1426"/>
      <c r="DK147" s="1427">
        <f t="shared" si="223"/>
        <v>6.7372656938922137E-2</v>
      </c>
      <c r="DL147" s="1417">
        <f t="shared" si="224"/>
        <v>6.7000109493487114E-2</v>
      </c>
      <c r="DM147" s="1417">
        <f t="shared" si="225"/>
        <v>6.6642638216839245E-2</v>
      </c>
      <c r="DN147" s="1418">
        <f t="shared" si="226"/>
        <v>5.6316086889106831E-2</v>
      </c>
      <c r="DO147" s="1417">
        <f t="shared" si="227"/>
        <v>4.9487320977844362E-2</v>
      </c>
      <c r="DP147" s="1417">
        <f t="shared" si="228"/>
        <v>4.4636675830091788E-2</v>
      </c>
      <c r="DQ147" s="1417">
        <f t="shared" si="229"/>
        <v>4.1013410301860009E-2</v>
      </c>
      <c r="DR147" s="1419">
        <f t="shared" si="230"/>
        <v>3.8204005490727555E-2</v>
      </c>
    </row>
    <row r="148" spans="4:122">
      <c r="E148" s="742" t="s">
        <v>45</v>
      </c>
      <c r="F148" s="722" t="str">
        <f>+F147</f>
        <v>Water</v>
      </c>
      <c r="G148" s="723" t="str">
        <f>+G147</f>
        <v>Fixed tariff group - 3 -32mm</v>
      </c>
      <c r="H148" s="723">
        <f>+H147</f>
        <v>0</v>
      </c>
      <c r="I148" s="724" t="str">
        <f>+I147</f>
        <v>Fixed</v>
      </c>
      <c r="J148" s="782" t="s">
        <v>323</v>
      </c>
      <c r="K148" s="1540"/>
      <c r="L148" s="1541"/>
      <c r="M148" s="1541"/>
      <c r="N148" s="1542"/>
      <c r="O148" s="2031">
        <v>30</v>
      </c>
      <c r="P148" s="1543">
        <v>31</v>
      </c>
      <c r="Q148" s="1543">
        <v>31</v>
      </c>
      <c r="R148" s="1543">
        <v>32</v>
      </c>
      <c r="S148" s="1543">
        <v>32</v>
      </c>
      <c r="T148" s="1543">
        <v>34.664893617021278</v>
      </c>
      <c r="U148" s="1543">
        <v>35</v>
      </c>
      <c r="V148" s="1543">
        <v>36</v>
      </c>
      <c r="W148" s="1543">
        <v>36</v>
      </c>
      <c r="X148" s="1544">
        <v>37</v>
      </c>
      <c r="Y148" s="1543">
        <v>37</v>
      </c>
      <c r="Z148" s="1543">
        <v>37</v>
      </c>
      <c r="AA148" s="1543">
        <v>38</v>
      </c>
      <c r="AB148" s="1543">
        <v>38</v>
      </c>
      <c r="AC148" s="1544">
        <v>39</v>
      </c>
      <c r="AD148" s="1543">
        <v>39</v>
      </c>
      <c r="AE148" s="1543">
        <v>39</v>
      </c>
      <c r="AF148" s="1543">
        <v>40</v>
      </c>
      <c r="AG148" s="788">
        <v>40</v>
      </c>
      <c r="AH148" s="697"/>
      <c r="AI148" s="707"/>
      <c r="AJ148" s="709">
        <f t="shared" si="234"/>
        <v>37</v>
      </c>
      <c r="AK148" s="710">
        <f t="shared" si="235"/>
        <v>37</v>
      </c>
      <c r="AL148" s="710">
        <f t="shared" si="236"/>
        <v>37</v>
      </c>
      <c r="AM148" s="710">
        <f t="shared" si="237"/>
        <v>38</v>
      </c>
      <c r="AN148" s="710">
        <f t="shared" si="238"/>
        <v>38</v>
      </c>
      <c r="AO148" s="711">
        <f t="shared" si="239"/>
        <v>39</v>
      </c>
      <c r="AP148" s="707">
        <f t="shared" si="240"/>
        <v>39</v>
      </c>
      <c r="AQ148" s="707">
        <f t="shared" si="241"/>
        <v>39</v>
      </c>
      <c r="AR148" s="707">
        <f t="shared" si="242"/>
        <v>40</v>
      </c>
      <c r="AS148" s="712">
        <f t="shared" si="243"/>
        <v>40</v>
      </c>
      <c r="AV148" s="1559"/>
      <c r="AW148" s="1392" t="str">
        <f t="shared" si="191"/>
        <v>Qty</v>
      </c>
      <c r="AX148" s="1393" t="str">
        <f t="shared" si="191"/>
        <v>Water</v>
      </c>
      <c r="AY148" s="1394" t="str">
        <f t="shared" si="192"/>
        <v>Fixed</v>
      </c>
      <c r="AZ148" s="1395">
        <f t="shared" si="262"/>
        <v>3.3333333333333437E-2</v>
      </c>
      <c r="BA148" s="1395">
        <f t="shared" si="262"/>
        <v>0</v>
      </c>
      <c r="BB148" s="1395">
        <f t="shared" si="262"/>
        <v>3.2258064516129004E-2</v>
      </c>
      <c r="BC148" s="1395">
        <f t="shared" si="194"/>
        <v>0</v>
      </c>
      <c r="BD148" s="1395">
        <f t="shared" si="195"/>
        <v>8.3277925531914931E-2</v>
      </c>
      <c r="BE148" s="1395">
        <f t="shared" si="196"/>
        <v>9.6670247046186653E-3</v>
      </c>
      <c r="BF148" s="1395">
        <f t="shared" si="197"/>
        <v>2.857142857142847E-2</v>
      </c>
      <c r="BG148" s="1396">
        <f t="shared" si="198"/>
        <v>0</v>
      </c>
      <c r="BH148" s="1395">
        <f t="shared" si="199"/>
        <v>2.7777777777777679E-2</v>
      </c>
      <c r="BI148" s="1395">
        <f t="shared" si="200"/>
        <v>0</v>
      </c>
      <c r="BJ148" s="1395">
        <f t="shared" si="201"/>
        <v>0</v>
      </c>
      <c r="BK148" s="1395">
        <f t="shared" si="202"/>
        <v>2.7027027027026973E-2</v>
      </c>
      <c r="BL148" s="1397">
        <f t="shared" si="203"/>
        <v>0</v>
      </c>
      <c r="BM148" s="1395">
        <f t="shared" si="204"/>
        <v>2.6315789473684292E-2</v>
      </c>
      <c r="BN148" s="1395">
        <f t="shared" si="205"/>
        <v>0</v>
      </c>
      <c r="BO148" s="1395">
        <f t="shared" si="206"/>
        <v>0</v>
      </c>
      <c r="BP148" s="1395">
        <f t="shared" si="207"/>
        <v>2.564102564102555E-2</v>
      </c>
      <c r="BQ148" s="1398">
        <f t="shared" si="208"/>
        <v>0</v>
      </c>
      <c r="BR148" s="1378"/>
      <c r="BS148" s="1329"/>
      <c r="BT148" s="1399"/>
      <c r="BU148" s="1331"/>
      <c r="BV148" s="1400"/>
      <c r="BW148" s="1378"/>
      <c r="BX148" s="1392" t="str">
        <f t="shared" si="209"/>
        <v>Qty</v>
      </c>
      <c r="BY148" s="1393" t="str">
        <f t="shared" si="210"/>
        <v>Water</v>
      </c>
      <c r="BZ148" s="1394" t="str">
        <f t="shared" si="211"/>
        <v>Fixed</v>
      </c>
      <c r="CA148" s="1401">
        <f t="shared" ref="CA148:CR148" si="265">IFERROR((P148/O148-1)*(O149/O$13),"-")</f>
        <v>1.0538135438539105E-5</v>
      </c>
      <c r="CB148" s="1395">
        <f t="shared" si="265"/>
        <v>0</v>
      </c>
      <c r="CC148" s="1395">
        <f t="shared" si="265"/>
        <v>1.0365954988748476E-5</v>
      </c>
      <c r="CD148" s="1395">
        <f t="shared" si="265"/>
        <v>0</v>
      </c>
      <c r="CE148" s="1395">
        <f t="shared" si="265"/>
        <v>2.7830924252810438E-5</v>
      </c>
      <c r="CF148" s="1395">
        <f t="shared" si="265"/>
        <v>3.3292990562669128E-6</v>
      </c>
      <c r="CG148" s="1395">
        <f t="shared" si="265"/>
        <v>9.6164714823485963E-6</v>
      </c>
      <c r="CH148" s="1397">
        <f t="shared" si="265"/>
        <v>0</v>
      </c>
      <c r="CI148" s="1395">
        <f t="shared" si="265"/>
        <v>9.4519951055744745E-6</v>
      </c>
      <c r="CJ148" s="1395">
        <f t="shared" si="265"/>
        <v>0</v>
      </c>
      <c r="CK148" s="1395">
        <f t="shared" si="265"/>
        <v>0</v>
      </c>
      <c r="CL148" s="1395">
        <f t="shared" si="265"/>
        <v>9.4508678427885441E-6</v>
      </c>
      <c r="CM148" s="1397">
        <f t="shared" si="265"/>
        <v>0</v>
      </c>
      <c r="CN148" s="1395">
        <f t="shared" si="265"/>
        <v>9.4837425769271798E-6</v>
      </c>
      <c r="CO148" s="1395">
        <f t="shared" si="265"/>
        <v>0</v>
      </c>
      <c r="CP148" s="1395">
        <f t="shared" si="265"/>
        <v>0</v>
      </c>
      <c r="CQ148" s="1395">
        <f t="shared" si="265"/>
        <v>9.1606054809164799E-6</v>
      </c>
      <c r="CR148" s="1398">
        <f t="shared" si="265"/>
        <v>0</v>
      </c>
      <c r="CS148" s="1378"/>
      <c r="CT148" s="1392" t="str">
        <f t="shared" si="188"/>
        <v>Qty</v>
      </c>
      <c r="CU148" s="1393" t="str">
        <f t="shared" si="189"/>
        <v>Water</v>
      </c>
      <c r="CV148" s="1393" t="str">
        <f t="shared" si="190"/>
        <v>Fixed</v>
      </c>
      <c r="CW148" s="1401">
        <f t="shared" si="213"/>
        <v>1.3793755049703149E-2</v>
      </c>
      <c r="CX148" s="1395">
        <f t="shared" si="214"/>
        <v>9.1748244185174688E-3</v>
      </c>
      <c r="CY148" s="1395">
        <f t="shared" si="215"/>
        <v>1.3608570320990721E-2</v>
      </c>
      <c r="CZ148" s="1398">
        <f t="shared" si="216"/>
        <v>1.087212085035083E-2</v>
      </c>
      <c r="DA148" s="1395">
        <f t="shared" si="217"/>
        <v>1.3429832117073381E-2</v>
      </c>
      <c r="DB148" s="1395">
        <f t="shared" si="218"/>
        <v>1.150029829051169E-2</v>
      </c>
      <c r="DC148" s="1395">
        <f t="shared" si="219"/>
        <v>1.0055559210159659E-2</v>
      </c>
      <c r="DD148" s="1395">
        <f t="shared" si="220"/>
        <v>1.1775515835346528E-2</v>
      </c>
      <c r="DE148" s="1398">
        <f t="shared" si="221"/>
        <v>1.0591751203291366E-2</v>
      </c>
      <c r="DF148" s="1378"/>
      <c r="DG148" s="1392" t="str">
        <f t="shared" si="222"/>
        <v>Qty</v>
      </c>
      <c r="DH148" s="1393" t="str">
        <f t="shared" si="222"/>
        <v>Water</v>
      </c>
      <c r="DI148" s="1393" t="str">
        <f t="shared" si="222"/>
        <v>Fixed</v>
      </c>
      <c r="DJ148" s="1393"/>
      <c r="DK148" s="1401">
        <f t="shared" si="223"/>
        <v>0</v>
      </c>
      <c r="DL148" s="1395">
        <f t="shared" si="224"/>
        <v>8.929043886532817E-3</v>
      </c>
      <c r="DM148" s="1395">
        <f t="shared" si="225"/>
        <v>6.6893361007969165E-3</v>
      </c>
      <c r="DN148" s="1397">
        <f t="shared" si="226"/>
        <v>1.0584368990204318E-2</v>
      </c>
      <c r="DO148" s="1395">
        <f t="shared" si="227"/>
        <v>8.8125595497419162E-3</v>
      </c>
      <c r="DP148" s="1395">
        <f t="shared" si="228"/>
        <v>7.5488835911019514E-3</v>
      </c>
      <c r="DQ148" s="1395">
        <f t="shared" si="229"/>
        <v>9.7928316986408692E-3</v>
      </c>
      <c r="DR148" s="1398">
        <f t="shared" si="230"/>
        <v>8.700020595618696E-3</v>
      </c>
    </row>
    <row r="149" spans="4:122" ht="12.75" thickBot="1">
      <c r="E149" s="743" t="s">
        <v>46</v>
      </c>
      <c r="F149" s="732" t="str">
        <f>+F147</f>
        <v>Water</v>
      </c>
      <c r="G149" s="733" t="str">
        <f>+G147</f>
        <v>Fixed tariff group - 3 -32mm</v>
      </c>
      <c r="H149" s="733">
        <f>+H147</f>
        <v>0</v>
      </c>
      <c r="I149" s="734" t="str">
        <f>+I147</f>
        <v>Fixed</v>
      </c>
      <c r="J149" s="735" t="s">
        <v>344</v>
      </c>
      <c r="K149" s="736">
        <f t="shared" ref="K149:AG149" si="266">K147*K148/10^6</f>
        <v>0</v>
      </c>
      <c r="L149" s="737">
        <f t="shared" si="266"/>
        <v>0</v>
      </c>
      <c r="M149" s="737">
        <f t="shared" si="266"/>
        <v>0</v>
      </c>
      <c r="N149" s="738">
        <f t="shared" si="266"/>
        <v>0</v>
      </c>
      <c r="O149" s="1923">
        <f t="shared" si="266"/>
        <v>2.3838145248868774E-2</v>
      </c>
      <c r="P149" s="737">
        <f t="shared" si="266"/>
        <v>2.4743931847246887E-2</v>
      </c>
      <c r="Q149" s="737">
        <f t="shared" si="266"/>
        <v>2.4418256871165646E-2</v>
      </c>
      <c r="R149" s="737">
        <f t="shared" si="266"/>
        <v>2.4665506415094338E-2</v>
      </c>
      <c r="S149" s="737">
        <f t="shared" si="266"/>
        <v>2.4088794707379135E-2</v>
      </c>
      <c r="T149" s="1531">
        <f t="shared" si="266"/>
        <v>2.5705093816263971E-2</v>
      </c>
      <c r="U149" s="737">
        <f t="shared" si="266"/>
        <v>2.6392868891402712E-2</v>
      </c>
      <c r="V149" s="737">
        <f t="shared" si="266"/>
        <v>2.7195773973799124E-2</v>
      </c>
      <c r="W149" s="737">
        <f t="shared" si="266"/>
        <v>2.7450720000000001E-2</v>
      </c>
      <c r="X149" s="738">
        <f t="shared" si="266"/>
        <v>3.0148290242516321E-2</v>
      </c>
      <c r="Y149" s="737">
        <f t="shared" si="266"/>
        <v>3.2191167934504536E-2</v>
      </c>
      <c r="Z149" s="737">
        <f t="shared" si="266"/>
        <v>3.4347476421732991E-2</v>
      </c>
      <c r="AA149" s="737">
        <f t="shared" si="266"/>
        <v>3.761299811052618E-2</v>
      </c>
      <c r="AB149" s="737">
        <f t="shared" si="266"/>
        <v>4.0079317858033696E-2</v>
      </c>
      <c r="AC149" s="738">
        <f t="shared" si="266"/>
        <v>4.1792181337019139E-2</v>
      </c>
      <c r="AD149" s="737">
        <f t="shared" si="266"/>
        <v>4.2460856238411442E-2</v>
      </c>
      <c r="AE149" s="737">
        <f t="shared" si="266"/>
        <v>4.3140229938226027E-2</v>
      </c>
      <c r="AF149" s="737">
        <f t="shared" si="266"/>
        <v>4.4954331915115539E-2</v>
      </c>
      <c r="AG149" s="739">
        <f t="shared" si="266"/>
        <v>4.5673601225757379E-2</v>
      </c>
      <c r="AH149" s="697"/>
      <c r="AI149" s="707"/>
      <c r="AJ149" s="709">
        <f t="shared" si="234"/>
        <v>3.0148290242516321E-2</v>
      </c>
      <c r="AK149" s="710">
        <f t="shared" si="235"/>
        <v>3.2191167934504536E-2</v>
      </c>
      <c r="AL149" s="710">
        <f t="shared" si="236"/>
        <v>3.4347476421732991E-2</v>
      </c>
      <c r="AM149" s="710">
        <f t="shared" si="237"/>
        <v>3.761299811052618E-2</v>
      </c>
      <c r="AN149" s="710">
        <f t="shared" si="238"/>
        <v>4.0079317858033696E-2</v>
      </c>
      <c r="AO149" s="711">
        <f t="shared" si="239"/>
        <v>4.1792181337019139E-2</v>
      </c>
      <c r="AP149" s="707">
        <f t="shared" si="240"/>
        <v>4.2460856238411442E-2</v>
      </c>
      <c r="AQ149" s="707">
        <f t="shared" si="241"/>
        <v>4.3140229938226027E-2</v>
      </c>
      <c r="AR149" s="707">
        <f t="shared" si="242"/>
        <v>4.4954331915115539E-2</v>
      </c>
      <c r="AS149" s="712">
        <f t="shared" si="243"/>
        <v>4.5673601225757379E-2</v>
      </c>
      <c r="AV149" s="1559"/>
      <c r="AW149" s="1428" t="str">
        <f t="shared" si="191"/>
        <v>Rev</v>
      </c>
      <c r="AX149" s="1429" t="str">
        <f t="shared" si="191"/>
        <v>Water</v>
      </c>
      <c r="AY149" s="1430" t="str">
        <f t="shared" si="192"/>
        <v>Fixed</v>
      </c>
      <c r="AZ149" s="1431">
        <f t="shared" si="262"/>
        <v>3.7997360487645127E-2</v>
      </c>
      <c r="BA149" s="1431">
        <f t="shared" si="262"/>
        <v>-1.3161811877423046E-2</v>
      </c>
      <c r="BB149" s="1431">
        <f t="shared" si="262"/>
        <v>1.0125601726332034E-2</v>
      </c>
      <c r="BC149" s="1431">
        <f t="shared" si="194"/>
        <v>-2.3381304158518246E-2</v>
      </c>
      <c r="BD149" s="1431">
        <f t="shared" si="195"/>
        <v>6.7097550065039702E-2</v>
      </c>
      <c r="BE149" s="1431">
        <f t="shared" si="196"/>
        <v>2.6756372882933199E-2</v>
      </c>
      <c r="BF149" s="1431">
        <f t="shared" si="197"/>
        <v>3.0421288632928922E-2</v>
      </c>
      <c r="BG149" s="1432">
        <f t="shared" si="198"/>
        <v>9.3744721678632459E-3</v>
      </c>
      <c r="BH149" s="1431">
        <f t="shared" si="199"/>
        <v>9.8269562420086665E-2</v>
      </c>
      <c r="BI149" s="1431">
        <f t="shared" si="200"/>
        <v>6.7760979994390125E-2</v>
      </c>
      <c r="BJ149" s="1431">
        <f t="shared" si="201"/>
        <v>6.6984475108689212E-2</v>
      </c>
      <c r="BK149" s="1431">
        <f t="shared" si="202"/>
        <v>9.5073118289615177E-2</v>
      </c>
      <c r="BL149" s="1433">
        <f t="shared" si="203"/>
        <v>6.5570942796429277E-2</v>
      </c>
      <c r="BM149" s="1431">
        <f t="shared" si="204"/>
        <v>4.2736842105263184E-2</v>
      </c>
      <c r="BN149" s="1431">
        <f t="shared" si="205"/>
        <v>1.5999999999999792E-2</v>
      </c>
      <c r="BO149" s="1431">
        <f t="shared" si="206"/>
        <v>1.6000000000000014E-2</v>
      </c>
      <c r="BP149" s="1431">
        <f t="shared" si="207"/>
        <v>4.2051282051282168E-2</v>
      </c>
      <c r="BQ149" s="1434">
        <f t="shared" si="208"/>
        <v>1.5999999999999792E-2</v>
      </c>
      <c r="BR149" s="1378"/>
      <c r="BS149" s="1407"/>
      <c r="BT149" s="1408"/>
      <c r="BU149" s="1409"/>
      <c r="BV149" s="1410"/>
      <c r="BW149" s="1378"/>
      <c r="BX149" s="1428" t="str">
        <f t="shared" si="209"/>
        <v>Rev</v>
      </c>
      <c r="BY149" s="1429" t="str">
        <f t="shared" si="210"/>
        <v>Water</v>
      </c>
      <c r="BZ149" s="1430" t="str">
        <f t="shared" si="211"/>
        <v>Fixed</v>
      </c>
      <c r="CA149" s="1435">
        <f t="shared" ref="CA149:CR149" si="267">IFERROR((P149/O149-1)*(O149/O$13),"-")</f>
        <v>1.2012639933773921E-5</v>
      </c>
      <c r="CB149" s="1431">
        <f t="shared" si="267"/>
        <v>-4.2099125964087744E-6</v>
      </c>
      <c r="CC149" s="1431">
        <f t="shared" si="267"/>
        <v>3.2538074836037064E-6</v>
      </c>
      <c r="CD149" s="1431">
        <f t="shared" si="267"/>
        <v>-7.7303031574768955E-6</v>
      </c>
      <c r="CE149" s="1431">
        <f t="shared" si="267"/>
        <v>2.2423551277026346E-5</v>
      </c>
      <c r="CF149" s="1431">
        <f t="shared" si="267"/>
        <v>9.2148276962315931E-6</v>
      </c>
      <c r="CG149" s="1431">
        <f t="shared" si="267"/>
        <v>1.0239090910820014E-5</v>
      </c>
      <c r="CH149" s="1433">
        <f t="shared" si="267"/>
        <v>3.1035898234941449E-6</v>
      </c>
      <c r="CI149" s="1431">
        <f t="shared" si="267"/>
        <v>3.343836322877788E-5</v>
      </c>
      <c r="CJ149" s="1431">
        <f t="shared" si="267"/>
        <v>2.3540115265489768E-5</v>
      </c>
      <c r="CK149" s="1431">
        <f t="shared" si="267"/>
        <v>2.335568262893365E-5</v>
      </c>
      <c r="CL149" s="1431">
        <f t="shared" si="267"/>
        <v>3.3245368625207423E-5</v>
      </c>
      <c r="CM149" s="1433">
        <f t="shared" si="267"/>
        <v>2.3595466280509328E-5</v>
      </c>
      <c r="CN149" s="1431">
        <f t="shared" si="267"/>
        <v>1.5401597944929702E-5</v>
      </c>
      <c r="CO149" s="1431">
        <f t="shared" si="267"/>
        <v>5.8506421596342418E-6</v>
      </c>
      <c r="CP149" s="1431">
        <f t="shared" si="267"/>
        <v>5.7827063050728313E-6</v>
      </c>
      <c r="CQ149" s="1431">
        <f t="shared" si="267"/>
        <v>1.5023392988703122E-5</v>
      </c>
      <c r="CR149" s="1434">
        <f t="shared" si="267"/>
        <v>5.7925420198657287E-6</v>
      </c>
      <c r="CS149" s="1378"/>
      <c r="CT149" s="1428" t="str">
        <f t="shared" si="188"/>
        <v>Rev</v>
      </c>
      <c r="CU149" s="1429" t="str">
        <f t="shared" si="189"/>
        <v>Water</v>
      </c>
      <c r="CV149" s="1429" t="str">
        <f t="shared" si="190"/>
        <v>Fixed</v>
      </c>
      <c r="CW149" s="1435">
        <f t="shared" si="213"/>
        <v>8.290783738399532E-2</v>
      </c>
      <c r="CX149" s="1431">
        <f t="shared" si="214"/>
        <v>7.7573819627872798E-2</v>
      </c>
      <c r="CY149" s="1431">
        <f t="shared" si="215"/>
        <v>8.1922251969298587E-2</v>
      </c>
      <c r="CZ149" s="1434">
        <f t="shared" si="216"/>
        <v>7.8632039295874812E-2</v>
      </c>
      <c r="DA149" s="1431">
        <f t="shared" si="217"/>
        <v>7.2564824688627461E-2</v>
      </c>
      <c r="DB149" s="1431">
        <f t="shared" si="218"/>
        <v>6.4295299189417898E-2</v>
      </c>
      <c r="DC149" s="1431">
        <f t="shared" si="219"/>
        <v>5.8135023484650272E-2</v>
      </c>
      <c r="DD149" s="1431">
        <f t="shared" si="220"/>
        <v>5.6335751476590312E-2</v>
      </c>
      <c r="DE149" s="1434">
        <f t="shared" si="221"/>
        <v>5.2231143163471661E-2</v>
      </c>
      <c r="DF149" s="1378"/>
      <c r="DG149" s="1428" t="str">
        <f t="shared" si="222"/>
        <v>Rev</v>
      </c>
      <c r="DH149" s="1429" t="str">
        <f t="shared" si="222"/>
        <v>Water</v>
      </c>
      <c r="DI149" s="1429" t="str">
        <f t="shared" si="222"/>
        <v>Fixed</v>
      </c>
      <c r="DJ149" s="1429"/>
      <c r="DK149" s="1435">
        <f t="shared" si="223"/>
        <v>6.7372656938922137E-2</v>
      </c>
      <c r="DL149" s="1431">
        <f t="shared" si="224"/>
        <v>7.6527400298089576E-2</v>
      </c>
      <c r="DM149" s="1431">
        <f t="shared" si="225"/>
        <v>7.3777769323312592E-2</v>
      </c>
      <c r="DN149" s="1433">
        <f t="shared" si="226"/>
        <v>6.749652612302981E-2</v>
      </c>
      <c r="DO149" s="1431">
        <f t="shared" si="227"/>
        <v>5.8735990490660583E-2</v>
      </c>
      <c r="DP149" s="1431">
        <f t="shared" si="228"/>
        <v>5.2522516490929094E-2</v>
      </c>
      <c r="DQ149" s="1431">
        <f t="shared" si="229"/>
        <v>5.1207879424974401E-2</v>
      </c>
      <c r="DR149" s="1434">
        <f t="shared" si="230"/>
        <v>4.723640172095056E-2</v>
      </c>
    </row>
    <row r="150" spans="4:122">
      <c r="D150" s="70">
        <f>D147+1</f>
        <v>29</v>
      </c>
      <c r="E150" s="713" t="s">
        <v>44</v>
      </c>
      <c r="F150" s="1532" t="s">
        <v>20</v>
      </c>
      <c r="G150" s="1532" t="s">
        <v>891</v>
      </c>
      <c r="H150" s="1532"/>
      <c r="I150" s="781" t="s">
        <v>319</v>
      </c>
      <c r="J150" s="781" t="s">
        <v>345</v>
      </c>
      <c r="K150" s="1533"/>
      <c r="L150" s="1534"/>
      <c r="M150" s="1534"/>
      <c r="N150" s="1535"/>
      <c r="O150" s="2071">
        <v>1242.7438914027148</v>
      </c>
      <c r="P150" s="1547">
        <v>1248.2814031971579</v>
      </c>
      <c r="Q150" s="1547">
        <v>1231.9203680981595</v>
      </c>
      <c r="R150" s="1547">
        <v>1205.5069811320752</v>
      </c>
      <c r="S150" s="1547">
        <v>1177.321272264631</v>
      </c>
      <c r="T150" s="1547">
        <v>1159.7586440677965</v>
      </c>
      <c r="U150" s="1547">
        <v>1179.3758371040724</v>
      </c>
      <c r="V150" s="1547">
        <v>1181.4908733624452</v>
      </c>
      <c r="W150" s="1547">
        <v>1192.57</v>
      </c>
      <c r="X150" s="1550">
        <v>1267.3894452031439</v>
      </c>
      <c r="Y150" s="1551">
        <v>1346.3623222724198</v>
      </c>
      <c r="Z150" s="1551">
        <v>1429.6482947502889</v>
      </c>
      <c r="AA150" s="1551">
        <v>1517.4741123030983</v>
      </c>
      <c r="AB150" s="1551">
        <v>1610.0793281122974</v>
      </c>
      <c r="AC150" s="1550">
        <v>1635.8405973620941</v>
      </c>
      <c r="AD150" s="1551">
        <v>1662.0140469198875</v>
      </c>
      <c r="AE150" s="1551">
        <v>1688.6062716706058</v>
      </c>
      <c r="AF150" s="1551">
        <v>1715.6239720173355</v>
      </c>
      <c r="AG150" s="1552">
        <v>1743.073955569613</v>
      </c>
      <c r="AH150" s="697"/>
      <c r="AI150" s="707"/>
      <c r="AJ150" s="709">
        <f t="shared" si="234"/>
        <v>1267.3894452031439</v>
      </c>
      <c r="AK150" s="710">
        <f t="shared" si="235"/>
        <v>1346.3623222724198</v>
      </c>
      <c r="AL150" s="710">
        <f t="shared" si="236"/>
        <v>1429.6482947502889</v>
      </c>
      <c r="AM150" s="710">
        <f t="shared" si="237"/>
        <v>1517.4741123030983</v>
      </c>
      <c r="AN150" s="710">
        <f t="shared" si="238"/>
        <v>1610.0793281122974</v>
      </c>
      <c r="AO150" s="711">
        <f t="shared" si="239"/>
        <v>1635.8405973620941</v>
      </c>
      <c r="AP150" s="707">
        <f t="shared" si="240"/>
        <v>1662.0140469198875</v>
      </c>
      <c r="AQ150" s="707">
        <f t="shared" si="241"/>
        <v>1688.6062716706058</v>
      </c>
      <c r="AR150" s="707">
        <f t="shared" si="242"/>
        <v>1715.6239720173355</v>
      </c>
      <c r="AS150" s="712">
        <f t="shared" si="243"/>
        <v>1743.073955569613</v>
      </c>
      <c r="AU150" s="1369"/>
      <c r="AV150" s="1559"/>
      <c r="AW150" s="1412" t="str">
        <f t="shared" si="191"/>
        <v>Price</v>
      </c>
      <c r="AX150" s="1413" t="str">
        <f t="shared" si="191"/>
        <v>Water</v>
      </c>
      <c r="AY150" s="1414" t="str">
        <f t="shared" si="192"/>
        <v>Fixed</v>
      </c>
      <c r="AZ150" s="1415">
        <f t="shared" si="262"/>
        <v>4.4558752875403229E-3</v>
      </c>
      <c r="BA150" s="1415">
        <f t="shared" si="262"/>
        <v>-1.3106848389388581E-2</v>
      </c>
      <c r="BB150" s="1415">
        <f t="shared" si="262"/>
        <v>-2.1440823327615988E-2</v>
      </c>
      <c r="BC150" s="1415">
        <f t="shared" si="194"/>
        <v>-2.3380792735829159E-2</v>
      </c>
      <c r="BD150" s="1415">
        <f t="shared" si="195"/>
        <v>-1.491744743815937E-2</v>
      </c>
      <c r="BE150" s="1415">
        <f t="shared" si="196"/>
        <v>1.6914892712047047E-2</v>
      </c>
      <c r="BF150" s="1415">
        <f t="shared" si="197"/>
        <v>1.7933522053208417E-3</v>
      </c>
      <c r="BG150" s="1416">
        <f t="shared" si="198"/>
        <v>9.377242674777797E-3</v>
      </c>
      <c r="BH150" s="1417">
        <f t="shared" si="199"/>
        <v>6.2737990393137544E-2</v>
      </c>
      <c r="BI150" s="1417">
        <f t="shared" si="200"/>
        <v>6.2311452385985122E-2</v>
      </c>
      <c r="BJ150" s="1417">
        <f t="shared" si="201"/>
        <v>6.185999942221887E-2</v>
      </c>
      <c r="BK150" s="1417">
        <f t="shared" si="202"/>
        <v>6.1431764634217068E-2</v>
      </c>
      <c r="BL150" s="1418">
        <f t="shared" si="203"/>
        <v>6.1025894977971396E-2</v>
      </c>
      <c r="BM150" s="1417">
        <f t="shared" si="204"/>
        <v>1.6000000000000014E-2</v>
      </c>
      <c r="BN150" s="1417">
        <f t="shared" si="205"/>
        <v>1.6000000000000014E-2</v>
      </c>
      <c r="BO150" s="1417">
        <f t="shared" si="206"/>
        <v>1.6000000000000014E-2</v>
      </c>
      <c r="BP150" s="1417">
        <f t="shared" si="207"/>
        <v>1.6000000000000014E-2</v>
      </c>
      <c r="BQ150" s="1419">
        <f t="shared" si="208"/>
        <v>1.6000000000000014E-2</v>
      </c>
      <c r="BR150" s="1378"/>
      <c r="BS150" s="1420"/>
      <c r="BT150" s="1421"/>
      <c r="BU150" s="1422"/>
      <c r="BV150" s="1423"/>
      <c r="BW150" s="1378"/>
      <c r="BX150" s="1412" t="str">
        <f t="shared" si="209"/>
        <v>Price</v>
      </c>
      <c r="BY150" s="1413" t="str">
        <f t="shared" si="210"/>
        <v>Water</v>
      </c>
      <c r="BZ150" s="1414" t="str">
        <f t="shared" si="211"/>
        <v>Fixed</v>
      </c>
      <c r="CA150" s="1424">
        <f t="shared" ref="CA150:CR150" si="268">IFERROR((P150/O150-1)*(O152/O$13),"-")</f>
        <v>3.96571037093964E-6</v>
      </c>
      <c r="CB150" s="1415">
        <f t="shared" si="268"/>
        <v>-1.1632207890300912E-5</v>
      </c>
      <c r="CC150" s="1415">
        <f t="shared" si="268"/>
        <v>-1.877042942059781E-5</v>
      </c>
      <c r="CD150" s="1415">
        <f t="shared" si="268"/>
        <v>-2.0779228033069334E-5</v>
      </c>
      <c r="CE150" s="1415">
        <f t="shared" si="268"/>
        <v>-1.3400927493645036E-5</v>
      </c>
      <c r="CF150" s="1415">
        <f t="shared" si="268"/>
        <v>1.4455740420964308E-5</v>
      </c>
      <c r="CG150" s="1415">
        <f t="shared" si="268"/>
        <v>1.4025500002505452E-6</v>
      </c>
      <c r="CH150" s="1425">
        <f t="shared" si="268"/>
        <v>7.1482127236473383E-6</v>
      </c>
      <c r="CI150" s="1417">
        <f t="shared" si="268"/>
        <v>5.0081864885568312E-5</v>
      </c>
      <c r="CJ150" s="1417">
        <f t="shared" si="268"/>
        <v>4.9140315332062877E-5</v>
      </c>
      <c r="CK150" s="1417">
        <f t="shared" si="268"/>
        <v>4.9615368751086305E-5</v>
      </c>
      <c r="CL150" s="1417">
        <f t="shared" si="268"/>
        <v>4.9177162998351612E-5</v>
      </c>
      <c r="CM150" s="1418">
        <f t="shared" si="268"/>
        <v>4.9613819115333993E-5</v>
      </c>
      <c r="CN150" s="1417">
        <f t="shared" si="268"/>
        <v>1.2971742417674667E-5</v>
      </c>
      <c r="CO150" s="1417">
        <f t="shared" si="268"/>
        <v>1.3053420677583854E-5</v>
      </c>
      <c r="CP150" s="1417">
        <f t="shared" si="268"/>
        <v>1.2901848377571964E-5</v>
      </c>
      <c r="CQ150" s="1417">
        <f t="shared" si="268"/>
        <v>1.2977251024246275E-5</v>
      </c>
      <c r="CR150" s="1419">
        <f t="shared" si="268"/>
        <v>1.2821762985688218E-5</v>
      </c>
      <c r="CS150" s="1378"/>
      <c r="CT150" s="1412" t="str">
        <f t="shared" si="188"/>
        <v>Price</v>
      </c>
      <c r="CU150" s="1413" t="str">
        <f t="shared" si="189"/>
        <v>Water</v>
      </c>
      <c r="CV150" s="1426" t="str">
        <f t="shared" si="190"/>
        <v>Fixed</v>
      </c>
      <c r="CW150" s="1427">
        <f t="shared" si="213"/>
        <v>6.2524699985980092E-2</v>
      </c>
      <c r="CX150" s="1417">
        <f t="shared" si="214"/>
        <v>6.2303086912288697E-2</v>
      </c>
      <c r="CY150" s="1417">
        <f t="shared" si="215"/>
        <v>6.2085189309821098E-2</v>
      </c>
      <c r="CZ150" s="1419">
        <f t="shared" si="216"/>
        <v>6.187324587197196E-2</v>
      </c>
      <c r="DA150" s="1417">
        <f t="shared" si="217"/>
        <v>5.4086335986503808E-2</v>
      </c>
      <c r="DB150" s="1417">
        <f t="shared" si="218"/>
        <v>4.8559242886518028E-2</v>
      </c>
      <c r="DC150" s="1417">
        <f t="shared" si="219"/>
        <v>4.4432950342494504E-2</v>
      </c>
      <c r="DD150" s="1417">
        <f t="shared" si="220"/>
        <v>4.1234841103422015E-2</v>
      </c>
      <c r="DE150" s="1419">
        <f t="shared" si="221"/>
        <v>3.8683405954828665E-2</v>
      </c>
      <c r="DF150" s="1378"/>
      <c r="DG150" s="1412" t="str">
        <f t="shared" si="222"/>
        <v>Price</v>
      </c>
      <c r="DH150" s="1413" t="str">
        <f t="shared" si="222"/>
        <v>Water</v>
      </c>
      <c r="DI150" s="1426" t="str">
        <f t="shared" si="222"/>
        <v>Fixed</v>
      </c>
      <c r="DJ150" s="1426"/>
      <c r="DK150" s="1427">
        <f t="shared" si="223"/>
        <v>6.2085701917128144E-2</v>
      </c>
      <c r="DL150" s="1417">
        <f t="shared" si="224"/>
        <v>6.1867678070178567E-2</v>
      </c>
      <c r="DM150" s="1417">
        <f t="shared" si="225"/>
        <v>6.1657169707528325E-2</v>
      </c>
      <c r="DN150" s="1418">
        <f t="shared" si="226"/>
        <v>5.2364475401825983E-2</v>
      </c>
      <c r="DO150" s="1417">
        <f t="shared" si="227"/>
        <v>4.6214578293282571E-2</v>
      </c>
      <c r="DP150" s="1417">
        <f t="shared" si="228"/>
        <v>4.1843810562071981E-2</v>
      </c>
      <c r="DQ150" s="1417">
        <f t="shared" si="229"/>
        <v>3.8577721898004569E-2</v>
      </c>
      <c r="DR150" s="1419">
        <f t="shared" si="230"/>
        <v>3.6044511106270605E-2</v>
      </c>
    </row>
    <row r="151" spans="4:122">
      <c r="E151" s="742" t="s">
        <v>45</v>
      </c>
      <c r="F151" s="722" t="str">
        <f>+F150</f>
        <v>Water</v>
      </c>
      <c r="G151" s="723" t="str">
        <f>+G150</f>
        <v>Fixed tariff group - 3 -40mm</v>
      </c>
      <c r="H151" s="723">
        <f>+H150</f>
        <v>0</v>
      </c>
      <c r="I151" s="724" t="str">
        <f>+I150</f>
        <v>Fixed</v>
      </c>
      <c r="J151" s="782" t="s">
        <v>323</v>
      </c>
      <c r="K151" s="1540"/>
      <c r="L151" s="1541"/>
      <c r="M151" s="1541"/>
      <c r="N151" s="1542"/>
      <c r="O151" s="2031">
        <v>54</v>
      </c>
      <c r="P151" s="1543">
        <v>55</v>
      </c>
      <c r="Q151" s="1543">
        <v>54</v>
      </c>
      <c r="R151" s="1543">
        <v>55</v>
      </c>
      <c r="S151" s="1543">
        <v>55</v>
      </c>
      <c r="T151" s="1543">
        <v>55</v>
      </c>
      <c r="U151" s="1543">
        <v>52</v>
      </c>
      <c r="V151" s="1543">
        <v>53</v>
      </c>
      <c r="W151" s="1543">
        <v>54</v>
      </c>
      <c r="X151" s="1544">
        <v>54</v>
      </c>
      <c r="Y151" s="1543">
        <v>55</v>
      </c>
      <c r="Z151" s="1543">
        <v>55</v>
      </c>
      <c r="AA151" s="1543">
        <v>56</v>
      </c>
      <c r="AB151" s="1543">
        <v>56</v>
      </c>
      <c r="AC151" s="1544">
        <v>57</v>
      </c>
      <c r="AD151" s="1543">
        <v>57</v>
      </c>
      <c r="AE151" s="1543">
        <v>58</v>
      </c>
      <c r="AF151" s="1543">
        <v>58</v>
      </c>
      <c r="AG151" s="788">
        <v>59</v>
      </c>
      <c r="AH151" s="697"/>
      <c r="AI151" s="707"/>
      <c r="AJ151" s="709">
        <f t="shared" si="234"/>
        <v>54</v>
      </c>
      <c r="AK151" s="710">
        <f t="shared" si="235"/>
        <v>55</v>
      </c>
      <c r="AL151" s="710">
        <f t="shared" si="236"/>
        <v>55</v>
      </c>
      <c r="AM151" s="710">
        <f t="shared" si="237"/>
        <v>56</v>
      </c>
      <c r="AN151" s="710">
        <f t="shared" si="238"/>
        <v>56</v>
      </c>
      <c r="AO151" s="711">
        <f t="shared" si="239"/>
        <v>57</v>
      </c>
      <c r="AP151" s="707">
        <f t="shared" si="240"/>
        <v>57</v>
      </c>
      <c r="AQ151" s="707">
        <f t="shared" si="241"/>
        <v>58</v>
      </c>
      <c r="AR151" s="707">
        <f t="shared" si="242"/>
        <v>58</v>
      </c>
      <c r="AS151" s="712">
        <f t="shared" si="243"/>
        <v>59</v>
      </c>
      <c r="AV151" s="1559"/>
      <c r="AW151" s="1392" t="str">
        <f t="shared" si="191"/>
        <v>Qty</v>
      </c>
      <c r="AX151" s="1393" t="str">
        <f t="shared" si="191"/>
        <v>Water</v>
      </c>
      <c r="AY151" s="1394" t="str">
        <f t="shared" si="192"/>
        <v>Fixed</v>
      </c>
      <c r="AZ151" s="1395">
        <f t="shared" si="262"/>
        <v>1.8518518518518601E-2</v>
      </c>
      <c r="BA151" s="1395">
        <f t="shared" si="262"/>
        <v>-1.8181818181818188E-2</v>
      </c>
      <c r="BB151" s="1395">
        <f t="shared" si="262"/>
        <v>1.8518518518518601E-2</v>
      </c>
      <c r="BC151" s="1395">
        <f t="shared" si="194"/>
        <v>0</v>
      </c>
      <c r="BD151" s="1395">
        <f t="shared" si="195"/>
        <v>0</v>
      </c>
      <c r="BE151" s="1395">
        <f t="shared" si="196"/>
        <v>-5.4545454545454564E-2</v>
      </c>
      <c r="BF151" s="1395">
        <f t="shared" si="197"/>
        <v>1.9230769230769162E-2</v>
      </c>
      <c r="BG151" s="1396">
        <f t="shared" si="198"/>
        <v>1.8867924528301883E-2</v>
      </c>
      <c r="BH151" s="1395">
        <f t="shared" si="199"/>
        <v>0</v>
      </c>
      <c r="BI151" s="1395">
        <f t="shared" si="200"/>
        <v>1.8518518518518601E-2</v>
      </c>
      <c r="BJ151" s="1395">
        <f t="shared" si="201"/>
        <v>0</v>
      </c>
      <c r="BK151" s="1395">
        <f t="shared" si="202"/>
        <v>1.8181818181818077E-2</v>
      </c>
      <c r="BL151" s="1397">
        <f t="shared" si="203"/>
        <v>0</v>
      </c>
      <c r="BM151" s="1395">
        <f t="shared" si="204"/>
        <v>1.7857142857142794E-2</v>
      </c>
      <c r="BN151" s="1395">
        <f t="shared" si="205"/>
        <v>0</v>
      </c>
      <c r="BO151" s="1395">
        <f t="shared" si="206"/>
        <v>1.7543859649122862E-2</v>
      </c>
      <c r="BP151" s="1395">
        <f t="shared" si="207"/>
        <v>0</v>
      </c>
      <c r="BQ151" s="1398">
        <f t="shared" si="208"/>
        <v>1.7241379310344751E-2</v>
      </c>
      <c r="BR151" s="1378"/>
      <c r="BS151" s="1329"/>
      <c r="BT151" s="1399"/>
      <c r="BU151" s="1331"/>
      <c r="BV151" s="1400"/>
      <c r="BW151" s="1378"/>
      <c r="BX151" s="1392" t="str">
        <f t="shared" si="209"/>
        <v>Qty</v>
      </c>
      <c r="BY151" s="1393" t="str">
        <f t="shared" si="210"/>
        <v>Water</v>
      </c>
      <c r="BZ151" s="1394" t="str">
        <f t="shared" si="211"/>
        <v>Fixed</v>
      </c>
      <c r="CA151" s="1401">
        <f t="shared" ref="CA151:CR151" si="269">IFERROR((P151/O151-1)*(O152/O$13),"-")</f>
        <v>1.6481404034955819E-5</v>
      </c>
      <c r="CB151" s="1395">
        <f t="shared" si="269"/>
        <v>-1.613619709569465E-5</v>
      </c>
      <c r="CC151" s="1395">
        <f t="shared" si="269"/>
        <v>1.6212089410679208E-5</v>
      </c>
      <c r="CD151" s="1395">
        <f t="shared" si="269"/>
        <v>0</v>
      </c>
      <c r="CE151" s="1395">
        <f t="shared" si="269"/>
        <v>0</v>
      </c>
      <c r="CF151" s="1395">
        <f t="shared" si="269"/>
        <v>-4.661542614994068E-5</v>
      </c>
      <c r="CG151" s="1395">
        <f t="shared" si="269"/>
        <v>1.5040054769725498E-5</v>
      </c>
      <c r="CH151" s="1397">
        <f t="shared" si="269"/>
        <v>1.4382899415069381E-5</v>
      </c>
      <c r="CI151" s="1395">
        <f t="shared" si="269"/>
        <v>0</v>
      </c>
      <c r="CJ151" s="1395">
        <f t="shared" si="269"/>
        <v>1.4604150675957045E-5</v>
      </c>
      <c r="CK151" s="1395">
        <f t="shared" si="269"/>
        <v>0</v>
      </c>
      <c r="CL151" s="1395">
        <f t="shared" si="269"/>
        <v>1.4554851902066902E-5</v>
      </c>
      <c r="CM151" s="1397">
        <f t="shared" si="269"/>
        <v>0</v>
      </c>
      <c r="CN151" s="1395">
        <f t="shared" si="269"/>
        <v>1.4477391091154697E-5</v>
      </c>
      <c r="CO151" s="1395">
        <f t="shared" si="269"/>
        <v>0</v>
      </c>
      <c r="CP151" s="1395">
        <f t="shared" si="269"/>
        <v>1.4146763571899114E-5</v>
      </c>
      <c r="CQ151" s="1395">
        <f t="shared" si="269"/>
        <v>0</v>
      </c>
      <c r="CR151" s="1398">
        <f t="shared" si="269"/>
        <v>1.38165549414743E-5</v>
      </c>
      <c r="CS151" s="1378"/>
      <c r="CT151" s="1392" t="str">
        <f t="shared" si="188"/>
        <v>Qty</v>
      </c>
      <c r="CU151" s="1393" t="str">
        <f t="shared" si="189"/>
        <v>Water</v>
      </c>
      <c r="CV151" s="1393" t="str">
        <f t="shared" si="190"/>
        <v>Fixed</v>
      </c>
      <c r="CW151" s="1401">
        <f t="shared" si="213"/>
        <v>9.2167846991639824E-3</v>
      </c>
      <c r="CX151" s="1395">
        <f t="shared" si="214"/>
        <v>6.1351227996142566E-3</v>
      </c>
      <c r="CY151" s="1395">
        <f t="shared" si="215"/>
        <v>9.1333680116969518E-3</v>
      </c>
      <c r="CZ151" s="1398">
        <f t="shared" si="216"/>
        <v>7.3000451952116574E-3</v>
      </c>
      <c r="DA151" s="1395">
        <f t="shared" si="217"/>
        <v>9.0519266692543621E-3</v>
      </c>
      <c r="DB151" s="1395">
        <f t="shared" si="218"/>
        <v>7.7537949293713382E-3</v>
      </c>
      <c r="DC151" s="1395">
        <f t="shared" si="219"/>
        <v>8.9723831663830467E-3</v>
      </c>
      <c r="DD151" s="1395">
        <f t="shared" si="220"/>
        <v>7.9714893628402006E-3</v>
      </c>
      <c r="DE151" s="1398">
        <f t="shared" si="221"/>
        <v>8.8946642466449788E-3</v>
      </c>
      <c r="DF151" s="1378"/>
      <c r="DG151" s="1392" t="str">
        <f t="shared" si="222"/>
        <v>Qty</v>
      </c>
      <c r="DH151" s="1393" t="str">
        <f t="shared" si="222"/>
        <v>Water</v>
      </c>
      <c r="DI151" s="1393" t="str">
        <f t="shared" si="222"/>
        <v>Fixed</v>
      </c>
      <c r="DJ151" s="1393"/>
      <c r="DK151" s="1401">
        <f t="shared" si="223"/>
        <v>9.2167846991639824E-3</v>
      </c>
      <c r="DL151" s="1395">
        <f t="shared" si="224"/>
        <v>1.2196323958554078E-2</v>
      </c>
      <c r="DM151" s="1395">
        <f t="shared" si="225"/>
        <v>9.1333680116969518E-3</v>
      </c>
      <c r="DN151" s="1397">
        <f t="shared" si="226"/>
        <v>1.087212085035083E-2</v>
      </c>
      <c r="DO151" s="1395">
        <f t="shared" si="227"/>
        <v>9.0519266692543621E-3</v>
      </c>
      <c r="DP151" s="1395">
        <f t="shared" si="228"/>
        <v>1.0260707140422376E-2</v>
      </c>
      <c r="DQ151" s="1395">
        <f t="shared" si="229"/>
        <v>8.9723831663830467E-3</v>
      </c>
      <c r="DR151" s="1398">
        <f t="shared" si="230"/>
        <v>9.887831102390221E-3</v>
      </c>
    </row>
    <row r="152" spans="4:122" ht="12.75" thickBot="1">
      <c r="E152" s="743" t="s">
        <v>46</v>
      </c>
      <c r="F152" s="732" t="str">
        <f>+F150</f>
        <v>Water</v>
      </c>
      <c r="G152" s="733" t="str">
        <f>+G150</f>
        <v>Fixed tariff group - 3 -40mm</v>
      </c>
      <c r="H152" s="733">
        <f>+H150</f>
        <v>0</v>
      </c>
      <c r="I152" s="734" t="str">
        <f>+I150</f>
        <v>Fixed</v>
      </c>
      <c r="J152" s="735" t="s">
        <v>344</v>
      </c>
      <c r="K152" s="736">
        <f t="shared" ref="K152:AG152" si="270">K150*K151/10^6</f>
        <v>0</v>
      </c>
      <c r="L152" s="737">
        <f t="shared" si="270"/>
        <v>0</v>
      </c>
      <c r="M152" s="737">
        <f t="shared" si="270"/>
        <v>0</v>
      </c>
      <c r="N152" s="738">
        <f t="shared" si="270"/>
        <v>0</v>
      </c>
      <c r="O152" s="1923">
        <f t="shared" si="270"/>
        <v>6.7108170135746589E-2</v>
      </c>
      <c r="P152" s="737">
        <f t="shared" si="270"/>
        <v>6.8655477175843679E-2</v>
      </c>
      <c r="Q152" s="737">
        <f t="shared" si="270"/>
        <v>6.6523699877300627E-2</v>
      </c>
      <c r="R152" s="737">
        <f t="shared" si="270"/>
        <v>6.6302883962264136E-2</v>
      </c>
      <c r="S152" s="737">
        <f t="shared" si="270"/>
        <v>6.4752669974554714E-2</v>
      </c>
      <c r="T152" s="1531">
        <f t="shared" si="270"/>
        <v>6.3786725423728804E-2</v>
      </c>
      <c r="U152" s="737">
        <f t="shared" si="270"/>
        <v>6.1327543529411763E-2</v>
      </c>
      <c r="V152" s="737">
        <f t="shared" si="270"/>
        <v>6.2619016288209595E-2</v>
      </c>
      <c r="W152" s="737">
        <f t="shared" si="270"/>
        <v>6.4398780000000003E-2</v>
      </c>
      <c r="X152" s="738">
        <f t="shared" si="270"/>
        <v>6.8439030040969767E-2</v>
      </c>
      <c r="Y152" s="737">
        <f t="shared" si="270"/>
        <v>7.4049927724983089E-2</v>
      </c>
      <c r="Z152" s="737">
        <f t="shared" si="270"/>
        <v>7.8630656211265887E-2</v>
      </c>
      <c r="AA152" s="737">
        <f t="shared" si="270"/>
        <v>8.4978550288973512E-2</v>
      </c>
      <c r="AB152" s="737">
        <f t="shared" si="270"/>
        <v>9.0164442374288653E-2</v>
      </c>
      <c r="AC152" s="738">
        <f t="shared" si="270"/>
        <v>9.3242914049639372E-2</v>
      </c>
      <c r="AD152" s="737">
        <f t="shared" si="270"/>
        <v>9.4734800674433586E-2</v>
      </c>
      <c r="AE152" s="737">
        <f t="shared" si="270"/>
        <v>9.793916375689514E-2</v>
      </c>
      <c r="AF152" s="737">
        <f t="shared" si="270"/>
        <v>9.9506190377005463E-2</v>
      </c>
      <c r="AG152" s="739">
        <f t="shared" si="270"/>
        <v>0.10284136337860716</v>
      </c>
      <c r="AH152" s="697"/>
      <c r="AI152" s="707"/>
      <c r="AJ152" s="709">
        <f t="shared" si="234"/>
        <v>6.8439030040969767E-2</v>
      </c>
      <c r="AK152" s="710">
        <f t="shared" si="235"/>
        <v>7.4049927724983089E-2</v>
      </c>
      <c r="AL152" s="710">
        <f t="shared" si="236"/>
        <v>7.8630656211265887E-2</v>
      </c>
      <c r="AM152" s="710">
        <f t="shared" si="237"/>
        <v>8.4978550288973512E-2</v>
      </c>
      <c r="AN152" s="710">
        <f t="shared" si="238"/>
        <v>9.0164442374288653E-2</v>
      </c>
      <c r="AO152" s="711">
        <f t="shared" si="239"/>
        <v>9.3242914049639372E-2</v>
      </c>
      <c r="AP152" s="707">
        <f t="shared" si="240"/>
        <v>9.4734800674433586E-2</v>
      </c>
      <c r="AQ152" s="707">
        <f t="shared" si="241"/>
        <v>9.793916375689514E-2</v>
      </c>
      <c r="AR152" s="707">
        <f t="shared" si="242"/>
        <v>9.9506190377005463E-2</v>
      </c>
      <c r="AS152" s="712">
        <f t="shared" si="243"/>
        <v>0.10284136337860716</v>
      </c>
      <c r="AV152" s="1559"/>
      <c r="AW152" s="1428" t="str">
        <f t="shared" si="191"/>
        <v>Rev</v>
      </c>
      <c r="AX152" s="1429" t="str">
        <f t="shared" si="191"/>
        <v>Water</v>
      </c>
      <c r="AY152" s="1430" t="str">
        <f t="shared" si="192"/>
        <v>Fixed</v>
      </c>
      <c r="AZ152" s="1431">
        <f t="shared" si="262"/>
        <v>2.3056910015087473E-2</v>
      </c>
      <c r="BA152" s="1431">
        <f t="shared" si="262"/>
        <v>-3.1050360236854035E-2</v>
      </c>
      <c r="BB152" s="1431">
        <f t="shared" si="262"/>
        <v>-3.3193570929423988E-3</v>
      </c>
      <c r="BC152" s="1431">
        <f t="shared" si="194"/>
        <v>-2.3380792735829048E-2</v>
      </c>
      <c r="BD152" s="1431">
        <f t="shared" si="195"/>
        <v>-1.4917447438159481E-2</v>
      </c>
      <c r="BE152" s="1431">
        <f t="shared" si="196"/>
        <v>-3.8553192344973675E-2</v>
      </c>
      <c r="BF152" s="1431">
        <f t="shared" si="197"/>
        <v>2.1058608978500093E-2</v>
      </c>
      <c r="BG152" s="1432">
        <f t="shared" si="198"/>
        <v>2.8422096310150913E-2</v>
      </c>
      <c r="BH152" s="1431">
        <f t="shared" si="199"/>
        <v>6.2737990393137322E-2</v>
      </c>
      <c r="BI152" s="1431">
        <f t="shared" si="200"/>
        <v>8.1983886689429353E-2</v>
      </c>
      <c r="BJ152" s="1431">
        <f t="shared" si="201"/>
        <v>6.185999942221887E-2</v>
      </c>
      <c r="BK152" s="1431">
        <f t="shared" si="202"/>
        <v>8.0730523991202841E-2</v>
      </c>
      <c r="BL152" s="1433">
        <f t="shared" si="203"/>
        <v>6.1025894977971173E-2</v>
      </c>
      <c r="BM152" s="1431">
        <f t="shared" si="204"/>
        <v>3.4142857142857252E-2</v>
      </c>
      <c r="BN152" s="1431">
        <f t="shared" si="205"/>
        <v>1.5999999999999792E-2</v>
      </c>
      <c r="BO152" s="1431">
        <f t="shared" si="206"/>
        <v>3.3824561403508868E-2</v>
      </c>
      <c r="BP152" s="1431">
        <f t="shared" si="207"/>
        <v>1.6000000000000014E-2</v>
      </c>
      <c r="BQ152" s="1434">
        <f t="shared" si="208"/>
        <v>3.3517241379310336E-2</v>
      </c>
      <c r="BR152" s="1378"/>
      <c r="BS152" s="1407"/>
      <c r="BT152" s="1408"/>
      <c r="BU152" s="1409"/>
      <c r="BV152" s="1410"/>
      <c r="BW152" s="1378"/>
      <c r="BX152" s="1428" t="str">
        <f t="shared" si="209"/>
        <v>Rev</v>
      </c>
      <c r="BY152" s="1429" t="str">
        <f t="shared" si="210"/>
        <v>Water</v>
      </c>
      <c r="BZ152" s="1430" t="str">
        <f t="shared" si="211"/>
        <v>Fixed</v>
      </c>
      <c r="CA152" s="1435">
        <f t="shared" ref="CA152:CR152" si="271">IFERROR((P152/O152-1)*(O152/O$13),"-")</f>
        <v>2.0520553486838806E-5</v>
      </c>
      <c r="CB152" s="1431">
        <f t="shared" si="271"/>
        <v>-2.7556910297080812E-5</v>
      </c>
      <c r="CC152" s="1431">
        <f t="shared" si="271"/>
        <v>-2.905940554744724E-6</v>
      </c>
      <c r="CD152" s="1431">
        <f t="shared" si="271"/>
        <v>-2.0779228033069236E-5</v>
      </c>
      <c r="CE152" s="1431">
        <f t="shared" si="271"/>
        <v>-1.3400927493645136E-5</v>
      </c>
      <c r="CF152" s="1431">
        <f t="shared" si="271"/>
        <v>-3.2948180661028933E-5</v>
      </c>
      <c r="CG152" s="1431">
        <f t="shared" si="271"/>
        <v>1.6469576885365532E-5</v>
      </c>
      <c r="CH152" s="1433">
        <f t="shared" si="271"/>
        <v>2.1665984076898708E-5</v>
      </c>
      <c r="CI152" s="1431">
        <f t="shared" si="271"/>
        <v>5.0081864885568136E-5</v>
      </c>
      <c r="CJ152" s="1431">
        <f t="shared" si="271"/>
        <v>6.4654471847502552E-5</v>
      </c>
      <c r="CK152" s="1431">
        <f t="shared" si="271"/>
        <v>4.9615368751086305E-5</v>
      </c>
      <c r="CL152" s="1431">
        <f t="shared" si="271"/>
        <v>6.4626145136752267E-5</v>
      </c>
      <c r="CM152" s="1433">
        <f t="shared" si="271"/>
        <v>4.961381911533381E-5</v>
      </c>
      <c r="CN152" s="1431">
        <f t="shared" si="271"/>
        <v>2.7680771766287968E-5</v>
      </c>
      <c r="CO152" s="1431">
        <f t="shared" si="271"/>
        <v>1.3053420677583673E-5</v>
      </c>
      <c r="CP152" s="1431">
        <f t="shared" si="271"/>
        <v>2.7274960166621484E-5</v>
      </c>
      <c r="CQ152" s="1431">
        <f t="shared" si="271"/>
        <v>1.2977251024246275E-5</v>
      </c>
      <c r="CR152" s="1434">
        <f t="shared" si="271"/>
        <v>2.6859382806226152E-5</v>
      </c>
      <c r="CS152" s="1378"/>
      <c r="CT152" s="1428" t="str">
        <f t="shared" si="188"/>
        <v>Rev</v>
      </c>
      <c r="CU152" s="1429" t="str">
        <f t="shared" si="189"/>
        <v>Water</v>
      </c>
      <c r="CV152" s="1429" t="str">
        <f t="shared" si="190"/>
        <v>Fixed</v>
      </c>
      <c r="CW152" s="1435">
        <f t="shared" si="213"/>
        <v>7.2317761383294599E-2</v>
      </c>
      <c r="CX152" s="1431">
        <f t="shared" si="214"/>
        <v>6.8820446800905044E-2</v>
      </c>
      <c r="CY152" s="1431">
        <f t="shared" si="215"/>
        <v>7.1785604203560505E-2</v>
      </c>
      <c r="CZ152" s="1434">
        <f t="shared" si="216"/>
        <v>6.9624968558423372E-2</v>
      </c>
      <c r="DA152" s="1431">
        <f t="shared" si="217"/>
        <v>6.362784820291667E-2</v>
      </c>
      <c r="DB152" s="1431">
        <f t="shared" si="218"/>
        <v>5.668955622715699E-2</v>
      </c>
      <c r="DC152" s="1431">
        <f t="shared" si="219"/>
        <v>5.3804002964563225E-2</v>
      </c>
      <c r="DD152" s="1431">
        <f t="shared" si="220"/>
        <v>4.9535033563496533E-2</v>
      </c>
      <c r="DE152" s="1434">
        <f t="shared" si="221"/>
        <v>4.792214610935841E-2</v>
      </c>
      <c r="DF152" s="1378"/>
      <c r="DG152" s="1428" t="str">
        <f t="shared" si="222"/>
        <v>Rev</v>
      </c>
      <c r="DH152" s="1429" t="str">
        <f t="shared" si="222"/>
        <v>Water</v>
      </c>
      <c r="DI152" s="1429" t="str">
        <f t="shared" si="222"/>
        <v>Fixed</v>
      </c>
      <c r="DJ152" s="1429"/>
      <c r="DK152" s="1435">
        <f t="shared" si="223"/>
        <v>7.1874717163758595E-2</v>
      </c>
      <c r="DL152" s="1431">
        <f t="shared" si="224"/>
        <v>7.4818560273040235E-2</v>
      </c>
      <c r="DM152" s="1431">
        <f t="shared" si="225"/>
        <v>7.1353675340723788E-2</v>
      </c>
      <c r="DN152" s="1433">
        <f t="shared" si="226"/>
        <v>6.3805909157010898E-2</v>
      </c>
      <c r="DO152" s="1431">
        <f t="shared" si="227"/>
        <v>5.5684835936298249E-2</v>
      </c>
      <c r="DP152" s="1431">
        <f t="shared" si="228"/>
        <v>5.2533864788310902E-2</v>
      </c>
      <c r="DQ152" s="1431">
        <f t="shared" si="229"/>
        <v>4.7896239166942634E-2</v>
      </c>
      <c r="DR152" s="1434">
        <f t="shared" si="230"/>
        <v>4.6288744246647973E-2</v>
      </c>
    </row>
    <row r="153" spans="4:122">
      <c r="D153" s="70">
        <f>D150+1</f>
        <v>30</v>
      </c>
      <c r="E153" s="713" t="s">
        <v>44</v>
      </c>
      <c r="F153" s="1532" t="s">
        <v>20</v>
      </c>
      <c r="G153" s="1532" t="s">
        <v>892</v>
      </c>
      <c r="H153" s="1532"/>
      <c r="I153" s="781" t="s">
        <v>319</v>
      </c>
      <c r="J153" s="781" t="s">
        <v>345</v>
      </c>
      <c r="K153" s="1533"/>
      <c r="L153" s="1534"/>
      <c r="M153" s="1534"/>
      <c r="N153" s="1535"/>
      <c r="O153" s="2071">
        <v>1942.8059728506785</v>
      </c>
      <c r="P153" s="1547">
        <v>1951.5439875666073</v>
      </c>
      <c r="Q153" s="1547">
        <v>1925.8882822085889</v>
      </c>
      <c r="R153" s="1547">
        <v>1884.5956518010289</v>
      </c>
      <c r="S153" s="1547">
        <v>1840.5445547073791</v>
      </c>
      <c r="T153" s="1547">
        <v>1813.0881355932199</v>
      </c>
      <c r="U153" s="1547">
        <v>1843.7642081447964</v>
      </c>
      <c r="V153" s="1547">
        <v>1847.0817467248905</v>
      </c>
      <c r="W153" s="1547">
        <v>1864.4</v>
      </c>
      <c r="X153" s="1550">
        <v>1974.5431452031439</v>
      </c>
      <c r="Y153" s="1551">
        <v>2090.6415915224197</v>
      </c>
      <c r="Z153" s="1551">
        <v>2213.0022256359134</v>
      </c>
      <c r="AA153" s="1551">
        <v>2341.9541245602186</v>
      </c>
      <c r="AB153" s="1551">
        <v>2477.8445410129161</v>
      </c>
      <c r="AC153" s="1550">
        <v>2517.490053669123</v>
      </c>
      <c r="AD153" s="1551">
        <v>2557.7698945278289</v>
      </c>
      <c r="AE153" s="1551">
        <v>2598.6942128402743</v>
      </c>
      <c r="AF153" s="1551">
        <v>2640.2733202457189</v>
      </c>
      <c r="AG153" s="1552">
        <v>2682.5176933696503</v>
      </c>
      <c r="AH153" s="697"/>
      <c r="AI153" s="707"/>
      <c r="AJ153" s="709">
        <f t="shared" si="234"/>
        <v>1974.5431452031439</v>
      </c>
      <c r="AK153" s="710">
        <f t="shared" si="235"/>
        <v>2090.6415915224197</v>
      </c>
      <c r="AL153" s="710">
        <f t="shared" si="236"/>
        <v>2213.0022256359134</v>
      </c>
      <c r="AM153" s="710">
        <f t="shared" si="237"/>
        <v>2341.9541245602186</v>
      </c>
      <c r="AN153" s="710">
        <f t="shared" si="238"/>
        <v>2477.8445410129161</v>
      </c>
      <c r="AO153" s="711">
        <f t="shared" si="239"/>
        <v>2517.490053669123</v>
      </c>
      <c r="AP153" s="707">
        <f t="shared" si="240"/>
        <v>2557.7698945278289</v>
      </c>
      <c r="AQ153" s="707">
        <f t="shared" si="241"/>
        <v>2598.6942128402743</v>
      </c>
      <c r="AR153" s="707">
        <f t="shared" si="242"/>
        <v>2640.2733202457189</v>
      </c>
      <c r="AS153" s="712">
        <f t="shared" si="243"/>
        <v>2682.5176933696503</v>
      </c>
      <c r="AU153" s="1369"/>
      <c r="AV153" s="1559"/>
      <c r="AW153" s="1412" t="str">
        <f t="shared" si="191"/>
        <v>Price</v>
      </c>
      <c r="AX153" s="1413" t="str">
        <f t="shared" si="191"/>
        <v>Water</v>
      </c>
      <c r="AY153" s="1414" t="str">
        <f t="shared" si="192"/>
        <v>Fixed</v>
      </c>
      <c r="AZ153" s="1415">
        <f t="shared" si="262"/>
        <v>4.4976260306157645E-3</v>
      </c>
      <c r="BA153" s="1415">
        <f t="shared" si="262"/>
        <v>-1.3146362839614345E-2</v>
      </c>
      <c r="BB153" s="1415">
        <f t="shared" si="262"/>
        <v>-2.1440823327615877E-2</v>
      </c>
      <c r="BC153" s="1415">
        <f t="shared" si="194"/>
        <v>-2.3374296259015548E-2</v>
      </c>
      <c r="BD153" s="1415">
        <f t="shared" si="195"/>
        <v>-1.4917552005973778E-2</v>
      </c>
      <c r="BE153" s="1415">
        <f t="shared" si="196"/>
        <v>1.6919239583209622E-2</v>
      </c>
      <c r="BF153" s="1415">
        <f t="shared" si="197"/>
        <v>1.7993290928628447E-3</v>
      </c>
      <c r="BG153" s="1416">
        <f t="shared" si="198"/>
        <v>9.3760080222853315E-3</v>
      </c>
      <c r="BH153" s="1417">
        <f t="shared" si="199"/>
        <v>5.9076992707114195E-2</v>
      </c>
      <c r="BI153" s="1417">
        <f t="shared" si="200"/>
        <v>5.879762445369674E-2</v>
      </c>
      <c r="BJ153" s="1417">
        <f t="shared" si="201"/>
        <v>5.8527790994720386E-2</v>
      </c>
      <c r="BK153" s="1417">
        <f t="shared" si="202"/>
        <v>5.8270117142449118E-2</v>
      </c>
      <c r="BL153" s="1418">
        <f t="shared" si="203"/>
        <v>5.802437162521934E-2</v>
      </c>
      <c r="BM153" s="1417">
        <f t="shared" si="204"/>
        <v>1.6000000000000014E-2</v>
      </c>
      <c r="BN153" s="1417">
        <f t="shared" si="205"/>
        <v>1.6000000000000014E-2</v>
      </c>
      <c r="BO153" s="1417">
        <f t="shared" si="206"/>
        <v>1.6000000000000014E-2</v>
      </c>
      <c r="BP153" s="1417">
        <f t="shared" si="207"/>
        <v>1.6000000000000014E-2</v>
      </c>
      <c r="BQ153" s="1419">
        <f t="shared" si="208"/>
        <v>1.6000000000000014E-2</v>
      </c>
      <c r="BR153" s="1378"/>
      <c r="BS153" s="1420"/>
      <c r="BT153" s="1421"/>
      <c r="BU153" s="1422"/>
      <c r="BV153" s="1423"/>
      <c r="BW153" s="1378"/>
      <c r="BX153" s="1412" t="str">
        <f t="shared" si="209"/>
        <v>Price</v>
      </c>
      <c r="BY153" s="1413" t="str">
        <f t="shared" si="210"/>
        <v>Water</v>
      </c>
      <c r="BZ153" s="1414" t="str">
        <f t="shared" si="211"/>
        <v>Fixed</v>
      </c>
      <c r="CA153" s="1424">
        <f t="shared" ref="CA153:CR153" si="272">IFERROR((P153/O153-1)*(O155/O$13),"-")</f>
        <v>4.171841898998378E-6</v>
      </c>
      <c r="CB153" s="1415">
        <f t="shared" si="272"/>
        <v>-1.0944264705417596E-5</v>
      </c>
      <c r="CC153" s="1415">
        <f t="shared" si="272"/>
        <v>-1.8475994341177317E-5</v>
      </c>
      <c r="CD153" s="1415">
        <f t="shared" si="272"/>
        <v>-2.1847221453489901E-5</v>
      </c>
      <c r="CE153" s="1415">
        <f t="shared" si="272"/>
        <v>-1.295106470651853E-5</v>
      </c>
      <c r="CF153" s="1415">
        <f t="shared" si="272"/>
        <v>1.3973958824688568E-5</v>
      </c>
      <c r="CG153" s="1415">
        <f t="shared" si="272"/>
        <v>1.3961340332677954E-6</v>
      </c>
      <c r="CH153" s="1425">
        <f t="shared" si="272"/>
        <v>7.1680178133904084E-6</v>
      </c>
      <c r="CI153" s="1417">
        <f t="shared" si="272"/>
        <v>4.6420374493353211E-5</v>
      </c>
      <c r="CJ153" s="1417">
        <f t="shared" si="272"/>
        <v>4.6823154745209616E-5</v>
      </c>
      <c r="CK153" s="1417">
        <f t="shared" si="272"/>
        <v>4.6386481978098802E-5</v>
      </c>
      <c r="CL153" s="1417">
        <f t="shared" si="272"/>
        <v>4.5948820376237396E-5</v>
      </c>
      <c r="CM153" s="1418">
        <f t="shared" si="272"/>
        <v>4.6802657575036086E-5</v>
      </c>
      <c r="CN153" s="1417">
        <f t="shared" si="272"/>
        <v>1.2833336185131815E-5</v>
      </c>
      <c r="CO153" s="1417">
        <f t="shared" si="272"/>
        <v>1.2687579040789527E-5</v>
      </c>
      <c r="CP153" s="1417">
        <f t="shared" si="272"/>
        <v>1.2888595191760587E-5</v>
      </c>
      <c r="CQ153" s="1417">
        <f t="shared" si="272"/>
        <v>1.2740404513793623E-5</v>
      </c>
      <c r="CR153" s="1419">
        <f t="shared" si="272"/>
        <v>1.2587754271875302E-5</v>
      </c>
      <c r="CS153" s="1378"/>
      <c r="CT153" s="1412" t="str">
        <f t="shared" si="188"/>
        <v>Price</v>
      </c>
      <c r="CU153" s="1413" t="str">
        <f t="shared" si="189"/>
        <v>Water</v>
      </c>
      <c r="CV153" s="1426" t="str">
        <f t="shared" si="190"/>
        <v>Fixed</v>
      </c>
      <c r="CW153" s="1427">
        <f t="shared" si="213"/>
        <v>5.8937299367558316E-2</v>
      </c>
      <c r="CX153" s="1417">
        <f t="shared" si="214"/>
        <v>5.8800778976876966E-2</v>
      </c>
      <c r="CY153" s="1417">
        <f t="shared" si="215"/>
        <v>5.8668088576933064E-2</v>
      </c>
      <c r="CZ153" s="1419">
        <f t="shared" si="216"/>
        <v>5.8539313862495002E-2</v>
      </c>
      <c r="DA153" s="1417">
        <f t="shared" si="217"/>
        <v>5.1327710462648168E-2</v>
      </c>
      <c r="DB153" s="1417">
        <f t="shared" si="218"/>
        <v>4.6206665015554149E-2</v>
      </c>
      <c r="DC153" s="1417">
        <f t="shared" si="219"/>
        <v>4.2382257577176174E-2</v>
      </c>
      <c r="DD153" s="1417">
        <f t="shared" si="220"/>
        <v>3.9417386345022232E-2</v>
      </c>
      <c r="DE153" s="1419">
        <f t="shared" si="221"/>
        <v>3.7051562307436559E-2</v>
      </c>
      <c r="DF153" s="1378"/>
      <c r="DG153" s="1412" t="str">
        <f t="shared" si="222"/>
        <v>Price</v>
      </c>
      <c r="DH153" s="1413" t="str">
        <f t="shared" si="222"/>
        <v>Water</v>
      </c>
      <c r="DI153" s="1426" t="str">
        <f t="shared" si="222"/>
        <v>Fixed</v>
      </c>
      <c r="DJ153" s="1426"/>
      <c r="DK153" s="1427">
        <f t="shared" si="223"/>
        <v>5.8662699127266515E-2</v>
      </c>
      <c r="DL153" s="1417">
        <f t="shared" si="224"/>
        <v>5.8531822286719493E-2</v>
      </c>
      <c r="DM153" s="1417">
        <f t="shared" si="225"/>
        <v>5.8404936808655661E-2</v>
      </c>
      <c r="DN153" s="1418">
        <f t="shared" si="226"/>
        <v>4.9784671527752566E-2</v>
      </c>
      <c r="DO153" s="1417">
        <f t="shared" si="227"/>
        <v>4.4076868097023825E-2</v>
      </c>
      <c r="DP153" s="1417">
        <f t="shared" si="228"/>
        <v>4.001887591217379E-2</v>
      </c>
      <c r="DQ153" s="1417">
        <f t="shared" si="229"/>
        <v>3.6985735580578938E-2</v>
      </c>
      <c r="DR153" s="1419">
        <f t="shared" si="230"/>
        <v>3.4632743464892535E-2</v>
      </c>
    </row>
    <row r="154" spans="4:122">
      <c r="E154" s="742" t="s">
        <v>45</v>
      </c>
      <c r="F154" s="722" t="str">
        <f>+F153</f>
        <v>Water</v>
      </c>
      <c r="G154" s="723" t="str">
        <f>+G153</f>
        <v>Fixed tariff group - 3 -50mm</v>
      </c>
      <c r="H154" s="723">
        <f>+H153</f>
        <v>0</v>
      </c>
      <c r="I154" s="724" t="str">
        <f>+I153</f>
        <v>Fixed</v>
      </c>
      <c r="J154" s="782" t="s">
        <v>323</v>
      </c>
      <c r="K154" s="1540"/>
      <c r="L154" s="1541"/>
      <c r="M154" s="1541"/>
      <c r="N154" s="1542"/>
      <c r="O154" s="2031">
        <v>36</v>
      </c>
      <c r="P154" s="1543">
        <v>33</v>
      </c>
      <c r="Q154" s="1543">
        <v>34</v>
      </c>
      <c r="R154" s="1543">
        <v>37</v>
      </c>
      <c r="S154" s="1543">
        <v>34</v>
      </c>
      <c r="T154" s="1543">
        <v>34</v>
      </c>
      <c r="U154" s="1543">
        <v>33</v>
      </c>
      <c r="V154" s="1543">
        <v>34</v>
      </c>
      <c r="W154" s="1543">
        <v>34</v>
      </c>
      <c r="X154" s="1544">
        <v>35</v>
      </c>
      <c r="Y154" s="1543">
        <v>35</v>
      </c>
      <c r="Z154" s="1543">
        <v>35</v>
      </c>
      <c r="AA154" s="1543">
        <v>36</v>
      </c>
      <c r="AB154" s="1543">
        <v>36</v>
      </c>
      <c r="AC154" s="1544">
        <v>36</v>
      </c>
      <c r="AD154" s="1543">
        <v>37</v>
      </c>
      <c r="AE154" s="1543">
        <v>37</v>
      </c>
      <c r="AF154" s="1543">
        <v>37</v>
      </c>
      <c r="AG154" s="788">
        <v>38</v>
      </c>
      <c r="AH154" s="697"/>
      <c r="AI154" s="707"/>
      <c r="AJ154" s="709">
        <f t="shared" si="234"/>
        <v>35</v>
      </c>
      <c r="AK154" s="710">
        <f t="shared" si="235"/>
        <v>35</v>
      </c>
      <c r="AL154" s="710">
        <f t="shared" si="236"/>
        <v>35</v>
      </c>
      <c r="AM154" s="710">
        <f t="shared" si="237"/>
        <v>36</v>
      </c>
      <c r="AN154" s="710">
        <f t="shared" si="238"/>
        <v>36</v>
      </c>
      <c r="AO154" s="711">
        <f t="shared" si="239"/>
        <v>36</v>
      </c>
      <c r="AP154" s="707">
        <f t="shared" si="240"/>
        <v>37</v>
      </c>
      <c r="AQ154" s="707">
        <f t="shared" si="241"/>
        <v>37</v>
      </c>
      <c r="AR154" s="707">
        <f t="shared" si="242"/>
        <v>37</v>
      </c>
      <c r="AS154" s="712">
        <f t="shared" si="243"/>
        <v>38</v>
      </c>
      <c r="AV154" s="1559"/>
      <c r="AW154" s="1392" t="str">
        <f t="shared" si="191"/>
        <v>Qty</v>
      </c>
      <c r="AX154" s="1393" t="str">
        <f t="shared" si="191"/>
        <v>Water</v>
      </c>
      <c r="AY154" s="1394" t="str">
        <f t="shared" si="192"/>
        <v>Fixed</v>
      </c>
      <c r="AZ154" s="1395">
        <f t="shared" si="262"/>
        <v>-8.333333333333337E-2</v>
      </c>
      <c r="BA154" s="1395">
        <f t="shared" si="262"/>
        <v>3.0303030303030276E-2</v>
      </c>
      <c r="BB154" s="1395">
        <f t="shared" si="262"/>
        <v>8.8235294117646967E-2</v>
      </c>
      <c r="BC154" s="1395">
        <f t="shared" si="194"/>
        <v>-8.108108108108103E-2</v>
      </c>
      <c r="BD154" s="1395">
        <f t="shared" si="195"/>
        <v>0</v>
      </c>
      <c r="BE154" s="1395">
        <f t="shared" si="196"/>
        <v>-2.9411764705882359E-2</v>
      </c>
      <c r="BF154" s="1395">
        <f t="shared" si="197"/>
        <v>3.0303030303030276E-2</v>
      </c>
      <c r="BG154" s="1396">
        <f t="shared" si="198"/>
        <v>0</v>
      </c>
      <c r="BH154" s="1395">
        <f t="shared" si="199"/>
        <v>2.9411764705882248E-2</v>
      </c>
      <c r="BI154" s="1395">
        <f t="shared" si="200"/>
        <v>0</v>
      </c>
      <c r="BJ154" s="1395">
        <f t="shared" si="201"/>
        <v>0</v>
      </c>
      <c r="BK154" s="1395">
        <f t="shared" si="202"/>
        <v>2.857142857142847E-2</v>
      </c>
      <c r="BL154" s="1397">
        <f t="shared" si="203"/>
        <v>0</v>
      </c>
      <c r="BM154" s="1395">
        <f t="shared" si="204"/>
        <v>0</v>
      </c>
      <c r="BN154" s="1395">
        <f t="shared" si="205"/>
        <v>2.7777777777777679E-2</v>
      </c>
      <c r="BO154" s="1395">
        <f t="shared" si="206"/>
        <v>0</v>
      </c>
      <c r="BP154" s="1395">
        <f t="shared" si="207"/>
        <v>0</v>
      </c>
      <c r="BQ154" s="1398">
        <f t="shared" si="208"/>
        <v>2.7027027027026973E-2</v>
      </c>
      <c r="BR154" s="1378"/>
      <c r="BS154" s="1329"/>
      <c r="BT154" s="1399"/>
      <c r="BU154" s="1331"/>
      <c r="BV154" s="1400"/>
      <c r="BW154" s="1378"/>
      <c r="BX154" s="1392" t="str">
        <f t="shared" si="209"/>
        <v>Qty</v>
      </c>
      <c r="BY154" s="1393" t="str">
        <f t="shared" si="210"/>
        <v>Water</v>
      </c>
      <c r="BZ154" s="1394" t="str">
        <f t="shared" si="211"/>
        <v>Fixed</v>
      </c>
      <c r="CA154" s="1401">
        <f t="shared" ref="CA154:CR154" si="273">IFERROR((P154/O154-1)*(O155/O$13),"-")</f>
        <v>-7.7297109456564013E-5</v>
      </c>
      <c r="CB154" s="1395">
        <f t="shared" si="273"/>
        <v>2.522708288662928E-5</v>
      </c>
      <c r="CC154" s="1395">
        <f t="shared" si="273"/>
        <v>7.6034150829926942E-5</v>
      </c>
      <c r="CD154" s="1395">
        <f t="shared" si="273"/>
        <v>-7.5783942944742717E-5</v>
      </c>
      <c r="CE154" s="1395">
        <f t="shared" si="273"/>
        <v>0</v>
      </c>
      <c r="CF154" s="1395">
        <f t="shared" si="273"/>
        <v>-2.4291800286893332E-5</v>
      </c>
      <c r="CG154" s="1395">
        <f t="shared" si="273"/>
        <v>2.3512703754426972E-5</v>
      </c>
      <c r="CH154" s="1397">
        <f t="shared" si="273"/>
        <v>0</v>
      </c>
      <c r="CI154" s="1395">
        <f t="shared" si="273"/>
        <v>2.3110606508462797E-5</v>
      </c>
      <c r="CJ154" s="1395">
        <f t="shared" si="273"/>
        <v>0</v>
      </c>
      <c r="CK154" s="1395">
        <f t="shared" si="273"/>
        <v>0</v>
      </c>
      <c r="CL154" s="1395">
        <f t="shared" si="273"/>
        <v>2.2529960530398296E-5</v>
      </c>
      <c r="CM154" s="1397">
        <f t="shared" si="273"/>
        <v>0</v>
      </c>
      <c r="CN154" s="1395">
        <f t="shared" si="273"/>
        <v>0</v>
      </c>
      <c r="CO154" s="1395">
        <f t="shared" si="273"/>
        <v>2.2027046945815051E-5</v>
      </c>
      <c r="CP154" s="1395">
        <f t="shared" si="273"/>
        <v>0</v>
      </c>
      <c r="CQ154" s="1395">
        <f t="shared" si="273"/>
        <v>0</v>
      </c>
      <c r="CR154" s="1398">
        <f t="shared" si="273"/>
        <v>2.1263098432221734E-5</v>
      </c>
      <c r="CS154" s="1378"/>
      <c r="CT154" s="1392" t="str">
        <f t="shared" si="188"/>
        <v>Qty</v>
      </c>
      <c r="CU154" s="1393" t="str">
        <f t="shared" si="189"/>
        <v>Water</v>
      </c>
      <c r="CV154" s="1393" t="str">
        <f t="shared" si="190"/>
        <v>Fixed</v>
      </c>
      <c r="CW154" s="1401">
        <f t="shared" si="213"/>
        <v>1.4599312391784691E-2</v>
      </c>
      <c r="CX154" s="1395">
        <f t="shared" si="214"/>
        <v>9.7093450822418603E-3</v>
      </c>
      <c r="CY154" s="1395">
        <f t="shared" si="215"/>
        <v>1.4392187891376196E-2</v>
      </c>
      <c r="CZ154" s="1398">
        <f t="shared" si="216"/>
        <v>1.1497274155136239E-2</v>
      </c>
      <c r="DA154" s="1395">
        <f t="shared" si="217"/>
        <v>9.571922911484787E-3</v>
      </c>
      <c r="DB154" s="1395">
        <f t="shared" si="218"/>
        <v>1.2152880214274298E-2</v>
      </c>
      <c r="DC154" s="1395">
        <f t="shared" si="219"/>
        <v>1.0625729827426378E-2</v>
      </c>
      <c r="DD154" s="1395">
        <f t="shared" si="220"/>
        <v>9.4395393886852474E-3</v>
      </c>
      <c r="DE154" s="1398">
        <f t="shared" si="221"/>
        <v>1.1184649191012808E-2</v>
      </c>
      <c r="DF154" s="1378"/>
      <c r="DG154" s="1392" t="str">
        <f t="shared" si="222"/>
        <v>Qty</v>
      </c>
      <c r="DH154" s="1393" t="str">
        <f t="shared" si="222"/>
        <v>Water</v>
      </c>
      <c r="DI154" s="1393" t="str">
        <f t="shared" si="222"/>
        <v>Fixed</v>
      </c>
      <c r="DJ154" s="1393"/>
      <c r="DK154" s="1401">
        <f t="shared" si="223"/>
        <v>0</v>
      </c>
      <c r="DL154" s="1395">
        <f t="shared" si="224"/>
        <v>9.4345194439844349E-3</v>
      </c>
      <c r="DM154" s="1395">
        <f t="shared" si="225"/>
        <v>7.0675775111717076E-3</v>
      </c>
      <c r="DN154" s="1397">
        <f t="shared" si="226"/>
        <v>5.650077210034965E-3</v>
      </c>
      <c r="DO154" s="1395">
        <f t="shared" si="227"/>
        <v>9.3046635787796816E-3</v>
      </c>
      <c r="DP154" s="1395">
        <f t="shared" si="228"/>
        <v>7.9701440020842895E-3</v>
      </c>
      <c r="DQ154" s="1395">
        <f t="shared" si="229"/>
        <v>6.9704124162099923E-3</v>
      </c>
      <c r="DR154" s="1398">
        <f t="shared" si="230"/>
        <v>9.1794414793231471E-3</v>
      </c>
    </row>
    <row r="155" spans="4:122" ht="12.75" thickBot="1">
      <c r="E155" s="743" t="s">
        <v>46</v>
      </c>
      <c r="F155" s="732" t="str">
        <f>+F153</f>
        <v>Water</v>
      </c>
      <c r="G155" s="733" t="str">
        <f>+G153</f>
        <v>Fixed tariff group - 3 -50mm</v>
      </c>
      <c r="H155" s="733">
        <f>+H153</f>
        <v>0</v>
      </c>
      <c r="I155" s="734" t="str">
        <f>+I153</f>
        <v>Fixed</v>
      </c>
      <c r="J155" s="735" t="s">
        <v>344</v>
      </c>
      <c r="K155" s="736">
        <f t="shared" ref="K155:AG155" si="274">K153*K154/10^6</f>
        <v>0</v>
      </c>
      <c r="L155" s="737">
        <f t="shared" si="274"/>
        <v>0</v>
      </c>
      <c r="M155" s="737">
        <f t="shared" si="274"/>
        <v>0</v>
      </c>
      <c r="N155" s="738">
        <f t="shared" si="274"/>
        <v>0</v>
      </c>
      <c r="O155" s="1923">
        <f t="shared" si="274"/>
        <v>6.9941015022624425E-2</v>
      </c>
      <c r="P155" s="737">
        <f t="shared" si="274"/>
        <v>6.4400951589698038E-2</v>
      </c>
      <c r="Q155" s="737">
        <f t="shared" si="274"/>
        <v>6.5480201595092019E-2</v>
      </c>
      <c r="R155" s="737">
        <f t="shared" si="274"/>
        <v>6.9730039116638068E-2</v>
      </c>
      <c r="S155" s="737">
        <f t="shared" si="274"/>
        <v>6.2578514860050893E-2</v>
      </c>
      <c r="T155" s="1531">
        <f t="shared" si="274"/>
        <v>6.1644996610169478E-2</v>
      </c>
      <c r="U155" s="737">
        <f t="shared" si="274"/>
        <v>6.0844218868778284E-2</v>
      </c>
      <c r="V155" s="737">
        <f t="shared" si="274"/>
        <v>6.2800779388646269E-2</v>
      </c>
      <c r="W155" s="737">
        <f t="shared" si="274"/>
        <v>6.3389600000000004E-2</v>
      </c>
      <c r="X155" s="738">
        <f t="shared" si="274"/>
        <v>6.9109010082110039E-2</v>
      </c>
      <c r="Y155" s="737">
        <f t="shared" si="274"/>
        <v>7.3172455703284692E-2</v>
      </c>
      <c r="Z155" s="737">
        <f t="shared" si="274"/>
        <v>7.7455077897256974E-2</v>
      </c>
      <c r="AA155" s="737">
        <f t="shared" si="274"/>
        <v>8.431034848416788E-2</v>
      </c>
      <c r="AB155" s="737">
        <f t="shared" si="274"/>
        <v>8.9202403476464978E-2</v>
      </c>
      <c r="AC155" s="738">
        <f t="shared" si="274"/>
        <v>9.0629641932088431E-2</v>
      </c>
      <c r="AD155" s="737">
        <f t="shared" si="274"/>
        <v>9.4637486097529672E-2</v>
      </c>
      <c r="AE155" s="737">
        <f t="shared" si="274"/>
        <v>9.615168587509014E-2</v>
      </c>
      <c r="AF155" s="737">
        <f t="shared" si="274"/>
        <v>9.7690112849091598E-2</v>
      </c>
      <c r="AG155" s="739">
        <f t="shared" si="274"/>
        <v>0.10193567234804671</v>
      </c>
      <c r="AH155" s="697"/>
      <c r="AI155" s="707"/>
      <c r="AJ155" s="709">
        <f t="shared" si="234"/>
        <v>6.9109010082110039E-2</v>
      </c>
      <c r="AK155" s="710">
        <f t="shared" si="235"/>
        <v>7.3172455703284692E-2</v>
      </c>
      <c r="AL155" s="710">
        <f t="shared" si="236"/>
        <v>7.7455077897256974E-2</v>
      </c>
      <c r="AM155" s="710">
        <f t="shared" si="237"/>
        <v>8.431034848416788E-2</v>
      </c>
      <c r="AN155" s="710">
        <f t="shared" si="238"/>
        <v>8.9202403476464978E-2</v>
      </c>
      <c r="AO155" s="711">
        <f t="shared" si="239"/>
        <v>9.0629641932088431E-2</v>
      </c>
      <c r="AP155" s="707">
        <f t="shared" si="240"/>
        <v>9.4637486097529672E-2</v>
      </c>
      <c r="AQ155" s="707">
        <f t="shared" si="241"/>
        <v>9.615168587509014E-2</v>
      </c>
      <c r="AR155" s="707">
        <f t="shared" si="242"/>
        <v>9.7690112849091598E-2</v>
      </c>
      <c r="AS155" s="712">
        <f t="shared" si="243"/>
        <v>0.10193567234804671</v>
      </c>
      <c r="AV155" s="1559"/>
      <c r="AW155" s="1428" t="str">
        <f t="shared" si="191"/>
        <v>Rev</v>
      </c>
      <c r="AX155" s="1429" t="str">
        <f t="shared" si="191"/>
        <v>Water</v>
      </c>
      <c r="AY155" s="1430" t="str">
        <f t="shared" si="192"/>
        <v>Fixed</v>
      </c>
      <c r="AZ155" s="1431">
        <f t="shared" si="262"/>
        <v>-7.9210509471935642E-2</v>
      </c>
      <c r="BA155" s="1431">
        <f t="shared" si="262"/>
        <v>1.6758292831912547E-2</v>
      </c>
      <c r="BB155" s="1431">
        <f t="shared" si="262"/>
        <v>6.4902633437594615E-2</v>
      </c>
      <c r="BC155" s="1431">
        <f t="shared" si="194"/>
        <v>-0.1025601641299061</v>
      </c>
      <c r="BD155" s="1431">
        <f t="shared" si="195"/>
        <v>-1.4917552005973778E-2</v>
      </c>
      <c r="BE155" s="1431">
        <f t="shared" si="196"/>
        <v>-1.2990149816296537E-2</v>
      </c>
      <c r="BF155" s="1431">
        <f t="shared" si="197"/>
        <v>3.215688451991916E-2</v>
      </c>
      <c r="BG155" s="1432">
        <f t="shared" si="198"/>
        <v>9.3760080222855535E-3</v>
      </c>
      <c r="BH155" s="1431">
        <f t="shared" si="199"/>
        <v>9.0226316022029351E-2</v>
      </c>
      <c r="BI155" s="1431">
        <f t="shared" si="200"/>
        <v>5.879762445369674E-2</v>
      </c>
      <c r="BJ155" s="1431">
        <f t="shared" si="201"/>
        <v>5.8527790994720386E-2</v>
      </c>
      <c r="BK155" s="1431">
        <f t="shared" si="202"/>
        <v>8.8506406203662014E-2</v>
      </c>
      <c r="BL155" s="1433">
        <f t="shared" si="203"/>
        <v>5.802437162521934E-2</v>
      </c>
      <c r="BM155" s="1431">
        <f t="shared" si="204"/>
        <v>1.6000000000000236E-2</v>
      </c>
      <c r="BN155" s="1431">
        <f t="shared" si="205"/>
        <v>4.4222222222222163E-2</v>
      </c>
      <c r="BO155" s="1431">
        <f t="shared" si="206"/>
        <v>1.6000000000000014E-2</v>
      </c>
      <c r="BP155" s="1431">
        <f t="shared" si="207"/>
        <v>1.6000000000000236E-2</v>
      </c>
      <c r="BQ155" s="1434">
        <f t="shared" si="208"/>
        <v>4.3459459459459282E-2</v>
      </c>
      <c r="BR155" s="1378"/>
      <c r="BS155" s="1407"/>
      <c r="BT155" s="1408"/>
      <c r="BU155" s="1409"/>
      <c r="BV155" s="1410"/>
      <c r="BW155" s="1378"/>
      <c r="BX155" s="1428" t="str">
        <f t="shared" si="209"/>
        <v>Rev</v>
      </c>
      <c r="BY155" s="1429" t="str">
        <f t="shared" si="210"/>
        <v>Water</v>
      </c>
      <c r="BZ155" s="1430" t="str">
        <f t="shared" si="211"/>
        <v>Fixed</v>
      </c>
      <c r="CA155" s="1435">
        <f t="shared" ref="CA155:CR155" si="275">IFERROR((P155/O155-1)*(O155/O$13),"-")</f>
        <v>-7.3472921049148887E-5</v>
      </c>
      <c r="CB155" s="1431">
        <f t="shared" si="275"/>
        <v>1.3951173796199096E-5</v>
      </c>
      <c r="CC155" s="1431">
        <f t="shared" si="275"/>
        <v>5.5927921693940051E-5</v>
      </c>
      <c r="CD155" s="1431">
        <f t="shared" si="275"/>
        <v>-9.5859768064165835E-5</v>
      </c>
      <c r="CE155" s="1431">
        <f t="shared" si="275"/>
        <v>-1.295106470651853E-5</v>
      </c>
      <c r="CF155" s="1431">
        <f t="shared" si="275"/>
        <v>-1.0728840251166183E-5</v>
      </c>
      <c r="CG155" s="1431">
        <f t="shared" si="275"/>
        <v>2.4951144879611887E-5</v>
      </c>
      <c r="CH155" s="1433">
        <f t="shared" si="275"/>
        <v>7.1680178133905787E-6</v>
      </c>
      <c r="CI155" s="1431">
        <f t="shared" si="275"/>
        <v>7.0896286133973564E-5</v>
      </c>
      <c r="CJ155" s="1431">
        <f t="shared" si="275"/>
        <v>4.6823154745209616E-5</v>
      </c>
      <c r="CK155" s="1431">
        <f t="shared" si="275"/>
        <v>4.6386481978098802E-5</v>
      </c>
      <c r="CL155" s="1431">
        <f t="shared" si="275"/>
        <v>6.9791604345956887E-5</v>
      </c>
      <c r="CM155" s="1433">
        <f t="shared" si="275"/>
        <v>4.6802657575036086E-5</v>
      </c>
      <c r="CN155" s="1431">
        <f t="shared" si="275"/>
        <v>1.2833336185131993E-5</v>
      </c>
      <c r="CO155" s="1431">
        <f t="shared" si="275"/>
        <v>3.5067058737737644E-5</v>
      </c>
      <c r="CP155" s="1431">
        <f t="shared" si="275"/>
        <v>1.2888595191760587E-5</v>
      </c>
      <c r="CQ155" s="1431">
        <f t="shared" si="275"/>
        <v>1.2740404513793801E-5</v>
      </c>
      <c r="CR155" s="1434">
        <f t="shared" si="275"/>
        <v>3.4191062279012478E-5</v>
      </c>
      <c r="CS155" s="1378"/>
      <c r="CT155" s="1428" t="str">
        <f t="shared" si="188"/>
        <v>Rev</v>
      </c>
      <c r="CU155" s="1429" t="str">
        <f t="shared" si="189"/>
        <v>Water</v>
      </c>
      <c r="CV155" s="1429" t="str">
        <f t="shared" si="190"/>
        <v>Fixed</v>
      </c>
      <c r="CW155" s="1435">
        <f t="shared" si="213"/>
        <v>7.4397055804338086E-2</v>
      </c>
      <c r="CX155" s="1431">
        <f t="shared" si="214"/>
        <v>6.9081041113310038E-2</v>
      </c>
      <c r="CY155" s="1431">
        <f t="shared" si="215"/>
        <v>7.3904638622336538E-2</v>
      </c>
      <c r="CZ155" s="1434">
        <f t="shared" si="216"/>
        <v>7.0709630557961978E-2</v>
      </c>
      <c r="DA155" s="1431">
        <f t="shared" si="217"/>
        <v>6.1390938261904671E-2</v>
      </c>
      <c r="DB155" s="1431">
        <f t="shared" si="218"/>
        <v>5.8921089294863727E-2</v>
      </c>
      <c r="DC155" s="1431">
        <f t="shared" si="219"/>
        <v>5.3458329823093953E-2</v>
      </c>
      <c r="DD155" s="1431">
        <f t="shared" si="220"/>
        <v>4.9229007704710392E-2</v>
      </c>
      <c r="DE155" s="1434">
        <f t="shared" si="221"/>
        <v>4.8650620224836905E-2</v>
      </c>
      <c r="DF155" s="1378"/>
      <c r="DG155" s="1428" t="str">
        <f t="shared" si="222"/>
        <v>Rev</v>
      </c>
      <c r="DH155" s="1429" t="str">
        <f t="shared" si="222"/>
        <v>Water</v>
      </c>
      <c r="DI155" s="1429" t="str">
        <f t="shared" si="222"/>
        <v>Fixed</v>
      </c>
      <c r="DJ155" s="1429"/>
      <c r="DK155" s="1435">
        <f t="shared" si="223"/>
        <v>5.8662699127266515E-2</v>
      </c>
      <c r="DL155" s="1431">
        <f t="shared" si="224"/>
        <v>6.8518561346159856E-2</v>
      </c>
      <c r="DM155" s="1431">
        <f t="shared" si="225"/>
        <v>6.588529573775781E-2</v>
      </c>
      <c r="DN155" s="1433">
        <f t="shared" si="226"/>
        <v>5.5716035975795553E-2</v>
      </c>
      <c r="DO155" s="1431">
        <f t="shared" si="227"/>
        <v>5.3791652105052545E-2</v>
      </c>
      <c r="DP155" s="1431">
        <f t="shared" si="228"/>
        <v>4.8307976118079576E-2</v>
      </c>
      <c r="DQ155" s="1431">
        <f t="shared" si="229"/>
        <v>4.421395382730231E-2</v>
      </c>
      <c r="DR155" s="1434">
        <f t="shared" si="230"/>
        <v>4.4130094186120017E-2</v>
      </c>
    </row>
    <row r="156" spans="4:122">
      <c r="D156" s="70">
        <f>D153+1</f>
        <v>31</v>
      </c>
      <c r="E156" s="713" t="s">
        <v>44</v>
      </c>
      <c r="F156" s="1532" t="s">
        <v>20</v>
      </c>
      <c r="G156" s="1532" t="s">
        <v>893</v>
      </c>
      <c r="H156" s="1532"/>
      <c r="I156" s="781" t="s">
        <v>319</v>
      </c>
      <c r="J156" s="781" t="s">
        <v>345</v>
      </c>
      <c r="K156" s="1533"/>
      <c r="L156" s="1534"/>
      <c r="M156" s="1534"/>
      <c r="N156" s="1535"/>
      <c r="O156" s="2071">
        <v>4976.7690950226242</v>
      </c>
      <c r="P156" s="1547">
        <v>4999.185959147424</v>
      </c>
      <c r="Q156" s="1547">
        <v>4933.44018404908</v>
      </c>
      <c r="R156" s="1547">
        <v>4827.6631646655223</v>
      </c>
      <c r="S156" s="1547">
        <v>4714.8462595419851</v>
      </c>
      <c r="T156" s="1547">
        <v>4644.5194915254233</v>
      </c>
      <c r="U156" s="1547">
        <v>4723.1271040723987</v>
      </c>
      <c r="V156" s="1547">
        <v>4731.6365502183398</v>
      </c>
      <c r="W156" s="1547">
        <v>4776</v>
      </c>
      <c r="X156" s="1550">
        <v>5039.0358252031438</v>
      </c>
      <c r="Y156" s="1551">
        <v>5316.0201372224192</v>
      </c>
      <c r="Z156" s="1551">
        <v>5607.7131449851631</v>
      </c>
      <c r="AA156" s="1551">
        <v>5914.8873671753036</v>
      </c>
      <c r="AB156" s="1551">
        <v>6238.3567788652917</v>
      </c>
      <c r="AC156" s="1550">
        <v>6338.1704873271365</v>
      </c>
      <c r="AD156" s="1551">
        <v>6439.5812151243708</v>
      </c>
      <c r="AE156" s="1551">
        <v>6542.6145145663604</v>
      </c>
      <c r="AF156" s="1551">
        <v>6647.2963467994223</v>
      </c>
      <c r="AG156" s="1552">
        <v>6753.6530883482128</v>
      </c>
      <c r="AH156" s="697"/>
      <c r="AI156" s="707"/>
      <c r="AJ156" s="709">
        <f t="shared" si="234"/>
        <v>5039.0358252031438</v>
      </c>
      <c r="AK156" s="710">
        <f t="shared" si="235"/>
        <v>5316.0201372224192</v>
      </c>
      <c r="AL156" s="710">
        <f t="shared" si="236"/>
        <v>5607.7131449851631</v>
      </c>
      <c r="AM156" s="710">
        <f t="shared" si="237"/>
        <v>5914.8873671753036</v>
      </c>
      <c r="AN156" s="710">
        <f t="shared" si="238"/>
        <v>6238.3567788652917</v>
      </c>
      <c r="AO156" s="711">
        <f t="shared" si="239"/>
        <v>6338.1704873271365</v>
      </c>
      <c r="AP156" s="707">
        <f t="shared" si="240"/>
        <v>6439.5812151243708</v>
      </c>
      <c r="AQ156" s="707">
        <f t="shared" si="241"/>
        <v>6542.6145145663604</v>
      </c>
      <c r="AR156" s="707">
        <f t="shared" si="242"/>
        <v>6647.2963467994223</v>
      </c>
      <c r="AS156" s="712">
        <f t="shared" si="243"/>
        <v>6753.6530883482128</v>
      </c>
      <c r="AU156" s="1369"/>
      <c r="AV156" s="1559"/>
      <c r="AW156" s="1412" t="str">
        <f t="shared" si="191"/>
        <v>Price</v>
      </c>
      <c r="AX156" s="1413" t="str">
        <f t="shared" si="191"/>
        <v>Water</v>
      </c>
      <c r="AY156" s="1414" t="str">
        <f t="shared" si="192"/>
        <v>Fixed</v>
      </c>
      <c r="AZ156" s="1415">
        <f t="shared" si="262"/>
        <v>4.5043006209026792E-3</v>
      </c>
      <c r="BA156" s="1415">
        <f t="shared" si="262"/>
        <v>-1.3151296158136261E-2</v>
      </c>
      <c r="BB156" s="1415">
        <f t="shared" si="262"/>
        <v>-2.1440823327615988E-2</v>
      </c>
      <c r="BC156" s="1415">
        <f t="shared" si="194"/>
        <v>-2.3368843532677097E-2</v>
      </c>
      <c r="BD156" s="1415">
        <f t="shared" si="195"/>
        <v>-1.4916025707992775E-2</v>
      </c>
      <c r="BE156" s="1415">
        <f t="shared" si="196"/>
        <v>1.6924810562299442E-2</v>
      </c>
      <c r="BF156" s="1415">
        <f t="shared" si="197"/>
        <v>1.8016551234889544E-3</v>
      </c>
      <c r="BG156" s="1416">
        <f t="shared" si="198"/>
        <v>9.375920849121977E-3</v>
      </c>
      <c r="BH156" s="1417">
        <f t="shared" si="199"/>
        <v>5.5074502764477229E-2</v>
      </c>
      <c r="BI156" s="1417">
        <f t="shared" si="200"/>
        <v>5.4967720339259341E-2</v>
      </c>
      <c r="BJ156" s="1417">
        <f t="shared" si="201"/>
        <v>5.4870561102718263E-2</v>
      </c>
      <c r="BK156" s="1417">
        <f t="shared" si="202"/>
        <v>5.4777092595194254E-2</v>
      </c>
      <c r="BL156" s="1418">
        <f t="shared" si="203"/>
        <v>5.4687332422436841E-2</v>
      </c>
      <c r="BM156" s="1417">
        <f t="shared" si="204"/>
        <v>1.6000000000000014E-2</v>
      </c>
      <c r="BN156" s="1417">
        <f t="shared" si="205"/>
        <v>1.6000000000000014E-2</v>
      </c>
      <c r="BO156" s="1417">
        <f t="shared" si="206"/>
        <v>1.6000000000000014E-2</v>
      </c>
      <c r="BP156" s="1417">
        <f t="shared" si="207"/>
        <v>1.6000000000000014E-2</v>
      </c>
      <c r="BQ156" s="1419">
        <f t="shared" si="208"/>
        <v>1.6000000000000014E-2</v>
      </c>
      <c r="BR156" s="1378"/>
      <c r="BS156" s="1420"/>
      <c r="BT156" s="1421"/>
      <c r="BU156" s="1422"/>
      <c r="BV156" s="1423"/>
      <c r="BW156" s="1378"/>
      <c r="BX156" s="1412" t="str">
        <f t="shared" si="209"/>
        <v>Price</v>
      </c>
      <c r="BY156" s="1413" t="str">
        <f t="shared" si="210"/>
        <v>Water</v>
      </c>
      <c r="BZ156" s="1414" t="str">
        <f t="shared" si="211"/>
        <v>Fixed</v>
      </c>
      <c r="CA156" s="1424">
        <f t="shared" ref="CA156:CR156" si="276">IFERROR((P156/O156-1)*(O158/O$13),"-")</f>
        <v>1.4864743950602249E-6</v>
      </c>
      <c r="CB156" s="1415">
        <f t="shared" si="276"/>
        <v>-7.6489011550681749E-6</v>
      </c>
      <c r="CC156" s="1415">
        <f t="shared" si="276"/>
        <v>-1.3920270662370729E-5</v>
      </c>
      <c r="CD156" s="1415">
        <f t="shared" si="276"/>
        <v>-1.5122094214947405E-5</v>
      </c>
      <c r="CE156" s="1415">
        <f t="shared" si="276"/>
        <v>-1.0732379100551747E-5</v>
      </c>
      <c r="CF156" s="1415">
        <f t="shared" si="276"/>
        <v>1.1585054395799805E-5</v>
      </c>
      <c r="CG156" s="1415">
        <f t="shared" si="276"/>
        <v>5.42585883433263E-7</v>
      </c>
      <c r="CH156" s="1425">
        <f t="shared" si="276"/>
        <v>3.2403553017680487E-6</v>
      </c>
      <c r="CI156" s="1417">
        <f t="shared" si="276"/>
        <v>1.956313276302939E-5</v>
      </c>
      <c r="CJ156" s="1417">
        <f t="shared" si="276"/>
        <v>1.9150170342269527E-5</v>
      </c>
      <c r="CK156" s="1417">
        <f t="shared" si="276"/>
        <v>1.8956534340247955E-5</v>
      </c>
      <c r="CL156" s="1417">
        <f t="shared" si="276"/>
        <v>1.8763532241575624E-5</v>
      </c>
      <c r="CM156" s="1418">
        <f t="shared" si="276"/>
        <v>1.8567936953075178E-5</v>
      </c>
      <c r="CN156" s="1417">
        <f t="shared" si="276"/>
        <v>5.3849847088770604E-6</v>
      </c>
      <c r="CO156" s="1417">
        <f t="shared" si="276"/>
        <v>5.3238236840141595E-6</v>
      </c>
      <c r="CP156" s="1417">
        <f t="shared" si="276"/>
        <v>5.2620050833136136E-6</v>
      </c>
      <c r="CQ156" s="1417">
        <f t="shared" si="276"/>
        <v>6.0684207785161048E-6</v>
      </c>
      <c r="CR156" s="1419">
        <f t="shared" si="276"/>
        <v>5.9957114780461137E-6</v>
      </c>
      <c r="CS156" s="1378"/>
      <c r="CT156" s="1412" t="str">
        <f t="shared" si="188"/>
        <v>Price</v>
      </c>
      <c r="CU156" s="1413" t="str">
        <f t="shared" si="189"/>
        <v>Water</v>
      </c>
      <c r="CV156" s="1426" t="str">
        <f t="shared" si="190"/>
        <v>Fixed</v>
      </c>
      <c r="CW156" s="1427">
        <f t="shared" si="213"/>
        <v>5.5021110200889956E-2</v>
      </c>
      <c r="CX156" s="1417">
        <f t="shared" si="214"/>
        <v>5.4970924780975539E-2</v>
      </c>
      <c r="CY156" s="1417">
        <f t="shared" si="215"/>
        <v>5.4922463395432386E-2</v>
      </c>
      <c r="CZ156" s="1419">
        <f t="shared" si="216"/>
        <v>5.4875433007617547E-2</v>
      </c>
      <c r="DA156" s="1417">
        <f t="shared" si="217"/>
        <v>4.8294401601904013E-2</v>
      </c>
      <c r="DB156" s="1417">
        <f t="shared" si="218"/>
        <v>4.3618816760831569E-2</v>
      </c>
      <c r="DC156" s="1417">
        <f t="shared" si="219"/>
        <v>4.0125818637560817E-2</v>
      </c>
      <c r="DD156" s="1417">
        <f t="shared" si="220"/>
        <v>3.7417127050597854E-2</v>
      </c>
      <c r="DE156" s="1419">
        <f t="shared" si="221"/>
        <v>3.5255253517575413E-2</v>
      </c>
      <c r="DF156" s="1378"/>
      <c r="DG156" s="1412" t="str">
        <f t="shared" si="222"/>
        <v>Price</v>
      </c>
      <c r="DH156" s="1413" t="str">
        <f t="shared" si="222"/>
        <v>Water</v>
      </c>
      <c r="DI156" s="1426" t="str">
        <f t="shared" si="222"/>
        <v>Fixed</v>
      </c>
      <c r="DJ156" s="1426"/>
      <c r="DK156" s="1427">
        <f t="shared" si="223"/>
        <v>5.4919139602429556E-2</v>
      </c>
      <c r="DL156" s="1417">
        <f t="shared" si="224"/>
        <v>5.4871788474645689E-2</v>
      </c>
      <c r="DM156" s="1417">
        <f t="shared" si="225"/>
        <v>5.4825671437454648E-2</v>
      </c>
      <c r="DN156" s="1418">
        <f t="shared" si="226"/>
        <v>4.6943618775049378E-2</v>
      </c>
      <c r="DO156" s="1417">
        <f t="shared" si="227"/>
        <v>4.1721665152186782E-2</v>
      </c>
      <c r="DP156" s="1417">
        <f t="shared" si="228"/>
        <v>3.8007652458669883E-2</v>
      </c>
      <c r="DQ156" s="1417">
        <f t="shared" si="229"/>
        <v>3.523083521524506E-2</v>
      </c>
      <c r="DR156" s="1419">
        <f t="shared" si="230"/>
        <v>3.3076225158138683E-2</v>
      </c>
    </row>
    <row r="157" spans="4:122">
      <c r="E157" s="742" t="s">
        <v>45</v>
      </c>
      <c r="F157" s="722" t="str">
        <f>+F156</f>
        <v>Water</v>
      </c>
      <c r="G157" s="723" t="str">
        <f>+G156</f>
        <v>Fixed tariff group - 3 -80mm</v>
      </c>
      <c r="H157" s="723">
        <f>+H156</f>
        <v>0</v>
      </c>
      <c r="I157" s="724" t="str">
        <f>+I156</f>
        <v>Fixed</v>
      </c>
      <c r="J157" s="782" t="s">
        <v>323</v>
      </c>
      <c r="K157" s="1540"/>
      <c r="L157" s="1541"/>
      <c r="M157" s="1541"/>
      <c r="N157" s="1542"/>
      <c r="O157" s="2031">
        <v>5</v>
      </c>
      <c r="P157" s="1543">
        <v>9</v>
      </c>
      <c r="Q157" s="1543">
        <v>10</v>
      </c>
      <c r="R157" s="1543">
        <v>10</v>
      </c>
      <c r="S157" s="1543">
        <v>11</v>
      </c>
      <c r="T157" s="1543">
        <v>11</v>
      </c>
      <c r="U157" s="1543">
        <v>5</v>
      </c>
      <c r="V157" s="1543">
        <v>6</v>
      </c>
      <c r="W157" s="1543">
        <v>6</v>
      </c>
      <c r="X157" s="1544">
        <v>6</v>
      </c>
      <c r="Y157" s="1543">
        <v>6</v>
      </c>
      <c r="Z157" s="1543">
        <v>6</v>
      </c>
      <c r="AA157" s="1543">
        <v>6</v>
      </c>
      <c r="AB157" s="1543">
        <v>6</v>
      </c>
      <c r="AC157" s="1544">
        <v>6</v>
      </c>
      <c r="AD157" s="1543">
        <v>6</v>
      </c>
      <c r="AE157" s="1543">
        <v>7</v>
      </c>
      <c r="AF157" s="1543">
        <v>7</v>
      </c>
      <c r="AG157" s="788">
        <v>7</v>
      </c>
      <c r="AH157" s="697"/>
      <c r="AI157" s="707"/>
      <c r="AJ157" s="709">
        <f t="shared" si="234"/>
        <v>6</v>
      </c>
      <c r="AK157" s="710">
        <f t="shared" si="235"/>
        <v>6</v>
      </c>
      <c r="AL157" s="710">
        <f t="shared" si="236"/>
        <v>6</v>
      </c>
      <c r="AM157" s="710">
        <f t="shared" si="237"/>
        <v>6</v>
      </c>
      <c r="AN157" s="710">
        <f t="shared" si="238"/>
        <v>6</v>
      </c>
      <c r="AO157" s="711">
        <f t="shared" si="239"/>
        <v>6</v>
      </c>
      <c r="AP157" s="707">
        <f t="shared" si="240"/>
        <v>6</v>
      </c>
      <c r="AQ157" s="707">
        <f t="shared" si="241"/>
        <v>7</v>
      </c>
      <c r="AR157" s="707">
        <f t="shared" si="242"/>
        <v>7</v>
      </c>
      <c r="AS157" s="712">
        <f t="shared" si="243"/>
        <v>7</v>
      </c>
      <c r="AV157" s="1559"/>
      <c r="AW157" s="1392" t="str">
        <f t="shared" si="191"/>
        <v>Qty</v>
      </c>
      <c r="AX157" s="1393" t="str">
        <f t="shared" si="191"/>
        <v>Water</v>
      </c>
      <c r="AY157" s="1394" t="str">
        <f t="shared" si="192"/>
        <v>Fixed</v>
      </c>
      <c r="AZ157" s="1395">
        <f t="shared" si="262"/>
        <v>0.8</v>
      </c>
      <c r="BA157" s="1395">
        <f t="shared" si="262"/>
        <v>0.11111111111111116</v>
      </c>
      <c r="BB157" s="1395">
        <f t="shared" si="262"/>
        <v>0</v>
      </c>
      <c r="BC157" s="1395">
        <f t="shared" si="194"/>
        <v>0.10000000000000009</v>
      </c>
      <c r="BD157" s="1395">
        <f t="shared" si="195"/>
        <v>0</v>
      </c>
      <c r="BE157" s="1395">
        <f t="shared" si="196"/>
        <v>-0.54545454545454541</v>
      </c>
      <c r="BF157" s="1395">
        <f t="shared" si="197"/>
        <v>0.19999999999999996</v>
      </c>
      <c r="BG157" s="1396">
        <f t="shared" si="198"/>
        <v>0</v>
      </c>
      <c r="BH157" s="1395">
        <f t="shared" si="199"/>
        <v>0</v>
      </c>
      <c r="BI157" s="1395">
        <f t="shared" si="200"/>
        <v>0</v>
      </c>
      <c r="BJ157" s="1395">
        <f t="shared" si="201"/>
        <v>0</v>
      </c>
      <c r="BK157" s="1395">
        <f t="shared" si="202"/>
        <v>0</v>
      </c>
      <c r="BL157" s="1397">
        <f t="shared" si="203"/>
        <v>0</v>
      </c>
      <c r="BM157" s="1395">
        <f t="shared" si="204"/>
        <v>0</v>
      </c>
      <c r="BN157" s="1395">
        <f t="shared" si="205"/>
        <v>0</v>
      </c>
      <c r="BO157" s="1395">
        <f t="shared" si="206"/>
        <v>0.16666666666666674</v>
      </c>
      <c r="BP157" s="1395">
        <f t="shared" si="207"/>
        <v>0</v>
      </c>
      <c r="BQ157" s="1398">
        <f t="shared" si="208"/>
        <v>0</v>
      </c>
      <c r="BR157" s="1378"/>
      <c r="BS157" s="1329"/>
      <c r="BT157" s="1399"/>
      <c r="BU157" s="1331"/>
      <c r="BV157" s="1400"/>
      <c r="BW157" s="1378"/>
      <c r="BX157" s="1392" t="str">
        <f t="shared" si="209"/>
        <v>Qty</v>
      </c>
      <c r="BY157" s="1393" t="str">
        <f t="shared" si="210"/>
        <v>Water</v>
      </c>
      <c r="BZ157" s="1394" t="str">
        <f t="shared" si="211"/>
        <v>Fixed</v>
      </c>
      <c r="CA157" s="1401">
        <f t="shared" ref="CA157:CR157" si="277">IFERROR((P157/O157-1)*(O158/O$13),"-")</f>
        <v>2.6400980221650123E-4</v>
      </c>
      <c r="CB157" s="1395">
        <f t="shared" si="277"/>
        <v>6.4623128845965182E-5</v>
      </c>
      <c r="CC157" s="1395">
        <f t="shared" si="277"/>
        <v>0</v>
      </c>
      <c r="CD157" s="1395">
        <f t="shared" si="277"/>
        <v>6.471049452576422E-5</v>
      </c>
      <c r="CE157" s="1395">
        <f t="shared" si="277"/>
        <v>0</v>
      </c>
      <c r="CF157" s="1395">
        <f t="shared" si="277"/>
        <v>-3.7336433139188041E-4</v>
      </c>
      <c r="CG157" s="1395">
        <f t="shared" si="277"/>
        <v>6.0231936330026412E-5</v>
      </c>
      <c r="CH157" s="1397">
        <f t="shared" si="277"/>
        <v>0</v>
      </c>
      <c r="CI157" s="1395">
        <f t="shared" si="277"/>
        <v>0</v>
      </c>
      <c r="CJ157" s="1395">
        <f t="shared" si="277"/>
        <v>0</v>
      </c>
      <c r="CK157" s="1395">
        <f t="shared" si="277"/>
        <v>0</v>
      </c>
      <c r="CL157" s="1395">
        <f t="shared" si="277"/>
        <v>0</v>
      </c>
      <c r="CM157" s="1397">
        <f t="shared" si="277"/>
        <v>0</v>
      </c>
      <c r="CN157" s="1395">
        <f t="shared" si="277"/>
        <v>0</v>
      </c>
      <c r="CO157" s="1395">
        <f t="shared" si="277"/>
        <v>0</v>
      </c>
      <c r="CP157" s="1395">
        <f t="shared" si="277"/>
        <v>5.4812552951183447E-5</v>
      </c>
      <c r="CQ157" s="1395">
        <f t="shared" si="277"/>
        <v>0</v>
      </c>
      <c r="CR157" s="1398">
        <f t="shared" si="277"/>
        <v>0</v>
      </c>
      <c r="CS157" s="1378"/>
      <c r="CT157" s="1392" t="str">
        <f t="shared" si="188"/>
        <v>Qty</v>
      </c>
      <c r="CU157" s="1393" t="str">
        <f t="shared" si="189"/>
        <v>Water</v>
      </c>
      <c r="CV157" s="1393" t="str">
        <f t="shared" si="190"/>
        <v>Fixed</v>
      </c>
      <c r="CW157" s="1401">
        <f t="shared" si="213"/>
        <v>0</v>
      </c>
      <c r="CX157" s="1395">
        <f t="shared" si="214"/>
        <v>0</v>
      </c>
      <c r="CY157" s="1395">
        <f t="shared" si="215"/>
        <v>0</v>
      </c>
      <c r="CZ157" s="1398">
        <f t="shared" si="216"/>
        <v>0</v>
      </c>
      <c r="DA157" s="1395">
        <f t="shared" si="217"/>
        <v>0</v>
      </c>
      <c r="DB157" s="1395">
        <f t="shared" si="218"/>
        <v>0</v>
      </c>
      <c r="DC157" s="1395">
        <f t="shared" si="219"/>
        <v>1.9455677126480886E-2</v>
      </c>
      <c r="DD157" s="1395">
        <f t="shared" si="220"/>
        <v>1.7275376039383783E-2</v>
      </c>
      <c r="DE157" s="1398">
        <f t="shared" si="221"/>
        <v>1.5534493002352434E-2</v>
      </c>
      <c r="DF157" s="1378"/>
      <c r="DG157" s="1392" t="str">
        <f t="shared" si="222"/>
        <v>Qty</v>
      </c>
      <c r="DH157" s="1393" t="str">
        <f t="shared" si="222"/>
        <v>Water</v>
      </c>
      <c r="DI157" s="1393" t="str">
        <f t="shared" si="222"/>
        <v>Fixed</v>
      </c>
      <c r="DJ157" s="1393"/>
      <c r="DK157" s="1401">
        <f t="shared" si="223"/>
        <v>0</v>
      </c>
      <c r="DL157" s="1395">
        <f t="shared" si="224"/>
        <v>0</v>
      </c>
      <c r="DM157" s="1395">
        <f t="shared" si="225"/>
        <v>0</v>
      </c>
      <c r="DN157" s="1397">
        <f t="shared" si="226"/>
        <v>0</v>
      </c>
      <c r="DO157" s="1395">
        <f t="shared" si="227"/>
        <v>0</v>
      </c>
      <c r="DP157" s="1395">
        <f t="shared" si="228"/>
        <v>2.2265789209679587E-2</v>
      </c>
      <c r="DQ157" s="1395">
        <f t="shared" si="229"/>
        <v>1.9455677126480886E-2</v>
      </c>
      <c r="DR157" s="1398">
        <f t="shared" si="230"/>
        <v>1.7275376039383783E-2</v>
      </c>
    </row>
    <row r="158" spans="4:122" ht="12.75" thickBot="1">
      <c r="E158" s="743" t="s">
        <v>46</v>
      </c>
      <c r="F158" s="732" t="str">
        <f>+F156</f>
        <v>Water</v>
      </c>
      <c r="G158" s="733" t="str">
        <f>+G156</f>
        <v>Fixed tariff group - 3 -80mm</v>
      </c>
      <c r="H158" s="733">
        <f>+H156</f>
        <v>0</v>
      </c>
      <c r="I158" s="734" t="str">
        <f>+I156</f>
        <v>Fixed</v>
      </c>
      <c r="J158" s="735" t="s">
        <v>344</v>
      </c>
      <c r="K158" s="736">
        <f t="shared" ref="K158:AG158" si="278">K156*K157/10^6</f>
        <v>0</v>
      </c>
      <c r="L158" s="737">
        <f t="shared" si="278"/>
        <v>0</v>
      </c>
      <c r="M158" s="737">
        <f t="shared" si="278"/>
        <v>0</v>
      </c>
      <c r="N158" s="738">
        <f t="shared" si="278"/>
        <v>0</v>
      </c>
      <c r="O158" s="1923">
        <f t="shared" si="278"/>
        <v>2.4883845475113121E-2</v>
      </c>
      <c r="P158" s="737">
        <f t="shared" si="278"/>
        <v>4.4992673632326813E-2</v>
      </c>
      <c r="Q158" s="737">
        <f t="shared" si="278"/>
        <v>4.9334401840490795E-2</v>
      </c>
      <c r="R158" s="737">
        <f t="shared" si="278"/>
        <v>4.8276631646655223E-2</v>
      </c>
      <c r="S158" s="737">
        <f t="shared" si="278"/>
        <v>5.1863308854961834E-2</v>
      </c>
      <c r="T158" s="1531">
        <f t="shared" si="278"/>
        <v>5.1089714406779653E-2</v>
      </c>
      <c r="U158" s="737">
        <f t="shared" si="278"/>
        <v>2.3615635520361992E-2</v>
      </c>
      <c r="V158" s="737">
        <f t="shared" si="278"/>
        <v>2.838981930131004E-2</v>
      </c>
      <c r="W158" s="737">
        <f t="shared" si="278"/>
        <v>2.8656000000000001E-2</v>
      </c>
      <c r="X158" s="738">
        <f t="shared" si="278"/>
        <v>3.0234214951218863E-2</v>
      </c>
      <c r="Y158" s="737">
        <f t="shared" si="278"/>
        <v>3.1896120823334519E-2</v>
      </c>
      <c r="Z158" s="737">
        <f t="shared" si="278"/>
        <v>3.3646278869910978E-2</v>
      </c>
      <c r="AA158" s="737">
        <f t="shared" si="278"/>
        <v>3.5489324203051821E-2</v>
      </c>
      <c r="AB158" s="737">
        <f t="shared" si="278"/>
        <v>3.7430140673191753E-2</v>
      </c>
      <c r="AC158" s="738">
        <f t="shared" si="278"/>
        <v>3.8029022923962819E-2</v>
      </c>
      <c r="AD158" s="737">
        <f t="shared" si="278"/>
        <v>3.8637487290746224E-2</v>
      </c>
      <c r="AE158" s="737">
        <f t="shared" si="278"/>
        <v>4.5798301601964519E-2</v>
      </c>
      <c r="AF158" s="737">
        <f t="shared" si="278"/>
        <v>4.6531074427595957E-2</v>
      </c>
      <c r="AG158" s="739">
        <f t="shared" si="278"/>
        <v>4.7275571618437491E-2</v>
      </c>
      <c r="AH158" s="697"/>
      <c r="AI158" s="707"/>
      <c r="AJ158" s="709">
        <f t="shared" si="234"/>
        <v>3.0234214951218863E-2</v>
      </c>
      <c r="AK158" s="710">
        <f t="shared" si="235"/>
        <v>3.1896120823334519E-2</v>
      </c>
      <c r="AL158" s="710">
        <f t="shared" si="236"/>
        <v>3.3646278869910978E-2</v>
      </c>
      <c r="AM158" s="710">
        <f t="shared" si="237"/>
        <v>3.5489324203051821E-2</v>
      </c>
      <c r="AN158" s="710">
        <f t="shared" si="238"/>
        <v>3.7430140673191753E-2</v>
      </c>
      <c r="AO158" s="711">
        <f t="shared" si="239"/>
        <v>3.8029022923962819E-2</v>
      </c>
      <c r="AP158" s="707">
        <f t="shared" si="240"/>
        <v>3.8637487290746224E-2</v>
      </c>
      <c r="AQ158" s="707">
        <f t="shared" si="241"/>
        <v>4.5798301601964519E-2</v>
      </c>
      <c r="AR158" s="707">
        <f t="shared" si="242"/>
        <v>4.6531074427595957E-2</v>
      </c>
      <c r="AS158" s="712">
        <f t="shared" si="243"/>
        <v>4.7275571618437491E-2</v>
      </c>
      <c r="AV158" s="1559"/>
      <c r="AW158" s="1428" t="str">
        <f t="shared" si="191"/>
        <v>Rev</v>
      </c>
      <c r="AX158" s="1429" t="str">
        <f t="shared" si="191"/>
        <v>Water</v>
      </c>
      <c r="AY158" s="1430" t="str">
        <f t="shared" si="192"/>
        <v>Fixed</v>
      </c>
      <c r="AZ158" s="1431">
        <f t="shared" si="262"/>
        <v>0.80810774111762473</v>
      </c>
      <c r="BA158" s="1431">
        <f t="shared" si="262"/>
        <v>9.6498559824293118E-2</v>
      </c>
      <c r="BB158" s="1431">
        <f t="shared" si="262"/>
        <v>-2.1440823327615877E-2</v>
      </c>
      <c r="BC158" s="1431">
        <f t="shared" si="194"/>
        <v>7.4294272114055149E-2</v>
      </c>
      <c r="BD158" s="1431">
        <f t="shared" si="195"/>
        <v>-1.4916025707992775E-2</v>
      </c>
      <c r="BE158" s="1431">
        <f t="shared" si="196"/>
        <v>-0.53776144974440931</v>
      </c>
      <c r="BF158" s="1431">
        <f t="shared" si="197"/>
        <v>0.2021619861481867</v>
      </c>
      <c r="BG158" s="1432">
        <f t="shared" si="198"/>
        <v>9.375920849121977E-3</v>
      </c>
      <c r="BH158" s="1431">
        <f t="shared" si="199"/>
        <v>5.5074502764477229E-2</v>
      </c>
      <c r="BI158" s="1431">
        <f t="shared" si="200"/>
        <v>5.4967720339259563E-2</v>
      </c>
      <c r="BJ158" s="1431">
        <f t="shared" si="201"/>
        <v>5.4870561102718263E-2</v>
      </c>
      <c r="BK158" s="1431">
        <f t="shared" si="202"/>
        <v>5.4777092595194254E-2</v>
      </c>
      <c r="BL158" s="1433">
        <f t="shared" si="203"/>
        <v>5.4687332422436841E-2</v>
      </c>
      <c r="BM158" s="1431">
        <f t="shared" si="204"/>
        <v>1.6000000000000014E-2</v>
      </c>
      <c r="BN158" s="1431">
        <f t="shared" si="205"/>
        <v>1.6000000000000014E-2</v>
      </c>
      <c r="BO158" s="1431">
        <f t="shared" si="206"/>
        <v>0.18533333333333313</v>
      </c>
      <c r="BP158" s="1431">
        <f t="shared" si="207"/>
        <v>1.6000000000000014E-2</v>
      </c>
      <c r="BQ158" s="1434">
        <f t="shared" si="208"/>
        <v>1.6000000000000014E-2</v>
      </c>
      <c r="BR158" s="1378"/>
      <c r="BS158" s="1407"/>
      <c r="BT158" s="1408"/>
      <c r="BU158" s="1409"/>
      <c r="BV158" s="1410"/>
      <c r="BW158" s="1378"/>
      <c r="BX158" s="1428" t="str">
        <f t="shared" si="209"/>
        <v>Rev</v>
      </c>
      <c r="BY158" s="1429" t="str">
        <f t="shared" si="210"/>
        <v>Water</v>
      </c>
      <c r="BZ158" s="1430" t="str">
        <f t="shared" si="211"/>
        <v>Fixed</v>
      </c>
      <c r="CA158" s="1435">
        <f t="shared" ref="CA158:CR158" si="279">IFERROR((P158/O158-1)*(O158/O$13),"-")</f>
        <v>2.666854561276096E-4</v>
      </c>
      <c r="CB158" s="1431">
        <f t="shared" si="279"/>
        <v>5.6124349784778331E-5</v>
      </c>
      <c r="CC158" s="1431">
        <f t="shared" si="279"/>
        <v>-1.3920270662370658E-5</v>
      </c>
      <c r="CD158" s="1431">
        <f t="shared" si="279"/>
        <v>4.8076190889321987E-5</v>
      </c>
      <c r="CE158" s="1431">
        <f t="shared" si="279"/>
        <v>-1.0732379100551747E-5</v>
      </c>
      <c r="CF158" s="1431">
        <f t="shared" si="279"/>
        <v>-3.6809839757560777E-4</v>
      </c>
      <c r="CG158" s="1431">
        <f t="shared" si="279"/>
        <v>6.088303939014633E-5</v>
      </c>
      <c r="CH158" s="1433">
        <f t="shared" si="279"/>
        <v>3.2403553017680487E-6</v>
      </c>
      <c r="CI158" s="1431">
        <f t="shared" si="279"/>
        <v>1.956313276302939E-5</v>
      </c>
      <c r="CJ158" s="1431">
        <f t="shared" si="279"/>
        <v>1.9150170342269605E-5</v>
      </c>
      <c r="CK158" s="1431">
        <f t="shared" si="279"/>
        <v>1.8956534340247955E-5</v>
      </c>
      <c r="CL158" s="1431">
        <f t="shared" si="279"/>
        <v>1.8763532241575624E-5</v>
      </c>
      <c r="CM158" s="1433">
        <f t="shared" si="279"/>
        <v>1.8567936953075178E-5</v>
      </c>
      <c r="CN158" s="1431">
        <f t="shared" si="279"/>
        <v>5.3849847088770604E-6</v>
      </c>
      <c r="CO158" s="1431">
        <f t="shared" si="279"/>
        <v>5.3238236840141595E-6</v>
      </c>
      <c r="CP158" s="1431">
        <f t="shared" si="279"/>
        <v>6.0951558881715903E-5</v>
      </c>
      <c r="CQ158" s="1431">
        <f t="shared" si="279"/>
        <v>6.0684207785161048E-6</v>
      </c>
      <c r="CR158" s="1434">
        <f t="shared" si="279"/>
        <v>5.9957114780461137E-6</v>
      </c>
      <c r="CS158" s="1378"/>
      <c r="CT158" s="1428" t="str">
        <f t="shared" si="188"/>
        <v>Rev</v>
      </c>
      <c r="CU158" s="1429" t="str">
        <f t="shared" si="189"/>
        <v>Water</v>
      </c>
      <c r="CV158" s="1429" t="str">
        <f t="shared" si="190"/>
        <v>Fixed</v>
      </c>
      <c r="CW158" s="1435">
        <f t="shared" si="213"/>
        <v>5.5021110200889956E-2</v>
      </c>
      <c r="CX158" s="1431">
        <f t="shared" si="214"/>
        <v>5.4970924780975539E-2</v>
      </c>
      <c r="CY158" s="1431">
        <f t="shared" si="215"/>
        <v>5.4922463395432386E-2</v>
      </c>
      <c r="CZ158" s="1434">
        <f t="shared" si="216"/>
        <v>5.4875433007617547E-2</v>
      </c>
      <c r="DA158" s="1431">
        <f t="shared" si="217"/>
        <v>4.8294401601904013E-2</v>
      </c>
      <c r="DB158" s="1431">
        <f t="shared" si="218"/>
        <v>4.3618816760831569E-2</v>
      </c>
      <c r="DC158" s="1431">
        <f t="shared" si="219"/>
        <v>6.0362170735889675E-2</v>
      </c>
      <c r="DD158" s="1431">
        <f t="shared" si="220"/>
        <v>5.5338898030094175E-2</v>
      </c>
      <c r="DE158" s="1434">
        <f t="shared" si="221"/>
        <v>5.1337419008992802E-2</v>
      </c>
      <c r="DF158" s="1378"/>
      <c r="DG158" s="1428" t="str">
        <f t="shared" si="222"/>
        <v>Rev</v>
      </c>
      <c r="DH158" s="1429" t="str">
        <f t="shared" si="222"/>
        <v>Water</v>
      </c>
      <c r="DI158" s="1429" t="str">
        <f t="shared" si="222"/>
        <v>Fixed</v>
      </c>
      <c r="DJ158" s="1429"/>
      <c r="DK158" s="1435">
        <f t="shared" si="223"/>
        <v>5.4919139602429556E-2</v>
      </c>
      <c r="DL158" s="1431">
        <f t="shared" si="224"/>
        <v>5.4871788474645689E-2</v>
      </c>
      <c r="DM158" s="1431">
        <f t="shared" si="225"/>
        <v>5.4825671437454648E-2</v>
      </c>
      <c r="DN158" s="1433">
        <f t="shared" si="226"/>
        <v>4.6943618775049378E-2</v>
      </c>
      <c r="DO158" s="1431">
        <f t="shared" si="227"/>
        <v>4.1721665152186782E-2</v>
      </c>
      <c r="DP158" s="1431">
        <f t="shared" si="228"/>
        <v>6.1119712046348917E-2</v>
      </c>
      <c r="DQ158" s="1431">
        <f t="shared" si="229"/>
        <v>5.5371952096570087E-2</v>
      </c>
      <c r="DR158" s="1434">
        <f t="shared" si="230"/>
        <v>5.0923005425092871E-2</v>
      </c>
    </row>
    <row r="159" spans="4:122">
      <c r="D159" s="70">
        <f>D156+1</f>
        <v>32</v>
      </c>
      <c r="E159" s="713" t="s">
        <v>44</v>
      </c>
      <c r="F159" s="1532" t="s">
        <v>20</v>
      </c>
      <c r="G159" s="1532" t="s">
        <v>894</v>
      </c>
      <c r="H159" s="1532"/>
      <c r="I159" s="781" t="s">
        <v>319</v>
      </c>
      <c r="J159" s="781" t="s">
        <v>345</v>
      </c>
      <c r="K159" s="1533"/>
      <c r="L159" s="1534"/>
      <c r="M159" s="1534"/>
      <c r="N159" s="1535"/>
      <c r="O159" s="2071">
        <v>7777.3357466063344</v>
      </c>
      <c r="P159" s="1547">
        <v>7812.2987744227348</v>
      </c>
      <c r="Q159" s="1547">
        <v>7709.6201226993862</v>
      </c>
      <c r="R159" s="1547">
        <v>7544.3195197255563</v>
      </c>
      <c r="S159" s="1547">
        <v>7368.0377353689564</v>
      </c>
      <c r="T159" s="1547">
        <v>7258.1327118644058</v>
      </c>
      <c r="U159" s="1547">
        <v>7380.9776923076925</v>
      </c>
      <c r="V159" s="1547">
        <v>7394.2662882096065</v>
      </c>
      <c r="W159" s="1547">
        <v>7463.6</v>
      </c>
      <c r="X159" s="1550">
        <v>7867.7011452031438</v>
      </c>
      <c r="Y159" s="1551">
        <v>8293.1903865224194</v>
      </c>
      <c r="Z159" s="1551">
        <v>8741.1848323734139</v>
      </c>
      <c r="AA159" s="1551">
        <v>9212.8663181514385</v>
      </c>
      <c r="AB159" s="1551">
        <v>9709.479624767675</v>
      </c>
      <c r="AC159" s="1550">
        <v>9864.8312987639583</v>
      </c>
      <c r="AD159" s="1551">
        <v>10022.668599544182</v>
      </c>
      <c r="AE159" s="1551">
        <v>10183.031297136889</v>
      </c>
      <c r="AF159" s="1551">
        <v>10345.959797891081</v>
      </c>
      <c r="AG159" s="1552">
        <v>10511.495154657337</v>
      </c>
      <c r="AH159" s="697"/>
      <c r="AI159" s="707"/>
      <c r="AJ159" s="709">
        <f t="shared" si="234"/>
        <v>7867.7011452031438</v>
      </c>
      <c r="AK159" s="710">
        <f t="shared" si="235"/>
        <v>8293.1903865224194</v>
      </c>
      <c r="AL159" s="710">
        <f t="shared" si="236"/>
        <v>8741.1848323734139</v>
      </c>
      <c r="AM159" s="710">
        <f t="shared" si="237"/>
        <v>9212.8663181514385</v>
      </c>
      <c r="AN159" s="710">
        <f t="shared" si="238"/>
        <v>9709.479624767675</v>
      </c>
      <c r="AO159" s="711">
        <f t="shared" si="239"/>
        <v>9864.8312987639583</v>
      </c>
      <c r="AP159" s="707">
        <f t="shared" si="240"/>
        <v>10022.668599544182</v>
      </c>
      <c r="AQ159" s="707">
        <f t="shared" si="241"/>
        <v>10183.031297136889</v>
      </c>
      <c r="AR159" s="707">
        <f t="shared" si="242"/>
        <v>10345.959797891081</v>
      </c>
      <c r="AS159" s="712">
        <f t="shared" si="243"/>
        <v>10511.495154657337</v>
      </c>
      <c r="AU159" s="1369"/>
      <c r="AV159" s="1559"/>
      <c r="AW159" s="1412" t="str">
        <f t="shared" si="191"/>
        <v>Price</v>
      </c>
      <c r="AX159" s="1413" t="str">
        <f t="shared" si="191"/>
        <v>Water</v>
      </c>
      <c r="AY159" s="1414" t="str">
        <f t="shared" si="192"/>
        <v>Fixed</v>
      </c>
      <c r="AZ159" s="1415">
        <f t="shared" si="262"/>
        <v>4.4955019245063177E-3</v>
      </c>
      <c r="BA159" s="1415">
        <f t="shared" si="262"/>
        <v>-1.3143205948486725E-2</v>
      </c>
      <c r="BB159" s="1415">
        <f t="shared" si="262"/>
        <v>-2.1440823327615877E-2</v>
      </c>
      <c r="BC159" s="1415">
        <f t="shared" si="194"/>
        <v>-2.3366160976571737E-2</v>
      </c>
      <c r="BD159" s="1415">
        <f t="shared" si="195"/>
        <v>-1.4916457739754918E-2</v>
      </c>
      <c r="BE159" s="1415">
        <f t="shared" si="196"/>
        <v>1.6925149390349281E-2</v>
      </c>
      <c r="BF159" s="1415">
        <f t="shared" si="197"/>
        <v>1.8003842384950453E-3</v>
      </c>
      <c r="BG159" s="1416">
        <f t="shared" si="198"/>
        <v>9.3766858114034957E-3</v>
      </c>
      <c r="BH159" s="1417">
        <f t="shared" si="199"/>
        <v>5.4142926363034416E-2</v>
      </c>
      <c r="BI159" s="1417">
        <f t="shared" si="200"/>
        <v>5.4080503754097453E-2</v>
      </c>
      <c r="BJ159" s="1417">
        <f t="shared" si="201"/>
        <v>5.4019553992037617E-2</v>
      </c>
      <c r="BK159" s="1417">
        <f t="shared" si="202"/>
        <v>5.3960818221247209E-2</v>
      </c>
      <c r="BL159" s="1418">
        <f t="shared" si="203"/>
        <v>5.3904321355211282E-2</v>
      </c>
      <c r="BM159" s="1417">
        <f t="shared" si="204"/>
        <v>1.6000000000000014E-2</v>
      </c>
      <c r="BN159" s="1417">
        <f t="shared" si="205"/>
        <v>1.6000000000000014E-2</v>
      </c>
      <c r="BO159" s="1417">
        <f t="shared" si="206"/>
        <v>1.6000000000000014E-2</v>
      </c>
      <c r="BP159" s="1417">
        <f t="shared" si="207"/>
        <v>1.6000000000000014E-2</v>
      </c>
      <c r="BQ159" s="1419">
        <f t="shared" si="208"/>
        <v>1.6000000000000014E-2</v>
      </c>
      <c r="BR159" s="1378"/>
      <c r="BS159" s="1420"/>
      <c r="BT159" s="1421"/>
      <c r="BU159" s="1422"/>
      <c r="BV159" s="1423"/>
      <c r="BW159" s="1378"/>
      <c r="BX159" s="1412" t="str">
        <f t="shared" si="209"/>
        <v>Price</v>
      </c>
      <c r="BY159" s="1413" t="str">
        <f t="shared" si="210"/>
        <v>Water</v>
      </c>
      <c r="BZ159" s="1414" t="str">
        <f t="shared" si="211"/>
        <v>Fixed</v>
      </c>
      <c r="CA159" s="1424">
        <f t="shared" ref="CA159:CR159" si="280">IFERROR((P159/O159-1)*(O161/O$13),"-")</f>
        <v>9.2736692043133456E-7</v>
      </c>
      <c r="CB159" s="1415">
        <f t="shared" si="280"/>
        <v>-2.654598486342185E-6</v>
      </c>
      <c r="CC159" s="1415">
        <f t="shared" si="280"/>
        <v>-4.3507165307901938E-6</v>
      </c>
      <c r="CD159" s="1415">
        <f t="shared" si="280"/>
        <v>-4.7257984049473431E-6</v>
      </c>
      <c r="CE159" s="1415">
        <f t="shared" si="280"/>
        <v>-3.0495109681244945E-6</v>
      </c>
      <c r="CF159" s="1415">
        <f t="shared" si="280"/>
        <v>3.2917602543345217E-6</v>
      </c>
      <c r="CG159" s="1415">
        <f t="shared" si="280"/>
        <v>6.7785417977799427E-7</v>
      </c>
      <c r="CH159" s="1425">
        <f t="shared" si="280"/>
        <v>4.2201756494175372E-6</v>
      </c>
      <c r="CI159" s="1417">
        <f t="shared" si="280"/>
        <v>2.5045651567284578E-5</v>
      </c>
      <c r="CJ159" s="1417">
        <f t="shared" si="280"/>
        <v>2.4514599733901534E-5</v>
      </c>
      <c r="CK159" s="1417">
        <f t="shared" si="280"/>
        <v>2.4261871988152827E-5</v>
      </c>
      <c r="CL159" s="1417">
        <f t="shared" si="280"/>
        <v>2.4010290487721655E-5</v>
      </c>
      <c r="CM159" s="1418">
        <f t="shared" si="280"/>
        <v>2.3755684036017243E-5</v>
      </c>
      <c r="CN159" s="1417">
        <f t="shared" si="280"/>
        <v>6.9843979170475299E-6</v>
      </c>
      <c r="CO159" s="1417">
        <f t="shared" si="280"/>
        <v>6.9050712415320455E-6</v>
      </c>
      <c r="CP159" s="1417">
        <f t="shared" si="280"/>
        <v>6.8248916812714718E-6</v>
      </c>
      <c r="CQ159" s="1417">
        <f t="shared" si="280"/>
        <v>6.7464203420563758E-6</v>
      </c>
      <c r="CR159" s="1419">
        <f t="shared" si="280"/>
        <v>7.9987050384760351E-6</v>
      </c>
      <c r="CS159" s="1378"/>
      <c r="CT159" s="1412" t="str">
        <f t="shared" si="188"/>
        <v>Price</v>
      </c>
      <c r="CU159" s="1413" t="str">
        <f t="shared" si="189"/>
        <v>Water</v>
      </c>
      <c r="CV159" s="1426" t="str">
        <f t="shared" si="190"/>
        <v>Fixed</v>
      </c>
      <c r="CW159" s="1427">
        <f t="shared" si="213"/>
        <v>5.4111714596496663E-2</v>
      </c>
      <c r="CX159" s="1417">
        <f t="shared" si="214"/>
        <v>5.4080993499681318E-2</v>
      </c>
      <c r="CY159" s="1417">
        <f t="shared" si="215"/>
        <v>5.4050948395506726E-2</v>
      </c>
      <c r="CZ159" s="1419">
        <f t="shared" si="216"/>
        <v>5.4021621355550442E-2</v>
      </c>
      <c r="DA159" s="1417">
        <f t="shared" si="217"/>
        <v>4.7587283067321628E-2</v>
      </c>
      <c r="DB159" s="1417">
        <f t="shared" si="218"/>
        <v>4.3015389403654458E-2</v>
      </c>
      <c r="DC159" s="1417">
        <f t="shared" si="219"/>
        <v>3.9599567894438747E-2</v>
      </c>
      <c r="DD159" s="1417">
        <f t="shared" si="220"/>
        <v>3.6950553682379539E-2</v>
      </c>
      <c r="DE159" s="1419">
        <f t="shared" si="221"/>
        <v>3.4836203124552156E-2</v>
      </c>
      <c r="DF159" s="1378"/>
      <c r="DG159" s="1412" t="str">
        <f t="shared" si="222"/>
        <v>Price</v>
      </c>
      <c r="DH159" s="1413" t="str">
        <f t="shared" si="222"/>
        <v>Water</v>
      </c>
      <c r="DI159" s="1426" t="str">
        <f t="shared" si="222"/>
        <v>Fixed</v>
      </c>
      <c r="DJ159" s="1426"/>
      <c r="DK159" s="1427">
        <f t="shared" si="223"/>
        <v>5.4050028432520048E-2</v>
      </c>
      <c r="DL159" s="1417">
        <f t="shared" si="224"/>
        <v>5.4020290856460207E-2</v>
      </c>
      <c r="DM159" s="1417">
        <f t="shared" si="225"/>
        <v>5.3991297284854411E-2</v>
      </c>
      <c r="DN159" s="1418">
        <f t="shared" si="226"/>
        <v>4.6281054836325275E-2</v>
      </c>
      <c r="DO159" s="1417">
        <f t="shared" si="227"/>
        <v>4.1172253507491652E-2</v>
      </c>
      <c r="DP159" s="1417">
        <f t="shared" si="228"/>
        <v>3.753838948015864E-2</v>
      </c>
      <c r="DQ159" s="1417">
        <f t="shared" si="229"/>
        <v>3.4821316963180804E-2</v>
      </c>
      <c r="DR159" s="1419">
        <f t="shared" si="230"/>
        <v>3.2712958571049944E-2</v>
      </c>
    </row>
    <row r="160" spans="4:122">
      <c r="E160" s="742" t="s">
        <v>45</v>
      </c>
      <c r="F160" s="722" t="str">
        <f>+F159</f>
        <v>Water</v>
      </c>
      <c r="G160" s="723" t="str">
        <f>+G159</f>
        <v>Fixed tariff group - 3 -100mm</v>
      </c>
      <c r="H160" s="723">
        <f>+H159</f>
        <v>0</v>
      </c>
      <c r="I160" s="724" t="str">
        <f>+I159</f>
        <v>Fixed</v>
      </c>
      <c r="J160" s="782" t="s">
        <v>323</v>
      </c>
      <c r="K160" s="1540"/>
      <c r="L160" s="1541"/>
      <c r="M160" s="1541"/>
      <c r="N160" s="1542"/>
      <c r="O160" s="2031">
        <v>2</v>
      </c>
      <c r="P160" s="1543">
        <v>2</v>
      </c>
      <c r="Q160" s="1543">
        <v>2</v>
      </c>
      <c r="R160" s="1543">
        <v>2</v>
      </c>
      <c r="S160" s="1543">
        <v>2</v>
      </c>
      <c r="T160" s="1543">
        <v>2</v>
      </c>
      <c r="U160" s="1543">
        <v>4</v>
      </c>
      <c r="V160" s="1543">
        <v>5</v>
      </c>
      <c r="W160" s="1543">
        <v>5</v>
      </c>
      <c r="X160" s="1544">
        <v>5</v>
      </c>
      <c r="Y160" s="1543">
        <v>5</v>
      </c>
      <c r="Z160" s="1543">
        <v>5</v>
      </c>
      <c r="AA160" s="1543">
        <v>5</v>
      </c>
      <c r="AB160" s="1543">
        <v>5</v>
      </c>
      <c r="AC160" s="1544">
        <v>5</v>
      </c>
      <c r="AD160" s="1543">
        <v>5</v>
      </c>
      <c r="AE160" s="1543">
        <v>5</v>
      </c>
      <c r="AF160" s="1543">
        <v>6</v>
      </c>
      <c r="AG160" s="788">
        <v>6</v>
      </c>
      <c r="AH160" s="697"/>
      <c r="AI160" s="707"/>
      <c r="AJ160" s="709">
        <f t="shared" si="234"/>
        <v>5</v>
      </c>
      <c r="AK160" s="710">
        <f t="shared" si="235"/>
        <v>5</v>
      </c>
      <c r="AL160" s="710">
        <f t="shared" si="236"/>
        <v>5</v>
      </c>
      <c r="AM160" s="710">
        <f t="shared" si="237"/>
        <v>5</v>
      </c>
      <c r="AN160" s="710">
        <f t="shared" si="238"/>
        <v>5</v>
      </c>
      <c r="AO160" s="711">
        <f t="shared" si="239"/>
        <v>5</v>
      </c>
      <c r="AP160" s="707">
        <f t="shared" si="240"/>
        <v>5</v>
      </c>
      <c r="AQ160" s="707">
        <f t="shared" si="241"/>
        <v>5</v>
      </c>
      <c r="AR160" s="707">
        <f t="shared" si="242"/>
        <v>6</v>
      </c>
      <c r="AS160" s="712">
        <f t="shared" si="243"/>
        <v>6</v>
      </c>
      <c r="AV160" s="1559"/>
      <c r="AW160" s="1392" t="str">
        <f t="shared" si="191"/>
        <v>Qty</v>
      </c>
      <c r="AX160" s="1393" t="str">
        <f t="shared" si="191"/>
        <v>Water</v>
      </c>
      <c r="AY160" s="1394" t="str">
        <f t="shared" si="192"/>
        <v>Fixed</v>
      </c>
      <c r="AZ160" s="1395">
        <f t="shared" si="262"/>
        <v>0</v>
      </c>
      <c r="BA160" s="1395">
        <f t="shared" si="262"/>
        <v>0</v>
      </c>
      <c r="BB160" s="1395">
        <f t="shared" si="262"/>
        <v>0</v>
      </c>
      <c r="BC160" s="1395">
        <f t="shared" si="194"/>
        <v>0</v>
      </c>
      <c r="BD160" s="1395">
        <f t="shared" si="195"/>
        <v>0</v>
      </c>
      <c r="BE160" s="1395">
        <f t="shared" si="196"/>
        <v>1</v>
      </c>
      <c r="BF160" s="1395">
        <f t="shared" si="197"/>
        <v>0.25</v>
      </c>
      <c r="BG160" s="1396">
        <f t="shared" si="198"/>
        <v>0</v>
      </c>
      <c r="BH160" s="1395">
        <f t="shared" si="199"/>
        <v>0</v>
      </c>
      <c r="BI160" s="1395">
        <f t="shared" si="200"/>
        <v>0</v>
      </c>
      <c r="BJ160" s="1395">
        <f t="shared" si="201"/>
        <v>0</v>
      </c>
      <c r="BK160" s="1395">
        <f t="shared" si="202"/>
        <v>0</v>
      </c>
      <c r="BL160" s="1397">
        <f t="shared" si="203"/>
        <v>0</v>
      </c>
      <c r="BM160" s="1395">
        <f t="shared" si="204"/>
        <v>0</v>
      </c>
      <c r="BN160" s="1395">
        <f t="shared" si="205"/>
        <v>0</v>
      </c>
      <c r="BO160" s="1395">
        <f t="shared" si="206"/>
        <v>0</v>
      </c>
      <c r="BP160" s="1395">
        <f t="shared" si="207"/>
        <v>0.19999999999999996</v>
      </c>
      <c r="BQ160" s="1398">
        <f t="shared" si="208"/>
        <v>0</v>
      </c>
      <c r="BR160" s="1378"/>
      <c r="BS160" s="1329"/>
      <c r="BT160" s="1399"/>
      <c r="BU160" s="1331"/>
      <c r="BV160" s="1400"/>
      <c r="BW160" s="1378"/>
      <c r="BX160" s="1392" t="str">
        <f t="shared" si="209"/>
        <v>Qty</v>
      </c>
      <c r="BY160" s="1393" t="str">
        <f t="shared" si="210"/>
        <v>Water</v>
      </c>
      <c r="BZ160" s="1394" t="str">
        <f t="shared" si="211"/>
        <v>Fixed</v>
      </c>
      <c r="CA160" s="1401">
        <f t="shared" ref="CA160:CR160" si="281">IFERROR((P160/O160-1)*(O161/O$13),"-")</f>
        <v>0</v>
      </c>
      <c r="CB160" s="1395">
        <f t="shared" si="281"/>
        <v>0</v>
      </c>
      <c r="CC160" s="1395">
        <f t="shared" si="281"/>
        <v>0</v>
      </c>
      <c r="CD160" s="1395">
        <f t="shared" si="281"/>
        <v>0</v>
      </c>
      <c r="CE160" s="1395">
        <f t="shared" si="281"/>
        <v>0</v>
      </c>
      <c r="CF160" s="1395">
        <f t="shared" si="281"/>
        <v>1.9448928800660885E-4</v>
      </c>
      <c r="CG160" s="1395">
        <f t="shared" si="281"/>
        <v>9.4126321104740629E-5</v>
      </c>
      <c r="CH160" s="1397">
        <f t="shared" si="281"/>
        <v>0</v>
      </c>
      <c r="CI160" s="1395">
        <f t="shared" si="281"/>
        <v>0</v>
      </c>
      <c r="CJ160" s="1395">
        <f t="shared" si="281"/>
        <v>0</v>
      </c>
      <c r="CK160" s="1395">
        <f t="shared" si="281"/>
        <v>0</v>
      </c>
      <c r="CL160" s="1395">
        <f t="shared" si="281"/>
        <v>0</v>
      </c>
      <c r="CM160" s="1397">
        <f t="shared" si="281"/>
        <v>0</v>
      </c>
      <c r="CN160" s="1395">
        <f t="shared" si="281"/>
        <v>0</v>
      </c>
      <c r="CO160" s="1395">
        <f t="shared" si="281"/>
        <v>0</v>
      </c>
      <c r="CP160" s="1395">
        <f t="shared" si="281"/>
        <v>0</v>
      </c>
      <c r="CQ160" s="1395">
        <f t="shared" si="281"/>
        <v>8.4330254275704605E-5</v>
      </c>
      <c r="CR160" s="1398">
        <f t="shared" si="281"/>
        <v>0</v>
      </c>
      <c r="CS160" s="1378"/>
      <c r="CT160" s="1392" t="str">
        <f t="shared" si="188"/>
        <v>Qty</v>
      </c>
      <c r="CU160" s="1393" t="str">
        <f t="shared" si="189"/>
        <v>Water</v>
      </c>
      <c r="CV160" s="1393" t="str">
        <f t="shared" si="190"/>
        <v>Fixed</v>
      </c>
      <c r="CW160" s="1401">
        <f t="shared" si="213"/>
        <v>0</v>
      </c>
      <c r="CX160" s="1395">
        <f t="shared" si="214"/>
        <v>0</v>
      </c>
      <c r="CY160" s="1395">
        <f t="shared" si="215"/>
        <v>0</v>
      </c>
      <c r="CZ160" s="1398">
        <f t="shared" si="216"/>
        <v>0</v>
      </c>
      <c r="DA160" s="1395">
        <f t="shared" si="217"/>
        <v>0</v>
      </c>
      <c r="DB160" s="1395">
        <f t="shared" si="218"/>
        <v>0</v>
      </c>
      <c r="DC160" s="1395">
        <f t="shared" si="219"/>
        <v>0</v>
      </c>
      <c r="DD160" s="1395">
        <f t="shared" si="220"/>
        <v>2.046453567684825E-2</v>
      </c>
      <c r="DE160" s="1398">
        <f t="shared" si="221"/>
        <v>1.8399376147024249E-2</v>
      </c>
      <c r="DF160" s="1378"/>
      <c r="DG160" s="1392" t="str">
        <f t="shared" si="222"/>
        <v>Qty</v>
      </c>
      <c r="DH160" s="1393" t="str">
        <f t="shared" si="222"/>
        <v>Water</v>
      </c>
      <c r="DI160" s="1393" t="str">
        <f t="shared" si="222"/>
        <v>Fixed</v>
      </c>
      <c r="DJ160" s="1393"/>
      <c r="DK160" s="1401">
        <f t="shared" si="223"/>
        <v>0</v>
      </c>
      <c r="DL160" s="1395">
        <f t="shared" si="224"/>
        <v>0</v>
      </c>
      <c r="DM160" s="1395">
        <f t="shared" si="225"/>
        <v>0</v>
      </c>
      <c r="DN160" s="1397">
        <f t="shared" si="226"/>
        <v>0</v>
      </c>
      <c r="DO160" s="1395">
        <f t="shared" si="227"/>
        <v>0</v>
      </c>
      <c r="DP160" s="1395">
        <f t="shared" si="228"/>
        <v>0</v>
      </c>
      <c r="DQ160" s="1395">
        <f t="shared" si="229"/>
        <v>2.3051875220462925E-2</v>
      </c>
      <c r="DR160" s="1398">
        <f t="shared" si="230"/>
        <v>2.046453567684825E-2</v>
      </c>
    </row>
    <row r="161" spans="4:122" ht="12.75" thickBot="1">
      <c r="E161" s="743" t="s">
        <v>46</v>
      </c>
      <c r="F161" s="732" t="str">
        <f>+F159</f>
        <v>Water</v>
      </c>
      <c r="G161" s="733" t="str">
        <f>+G159</f>
        <v>Fixed tariff group - 3 -100mm</v>
      </c>
      <c r="H161" s="733">
        <f>+H159</f>
        <v>0</v>
      </c>
      <c r="I161" s="734" t="str">
        <f>+I159</f>
        <v>Fixed</v>
      </c>
      <c r="J161" s="735" t="s">
        <v>344</v>
      </c>
      <c r="K161" s="736">
        <f t="shared" ref="K161:AG161" si="282">K159*K160/10^6</f>
        <v>0</v>
      </c>
      <c r="L161" s="737">
        <f t="shared" si="282"/>
        <v>0</v>
      </c>
      <c r="M161" s="737">
        <f t="shared" si="282"/>
        <v>0</v>
      </c>
      <c r="N161" s="738">
        <f t="shared" si="282"/>
        <v>0</v>
      </c>
      <c r="O161" s="1923">
        <f t="shared" si="282"/>
        <v>1.5554671493212669E-2</v>
      </c>
      <c r="P161" s="737">
        <f t="shared" si="282"/>
        <v>1.562459754884547E-2</v>
      </c>
      <c r="Q161" s="737">
        <f t="shared" si="282"/>
        <v>1.5419240245398773E-2</v>
      </c>
      <c r="R161" s="737">
        <f t="shared" si="282"/>
        <v>1.5088639039451113E-2</v>
      </c>
      <c r="S161" s="737">
        <f t="shared" si="282"/>
        <v>1.4736075470737913E-2</v>
      </c>
      <c r="T161" s="1531">
        <f t="shared" si="282"/>
        <v>1.4516265423728811E-2</v>
      </c>
      <c r="U161" s="737">
        <f t="shared" si="282"/>
        <v>2.952391076923077E-2</v>
      </c>
      <c r="V161" s="737">
        <f t="shared" si="282"/>
        <v>3.6971331441048028E-2</v>
      </c>
      <c r="W161" s="737">
        <f t="shared" si="282"/>
        <v>3.7317999999999997E-2</v>
      </c>
      <c r="X161" s="738">
        <f t="shared" si="282"/>
        <v>3.9338505726015723E-2</v>
      </c>
      <c r="Y161" s="737">
        <f t="shared" si="282"/>
        <v>4.1465951932612093E-2</v>
      </c>
      <c r="Z161" s="737">
        <f t="shared" si="282"/>
        <v>4.3705924161867069E-2</v>
      </c>
      <c r="AA161" s="737">
        <f t="shared" si="282"/>
        <v>4.6064331590757193E-2</v>
      </c>
      <c r="AB161" s="737">
        <f t="shared" si="282"/>
        <v>4.8547398123838369E-2</v>
      </c>
      <c r="AC161" s="738">
        <f t="shared" si="282"/>
        <v>4.9324156493819792E-2</v>
      </c>
      <c r="AD161" s="737">
        <f t="shared" si="282"/>
        <v>5.0113342997720911E-2</v>
      </c>
      <c r="AE161" s="737">
        <f t="shared" si="282"/>
        <v>5.0915156485684447E-2</v>
      </c>
      <c r="AF161" s="737">
        <f t="shared" si="282"/>
        <v>6.2075758787346481E-2</v>
      </c>
      <c r="AG161" s="739">
        <f t="shared" si="282"/>
        <v>6.3068970927944029E-2</v>
      </c>
      <c r="AH161" s="697"/>
      <c r="AI161" s="707"/>
      <c r="AJ161" s="709">
        <f t="shared" si="234"/>
        <v>3.9338505726015723E-2</v>
      </c>
      <c r="AK161" s="710">
        <f t="shared" si="235"/>
        <v>4.1465951932612093E-2</v>
      </c>
      <c r="AL161" s="710">
        <f t="shared" si="236"/>
        <v>4.3705924161867069E-2</v>
      </c>
      <c r="AM161" s="710">
        <f t="shared" si="237"/>
        <v>4.6064331590757193E-2</v>
      </c>
      <c r="AN161" s="710">
        <f t="shared" si="238"/>
        <v>4.8547398123838369E-2</v>
      </c>
      <c r="AO161" s="711">
        <f t="shared" si="239"/>
        <v>4.9324156493819792E-2</v>
      </c>
      <c r="AP161" s="707">
        <f t="shared" si="240"/>
        <v>5.0113342997720911E-2</v>
      </c>
      <c r="AQ161" s="707">
        <f t="shared" si="241"/>
        <v>5.0915156485684447E-2</v>
      </c>
      <c r="AR161" s="707">
        <f t="shared" si="242"/>
        <v>6.2075758787346481E-2</v>
      </c>
      <c r="AS161" s="712">
        <f t="shared" si="243"/>
        <v>6.3068970927944029E-2</v>
      </c>
      <c r="AV161" s="1559"/>
      <c r="AW161" s="1428" t="str">
        <f t="shared" si="191"/>
        <v>Rev</v>
      </c>
      <c r="AX161" s="1429" t="str">
        <f t="shared" si="191"/>
        <v>Water</v>
      </c>
      <c r="AY161" s="1430" t="str">
        <f t="shared" si="192"/>
        <v>Fixed</v>
      </c>
      <c r="AZ161" s="1431">
        <f t="shared" si="262"/>
        <v>4.4955019245063177E-3</v>
      </c>
      <c r="BA161" s="1431">
        <f t="shared" si="262"/>
        <v>-1.3143205948486725E-2</v>
      </c>
      <c r="BB161" s="1431">
        <f t="shared" si="262"/>
        <v>-2.1440823327615877E-2</v>
      </c>
      <c r="BC161" s="1431">
        <f t="shared" si="194"/>
        <v>-2.3366160976571737E-2</v>
      </c>
      <c r="BD161" s="1431">
        <f t="shared" si="195"/>
        <v>-1.4916457739755029E-2</v>
      </c>
      <c r="BE161" s="1431">
        <f t="shared" si="196"/>
        <v>1.033850298780699</v>
      </c>
      <c r="BF161" s="1431">
        <f t="shared" si="197"/>
        <v>0.2522504802981187</v>
      </c>
      <c r="BG161" s="1432">
        <f t="shared" si="198"/>
        <v>9.3766858114034957E-3</v>
      </c>
      <c r="BH161" s="1431">
        <f t="shared" si="199"/>
        <v>5.4142926363034638E-2</v>
      </c>
      <c r="BI161" s="1431">
        <f t="shared" si="200"/>
        <v>5.4080503754097231E-2</v>
      </c>
      <c r="BJ161" s="1431">
        <f t="shared" si="201"/>
        <v>5.4019553992037617E-2</v>
      </c>
      <c r="BK161" s="1431">
        <f t="shared" si="202"/>
        <v>5.3960818221247209E-2</v>
      </c>
      <c r="BL161" s="1433">
        <f t="shared" si="203"/>
        <v>5.390432135521106E-2</v>
      </c>
      <c r="BM161" s="1431">
        <f t="shared" si="204"/>
        <v>1.6000000000000236E-2</v>
      </c>
      <c r="BN161" s="1431">
        <f t="shared" si="205"/>
        <v>1.6000000000000014E-2</v>
      </c>
      <c r="BO161" s="1431">
        <f t="shared" si="206"/>
        <v>1.6000000000000014E-2</v>
      </c>
      <c r="BP161" s="1431">
        <f t="shared" si="207"/>
        <v>0.21920000000000006</v>
      </c>
      <c r="BQ161" s="1434">
        <f t="shared" si="208"/>
        <v>1.6000000000000014E-2</v>
      </c>
      <c r="BR161" s="1378"/>
      <c r="BS161" s="1407"/>
      <c r="BT161" s="1408"/>
      <c r="BU161" s="1409"/>
      <c r="BV161" s="1410"/>
      <c r="BW161" s="1378"/>
      <c r="BX161" s="1428" t="str">
        <f t="shared" si="209"/>
        <v>Rev</v>
      </c>
      <c r="BY161" s="1429" t="str">
        <f t="shared" si="210"/>
        <v>Water</v>
      </c>
      <c r="BZ161" s="1430" t="str">
        <f t="shared" si="211"/>
        <v>Fixed</v>
      </c>
      <c r="CA161" s="1435">
        <f t="shared" ref="CA161:CR161" si="283">IFERROR((P161/O161-1)*(O161/O$13),"-")</f>
        <v>9.2736692043133456E-7</v>
      </c>
      <c r="CB161" s="1431">
        <f t="shared" si="283"/>
        <v>-2.654598486342185E-6</v>
      </c>
      <c r="CC161" s="1431">
        <f t="shared" si="283"/>
        <v>-4.3507165307901938E-6</v>
      </c>
      <c r="CD161" s="1431">
        <f t="shared" si="283"/>
        <v>-4.7257984049473431E-6</v>
      </c>
      <c r="CE161" s="1431">
        <f t="shared" si="283"/>
        <v>-3.0495109681245174E-6</v>
      </c>
      <c r="CF161" s="1431">
        <f t="shared" si="283"/>
        <v>2.0107280851527798E-4</v>
      </c>
      <c r="CG161" s="1431">
        <f t="shared" si="283"/>
        <v>9.4973638829463084E-5</v>
      </c>
      <c r="CH161" s="1433">
        <f t="shared" si="283"/>
        <v>4.2201756494175372E-6</v>
      </c>
      <c r="CI161" s="1431">
        <f t="shared" si="283"/>
        <v>2.5045651567284679E-5</v>
      </c>
      <c r="CJ161" s="1431">
        <f t="shared" si="283"/>
        <v>2.4514599733901432E-5</v>
      </c>
      <c r="CK161" s="1431">
        <f t="shared" si="283"/>
        <v>2.4261871988152827E-5</v>
      </c>
      <c r="CL161" s="1431">
        <f t="shared" si="283"/>
        <v>2.4010290487721655E-5</v>
      </c>
      <c r="CM161" s="1433">
        <f t="shared" si="283"/>
        <v>2.3755684036017145E-5</v>
      </c>
      <c r="CN161" s="1431">
        <f t="shared" si="283"/>
        <v>6.9843979170476265E-6</v>
      </c>
      <c r="CO161" s="1431">
        <f t="shared" si="283"/>
        <v>6.9050712415320455E-6</v>
      </c>
      <c r="CP161" s="1431">
        <f t="shared" si="283"/>
        <v>6.8248916812714718E-6</v>
      </c>
      <c r="CQ161" s="1431">
        <f t="shared" si="283"/>
        <v>9.2425958686172288E-5</v>
      </c>
      <c r="CR161" s="1434">
        <f t="shared" si="283"/>
        <v>7.9987050384760351E-6</v>
      </c>
      <c r="CS161" s="1378"/>
      <c r="CT161" s="1428" t="str">
        <f t="shared" si="188"/>
        <v>Rev</v>
      </c>
      <c r="CU161" s="1429" t="str">
        <f t="shared" si="189"/>
        <v>Water</v>
      </c>
      <c r="CV161" s="1429" t="str">
        <f t="shared" si="190"/>
        <v>Fixed</v>
      </c>
      <c r="CW161" s="1435">
        <f t="shared" si="213"/>
        <v>5.4111714596496663E-2</v>
      </c>
      <c r="CX161" s="1431">
        <f t="shared" si="214"/>
        <v>5.4080993499681318E-2</v>
      </c>
      <c r="CY161" s="1431">
        <f t="shared" si="215"/>
        <v>5.4050948395506726E-2</v>
      </c>
      <c r="CZ161" s="1434">
        <f t="shared" si="216"/>
        <v>5.4021621355550442E-2</v>
      </c>
      <c r="DA161" s="1431">
        <f t="shared" si="217"/>
        <v>4.7587283067321628E-2</v>
      </c>
      <c r="DB161" s="1431">
        <f t="shared" si="218"/>
        <v>4.3015389403654458E-2</v>
      </c>
      <c r="DC161" s="1431">
        <f t="shared" si="219"/>
        <v>3.9599567894438747E-2</v>
      </c>
      <c r="DD161" s="1431">
        <f t="shared" si="220"/>
        <v>5.8171265283339935E-2</v>
      </c>
      <c r="DE161" s="1434">
        <f t="shared" si="221"/>
        <v>5.3876543676399269E-2</v>
      </c>
      <c r="DF161" s="1378"/>
      <c r="DG161" s="1428" t="str">
        <f t="shared" si="222"/>
        <v>Rev</v>
      </c>
      <c r="DH161" s="1429" t="str">
        <f t="shared" si="222"/>
        <v>Water</v>
      </c>
      <c r="DI161" s="1429" t="str">
        <f t="shared" si="222"/>
        <v>Fixed</v>
      </c>
      <c r="DJ161" s="1429"/>
      <c r="DK161" s="1435">
        <f t="shared" si="223"/>
        <v>5.4050028432519825E-2</v>
      </c>
      <c r="DL161" s="1431">
        <f t="shared" si="224"/>
        <v>5.4020290856460207E-2</v>
      </c>
      <c r="DM161" s="1431">
        <f t="shared" si="225"/>
        <v>5.3991297284854411E-2</v>
      </c>
      <c r="DN161" s="1433">
        <f t="shared" si="226"/>
        <v>4.6281054836325275E-2</v>
      </c>
      <c r="DO161" s="1431">
        <f t="shared" si="227"/>
        <v>4.1172253507491652E-2</v>
      </c>
      <c r="DP161" s="1431">
        <f t="shared" si="228"/>
        <v>3.753838948015864E-2</v>
      </c>
      <c r="DQ161" s="1431">
        <f t="shared" si="229"/>
        <v>5.8675888837291135E-2</v>
      </c>
      <c r="DR161" s="1434">
        <f t="shared" si="230"/>
        <v>5.3846949755670614E-2</v>
      </c>
    </row>
    <row r="162" spans="4:122">
      <c r="D162" s="70">
        <f>D159+1</f>
        <v>33</v>
      </c>
      <c r="E162" s="713" t="s">
        <v>44</v>
      </c>
      <c r="F162" s="1532" t="s">
        <v>20</v>
      </c>
      <c r="G162" s="1532" t="s">
        <v>895</v>
      </c>
      <c r="H162" s="1532"/>
      <c r="I162" s="781" t="s">
        <v>320</v>
      </c>
      <c r="J162" s="781" t="s">
        <v>345</v>
      </c>
      <c r="K162" s="1533"/>
      <c r="L162" s="1534"/>
      <c r="M162" s="1534"/>
      <c r="N162" s="1535"/>
      <c r="O162" s="2071">
        <v>3.9744885067873299</v>
      </c>
      <c r="P162" s="1547">
        <v>3.974462611012433</v>
      </c>
      <c r="Q162" s="1547">
        <v>3.9743742331288341</v>
      </c>
      <c r="R162" s="1547">
        <v>3.9743526586620925</v>
      </c>
      <c r="S162" s="1547">
        <v>3.9743274809160303</v>
      </c>
      <c r="T162" s="1547">
        <v>3.9742355932203384</v>
      </c>
      <c r="U162" s="1547">
        <v>3.9741914027149323</v>
      </c>
      <c r="V162" s="1547">
        <v>3.9741093886462879</v>
      </c>
      <c r="W162" s="1547">
        <v>3.9741</v>
      </c>
      <c r="X162" s="1550">
        <v>3.9741</v>
      </c>
      <c r="Y162" s="1551">
        <v>3.9741</v>
      </c>
      <c r="Z162" s="1551">
        <v>3.9741</v>
      </c>
      <c r="AA162" s="1551">
        <v>3.9741</v>
      </c>
      <c r="AB162" s="1551">
        <v>3.9741</v>
      </c>
      <c r="AC162" s="1550">
        <v>3.9741</v>
      </c>
      <c r="AD162" s="1551">
        <v>3.9741</v>
      </c>
      <c r="AE162" s="1551">
        <v>3.9741</v>
      </c>
      <c r="AF162" s="1551">
        <v>3.9741</v>
      </c>
      <c r="AG162" s="1552">
        <v>3.9741</v>
      </c>
      <c r="AH162" s="697"/>
      <c r="AI162" s="707"/>
      <c r="AJ162" s="709">
        <f t="shared" si="234"/>
        <v>3.9741</v>
      </c>
      <c r="AK162" s="710">
        <f t="shared" si="235"/>
        <v>3.9741</v>
      </c>
      <c r="AL162" s="710">
        <f t="shared" si="236"/>
        <v>3.9741</v>
      </c>
      <c r="AM162" s="710">
        <f t="shared" si="237"/>
        <v>3.9741</v>
      </c>
      <c r="AN162" s="710">
        <f t="shared" si="238"/>
        <v>3.9741</v>
      </c>
      <c r="AO162" s="711">
        <f t="shared" si="239"/>
        <v>3.9741</v>
      </c>
      <c r="AP162" s="707">
        <f t="shared" si="240"/>
        <v>3.9741</v>
      </c>
      <c r="AQ162" s="707">
        <f t="shared" si="241"/>
        <v>3.9741</v>
      </c>
      <c r="AR162" s="707">
        <f t="shared" si="242"/>
        <v>3.9741</v>
      </c>
      <c r="AS162" s="712">
        <f t="shared" si="243"/>
        <v>3.9741</v>
      </c>
      <c r="AU162" s="1369"/>
      <c r="AV162" s="1559"/>
      <c r="AW162" s="1412" t="str">
        <f t="shared" si="191"/>
        <v>Price</v>
      </c>
      <c r="AX162" s="1413" t="str">
        <f t="shared" si="191"/>
        <v>Water</v>
      </c>
      <c r="AY162" s="1414" t="str">
        <f t="shared" si="192"/>
        <v>Variable</v>
      </c>
      <c r="AZ162" s="1415">
        <f t="shared" ref="AZ162:BB177" si="284">IFERROR(P162/O162-1,"-")</f>
        <v>-6.5154987497484385E-6</v>
      </c>
      <c r="BA162" s="1415">
        <f t="shared" si="284"/>
        <v>-2.2236436028832962E-5</v>
      </c>
      <c r="BB162" s="1415">
        <f t="shared" si="284"/>
        <v>-5.428393371142981E-6</v>
      </c>
      <c r="BC162" s="1415">
        <f t="shared" si="194"/>
        <v>-6.3350558504593479E-6</v>
      </c>
      <c r="BD162" s="1415">
        <f t="shared" si="195"/>
        <v>-2.3120313092706013E-5</v>
      </c>
      <c r="BE162" s="1415">
        <f t="shared" si="196"/>
        <v>-1.1119246549284867E-5</v>
      </c>
      <c r="BF162" s="1415">
        <f t="shared" si="197"/>
        <v>-2.0636668024653915E-5</v>
      </c>
      <c r="BG162" s="1416">
        <f t="shared" si="198"/>
        <v>-2.3624529095211955E-6</v>
      </c>
      <c r="BH162" s="1417">
        <f t="shared" si="199"/>
        <v>0</v>
      </c>
      <c r="BI162" s="1417">
        <f t="shared" si="200"/>
        <v>0</v>
      </c>
      <c r="BJ162" s="1417">
        <f t="shared" si="201"/>
        <v>0</v>
      </c>
      <c r="BK162" s="1417">
        <f t="shared" si="202"/>
        <v>0</v>
      </c>
      <c r="BL162" s="1418">
        <f t="shared" si="203"/>
        <v>0</v>
      </c>
      <c r="BM162" s="1417">
        <f t="shared" si="204"/>
        <v>0</v>
      </c>
      <c r="BN162" s="1417">
        <f t="shared" si="205"/>
        <v>0</v>
      </c>
      <c r="BO162" s="1417">
        <f t="shared" si="206"/>
        <v>0</v>
      </c>
      <c r="BP162" s="1417">
        <f t="shared" si="207"/>
        <v>0</v>
      </c>
      <c r="BQ162" s="1419">
        <f t="shared" si="208"/>
        <v>0</v>
      </c>
      <c r="BR162" s="1378"/>
      <c r="BS162" s="1420"/>
      <c r="BT162" s="1421"/>
      <c r="BU162" s="1422"/>
      <c r="BV162" s="1423"/>
      <c r="BW162" s="1378"/>
      <c r="BX162" s="1412" t="str">
        <f t="shared" si="209"/>
        <v>Price</v>
      </c>
      <c r="BY162" s="1413" t="str">
        <f t="shared" si="210"/>
        <v>Water</v>
      </c>
      <c r="BZ162" s="1414" t="str">
        <f t="shared" si="211"/>
        <v>Variable</v>
      </c>
      <c r="CA162" s="1424">
        <f t="shared" ref="CA162:CR162" si="285">IFERROR((P162/O162-1)*(O164/O$13),"-")</f>
        <v>-1.0655937859760417E-8</v>
      </c>
      <c r="CB162" s="1415">
        <f t="shared" si="285"/>
        <v>-4.8974980912657163E-8</v>
      </c>
      <c r="CC162" s="1415">
        <f t="shared" si="285"/>
        <v>-2.3930701004527065E-8</v>
      </c>
      <c r="CD162" s="1415">
        <f t="shared" si="285"/>
        <v>-1.9067457445582051E-8</v>
      </c>
      <c r="CE162" s="1415">
        <f t="shared" si="285"/>
        <v>-3.3190272958210676E-8</v>
      </c>
      <c r="CF162" s="1415">
        <f t="shared" si="285"/>
        <v>-2.605023909099112E-8</v>
      </c>
      <c r="CG162" s="1415">
        <f t="shared" si="285"/>
        <v>-5.5539285840341916E-8</v>
      </c>
      <c r="CH162" s="1425">
        <f t="shared" si="285"/>
        <v>-1.3009753089016598E-8</v>
      </c>
      <c r="CI162" s="1417">
        <f t="shared" si="285"/>
        <v>0</v>
      </c>
      <c r="CJ162" s="1417">
        <f t="shared" si="285"/>
        <v>0</v>
      </c>
      <c r="CK162" s="1417">
        <f t="shared" si="285"/>
        <v>0</v>
      </c>
      <c r="CL162" s="1417">
        <f t="shared" si="285"/>
        <v>0</v>
      </c>
      <c r="CM162" s="1418">
        <f t="shared" si="285"/>
        <v>0</v>
      </c>
      <c r="CN162" s="1417">
        <f t="shared" si="285"/>
        <v>0</v>
      </c>
      <c r="CO162" s="1417">
        <f t="shared" si="285"/>
        <v>0</v>
      </c>
      <c r="CP162" s="1417">
        <f t="shared" si="285"/>
        <v>0</v>
      </c>
      <c r="CQ162" s="1417">
        <f t="shared" si="285"/>
        <v>0</v>
      </c>
      <c r="CR162" s="1419">
        <f t="shared" si="285"/>
        <v>0</v>
      </c>
      <c r="CS162" s="1378"/>
      <c r="CT162" s="1412" t="str">
        <f t="shared" si="188"/>
        <v>Price</v>
      </c>
      <c r="CU162" s="1413" t="str">
        <f t="shared" si="189"/>
        <v>Water</v>
      </c>
      <c r="CV162" s="1426" t="str">
        <f t="shared" si="190"/>
        <v>Variable</v>
      </c>
      <c r="CW162" s="1427">
        <f t="shared" si="213"/>
        <v>0</v>
      </c>
      <c r="CX162" s="1417">
        <f t="shared" si="214"/>
        <v>0</v>
      </c>
      <c r="CY162" s="1417">
        <f t="shared" si="215"/>
        <v>0</v>
      </c>
      <c r="CZ162" s="1419">
        <f t="shared" si="216"/>
        <v>0</v>
      </c>
      <c r="DA162" s="1417">
        <f t="shared" si="217"/>
        <v>0</v>
      </c>
      <c r="DB162" s="1417">
        <f t="shared" si="218"/>
        <v>0</v>
      </c>
      <c r="DC162" s="1417">
        <f t="shared" si="219"/>
        <v>0</v>
      </c>
      <c r="DD162" s="1417">
        <f t="shared" si="220"/>
        <v>0</v>
      </c>
      <c r="DE162" s="1419">
        <f t="shared" si="221"/>
        <v>0</v>
      </c>
      <c r="DF162" s="1378"/>
      <c r="DG162" s="1412" t="str">
        <f t="shared" si="222"/>
        <v>Price</v>
      </c>
      <c r="DH162" s="1413" t="str">
        <f t="shared" si="222"/>
        <v>Water</v>
      </c>
      <c r="DI162" s="1426" t="str">
        <f t="shared" si="222"/>
        <v>Variable</v>
      </c>
      <c r="DJ162" s="1426"/>
      <c r="DK162" s="1427">
        <f t="shared" si="223"/>
        <v>0</v>
      </c>
      <c r="DL162" s="1417">
        <f t="shared" si="224"/>
        <v>0</v>
      </c>
      <c r="DM162" s="1417">
        <f t="shared" si="225"/>
        <v>0</v>
      </c>
      <c r="DN162" s="1418">
        <f t="shared" si="226"/>
        <v>0</v>
      </c>
      <c r="DO162" s="1417">
        <f t="shared" si="227"/>
        <v>0</v>
      </c>
      <c r="DP162" s="1417">
        <f t="shared" si="228"/>
        <v>0</v>
      </c>
      <c r="DQ162" s="1417">
        <f t="shared" si="229"/>
        <v>0</v>
      </c>
      <c r="DR162" s="1419">
        <f t="shared" si="230"/>
        <v>0</v>
      </c>
    </row>
    <row r="163" spans="4:122">
      <c r="E163" s="742" t="s">
        <v>45</v>
      </c>
      <c r="F163" s="722" t="str">
        <f>+F162</f>
        <v>Water</v>
      </c>
      <c r="G163" s="723" t="str">
        <f>+G162</f>
        <v>Standpipe charges</v>
      </c>
      <c r="H163" s="723">
        <f>+H162</f>
        <v>0</v>
      </c>
      <c r="I163" s="724" t="str">
        <f>+I162</f>
        <v>Variable</v>
      </c>
      <c r="J163" s="782" t="s">
        <v>47</v>
      </c>
      <c r="K163" s="1540"/>
      <c r="L163" s="1541"/>
      <c r="M163" s="1541"/>
      <c r="N163" s="1542"/>
      <c r="O163" s="2031">
        <v>31027.743961043121</v>
      </c>
      <c r="P163" s="1543">
        <v>42868.865344106642</v>
      </c>
      <c r="Q163" s="1543">
        <v>84286.689419795221</v>
      </c>
      <c r="R163" s="1543">
        <v>56498.664075783337</v>
      </c>
      <c r="S163" s="1543">
        <v>26035.792571239828</v>
      </c>
      <c r="T163" s="1543">
        <v>43998.914192645083</v>
      </c>
      <c r="U163" s="1543">
        <v>53102.472366102418</v>
      </c>
      <c r="V163" s="1543">
        <v>113828.2357185189</v>
      </c>
      <c r="W163" s="1543">
        <v>100000</v>
      </c>
      <c r="X163" s="1544">
        <v>65000</v>
      </c>
      <c r="Y163" s="1543">
        <v>65000</v>
      </c>
      <c r="Z163" s="1543">
        <v>65000</v>
      </c>
      <c r="AA163" s="1543">
        <v>65000</v>
      </c>
      <c r="AB163" s="1543">
        <v>65000</v>
      </c>
      <c r="AC163" s="1544">
        <v>65000</v>
      </c>
      <c r="AD163" s="1543">
        <v>65000</v>
      </c>
      <c r="AE163" s="1543">
        <v>65000</v>
      </c>
      <c r="AF163" s="1543">
        <v>65000</v>
      </c>
      <c r="AG163" s="788">
        <v>65000</v>
      </c>
      <c r="AH163" s="697"/>
      <c r="AI163" s="707"/>
      <c r="AJ163" s="709">
        <f t="shared" si="234"/>
        <v>65000</v>
      </c>
      <c r="AK163" s="710">
        <f t="shared" si="235"/>
        <v>65000</v>
      </c>
      <c r="AL163" s="710">
        <f t="shared" si="236"/>
        <v>65000</v>
      </c>
      <c r="AM163" s="710">
        <f t="shared" si="237"/>
        <v>65000</v>
      </c>
      <c r="AN163" s="710">
        <f t="shared" si="238"/>
        <v>65000</v>
      </c>
      <c r="AO163" s="711">
        <f t="shared" si="239"/>
        <v>65000</v>
      </c>
      <c r="AP163" s="707">
        <f t="shared" si="240"/>
        <v>65000</v>
      </c>
      <c r="AQ163" s="707">
        <f t="shared" si="241"/>
        <v>65000</v>
      </c>
      <c r="AR163" s="707">
        <f t="shared" si="242"/>
        <v>65000</v>
      </c>
      <c r="AS163" s="712">
        <f t="shared" si="243"/>
        <v>65000</v>
      </c>
      <c r="AV163" s="1559"/>
      <c r="AW163" s="1392" t="str">
        <f t="shared" si="191"/>
        <v>Qty</v>
      </c>
      <c r="AX163" s="1393" t="str">
        <f t="shared" si="191"/>
        <v>Water</v>
      </c>
      <c r="AY163" s="1394" t="str">
        <f t="shared" si="192"/>
        <v>Variable</v>
      </c>
      <c r="AZ163" s="1395">
        <f t="shared" si="284"/>
        <v>0.38163011135874525</v>
      </c>
      <c r="BA163" s="1395">
        <f t="shared" si="284"/>
        <v>0.9661516287690235</v>
      </c>
      <c r="BB163" s="1395">
        <f t="shared" si="284"/>
        <v>-0.32968462203577431</v>
      </c>
      <c r="BC163" s="1395">
        <f t="shared" si="194"/>
        <v>-0.53917861604095196</v>
      </c>
      <c r="BD163" s="1395">
        <f t="shared" si="195"/>
        <v>0.68993949664693655</v>
      </c>
      <c r="BE163" s="1395">
        <f t="shared" si="196"/>
        <v>0.20690415526161088</v>
      </c>
      <c r="BF163" s="1395">
        <f t="shared" si="197"/>
        <v>1.1435581178547976</v>
      </c>
      <c r="BG163" s="1396">
        <f t="shared" si="198"/>
        <v>-0.12148335280109379</v>
      </c>
      <c r="BH163" s="1395">
        <f t="shared" si="199"/>
        <v>-0.35</v>
      </c>
      <c r="BI163" s="1395">
        <f t="shared" si="200"/>
        <v>0</v>
      </c>
      <c r="BJ163" s="1395">
        <f t="shared" si="201"/>
        <v>0</v>
      </c>
      <c r="BK163" s="1395">
        <f t="shared" si="202"/>
        <v>0</v>
      </c>
      <c r="BL163" s="1397">
        <f t="shared" si="203"/>
        <v>0</v>
      </c>
      <c r="BM163" s="1395">
        <f t="shared" si="204"/>
        <v>0</v>
      </c>
      <c r="BN163" s="1395">
        <f t="shared" si="205"/>
        <v>0</v>
      </c>
      <c r="BO163" s="1395">
        <f t="shared" si="206"/>
        <v>0</v>
      </c>
      <c r="BP163" s="1395">
        <f t="shared" si="207"/>
        <v>0</v>
      </c>
      <c r="BQ163" s="1398">
        <f t="shared" si="208"/>
        <v>0</v>
      </c>
      <c r="BR163" s="1378"/>
      <c r="BS163" s="1329"/>
      <c r="BT163" s="1399"/>
      <c r="BU163" s="1331"/>
      <c r="BV163" s="1400"/>
      <c r="BW163" s="1378"/>
      <c r="BX163" s="1392" t="str">
        <f t="shared" si="209"/>
        <v>Qty</v>
      </c>
      <c r="BY163" s="1393" t="str">
        <f t="shared" si="210"/>
        <v>Water</v>
      </c>
      <c r="BZ163" s="1394" t="str">
        <f t="shared" si="211"/>
        <v>Variable</v>
      </c>
      <c r="CA163" s="1401">
        <f t="shared" ref="CA163:CR163" si="286">IFERROR((P163/O163-1)*(O164/O$13),"-")</f>
        <v>6.2414665526706599E-4</v>
      </c>
      <c r="CB163" s="1395">
        <f t="shared" si="286"/>
        <v>2.1279155309034885E-3</v>
      </c>
      <c r="CC163" s="1395">
        <f t="shared" si="286"/>
        <v>-1.4533921137088544E-3</v>
      </c>
      <c r="CD163" s="1395">
        <f t="shared" si="286"/>
        <v>-1.6228373608076759E-3</v>
      </c>
      <c r="CE163" s="1395">
        <f t="shared" si="286"/>
        <v>9.9043988403368813E-4</v>
      </c>
      <c r="CF163" s="1395">
        <f t="shared" si="286"/>
        <v>4.8473632539708031E-4</v>
      </c>
      <c r="CG163" s="1395">
        <f t="shared" si="286"/>
        <v>3.0776480537800452E-3</v>
      </c>
      <c r="CH163" s="1397">
        <f t="shared" si="286"/>
        <v>-6.6899467836945828E-4</v>
      </c>
      <c r="CI163" s="1395">
        <f t="shared" si="286"/>
        <v>-1.7241660300283633E-3</v>
      </c>
      <c r="CJ163" s="1395">
        <f t="shared" si="286"/>
        <v>0</v>
      </c>
      <c r="CK163" s="1395">
        <f t="shared" si="286"/>
        <v>0</v>
      </c>
      <c r="CL163" s="1395">
        <f t="shared" si="286"/>
        <v>0</v>
      </c>
      <c r="CM163" s="1397">
        <f t="shared" si="286"/>
        <v>0</v>
      </c>
      <c r="CN163" s="1395">
        <f t="shared" si="286"/>
        <v>0</v>
      </c>
      <c r="CO163" s="1395">
        <f t="shared" si="286"/>
        <v>0</v>
      </c>
      <c r="CP163" s="1395">
        <f t="shared" si="286"/>
        <v>0</v>
      </c>
      <c r="CQ163" s="1395">
        <f t="shared" si="286"/>
        <v>0</v>
      </c>
      <c r="CR163" s="1398">
        <f t="shared" si="286"/>
        <v>0</v>
      </c>
      <c r="CS163" s="1378"/>
      <c r="CT163" s="1392" t="str">
        <f t="shared" si="188"/>
        <v>Qty</v>
      </c>
      <c r="CU163" s="1393" t="str">
        <f t="shared" si="189"/>
        <v>Water</v>
      </c>
      <c r="CV163" s="1393" t="str">
        <f t="shared" si="190"/>
        <v>Variable</v>
      </c>
      <c r="CW163" s="1401">
        <f t="shared" si="213"/>
        <v>-0.19377422517014498</v>
      </c>
      <c r="CX163" s="1395">
        <f t="shared" si="214"/>
        <v>-0.13376089465909724</v>
      </c>
      <c r="CY163" s="1395">
        <f t="shared" si="215"/>
        <v>-0.10209923998815162</v>
      </c>
      <c r="CZ163" s="1398">
        <f t="shared" si="216"/>
        <v>-8.2549437389501934E-2</v>
      </c>
      <c r="DA163" s="1395">
        <f t="shared" si="217"/>
        <v>-6.9280329346745329E-2</v>
      </c>
      <c r="DB163" s="1395">
        <f t="shared" si="218"/>
        <v>-5.9685059346967773E-2</v>
      </c>
      <c r="DC163" s="1395">
        <f t="shared" si="219"/>
        <v>-5.2423744487100188E-2</v>
      </c>
      <c r="DD163" s="1395">
        <f t="shared" si="220"/>
        <v>-4.6737310451963721E-2</v>
      </c>
      <c r="DE163" s="1398">
        <f t="shared" si="221"/>
        <v>-4.216360342149339E-2</v>
      </c>
      <c r="DF163" s="1378"/>
      <c r="DG163" s="1392" t="str">
        <f t="shared" si="222"/>
        <v>Qty</v>
      </c>
      <c r="DH163" s="1393" t="str">
        <f t="shared" si="222"/>
        <v>Water</v>
      </c>
      <c r="DI163" s="1393" t="str">
        <f t="shared" si="222"/>
        <v>Variable</v>
      </c>
      <c r="DJ163" s="1393"/>
      <c r="DK163" s="1401">
        <f t="shared" si="223"/>
        <v>0</v>
      </c>
      <c r="DL163" s="1395">
        <f t="shared" si="224"/>
        <v>0</v>
      </c>
      <c r="DM163" s="1395">
        <f t="shared" si="225"/>
        <v>0</v>
      </c>
      <c r="DN163" s="1397">
        <f t="shared" si="226"/>
        <v>0</v>
      </c>
      <c r="DO163" s="1395">
        <f t="shared" si="227"/>
        <v>0</v>
      </c>
      <c r="DP163" s="1395">
        <f t="shared" si="228"/>
        <v>0</v>
      </c>
      <c r="DQ163" s="1395">
        <f t="shared" si="229"/>
        <v>0</v>
      </c>
      <c r="DR163" s="1398">
        <f t="shared" si="230"/>
        <v>0</v>
      </c>
    </row>
    <row r="164" spans="4:122" ht="12.75" thickBot="1">
      <c r="E164" s="743" t="s">
        <v>46</v>
      </c>
      <c r="F164" s="732" t="str">
        <f>+F162</f>
        <v>Water</v>
      </c>
      <c r="G164" s="733" t="str">
        <f>+G162</f>
        <v>Standpipe charges</v>
      </c>
      <c r="H164" s="733">
        <f>+H162</f>
        <v>0</v>
      </c>
      <c r="I164" s="734" t="str">
        <f>+I162</f>
        <v>Variable</v>
      </c>
      <c r="J164" s="735" t="s">
        <v>344</v>
      </c>
      <c r="K164" s="736">
        <f t="shared" ref="K164:AG164" si="287">K162*K163/10^6</f>
        <v>0</v>
      </c>
      <c r="L164" s="737">
        <f t="shared" si="287"/>
        <v>0</v>
      </c>
      <c r="M164" s="737">
        <f t="shared" si="287"/>
        <v>0</v>
      </c>
      <c r="N164" s="738">
        <f t="shared" si="287"/>
        <v>0</v>
      </c>
      <c r="O164" s="1923">
        <f t="shared" si="287"/>
        <v>0.12331941176470587</v>
      </c>
      <c r="P164" s="737">
        <f t="shared" si="287"/>
        <v>0.1703807024866785</v>
      </c>
      <c r="Q164" s="737">
        <f t="shared" si="287"/>
        <v>0.33498684662576683</v>
      </c>
      <c r="R164" s="737">
        <f t="shared" si="287"/>
        <v>0.22454561578044596</v>
      </c>
      <c r="S164" s="737">
        <f t="shared" si="287"/>
        <v>0.10347476590330788</v>
      </c>
      <c r="T164" s="737">
        <f t="shared" si="287"/>
        <v>0.1748620508474576</v>
      </c>
      <c r="U164" s="737">
        <f t="shared" si="287"/>
        <v>0.21103938914027148</v>
      </c>
      <c r="V164" s="737">
        <f t="shared" si="287"/>
        <v>0.45236586026200876</v>
      </c>
      <c r="W164" s="737">
        <f t="shared" si="287"/>
        <v>0.39740999999999999</v>
      </c>
      <c r="X164" s="738">
        <f t="shared" si="287"/>
        <v>0.2583165</v>
      </c>
      <c r="Y164" s="737">
        <f t="shared" si="287"/>
        <v>0.2583165</v>
      </c>
      <c r="Z164" s="737">
        <f t="shared" si="287"/>
        <v>0.2583165</v>
      </c>
      <c r="AA164" s="737">
        <f t="shared" si="287"/>
        <v>0.2583165</v>
      </c>
      <c r="AB164" s="737">
        <f t="shared" si="287"/>
        <v>0.2583165</v>
      </c>
      <c r="AC164" s="738">
        <f t="shared" si="287"/>
        <v>0.2583165</v>
      </c>
      <c r="AD164" s="737">
        <f t="shared" si="287"/>
        <v>0.2583165</v>
      </c>
      <c r="AE164" s="737">
        <f t="shared" si="287"/>
        <v>0.2583165</v>
      </c>
      <c r="AF164" s="737">
        <f t="shared" si="287"/>
        <v>0.2583165</v>
      </c>
      <c r="AG164" s="739">
        <f t="shared" si="287"/>
        <v>0.2583165</v>
      </c>
      <c r="AH164" s="697"/>
      <c r="AI164" s="707"/>
      <c r="AJ164" s="709">
        <f t="shared" si="234"/>
        <v>0.2583165</v>
      </c>
      <c r="AK164" s="710">
        <f t="shared" si="235"/>
        <v>0.2583165</v>
      </c>
      <c r="AL164" s="710">
        <f t="shared" si="236"/>
        <v>0.2583165</v>
      </c>
      <c r="AM164" s="710">
        <f t="shared" si="237"/>
        <v>0.2583165</v>
      </c>
      <c r="AN164" s="710">
        <f t="shared" si="238"/>
        <v>0.2583165</v>
      </c>
      <c r="AO164" s="711">
        <f t="shared" si="239"/>
        <v>0.2583165</v>
      </c>
      <c r="AP164" s="707">
        <f t="shared" si="240"/>
        <v>0.2583165</v>
      </c>
      <c r="AQ164" s="707">
        <f t="shared" si="241"/>
        <v>0.2583165</v>
      </c>
      <c r="AR164" s="707">
        <f t="shared" si="242"/>
        <v>0.2583165</v>
      </c>
      <c r="AS164" s="712">
        <f t="shared" si="243"/>
        <v>0.2583165</v>
      </c>
      <c r="AV164" s="1559"/>
      <c r="AW164" s="1428" t="str">
        <f t="shared" si="191"/>
        <v>Rev</v>
      </c>
      <c r="AX164" s="1429" t="str">
        <f t="shared" si="191"/>
        <v>Water</v>
      </c>
      <c r="AY164" s="1430" t="str">
        <f t="shared" si="192"/>
        <v>Variable</v>
      </c>
      <c r="AZ164" s="1431">
        <f t="shared" si="284"/>
        <v>0.38162110934948212</v>
      </c>
      <c r="BA164" s="1431">
        <f t="shared" si="284"/>
        <v>0.96610790856410711</v>
      </c>
      <c r="BB164" s="1431">
        <f t="shared" si="284"/>
        <v>-0.32968826077132862</v>
      </c>
      <c r="BC164" s="1431">
        <f t="shared" si="194"/>
        <v>-0.53918153537015645</v>
      </c>
      <c r="BD164" s="1431">
        <f t="shared" si="195"/>
        <v>0.68990042471666624</v>
      </c>
      <c r="BE164" s="1431">
        <f t="shared" si="196"/>
        <v>0.20689073539674707</v>
      </c>
      <c r="BF164" s="1431">
        <f t="shared" si="197"/>
        <v>1.1435138819575283</v>
      </c>
      <c r="BG164" s="1432">
        <f t="shared" si="198"/>
        <v>-0.12148542825530317</v>
      </c>
      <c r="BH164" s="1431">
        <f t="shared" si="199"/>
        <v>-0.35</v>
      </c>
      <c r="BI164" s="1431">
        <f t="shared" si="200"/>
        <v>0</v>
      </c>
      <c r="BJ164" s="1431">
        <f t="shared" si="201"/>
        <v>0</v>
      </c>
      <c r="BK164" s="1431">
        <f t="shared" si="202"/>
        <v>0</v>
      </c>
      <c r="BL164" s="1433">
        <f t="shared" si="203"/>
        <v>0</v>
      </c>
      <c r="BM164" s="1431">
        <f t="shared" si="204"/>
        <v>0</v>
      </c>
      <c r="BN164" s="1431">
        <f t="shared" si="205"/>
        <v>0</v>
      </c>
      <c r="BO164" s="1431">
        <f t="shared" si="206"/>
        <v>0</v>
      </c>
      <c r="BP164" s="1431">
        <f t="shared" si="207"/>
        <v>0</v>
      </c>
      <c r="BQ164" s="1434">
        <f t="shared" si="208"/>
        <v>0</v>
      </c>
      <c r="BR164" s="1378"/>
      <c r="BS164" s="1407"/>
      <c r="BT164" s="1408"/>
      <c r="BU164" s="1409"/>
      <c r="BV164" s="1410"/>
      <c r="BW164" s="1378"/>
      <c r="BX164" s="1428" t="str">
        <f t="shared" si="209"/>
        <v>Rev</v>
      </c>
      <c r="BY164" s="1429" t="str">
        <f t="shared" si="210"/>
        <v>Water</v>
      </c>
      <c r="BZ164" s="1430" t="str">
        <f t="shared" si="211"/>
        <v>Variable</v>
      </c>
      <c r="CA164" s="1435">
        <f t="shared" ref="CA164:CR164" si="288">IFERROR((P164/O164-1)*(O164/O$13),"-")</f>
        <v>6.2413193270245422E-4</v>
      </c>
      <c r="CB164" s="1431">
        <f t="shared" si="288"/>
        <v>2.1278192386649975E-3</v>
      </c>
      <c r="CC164" s="1431">
        <f t="shared" si="288"/>
        <v>-1.4534081548257432E-3</v>
      </c>
      <c r="CD164" s="1431">
        <f t="shared" si="288"/>
        <v>-1.6228461474998047E-3</v>
      </c>
      <c r="CE164" s="1431">
        <f t="shared" si="288"/>
        <v>9.9038379448051139E-4</v>
      </c>
      <c r="CF164" s="1431">
        <f t="shared" si="288"/>
        <v>4.8470488525527558E-4</v>
      </c>
      <c r="CG164" s="1431">
        <f t="shared" si="288"/>
        <v>3.0775290020930235E-3</v>
      </c>
      <c r="CH164" s="1433">
        <f t="shared" si="288"/>
        <v>-6.6900610765412377E-4</v>
      </c>
      <c r="CI164" s="1431">
        <f t="shared" si="288"/>
        <v>-1.7241660300283633E-3</v>
      </c>
      <c r="CJ164" s="1431">
        <f t="shared" si="288"/>
        <v>0</v>
      </c>
      <c r="CK164" s="1431">
        <f t="shared" si="288"/>
        <v>0</v>
      </c>
      <c r="CL164" s="1431">
        <f t="shared" si="288"/>
        <v>0</v>
      </c>
      <c r="CM164" s="1433">
        <f t="shared" si="288"/>
        <v>0</v>
      </c>
      <c r="CN164" s="1431">
        <f t="shared" si="288"/>
        <v>0</v>
      </c>
      <c r="CO164" s="1431">
        <f t="shared" si="288"/>
        <v>0</v>
      </c>
      <c r="CP164" s="1431">
        <f t="shared" si="288"/>
        <v>0</v>
      </c>
      <c r="CQ164" s="1431">
        <f t="shared" si="288"/>
        <v>0</v>
      </c>
      <c r="CR164" s="1434">
        <f t="shared" si="288"/>
        <v>0</v>
      </c>
      <c r="CS164" s="1378"/>
      <c r="CT164" s="1428" t="str">
        <f t="shared" si="188"/>
        <v>Rev</v>
      </c>
      <c r="CU164" s="1429" t="str">
        <f t="shared" si="189"/>
        <v>Water</v>
      </c>
      <c r="CV164" s="1429" t="str">
        <f t="shared" si="190"/>
        <v>Variable</v>
      </c>
      <c r="CW164" s="1435">
        <f t="shared" si="213"/>
        <v>-0.19377422517014498</v>
      </c>
      <c r="CX164" s="1431">
        <f t="shared" si="214"/>
        <v>-0.13376089465909724</v>
      </c>
      <c r="CY164" s="1431">
        <f t="shared" si="215"/>
        <v>-0.10209923998815162</v>
      </c>
      <c r="CZ164" s="1434">
        <f t="shared" si="216"/>
        <v>-8.2549437389501934E-2</v>
      </c>
      <c r="DA164" s="1431">
        <f t="shared" si="217"/>
        <v>-6.9280329346745329E-2</v>
      </c>
      <c r="DB164" s="1431">
        <f t="shared" si="218"/>
        <v>-5.9685059346967773E-2</v>
      </c>
      <c r="DC164" s="1431">
        <f t="shared" si="219"/>
        <v>-5.2423744487100188E-2</v>
      </c>
      <c r="DD164" s="1431">
        <f t="shared" si="220"/>
        <v>-4.6737310451963721E-2</v>
      </c>
      <c r="DE164" s="1434">
        <f t="shared" si="221"/>
        <v>-4.216360342149339E-2</v>
      </c>
      <c r="DF164" s="1378"/>
      <c r="DG164" s="1428" t="str">
        <f t="shared" si="222"/>
        <v>Rev</v>
      </c>
      <c r="DH164" s="1429" t="str">
        <f t="shared" si="222"/>
        <v>Water</v>
      </c>
      <c r="DI164" s="1429" t="str">
        <f t="shared" si="222"/>
        <v>Variable</v>
      </c>
      <c r="DJ164" s="1429"/>
      <c r="DK164" s="1435">
        <f t="shared" si="223"/>
        <v>0</v>
      </c>
      <c r="DL164" s="1431">
        <f t="shared" si="224"/>
        <v>0</v>
      </c>
      <c r="DM164" s="1431">
        <f t="shared" si="225"/>
        <v>0</v>
      </c>
      <c r="DN164" s="1433">
        <f t="shared" si="226"/>
        <v>0</v>
      </c>
      <c r="DO164" s="1431">
        <f t="shared" si="227"/>
        <v>0</v>
      </c>
      <c r="DP164" s="1431">
        <f t="shared" si="228"/>
        <v>0</v>
      </c>
      <c r="DQ164" s="1431">
        <f t="shared" si="229"/>
        <v>0</v>
      </c>
      <c r="DR164" s="1434">
        <f t="shared" si="230"/>
        <v>0</v>
      </c>
    </row>
    <row r="165" spans="4:122">
      <c r="D165" s="70">
        <f>D162+1</f>
        <v>34</v>
      </c>
      <c r="E165" s="713" t="s">
        <v>44</v>
      </c>
      <c r="F165" s="1532" t="s">
        <v>20</v>
      </c>
      <c r="G165" s="1532" t="s">
        <v>896</v>
      </c>
      <c r="H165" s="1532"/>
      <c r="I165" s="781" t="s">
        <v>319</v>
      </c>
      <c r="J165" s="781" t="s">
        <v>345</v>
      </c>
      <c r="K165" s="1533"/>
      <c r="L165" s="1534"/>
      <c r="M165" s="1534"/>
      <c r="N165" s="1535"/>
      <c r="O165" s="2071">
        <v>118.86285067873301</v>
      </c>
      <c r="P165" s="1547">
        <v>118.85776198934281</v>
      </c>
      <c r="Q165" s="1547">
        <v>118.84895705521471</v>
      </c>
      <c r="R165" s="1547">
        <v>118.84685248713549</v>
      </c>
      <c r="S165" s="1547">
        <v>118.83720101781169</v>
      </c>
      <c r="T165" s="1547">
        <v>118.82847457627118</v>
      </c>
      <c r="U165" s="1547">
        <v>118.820407239819</v>
      </c>
      <c r="V165" s="1547">
        <v>118.81674672489082</v>
      </c>
      <c r="W165" s="1547">
        <v>118.81</v>
      </c>
      <c r="X165" s="1550">
        <v>118.81</v>
      </c>
      <c r="Y165" s="1551">
        <v>118.81</v>
      </c>
      <c r="Z165" s="1551">
        <v>118.81</v>
      </c>
      <c r="AA165" s="1551">
        <v>118.81</v>
      </c>
      <c r="AB165" s="1551">
        <v>118.81</v>
      </c>
      <c r="AC165" s="1550">
        <v>118.81</v>
      </c>
      <c r="AD165" s="1551">
        <v>118.81</v>
      </c>
      <c r="AE165" s="1551">
        <v>118.81</v>
      </c>
      <c r="AF165" s="1551">
        <v>118.81</v>
      </c>
      <c r="AG165" s="1552">
        <v>118.81</v>
      </c>
      <c r="AH165" s="697"/>
      <c r="AI165" s="707"/>
      <c r="AJ165" s="709">
        <f t="shared" si="234"/>
        <v>118.81</v>
      </c>
      <c r="AK165" s="710">
        <f t="shared" si="235"/>
        <v>118.81</v>
      </c>
      <c r="AL165" s="710">
        <f t="shared" si="236"/>
        <v>118.81</v>
      </c>
      <c r="AM165" s="710">
        <f t="shared" si="237"/>
        <v>118.81</v>
      </c>
      <c r="AN165" s="710">
        <f t="shared" si="238"/>
        <v>118.81</v>
      </c>
      <c r="AO165" s="711">
        <f t="shared" si="239"/>
        <v>118.81</v>
      </c>
      <c r="AP165" s="707">
        <f t="shared" si="240"/>
        <v>118.81</v>
      </c>
      <c r="AQ165" s="707">
        <f t="shared" si="241"/>
        <v>118.81</v>
      </c>
      <c r="AR165" s="707">
        <f t="shared" si="242"/>
        <v>118.81</v>
      </c>
      <c r="AS165" s="712">
        <f t="shared" si="243"/>
        <v>118.81</v>
      </c>
      <c r="AU165" s="1369"/>
      <c r="AV165" s="1559"/>
      <c r="AW165" s="1412" t="str">
        <f t="shared" si="191"/>
        <v>Price</v>
      </c>
      <c r="AX165" s="1413" t="str">
        <f t="shared" si="191"/>
        <v>Water</v>
      </c>
      <c r="AY165" s="1414" t="str">
        <f t="shared" si="192"/>
        <v>Fixed</v>
      </c>
      <c r="AZ165" s="1415">
        <f t="shared" si="284"/>
        <v>-4.2811436551826176E-5</v>
      </c>
      <c r="BA165" s="1415">
        <f t="shared" si="284"/>
        <v>-7.4079588751496672E-5</v>
      </c>
      <c r="BB165" s="1415">
        <f t="shared" si="284"/>
        <v>-1.7707922150611566E-5</v>
      </c>
      <c r="BC165" s="1415">
        <f t="shared" si="194"/>
        <v>-8.1209296854067858E-5</v>
      </c>
      <c r="BD165" s="1415">
        <f t="shared" si="195"/>
        <v>-7.3431900665554828E-5</v>
      </c>
      <c r="BE165" s="1415">
        <f t="shared" si="196"/>
        <v>-6.7890600135567247E-5</v>
      </c>
      <c r="BF165" s="1415">
        <f t="shared" si="197"/>
        <v>-3.080712323089152E-5</v>
      </c>
      <c r="BG165" s="1416">
        <f t="shared" si="198"/>
        <v>-5.6782609158978481E-5</v>
      </c>
      <c r="BH165" s="1417">
        <f t="shared" si="199"/>
        <v>0</v>
      </c>
      <c r="BI165" s="1417">
        <f t="shared" si="200"/>
        <v>0</v>
      </c>
      <c r="BJ165" s="1417">
        <f t="shared" si="201"/>
        <v>0</v>
      </c>
      <c r="BK165" s="1417">
        <f t="shared" si="202"/>
        <v>0</v>
      </c>
      <c r="BL165" s="1418">
        <f t="shared" si="203"/>
        <v>0</v>
      </c>
      <c r="BM165" s="1417">
        <f t="shared" si="204"/>
        <v>0</v>
      </c>
      <c r="BN165" s="1417">
        <f t="shared" si="205"/>
        <v>0</v>
      </c>
      <c r="BO165" s="1417">
        <f t="shared" si="206"/>
        <v>0</v>
      </c>
      <c r="BP165" s="1417">
        <f t="shared" si="207"/>
        <v>0</v>
      </c>
      <c r="BQ165" s="1419">
        <f t="shared" si="208"/>
        <v>0</v>
      </c>
      <c r="BR165" s="1378"/>
      <c r="BS165" s="1420"/>
      <c r="BT165" s="1421"/>
      <c r="BU165" s="1422"/>
      <c r="BV165" s="1423"/>
      <c r="BW165" s="1378"/>
      <c r="BX165" s="1412" t="str">
        <f t="shared" si="209"/>
        <v>Price</v>
      </c>
      <c r="BY165" s="1413" t="str">
        <f t="shared" si="210"/>
        <v>Water</v>
      </c>
      <c r="BZ165" s="1414" t="str">
        <f t="shared" si="211"/>
        <v>Fixed</v>
      </c>
      <c r="CA165" s="1424">
        <f t="shared" ref="CA165:CR165" si="289">IFERROR((P165/O165-1)*(O167/O$13),"-")</f>
        <v>-6.4247385643930527E-8</v>
      </c>
      <c r="CB165" s="1415">
        <f t="shared" si="289"/>
        <v>-1.114288099996187E-7</v>
      </c>
      <c r="CC165" s="1415">
        <f t="shared" si="289"/>
        <v>-2.7751537881963875E-8</v>
      </c>
      <c r="CD165" s="1415">
        <f t="shared" si="289"/>
        <v>-1.2923992006258505E-7</v>
      </c>
      <c r="CE165" s="1415">
        <f t="shared" si="289"/>
        <v>-1.2215493317324483E-7</v>
      </c>
      <c r="CF165" s="1415">
        <f t="shared" si="289"/>
        <v>-1.1003193076720921E-7</v>
      </c>
      <c r="CG165" s="1415">
        <f t="shared" si="289"/>
        <v>-4.8594834104109692E-8</v>
      </c>
      <c r="CH165" s="1425">
        <f t="shared" si="289"/>
        <v>-8.7059253468660302E-8</v>
      </c>
      <c r="CI165" s="1417">
        <f t="shared" si="289"/>
        <v>0</v>
      </c>
      <c r="CJ165" s="1417">
        <f t="shared" si="289"/>
        <v>0</v>
      </c>
      <c r="CK165" s="1417">
        <f t="shared" si="289"/>
        <v>0</v>
      </c>
      <c r="CL165" s="1417">
        <f t="shared" si="289"/>
        <v>0</v>
      </c>
      <c r="CM165" s="1418">
        <f t="shared" si="289"/>
        <v>0</v>
      </c>
      <c r="CN165" s="1417">
        <f t="shared" si="289"/>
        <v>0</v>
      </c>
      <c r="CO165" s="1417">
        <f t="shared" si="289"/>
        <v>0</v>
      </c>
      <c r="CP165" s="1417">
        <f t="shared" si="289"/>
        <v>0</v>
      </c>
      <c r="CQ165" s="1417">
        <f t="shared" si="289"/>
        <v>0</v>
      </c>
      <c r="CR165" s="1419">
        <f t="shared" si="289"/>
        <v>0</v>
      </c>
      <c r="CS165" s="1378"/>
      <c r="CT165" s="1412" t="str">
        <f t="shared" si="188"/>
        <v>Price</v>
      </c>
      <c r="CU165" s="1413" t="str">
        <f t="shared" si="189"/>
        <v>Water</v>
      </c>
      <c r="CV165" s="1426" t="str">
        <f t="shared" si="190"/>
        <v>Fixed</v>
      </c>
      <c r="CW165" s="1427">
        <f t="shared" si="213"/>
        <v>0</v>
      </c>
      <c r="CX165" s="1417">
        <f t="shared" si="214"/>
        <v>0</v>
      </c>
      <c r="CY165" s="1417">
        <f t="shared" si="215"/>
        <v>0</v>
      </c>
      <c r="CZ165" s="1419">
        <f t="shared" si="216"/>
        <v>0</v>
      </c>
      <c r="DA165" s="1417">
        <f t="shared" si="217"/>
        <v>0</v>
      </c>
      <c r="DB165" s="1417">
        <f t="shared" si="218"/>
        <v>0</v>
      </c>
      <c r="DC165" s="1417">
        <f t="shared" si="219"/>
        <v>0</v>
      </c>
      <c r="DD165" s="1417">
        <f t="shared" si="220"/>
        <v>0</v>
      </c>
      <c r="DE165" s="1419">
        <f t="shared" si="221"/>
        <v>0</v>
      </c>
      <c r="DF165" s="1378"/>
      <c r="DG165" s="1412" t="str">
        <f t="shared" si="222"/>
        <v>Price</v>
      </c>
      <c r="DH165" s="1413" t="str">
        <f t="shared" si="222"/>
        <v>Water</v>
      </c>
      <c r="DI165" s="1426" t="str">
        <f t="shared" si="222"/>
        <v>Fixed</v>
      </c>
      <c r="DJ165" s="1426"/>
      <c r="DK165" s="1427">
        <f t="shared" si="223"/>
        <v>0</v>
      </c>
      <c r="DL165" s="1417">
        <f t="shared" si="224"/>
        <v>0</v>
      </c>
      <c r="DM165" s="1417">
        <f t="shared" si="225"/>
        <v>0</v>
      </c>
      <c r="DN165" s="1418">
        <f t="shared" si="226"/>
        <v>0</v>
      </c>
      <c r="DO165" s="1417">
        <f t="shared" si="227"/>
        <v>0</v>
      </c>
      <c r="DP165" s="1417">
        <f t="shared" si="228"/>
        <v>0</v>
      </c>
      <c r="DQ165" s="1417">
        <f t="shared" si="229"/>
        <v>0</v>
      </c>
      <c r="DR165" s="1419">
        <f t="shared" si="230"/>
        <v>0</v>
      </c>
    </row>
    <row r="166" spans="4:122">
      <c r="E166" s="742" t="s">
        <v>45</v>
      </c>
      <c r="F166" s="722" t="str">
        <f>+F165</f>
        <v>Water</v>
      </c>
      <c r="G166" s="723" t="str">
        <f>+G165</f>
        <v>Fire Service charges</v>
      </c>
      <c r="H166" s="723">
        <f>+H165</f>
        <v>0</v>
      </c>
      <c r="I166" s="724" t="str">
        <f>+I165</f>
        <v>Fixed</v>
      </c>
      <c r="J166" s="782" t="s">
        <v>323</v>
      </c>
      <c r="K166" s="1540"/>
      <c r="L166" s="1541"/>
      <c r="M166" s="1541"/>
      <c r="N166" s="1542"/>
      <c r="O166" s="2031">
        <v>952</v>
      </c>
      <c r="P166" s="1543">
        <v>979</v>
      </c>
      <c r="Q166" s="1543">
        <v>1002</v>
      </c>
      <c r="R166" s="1543">
        <v>999</v>
      </c>
      <c r="S166" s="1543">
        <v>1009</v>
      </c>
      <c r="T166" s="1543">
        <v>1018</v>
      </c>
      <c r="U166" s="1543">
        <v>1041</v>
      </c>
      <c r="V166" s="1543">
        <v>1060</v>
      </c>
      <c r="W166" s="1543">
        <v>1080</v>
      </c>
      <c r="X166" s="1544">
        <v>1101.5999999999999</v>
      </c>
      <c r="Y166" s="1543">
        <v>1123.6319999999998</v>
      </c>
      <c r="Z166" s="1543">
        <v>1146.1046399999998</v>
      </c>
      <c r="AA166" s="1543">
        <v>1169.0267327999998</v>
      </c>
      <c r="AB166" s="1543">
        <v>1192.4072674559998</v>
      </c>
      <c r="AC166" s="1544">
        <v>1216.2554128051197</v>
      </c>
      <c r="AD166" s="1543">
        <v>1240.580521061222</v>
      </c>
      <c r="AE166" s="1543">
        <v>1265.3921314824465</v>
      </c>
      <c r="AF166" s="1543">
        <v>1290.6999741120956</v>
      </c>
      <c r="AG166" s="1553">
        <v>1316.5139735943376</v>
      </c>
      <c r="AH166" s="697"/>
      <c r="AI166" s="707"/>
      <c r="AJ166" s="709">
        <f t="shared" si="234"/>
        <v>1101.5999999999999</v>
      </c>
      <c r="AK166" s="710">
        <f t="shared" si="235"/>
        <v>1123.6319999999998</v>
      </c>
      <c r="AL166" s="710">
        <f t="shared" si="236"/>
        <v>1146.1046399999998</v>
      </c>
      <c r="AM166" s="710">
        <f t="shared" si="237"/>
        <v>1169.0267327999998</v>
      </c>
      <c r="AN166" s="710">
        <f t="shared" si="238"/>
        <v>1192.4072674559998</v>
      </c>
      <c r="AO166" s="711">
        <f t="shared" si="239"/>
        <v>1216.2554128051197</v>
      </c>
      <c r="AP166" s="707">
        <f t="shared" si="240"/>
        <v>1240.580521061222</v>
      </c>
      <c r="AQ166" s="707">
        <f t="shared" si="241"/>
        <v>1265.3921314824465</v>
      </c>
      <c r="AR166" s="707">
        <f t="shared" si="242"/>
        <v>1290.6999741120956</v>
      </c>
      <c r="AS166" s="712">
        <f t="shared" si="243"/>
        <v>1316.5139735943376</v>
      </c>
      <c r="AV166" s="1559"/>
      <c r="AW166" s="1392" t="str">
        <f t="shared" si="191"/>
        <v>Qty</v>
      </c>
      <c r="AX166" s="1393" t="str">
        <f t="shared" si="191"/>
        <v>Water</v>
      </c>
      <c r="AY166" s="1394" t="str">
        <f t="shared" si="192"/>
        <v>Fixed</v>
      </c>
      <c r="AZ166" s="1395">
        <f t="shared" si="284"/>
        <v>2.8361344537815025E-2</v>
      </c>
      <c r="BA166" s="1395">
        <f t="shared" si="284"/>
        <v>2.3493360572012234E-2</v>
      </c>
      <c r="BB166" s="1395">
        <f t="shared" si="284"/>
        <v>-2.9940119760478723E-3</v>
      </c>
      <c r="BC166" s="1395">
        <f t="shared" si="194"/>
        <v>1.0010010010010006E-2</v>
      </c>
      <c r="BD166" s="1395">
        <f t="shared" si="195"/>
        <v>8.9197224975223754E-3</v>
      </c>
      <c r="BE166" s="1395">
        <f t="shared" si="196"/>
        <v>2.2593320235756442E-2</v>
      </c>
      <c r="BF166" s="1395">
        <f t="shared" si="197"/>
        <v>1.8251681075888593E-2</v>
      </c>
      <c r="BG166" s="1396">
        <f t="shared" si="198"/>
        <v>1.8867924528301883E-2</v>
      </c>
      <c r="BH166" s="1395">
        <f t="shared" si="199"/>
        <v>2.0000000000000018E-2</v>
      </c>
      <c r="BI166" s="1395">
        <f t="shared" si="200"/>
        <v>2.0000000000000018E-2</v>
      </c>
      <c r="BJ166" s="1395">
        <f t="shared" si="201"/>
        <v>2.0000000000000018E-2</v>
      </c>
      <c r="BK166" s="1395">
        <f t="shared" si="202"/>
        <v>2.0000000000000018E-2</v>
      </c>
      <c r="BL166" s="1397">
        <f t="shared" si="203"/>
        <v>2.0000000000000018E-2</v>
      </c>
      <c r="BM166" s="1395">
        <f t="shared" si="204"/>
        <v>2.0000000000000018E-2</v>
      </c>
      <c r="BN166" s="1395">
        <f t="shared" si="205"/>
        <v>2.0000000000000018E-2</v>
      </c>
      <c r="BO166" s="1395">
        <f t="shared" si="206"/>
        <v>2.0000000000000018E-2</v>
      </c>
      <c r="BP166" s="1395">
        <f t="shared" si="207"/>
        <v>2.0000000000000018E-2</v>
      </c>
      <c r="BQ166" s="1398">
        <f t="shared" si="208"/>
        <v>2.0000000000000018E-2</v>
      </c>
      <c r="BR166" s="1378"/>
      <c r="BS166" s="1329"/>
      <c r="BT166" s="1399"/>
      <c r="BU166" s="1331"/>
      <c r="BV166" s="1400"/>
      <c r="BW166" s="1378"/>
      <c r="BX166" s="1392" t="str">
        <f t="shared" si="209"/>
        <v>Qty</v>
      </c>
      <c r="BY166" s="1393" t="str">
        <f t="shared" si="210"/>
        <v>Water</v>
      </c>
      <c r="BZ166" s="1394" t="str">
        <f t="shared" si="211"/>
        <v>Fixed</v>
      </c>
      <c r="CA166" s="1401">
        <f t="shared" ref="CA166:CR166" si="290">IFERROR((P166/O166-1)*(O167/O$13),"-")</f>
        <v>4.2562043852360725E-5</v>
      </c>
      <c r="CB166" s="1395">
        <f t="shared" si="290"/>
        <v>3.5338171492999746E-5</v>
      </c>
      <c r="CC166" s="1395">
        <f t="shared" si="290"/>
        <v>-4.6921618508175156E-6</v>
      </c>
      <c r="CD166" s="1395">
        <f t="shared" si="290"/>
        <v>1.5930354573123817E-5</v>
      </c>
      <c r="CE166" s="1395">
        <f t="shared" si="290"/>
        <v>1.483807576452715E-5</v>
      </c>
      <c r="CF166" s="1395">
        <f t="shared" si="290"/>
        <v>3.6617538260348279E-5</v>
      </c>
      <c r="CG166" s="1395">
        <f t="shared" si="290"/>
        <v>2.8790010912624175E-5</v>
      </c>
      <c r="CH166" s="1397">
        <f t="shared" si="290"/>
        <v>2.8928354090563201E-5</v>
      </c>
      <c r="CI166" s="1395">
        <f t="shared" si="290"/>
        <v>3.1811122634757727E-5</v>
      </c>
      <c r="CJ166" s="1395">
        <f t="shared" si="290"/>
        <v>3.0162903026417772E-5</v>
      </c>
      <c r="CK166" s="1395">
        <f t="shared" si="290"/>
        <v>2.891936571762631E-5</v>
      </c>
      <c r="CL166" s="1395">
        <f t="shared" si="290"/>
        <v>2.7725912129408292E-5</v>
      </c>
      <c r="CM166" s="1397">
        <f t="shared" si="290"/>
        <v>2.6575816588018262E-5</v>
      </c>
      <c r="CN166" s="1395">
        <f t="shared" si="290"/>
        <v>2.5477137929030854E-5</v>
      </c>
      <c r="CO166" s="1395">
        <f t="shared" si="290"/>
        <v>2.5286940788789067E-5</v>
      </c>
      <c r="CP166" s="1395">
        <f t="shared" si="290"/>
        <v>2.5091715505921849E-5</v>
      </c>
      <c r="CQ166" s="1395">
        <f t="shared" si="290"/>
        <v>2.4900866068212859E-5</v>
      </c>
      <c r="CR166" s="1398">
        <f t="shared" si="290"/>
        <v>2.4699374512549972E-5</v>
      </c>
      <c r="CS166" s="1378"/>
      <c r="CT166" s="1392" t="str">
        <f t="shared" si="188"/>
        <v>Qty</v>
      </c>
      <c r="CU166" s="1393" t="str">
        <f t="shared" si="189"/>
        <v>Water</v>
      </c>
      <c r="CV166" s="1393" t="str">
        <f t="shared" si="190"/>
        <v>Fixed</v>
      </c>
      <c r="CW166" s="1401">
        <f t="shared" si="213"/>
        <v>1.9999999999999796E-2</v>
      </c>
      <c r="CX166" s="1395">
        <f t="shared" si="214"/>
        <v>1.9999999999999796E-2</v>
      </c>
      <c r="CY166" s="1395">
        <f t="shared" si="215"/>
        <v>2.0000000000000018E-2</v>
      </c>
      <c r="CZ166" s="1398">
        <f t="shared" si="216"/>
        <v>2.0000000000000018E-2</v>
      </c>
      <c r="DA166" s="1395">
        <f t="shared" si="217"/>
        <v>2.0000000000000018E-2</v>
      </c>
      <c r="DB166" s="1395">
        <f t="shared" si="218"/>
        <v>2.0000000000000018E-2</v>
      </c>
      <c r="DC166" s="1395">
        <f t="shared" si="219"/>
        <v>2.0000000000000018E-2</v>
      </c>
      <c r="DD166" s="1395">
        <f t="shared" si="220"/>
        <v>2.0000000000000018E-2</v>
      </c>
      <c r="DE166" s="1398">
        <f t="shared" si="221"/>
        <v>2.0000000000000018E-2</v>
      </c>
      <c r="DF166" s="1378"/>
      <c r="DG166" s="1392" t="str">
        <f t="shared" si="222"/>
        <v>Qty</v>
      </c>
      <c r="DH166" s="1393" t="str">
        <f t="shared" si="222"/>
        <v>Water</v>
      </c>
      <c r="DI166" s="1393" t="str">
        <f t="shared" si="222"/>
        <v>Fixed</v>
      </c>
      <c r="DJ166" s="1393"/>
      <c r="DK166" s="1401">
        <f t="shared" si="223"/>
        <v>2.0000000000000018E-2</v>
      </c>
      <c r="DL166" s="1395">
        <f t="shared" si="224"/>
        <v>2.0000000000000018E-2</v>
      </c>
      <c r="DM166" s="1395">
        <f t="shared" si="225"/>
        <v>2.0000000000000018E-2</v>
      </c>
      <c r="DN166" s="1397">
        <f t="shared" si="226"/>
        <v>2.0000000000000018E-2</v>
      </c>
      <c r="DO166" s="1395">
        <f t="shared" si="227"/>
        <v>2.0000000000000018E-2</v>
      </c>
      <c r="DP166" s="1395">
        <f t="shared" si="228"/>
        <v>2.0000000000000018E-2</v>
      </c>
      <c r="DQ166" s="1395">
        <f t="shared" si="229"/>
        <v>2.0000000000000018E-2</v>
      </c>
      <c r="DR166" s="1398">
        <f t="shared" si="230"/>
        <v>2.0000000000000018E-2</v>
      </c>
    </row>
    <row r="167" spans="4:122" ht="12.75" thickBot="1">
      <c r="E167" s="743" t="s">
        <v>46</v>
      </c>
      <c r="F167" s="732" t="str">
        <f>+F165</f>
        <v>Water</v>
      </c>
      <c r="G167" s="733" t="str">
        <f>+G165</f>
        <v>Fire Service charges</v>
      </c>
      <c r="H167" s="733">
        <f>+H165</f>
        <v>0</v>
      </c>
      <c r="I167" s="734" t="str">
        <f>+I165</f>
        <v>Fixed</v>
      </c>
      <c r="J167" s="735" t="s">
        <v>344</v>
      </c>
      <c r="K167" s="736">
        <f t="shared" ref="K167:AG167" si="291">K165*K166/10^6</f>
        <v>0</v>
      </c>
      <c r="L167" s="737">
        <f t="shared" si="291"/>
        <v>0</v>
      </c>
      <c r="M167" s="737">
        <f t="shared" si="291"/>
        <v>0</v>
      </c>
      <c r="N167" s="738">
        <f t="shared" si="291"/>
        <v>0</v>
      </c>
      <c r="O167" s="1923">
        <f t="shared" si="291"/>
        <v>0.11315743384615383</v>
      </c>
      <c r="P167" s="737">
        <f t="shared" si="291"/>
        <v>0.11636174898756661</v>
      </c>
      <c r="Q167" s="737">
        <f t="shared" si="291"/>
        <v>0.11908665496932515</v>
      </c>
      <c r="R167" s="374">
        <f t="shared" si="291"/>
        <v>0.11872800563464836</v>
      </c>
      <c r="S167" s="374">
        <f t="shared" si="291"/>
        <v>0.11990673582697201</v>
      </c>
      <c r="T167" s="374">
        <f t="shared" si="291"/>
        <v>0.12096738711864405</v>
      </c>
      <c r="U167" s="374">
        <f t="shared" si="291"/>
        <v>0.12369204393665158</v>
      </c>
      <c r="V167" s="374">
        <f t="shared" si="291"/>
        <v>0.12594575152838428</v>
      </c>
      <c r="W167" s="737">
        <f t="shared" si="291"/>
        <v>0.12831480000000001</v>
      </c>
      <c r="X167" s="738">
        <f t="shared" si="291"/>
        <v>0.130881096</v>
      </c>
      <c r="Y167" s="737">
        <f t="shared" si="291"/>
        <v>0.13349871791999998</v>
      </c>
      <c r="Z167" s="737">
        <f t="shared" si="291"/>
        <v>0.13616869227839998</v>
      </c>
      <c r="AA167" s="737">
        <f t="shared" si="291"/>
        <v>0.13889206612396796</v>
      </c>
      <c r="AB167" s="737">
        <f t="shared" si="291"/>
        <v>0.14166990744644734</v>
      </c>
      <c r="AC167" s="738">
        <f t="shared" si="291"/>
        <v>0.14450330559537627</v>
      </c>
      <c r="AD167" s="737">
        <f t="shared" si="291"/>
        <v>0.14739337170728381</v>
      </c>
      <c r="AE167" s="737">
        <f t="shared" si="291"/>
        <v>0.15034123914142949</v>
      </c>
      <c r="AF167" s="737">
        <f t="shared" si="291"/>
        <v>0.15334806392425809</v>
      </c>
      <c r="AG167" s="739">
        <f t="shared" si="291"/>
        <v>0.15641502520274325</v>
      </c>
      <c r="AH167" s="697"/>
      <c r="AI167" s="707"/>
      <c r="AJ167" s="709">
        <f t="shared" si="234"/>
        <v>0.130881096</v>
      </c>
      <c r="AK167" s="710">
        <f t="shared" si="235"/>
        <v>0.13349871791999998</v>
      </c>
      <c r="AL167" s="710">
        <f t="shared" si="236"/>
        <v>0.13616869227839998</v>
      </c>
      <c r="AM167" s="710">
        <f t="shared" si="237"/>
        <v>0.13889206612396796</v>
      </c>
      <c r="AN167" s="710">
        <f t="shared" si="238"/>
        <v>0.14166990744644734</v>
      </c>
      <c r="AO167" s="711">
        <f t="shared" si="239"/>
        <v>0.14450330559537627</v>
      </c>
      <c r="AP167" s="707">
        <f t="shared" si="240"/>
        <v>0.14739337170728381</v>
      </c>
      <c r="AQ167" s="707">
        <f t="shared" si="241"/>
        <v>0.15034123914142949</v>
      </c>
      <c r="AR167" s="707">
        <f t="shared" si="242"/>
        <v>0.15334806392425809</v>
      </c>
      <c r="AS167" s="712">
        <f t="shared" si="243"/>
        <v>0.15641502520274325</v>
      </c>
      <c r="AV167" s="1559"/>
      <c r="AW167" s="1428" t="str">
        <f t="shared" si="191"/>
        <v>Rev</v>
      </c>
      <c r="AX167" s="1429" t="str">
        <f t="shared" si="191"/>
        <v>Water</v>
      </c>
      <c r="AY167" s="1430" t="str">
        <f t="shared" si="192"/>
        <v>Fixed</v>
      </c>
      <c r="AZ167" s="1431">
        <f t="shared" si="284"/>
        <v>2.8317318911361022E-2</v>
      </c>
      <c r="BA167" s="1431">
        <f t="shared" si="284"/>
        <v>2.3417540604771192E-2</v>
      </c>
      <c r="BB167" s="1431">
        <f t="shared" si="284"/>
        <v>-3.0116668804676117E-3</v>
      </c>
      <c r="BC167" s="1431">
        <f t="shared" si="194"/>
        <v>9.9279878072815464E-3</v>
      </c>
      <c r="BD167" s="1431">
        <f t="shared" si="195"/>
        <v>8.8456356046802131E-3</v>
      </c>
      <c r="BE167" s="1431">
        <f t="shared" si="196"/>
        <v>2.2523895761551005E-2</v>
      </c>
      <c r="BF167" s="1431">
        <f t="shared" si="197"/>
        <v>1.8220311670869682E-2</v>
      </c>
      <c r="BG167" s="1432">
        <f t="shared" si="198"/>
        <v>1.8810070549158731E-2</v>
      </c>
      <c r="BH167" s="1431">
        <f t="shared" si="199"/>
        <v>2.0000000000000018E-2</v>
      </c>
      <c r="BI167" s="1431">
        <f t="shared" si="200"/>
        <v>1.9999999999999796E-2</v>
      </c>
      <c r="BJ167" s="1431">
        <f t="shared" si="201"/>
        <v>2.0000000000000018E-2</v>
      </c>
      <c r="BK167" s="1431">
        <f t="shared" si="202"/>
        <v>1.9999999999999796E-2</v>
      </c>
      <c r="BL167" s="1433">
        <f t="shared" si="203"/>
        <v>2.000000000000024E-2</v>
      </c>
      <c r="BM167" s="1431">
        <f t="shared" si="204"/>
        <v>2.0000000000000018E-2</v>
      </c>
      <c r="BN167" s="1431">
        <f t="shared" si="205"/>
        <v>2.0000000000000018E-2</v>
      </c>
      <c r="BO167" s="1431">
        <f t="shared" si="206"/>
        <v>2.0000000000000018E-2</v>
      </c>
      <c r="BP167" s="1431">
        <f t="shared" si="207"/>
        <v>2.0000000000000018E-2</v>
      </c>
      <c r="BQ167" s="1434">
        <f t="shared" si="208"/>
        <v>2.0000000000000018E-2</v>
      </c>
      <c r="BR167" s="1378"/>
      <c r="BS167" s="1407"/>
      <c r="BT167" s="1408"/>
      <c r="BU167" s="1409"/>
      <c r="BV167" s="1410"/>
      <c r="BW167" s="1378"/>
      <c r="BX167" s="1428" t="str">
        <f t="shared" si="209"/>
        <v>Rev</v>
      </c>
      <c r="BY167" s="1429" t="str">
        <f t="shared" si="210"/>
        <v>Water</v>
      </c>
      <c r="BZ167" s="1430" t="str">
        <f t="shared" si="211"/>
        <v>Fixed</v>
      </c>
      <c r="CA167" s="1435">
        <f t="shared" ref="CA167:CR167" si="292">IFERROR((P167/O167-1)*(O167/O$13),"-")</f>
        <v>4.249597432447694E-5</v>
      </c>
      <c r="CB167" s="1431">
        <f t="shared" si="292"/>
        <v>3.522412484578873E-5</v>
      </c>
      <c r="CC167" s="1431">
        <f t="shared" si="292"/>
        <v>-4.7198303002628914E-6</v>
      </c>
      <c r="CD167" s="1431">
        <f t="shared" si="292"/>
        <v>1.5799820960167749E-5</v>
      </c>
      <c r="CE167" s="1431">
        <f t="shared" si="292"/>
        <v>1.4714831243247955E-5</v>
      </c>
      <c r="CF167" s="1431">
        <f t="shared" si="292"/>
        <v>3.6505020342933071E-5</v>
      </c>
      <c r="CG167" s="1431">
        <f t="shared" si="292"/>
        <v>2.8740529141106148E-5</v>
      </c>
      <c r="CH167" s="1433">
        <f t="shared" si="292"/>
        <v>2.8839652209670537E-5</v>
      </c>
      <c r="CI167" s="1431">
        <f t="shared" si="292"/>
        <v>3.1811122634757727E-5</v>
      </c>
      <c r="CJ167" s="1431">
        <f t="shared" si="292"/>
        <v>3.0162903026417437E-5</v>
      </c>
      <c r="CK167" s="1431">
        <f t="shared" si="292"/>
        <v>2.891936571762631E-5</v>
      </c>
      <c r="CL167" s="1431">
        <f t="shared" si="292"/>
        <v>2.7725912129407987E-5</v>
      </c>
      <c r="CM167" s="1433">
        <f t="shared" si="292"/>
        <v>2.6575816588018557E-5</v>
      </c>
      <c r="CN167" s="1431">
        <f t="shared" si="292"/>
        <v>2.5477137929030854E-5</v>
      </c>
      <c r="CO167" s="1431">
        <f t="shared" si="292"/>
        <v>2.5286940788789067E-5</v>
      </c>
      <c r="CP167" s="1431">
        <f t="shared" si="292"/>
        <v>2.5091715505921849E-5</v>
      </c>
      <c r="CQ167" s="1431">
        <f t="shared" si="292"/>
        <v>2.4900866068212859E-5</v>
      </c>
      <c r="CR167" s="1434">
        <f t="shared" si="292"/>
        <v>2.4699374512549972E-5</v>
      </c>
      <c r="CS167" s="1378"/>
      <c r="CT167" s="1428" t="str">
        <f t="shared" si="188"/>
        <v>Rev</v>
      </c>
      <c r="CU167" s="1429" t="str">
        <f t="shared" si="189"/>
        <v>Water</v>
      </c>
      <c r="CV167" s="1429" t="str">
        <f t="shared" si="190"/>
        <v>Fixed</v>
      </c>
      <c r="CW167" s="1435">
        <f t="shared" si="213"/>
        <v>1.9999999999999796E-2</v>
      </c>
      <c r="CX167" s="1431">
        <f t="shared" si="214"/>
        <v>1.9999999999999796E-2</v>
      </c>
      <c r="CY167" s="1431">
        <f t="shared" si="215"/>
        <v>1.9999999999999796E-2</v>
      </c>
      <c r="CZ167" s="1434">
        <f t="shared" si="216"/>
        <v>2.0000000000000018E-2</v>
      </c>
      <c r="DA167" s="1431">
        <f t="shared" si="217"/>
        <v>2.0000000000000018E-2</v>
      </c>
      <c r="DB167" s="1431">
        <f t="shared" si="218"/>
        <v>2.0000000000000018E-2</v>
      </c>
      <c r="DC167" s="1431">
        <f t="shared" si="219"/>
        <v>2.0000000000000018E-2</v>
      </c>
      <c r="DD167" s="1431">
        <f t="shared" si="220"/>
        <v>2.0000000000000018E-2</v>
      </c>
      <c r="DE167" s="1434">
        <f t="shared" si="221"/>
        <v>2.0000000000000018E-2</v>
      </c>
      <c r="DF167" s="1378"/>
      <c r="DG167" s="1428" t="str">
        <f t="shared" si="222"/>
        <v>Rev</v>
      </c>
      <c r="DH167" s="1429" t="str">
        <f t="shared" si="222"/>
        <v>Water</v>
      </c>
      <c r="DI167" s="1429" t="str">
        <f t="shared" si="222"/>
        <v>Fixed</v>
      </c>
      <c r="DJ167" s="1429"/>
      <c r="DK167" s="1435">
        <f t="shared" si="223"/>
        <v>1.9999999999999796E-2</v>
      </c>
      <c r="DL167" s="1431">
        <f t="shared" si="224"/>
        <v>1.9999999999999796E-2</v>
      </c>
      <c r="DM167" s="1431">
        <f t="shared" si="225"/>
        <v>2.0000000000000018E-2</v>
      </c>
      <c r="DN167" s="1433">
        <f t="shared" si="226"/>
        <v>2.0000000000000018E-2</v>
      </c>
      <c r="DO167" s="1431">
        <f t="shared" si="227"/>
        <v>2.0000000000000018E-2</v>
      </c>
      <c r="DP167" s="1431">
        <f t="shared" si="228"/>
        <v>2.0000000000000018E-2</v>
      </c>
      <c r="DQ167" s="1431">
        <f t="shared" si="229"/>
        <v>2.0000000000000018E-2</v>
      </c>
      <c r="DR167" s="1434">
        <f t="shared" si="230"/>
        <v>2.0000000000000018E-2</v>
      </c>
    </row>
    <row r="168" spans="4:122">
      <c r="D168" s="70">
        <f>D165+1</f>
        <v>35</v>
      </c>
      <c r="E168" s="713" t="s">
        <v>44</v>
      </c>
      <c r="F168" s="1532" t="s">
        <v>21</v>
      </c>
      <c r="G168" s="1532" t="s">
        <v>897</v>
      </c>
      <c r="H168" s="1532"/>
      <c r="I168" s="781" t="s">
        <v>319</v>
      </c>
      <c r="J168" s="781" t="s">
        <v>345</v>
      </c>
      <c r="K168" s="1533"/>
      <c r="L168" s="1534"/>
      <c r="M168" s="1534"/>
      <c r="N168" s="1535"/>
      <c r="O168" s="2071">
        <v>297.50728506787328</v>
      </c>
      <c r="P168" s="1547">
        <v>298.84380106571933</v>
      </c>
      <c r="Q168" s="1547">
        <v>294.91509202453989</v>
      </c>
      <c r="R168" s="1547">
        <v>288.59186963979414</v>
      </c>
      <c r="S168" s="1547">
        <v>281.82961832061068</v>
      </c>
      <c r="T168" s="1547">
        <v>277.62983050847453</v>
      </c>
      <c r="U168" s="1547">
        <v>282.32314479638006</v>
      </c>
      <c r="V168" s="1547">
        <v>282.82338427947593</v>
      </c>
      <c r="W168" s="1547">
        <v>285.47000000000003</v>
      </c>
      <c r="X168" s="1550">
        <v>311.68983999933107</v>
      </c>
      <c r="Y168" s="1551">
        <v>339.43868448790471</v>
      </c>
      <c r="Z168" s="1551">
        <v>368.78992040001123</v>
      </c>
      <c r="AA168" s="1551">
        <v>399.81946299670864</v>
      </c>
      <c r="AB168" s="1551">
        <v>432.60577775272924</v>
      </c>
      <c r="AC168" s="1550">
        <v>439.52747019677292</v>
      </c>
      <c r="AD168" s="1551">
        <v>446.55990971992128</v>
      </c>
      <c r="AE168" s="1551">
        <v>453.70486827544005</v>
      </c>
      <c r="AF168" s="1551">
        <v>460.9641461678471</v>
      </c>
      <c r="AG168" s="1552">
        <v>468.33957250653265</v>
      </c>
      <c r="AH168" s="697"/>
      <c r="AI168" s="707"/>
      <c r="AJ168" s="709">
        <f t="shared" si="234"/>
        <v>311.68983999933107</v>
      </c>
      <c r="AK168" s="710">
        <f t="shared" si="235"/>
        <v>339.43868448790471</v>
      </c>
      <c r="AL168" s="710">
        <f t="shared" si="236"/>
        <v>368.78992040001123</v>
      </c>
      <c r="AM168" s="710">
        <f t="shared" si="237"/>
        <v>399.81946299670864</v>
      </c>
      <c r="AN168" s="710">
        <f t="shared" si="238"/>
        <v>432.60577775272924</v>
      </c>
      <c r="AO168" s="711">
        <f t="shared" si="239"/>
        <v>439.52747019677292</v>
      </c>
      <c r="AP168" s="707">
        <f t="shared" si="240"/>
        <v>446.55990971992128</v>
      </c>
      <c r="AQ168" s="707">
        <f t="shared" si="241"/>
        <v>453.70486827544005</v>
      </c>
      <c r="AR168" s="707">
        <f t="shared" si="242"/>
        <v>460.9641461678471</v>
      </c>
      <c r="AS168" s="712">
        <f t="shared" si="243"/>
        <v>468.33957250653265</v>
      </c>
      <c r="AU168" s="1369"/>
      <c r="AV168" s="1559"/>
      <c r="AW168" s="1412" t="str">
        <f t="shared" si="191"/>
        <v>Price</v>
      </c>
      <c r="AX168" s="1413" t="str">
        <f t="shared" si="191"/>
        <v>Sewerage</v>
      </c>
      <c r="AY168" s="1414" t="str">
        <f t="shared" si="192"/>
        <v>Fixed</v>
      </c>
      <c r="AZ168" s="1415">
        <f t="shared" si="284"/>
        <v>4.4923807413359551E-3</v>
      </c>
      <c r="BA168" s="1415">
        <f t="shared" si="284"/>
        <v>-1.3146362839614234E-2</v>
      </c>
      <c r="BB168" s="1415">
        <f t="shared" si="284"/>
        <v>-2.1440823327615877E-2</v>
      </c>
      <c r="BC168" s="1415">
        <f t="shared" si="194"/>
        <v>-2.3431884368827705E-2</v>
      </c>
      <c r="BD168" s="1415">
        <f t="shared" si="195"/>
        <v>-1.4901868147010888E-2</v>
      </c>
      <c r="BE168" s="1415">
        <f t="shared" si="196"/>
        <v>1.6904935176849767E-2</v>
      </c>
      <c r="BF168" s="1415">
        <f t="shared" si="197"/>
        <v>1.7718684858680778E-3</v>
      </c>
      <c r="BG168" s="1416">
        <f t="shared" si="198"/>
        <v>9.357839088400155E-3</v>
      </c>
      <c r="BH168" s="1417">
        <f t="shared" si="199"/>
        <v>9.1847970012018942E-2</v>
      </c>
      <c r="BI168" s="1417">
        <f t="shared" si="200"/>
        <v>8.9027106204787376E-2</v>
      </c>
      <c r="BJ168" s="1417">
        <f t="shared" si="201"/>
        <v>8.6469920057542504E-2</v>
      </c>
      <c r="BK168" s="1417">
        <f t="shared" si="202"/>
        <v>8.4138803368164039E-2</v>
      </c>
      <c r="BL168" s="1418">
        <f t="shared" si="203"/>
        <v>8.2002798238690389E-2</v>
      </c>
      <c r="BM168" s="1417">
        <f t="shared" si="204"/>
        <v>1.6000000000000014E-2</v>
      </c>
      <c r="BN168" s="1417">
        <f t="shared" si="205"/>
        <v>1.6000000000000014E-2</v>
      </c>
      <c r="BO168" s="1417">
        <f t="shared" si="206"/>
        <v>1.6000000000000014E-2</v>
      </c>
      <c r="BP168" s="1417">
        <f t="shared" si="207"/>
        <v>1.6000000000000014E-2</v>
      </c>
      <c r="BQ168" s="1419">
        <f t="shared" si="208"/>
        <v>1.6000000000000014E-2</v>
      </c>
      <c r="BR168" s="1378"/>
      <c r="BS168" s="1420"/>
      <c r="BT168" s="1421"/>
      <c r="BU168" s="1422"/>
      <c r="BV168" s="1423"/>
      <c r="BW168" s="1378"/>
      <c r="BX168" s="1412" t="str">
        <f t="shared" si="209"/>
        <v>Price</v>
      </c>
      <c r="BY168" s="1413" t="str">
        <f t="shared" si="210"/>
        <v>Sewerage</v>
      </c>
      <c r="BZ168" s="1414" t="str">
        <f t="shared" si="211"/>
        <v>Fixed</v>
      </c>
      <c r="CA168" s="1424">
        <f t="shared" ref="CA168:CR168" si="293">IFERROR((P168/O168-1)*(O170/O$13),"-")</f>
        <v>6.2181142181243307E-4</v>
      </c>
      <c r="CB168" s="1415">
        <f t="shared" si="293"/>
        <v>-1.8135452907765037E-3</v>
      </c>
      <c r="CC168" s="1415">
        <f t="shared" si="293"/>
        <v>-3.0191593081988913E-3</v>
      </c>
      <c r="CD168" s="1415">
        <f t="shared" si="293"/>
        <v>-3.3823030021992739E-3</v>
      </c>
      <c r="CE168" s="1415">
        <f t="shared" si="293"/>
        <v>-2.2164028046190503E-3</v>
      </c>
      <c r="CF168" s="1415">
        <f t="shared" si="293"/>
        <v>2.4331229267452919E-3</v>
      </c>
      <c r="CG168" s="1415">
        <f t="shared" si="293"/>
        <v>2.5109686035524914E-4</v>
      </c>
      <c r="CH168" s="1425">
        <f t="shared" si="293"/>
        <v>1.2924600043227447E-3</v>
      </c>
      <c r="CI168" s="1417">
        <f t="shared" si="293"/>
        <v>1.325316468340676E-2</v>
      </c>
      <c r="CJ168" s="1417">
        <f t="shared" si="293"/>
        <v>1.3254722835434569E-2</v>
      </c>
      <c r="CK168" s="1417">
        <f t="shared" si="293"/>
        <v>1.3398167212740444E-2</v>
      </c>
      <c r="CL168" s="1417">
        <f t="shared" si="293"/>
        <v>1.3536462271001106E-2</v>
      </c>
      <c r="CM168" s="1418">
        <f t="shared" si="293"/>
        <v>1.3667010386658627E-2</v>
      </c>
      <c r="CN168" s="1417">
        <f t="shared" si="293"/>
        <v>2.7576854243957657E-3</v>
      </c>
      <c r="CO168" s="1417">
        <f t="shared" si="293"/>
        <v>2.7727405890036957E-3</v>
      </c>
      <c r="CP168" s="1417">
        <f t="shared" si="293"/>
        <v>2.7874068751920938E-3</v>
      </c>
      <c r="CQ168" s="1417">
        <f t="shared" si="293"/>
        <v>2.8027235477286164E-3</v>
      </c>
      <c r="CR168" s="1419">
        <f t="shared" si="293"/>
        <v>2.8169999069520639E-3</v>
      </c>
      <c r="CS168" s="1378"/>
      <c r="CT168" s="1412" t="str">
        <f t="shared" si="188"/>
        <v>Price</v>
      </c>
      <c r="CU168" s="1413" t="str">
        <f t="shared" si="189"/>
        <v>Sewerage</v>
      </c>
      <c r="CV168" s="1426" t="str">
        <f t="shared" si="190"/>
        <v>Fixed</v>
      </c>
      <c r="CW168" s="1427">
        <f t="shared" si="213"/>
        <v>9.0436625942911242E-2</v>
      </c>
      <c r="CX168" s="1417">
        <f t="shared" si="214"/>
        <v>8.9112784091316177E-2</v>
      </c>
      <c r="CY168" s="1417">
        <f t="shared" si="215"/>
        <v>8.7867153577042556E-2</v>
      </c>
      <c r="CZ168" s="1419">
        <f t="shared" si="216"/>
        <v>8.6691745264375397E-2</v>
      </c>
      <c r="DA168" s="1417">
        <f t="shared" si="217"/>
        <v>7.4577125201487071E-2</v>
      </c>
      <c r="DB168" s="1417">
        <f t="shared" si="218"/>
        <v>6.6006600486661515E-2</v>
      </c>
      <c r="DC168" s="1417">
        <f t="shared" si="219"/>
        <v>5.9623595526162587E-2</v>
      </c>
      <c r="DD168" s="1417">
        <f t="shared" si="220"/>
        <v>5.4685471544639208E-2</v>
      </c>
      <c r="DE168" s="1419">
        <f t="shared" si="221"/>
        <v>5.0751546840929196E-2</v>
      </c>
      <c r="DF168" s="1378"/>
      <c r="DG168" s="1412" t="str">
        <f t="shared" si="222"/>
        <v>Price</v>
      </c>
      <c r="DH168" s="1413" t="str">
        <f t="shared" si="222"/>
        <v>Sewerage</v>
      </c>
      <c r="DI168" s="1426" t="str">
        <f t="shared" si="222"/>
        <v>Fixed</v>
      </c>
      <c r="DJ168" s="1426"/>
      <c r="DK168" s="1427">
        <f t="shared" si="223"/>
        <v>8.7747761670329716E-2</v>
      </c>
      <c r="DL168" s="1417">
        <f t="shared" si="224"/>
        <v>8.654344267882963E-2</v>
      </c>
      <c r="DM168" s="1417">
        <f t="shared" si="225"/>
        <v>8.5406498288445043E-2</v>
      </c>
      <c r="DN168" s="1418">
        <f t="shared" si="226"/>
        <v>7.1155878329403732E-2</v>
      </c>
      <c r="DO168" s="1417">
        <f t="shared" si="227"/>
        <v>6.1759562085184294E-2</v>
      </c>
      <c r="DP168" s="1417">
        <f t="shared" si="228"/>
        <v>5.5098414610869284E-2</v>
      </c>
      <c r="DQ168" s="1417">
        <f t="shared" si="229"/>
        <v>5.0129993029939257E-2</v>
      </c>
      <c r="DR168" s="1419">
        <f t="shared" si="230"/>
        <v>4.6281845881722239E-2</v>
      </c>
    </row>
    <row r="169" spans="4:122">
      <c r="E169" s="742" t="s">
        <v>45</v>
      </c>
      <c r="F169" s="722" t="str">
        <f>+F168</f>
        <v>Sewerage</v>
      </c>
      <c r="G169" s="723" t="str">
        <f>+G168</f>
        <v>Wastewater Fixed Charges - Group A</v>
      </c>
      <c r="H169" s="723">
        <f>+H168</f>
        <v>0</v>
      </c>
      <c r="I169" s="724" t="str">
        <f>+I168</f>
        <v>Fixed</v>
      </c>
      <c r="J169" s="782" t="s">
        <v>323</v>
      </c>
      <c r="K169" s="1540"/>
      <c r="L169" s="1541"/>
      <c r="M169" s="1541"/>
      <c r="N169" s="1542"/>
      <c r="O169" s="2031">
        <v>35081</v>
      </c>
      <c r="P169" s="1543">
        <v>35710</v>
      </c>
      <c r="Q169" s="1543">
        <v>36282</v>
      </c>
      <c r="R169" s="1543">
        <v>37315</v>
      </c>
      <c r="S169" s="1543">
        <v>38039.839999999997</v>
      </c>
      <c r="T169" s="1543">
        <v>38694</v>
      </c>
      <c r="U169" s="1543">
        <v>39361</v>
      </c>
      <c r="V169" s="1543">
        <v>40115.31</v>
      </c>
      <c r="W169" s="1543">
        <v>40777.191286912537</v>
      </c>
      <c r="X169" s="1544">
        <v>41453.340019482443</v>
      </c>
      <c r="Y169" s="1543">
        <v>42144.152774609895</v>
      </c>
      <c r="Z169" s="1543">
        <v>42850.039163987218</v>
      </c>
      <c r="AA169" s="1543">
        <v>43571.422299198399</v>
      </c>
      <c r="AB169" s="1543">
        <v>44308.739274007246</v>
      </c>
      <c r="AC169" s="1544">
        <v>45062.441664478858</v>
      </c>
      <c r="AD169" s="1543">
        <v>45832.996047603367</v>
      </c>
      <c r="AE169" s="1543">
        <v>46620.884539116596</v>
      </c>
      <c r="AF169" s="1543">
        <v>47426.605351237915</v>
      </c>
      <c r="AG169" s="788">
        <v>48250.673371073426</v>
      </c>
      <c r="AH169" s="697"/>
      <c r="AI169" s="707"/>
      <c r="AJ169" s="709">
        <f t="shared" si="234"/>
        <v>41453.340019482443</v>
      </c>
      <c r="AK169" s="710">
        <f t="shared" si="235"/>
        <v>42144.152774609895</v>
      </c>
      <c r="AL169" s="710">
        <f t="shared" si="236"/>
        <v>42850.039163987218</v>
      </c>
      <c r="AM169" s="710">
        <f t="shared" si="237"/>
        <v>43571.422299198399</v>
      </c>
      <c r="AN169" s="710">
        <f t="shared" si="238"/>
        <v>44308.739274007246</v>
      </c>
      <c r="AO169" s="711">
        <f t="shared" si="239"/>
        <v>45062.441664478858</v>
      </c>
      <c r="AP169" s="707">
        <f t="shared" si="240"/>
        <v>45832.996047603367</v>
      </c>
      <c r="AQ169" s="707">
        <f t="shared" si="241"/>
        <v>46620.884539116596</v>
      </c>
      <c r="AR169" s="707">
        <f t="shared" si="242"/>
        <v>47426.605351237915</v>
      </c>
      <c r="AS169" s="712">
        <f t="shared" si="243"/>
        <v>48250.673371073426</v>
      </c>
      <c r="AV169" s="1559"/>
      <c r="AW169" s="1392" t="str">
        <f t="shared" si="191"/>
        <v>Qty</v>
      </c>
      <c r="AX169" s="1393" t="str">
        <f t="shared" si="191"/>
        <v>Sewerage</v>
      </c>
      <c r="AY169" s="1394" t="str">
        <f t="shared" si="192"/>
        <v>Fixed</v>
      </c>
      <c r="AZ169" s="1395">
        <f t="shared" si="284"/>
        <v>1.7929933582280899E-2</v>
      </c>
      <c r="BA169" s="1395">
        <f t="shared" si="284"/>
        <v>1.6017922150658004E-2</v>
      </c>
      <c r="BB169" s="1395">
        <f t="shared" si="284"/>
        <v>2.8471418334160115E-2</v>
      </c>
      <c r="BC169" s="1395">
        <f t="shared" si="194"/>
        <v>1.9424896154361493E-2</v>
      </c>
      <c r="BD169" s="1395">
        <f t="shared" si="195"/>
        <v>1.7196707451976767E-2</v>
      </c>
      <c r="BE169" s="1395">
        <f t="shared" si="196"/>
        <v>1.7237814648265903E-2</v>
      </c>
      <c r="BF169" s="1395">
        <f t="shared" si="197"/>
        <v>1.9163893193770321E-2</v>
      </c>
      <c r="BG169" s="1396">
        <f t="shared" si="198"/>
        <v>1.6499468330483769E-2</v>
      </c>
      <c r="BH169" s="1395">
        <f t="shared" si="199"/>
        <v>1.6581542554327866E-2</v>
      </c>
      <c r="BI169" s="1395">
        <f t="shared" si="200"/>
        <v>1.6664827365003188E-2</v>
      </c>
      <c r="BJ169" s="1395">
        <f t="shared" si="201"/>
        <v>1.6749331589424932E-2</v>
      </c>
      <c r="BK169" s="1395">
        <f t="shared" si="202"/>
        <v>1.6835063614538237E-2</v>
      </c>
      <c r="BL169" s="1397">
        <f t="shared" si="203"/>
        <v>1.6922031366013224E-2</v>
      </c>
      <c r="BM169" s="1395">
        <f t="shared" si="204"/>
        <v>1.7010242286757071E-2</v>
      </c>
      <c r="BN169" s="1395">
        <f t="shared" si="205"/>
        <v>1.7099703315275772E-2</v>
      </c>
      <c r="BO169" s="1395">
        <f t="shared" si="206"/>
        <v>1.7190420863931966E-2</v>
      </c>
      <c r="BP169" s="1395">
        <f t="shared" si="207"/>
        <v>1.7282400797121067E-2</v>
      </c>
      <c r="BQ169" s="1398">
        <f t="shared" si="208"/>
        <v>1.7375648409421851E-2</v>
      </c>
      <c r="BR169" s="1378"/>
      <c r="BS169" s="1329"/>
      <c r="BT169" s="1399"/>
      <c r="BU169" s="1331"/>
      <c r="BV169" s="1400"/>
      <c r="BW169" s="1378"/>
      <c r="BX169" s="1392" t="str">
        <f t="shared" si="209"/>
        <v>Qty</v>
      </c>
      <c r="BY169" s="1393" t="str">
        <f t="shared" si="210"/>
        <v>Sewerage</v>
      </c>
      <c r="BZ169" s="1394" t="str">
        <f t="shared" si="211"/>
        <v>Fixed</v>
      </c>
      <c r="CA169" s="1401">
        <f t="shared" ref="CA169:CR169" si="294">IFERROR((P169/O169-1)*(O170/O$13),"-")</f>
        <v>2.4817659356461959E-3</v>
      </c>
      <c r="CB169" s="1395">
        <f t="shared" si="294"/>
        <v>2.2096778887629493E-3</v>
      </c>
      <c r="CC169" s="1395">
        <f t="shared" si="294"/>
        <v>4.0091626318513405E-3</v>
      </c>
      <c r="CD169" s="1395">
        <f t="shared" si="294"/>
        <v>2.8039095595619404E-3</v>
      </c>
      <c r="CE169" s="1395">
        <f t="shared" si="294"/>
        <v>2.5577216393784792E-3</v>
      </c>
      <c r="CF169" s="1395">
        <f t="shared" si="294"/>
        <v>2.4810341825574176E-3</v>
      </c>
      <c r="CG169" s="1395">
        <f t="shared" si="294"/>
        <v>2.7157734626007267E-3</v>
      </c>
      <c r="CH169" s="1397">
        <f t="shared" si="294"/>
        <v>2.2788276981781071E-3</v>
      </c>
      <c r="CI169" s="1395">
        <f t="shared" si="294"/>
        <v>2.3926267956566436E-3</v>
      </c>
      <c r="CJ169" s="1395">
        <f t="shared" si="294"/>
        <v>2.4811282455410705E-3</v>
      </c>
      <c r="CK169" s="1395">
        <f t="shared" si="294"/>
        <v>2.5952417347837745E-3</v>
      </c>
      <c r="CL169" s="1395">
        <f t="shared" si="294"/>
        <v>2.7084673696979034E-3</v>
      </c>
      <c r="CM169" s="1397">
        <f t="shared" si="294"/>
        <v>2.8203132504025551E-3</v>
      </c>
      <c r="CN169" s="1395">
        <f t="shared" si="294"/>
        <v>2.9318060762269023E-3</v>
      </c>
      <c r="CO169" s="1395">
        <f t="shared" si="294"/>
        <v>2.9633150901366341E-3</v>
      </c>
      <c r="CP169" s="1395">
        <f t="shared" si="294"/>
        <v>2.9947935814730957E-3</v>
      </c>
      <c r="CQ169" s="1395">
        <f t="shared" si="294"/>
        <v>3.0273619797109362E-3</v>
      </c>
      <c r="CR169" s="1398">
        <f t="shared" si="294"/>
        <v>3.0591999970358179E-3</v>
      </c>
      <c r="CS169" s="1378"/>
      <c r="CT169" s="1392" t="str">
        <f t="shared" si="188"/>
        <v>Qty</v>
      </c>
      <c r="CU169" s="1393" t="str">
        <f t="shared" si="189"/>
        <v>Sewerage</v>
      </c>
      <c r="CV169" s="1393" t="str">
        <f t="shared" si="190"/>
        <v>Fixed</v>
      </c>
      <c r="CW169" s="1401">
        <f t="shared" si="213"/>
        <v>1.6623184106797861E-2</v>
      </c>
      <c r="CX169" s="1395">
        <f t="shared" si="214"/>
        <v>1.666523152857291E-2</v>
      </c>
      <c r="CY169" s="1395">
        <f t="shared" si="215"/>
        <v>1.6707686890622631E-2</v>
      </c>
      <c r="CZ169" s="1398">
        <f t="shared" si="216"/>
        <v>1.6750552171073352E-2</v>
      </c>
      <c r="DA169" s="1395">
        <f t="shared" si="217"/>
        <v>1.6793829251633419E-2</v>
      </c>
      <c r="DB169" s="1395">
        <f t="shared" si="218"/>
        <v>1.6837519913997623E-2</v>
      </c>
      <c r="DC169" s="1395">
        <f t="shared" si="219"/>
        <v>1.6881625836237868E-2</v>
      </c>
      <c r="DD169" s="1395">
        <f t="shared" si="220"/>
        <v>1.6926148589182288E-2</v>
      </c>
      <c r="DE169" s="1398">
        <f t="shared" si="221"/>
        <v>1.6971089632789704E-2</v>
      </c>
      <c r="DF169" s="1378"/>
      <c r="DG169" s="1392" t="str">
        <f t="shared" si="222"/>
        <v>Qty</v>
      </c>
      <c r="DH169" s="1393" t="str">
        <f t="shared" si="222"/>
        <v>Sewerage</v>
      </c>
      <c r="DI169" s="1393" t="str">
        <f t="shared" si="222"/>
        <v>Fixed</v>
      </c>
      <c r="DJ169" s="1393"/>
      <c r="DK169" s="1401">
        <f t="shared" si="223"/>
        <v>1.6707078599261571E-2</v>
      </c>
      <c r="DL169" s="1395">
        <f t="shared" si="224"/>
        <v>1.6749738481034893E-2</v>
      </c>
      <c r="DM169" s="1395">
        <f t="shared" si="225"/>
        <v>1.679280896544233E-2</v>
      </c>
      <c r="DN169" s="1397">
        <f t="shared" si="226"/>
        <v>1.6836291910466983E-2</v>
      </c>
      <c r="DO169" s="1395">
        <f t="shared" si="227"/>
        <v>1.6880189073357643E-2</v>
      </c>
      <c r="DP169" s="1395">
        <f t="shared" si="228"/>
        <v>1.6924502107016348E-2</v>
      </c>
      <c r="DQ169" s="1395">
        <f t="shared" si="229"/>
        <v>1.6969232556375058E-2</v>
      </c>
      <c r="DR169" s="1398">
        <f t="shared" si="230"/>
        <v>1.7014381854768557E-2</v>
      </c>
    </row>
    <row r="170" spans="4:122" ht="12.75" thickBot="1">
      <c r="E170" s="743" t="s">
        <v>46</v>
      </c>
      <c r="F170" s="732" t="str">
        <f>+F168</f>
        <v>Sewerage</v>
      </c>
      <c r="G170" s="733" t="str">
        <f>+G168</f>
        <v>Wastewater Fixed Charges - Group A</v>
      </c>
      <c r="H170" s="733">
        <f>+H168</f>
        <v>0</v>
      </c>
      <c r="I170" s="734" t="str">
        <f>+I168</f>
        <v>Fixed</v>
      </c>
      <c r="J170" s="735" t="s">
        <v>344</v>
      </c>
      <c r="K170" s="736">
        <f t="shared" ref="K170:AG170" si="295">K168*K169/10^6</f>
        <v>0</v>
      </c>
      <c r="L170" s="737">
        <f t="shared" si="295"/>
        <v>0</v>
      </c>
      <c r="M170" s="737">
        <f t="shared" si="295"/>
        <v>0</v>
      </c>
      <c r="N170" s="738">
        <f t="shared" si="295"/>
        <v>0</v>
      </c>
      <c r="O170" s="1923">
        <f t="shared" si="295"/>
        <v>10.436853067466064</v>
      </c>
      <c r="P170" s="737">
        <f t="shared" si="295"/>
        <v>10.671712136056836</v>
      </c>
      <c r="Q170" s="737">
        <f t="shared" si="295"/>
        <v>10.700109368834356</v>
      </c>
      <c r="R170" s="737">
        <f t="shared" si="295"/>
        <v>10.768805615608917</v>
      </c>
      <c r="S170" s="737">
        <f t="shared" si="295"/>
        <v>10.720753588177098</v>
      </c>
      <c r="T170" s="737">
        <f t="shared" si="295"/>
        <v>10.742608661694915</v>
      </c>
      <c r="U170" s="737">
        <f t="shared" si="295"/>
        <v>11.112521302330315</v>
      </c>
      <c r="V170" s="737">
        <f t="shared" si="295"/>
        <v>11.345547735620302</v>
      </c>
      <c r="W170" s="737">
        <f t="shared" si="295"/>
        <v>11.640664796674924</v>
      </c>
      <c r="X170" s="738">
        <f t="shared" si="295"/>
        <v>12.92058491811035</v>
      </c>
      <c r="Y170" s="737">
        <f t="shared" si="295"/>
        <v>14.305355776670861</v>
      </c>
      <c r="Z170" s="737">
        <f t="shared" si="295"/>
        <v>15.802662532424209</v>
      </c>
      <c r="AA170" s="737">
        <f t="shared" si="295"/>
        <v>17.420702665668319</v>
      </c>
      <c r="AB170" s="737">
        <f t="shared" si="295"/>
        <v>19.168216614874801</v>
      </c>
      <c r="AC170" s="738">
        <f t="shared" si="295"/>
        <v>19.806180985678051</v>
      </c>
      <c r="AD170" s="737">
        <f t="shared" si="295"/>
        <v>20.467178577211268</v>
      </c>
      <c r="AE170" s="737">
        <f t="shared" si="295"/>
        <v>21.152122278704393</v>
      </c>
      <c r="AF170" s="737">
        <f t="shared" si="295"/>
        <v>21.861964641372833</v>
      </c>
      <c r="AG170" s="739">
        <f t="shared" si="295"/>
        <v>22.59769973976087</v>
      </c>
      <c r="AH170" s="697"/>
      <c r="AI170" s="707"/>
      <c r="AJ170" s="709">
        <f t="shared" si="234"/>
        <v>12.92058491811035</v>
      </c>
      <c r="AK170" s="710">
        <f t="shared" si="235"/>
        <v>14.305355776670861</v>
      </c>
      <c r="AL170" s="710">
        <f t="shared" si="236"/>
        <v>15.802662532424209</v>
      </c>
      <c r="AM170" s="710">
        <f t="shared" si="237"/>
        <v>17.420702665668319</v>
      </c>
      <c r="AN170" s="710">
        <f t="shared" si="238"/>
        <v>19.168216614874801</v>
      </c>
      <c r="AO170" s="711">
        <f t="shared" si="239"/>
        <v>19.806180985678051</v>
      </c>
      <c r="AP170" s="707">
        <f t="shared" si="240"/>
        <v>20.467178577211268</v>
      </c>
      <c r="AQ170" s="707">
        <f t="shared" si="241"/>
        <v>21.152122278704393</v>
      </c>
      <c r="AR170" s="707">
        <f t="shared" si="242"/>
        <v>21.861964641372833</v>
      </c>
      <c r="AS170" s="712">
        <f t="shared" si="243"/>
        <v>22.59769973976087</v>
      </c>
      <c r="AV170" s="1559"/>
      <c r="AW170" s="1428" t="str">
        <f t="shared" si="191"/>
        <v>Rev</v>
      </c>
      <c r="AX170" s="1429" t="str">
        <f t="shared" si="191"/>
        <v>Sewerage</v>
      </c>
      <c r="AY170" s="1430" t="str">
        <f t="shared" si="192"/>
        <v>Fixed</v>
      </c>
      <c r="AZ170" s="1431">
        <f t="shared" si="284"/>
        <v>2.2502862411935221E-2</v>
      </c>
      <c r="BA170" s="1431">
        <f t="shared" si="284"/>
        <v>2.6609818945146912E-3</v>
      </c>
      <c r="BB170" s="1431">
        <f t="shared" si="284"/>
        <v>6.4201443561548999E-3</v>
      </c>
      <c r="BC170" s="1431">
        <f t="shared" si="194"/>
        <v>-4.4621501350315951E-3</v>
      </c>
      <c r="BD170" s="1431">
        <f t="shared" si="195"/>
        <v>2.038576237953782E-3</v>
      </c>
      <c r="BE170" s="1431">
        <f t="shared" si="196"/>
        <v>3.4434153964334913E-2</v>
      </c>
      <c r="BF170" s="1431">
        <f t="shared" si="197"/>
        <v>2.0969717578054992E-2</v>
      </c>
      <c r="BG170" s="1432">
        <f t="shared" si="198"/>
        <v>2.6011706788565014E-2</v>
      </c>
      <c r="BH170" s="1431">
        <f t="shared" si="199"/>
        <v>0.10995249358962944</v>
      </c>
      <c r="BI170" s="1431">
        <f t="shared" si="200"/>
        <v>0.10717555492549913</v>
      </c>
      <c r="BJ170" s="1431">
        <f t="shared" si="201"/>
        <v>0.10466756501052221</v>
      </c>
      <c r="BK170" s="1431">
        <f t="shared" si="202"/>
        <v>0.10239034908985634</v>
      </c>
      <c r="BL170" s="1433">
        <f t="shared" si="203"/>
        <v>0.10031248352859956</v>
      </c>
      <c r="BM170" s="1431">
        <f t="shared" si="204"/>
        <v>3.3282406163345435E-2</v>
      </c>
      <c r="BN170" s="1431">
        <f t="shared" si="205"/>
        <v>3.3373298568319942E-2</v>
      </c>
      <c r="BO170" s="1431">
        <f t="shared" si="206"/>
        <v>3.3465467597754817E-2</v>
      </c>
      <c r="BP170" s="1431">
        <f t="shared" si="207"/>
        <v>3.3558919209875082E-2</v>
      </c>
      <c r="BQ170" s="1434">
        <f t="shared" si="208"/>
        <v>3.365365878397264E-2</v>
      </c>
      <c r="BR170" s="1378"/>
      <c r="BS170" s="1407"/>
      <c r="BT170" s="1408"/>
      <c r="BU170" s="1409"/>
      <c r="BV170" s="1410"/>
      <c r="BW170" s="1378"/>
      <c r="BX170" s="1428" t="str">
        <f t="shared" si="209"/>
        <v>Rev</v>
      </c>
      <c r="BY170" s="1429" t="str">
        <f t="shared" si="210"/>
        <v>Sewerage</v>
      </c>
      <c r="BZ170" s="1430" t="str">
        <f t="shared" si="211"/>
        <v>Fixed</v>
      </c>
      <c r="CA170" s="1435">
        <f t="shared" ref="CA170:CR170" si="296">IFERROR((P170/O170-1)*(O170/O$13),"-")</f>
        <v>3.1147263949524149E-3</v>
      </c>
      <c r="CB170" s="1431">
        <f t="shared" si="296"/>
        <v>3.670833707021178E-4</v>
      </c>
      <c r="CC170" s="1431">
        <f t="shared" si="296"/>
        <v>9.0404357597124953E-4</v>
      </c>
      <c r="CD170" s="1431">
        <f t="shared" si="296"/>
        <v>-6.4409432721762485E-4</v>
      </c>
      <c r="CE170" s="1431">
        <f t="shared" si="296"/>
        <v>3.0320400413265131E-4</v>
      </c>
      <c r="CF170" s="1431">
        <f t="shared" si="296"/>
        <v>4.956098831330356E-3</v>
      </c>
      <c r="CG170" s="1431">
        <f t="shared" si="296"/>
        <v>2.971682316369116E-3</v>
      </c>
      <c r="CH170" s="1433">
        <f t="shared" si="296"/>
        <v>3.592612605410629E-3</v>
      </c>
      <c r="CI170" s="1431">
        <f t="shared" si="296"/>
        <v>1.5865549393240787E-2</v>
      </c>
      <c r="CJ170" s="1431">
        <f t="shared" si="296"/>
        <v>1.5956738748799118E-2</v>
      </c>
      <c r="CK170" s="1431">
        <f t="shared" si="296"/>
        <v>1.6217819292860959E-2</v>
      </c>
      <c r="CL170" s="1431">
        <f t="shared" si="296"/>
        <v>1.6472816844147094E-2</v>
      </c>
      <c r="CM170" s="1433">
        <f t="shared" si="296"/>
        <v>1.6718597215503846E-2</v>
      </c>
      <c r="CN170" s="1431">
        <f t="shared" si="296"/>
        <v>5.7364003978423389E-3</v>
      </c>
      <c r="CO170" s="1431">
        <f t="shared" si="296"/>
        <v>5.7834687205824712E-3</v>
      </c>
      <c r="CP170" s="1431">
        <f t="shared" si="296"/>
        <v>5.8301171539687467E-3</v>
      </c>
      <c r="CQ170" s="1431">
        <f t="shared" si="296"/>
        <v>5.8785233191149385E-3</v>
      </c>
      <c r="CR170" s="1434">
        <f t="shared" si="296"/>
        <v>5.9251471039404599E-3</v>
      </c>
      <c r="CS170" s="1378"/>
      <c r="CT170" s="1428" t="str">
        <f t="shared" si="188"/>
        <v>Rev</v>
      </c>
      <c r="CU170" s="1429" t="str">
        <f t="shared" si="189"/>
        <v>Sewerage</v>
      </c>
      <c r="CV170" s="1429" t="str">
        <f t="shared" si="190"/>
        <v>Fixed</v>
      </c>
      <c r="CW170" s="1435">
        <f t="shared" si="213"/>
        <v>0.10856315473275568</v>
      </c>
      <c r="CX170" s="1431">
        <f t="shared" si="214"/>
        <v>0.10726310079892665</v>
      </c>
      <c r="CY170" s="1431">
        <f t="shared" si="215"/>
        <v>0.10604289735760064</v>
      </c>
      <c r="CZ170" s="1434">
        <f t="shared" si="216"/>
        <v>0.10489443203730087</v>
      </c>
      <c r="DA170" s="1431">
        <f t="shared" si="217"/>
        <v>9.2623389959831881E-2</v>
      </c>
      <c r="DB170" s="1431">
        <f t="shared" si="218"/>
        <v>8.395550785080852E-2</v>
      </c>
      <c r="DC170" s="1431">
        <f t="shared" si="219"/>
        <v>7.7511764593084287E-2</v>
      </c>
      <c r="DD170" s="1431">
        <f t="shared" si="220"/>
        <v>7.25372345508557E-2</v>
      </c>
      <c r="DE170" s="1434">
        <f t="shared" si="221"/>
        <v>6.8583945524159029E-2</v>
      </c>
      <c r="DF170" s="1378"/>
      <c r="DG170" s="1428" t="str">
        <f t="shared" si="222"/>
        <v>Rev</v>
      </c>
      <c r="DH170" s="1429" t="str">
        <f t="shared" si="222"/>
        <v>Sewerage</v>
      </c>
      <c r="DI170" s="1429" t="str">
        <f t="shared" si="222"/>
        <v>Fixed</v>
      </c>
      <c r="DJ170" s="1429"/>
      <c r="DK170" s="1435">
        <f t="shared" si="223"/>
        <v>0.10592084902072663</v>
      </c>
      <c r="DL170" s="1431">
        <f t="shared" si="224"/>
        <v>0.10474276119198334</v>
      </c>
      <c r="DM170" s="1431">
        <f t="shared" si="225"/>
        <v>0.10363352226405254</v>
      </c>
      <c r="DN170" s="1433">
        <f t="shared" si="226"/>
        <v>8.9190171378570327E-2</v>
      </c>
      <c r="DO170" s="1431">
        <f t="shared" si="227"/>
        <v>7.9682264243627676E-2</v>
      </c>
      <c r="DP170" s="1431">
        <f t="shared" si="228"/>
        <v>7.2955429952060502E-2</v>
      </c>
      <c r="DQ170" s="1431">
        <f t="shared" si="229"/>
        <v>6.7949893096088676E-2</v>
      </c>
      <c r="DR170" s="1434">
        <f t="shared" si="230"/>
        <v>6.4083684735265933E-2</v>
      </c>
    </row>
    <row r="171" spans="4:122">
      <c r="D171" s="70">
        <f>D168+1</f>
        <v>36</v>
      </c>
      <c r="E171" s="713" t="s">
        <v>44</v>
      </c>
      <c r="F171" s="1532" t="s">
        <v>21</v>
      </c>
      <c r="G171" s="1532" t="s">
        <v>898</v>
      </c>
      <c r="H171" s="1532"/>
      <c r="I171" s="781" t="s">
        <v>319</v>
      </c>
      <c r="J171" s="781" t="s">
        <v>345</v>
      </c>
      <c r="K171" s="1533"/>
      <c r="L171" s="1534"/>
      <c r="M171" s="1534"/>
      <c r="N171" s="1535"/>
      <c r="O171" s="2071">
        <v>356.97054298642536</v>
      </c>
      <c r="P171" s="1547">
        <v>358.57257548845467</v>
      </c>
      <c r="Q171" s="1547">
        <v>353.85865030674842</v>
      </c>
      <c r="R171" s="1547">
        <v>346.27162950257286</v>
      </c>
      <c r="S171" s="1547">
        <v>338.16928753180662</v>
      </c>
      <c r="T171" s="1547">
        <v>333.11491525423725</v>
      </c>
      <c r="U171" s="1547">
        <v>338.75169683257917</v>
      </c>
      <c r="V171" s="1547">
        <v>339.35938864628815</v>
      </c>
      <c r="W171" s="1547">
        <v>342.54</v>
      </c>
      <c r="X171" s="1550">
        <v>374.02780799919725</v>
      </c>
      <c r="Y171" s="1551">
        <v>407.32642138548562</v>
      </c>
      <c r="Z171" s="1551">
        <v>442.54790448001347</v>
      </c>
      <c r="AA171" s="1551">
        <v>479.78335559605034</v>
      </c>
      <c r="AB171" s="1551">
        <v>519.12693330327511</v>
      </c>
      <c r="AC171" s="1550">
        <v>527.43296423612753</v>
      </c>
      <c r="AD171" s="1551">
        <v>535.87189166390556</v>
      </c>
      <c r="AE171" s="1551">
        <v>544.4458419305281</v>
      </c>
      <c r="AF171" s="1551">
        <v>553.15697540141662</v>
      </c>
      <c r="AG171" s="1552">
        <v>562.00748700783925</v>
      </c>
      <c r="AH171" s="697"/>
      <c r="AI171" s="707"/>
      <c r="AJ171" s="709">
        <f t="shared" si="234"/>
        <v>374.02780799919725</v>
      </c>
      <c r="AK171" s="710">
        <f t="shared" si="235"/>
        <v>407.32642138548562</v>
      </c>
      <c r="AL171" s="710">
        <f t="shared" si="236"/>
        <v>442.54790448001347</v>
      </c>
      <c r="AM171" s="710">
        <f t="shared" si="237"/>
        <v>479.78335559605034</v>
      </c>
      <c r="AN171" s="710">
        <f t="shared" si="238"/>
        <v>519.12693330327511</v>
      </c>
      <c r="AO171" s="711">
        <f t="shared" si="239"/>
        <v>527.43296423612753</v>
      </c>
      <c r="AP171" s="707">
        <f t="shared" si="240"/>
        <v>535.87189166390556</v>
      </c>
      <c r="AQ171" s="707">
        <f t="shared" si="241"/>
        <v>544.4458419305281</v>
      </c>
      <c r="AR171" s="707">
        <f t="shared" si="242"/>
        <v>553.15697540141662</v>
      </c>
      <c r="AS171" s="712">
        <f t="shared" si="243"/>
        <v>562.00748700783925</v>
      </c>
      <c r="AU171" s="1369"/>
      <c r="AV171" s="1559"/>
      <c r="AW171" s="1412" t="str">
        <f t="shared" si="191"/>
        <v>Price</v>
      </c>
      <c r="AX171" s="1413" t="str">
        <f t="shared" si="191"/>
        <v>Sewerage</v>
      </c>
      <c r="AY171" s="1414" t="str">
        <f t="shared" si="192"/>
        <v>Fixed</v>
      </c>
      <c r="AZ171" s="1415">
        <f t="shared" si="284"/>
        <v>4.487856304967508E-3</v>
      </c>
      <c r="BA171" s="1415">
        <f t="shared" si="284"/>
        <v>-1.3146362839614456E-2</v>
      </c>
      <c r="BB171" s="1415">
        <f t="shared" si="284"/>
        <v>-2.1440823327615766E-2</v>
      </c>
      <c r="BC171" s="1415">
        <f t="shared" si="194"/>
        <v>-2.3398803945923752E-2</v>
      </c>
      <c r="BD171" s="1415">
        <f t="shared" si="195"/>
        <v>-1.4946278281093073E-2</v>
      </c>
      <c r="BE171" s="1415">
        <f t="shared" si="196"/>
        <v>1.6921432575421891E-2</v>
      </c>
      <c r="BF171" s="1415">
        <f t="shared" si="197"/>
        <v>1.7939151874102333E-3</v>
      </c>
      <c r="BG171" s="1416">
        <f t="shared" si="198"/>
        <v>9.3723982896107838E-3</v>
      </c>
      <c r="BH171" s="1417">
        <f t="shared" si="199"/>
        <v>9.1924470132531244E-2</v>
      </c>
      <c r="BI171" s="1417">
        <f t="shared" si="200"/>
        <v>8.9027106204787376E-2</v>
      </c>
      <c r="BJ171" s="1417">
        <f t="shared" si="201"/>
        <v>8.6469920057542504E-2</v>
      </c>
      <c r="BK171" s="1417">
        <f t="shared" si="202"/>
        <v>8.4138803368164039E-2</v>
      </c>
      <c r="BL171" s="1418">
        <f t="shared" si="203"/>
        <v>8.2002798238690389E-2</v>
      </c>
      <c r="BM171" s="1417">
        <f t="shared" si="204"/>
        <v>1.6000000000000014E-2</v>
      </c>
      <c r="BN171" s="1417">
        <f t="shared" si="205"/>
        <v>1.6000000000000014E-2</v>
      </c>
      <c r="BO171" s="1417">
        <f t="shared" si="206"/>
        <v>1.6000000000000014E-2</v>
      </c>
      <c r="BP171" s="1417">
        <f t="shared" si="207"/>
        <v>1.6000000000000014E-2</v>
      </c>
      <c r="BQ171" s="1419">
        <f t="shared" si="208"/>
        <v>1.6000000000000014E-2</v>
      </c>
      <c r="BR171" s="1378"/>
      <c r="BS171" s="1420"/>
      <c r="BT171" s="1421"/>
      <c r="BU171" s="1422"/>
      <c r="BV171" s="1423"/>
      <c r="BW171" s="1378"/>
      <c r="BX171" s="1412" t="str">
        <f t="shared" si="209"/>
        <v>Price</v>
      </c>
      <c r="BY171" s="1413" t="str">
        <f t="shared" si="210"/>
        <v>Sewerage</v>
      </c>
      <c r="BZ171" s="1414" t="str">
        <f t="shared" si="211"/>
        <v>Fixed</v>
      </c>
      <c r="CA171" s="1424">
        <f t="shared" ref="CA171:CR171" si="297">IFERROR((P171/O171-1)*(O173/O$13),"-")</f>
        <v>1.5375967926694874E-4</v>
      </c>
      <c r="CB171" s="1415">
        <f t="shared" si="297"/>
        <v>-4.4976595660759536E-4</v>
      </c>
      <c r="CC171" s="1415">
        <f t="shared" si="297"/>
        <v>-7.4834052903099675E-4</v>
      </c>
      <c r="CD171" s="1415">
        <f t="shared" si="297"/>
        <v>-8.2963074322410936E-4</v>
      </c>
      <c r="CE171" s="1415">
        <f t="shared" si="297"/>
        <v>-5.4294957997003926E-4</v>
      </c>
      <c r="CF171" s="1415">
        <f t="shared" si="297"/>
        <v>5.8967375276110408E-4</v>
      </c>
      <c r="CG171" s="1415">
        <f t="shared" si="297"/>
        <v>6.0919786725808188E-5</v>
      </c>
      <c r="CH171" s="1425">
        <f t="shared" si="297"/>
        <v>3.0789529212617029E-4</v>
      </c>
      <c r="CI171" s="1417">
        <f t="shared" si="297"/>
        <v>3.1328410017689959E-3</v>
      </c>
      <c r="CJ171" s="1417">
        <f t="shared" si="297"/>
        <v>3.1086575664643797E-3</v>
      </c>
      <c r="CK171" s="1417">
        <f t="shared" si="297"/>
        <v>3.1198681332579026E-3</v>
      </c>
      <c r="CL171" s="1417">
        <f t="shared" si="297"/>
        <v>3.1293788163851569E-3</v>
      </c>
      <c r="CM171" s="1418">
        <f t="shared" si="297"/>
        <v>3.1366179363708224E-3</v>
      </c>
      <c r="CN171" s="1417">
        <f t="shared" si="297"/>
        <v>6.2826155607209448E-4</v>
      </c>
      <c r="CO171" s="1417">
        <f t="shared" si="297"/>
        <v>6.2702477729302617E-4</v>
      </c>
      <c r="CP171" s="1417">
        <f t="shared" si="297"/>
        <v>6.2564369240522501E-4</v>
      </c>
      <c r="CQ171" s="1417">
        <f t="shared" si="297"/>
        <v>6.2435162851016718E-4</v>
      </c>
      <c r="CR171" s="1419">
        <f t="shared" si="297"/>
        <v>6.2277137675891046E-4</v>
      </c>
      <c r="CS171" s="1378"/>
      <c r="CT171" s="1412" t="str">
        <f t="shared" si="188"/>
        <v>Price</v>
      </c>
      <c r="CU171" s="1413" t="str">
        <f t="shared" si="189"/>
        <v>Sewerage</v>
      </c>
      <c r="CV171" s="1426" t="str">
        <f t="shared" si="190"/>
        <v>Fixed</v>
      </c>
      <c r="CW171" s="1427">
        <f t="shared" si="213"/>
        <v>9.0474825891283972E-2</v>
      </c>
      <c r="CX171" s="1417">
        <f t="shared" si="214"/>
        <v>8.9138219657356244E-2</v>
      </c>
      <c r="CY171" s="1417">
        <f t="shared" si="215"/>
        <v>8.7886208377739639E-2</v>
      </c>
      <c r="CZ171" s="1419">
        <f t="shared" si="216"/>
        <v>8.6706972607742072E-2</v>
      </c>
      <c r="DA171" s="1417">
        <f t="shared" si="217"/>
        <v>7.4589673175512905E-2</v>
      </c>
      <c r="DB171" s="1417">
        <f t="shared" si="218"/>
        <v>6.6017270101976333E-2</v>
      </c>
      <c r="DC171" s="1417">
        <f t="shared" si="219"/>
        <v>5.9632875532432905E-2</v>
      </c>
      <c r="DD171" s="1417">
        <f t="shared" si="220"/>
        <v>5.4693681993094323E-2</v>
      </c>
      <c r="DE171" s="1419">
        <f t="shared" si="221"/>
        <v>5.0758908679562786E-2</v>
      </c>
      <c r="DF171" s="1378"/>
      <c r="DG171" s="1412" t="str">
        <f t="shared" si="222"/>
        <v>Price</v>
      </c>
      <c r="DH171" s="1413" t="str">
        <f t="shared" si="222"/>
        <v>Sewerage</v>
      </c>
      <c r="DI171" s="1426" t="str">
        <f t="shared" si="222"/>
        <v>Fixed</v>
      </c>
      <c r="DJ171" s="1426"/>
      <c r="DK171" s="1427">
        <f t="shared" si="223"/>
        <v>8.7747761670329716E-2</v>
      </c>
      <c r="DL171" s="1417">
        <f t="shared" si="224"/>
        <v>8.654344267882963E-2</v>
      </c>
      <c r="DM171" s="1417">
        <f t="shared" si="225"/>
        <v>8.5406498288445043E-2</v>
      </c>
      <c r="DN171" s="1418">
        <f t="shared" si="226"/>
        <v>7.1155878329403732E-2</v>
      </c>
      <c r="DO171" s="1417">
        <f t="shared" si="227"/>
        <v>6.1759562085184294E-2</v>
      </c>
      <c r="DP171" s="1417">
        <f t="shared" si="228"/>
        <v>5.5098414610869284E-2</v>
      </c>
      <c r="DQ171" s="1417">
        <f t="shared" si="229"/>
        <v>5.0129993029939257E-2</v>
      </c>
      <c r="DR171" s="1419">
        <f t="shared" si="230"/>
        <v>4.6281845881722239E-2</v>
      </c>
    </row>
    <row r="172" spans="4:122">
      <c r="E172" s="742" t="s">
        <v>45</v>
      </c>
      <c r="F172" s="722" t="str">
        <f>+F171</f>
        <v>Sewerage</v>
      </c>
      <c r="G172" s="723" t="str">
        <f>+G171</f>
        <v>Wastewater Fixed Charges - Group B</v>
      </c>
      <c r="H172" s="723">
        <f>+H171</f>
        <v>0</v>
      </c>
      <c r="I172" s="724" t="str">
        <f>+I171</f>
        <v>Fixed</v>
      </c>
      <c r="J172" s="782" t="s">
        <v>323</v>
      </c>
      <c r="K172" s="1540"/>
      <c r="L172" s="1541"/>
      <c r="M172" s="1541"/>
      <c r="N172" s="1542"/>
      <c r="O172" s="2031">
        <v>7237</v>
      </c>
      <c r="P172" s="1543">
        <v>7381</v>
      </c>
      <c r="Q172" s="1543">
        <v>7495</v>
      </c>
      <c r="R172" s="1543">
        <v>7639</v>
      </c>
      <c r="S172" s="1543">
        <v>7743.0063313609462</v>
      </c>
      <c r="T172" s="1543">
        <v>7808</v>
      </c>
      <c r="U172" s="1543">
        <v>7861</v>
      </c>
      <c r="V172" s="1543">
        <v>7952</v>
      </c>
      <c r="W172" s="1543">
        <v>8026.4531783936627</v>
      </c>
      <c r="X172" s="1544">
        <v>8101.7813239547741</v>
      </c>
      <c r="Y172" s="1543">
        <v>8177.9966093439789</v>
      </c>
      <c r="Z172" s="1543">
        <v>8255.1114018617991</v>
      </c>
      <c r="AA172" s="1543">
        <v>8333.1382669141203</v>
      </c>
      <c r="AB172" s="1543">
        <v>8412.0899715443902</v>
      </c>
      <c r="AC172" s="1544">
        <v>8491.9794880338231</v>
      </c>
      <c r="AD172" s="1543">
        <v>8572.8199975710722</v>
      </c>
      <c r="AE172" s="1543">
        <v>8654.6248939926918</v>
      </c>
      <c r="AF172" s="1543">
        <v>8737.407787595921</v>
      </c>
      <c r="AG172" s="788">
        <v>8821.1825090251823</v>
      </c>
      <c r="AH172" s="697"/>
      <c r="AI172" s="707"/>
      <c r="AJ172" s="709">
        <f t="shared" si="234"/>
        <v>8101.7813239547741</v>
      </c>
      <c r="AK172" s="710">
        <f t="shared" si="235"/>
        <v>8177.9966093439789</v>
      </c>
      <c r="AL172" s="710">
        <f t="shared" si="236"/>
        <v>8255.1114018617991</v>
      </c>
      <c r="AM172" s="710">
        <f t="shared" si="237"/>
        <v>8333.1382669141203</v>
      </c>
      <c r="AN172" s="710">
        <f t="shared" si="238"/>
        <v>8412.0899715443902</v>
      </c>
      <c r="AO172" s="711">
        <f t="shared" si="239"/>
        <v>8491.9794880338231</v>
      </c>
      <c r="AP172" s="707">
        <f t="shared" si="240"/>
        <v>8572.8199975710722</v>
      </c>
      <c r="AQ172" s="707">
        <f t="shared" si="241"/>
        <v>8654.6248939926918</v>
      </c>
      <c r="AR172" s="707">
        <f t="shared" si="242"/>
        <v>8737.407787595921</v>
      </c>
      <c r="AS172" s="712">
        <f t="shared" si="243"/>
        <v>8821.1825090251823</v>
      </c>
      <c r="AV172" s="1559"/>
      <c r="AW172" s="1392" t="str">
        <f t="shared" si="191"/>
        <v>Qty</v>
      </c>
      <c r="AX172" s="1393" t="str">
        <f t="shared" si="191"/>
        <v>Sewerage</v>
      </c>
      <c r="AY172" s="1394" t="str">
        <f t="shared" si="192"/>
        <v>Fixed</v>
      </c>
      <c r="AZ172" s="1395">
        <f t="shared" si="284"/>
        <v>1.9897747685505118E-2</v>
      </c>
      <c r="BA172" s="1395">
        <f t="shared" si="284"/>
        <v>1.5445061644763669E-2</v>
      </c>
      <c r="BB172" s="1395">
        <f t="shared" si="284"/>
        <v>1.9212808539025961E-2</v>
      </c>
      <c r="BC172" s="1395">
        <f t="shared" si="194"/>
        <v>1.3615176248323868E-2</v>
      </c>
      <c r="BD172" s="1395">
        <f t="shared" si="195"/>
        <v>8.3938545130479714E-3</v>
      </c>
      <c r="BE172" s="1395">
        <f t="shared" si="196"/>
        <v>6.7879098360654755E-3</v>
      </c>
      <c r="BF172" s="1395">
        <f t="shared" si="197"/>
        <v>1.1576135351736516E-2</v>
      </c>
      <c r="BG172" s="1396">
        <f t="shared" si="198"/>
        <v>9.362824244675938E-3</v>
      </c>
      <c r="BH172" s="1395">
        <f t="shared" si="199"/>
        <v>9.3849853586496224E-3</v>
      </c>
      <c r="BI172" s="1395">
        <f t="shared" si="200"/>
        <v>9.4072256879924598E-3</v>
      </c>
      <c r="BJ172" s="1395">
        <f t="shared" si="201"/>
        <v>9.4295456701107838E-3</v>
      </c>
      <c r="BK172" s="1395">
        <f t="shared" si="202"/>
        <v>9.4519457405171092E-3</v>
      </c>
      <c r="BL172" s="1397">
        <f t="shared" si="203"/>
        <v>9.474426332722663E-3</v>
      </c>
      <c r="BM172" s="1395">
        <f t="shared" si="204"/>
        <v>9.4969878781225869E-3</v>
      </c>
      <c r="BN172" s="1395">
        <f t="shared" si="205"/>
        <v>9.5196308058871359E-3</v>
      </c>
      <c r="BO172" s="1395">
        <f t="shared" si="206"/>
        <v>9.5423555428433282E-3</v>
      </c>
      <c r="BP172" s="1395">
        <f t="shared" si="207"/>
        <v>9.5651625133621465E-3</v>
      </c>
      <c r="BQ172" s="1398">
        <f t="shared" si="208"/>
        <v>9.5880521392388562E-3</v>
      </c>
      <c r="BR172" s="1378"/>
      <c r="BS172" s="1329"/>
      <c r="BT172" s="1399"/>
      <c r="BU172" s="1331"/>
      <c r="BV172" s="1400"/>
      <c r="BW172" s="1378"/>
      <c r="BX172" s="1392" t="str">
        <f t="shared" si="209"/>
        <v>Qty</v>
      </c>
      <c r="BY172" s="1393" t="str">
        <f t="shared" si="210"/>
        <v>Sewerage</v>
      </c>
      <c r="BZ172" s="1394" t="str">
        <f t="shared" si="211"/>
        <v>Fixed</v>
      </c>
      <c r="CA172" s="1401">
        <f t="shared" ref="CA172:CR172" si="298">IFERROR((P172/O172-1)*(O173/O$13),"-")</f>
        <v>6.817222064065371E-4</v>
      </c>
      <c r="CB172" s="1395">
        <f t="shared" si="298"/>
        <v>5.2840949320124935E-4</v>
      </c>
      <c r="CC172" s="1395">
        <f t="shared" si="298"/>
        <v>6.7057701500424383E-4</v>
      </c>
      <c r="CD172" s="1395">
        <f t="shared" si="298"/>
        <v>4.8274128951757573E-4</v>
      </c>
      <c r="CE172" s="1395">
        <f t="shared" si="298"/>
        <v>3.0492137885283061E-4</v>
      </c>
      <c r="CF172" s="1395">
        <f t="shared" si="298"/>
        <v>2.3654334516869026E-4</v>
      </c>
      <c r="CG172" s="1395">
        <f t="shared" si="298"/>
        <v>3.9311540572603901E-4</v>
      </c>
      <c r="CH172" s="1397">
        <f t="shared" si="298"/>
        <v>3.0758077248338998E-4</v>
      </c>
      <c r="CI172" s="1395">
        <f t="shared" si="298"/>
        <v>3.1984592231197703E-4</v>
      </c>
      <c r="CJ172" s="1395">
        <f t="shared" si="298"/>
        <v>3.2848246518478067E-4</v>
      </c>
      <c r="CK172" s="1395">
        <f t="shared" si="298"/>
        <v>3.4022165196523211E-4</v>
      </c>
      <c r="CL172" s="1395">
        <f t="shared" si="298"/>
        <v>3.5154670128322723E-4</v>
      </c>
      <c r="CM172" s="1397">
        <f t="shared" si="298"/>
        <v>3.6239806702133509E-4</v>
      </c>
      <c r="CN172" s="1395">
        <f t="shared" si="298"/>
        <v>3.7291202389419433E-4</v>
      </c>
      <c r="CO172" s="1395">
        <f t="shared" si="298"/>
        <v>3.730652741233255E-4</v>
      </c>
      <c r="CP172" s="1395">
        <f t="shared" si="298"/>
        <v>3.7313215975424746E-4</v>
      </c>
      <c r="CQ172" s="1395">
        <f t="shared" si="298"/>
        <v>3.7325154951137847E-4</v>
      </c>
      <c r="CR172" s="1398">
        <f t="shared" si="298"/>
        <v>3.731977769493746E-4</v>
      </c>
      <c r="CS172" s="1378"/>
      <c r="CT172" s="1392" t="str">
        <f t="shared" si="188"/>
        <v>Qty</v>
      </c>
      <c r="CU172" s="1393" t="str">
        <f t="shared" si="189"/>
        <v>Sewerage</v>
      </c>
      <c r="CV172" s="1393" t="str">
        <f t="shared" si="190"/>
        <v>Fixed</v>
      </c>
      <c r="CW172" s="1401">
        <f t="shared" si="213"/>
        <v>9.3961054620674833E-3</v>
      </c>
      <c r="CX172" s="1395">
        <f t="shared" si="214"/>
        <v>9.407252074991046E-3</v>
      </c>
      <c r="CY172" s="1395">
        <f t="shared" si="215"/>
        <v>9.418425305854683E-3</v>
      </c>
      <c r="CZ172" s="1398">
        <f t="shared" si="216"/>
        <v>9.4296252626884236E-3</v>
      </c>
      <c r="DA172" s="1395">
        <f t="shared" si="217"/>
        <v>9.440852053097526E-3</v>
      </c>
      <c r="DB172" s="1395">
        <f t="shared" si="218"/>
        <v>9.4521057842460454E-3</v>
      </c>
      <c r="DC172" s="1395">
        <f t="shared" si="219"/>
        <v>9.4633865628352964E-3</v>
      </c>
      <c r="DD172" s="1395">
        <f t="shared" si="220"/>
        <v>9.4746944950871992E-3</v>
      </c>
      <c r="DE172" s="1398">
        <f t="shared" si="221"/>
        <v>9.4860296867222971E-3</v>
      </c>
      <c r="DF172" s="1378"/>
      <c r="DG172" s="1392" t="str">
        <f t="shared" si="222"/>
        <v>Qty</v>
      </c>
      <c r="DH172" s="1393" t="str">
        <f t="shared" si="222"/>
        <v>Sewerage</v>
      </c>
      <c r="DI172" s="1393" t="str">
        <f t="shared" si="222"/>
        <v>Fixed</v>
      </c>
      <c r="DJ172" s="1393"/>
      <c r="DK172" s="1401">
        <f t="shared" si="223"/>
        <v>9.41838561735997E-3</v>
      </c>
      <c r="DL172" s="1395">
        <f t="shared" si="224"/>
        <v>9.4295722011064065E-3</v>
      </c>
      <c r="DM172" s="1395">
        <f t="shared" si="225"/>
        <v>9.4407855471623225E-3</v>
      </c>
      <c r="DN172" s="1397">
        <f t="shared" si="226"/>
        <v>9.4520257630299476E-3</v>
      </c>
      <c r="DO172" s="1395">
        <f t="shared" si="227"/>
        <v>9.4632929557658674E-3</v>
      </c>
      <c r="DP172" s="1395">
        <f t="shared" si="228"/>
        <v>9.4745872319610402E-3</v>
      </c>
      <c r="DQ172" s="1395">
        <f t="shared" si="229"/>
        <v>9.4859086977221452E-3</v>
      </c>
      <c r="DR172" s="1398">
        <f t="shared" si="230"/>
        <v>9.4972574586518199E-3</v>
      </c>
    </row>
    <row r="173" spans="4:122" ht="12.75" thickBot="1">
      <c r="E173" s="743" t="s">
        <v>46</v>
      </c>
      <c r="F173" s="732" t="str">
        <f>+F171</f>
        <v>Sewerage</v>
      </c>
      <c r="G173" s="733" t="str">
        <f>+G171</f>
        <v>Wastewater Fixed Charges - Group B</v>
      </c>
      <c r="H173" s="733">
        <f>+H171</f>
        <v>0</v>
      </c>
      <c r="I173" s="734" t="str">
        <f>+I171</f>
        <v>Fixed</v>
      </c>
      <c r="J173" s="735" t="s">
        <v>344</v>
      </c>
      <c r="K173" s="736">
        <f t="shared" ref="K173:AG173" si="299">K171*K172/10^6</f>
        <v>0</v>
      </c>
      <c r="L173" s="737">
        <f t="shared" si="299"/>
        <v>0</v>
      </c>
      <c r="M173" s="737">
        <f t="shared" si="299"/>
        <v>0</v>
      </c>
      <c r="N173" s="738">
        <f t="shared" si="299"/>
        <v>0</v>
      </c>
      <c r="O173" s="1923">
        <f t="shared" si="299"/>
        <v>2.5833958195927602</v>
      </c>
      <c r="P173" s="737">
        <f t="shared" si="299"/>
        <v>2.6466241796802841</v>
      </c>
      <c r="Q173" s="737">
        <f t="shared" si="299"/>
        <v>2.6521705840490797</v>
      </c>
      <c r="R173" s="737">
        <f t="shared" si="299"/>
        <v>2.6451689777701537</v>
      </c>
      <c r="S173" s="737">
        <f t="shared" si="299"/>
        <v>2.6184469344305987</v>
      </c>
      <c r="T173" s="737">
        <f t="shared" si="299"/>
        <v>2.6009612583050843</v>
      </c>
      <c r="U173" s="737">
        <f t="shared" si="299"/>
        <v>2.6629270888009047</v>
      </c>
      <c r="V173" s="737">
        <f t="shared" si="299"/>
        <v>2.6985858585152838</v>
      </c>
      <c r="W173" s="737">
        <f>W171*W172/10^6</f>
        <v>2.7493812717269654</v>
      </c>
      <c r="X173" s="738">
        <f t="shared" si="299"/>
        <v>3.0302915094876384</v>
      </c>
      <c r="Y173" s="737">
        <f t="shared" si="299"/>
        <v>3.3311140929867182</v>
      </c>
      <c r="Z173" s="737">
        <f t="shared" si="299"/>
        <v>3.6532822521430055</v>
      </c>
      <c r="AA173" s="737">
        <f t="shared" si="299"/>
        <v>3.9981010403459121</v>
      </c>
      <c r="AB173" s="737">
        <f t="shared" si="299"/>
        <v>4.3669424695990742</v>
      </c>
      <c r="AC173" s="738">
        <f t="shared" si="299"/>
        <v>4.4789499136060718</v>
      </c>
      <c r="AD173" s="737">
        <f t="shared" si="299"/>
        <v>4.5939332689925685</v>
      </c>
      <c r="AE173" s="737">
        <f t="shared" si="299"/>
        <v>4.7119745370027593</v>
      </c>
      <c r="AF173" s="737">
        <f t="shared" si="299"/>
        <v>4.8331580646353425</v>
      </c>
      <c r="AG173" s="739">
        <f t="shared" si="299"/>
        <v>4.9575706143347489</v>
      </c>
      <c r="AH173" s="697"/>
      <c r="AI173" s="707"/>
      <c r="AJ173" s="709">
        <f t="shared" si="234"/>
        <v>3.0302915094876384</v>
      </c>
      <c r="AK173" s="710">
        <f t="shared" si="235"/>
        <v>3.3311140929867182</v>
      </c>
      <c r="AL173" s="710">
        <f t="shared" si="236"/>
        <v>3.6532822521430055</v>
      </c>
      <c r="AM173" s="710">
        <f t="shared" si="237"/>
        <v>3.9981010403459121</v>
      </c>
      <c r="AN173" s="710">
        <f t="shared" si="238"/>
        <v>4.3669424695990742</v>
      </c>
      <c r="AO173" s="711">
        <f t="shared" si="239"/>
        <v>4.4789499136060718</v>
      </c>
      <c r="AP173" s="707">
        <f t="shared" si="240"/>
        <v>4.5939332689925685</v>
      </c>
      <c r="AQ173" s="707">
        <f t="shared" si="241"/>
        <v>4.7119745370027593</v>
      </c>
      <c r="AR173" s="707">
        <f t="shared" si="242"/>
        <v>4.8331580646353425</v>
      </c>
      <c r="AS173" s="712">
        <f t="shared" si="243"/>
        <v>4.9575706143347489</v>
      </c>
      <c r="AV173" s="1559"/>
      <c r="AW173" s="1428" t="str">
        <f t="shared" si="191"/>
        <v>Rev</v>
      </c>
      <c r="AX173" s="1429" t="str">
        <f t="shared" si="191"/>
        <v>Sewerage</v>
      </c>
      <c r="AY173" s="1430" t="str">
        <f t="shared" si="192"/>
        <v>Fixed</v>
      </c>
      <c r="AZ173" s="1431">
        <f t="shared" si="284"/>
        <v>2.4474902222877626E-2</v>
      </c>
      <c r="BA173" s="1431">
        <f t="shared" si="284"/>
        <v>2.0956524206869886E-3</v>
      </c>
      <c r="BB173" s="1431">
        <f t="shared" si="284"/>
        <v>-2.6399532221025312E-3</v>
      </c>
      <c r="BC173" s="1431">
        <f t="shared" si="194"/>
        <v>-1.0102206537323521E-2</v>
      </c>
      <c r="BD173" s="1431">
        <f t="shared" si="195"/>
        <v>-6.6778806534480983E-3</v>
      </c>
      <c r="BE173" s="1431">
        <f t="shared" si="196"/>
        <v>2.3824203570106395E-2</v>
      </c>
      <c r="BF173" s="1431">
        <f t="shared" si="197"/>
        <v>1.3390817144165901E-2</v>
      </c>
      <c r="BG173" s="1432">
        <f t="shared" si="198"/>
        <v>1.882297465222349E-2</v>
      </c>
      <c r="BH173" s="1431">
        <f t="shared" si="199"/>
        <v>0.1021721652974763</v>
      </c>
      <c r="BI173" s="1431">
        <f t="shared" si="200"/>
        <v>9.9271829973197168E-2</v>
      </c>
      <c r="BJ173" s="1431">
        <f t="shared" si="201"/>
        <v>9.6714837787926777E-2</v>
      </c>
      <c r="BK173" s="1431">
        <f t="shared" si="202"/>
        <v>9.4386024512788991E-2</v>
      </c>
      <c r="BL173" s="1433">
        <f t="shared" si="203"/>
        <v>9.225415404240267E-2</v>
      </c>
      <c r="BM173" s="1431">
        <f t="shared" si="204"/>
        <v>2.5648939684172367E-2</v>
      </c>
      <c r="BN173" s="1431">
        <f t="shared" si="205"/>
        <v>2.567194489878144E-2</v>
      </c>
      <c r="BO173" s="1431">
        <f t="shared" si="206"/>
        <v>2.5695033231529107E-2</v>
      </c>
      <c r="BP173" s="1431">
        <f t="shared" si="207"/>
        <v>2.5718205113575809E-2</v>
      </c>
      <c r="BQ173" s="1434">
        <f t="shared" si="208"/>
        <v>2.5741460973466745E-2</v>
      </c>
      <c r="BR173" s="1378"/>
      <c r="BS173" s="1407"/>
      <c r="BT173" s="1408"/>
      <c r="BU173" s="1409"/>
      <c r="BV173" s="1410"/>
      <c r="BW173" s="1378"/>
      <c r="BX173" s="1428" t="str">
        <f t="shared" si="209"/>
        <v>Rev</v>
      </c>
      <c r="BY173" s="1429" t="str">
        <f t="shared" si="210"/>
        <v>Sewerage</v>
      </c>
      <c r="BZ173" s="1430" t="str">
        <f t="shared" si="211"/>
        <v>Fixed</v>
      </c>
      <c r="CA173" s="1435">
        <f t="shared" ref="CA173:CR173" si="300">IFERROR((P173/O173-1)*(O173/O$13),"-")</f>
        <v>8.385413569757422E-4</v>
      </c>
      <c r="CB173" s="1431">
        <f t="shared" si="300"/>
        <v>7.1696873668135314E-5</v>
      </c>
      <c r="CC173" s="1431">
        <f t="shared" si="300"/>
        <v>-9.2141237333024514E-5</v>
      </c>
      <c r="CD173" s="1431">
        <f t="shared" si="300"/>
        <v>-3.581850224965546E-4</v>
      </c>
      <c r="CE173" s="1431">
        <f t="shared" si="300"/>
        <v>-2.425856408993967E-4</v>
      </c>
      <c r="CF173" s="1431">
        <f t="shared" si="300"/>
        <v>8.3021975019623119E-4</v>
      </c>
      <c r="CG173" s="1431">
        <f t="shared" si="300"/>
        <v>4.5474040814858933E-4</v>
      </c>
      <c r="CH173" s="1433">
        <f t="shared" si="300"/>
        <v>6.183588341155021E-4</v>
      </c>
      <c r="CI173" s="1431">
        <f t="shared" si="300"/>
        <v>3.4820885910135523E-3</v>
      </c>
      <c r="CJ173" s="1431">
        <f t="shared" si="300"/>
        <v>3.4663838749635772E-3</v>
      </c>
      <c r="CK173" s="1431">
        <f t="shared" si="300"/>
        <v>3.4895087242704154E-3</v>
      </c>
      <c r="CL173" s="1431">
        <f t="shared" si="300"/>
        <v>3.5105042364423772E-3</v>
      </c>
      <c r="CM173" s="1433">
        <f t="shared" si="300"/>
        <v>3.5287336589642005E-3</v>
      </c>
      <c r="CN173" s="1431">
        <f t="shared" si="300"/>
        <v>1.0071401723485882E-3</v>
      </c>
      <c r="CO173" s="1431">
        <f t="shared" si="300"/>
        <v>1.0060590958023286E-3</v>
      </c>
      <c r="CP173" s="1431">
        <f t="shared" si="300"/>
        <v>1.004745966715551E-3</v>
      </c>
      <c r="CQ173" s="1431">
        <f t="shared" si="300"/>
        <v>1.003575202813722E-3</v>
      </c>
      <c r="CR173" s="1434">
        <f t="shared" si="300"/>
        <v>1.0019403181394772E-3</v>
      </c>
      <c r="CS173" s="1378"/>
      <c r="CT173" s="1428" t="str">
        <f t="shared" si="188"/>
        <v>Rev</v>
      </c>
      <c r="CU173" s="1429" t="str">
        <f t="shared" si="189"/>
        <v>Sewerage</v>
      </c>
      <c r="CV173" s="1429" t="str">
        <f t="shared" si="190"/>
        <v>Fixed</v>
      </c>
      <c r="CW173" s="1435">
        <f t="shared" si="213"/>
        <v>0.1007210423590883</v>
      </c>
      <c r="CX173" s="1431">
        <f t="shared" si="214"/>
        <v>9.9384017434180016E-2</v>
      </c>
      <c r="CY173" s="1431">
        <f t="shared" si="215"/>
        <v>9.8132383372614873E-2</v>
      </c>
      <c r="CZ173" s="1434">
        <f t="shared" si="216"/>
        <v>9.6954212129783501E-2</v>
      </c>
      <c r="DA173" s="1431">
        <f t="shared" si="217"/>
        <v>8.4734715297749341E-2</v>
      </c>
      <c r="DB173" s="1431">
        <f t="shared" si="218"/>
        <v>7.6093378106813381E-2</v>
      </c>
      <c r="DC173" s="1431">
        <f t="shared" si="219"/>
        <v>6.9660591048285259E-2</v>
      </c>
      <c r="DD173" s="1431">
        <f t="shared" si="220"/>
        <v>6.4686582415877547E-2</v>
      </c>
      <c r="DE173" s="1434">
        <f t="shared" si="221"/>
        <v>6.0726438880885247E-2</v>
      </c>
      <c r="DF173" s="1378"/>
      <c r="DG173" s="1428" t="str">
        <f t="shared" si="222"/>
        <v>Rev</v>
      </c>
      <c r="DH173" s="1429" t="str">
        <f t="shared" si="222"/>
        <v>Sewerage</v>
      </c>
      <c r="DI173" s="1429" t="str">
        <f t="shared" si="222"/>
        <v>Fixed</v>
      </c>
      <c r="DJ173" s="1429"/>
      <c r="DK173" s="1435">
        <f t="shared" si="223"/>
        <v>9.7992589544160902E-2</v>
      </c>
      <c r="DL173" s="1431">
        <f t="shared" si="224"/>
        <v>9.6789082521208325E-2</v>
      </c>
      <c r="DM173" s="1431">
        <f t="shared" si="225"/>
        <v>9.5653588270282697E-2</v>
      </c>
      <c r="DN173" s="1433">
        <f t="shared" si="226"/>
        <v>8.128047128759408E-2</v>
      </c>
      <c r="DO173" s="1431">
        <f t="shared" si="227"/>
        <v>7.1807303869781958E-2</v>
      </c>
      <c r="DP173" s="1431">
        <f t="shared" si="228"/>
        <v>6.5095036578403764E-2</v>
      </c>
      <c r="DQ173" s="1431">
        <f t="shared" si="229"/>
        <v>6.0091430264560763E-2</v>
      </c>
      <c r="DR173" s="1434">
        <f t="shared" si="230"/>
        <v>5.6218653946374486E-2</v>
      </c>
    </row>
    <row r="174" spans="4:122">
      <c r="D174" s="70">
        <f>D171+1</f>
        <v>37</v>
      </c>
      <c r="E174" s="713" t="s">
        <v>44</v>
      </c>
      <c r="F174" s="1532" t="s">
        <v>21</v>
      </c>
      <c r="G174" s="1532" t="s">
        <v>899</v>
      </c>
      <c r="H174" s="1532"/>
      <c r="I174" s="781" t="s">
        <v>319</v>
      </c>
      <c r="J174" s="781" t="s">
        <v>345</v>
      </c>
      <c r="K174" s="1533"/>
      <c r="L174" s="1534"/>
      <c r="M174" s="1534"/>
      <c r="N174" s="1535"/>
      <c r="O174" s="2071">
        <v>416.49746606334844</v>
      </c>
      <c r="P174" s="1547">
        <v>418.36382770870335</v>
      </c>
      <c r="Q174" s="1547">
        <v>412.86386503067484</v>
      </c>
      <c r="R174" s="1547">
        <v>404.01172384219552</v>
      </c>
      <c r="S174" s="1547">
        <v>394.55669211195925</v>
      </c>
      <c r="T174" s="1547">
        <v>388.66813559322026</v>
      </c>
      <c r="U174" s="1547">
        <v>395.24391402714934</v>
      </c>
      <c r="V174" s="1547">
        <v>395.95683406113534</v>
      </c>
      <c r="W174" s="1547">
        <v>399.66</v>
      </c>
      <c r="X174" s="1550">
        <v>436.36577599906343</v>
      </c>
      <c r="Y174" s="1551">
        <v>475.21415828306652</v>
      </c>
      <c r="Z174" s="1551">
        <v>516.30588856001566</v>
      </c>
      <c r="AA174" s="1551">
        <v>559.7472481953921</v>
      </c>
      <c r="AB174" s="1551">
        <v>605.64808885382092</v>
      </c>
      <c r="AC174" s="1550">
        <v>615.33845827548203</v>
      </c>
      <c r="AD174" s="1551">
        <v>625.18387360788972</v>
      </c>
      <c r="AE174" s="1551">
        <v>635.18681558561593</v>
      </c>
      <c r="AF174" s="1551">
        <v>645.34980463498584</v>
      </c>
      <c r="AG174" s="1552">
        <v>655.67540150914567</v>
      </c>
      <c r="AH174" s="697"/>
      <c r="AI174" s="707"/>
      <c r="AJ174" s="709">
        <f t="shared" si="234"/>
        <v>436.36577599906343</v>
      </c>
      <c r="AK174" s="710">
        <f t="shared" si="235"/>
        <v>475.21415828306652</v>
      </c>
      <c r="AL174" s="710">
        <f t="shared" si="236"/>
        <v>516.30588856001566</v>
      </c>
      <c r="AM174" s="710">
        <f t="shared" si="237"/>
        <v>559.7472481953921</v>
      </c>
      <c r="AN174" s="710">
        <f t="shared" si="238"/>
        <v>605.64808885382092</v>
      </c>
      <c r="AO174" s="711">
        <f t="shared" si="239"/>
        <v>615.33845827548203</v>
      </c>
      <c r="AP174" s="707">
        <f t="shared" si="240"/>
        <v>625.18387360788972</v>
      </c>
      <c r="AQ174" s="707">
        <f t="shared" si="241"/>
        <v>635.18681558561593</v>
      </c>
      <c r="AR174" s="707">
        <f t="shared" si="242"/>
        <v>645.34980463498584</v>
      </c>
      <c r="AS174" s="712">
        <f t="shared" si="243"/>
        <v>655.67540150914567</v>
      </c>
      <c r="AU174" s="1369"/>
      <c r="AV174" s="1559"/>
      <c r="AW174" s="1412" t="str">
        <f t="shared" si="191"/>
        <v>Price</v>
      </c>
      <c r="AX174" s="1413" t="str">
        <f t="shared" si="191"/>
        <v>Sewerage</v>
      </c>
      <c r="AY174" s="1414" t="str">
        <f t="shared" si="192"/>
        <v>Fixed</v>
      </c>
      <c r="AZ174" s="1415">
        <f t="shared" si="284"/>
        <v>4.4810876354073326E-3</v>
      </c>
      <c r="BA174" s="1415">
        <f t="shared" si="284"/>
        <v>-1.3146362839614345E-2</v>
      </c>
      <c r="BB174" s="1415">
        <f t="shared" si="284"/>
        <v>-2.1440823327615766E-2</v>
      </c>
      <c r="BC174" s="1415">
        <f t="shared" si="194"/>
        <v>-2.3402864749363927E-2</v>
      </c>
      <c r="BD174" s="1415">
        <f t="shared" si="195"/>
        <v>-1.4924487751605708E-2</v>
      </c>
      <c r="BE174" s="1415">
        <f t="shared" si="196"/>
        <v>1.6918748494503033E-2</v>
      </c>
      <c r="BF174" s="1415">
        <f t="shared" si="197"/>
        <v>1.8037470247727061E-3</v>
      </c>
      <c r="BG174" s="1416">
        <f t="shared" si="198"/>
        <v>9.352448601235519E-3</v>
      </c>
      <c r="BH174" s="1417">
        <f t="shared" si="199"/>
        <v>9.1842506127867152E-2</v>
      </c>
      <c r="BI174" s="1417">
        <f t="shared" si="200"/>
        <v>8.9027106204787376E-2</v>
      </c>
      <c r="BJ174" s="1417">
        <f t="shared" si="201"/>
        <v>8.6469920057542504E-2</v>
      </c>
      <c r="BK174" s="1417">
        <f t="shared" si="202"/>
        <v>8.4138803368164261E-2</v>
      </c>
      <c r="BL174" s="1418">
        <f t="shared" si="203"/>
        <v>8.2002798238690167E-2</v>
      </c>
      <c r="BM174" s="1417">
        <f t="shared" si="204"/>
        <v>1.6000000000000014E-2</v>
      </c>
      <c r="BN174" s="1417">
        <f t="shared" si="205"/>
        <v>1.6000000000000014E-2</v>
      </c>
      <c r="BO174" s="1417">
        <f t="shared" si="206"/>
        <v>1.6000000000000014E-2</v>
      </c>
      <c r="BP174" s="1417">
        <f t="shared" si="207"/>
        <v>1.6000000000000014E-2</v>
      </c>
      <c r="BQ174" s="1419">
        <f t="shared" si="208"/>
        <v>1.6000000000000014E-2</v>
      </c>
      <c r="BR174" s="1378"/>
      <c r="BS174" s="1420"/>
      <c r="BT174" s="1421"/>
      <c r="BU174" s="1422"/>
      <c r="BV174" s="1423"/>
      <c r="BW174" s="1378"/>
      <c r="BX174" s="1412" t="str">
        <f t="shared" si="209"/>
        <v>Price</v>
      </c>
      <c r="BY174" s="1413" t="str">
        <f t="shared" si="210"/>
        <v>Sewerage</v>
      </c>
      <c r="BZ174" s="1414" t="str">
        <f t="shared" si="211"/>
        <v>Fixed</v>
      </c>
      <c r="CA174" s="1424">
        <f t="shared" ref="CA174:CR174" si="301">IFERROR((P174/O174-1)*(O176/O$13),"-")</f>
        <v>8.0319883713933466E-5</v>
      </c>
      <c r="CB174" s="1415">
        <f t="shared" si="301"/>
        <v>-2.3255676420149324E-4</v>
      </c>
      <c r="CC174" s="1415">
        <f t="shared" si="301"/>
        <v>-3.841982107330986E-4</v>
      </c>
      <c r="CD174" s="1415">
        <f t="shared" si="301"/>
        <v>-4.2154367684217581E-4</v>
      </c>
      <c r="CE174" s="1415">
        <f t="shared" si="301"/>
        <v>-2.7292184996467305E-4</v>
      </c>
      <c r="CF174" s="1415">
        <f t="shared" si="301"/>
        <v>2.9628852012668886E-4</v>
      </c>
      <c r="CG174" s="1415">
        <f t="shared" si="301"/>
        <v>3.0702169978716925E-5</v>
      </c>
      <c r="CH174" s="1425">
        <f t="shared" si="301"/>
        <v>1.5345420610088153E-4</v>
      </c>
      <c r="CI174" s="1417">
        <f t="shared" si="301"/>
        <v>1.5558097372037462E-3</v>
      </c>
      <c r="CJ174" s="1417">
        <f t="shared" si="301"/>
        <v>1.5376524675634372E-3</v>
      </c>
      <c r="CK174" s="1417">
        <f t="shared" si="301"/>
        <v>1.5357954106145705E-3</v>
      </c>
      <c r="CL174" s="1417">
        <f t="shared" si="301"/>
        <v>1.5330863256427204E-3</v>
      </c>
      <c r="CM174" s="1418">
        <f t="shared" si="301"/>
        <v>1.5292589251453129E-3</v>
      </c>
      <c r="CN174" s="1417">
        <f t="shared" si="301"/>
        <v>3.0483895971340704E-4</v>
      </c>
      <c r="CO174" s="1417">
        <f t="shared" si="301"/>
        <v>3.0277847027696084E-4</v>
      </c>
      <c r="CP174" s="1417">
        <f t="shared" si="301"/>
        <v>3.0066124325667969E-4</v>
      </c>
      <c r="CQ174" s="1417">
        <f t="shared" si="301"/>
        <v>2.9859984341590041E-4</v>
      </c>
      <c r="CR174" s="1419">
        <f t="shared" si="301"/>
        <v>2.9641409238078152E-4</v>
      </c>
      <c r="CS174" s="1378"/>
      <c r="CT174" s="1412" t="str">
        <f t="shared" si="188"/>
        <v>Price</v>
      </c>
      <c r="CU174" s="1413" t="str">
        <f t="shared" si="189"/>
        <v>Sewerage</v>
      </c>
      <c r="CV174" s="1426" t="str">
        <f t="shared" si="190"/>
        <v>Fixed</v>
      </c>
      <c r="CW174" s="1427">
        <f t="shared" si="213"/>
        <v>9.0433897528783724E-2</v>
      </c>
      <c r="CX174" s="1417">
        <f t="shared" si="214"/>
        <v>8.9110967356089921E-2</v>
      </c>
      <c r="CY174" s="1417">
        <f t="shared" si="215"/>
        <v>8.7865792583704527E-2</v>
      </c>
      <c r="CZ174" s="1419">
        <f t="shared" si="216"/>
        <v>8.6690657645979163E-2</v>
      </c>
      <c r="DA174" s="1417">
        <f t="shared" si="217"/>
        <v>7.4576228956874324E-2</v>
      </c>
      <c r="DB174" s="1417">
        <f t="shared" si="218"/>
        <v>6.6005838403972117E-2</v>
      </c>
      <c r="DC174" s="1417">
        <f t="shared" si="219"/>
        <v>5.9622932696560271E-2</v>
      </c>
      <c r="DD174" s="1417">
        <f t="shared" si="220"/>
        <v>5.4684885108492232E-2</v>
      </c>
      <c r="DE174" s="1419">
        <f t="shared" si="221"/>
        <v>5.0751021017022335E-2</v>
      </c>
      <c r="DF174" s="1378"/>
      <c r="DG174" s="1412" t="str">
        <f t="shared" si="222"/>
        <v>Price</v>
      </c>
      <c r="DH174" s="1413" t="str">
        <f t="shared" si="222"/>
        <v>Sewerage</v>
      </c>
      <c r="DI174" s="1426" t="str">
        <f t="shared" si="222"/>
        <v>Fixed</v>
      </c>
      <c r="DJ174" s="1426"/>
      <c r="DK174" s="1427">
        <f t="shared" si="223"/>
        <v>8.7747761670329716E-2</v>
      </c>
      <c r="DL174" s="1417">
        <f t="shared" si="224"/>
        <v>8.654344267882963E-2</v>
      </c>
      <c r="DM174" s="1417">
        <f t="shared" si="225"/>
        <v>8.5406498288445043E-2</v>
      </c>
      <c r="DN174" s="1418">
        <f t="shared" si="226"/>
        <v>7.1155878329403732E-2</v>
      </c>
      <c r="DO174" s="1417">
        <f t="shared" si="227"/>
        <v>6.1759562085184294E-2</v>
      </c>
      <c r="DP174" s="1417">
        <f t="shared" si="228"/>
        <v>5.5098414610869284E-2</v>
      </c>
      <c r="DQ174" s="1417">
        <f t="shared" si="229"/>
        <v>5.0129993029939257E-2</v>
      </c>
      <c r="DR174" s="1419">
        <f t="shared" si="230"/>
        <v>4.6281845881722239E-2</v>
      </c>
    </row>
    <row r="175" spans="4:122">
      <c r="E175" s="742" t="s">
        <v>45</v>
      </c>
      <c r="F175" s="722" t="str">
        <f>+F174</f>
        <v>Sewerage</v>
      </c>
      <c r="G175" s="723" t="str">
        <f>+G174</f>
        <v>Wastewater Fixed Charges - Group C</v>
      </c>
      <c r="H175" s="723">
        <f>+H174</f>
        <v>0</v>
      </c>
      <c r="I175" s="724" t="str">
        <f>+I174</f>
        <v>Fixed</v>
      </c>
      <c r="J175" s="782" t="s">
        <v>323</v>
      </c>
      <c r="K175" s="1540"/>
      <c r="L175" s="1541"/>
      <c r="M175" s="1541"/>
      <c r="N175" s="1542"/>
      <c r="O175" s="2031">
        <v>3245</v>
      </c>
      <c r="P175" s="1543">
        <v>3271</v>
      </c>
      <c r="Q175" s="1543">
        <v>3298</v>
      </c>
      <c r="R175" s="1543">
        <v>3326.15</v>
      </c>
      <c r="S175" s="1543">
        <v>3340.7716999999998</v>
      </c>
      <c r="T175" s="1543">
        <v>3363</v>
      </c>
      <c r="U175" s="1543">
        <v>3377</v>
      </c>
      <c r="V175" s="1543">
        <v>3404</v>
      </c>
      <c r="W175" s="1543">
        <v>3419.3993627067807</v>
      </c>
      <c r="X175" s="1544">
        <v>3434.9390219559841</v>
      </c>
      <c r="Y175" s="1543">
        <v>3450.6210219312561</v>
      </c>
      <c r="Z175" s="1543">
        <v>3466.4474460792394</v>
      </c>
      <c r="AA175" s="1543">
        <v>3482.4204179686176</v>
      </c>
      <c r="AB175" s="1543">
        <v>3498.5421021690072</v>
      </c>
      <c r="AC175" s="1544">
        <v>3514.8147051501683</v>
      </c>
      <c r="AD175" s="1543">
        <v>3531.2404762020083</v>
      </c>
      <c r="AE175" s="1543">
        <v>3547.8217083758809</v>
      </c>
      <c r="AF175" s="1543">
        <v>3564.5607394476729</v>
      </c>
      <c r="AG175" s="788">
        <v>3581.4599529032021</v>
      </c>
      <c r="AH175" s="697"/>
      <c r="AI175" s="707"/>
      <c r="AJ175" s="709">
        <f t="shared" si="234"/>
        <v>3434.9390219559841</v>
      </c>
      <c r="AK175" s="710">
        <f t="shared" si="235"/>
        <v>3450.6210219312561</v>
      </c>
      <c r="AL175" s="710">
        <f t="shared" si="236"/>
        <v>3466.4474460792394</v>
      </c>
      <c r="AM175" s="710">
        <f t="shared" si="237"/>
        <v>3482.4204179686176</v>
      </c>
      <c r="AN175" s="710">
        <f t="shared" si="238"/>
        <v>3498.5421021690072</v>
      </c>
      <c r="AO175" s="711">
        <f t="shared" si="239"/>
        <v>3514.8147051501683</v>
      </c>
      <c r="AP175" s="707">
        <f t="shared" si="240"/>
        <v>3531.2404762020083</v>
      </c>
      <c r="AQ175" s="707">
        <f t="shared" si="241"/>
        <v>3547.8217083758809</v>
      </c>
      <c r="AR175" s="707">
        <f t="shared" si="242"/>
        <v>3564.5607394476729</v>
      </c>
      <c r="AS175" s="712">
        <f t="shared" si="243"/>
        <v>3581.4599529032021</v>
      </c>
      <c r="AV175" s="1559"/>
      <c r="AW175" s="1392" t="str">
        <f t="shared" si="191"/>
        <v>Qty</v>
      </c>
      <c r="AX175" s="1393" t="str">
        <f t="shared" si="191"/>
        <v>Sewerage</v>
      </c>
      <c r="AY175" s="1394" t="str">
        <f t="shared" si="192"/>
        <v>Fixed</v>
      </c>
      <c r="AZ175" s="1395">
        <f t="shared" si="284"/>
        <v>8.0123266563945084E-3</v>
      </c>
      <c r="BA175" s="1395">
        <f t="shared" si="284"/>
        <v>8.254356465912549E-3</v>
      </c>
      <c r="BB175" s="1395">
        <f t="shared" si="284"/>
        <v>8.5354760460885082E-3</v>
      </c>
      <c r="BC175" s="1395">
        <f t="shared" si="194"/>
        <v>4.3959833441065133E-3</v>
      </c>
      <c r="BD175" s="1395">
        <f t="shared" si="195"/>
        <v>6.6536423306029491E-3</v>
      </c>
      <c r="BE175" s="1395">
        <f t="shared" si="196"/>
        <v>4.1629497472495114E-3</v>
      </c>
      <c r="BF175" s="1395">
        <f t="shared" si="197"/>
        <v>7.9952620669232477E-3</v>
      </c>
      <c r="BG175" s="1396">
        <f t="shared" si="198"/>
        <v>4.5239020877734237E-3</v>
      </c>
      <c r="BH175" s="1395">
        <f t="shared" si="199"/>
        <v>4.5445581521377232E-3</v>
      </c>
      <c r="BI175" s="1395">
        <f t="shared" si="200"/>
        <v>4.5654376613479819E-3</v>
      </c>
      <c r="BJ175" s="1395">
        <f t="shared" si="201"/>
        <v>4.5865437112317942E-3</v>
      </c>
      <c r="BK175" s="1395">
        <f t="shared" si="202"/>
        <v>4.6078794321386951E-3</v>
      </c>
      <c r="BL175" s="1397">
        <f t="shared" si="203"/>
        <v>4.6294479888771001E-3</v>
      </c>
      <c r="BM175" s="1395">
        <f t="shared" si="204"/>
        <v>4.6512525806312599E-3</v>
      </c>
      <c r="BN175" s="1395">
        <f t="shared" si="205"/>
        <v>4.6732964408540134E-3</v>
      </c>
      <c r="BO175" s="1395">
        <f t="shared" si="206"/>
        <v>4.6955828371413322E-3</v>
      </c>
      <c r="BP175" s="1395">
        <f t="shared" si="207"/>
        <v>4.7181150710797759E-3</v>
      </c>
      <c r="BQ175" s="1398">
        <f t="shared" si="208"/>
        <v>4.7408964780741858E-3</v>
      </c>
      <c r="BR175" s="1378"/>
      <c r="BS175" s="1329"/>
      <c r="BT175" s="1399"/>
      <c r="BU175" s="1331"/>
      <c r="BV175" s="1400"/>
      <c r="BW175" s="1378"/>
      <c r="BX175" s="1392" t="str">
        <f t="shared" si="209"/>
        <v>Qty</v>
      </c>
      <c r="BY175" s="1393" t="str">
        <f t="shared" si="210"/>
        <v>Sewerage</v>
      </c>
      <c r="BZ175" s="1394" t="str">
        <f t="shared" si="211"/>
        <v>Fixed</v>
      </c>
      <c r="CA175" s="1401">
        <f t="shared" ref="CA175:CR175" si="302">IFERROR((P175/O175-1)*(O176/O$13),"-")</f>
        <v>1.4361449667590743E-4</v>
      </c>
      <c r="CB175" s="1395">
        <f t="shared" si="302"/>
        <v>1.4601806246316933E-4</v>
      </c>
      <c r="CC175" s="1395">
        <f t="shared" si="302"/>
        <v>1.5294723409425574E-4</v>
      </c>
      <c r="CD175" s="1395">
        <f t="shared" si="302"/>
        <v>7.9182570256147345E-5</v>
      </c>
      <c r="CE175" s="1395">
        <f t="shared" si="302"/>
        <v>1.2167415083817817E-4</v>
      </c>
      <c r="CF175" s="1395">
        <f t="shared" si="302"/>
        <v>7.2903395920512605E-5</v>
      </c>
      <c r="CG175" s="1395">
        <f t="shared" si="302"/>
        <v>1.3608997915547365E-4</v>
      </c>
      <c r="CH175" s="1397">
        <f t="shared" si="302"/>
        <v>7.4227812731917213E-5</v>
      </c>
      <c r="CI175" s="1395">
        <f t="shared" si="302"/>
        <v>7.6984700466913646E-5</v>
      </c>
      <c r="CJ175" s="1395">
        <f t="shared" si="302"/>
        <v>7.8853023362689887E-5</v>
      </c>
      <c r="CK175" s="1395">
        <f t="shared" si="302"/>
        <v>8.1461770493200354E-5</v>
      </c>
      <c r="CL175" s="1395">
        <f t="shared" si="302"/>
        <v>8.3959798152954225E-5</v>
      </c>
      <c r="CM175" s="1397">
        <f t="shared" si="302"/>
        <v>8.6333939908724366E-5</v>
      </c>
      <c r="CN175" s="1395">
        <f t="shared" si="302"/>
        <v>8.8617687377745742E-5</v>
      </c>
      <c r="CO175" s="1395">
        <f t="shared" si="302"/>
        <v>8.8435846719533913E-5</v>
      </c>
      <c r="CP175" s="1395">
        <f t="shared" si="302"/>
        <v>8.8236235851852439E-5</v>
      </c>
      <c r="CQ175" s="1395">
        <f t="shared" si="302"/>
        <v>8.8051776340163719E-5</v>
      </c>
      <c r="CR175" s="1398">
        <f t="shared" si="302"/>
        <v>8.7829282913725137E-5</v>
      </c>
      <c r="CS175" s="1378"/>
      <c r="CT175" s="1392" t="str">
        <f t="shared" si="188"/>
        <v>Qty</v>
      </c>
      <c r="CU175" s="1393" t="str">
        <f t="shared" si="189"/>
        <v>Sewerage</v>
      </c>
      <c r="CV175" s="1393" t="str">
        <f t="shared" si="190"/>
        <v>Fixed</v>
      </c>
      <c r="CW175" s="1401">
        <f t="shared" si="213"/>
        <v>4.5549978524956902E-3</v>
      </c>
      <c r="CX175" s="1395">
        <f t="shared" si="214"/>
        <v>4.5655130286732515E-3</v>
      </c>
      <c r="CY175" s="1395">
        <f t="shared" si="215"/>
        <v>4.5761044620353797E-3</v>
      </c>
      <c r="CZ175" s="1398">
        <f t="shared" si="216"/>
        <v>4.5867729408053393E-3</v>
      </c>
      <c r="DA175" s="1395">
        <f t="shared" si="217"/>
        <v>4.5975192600486992E-3</v>
      </c>
      <c r="DB175" s="1395">
        <f t="shared" si="218"/>
        <v>4.6083442216555692E-3</v>
      </c>
      <c r="DC175" s="1395">
        <f t="shared" si="219"/>
        <v>4.6192486343195061E-3</v>
      </c>
      <c r="DD175" s="1395">
        <f t="shared" si="220"/>
        <v>4.6302333135137541E-3</v>
      </c>
      <c r="DE175" s="1398">
        <f t="shared" si="221"/>
        <v>4.6412990814628241E-3</v>
      </c>
      <c r="DF175" s="1378"/>
      <c r="DG175" s="1392" t="str">
        <f t="shared" si="222"/>
        <v>Qty</v>
      </c>
      <c r="DH175" s="1393" t="str">
        <f t="shared" si="222"/>
        <v>Sewerage</v>
      </c>
      <c r="DI175" s="1393" t="str">
        <f t="shared" si="222"/>
        <v>Fixed</v>
      </c>
      <c r="DJ175" s="1393"/>
      <c r="DK175" s="1401">
        <f t="shared" si="223"/>
        <v>4.5759906308604492E-3</v>
      </c>
      <c r="DL175" s="1395">
        <f t="shared" si="224"/>
        <v>4.5866201188147215E-3</v>
      </c>
      <c r="DM175" s="1395">
        <f t="shared" si="225"/>
        <v>4.5973269151609042E-3</v>
      </c>
      <c r="DN175" s="1397">
        <f t="shared" si="226"/>
        <v>4.6081118166889645E-3</v>
      </c>
      <c r="DO175" s="1395">
        <f t="shared" si="227"/>
        <v>4.618975627009636E-3</v>
      </c>
      <c r="DP175" s="1395">
        <f t="shared" si="228"/>
        <v>4.6299191565342124E-3</v>
      </c>
      <c r="DQ175" s="1395">
        <f t="shared" si="229"/>
        <v>4.640943222448346E-3</v>
      </c>
      <c r="DR175" s="1398">
        <f t="shared" si="230"/>
        <v>4.6520486486842927E-3</v>
      </c>
    </row>
    <row r="176" spans="4:122" ht="12.75" thickBot="1">
      <c r="E176" s="743" t="s">
        <v>46</v>
      </c>
      <c r="F176" s="732" t="str">
        <f>+F174</f>
        <v>Sewerage</v>
      </c>
      <c r="G176" s="733" t="str">
        <f>+G174</f>
        <v>Wastewater Fixed Charges - Group C</v>
      </c>
      <c r="H176" s="733">
        <f>+H174</f>
        <v>0</v>
      </c>
      <c r="I176" s="734" t="str">
        <f>+I174</f>
        <v>Fixed</v>
      </c>
      <c r="J176" s="735" t="s">
        <v>344</v>
      </c>
      <c r="K176" s="736">
        <f t="shared" ref="K176:AG176" si="303">K174*K175/10^6</f>
        <v>0</v>
      </c>
      <c r="L176" s="737">
        <f t="shared" si="303"/>
        <v>0</v>
      </c>
      <c r="M176" s="737">
        <f t="shared" si="303"/>
        <v>0</v>
      </c>
      <c r="N176" s="738">
        <f t="shared" si="303"/>
        <v>0</v>
      </c>
      <c r="O176" s="1923">
        <f t="shared" si="303"/>
        <v>1.3515342773755656</v>
      </c>
      <c r="P176" s="737">
        <f t="shared" si="303"/>
        <v>1.3684680804351688</v>
      </c>
      <c r="Q176" s="737">
        <f t="shared" si="303"/>
        <v>1.3616250268711658</v>
      </c>
      <c r="R176" s="737">
        <f t="shared" si="303"/>
        <v>1.3438035952577185</v>
      </c>
      <c r="S176" s="737">
        <f t="shared" si="303"/>
        <v>1.3181238310532466</v>
      </c>
      <c r="T176" s="737">
        <f t="shared" si="303"/>
        <v>1.3070909399999997</v>
      </c>
      <c r="U176" s="737">
        <f t="shared" si="303"/>
        <v>1.3347386976696833</v>
      </c>
      <c r="V176" s="737">
        <f t="shared" si="303"/>
        <v>1.3478370631441048</v>
      </c>
      <c r="W176" s="737">
        <f t="shared" si="303"/>
        <v>1.366597149299392</v>
      </c>
      <c r="X176" s="738">
        <f t="shared" si="303"/>
        <v>1.498889831825287</v>
      </c>
      <c r="Y176" s="737">
        <f t="shared" si="303"/>
        <v>1.6397839644909169</v>
      </c>
      <c r="Z176" s="737">
        <f t="shared" si="303"/>
        <v>1.7897472287945386</v>
      </c>
      <c r="AA176" s="737">
        <f t="shared" si="303"/>
        <v>1.9492752460173808</v>
      </c>
      <c r="AB176" s="737">
        <f t="shared" si="303"/>
        <v>2.1188853379532882</v>
      </c>
      <c r="AC176" s="738">
        <f t="shared" si="303"/>
        <v>2.1628006617910973</v>
      </c>
      <c r="AD176" s="737">
        <f t="shared" si="303"/>
        <v>2.2076745995529405</v>
      </c>
      <c r="AE176" s="737">
        <f t="shared" si="303"/>
        <v>2.2535295732087954</v>
      </c>
      <c r="AF176" s="737">
        <f t="shared" si="303"/>
        <v>2.3003885768120962</v>
      </c>
      <c r="AG176" s="739">
        <f t="shared" si="303"/>
        <v>2.3482751926087331</v>
      </c>
      <c r="AH176" s="697"/>
      <c r="AI176" s="707"/>
      <c r="AJ176" s="709">
        <f t="shared" si="234"/>
        <v>1.498889831825287</v>
      </c>
      <c r="AK176" s="710">
        <f t="shared" si="235"/>
        <v>1.6397839644909169</v>
      </c>
      <c r="AL176" s="710">
        <f t="shared" si="236"/>
        <v>1.7897472287945386</v>
      </c>
      <c r="AM176" s="710">
        <f t="shared" si="237"/>
        <v>1.9492752460173808</v>
      </c>
      <c r="AN176" s="710">
        <f t="shared" si="238"/>
        <v>2.1188853379532882</v>
      </c>
      <c r="AO176" s="711">
        <f t="shared" si="239"/>
        <v>2.1628006617910973</v>
      </c>
      <c r="AP176" s="707">
        <f t="shared" si="240"/>
        <v>2.2076745995529405</v>
      </c>
      <c r="AQ176" s="707">
        <f t="shared" si="241"/>
        <v>2.2535295732087954</v>
      </c>
      <c r="AR176" s="707">
        <f t="shared" si="242"/>
        <v>2.3003885768120962</v>
      </c>
      <c r="AS176" s="712">
        <f t="shared" si="243"/>
        <v>2.3482751926087331</v>
      </c>
      <c r="AV176" s="1559"/>
      <c r="AW176" s="1428" t="str">
        <f t="shared" si="191"/>
        <v>Rev</v>
      </c>
      <c r="AX176" s="1429" t="str">
        <f t="shared" si="191"/>
        <v>Sewerage</v>
      </c>
      <c r="AY176" s="1430" t="str">
        <f t="shared" si="192"/>
        <v>Fixed</v>
      </c>
      <c r="AZ176" s="1431">
        <f t="shared" si="284"/>
        <v>1.2529318229712594E-2</v>
      </c>
      <c r="BA176" s="1431">
        <f t="shared" si="284"/>
        <v>-5.0005211388101101E-3</v>
      </c>
      <c r="BB176" s="1431">
        <f t="shared" si="284"/>
        <v>-1.3088354915448797E-2</v>
      </c>
      <c r="BC176" s="1431">
        <f t="shared" si="194"/>
        <v>-1.9109760008899968E-2</v>
      </c>
      <c r="BD176" s="1431">
        <f t="shared" si="195"/>
        <v>-8.3701476244694151E-3</v>
      </c>
      <c r="BE176" s="1431">
        <f t="shared" si="196"/>
        <v>2.1152130141521397E-2</v>
      </c>
      <c r="BF176" s="1431">
        <f t="shared" si="197"/>
        <v>9.8134305218615658E-3</v>
      </c>
      <c r="BG176" s="1432">
        <f t="shared" si="198"/>
        <v>1.3918660250761716E-2</v>
      </c>
      <c r="BH176" s="1431">
        <f t="shared" si="199"/>
        <v>9.6804447889941025E-2</v>
      </c>
      <c r="BI176" s="1431">
        <f t="shared" si="200"/>
        <v>9.3998991569683721E-2</v>
      </c>
      <c r="BJ176" s="1431">
        <f t="shared" si="201"/>
        <v>9.1453061836825E-2</v>
      </c>
      <c r="BK176" s="1431">
        <f t="shared" si="202"/>
        <v>8.9134384261787769E-2</v>
      </c>
      <c r="BL176" s="1433">
        <f t="shared" si="203"/>
        <v>8.7011873916955862E-2</v>
      </c>
      <c r="BM176" s="1431">
        <f t="shared" si="204"/>
        <v>2.0725672621921376E-2</v>
      </c>
      <c r="BN176" s="1431">
        <f t="shared" si="205"/>
        <v>2.0748069183907702E-2</v>
      </c>
      <c r="BO176" s="1431">
        <f t="shared" si="206"/>
        <v>2.0770712162535565E-2</v>
      </c>
      <c r="BP176" s="1431">
        <f t="shared" si="207"/>
        <v>2.0793604912217045E-2</v>
      </c>
      <c r="BQ176" s="1434">
        <f t="shared" si="208"/>
        <v>2.0816750821723629E-2</v>
      </c>
      <c r="BR176" s="1378"/>
      <c r="BS176" s="1407"/>
      <c r="BT176" s="1408"/>
      <c r="BU176" s="1409"/>
      <c r="BV176" s="1410"/>
      <c r="BW176" s="1378"/>
      <c r="BX176" s="1428" t="str">
        <f t="shared" si="209"/>
        <v>Rev</v>
      </c>
      <c r="BY176" s="1429" t="str">
        <f t="shared" si="210"/>
        <v>Sewerage</v>
      </c>
      <c r="BZ176" s="1430" t="str">
        <f t="shared" si="211"/>
        <v>Fixed</v>
      </c>
      <c r="CA176" s="1435">
        <f t="shared" ref="CA176:CR176" si="304">IFERROR((P176/O176-1)*(O176/O$13),"-")</f>
        <v>2.2457792953515946E-4</v>
      </c>
      <c r="CB176" s="1431">
        <f t="shared" si="304"/>
        <v>-8.8458308168600622E-5</v>
      </c>
      <c r="CC176" s="1431">
        <f t="shared" si="304"/>
        <v>-2.3453029126350991E-4</v>
      </c>
      <c r="CD176" s="1431">
        <f t="shared" si="304"/>
        <v>-3.4421420556823959E-4</v>
      </c>
      <c r="CE176" s="1431">
        <f t="shared" si="304"/>
        <v>-1.530636235003664E-4</v>
      </c>
      <c r="CF176" s="1431">
        <f t="shared" si="304"/>
        <v>3.7042535026717374E-4</v>
      </c>
      <c r="CG176" s="1431">
        <f t="shared" si="304"/>
        <v>1.6703762102919569E-4</v>
      </c>
      <c r="CH176" s="1433">
        <f t="shared" si="304"/>
        <v>2.2837623063615367E-4</v>
      </c>
      <c r="CI176" s="1431">
        <f t="shared" si="304"/>
        <v>1.6398649054950444E-3</v>
      </c>
      <c r="CJ176" s="1431">
        <f t="shared" si="304"/>
        <v>1.6235255474116093E-3</v>
      </c>
      <c r="CK176" s="1431">
        <f t="shared" si="304"/>
        <v>1.624301173890065E-3</v>
      </c>
      <c r="CL176" s="1431">
        <f t="shared" si="304"/>
        <v>1.6241104007432947E-3</v>
      </c>
      <c r="CM176" s="1433">
        <f t="shared" si="304"/>
        <v>1.6226724897095274E-3</v>
      </c>
      <c r="CN176" s="1431">
        <f t="shared" si="304"/>
        <v>3.9487453008919674E-4</v>
      </c>
      <c r="CO176" s="1431">
        <f t="shared" si="304"/>
        <v>3.926292905440075E-4</v>
      </c>
      <c r="CP176" s="1431">
        <f t="shared" si="304"/>
        <v>3.9030925888216097E-4</v>
      </c>
      <c r="CQ176" s="1431">
        <f t="shared" si="304"/>
        <v>3.8806044817750636E-4</v>
      </c>
      <c r="CR176" s="1434">
        <f t="shared" si="304"/>
        <v>3.8564864382113073E-4</v>
      </c>
      <c r="CS176" s="1378"/>
      <c r="CT176" s="1428" t="str">
        <f t="shared" si="188"/>
        <v>Rev</v>
      </c>
      <c r="CU176" s="1429" t="str">
        <f t="shared" si="189"/>
        <v>Sewerage</v>
      </c>
      <c r="CV176" s="1429" t="str">
        <f t="shared" si="190"/>
        <v>Fixed</v>
      </c>
      <c r="CW176" s="1435">
        <f t="shared" si="213"/>
        <v>9.5400821590315932E-2</v>
      </c>
      <c r="CX176" s="1431">
        <f t="shared" si="214"/>
        <v>9.4083317667224886E-2</v>
      </c>
      <c r="CY176" s="1431">
        <f t="shared" si="215"/>
        <v>9.2843980091242395E-2</v>
      </c>
      <c r="CZ176" s="1434">
        <f t="shared" si="216"/>
        <v>9.1675060949495846E-2</v>
      </c>
      <c r="DA176" s="1431">
        <f t="shared" si="217"/>
        <v>7.9516613865894037E-2</v>
      </c>
      <c r="DB176" s="1431">
        <f t="shared" si="218"/>
        <v>7.0918360249632162E-2</v>
      </c>
      <c r="DC176" s="1431">
        <f t="shared" si="219"/>
        <v>6.4517594481312557E-2</v>
      </c>
      <c r="DD176" s="1431">
        <f t="shared" si="220"/>
        <v>5.9568322198781054E-2</v>
      </c>
      <c r="DE176" s="1434">
        <f t="shared" si="221"/>
        <v>5.5627870765714738E-2</v>
      </c>
      <c r="DF176" s="1378"/>
      <c r="DG176" s="1428" t="str">
        <f t="shared" si="222"/>
        <v>Rev</v>
      </c>
      <c r="DH176" s="1429" t="str">
        <f t="shared" si="222"/>
        <v>Sewerage</v>
      </c>
      <c r="DI176" s="1429" t="str">
        <f t="shared" si="222"/>
        <v>Fixed</v>
      </c>
      <c r="DJ176" s="1429"/>
      <c r="DK176" s="1435">
        <f t="shared" si="223"/>
        <v>9.272528523647261E-2</v>
      </c>
      <c r="DL176" s="1431">
        <f t="shared" si="224"/>
        <v>9.152700469298658E-2</v>
      </c>
      <c r="DM176" s="1431">
        <f t="shared" si="225"/>
        <v>9.0396466796917263E-2</v>
      </c>
      <c r="DN176" s="1433">
        <f t="shared" si="226"/>
        <v>7.6091884389849263E-2</v>
      </c>
      <c r="DO176" s="1431">
        <f t="shared" si="227"/>
        <v>6.6663803624200213E-2</v>
      </c>
      <c r="DP176" s="1431">
        <f t="shared" si="228"/>
        <v>5.9983434972705085E-2</v>
      </c>
      <c r="DQ176" s="1431">
        <f t="shared" si="229"/>
        <v>5.5003586703781249E-2</v>
      </c>
      <c r="DR176" s="1434">
        <f t="shared" si="230"/>
        <v>5.1149199928999245E-2</v>
      </c>
    </row>
    <row r="177" spans="4:122">
      <c r="D177" s="70">
        <f>D174+1</f>
        <v>38</v>
      </c>
      <c r="E177" s="713" t="s">
        <v>44</v>
      </c>
      <c r="F177" s="1532" t="s">
        <v>21</v>
      </c>
      <c r="G177" s="1532" t="s">
        <v>900</v>
      </c>
      <c r="H177" s="1532"/>
      <c r="I177" s="781" t="s">
        <v>319</v>
      </c>
      <c r="J177" s="781" t="s">
        <v>345</v>
      </c>
      <c r="K177" s="1533"/>
      <c r="L177" s="1534"/>
      <c r="M177" s="1534"/>
      <c r="N177" s="1535"/>
      <c r="O177" s="2071">
        <v>729.15705882352938</v>
      </c>
      <c r="P177" s="1547">
        <v>715.55821492007101</v>
      </c>
      <c r="Q177" s="1547">
        <v>706.15122699386495</v>
      </c>
      <c r="R177" s="1547">
        <v>691.01076329331033</v>
      </c>
      <c r="S177" s="1547">
        <v>683.39147582697194</v>
      </c>
      <c r="T177" s="1547">
        <v>650.29745762711855</v>
      </c>
      <c r="U177" s="1547">
        <v>661.30061085972852</v>
      </c>
      <c r="V177" s="1547">
        <v>662.49834061135368</v>
      </c>
      <c r="W177" s="1547">
        <v>668.68</v>
      </c>
      <c r="X177" s="1550">
        <v>700.41726125917023</v>
      </c>
      <c r="Y177" s="1551">
        <v>737.18916747527669</v>
      </c>
      <c r="Z177" s="1551">
        <v>775.89159876772874</v>
      </c>
      <c r="AA177" s="1551">
        <v>816.6259077030345</v>
      </c>
      <c r="AB177" s="1551">
        <v>859.4987678574438</v>
      </c>
      <c r="AC177" s="1550">
        <v>873.25074814316292</v>
      </c>
      <c r="AD177" s="1551">
        <v>887.22276011345355</v>
      </c>
      <c r="AE177" s="1551">
        <v>901.41832427526879</v>
      </c>
      <c r="AF177" s="1551">
        <v>915.8410174636731</v>
      </c>
      <c r="AG177" s="1552">
        <v>930.49447374309193</v>
      </c>
      <c r="AH177" s="697"/>
      <c r="AI177" s="707"/>
      <c r="AJ177" s="709">
        <f t="shared" si="234"/>
        <v>700.41726125917023</v>
      </c>
      <c r="AK177" s="710">
        <f t="shared" si="235"/>
        <v>737.18916747527669</v>
      </c>
      <c r="AL177" s="710">
        <f t="shared" si="236"/>
        <v>775.89159876772874</v>
      </c>
      <c r="AM177" s="710">
        <f t="shared" si="237"/>
        <v>816.6259077030345</v>
      </c>
      <c r="AN177" s="710">
        <f t="shared" si="238"/>
        <v>859.4987678574438</v>
      </c>
      <c r="AO177" s="711">
        <f t="shared" si="239"/>
        <v>873.25074814316292</v>
      </c>
      <c r="AP177" s="707">
        <f t="shared" si="240"/>
        <v>887.22276011345355</v>
      </c>
      <c r="AQ177" s="707">
        <f t="shared" si="241"/>
        <v>901.41832427526879</v>
      </c>
      <c r="AR177" s="707">
        <f t="shared" si="242"/>
        <v>915.8410174636731</v>
      </c>
      <c r="AS177" s="712">
        <f t="shared" si="243"/>
        <v>930.49447374309193</v>
      </c>
      <c r="AU177" s="1369"/>
      <c r="AV177" s="1559"/>
      <c r="AW177" s="1412" t="str">
        <f t="shared" si="191"/>
        <v>Price</v>
      </c>
      <c r="AX177" s="1413" t="str">
        <f t="shared" si="191"/>
        <v>Sewerage</v>
      </c>
      <c r="AY177" s="1414" t="str">
        <f t="shared" si="192"/>
        <v>Fixed</v>
      </c>
      <c r="AZ177" s="1415">
        <f t="shared" si="284"/>
        <v>-1.8650088809946674E-2</v>
      </c>
      <c r="BA177" s="1415">
        <f t="shared" si="284"/>
        <v>-1.3146362839614456E-2</v>
      </c>
      <c r="BB177" s="1415">
        <f t="shared" si="284"/>
        <v>-2.1440823327615877E-2</v>
      </c>
      <c r="BC177" s="1415">
        <f t="shared" si="194"/>
        <v>-1.1026293469041493E-2</v>
      </c>
      <c r="BD177" s="1415">
        <f t="shared" si="195"/>
        <v>-4.8426150121065437E-2</v>
      </c>
      <c r="BE177" s="1415">
        <f t="shared" si="196"/>
        <v>1.6920184914699821E-2</v>
      </c>
      <c r="BF177" s="1415">
        <f t="shared" si="197"/>
        <v>1.8111729098027052E-3</v>
      </c>
      <c r="BG177" s="1416">
        <f t="shared" si="198"/>
        <v>9.3308299956522678E-3</v>
      </c>
      <c r="BH177" s="1417">
        <f t="shared" si="199"/>
        <v>4.7462554972737658E-2</v>
      </c>
      <c r="BI177" s="1417">
        <f t="shared" si="200"/>
        <v>5.2499999999999991E-2</v>
      </c>
      <c r="BJ177" s="1417">
        <f t="shared" si="201"/>
        <v>5.2499999999999991E-2</v>
      </c>
      <c r="BK177" s="1417">
        <f t="shared" si="202"/>
        <v>5.2499999999999991E-2</v>
      </c>
      <c r="BL177" s="1418">
        <f t="shared" si="203"/>
        <v>5.2499999999999991E-2</v>
      </c>
      <c r="BM177" s="1417">
        <f t="shared" si="204"/>
        <v>1.6000000000000014E-2</v>
      </c>
      <c r="BN177" s="1417">
        <f t="shared" si="205"/>
        <v>1.6000000000000014E-2</v>
      </c>
      <c r="BO177" s="1417">
        <f t="shared" si="206"/>
        <v>1.6000000000000014E-2</v>
      </c>
      <c r="BP177" s="1417">
        <f t="shared" si="207"/>
        <v>1.6000000000000014E-2</v>
      </c>
      <c r="BQ177" s="1419">
        <f t="shared" si="208"/>
        <v>1.6000000000000014E-2</v>
      </c>
      <c r="BR177" s="1378"/>
      <c r="BS177" s="1420"/>
      <c r="BT177" s="1421"/>
      <c r="BU177" s="1422"/>
      <c r="BV177" s="1423"/>
      <c r="BW177" s="1378"/>
      <c r="BX177" s="1412" t="str">
        <f t="shared" si="209"/>
        <v>Price</v>
      </c>
      <c r="BY177" s="1413" t="str">
        <f t="shared" si="210"/>
        <v>Sewerage</v>
      </c>
      <c r="BZ177" s="1414" t="str">
        <f t="shared" si="211"/>
        <v>Fixed</v>
      </c>
      <c r="CA177" s="1424">
        <f t="shared" ref="CA177:CR177" si="305">IFERROR((P177/O177-1)*(O179/O$13),"-")</f>
        <v>-1.2570349007965301E-4</v>
      </c>
      <c r="CB177" s="1415">
        <f t="shared" si="305"/>
        <v>-8.5607523791648505E-5</v>
      </c>
      <c r="CC177" s="1415">
        <f t="shared" si="305"/>
        <v>-1.4206433431974191E-4</v>
      </c>
      <c r="CD177" s="1415">
        <f t="shared" si="305"/>
        <v>-7.4674387484877243E-5</v>
      </c>
      <c r="CE177" s="1415">
        <f t="shared" si="305"/>
        <v>-3.4292112512591526E-4</v>
      </c>
      <c r="CF177" s="1415">
        <f t="shared" si="305"/>
        <v>1.1277669995086794E-4</v>
      </c>
      <c r="CG177" s="1415">
        <f t="shared" si="305"/>
        <v>1.1822164287845129E-5</v>
      </c>
      <c r="CH177" s="1425">
        <f t="shared" si="305"/>
        <v>5.9223746314088551E-5</v>
      </c>
      <c r="CI177" s="1417">
        <f t="shared" si="305"/>
        <v>3.1355650814045467E-4</v>
      </c>
      <c r="CJ177" s="1417">
        <f t="shared" si="305"/>
        <v>3.4209538098861516E-4</v>
      </c>
      <c r="CK177" s="1417">
        <f t="shared" si="305"/>
        <v>3.4290059212480122E-4</v>
      </c>
      <c r="CL177" s="1417">
        <f t="shared" si="305"/>
        <v>3.4376753029300447E-4</v>
      </c>
      <c r="CM177" s="1418">
        <f t="shared" si="305"/>
        <v>3.446360429867415E-4</v>
      </c>
      <c r="CN177" s="1417">
        <f t="shared" si="305"/>
        <v>1.0533612945846243E-4</v>
      </c>
      <c r="CO177" s="1417">
        <f t="shared" si="305"/>
        <v>1.0560508313647144E-4</v>
      </c>
      <c r="CP177" s="1417">
        <f t="shared" si="305"/>
        <v>1.0587179609498592E-4</v>
      </c>
      <c r="CQ177" s="1417">
        <f t="shared" si="305"/>
        <v>1.0617607517174838E-4</v>
      </c>
      <c r="CR177" s="1419">
        <f t="shared" si="305"/>
        <v>1.0645416128713422E-4</v>
      </c>
      <c r="CS177" s="1378"/>
      <c r="CT177" s="1412" t="str">
        <f t="shared" si="188"/>
        <v>Price</v>
      </c>
      <c r="CU177" s="1413" t="str">
        <f t="shared" si="189"/>
        <v>Sewerage</v>
      </c>
      <c r="CV177" s="1426" t="str">
        <f t="shared" si="190"/>
        <v>Fixed</v>
      </c>
      <c r="CW177" s="1427">
        <f t="shared" si="213"/>
        <v>4.9978256493345974E-2</v>
      </c>
      <c r="CX177" s="1417">
        <f t="shared" si="214"/>
        <v>5.0818165614566535E-2</v>
      </c>
      <c r="CY177" s="1417">
        <f t="shared" si="215"/>
        <v>5.1238372092289319E-2</v>
      </c>
      <c r="CZ177" s="1419">
        <f t="shared" si="216"/>
        <v>5.1490576631082252E-2</v>
      </c>
      <c r="DA177" s="1417">
        <f t="shared" si="217"/>
        <v>4.5490535003629651E-2</v>
      </c>
      <c r="DB177" s="1417">
        <f t="shared" si="218"/>
        <v>4.1225764184282143E-2</v>
      </c>
      <c r="DC177" s="1417">
        <f t="shared" si="219"/>
        <v>3.8038606656118246E-2</v>
      </c>
      <c r="DD177" s="1417">
        <f t="shared" si="220"/>
        <v>3.5566452626354383E-2</v>
      </c>
      <c r="DE177" s="1419">
        <f t="shared" si="221"/>
        <v>3.3592969140744389E-2</v>
      </c>
      <c r="DF177" s="1378"/>
      <c r="DG177" s="1412" t="str">
        <f t="shared" si="222"/>
        <v>Price</v>
      </c>
      <c r="DH177" s="1413" t="str">
        <f t="shared" si="222"/>
        <v>Sewerage</v>
      </c>
      <c r="DI177" s="1426" t="str">
        <f t="shared" si="222"/>
        <v>Fixed</v>
      </c>
      <c r="DJ177" s="1426"/>
      <c r="DK177" s="1427">
        <f t="shared" si="223"/>
        <v>5.2499999999999991E-2</v>
      </c>
      <c r="DL177" s="1417">
        <f t="shared" si="224"/>
        <v>5.2499999999999991E-2</v>
      </c>
      <c r="DM177" s="1417">
        <f t="shared" si="225"/>
        <v>5.2499999999999991E-2</v>
      </c>
      <c r="DN177" s="1418">
        <f t="shared" si="226"/>
        <v>4.5096576751770812E-2</v>
      </c>
      <c r="DO177" s="1417">
        <f t="shared" si="227"/>
        <v>4.0189915391222852E-2</v>
      </c>
      <c r="DP177" s="1417">
        <f t="shared" si="228"/>
        <v>3.6699267547711134E-2</v>
      </c>
      <c r="DQ177" s="1417">
        <f t="shared" si="229"/>
        <v>3.4088971027154802E-2</v>
      </c>
      <c r="DR177" s="1419">
        <f t="shared" si="230"/>
        <v>3.2063285160126576E-2</v>
      </c>
    </row>
    <row r="178" spans="4:122">
      <c r="E178" s="742" t="s">
        <v>45</v>
      </c>
      <c r="F178" s="722" t="str">
        <f>+F177</f>
        <v>Sewerage</v>
      </c>
      <c r="G178" s="723" t="str">
        <f>+G177</f>
        <v>Wastewater Fixed Charges - Group D</v>
      </c>
      <c r="H178" s="723">
        <f>+H177</f>
        <v>0</v>
      </c>
      <c r="I178" s="724" t="str">
        <f>+I177</f>
        <v>Fixed</v>
      </c>
      <c r="J178" s="782" t="s">
        <v>323</v>
      </c>
      <c r="K178" s="1540"/>
      <c r="L178" s="1541"/>
      <c r="M178" s="1541"/>
      <c r="N178" s="1542"/>
      <c r="O178" s="2031">
        <v>697</v>
      </c>
      <c r="P178" s="1543">
        <v>704</v>
      </c>
      <c r="Q178" s="1543">
        <v>713</v>
      </c>
      <c r="R178" s="1543">
        <v>731.17200000000003</v>
      </c>
      <c r="S178" s="1543">
        <v>746.89934400000004</v>
      </c>
      <c r="T178" s="1543">
        <v>765</v>
      </c>
      <c r="U178" s="1543">
        <v>774</v>
      </c>
      <c r="V178" s="1543">
        <v>787</v>
      </c>
      <c r="W178" s="1543">
        <v>797.029</v>
      </c>
      <c r="X178" s="1544">
        <v>807.35557300000005</v>
      </c>
      <c r="Y178" s="1543">
        <v>817.99060167100004</v>
      </c>
      <c r="Z178" s="1543">
        <v>828.945390774217</v>
      </c>
      <c r="AA178" s="1543">
        <v>840.23168385787847</v>
      </c>
      <c r="AB178" s="1543">
        <v>851.86168061916658</v>
      </c>
      <c r="AC178" s="1544">
        <v>863.84805495787737</v>
      </c>
      <c r="AD178" s="1543">
        <v>876.20397374942593</v>
      </c>
      <c r="AE178" s="1543">
        <v>888.94311636592579</v>
      </c>
      <c r="AF178" s="1543">
        <v>902.07969497522708</v>
      </c>
      <c r="AG178" s="788">
        <v>915.6284756489888</v>
      </c>
      <c r="AH178" s="697"/>
      <c r="AI178" s="707"/>
      <c r="AJ178" s="709">
        <f t="shared" si="234"/>
        <v>807.35557300000005</v>
      </c>
      <c r="AK178" s="710">
        <f t="shared" si="235"/>
        <v>817.99060167100004</v>
      </c>
      <c r="AL178" s="710">
        <f t="shared" si="236"/>
        <v>828.945390774217</v>
      </c>
      <c r="AM178" s="710">
        <f t="shared" si="237"/>
        <v>840.23168385787847</v>
      </c>
      <c r="AN178" s="710">
        <f t="shared" si="238"/>
        <v>851.86168061916658</v>
      </c>
      <c r="AO178" s="711">
        <f t="shared" si="239"/>
        <v>863.84805495787737</v>
      </c>
      <c r="AP178" s="707">
        <f t="shared" si="240"/>
        <v>876.20397374942593</v>
      </c>
      <c r="AQ178" s="707">
        <f t="shared" si="241"/>
        <v>888.94311636592579</v>
      </c>
      <c r="AR178" s="707">
        <f t="shared" si="242"/>
        <v>902.07969497522708</v>
      </c>
      <c r="AS178" s="712">
        <f t="shared" si="243"/>
        <v>915.6284756489888</v>
      </c>
      <c r="AV178" s="1559"/>
      <c r="AW178" s="1392" t="str">
        <f t="shared" si="191"/>
        <v>Qty</v>
      </c>
      <c r="AX178" s="1393" t="str">
        <f t="shared" si="191"/>
        <v>Sewerage</v>
      </c>
      <c r="AY178" s="1394" t="str">
        <f t="shared" si="192"/>
        <v>Fixed</v>
      </c>
      <c r="AZ178" s="1395">
        <f t="shared" ref="AZ178:BB193" si="306">IFERROR(P178/O178-1,"-")</f>
        <v>1.0043041606886627E-2</v>
      </c>
      <c r="BA178" s="1395">
        <f t="shared" si="306"/>
        <v>1.2784090909090828E-2</v>
      </c>
      <c r="BB178" s="1395">
        <f t="shared" si="306"/>
        <v>2.5486676016830412E-2</v>
      </c>
      <c r="BC178" s="1395">
        <f t="shared" si="194"/>
        <v>2.1509773350183004E-2</v>
      </c>
      <c r="BD178" s="1395">
        <f t="shared" si="195"/>
        <v>2.4234398042261462E-2</v>
      </c>
      <c r="BE178" s="1395">
        <f t="shared" si="196"/>
        <v>1.1764705882352899E-2</v>
      </c>
      <c r="BF178" s="1395">
        <f t="shared" si="197"/>
        <v>1.6795865633074891E-2</v>
      </c>
      <c r="BG178" s="1396">
        <f t="shared" si="198"/>
        <v>1.2743329097839817E-2</v>
      </c>
      <c r="BH178" s="1395">
        <f t="shared" si="199"/>
        <v>1.2956332831051354E-2</v>
      </c>
      <c r="BI178" s="1395">
        <f t="shared" si="200"/>
        <v>1.3172670167472811E-2</v>
      </c>
      <c r="BJ178" s="1395">
        <f t="shared" si="201"/>
        <v>1.3392316587548025E-2</v>
      </c>
      <c r="BK178" s="1395">
        <f t="shared" si="202"/>
        <v>1.3615243186430259E-2</v>
      </c>
      <c r="BL178" s="1397">
        <f t="shared" si="203"/>
        <v>1.3841416581542809E-2</v>
      </c>
      <c r="BM178" s="1395">
        <f t="shared" si="204"/>
        <v>1.4070798829686426E-2</v>
      </c>
      <c r="BN178" s="1395">
        <f t="shared" si="205"/>
        <v>1.4303347354473139E-2</v>
      </c>
      <c r="BO178" s="1395">
        <f t="shared" si="206"/>
        <v>1.4539014884841217E-2</v>
      </c>
      <c r="BP178" s="1395">
        <f t="shared" si="207"/>
        <v>1.4777749405389118E-2</v>
      </c>
      <c r="BQ178" s="1398">
        <f t="shared" si="208"/>
        <v>1.5019494119234977E-2</v>
      </c>
      <c r="BR178" s="1378"/>
      <c r="BS178" s="1329"/>
      <c r="BT178" s="1399"/>
      <c r="BU178" s="1331"/>
      <c r="BV178" s="1400"/>
      <c r="BW178" s="1378"/>
      <c r="BX178" s="1392" t="str">
        <f t="shared" si="209"/>
        <v>Qty</v>
      </c>
      <c r="BY178" s="1393" t="str">
        <f t="shared" si="210"/>
        <v>Sewerage</v>
      </c>
      <c r="BZ178" s="1394" t="str">
        <f t="shared" si="211"/>
        <v>Fixed</v>
      </c>
      <c r="CA178" s="1401">
        <f t="shared" ref="CA178:CR178" si="307">IFERROR((P178/O178-1)*(O179/O$13),"-")</f>
        <v>6.7691119000329582E-5</v>
      </c>
      <c r="CB178" s="1395">
        <f t="shared" si="307"/>
        <v>8.3248452823525326E-5</v>
      </c>
      <c r="CC178" s="1395">
        <f t="shared" si="307"/>
        <v>1.6887167097218717E-4</v>
      </c>
      <c r="CD178" s="1395">
        <f t="shared" si="307"/>
        <v>1.4567262828377089E-4</v>
      </c>
      <c r="CE178" s="1395">
        <f t="shared" si="307"/>
        <v>1.7161155744624239E-4</v>
      </c>
      <c r="CF178" s="1395">
        <f t="shared" si="307"/>
        <v>7.8414314736693425E-5</v>
      </c>
      <c r="CG178" s="1395">
        <f t="shared" si="307"/>
        <v>1.0963253800677332E-4</v>
      </c>
      <c r="CH178" s="1397">
        <f t="shared" si="307"/>
        <v>8.0883232256837479E-5</v>
      </c>
      <c r="CI178" s="1395">
        <f t="shared" si="307"/>
        <v>8.5594685813764239E-5</v>
      </c>
      <c r="CJ178" s="1395">
        <f t="shared" si="307"/>
        <v>8.583446894436147E-5</v>
      </c>
      <c r="CK178" s="1395">
        <f t="shared" si="307"/>
        <v>8.7471110243676496E-5</v>
      </c>
      <c r="CL178" s="1395">
        <f t="shared" si="307"/>
        <v>8.9151971895957865E-5</v>
      </c>
      <c r="CM178" s="1397">
        <f t="shared" si="307"/>
        <v>9.086192457131401E-5</v>
      </c>
      <c r="CN178" s="1395">
        <f t="shared" si="307"/>
        <v>9.2635217944239353E-5</v>
      </c>
      <c r="CO178" s="1395">
        <f t="shared" si="307"/>
        <v>9.4406636656185213E-5</v>
      </c>
      <c r="CP178" s="1395">
        <f t="shared" si="307"/>
        <v>9.6204476206867073E-5</v>
      </c>
      <c r="CQ178" s="1395">
        <f t="shared" si="307"/>
        <v>9.8065214483490841E-5</v>
      </c>
      <c r="CR178" s="1398">
        <f t="shared" si="307"/>
        <v>9.9930478088762671E-5</v>
      </c>
      <c r="CS178" s="1378"/>
      <c r="CT178" s="1392" t="str">
        <f t="shared" si="188"/>
        <v>Qty</v>
      </c>
      <c r="CU178" s="1393" t="str">
        <f t="shared" si="189"/>
        <v>Sewerage</v>
      </c>
      <c r="CV178" s="1393" t="str">
        <f t="shared" si="190"/>
        <v>Fixed</v>
      </c>
      <c r="CW178" s="1401">
        <f t="shared" si="213"/>
        <v>1.3064495724476322E-2</v>
      </c>
      <c r="CX178" s="1395">
        <f t="shared" si="214"/>
        <v>1.3173757560882349E-2</v>
      </c>
      <c r="CY178" s="1395">
        <f t="shared" si="215"/>
        <v>1.3284110936672366E-2</v>
      </c>
      <c r="CZ178" s="1398">
        <f t="shared" si="216"/>
        <v>1.339554755231398E-2</v>
      </c>
      <c r="DA178" s="1395">
        <f t="shared" si="217"/>
        <v>1.3508058198959061E-2</v>
      </c>
      <c r="DB178" s="1395">
        <f t="shared" si="218"/>
        <v>1.3621632746557033E-2</v>
      </c>
      <c r="DC178" s="1395">
        <f t="shared" si="219"/>
        <v>1.3736260133560885E-2</v>
      </c>
      <c r="DD178" s="1395">
        <f t="shared" si="220"/>
        <v>1.3851928358310284E-2</v>
      </c>
      <c r="DE178" s="1398">
        <f t="shared" si="221"/>
        <v>1.3968624472184388E-2</v>
      </c>
      <c r="DF178" s="1378"/>
      <c r="DG178" s="1392" t="str">
        <f t="shared" si="222"/>
        <v>Qty</v>
      </c>
      <c r="DH178" s="1393" t="str">
        <f t="shared" si="222"/>
        <v>Sewerage</v>
      </c>
      <c r="DI178" s="1393" t="str">
        <f t="shared" si="222"/>
        <v>Fixed</v>
      </c>
      <c r="DJ178" s="1393"/>
      <c r="DK178" s="1401">
        <f t="shared" si="223"/>
        <v>1.3282487425992695E-2</v>
      </c>
      <c r="DL178" s="1395">
        <f t="shared" si="224"/>
        <v>1.3393393873358361E-2</v>
      </c>
      <c r="DM178" s="1395">
        <f t="shared" si="225"/>
        <v>1.3505380985989079E-2</v>
      </c>
      <c r="DN178" s="1397">
        <f t="shared" si="226"/>
        <v>1.3618439328193066E-2</v>
      </c>
      <c r="DO178" s="1395">
        <f t="shared" si="227"/>
        <v>1.373255854052946E-2</v>
      </c>
      <c r="DP178" s="1395">
        <f t="shared" si="228"/>
        <v>1.384772732977102E-2</v>
      </c>
      <c r="DQ178" s="1395">
        <f t="shared" si="229"/>
        <v>1.396393346056124E-2</v>
      </c>
      <c r="DR178" s="1398">
        <f t="shared" si="230"/>
        <v>1.4081163748852266E-2</v>
      </c>
    </row>
    <row r="179" spans="4:122" ht="12.75" thickBot="1">
      <c r="E179" s="743" t="s">
        <v>46</v>
      </c>
      <c r="F179" s="732" t="str">
        <f>+F177</f>
        <v>Sewerage</v>
      </c>
      <c r="G179" s="733" t="str">
        <f>+G177</f>
        <v>Wastewater Fixed Charges - Group D</v>
      </c>
      <c r="H179" s="733">
        <f>+H177</f>
        <v>0</v>
      </c>
      <c r="I179" s="734" t="str">
        <f>+I177</f>
        <v>Fixed</v>
      </c>
      <c r="J179" s="735" t="s">
        <v>344</v>
      </c>
      <c r="K179" s="736">
        <f t="shared" ref="K179:AG179" si="308">K177*K178/10^6</f>
        <v>0</v>
      </c>
      <c r="L179" s="737">
        <f t="shared" si="308"/>
        <v>0</v>
      </c>
      <c r="M179" s="737">
        <f t="shared" si="308"/>
        <v>0</v>
      </c>
      <c r="N179" s="738">
        <f t="shared" si="308"/>
        <v>0</v>
      </c>
      <c r="O179" s="1923">
        <f t="shared" si="308"/>
        <v>0.50822246999999998</v>
      </c>
      <c r="P179" s="737">
        <f t="shared" si="308"/>
        <v>0.50375298330372997</v>
      </c>
      <c r="Q179" s="737">
        <f t="shared" si="308"/>
        <v>0.50348582484662574</v>
      </c>
      <c r="R179" s="737">
        <f t="shared" si="308"/>
        <v>0.50524772181869626</v>
      </c>
      <c r="S179" s="737">
        <f t="shared" si="308"/>
        <v>0.51042464499035722</v>
      </c>
      <c r="T179" s="737">
        <f t="shared" si="308"/>
        <v>0.49747755508474567</v>
      </c>
      <c r="U179" s="737">
        <f t="shared" si="308"/>
        <v>0.51184667280542995</v>
      </c>
      <c r="V179" s="737">
        <f t="shared" si="308"/>
        <v>0.5213861940611354</v>
      </c>
      <c r="W179" s="737">
        <f t="shared" si="308"/>
        <v>0.53295735171999992</v>
      </c>
      <c r="X179" s="738">
        <f t="shared" si="308"/>
        <v>0.56548577930298805</v>
      </c>
      <c r="Y179" s="737">
        <f t="shared" si="308"/>
        <v>0.60301381064844517</v>
      </c>
      <c r="Z179" s="737">
        <f t="shared" si="308"/>
        <v>0.64317176453894687</v>
      </c>
      <c r="AA179" s="737">
        <f t="shared" si="308"/>
        <v>0.68615496151128907</v>
      </c>
      <c r="AB179" s="737">
        <f t="shared" si="308"/>
        <v>0.73217406487714498</v>
      </c>
      <c r="AC179" s="738">
        <f t="shared" si="308"/>
        <v>0.75435596027398244</v>
      </c>
      <c r="AD179" s="737">
        <f t="shared" si="308"/>
        <v>0.77738810801234171</v>
      </c>
      <c r="AE179" s="737">
        <f t="shared" si="308"/>
        <v>0.8013096143306081</v>
      </c>
      <c r="AF179" s="737">
        <f t="shared" si="308"/>
        <v>0.82616158567943176</v>
      </c>
      <c r="AG179" s="739">
        <f t="shared" si="308"/>
        <v>0.8519872365931952</v>
      </c>
      <c r="AH179" s="697"/>
      <c r="AI179" s="707"/>
      <c r="AJ179" s="709">
        <f t="shared" si="234"/>
        <v>0.56548577930298805</v>
      </c>
      <c r="AK179" s="710">
        <f t="shared" si="235"/>
        <v>0.60301381064844517</v>
      </c>
      <c r="AL179" s="710">
        <f t="shared" si="236"/>
        <v>0.64317176453894687</v>
      </c>
      <c r="AM179" s="710">
        <f t="shared" si="237"/>
        <v>0.68615496151128907</v>
      </c>
      <c r="AN179" s="710">
        <f t="shared" si="238"/>
        <v>0.73217406487714498</v>
      </c>
      <c r="AO179" s="711">
        <f t="shared" si="239"/>
        <v>0.75435596027398244</v>
      </c>
      <c r="AP179" s="707">
        <f t="shared" si="240"/>
        <v>0.77738810801234171</v>
      </c>
      <c r="AQ179" s="707">
        <f t="shared" si="241"/>
        <v>0.8013096143306081</v>
      </c>
      <c r="AR179" s="707">
        <f t="shared" si="242"/>
        <v>0.82616158567943176</v>
      </c>
      <c r="AS179" s="712">
        <f t="shared" si="243"/>
        <v>0.8519872365931952</v>
      </c>
      <c r="AV179" s="1559"/>
      <c r="AW179" s="1428" t="str">
        <f t="shared" si="191"/>
        <v>Rev</v>
      </c>
      <c r="AX179" s="1429" t="str">
        <f t="shared" si="191"/>
        <v>Sewerage</v>
      </c>
      <c r="AY179" s="1430" t="str">
        <f t="shared" si="192"/>
        <v>Fixed</v>
      </c>
      <c r="AZ179" s="1431">
        <f t="shared" si="306"/>
        <v>-8.7943508209504806E-3</v>
      </c>
      <c r="BA179" s="1431">
        <f t="shared" si="306"/>
        <v>-5.3033622818898785E-4</v>
      </c>
      <c r="BB179" s="1431">
        <f t="shared" si="306"/>
        <v>3.499397371529156E-3</v>
      </c>
      <c r="BC179" s="1431">
        <f t="shared" si="194"/>
        <v>1.0246306807729866E-2</v>
      </c>
      <c r="BD179" s="1431">
        <f t="shared" si="195"/>
        <v>-2.5365330676492159E-2</v>
      </c>
      <c r="BE179" s="1431">
        <f t="shared" si="196"/>
        <v>2.8883951796049301E-2</v>
      </c>
      <c r="BF179" s="1431">
        <f t="shared" si="197"/>
        <v>1.8637458759708903E-2</v>
      </c>
      <c r="BG179" s="1432">
        <f t="shared" si="198"/>
        <v>2.2193064930882578E-2</v>
      </c>
      <c r="BH179" s="1431">
        <f t="shared" si="199"/>
        <v>6.103382846302785E-2</v>
      </c>
      <c r="BI179" s="1431">
        <f t="shared" si="200"/>
        <v>6.6364235351265233E-2</v>
      </c>
      <c r="BJ179" s="1431">
        <f t="shared" si="201"/>
        <v>6.659541320839435E-2</v>
      </c>
      <c r="BK179" s="1431">
        <f t="shared" si="202"/>
        <v>6.6830043453717902E-2</v>
      </c>
      <c r="BL179" s="1433">
        <f t="shared" si="203"/>
        <v>6.7068090952074E-2</v>
      </c>
      <c r="BM179" s="1431">
        <f t="shared" si="204"/>
        <v>3.0295931610961224E-2</v>
      </c>
      <c r="BN179" s="1431">
        <f t="shared" si="205"/>
        <v>3.0532200912144924E-2</v>
      </c>
      <c r="BO179" s="1431">
        <f t="shared" si="206"/>
        <v>3.0771639122998629E-2</v>
      </c>
      <c r="BP179" s="1431">
        <f t="shared" si="207"/>
        <v>3.1014193395875189E-2</v>
      </c>
      <c r="BQ179" s="1434">
        <f t="shared" si="208"/>
        <v>3.1259806025142778E-2</v>
      </c>
      <c r="BR179" s="1378"/>
      <c r="BS179" s="1407"/>
      <c r="BT179" s="1408"/>
      <c r="BU179" s="1409"/>
      <c r="BV179" s="1410"/>
      <c r="BW179" s="1378"/>
      <c r="BX179" s="1428" t="str">
        <f t="shared" si="209"/>
        <v>Rev</v>
      </c>
      <c r="BY179" s="1429" t="str">
        <f t="shared" si="210"/>
        <v>Sewerage</v>
      </c>
      <c r="BZ179" s="1430" t="str">
        <f t="shared" si="211"/>
        <v>Fixed</v>
      </c>
      <c r="CA179" s="1435">
        <f t="shared" ref="CA179:CR179" si="309">IFERROR((P179/O179-1)*(O179/O$13),"-")</f>
        <v>-5.9274816460324291E-5</v>
      </c>
      <c r="CB179" s="1431">
        <f t="shared" si="309"/>
        <v>-3.4534853347767008E-6</v>
      </c>
      <c r="CC179" s="1431">
        <f t="shared" si="309"/>
        <v>2.3186588990089114E-5</v>
      </c>
      <c r="CD179" s="1431">
        <f t="shared" si="309"/>
        <v>6.9392011649030457E-5</v>
      </c>
      <c r="CE179" s="1431">
        <f t="shared" si="309"/>
        <v>-1.7962005472307429E-4</v>
      </c>
      <c r="CF179" s="1431">
        <f t="shared" si="309"/>
        <v>1.9251779939286645E-4</v>
      </c>
      <c r="CG179" s="1431">
        <f t="shared" si="309"/>
        <v>1.216532657774892E-4</v>
      </c>
      <c r="CH179" s="1433">
        <f t="shared" si="309"/>
        <v>1.4086168626061281E-4</v>
      </c>
      <c r="CI179" s="1431">
        <f t="shared" si="309"/>
        <v>4.0321373643502877E-4</v>
      </c>
      <c r="CJ179" s="1431">
        <f t="shared" si="309"/>
        <v>4.324361595525563E-4</v>
      </c>
      <c r="CK179" s="1431">
        <f t="shared" si="309"/>
        <v>4.3496393565627112E-4</v>
      </c>
      <c r="CL179" s="1431">
        <f t="shared" si="309"/>
        <v>4.3759998071350053E-4</v>
      </c>
      <c r="CM179" s="1433">
        <f t="shared" si="309"/>
        <v>4.4026821859805085E-4</v>
      </c>
      <c r="CN179" s="1431">
        <f t="shared" si="309"/>
        <v>1.9945351088980831E-4</v>
      </c>
      <c r="CO179" s="1431">
        <f t="shared" si="309"/>
        <v>2.0152222597915695E-4</v>
      </c>
      <c r="CP179" s="1431">
        <f t="shared" si="309"/>
        <v>2.0361554392116246E-4</v>
      </c>
      <c r="CQ179" s="1431">
        <f t="shared" si="309"/>
        <v>2.0581033308697395E-4</v>
      </c>
      <c r="CR179" s="1434">
        <f t="shared" si="309"/>
        <v>2.0798352702531729E-4</v>
      </c>
      <c r="CS179" s="1378"/>
      <c r="CT179" s="1428" t="str">
        <f t="shared" si="188"/>
        <v>Rev</v>
      </c>
      <c r="CU179" s="1429" t="str">
        <f t="shared" si="189"/>
        <v>Sewerage</v>
      </c>
      <c r="CV179" s="1429" t="str">
        <f t="shared" si="190"/>
        <v>Fixed</v>
      </c>
      <c r="CW179" s="1435">
        <f t="shared" si="213"/>
        <v>6.3695692936096338E-2</v>
      </c>
      <c r="CX179" s="1431">
        <f t="shared" si="214"/>
        <v>6.4661389368943833E-2</v>
      </c>
      <c r="CY179" s="1431">
        <f t="shared" si="215"/>
        <v>6.5203139248050102E-2</v>
      </c>
      <c r="CZ179" s="1434">
        <f t="shared" si="216"/>
        <v>6.5575868651154057E-2</v>
      </c>
      <c r="DA179" s="1431">
        <f t="shared" si="217"/>
        <v>5.9613081996919615E-2</v>
      </c>
      <c r="DB179" s="1431">
        <f t="shared" si="218"/>
        <v>5.5408959150253789E-2</v>
      </c>
      <c r="DC179" s="1431">
        <f t="shared" si="219"/>
        <v>5.2297374985825984E-2</v>
      </c>
      <c r="DD179" s="1431">
        <f t="shared" si="220"/>
        <v>4.9911044938404148E-2</v>
      </c>
      <c r="DE179" s="1434">
        <f t="shared" si="221"/>
        <v>4.803084118376133E-2</v>
      </c>
      <c r="DF179" s="1378"/>
      <c r="DG179" s="1428" t="str">
        <f t="shared" si="222"/>
        <v>Rev</v>
      </c>
      <c r="DH179" s="1429" t="str">
        <f t="shared" si="222"/>
        <v>Sewerage</v>
      </c>
      <c r="DI179" s="1429" t="str">
        <f t="shared" si="222"/>
        <v>Fixed</v>
      </c>
      <c r="DJ179" s="1429"/>
      <c r="DK179" s="1435">
        <f t="shared" si="223"/>
        <v>6.647981801585745E-2</v>
      </c>
      <c r="DL179" s="1431">
        <f t="shared" si="224"/>
        <v>6.6596547051709809E-2</v>
      </c>
      <c r="DM179" s="1431">
        <f t="shared" si="225"/>
        <v>6.6714413487753532E-2</v>
      </c>
      <c r="DN179" s="1433">
        <f t="shared" si="226"/>
        <v>5.9329161074367143E-2</v>
      </c>
      <c r="DO179" s="1431">
        <f t="shared" si="227"/>
        <v>5.447438429760143E-2</v>
      </c>
      <c r="DP179" s="1431">
        <f t="shared" si="228"/>
        <v>5.1055196327685071E-2</v>
      </c>
      <c r="DQ179" s="1431">
        <f t="shared" si="229"/>
        <v>4.8528920610878323E-2</v>
      </c>
      <c r="DR179" s="1434">
        <f t="shared" si="230"/>
        <v>4.6595937277644772E-2</v>
      </c>
    </row>
    <row r="180" spans="4:122">
      <c r="D180" s="70">
        <f>D177+1</f>
        <v>39</v>
      </c>
      <c r="E180" s="713" t="s">
        <v>44</v>
      </c>
      <c r="F180" s="1532" t="s">
        <v>21</v>
      </c>
      <c r="G180" s="1532" t="s">
        <v>901</v>
      </c>
      <c r="H180" s="1532"/>
      <c r="I180" s="781" t="s">
        <v>319</v>
      </c>
      <c r="J180" s="781" t="s">
        <v>345</v>
      </c>
      <c r="K180" s="1533"/>
      <c r="L180" s="1534"/>
      <c r="M180" s="1534"/>
      <c r="N180" s="1535"/>
      <c r="O180" s="2071">
        <v>550.6399547511312</v>
      </c>
      <c r="P180" s="1547">
        <v>553.11594138543512</v>
      </c>
      <c r="Q180" s="1547">
        <v>545.84447852760729</v>
      </c>
      <c r="R180" s="1547">
        <v>534.14112349914228</v>
      </c>
      <c r="S180" s="1547">
        <v>521.64017811704832</v>
      </c>
      <c r="T180" s="1547">
        <v>513.86728813559318</v>
      </c>
      <c r="U180" s="1547">
        <v>522.55300904977378</v>
      </c>
      <c r="V180" s="1547">
        <v>523.48796943231434</v>
      </c>
      <c r="W180" s="1547">
        <v>528.39</v>
      </c>
      <c r="X180" s="1550">
        <v>556.13047499999993</v>
      </c>
      <c r="Y180" s="1551">
        <v>585.32732493749995</v>
      </c>
      <c r="Z180" s="1551">
        <v>616.05700949671871</v>
      </c>
      <c r="AA180" s="1551">
        <v>648.40000249529646</v>
      </c>
      <c r="AB180" s="1551">
        <v>682.44100262629956</v>
      </c>
      <c r="AC180" s="1550">
        <v>693.36005866832033</v>
      </c>
      <c r="AD180" s="1551">
        <v>704.45381960701343</v>
      </c>
      <c r="AE180" s="1551">
        <v>715.7250807207256</v>
      </c>
      <c r="AF180" s="1551">
        <v>727.17668201225717</v>
      </c>
      <c r="AG180" s="1552">
        <v>738.81150892445328</v>
      </c>
      <c r="AH180" s="697"/>
      <c r="AI180" s="707"/>
      <c r="AJ180" s="709">
        <f t="shared" si="234"/>
        <v>556.13047499999993</v>
      </c>
      <c r="AK180" s="710">
        <f t="shared" si="235"/>
        <v>585.32732493749995</v>
      </c>
      <c r="AL180" s="710">
        <f t="shared" si="236"/>
        <v>616.05700949671871</v>
      </c>
      <c r="AM180" s="710">
        <f t="shared" si="237"/>
        <v>648.40000249529646</v>
      </c>
      <c r="AN180" s="710">
        <f t="shared" si="238"/>
        <v>682.44100262629956</v>
      </c>
      <c r="AO180" s="711">
        <f t="shared" si="239"/>
        <v>693.36005866832033</v>
      </c>
      <c r="AP180" s="707">
        <f t="shared" si="240"/>
        <v>704.45381960701343</v>
      </c>
      <c r="AQ180" s="707">
        <f t="shared" si="241"/>
        <v>715.7250807207256</v>
      </c>
      <c r="AR180" s="707">
        <f t="shared" si="242"/>
        <v>727.17668201225717</v>
      </c>
      <c r="AS180" s="712">
        <f t="shared" si="243"/>
        <v>738.81150892445328</v>
      </c>
      <c r="AU180" s="1369"/>
      <c r="AV180" s="1559"/>
      <c r="AW180" s="1412" t="str">
        <f t="shared" si="191"/>
        <v>Price</v>
      </c>
      <c r="AX180" s="1413" t="str">
        <f t="shared" si="191"/>
        <v>Sewerage</v>
      </c>
      <c r="AY180" s="1414" t="str">
        <f t="shared" si="192"/>
        <v>Fixed</v>
      </c>
      <c r="AZ180" s="1415">
        <f t="shared" si="306"/>
        <v>4.4965618875640878E-3</v>
      </c>
      <c r="BA180" s="1415">
        <f t="shared" si="306"/>
        <v>-1.3146362839614456E-2</v>
      </c>
      <c r="BB180" s="1415">
        <f t="shared" si="306"/>
        <v>-2.1440823327615766E-2</v>
      </c>
      <c r="BC180" s="1415">
        <f t="shared" si="194"/>
        <v>-2.3403825004524315E-2</v>
      </c>
      <c r="BD180" s="1415">
        <f t="shared" si="195"/>
        <v>-1.4900865208490544E-2</v>
      </c>
      <c r="BE180" s="1415">
        <f t="shared" si="196"/>
        <v>1.6902653885002117E-2</v>
      </c>
      <c r="BF180" s="1415">
        <f t="shared" si="197"/>
        <v>1.7892163404449324E-3</v>
      </c>
      <c r="BG180" s="1416">
        <f t="shared" si="198"/>
        <v>9.3641704373865764E-3</v>
      </c>
      <c r="BH180" s="1417">
        <f t="shared" si="199"/>
        <v>5.2499999999999991E-2</v>
      </c>
      <c r="BI180" s="1417">
        <f t="shared" si="200"/>
        <v>5.2499999999999991E-2</v>
      </c>
      <c r="BJ180" s="1417">
        <f t="shared" si="201"/>
        <v>5.2499999999999991E-2</v>
      </c>
      <c r="BK180" s="1417">
        <f t="shared" si="202"/>
        <v>5.2499999999999991E-2</v>
      </c>
      <c r="BL180" s="1418">
        <f t="shared" si="203"/>
        <v>5.2499999999999991E-2</v>
      </c>
      <c r="BM180" s="1417">
        <f t="shared" si="204"/>
        <v>1.6000000000000014E-2</v>
      </c>
      <c r="BN180" s="1417">
        <f t="shared" si="205"/>
        <v>1.6000000000000014E-2</v>
      </c>
      <c r="BO180" s="1417">
        <f t="shared" si="206"/>
        <v>1.6000000000000014E-2</v>
      </c>
      <c r="BP180" s="1417">
        <f t="shared" si="207"/>
        <v>1.6000000000000014E-2</v>
      </c>
      <c r="BQ180" s="1419">
        <f t="shared" si="208"/>
        <v>1.6000000000000014E-2</v>
      </c>
      <c r="BR180" s="1378"/>
      <c r="BS180" s="1420"/>
      <c r="BT180" s="1421"/>
      <c r="BU180" s="1422"/>
      <c r="BV180" s="1423"/>
      <c r="BW180" s="1378"/>
      <c r="BX180" s="1412" t="str">
        <f t="shared" si="209"/>
        <v>Price</v>
      </c>
      <c r="BY180" s="1413" t="str">
        <f t="shared" si="210"/>
        <v>Sewerage</v>
      </c>
      <c r="BZ180" s="1414" t="str">
        <f t="shared" si="211"/>
        <v>Fixed</v>
      </c>
      <c r="CA180" s="1424">
        <f t="shared" ref="CA180:CR180" si="310">IFERROR((P180/O180-1)*(O182/O$13),"-")</f>
        <v>2.1015553798292181E-6</v>
      </c>
      <c r="CB180" s="1415">
        <f t="shared" si="310"/>
        <v>-6.0157593336201254E-6</v>
      </c>
      <c r="CC180" s="1415">
        <f t="shared" si="310"/>
        <v>-1.0011060615269438E-5</v>
      </c>
      <c r="CD180" s="1415">
        <f t="shared" si="310"/>
        <v>-1.0724093443942338E-5</v>
      </c>
      <c r="CE180" s="1415">
        <f t="shared" si="310"/>
        <v>-6.9015264261120149E-6</v>
      </c>
      <c r="CF180" s="1415">
        <f t="shared" si="310"/>
        <v>7.3314049108450026E-6</v>
      </c>
      <c r="CG180" s="1415">
        <f t="shared" si="310"/>
        <v>7.5115740026866969E-7</v>
      </c>
      <c r="CH180" s="1425">
        <f t="shared" si="310"/>
        <v>3.8205532543046078E-6</v>
      </c>
      <c r="CI180" s="1417">
        <f t="shared" si="310"/>
        <v>2.2374753588768691E-5</v>
      </c>
      <c r="CJ180" s="1417">
        <f t="shared" si="310"/>
        <v>2.2251340196244735E-5</v>
      </c>
      <c r="CK180" s="1417">
        <f t="shared" si="310"/>
        <v>2.2377883890425474E-5</v>
      </c>
      <c r="CL180" s="1417">
        <f t="shared" si="310"/>
        <v>2.2506414430897336E-5</v>
      </c>
      <c r="CM180" s="1418">
        <f t="shared" si="310"/>
        <v>2.2632881637599416E-5</v>
      </c>
      <c r="CN180" s="1417">
        <f t="shared" si="310"/>
        <v>6.9380817320712218E-6</v>
      </c>
      <c r="CO180" s="1417">
        <f t="shared" si="310"/>
        <v>6.9754650190722373E-6</v>
      </c>
      <c r="CP180" s="1417">
        <f t="shared" si="310"/>
        <v>7.0119127758077425E-6</v>
      </c>
      <c r="CQ180" s="1417">
        <f t="shared" si="310"/>
        <v>7.0500239610651405E-6</v>
      </c>
      <c r="CR180" s="1419">
        <f t="shared" si="310"/>
        <v>7.0855298909940897E-6</v>
      </c>
      <c r="CS180" s="1378"/>
      <c r="CT180" s="1412" t="str">
        <f t="shared" si="188"/>
        <v>Price</v>
      </c>
      <c r="CU180" s="1413" t="str">
        <f t="shared" si="189"/>
        <v>Sewerage</v>
      </c>
      <c r="CV180" s="1426" t="str">
        <f t="shared" si="190"/>
        <v>Fixed</v>
      </c>
      <c r="CW180" s="1427">
        <f t="shared" si="213"/>
        <v>5.2499999999999991E-2</v>
      </c>
      <c r="CX180" s="1417">
        <f t="shared" si="214"/>
        <v>5.2499999999999991E-2</v>
      </c>
      <c r="CY180" s="1417">
        <f t="shared" si="215"/>
        <v>5.2499999999999991E-2</v>
      </c>
      <c r="CZ180" s="1419">
        <f t="shared" si="216"/>
        <v>5.2499999999999991E-2</v>
      </c>
      <c r="DA180" s="1417">
        <f t="shared" si="217"/>
        <v>4.6326854261736994E-2</v>
      </c>
      <c r="DB180" s="1417">
        <f t="shared" si="218"/>
        <v>4.1939644324732628E-2</v>
      </c>
      <c r="DC180" s="1417">
        <f t="shared" si="219"/>
        <v>3.8661313083165672E-2</v>
      </c>
      <c r="DD180" s="1417">
        <f t="shared" si="220"/>
        <v>3.6118632816290797E-2</v>
      </c>
      <c r="DE180" s="1419">
        <f t="shared" si="221"/>
        <v>3.4088971027154802E-2</v>
      </c>
      <c r="DF180" s="1378"/>
      <c r="DG180" s="1412" t="str">
        <f t="shared" si="222"/>
        <v>Price</v>
      </c>
      <c r="DH180" s="1413" t="str">
        <f t="shared" si="222"/>
        <v>Sewerage</v>
      </c>
      <c r="DI180" s="1426" t="str">
        <f t="shared" si="222"/>
        <v>Fixed</v>
      </c>
      <c r="DJ180" s="1426"/>
      <c r="DK180" s="1427">
        <f t="shared" si="223"/>
        <v>5.2499999999999991E-2</v>
      </c>
      <c r="DL180" s="1417">
        <f t="shared" si="224"/>
        <v>5.2499999999999991E-2</v>
      </c>
      <c r="DM180" s="1417">
        <f t="shared" si="225"/>
        <v>5.2499999999999991E-2</v>
      </c>
      <c r="DN180" s="1418">
        <f t="shared" si="226"/>
        <v>4.5096576751770812E-2</v>
      </c>
      <c r="DO180" s="1417">
        <f t="shared" si="227"/>
        <v>4.0189915391222852E-2</v>
      </c>
      <c r="DP180" s="1417">
        <f t="shared" si="228"/>
        <v>3.6699267547711134E-2</v>
      </c>
      <c r="DQ180" s="1417">
        <f t="shared" si="229"/>
        <v>3.4088971027154802E-2</v>
      </c>
      <c r="DR180" s="1419">
        <f t="shared" si="230"/>
        <v>3.2063285160126576E-2</v>
      </c>
    </row>
    <row r="181" spans="4:122">
      <c r="E181" s="742" t="s">
        <v>45</v>
      </c>
      <c r="F181" s="722" t="str">
        <f>+F180</f>
        <v>Sewerage</v>
      </c>
      <c r="G181" s="723" t="str">
        <f>+G180</f>
        <v>Wastewater Fixed Charges - Group E (WALWA)</v>
      </c>
      <c r="H181" s="723">
        <f>+H180</f>
        <v>0</v>
      </c>
      <c r="I181" s="724" t="str">
        <f>+I180</f>
        <v>Fixed</v>
      </c>
      <c r="J181" s="782" t="s">
        <v>323</v>
      </c>
      <c r="K181" s="1540"/>
      <c r="L181" s="1541"/>
      <c r="M181" s="1541"/>
      <c r="N181" s="1542"/>
      <c r="O181" s="2031">
        <v>64</v>
      </c>
      <c r="P181" s="1543">
        <v>64</v>
      </c>
      <c r="Q181" s="1543">
        <v>65</v>
      </c>
      <c r="R181" s="1543">
        <v>64</v>
      </c>
      <c r="S181" s="1543">
        <v>64</v>
      </c>
      <c r="T181" s="1543">
        <v>63</v>
      </c>
      <c r="U181" s="1543">
        <v>63</v>
      </c>
      <c r="V181" s="1543">
        <v>64.02272727272728</v>
      </c>
      <c r="W181" s="1543">
        <v>65.068698347107443</v>
      </c>
      <c r="X181" s="1544">
        <v>66.138441491359885</v>
      </c>
      <c r="Y181" s="1543">
        <v>67.232496979799876</v>
      </c>
      <c r="Z181" s="1543">
        <v>68.351417365704421</v>
      </c>
      <c r="AA181" s="1543">
        <v>69.495767760379522</v>
      </c>
      <c r="AB181" s="1543">
        <v>70.666126118569963</v>
      </c>
      <c r="AC181" s="1544">
        <v>71.863083530355652</v>
      </c>
      <c r="AD181" s="1543">
        <v>73.087244519681917</v>
      </c>
      <c r="AE181" s="1543">
        <v>74.339227349674672</v>
      </c>
      <c r="AF181" s="1543">
        <v>75.619664334894566</v>
      </c>
      <c r="AG181" s="788">
        <v>76.929202160687623</v>
      </c>
      <c r="AH181" s="697"/>
      <c r="AI181" s="707"/>
      <c r="AJ181" s="709">
        <f t="shared" si="234"/>
        <v>66.138441491359885</v>
      </c>
      <c r="AK181" s="710">
        <f t="shared" si="235"/>
        <v>67.232496979799876</v>
      </c>
      <c r="AL181" s="710">
        <f t="shared" si="236"/>
        <v>68.351417365704421</v>
      </c>
      <c r="AM181" s="710">
        <f t="shared" si="237"/>
        <v>69.495767760379522</v>
      </c>
      <c r="AN181" s="710">
        <f t="shared" si="238"/>
        <v>70.666126118569963</v>
      </c>
      <c r="AO181" s="711">
        <f t="shared" si="239"/>
        <v>71.863083530355652</v>
      </c>
      <c r="AP181" s="707">
        <f t="shared" si="240"/>
        <v>73.087244519681917</v>
      </c>
      <c r="AQ181" s="707">
        <f t="shared" si="241"/>
        <v>74.339227349674672</v>
      </c>
      <c r="AR181" s="707">
        <f t="shared" si="242"/>
        <v>75.619664334894566</v>
      </c>
      <c r="AS181" s="712">
        <f t="shared" si="243"/>
        <v>76.929202160687623</v>
      </c>
      <c r="AV181" s="1559"/>
      <c r="AW181" s="1392" t="str">
        <f t="shared" si="191"/>
        <v>Qty</v>
      </c>
      <c r="AX181" s="1393" t="str">
        <f t="shared" si="191"/>
        <v>Sewerage</v>
      </c>
      <c r="AY181" s="1394" t="str">
        <f t="shared" si="192"/>
        <v>Fixed</v>
      </c>
      <c r="AZ181" s="1395">
        <f t="shared" si="306"/>
        <v>0</v>
      </c>
      <c r="BA181" s="1395">
        <f t="shared" si="306"/>
        <v>1.5625E-2</v>
      </c>
      <c r="BB181" s="1395">
        <f t="shared" si="306"/>
        <v>-1.538461538461533E-2</v>
      </c>
      <c r="BC181" s="1395">
        <f t="shared" si="194"/>
        <v>0</v>
      </c>
      <c r="BD181" s="1395">
        <f t="shared" si="195"/>
        <v>-1.5625E-2</v>
      </c>
      <c r="BE181" s="1395">
        <f t="shared" si="196"/>
        <v>0</v>
      </c>
      <c r="BF181" s="1395">
        <f t="shared" si="197"/>
        <v>1.6233766233766378E-2</v>
      </c>
      <c r="BG181" s="1396">
        <f t="shared" si="198"/>
        <v>1.6337496369445148E-2</v>
      </c>
      <c r="BH181" s="1395">
        <f t="shared" si="199"/>
        <v>1.6440211214091338E-2</v>
      </c>
      <c r="BI181" s="1395">
        <f t="shared" si="200"/>
        <v>1.6541900047386537E-2</v>
      </c>
      <c r="BJ181" s="1395">
        <f t="shared" si="201"/>
        <v>1.6642552874999161E-2</v>
      </c>
      <c r="BK181" s="1395">
        <f t="shared" si="202"/>
        <v>1.6742160422986041E-2</v>
      </c>
      <c r="BL181" s="1397">
        <f t="shared" si="203"/>
        <v>1.6840714131338475E-2</v>
      </c>
      <c r="BM181" s="1395">
        <f t="shared" si="204"/>
        <v>1.6938206146709156E-2</v>
      </c>
      <c r="BN181" s="1395">
        <f t="shared" si="205"/>
        <v>1.7034629314356842E-2</v>
      </c>
      <c r="BO181" s="1395">
        <f t="shared" si="206"/>
        <v>1.712997716934872E-2</v>
      </c>
      <c r="BP181" s="1395">
        <f t="shared" si="207"/>
        <v>1.7224243927058902E-2</v>
      </c>
      <c r="BQ181" s="1398">
        <f t="shared" si="208"/>
        <v>1.7317424472998777E-2</v>
      </c>
      <c r="BR181" s="1378"/>
      <c r="BS181" s="1329"/>
      <c r="BT181" s="1399"/>
      <c r="BU181" s="1331"/>
      <c r="BV181" s="1400"/>
      <c r="BW181" s="1378"/>
      <c r="BX181" s="1392" t="str">
        <f t="shared" si="209"/>
        <v>Qty</v>
      </c>
      <c r="BY181" s="1393" t="str">
        <f t="shared" si="210"/>
        <v>Sewerage</v>
      </c>
      <c r="BZ181" s="1394" t="str">
        <f t="shared" si="211"/>
        <v>Fixed</v>
      </c>
      <c r="CA181" s="1401">
        <f t="shared" ref="CA181:CR181" si="311">IFERROR((P181/O181-1)*(O182/O$13),"-")</f>
        <v>0</v>
      </c>
      <c r="CB181" s="1395">
        <f t="shared" si="311"/>
        <v>7.1499806246463752E-6</v>
      </c>
      <c r="CC181" s="1395">
        <f t="shared" si="311"/>
        <v>-7.183321032248696E-6</v>
      </c>
      <c r="CD181" s="1395">
        <f t="shared" si="311"/>
        <v>0</v>
      </c>
      <c r="CE181" s="1395">
        <f t="shared" si="311"/>
        <v>-7.2369187224480669E-6</v>
      </c>
      <c r="CF181" s="1395">
        <f t="shared" si="311"/>
        <v>0</v>
      </c>
      <c r="CG181" s="1395">
        <f t="shared" si="311"/>
        <v>6.8153377347833196E-6</v>
      </c>
      <c r="CH181" s="1397">
        <f t="shared" si="311"/>
        <v>6.6656491718975516E-6</v>
      </c>
      <c r="CI181" s="1395">
        <f t="shared" si="311"/>
        <v>7.0065842830972477E-6</v>
      </c>
      <c r="CJ181" s="1395">
        <f t="shared" si="311"/>
        <v>7.0110370561271397E-6</v>
      </c>
      <c r="CK181" s="1395">
        <f t="shared" si="311"/>
        <v>7.093811730990437E-6</v>
      </c>
      <c r="CL181" s="1395">
        <f t="shared" si="311"/>
        <v>7.1772571609198349E-6</v>
      </c>
      <c r="CM181" s="1397">
        <f t="shared" si="311"/>
        <v>7.2600740881377447E-6</v>
      </c>
      <c r="CN181" s="1395">
        <f t="shared" si="311"/>
        <v>7.3449161650336982E-6</v>
      </c>
      <c r="CO181" s="1395">
        <f t="shared" si="311"/>
        <v>7.4265288059474082E-6</v>
      </c>
      <c r="CP181" s="1395">
        <f t="shared" si="311"/>
        <v>7.5071191101906957E-6</v>
      </c>
      <c r="CQ181" s="1395">
        <f t="shared" si="311"/>
        <v>7.5894582748122427E-6</v>
      </c>
      <c r="CR181" s="1398">
        <f t="shared" si="311"/>
        <v>7.6689455461540814E-6</v>
      </c>
      <c r="CS181" s="1378"/>
      <c r="CT181" s="1392" t="str">
        <f t="shared" si="188"/>
        <v>Qty</v>
      </c>
      <c r="CU181" s="1393" t="str">
        <f t="shared" si="189"/>
        <v>Sewerage</v>
      </c>
      <c r="CV181" s="1393" t="str">
        <f t="shared" si="190"/>
        <v>Fixed</v>
      </c>
      <c r="CW181" s="1401">
        <f t="shared" si="213"/>
        <v>1.6491054359131674E-2</v>
      </c>
      <c r="CX181" s="1395">
        <f t="shared" si="214"/>
        <v>1.654155135580182E-2</v>
      </c>
      <c r="CY181" s="1395">
        <f t="shared" si="215"/>
        <v>1.6591699911543856E-2</v>
      </c>
      <c r="CZ181" s="1398">
        <f t="shared" si="216"/>
        <v>1.6641497876535682E-2</v>
      </c>
      <c r="DA181" s="1395">
        <f t="shared" si="217"/>
        <v>1.6690943242447132E-2</v>
      </c>
      <c r="DB181" s="1395">
        <f t="shared" si="218"/>
        <v>1.6740034141088822E-2</v>
      </c>
      <c r="DC181" s="1395">
        <f t="shared" si="219"/>
        <v>1.6788768842953106E-2</v>
      </c>
      <c r="DD181" s="1395">
        <f t="shared" si="220"/>
        <v>1.6837145755654204E-2</v>
      </c>
      <c r="DE181" s="1398">
        <f t="shared" si="221"/>
        <v>1.688516342227353E-2</v>
      </c>
      <c r="DF181" s="1378"/>
      <c r="DG181" s="1392" t="str">
        <f t="shared" si="222"/>
        <v>Qty</v>
      </c>
      <c r="DH181" s="1393" t="str">
        <f t="shared" si="222"/>
        <v>Sewerage</v>
      </c>
      <c r="DI181" s="1393" t="str">
        <f t="shared" si="222"/>
        <v>Fixed</v>
      </c>
      <c r="DJ181" s="1393"/>
      <c r="DK181" s="1401">
        <f t="shared" si="223"/>
        <v>1.6592225215487977E-2</v>
      </c>
      <c r="DL181" s="1395">
        <f t="shared" si="224"/>
        <v>1.6642201161116255E-2</v>
      </c>
      <c r="DM181" s="1395">
        <f t="shared" si="225"/>
        <v>1.6691825770119184E-2</v>
      </c>
      <c r="DN181" s="1397">
        <f t="shared" si="226"/>
        <v>1.6741097069597366E-2</v>
      </c>
      <c r="DO181" s="1395">
        <f t="shared" si="227"/>
        <v>1.6790013226533063E-2</v>
      </c>
      <c r="DP181" s="1395">
        <f t="shared" si="228"/>
        <v>1.683857254631338E-2</v>
      </c>
      <c r="DQ181" s="1395">
        <f t="shared" si="229"/>
        <v>1.6886773471154415E-2</v>
      </c>
      <c r="DR181" s="1398">
        <f t="shared" si="230"/>
        <v>1.6934614578428375E-2</v>
      </c>
    </row>
    <row r="182" spans="4:122" ht="12.75" thickBot="1">
      <c r="E182" s="743" t="s">
        <v>46</v>
      </c>
      <c r="F182" s="732" t="str">
        <f>+F180</f>
        <v>Sewerage</v>
      </c>
      <c r="G182" s="733" t="str">
        <f>+G180</f>
        <v>Wastewater Fixed Charges - Group E (WALWA)</v>
      </c>
      <c r="H182" s="733">
        <f>+H180</f>
        <v>0</v>
      </c>
      <c r="I182" s="734" t="str">
        <f>+I180</f>
        <v>Fixed</v>
      </c>
      <c r="J182" s="735" t="s">
        <v>344</v>
      </c>
      <c r="K182" s="736">
        <f t="shared" ref="K182:AG182" si="312">K180*K181/10^6</f>
        <v>0</v>
      </c>
      <c r="L182" s="737">
        <f t="shared" si="312"/>
        <v>0</v>
      </c>
      <c r="M182" s="737">
        <f t="shared" si="312"/>
        <v>0</v>
      </c>
      <c r="N182" s="738">
        <f t="shared" si="312"/>
        <v>0</v>
      </c>
      <c r="O182" s="1923">
        <f t="shared" si="312"/>
        <v>3.52409571040724E-2</v>
      </c>
      <c r="P182" s="737">
        <f t="shared" si="312"/>
        <v>3.5399420248667851E-2</v>
      </c>
      <c r="Q182" s="737">
        <f t="shared" si="312"/>
        <v>3.5479891104294475E-2</v>
      </c>
      <c r="R182" s="737">
        <f t="shared" si="312"/>
        <v>3.4185031903945104E-2</v>
      </c>
      <c r="S182" s="737">
        <f t="shared" si="312"/>
        <v>3.3384971399491092E-2</v>
      </c>
      <c r="T182" s="737">
        <f t="shared" si="312"/>
        <v>3.237363915254237E-2</v>
      </c>
      <c r="U182" s="737">
        <f t="shared" si="312"/>
        <v>3.2920839570135751E-2</v>
      </c>
      <c r="V182" s="737">
        <f t="shared" si="312"/>
        <v>3.3515127497518858E-2</v>
      </c>
      <c r="W182" s="737">
        <f t="shared" si="312"/>
        <v>3.4381649519628105E-2</v>
      </c>
      <c r="X182" s="738">
        <f t="shared" si="312"/>
        <v>3.6781602882349676E-2</v>
      </c>
      <c r="Y182" s="737">
        <f t="shared" si="312"/>
        <v>3.9353017606054801E-2</v>
      </c>
      <c r="Z182" s="737">
        <f t="shared" si="312"/>
        <v>4.2108369777177954E-2</v>
      </c>
      <c r="AA182" s="737">
        <f t="shared" si="312"/>
        <v>4.5061055989242628E-2</v>
      </c>
      <c r="AB182" s="737">
        <f t="shared" si="312"/>
        <v>4.8225461960073421E-2</v>
      </c>
      <c r="AC182" s="738">
        <f t="shared" si="312"/>
        <v>4.9826991812693802E-2</v>
      </c>
      <c r="AD182" s="737">
        <f t="shared" si="312"/>
        <v>5.1486588566441685E-2</v>
      </c>
      <c r="AE182" s="737">
        <f t="shared" si="312"/>
        <v>5.3206449495562282E-2</v>
      </c>
      <c r="AF182" s="737">
        <f t="shared" si="312"/>
        <v>5.4988856605929247E-2</v>
      </c>
      <c r="AG182" s="739">
        <f t="shared" si="312"/>
        <v>5.6836179928691936E-2</v>
      </c>
      <c r="AH182" s="697"/>
      <c r="AI182" s="707"/>
      <c r="AJ182" s="709">
        <f t="shared" si="234"/>
        <v>3.6781602882349676E-2</v>
      </c>
      <c r="AK182" s="710">
        <f t="shared" si="235"/>
        <v>3.9353017606054801E-2</v>
      </c>
      <c r="AL182" s="710">
        <f t="shared" si="236"/>
        <v>4.2108369777177954E-2</v>
      </c>
      <c r="AM182" s="710">
        <f t="shared" si="237"/>
        <v>4.5061055989242628E-2</v>
      </c>
      <c r="AN182" s="710">
        <f t="shared" si="238"/>
        <v>4.8225461960073421E-2</v>
      </c>
      <c r="AO182" s="711">
        <f t="shared" si="239"/>
        <v>4.9826991812693802E-2</v>
      </c>
      <c r="AP182" s="707">
        <f t="shared" si="240"/>
        <v>5.1486588566441685E-2</v>
      </c>
      <c r="AQ182" s="707">
        <f t="shared" si="241"/>
        <v>5.3206449495562282E-2</v>
      </c>
      <c r="AR182" s="707">
        <f t="shared" si="242"/>
        <v>5.4988856605929247E-2</v>
      </c>
      <c r="AS182" s="712">
        <f t="shared" si="243"/>
        <v>5.6836179928691936E-2</v>
      </c>
      <c r="AV182" s="1559"/>
      <c r="AW182" s="1428" t="str">
        <f t="shared" si="191"/>
        <v>Rev</v>
      </c>
      <c r="AX182" s="1429" t="str">
        <f t="shared" si="191"/>
        <v>Sewerage</v>
      </c>
      <c r="AY182" s="1430" t="str">
        <f t="shared" si="192"/>
        <v>Fixed</v>
      </c>
      <c r="AZ182" s="1431">
        <f t="shared" si="306"/>
        <v>4.4965618875640878E-3</v>
      </c>
      <c r="BA182" s="1431">
        <f t="shared" si="306"/>
        <v>2.2732252410164744E-3</v>
      </c>
      <c r="BB182" s="1431">
        <f t="shared" si="306"/>
        <v>-3.6495579891806407E-2</v>
      </c>
      <c r="BC182" s="1431">
        <f t="shared" si="194"/>
        <v>-2.3403825004524315E-2</v>
      </c>
      <c r="BD182" s="1431">
        <f t="shared" si="195"/>
        <v>-3.0293039189607907E-2</v>
      </c>
      <c r="BE182" s="1431">
        <f t="shared" si="196"/>
        <v>1.6902653885002339E-2</v>
      </c>
      <c r="BF182" s="1431">
        <f t="shared" si="197"/>
        <v>1.8052028294023748E-2</v>
      </c>
      <c r="BG182" s="1432">
        <f t="shared" si="198"/>
        <v>2.585465390735564E-2</v>
      </c>
      <c r="BH182" s="1431">
        <f t="shared" si="199"/>
        <v>6.9803322302830928E-2</v>
      </c>
      <c r="BI182" s="1431">
        <f t="shared" si="200"/>
        <v>6.9910349799874094E-2</v>
      </c>
      <c r="BJ182" s="1431">
        <f t="shared" si="201"/>
        <v>7.0016286900936864E-2</v>
      </c>
      <c r="BK182" s="1431">
        <f t="shared" si="202"/>
        <v>7.0121123845192868E-2</v>
      </c>
      <c r="BL182" s="1433">
        <f t="shared" si="203"/>
        <v>7.0224851623233775E-2</v>
      </c>
      <c r="BM182" s="1431">
        <f t="shared" si="204"/>
        <v>3.3209217445056449E-2</v>
      </c>
      <c r="BN182" s="1431">
        <f t="shared" si="205"/>
        <v>3.3307183383386452E-2</v>
      </c>
      <c r="BO182" s="1431">
        <f t="shared" si="206"/>
        <v>3.3404056804058335E-2</v>
      </c>
      <c r="BP182" s="1431">
        <f t="shared" si="207"/>
        <v>3.3499831829891802E-2</v>
      </c>
      <c r="BQ182" s="1434">
        <f t="shared" si="208"/>
        <v>3.3594503264566811E-2</v>
      </c>
      <c r="BR182" s="1378"/>
      <c r="BS182" s="1407"/>
      <c r="BT182" s="1408"/>
      <c r="BU182" s="1409"/>
      <c r="BV182" s="1410"/>
      <c r="BW182" s="1378"/>
      <c r="BX182" s="1428" t="str">
        <f t="shared" si="209"/>
        <v>Rev</v>
      </c>
      <c r="BY182" s="1429" t="str">
        <f t="shared" si="210"/>
        <v>Sewerage</v>
      </c>
      <c r="BZ182" s="1430" t="str">
        <f t="shared" si="211"/>
        <v>Fixed</v>
      </c>
      <c r="CA182" s="1435">
        <f t="shared" ref="CA182:CR182" si="313">IFERROR((P182/O182-1)*(O182/O$13),"-")</f>
        <v>2.1015553798292181E-6</v>
      </c>
      <c r="CB182" s="1431">
        <f t="shared" si="313"/>
        <v>1.0402250514383922E-6</v>
      </c>
      <c r="CC182" s="1431">
        <f t="shared" si="313"/>
        <v>-1.7040365330360222E-5</v>
      </c>
      <c r="CD182" s="1431">
        <f t="shared" si="313"/>
        <v>-1.0724093443942338E-5</v>
      </c>
      <c r="CE182" s="1431">
        <f t="shared" si="313"/>
        <v>-1.4030608798152095E-5</v>
      </c>
      <c r="CF182" s="1431">
        <f t="shared" si="313"/>
        <v>7.3314049108450992E-6</v>
      </c>
      <c r="CG182" s="1431">
        <f t="shared" si="313"/>
        <v>7.5786892486927221E-6</v>
      </c>
      <c r="CH182" s="1433">
        <f t="shared" si="313"/>
        <v>1.0548620701123733E-5</v>
      </c>
      <c r="CI182" s="1431">
        <f t="shared" si="313"/>
        <v>2.9749183546728461E-5</v>
      </c>
      <c r="CJ182" s="1431">
        <f t="shared" si="313"/>
        <v>2.9630456697818454E-5</v>
      </c>
      <c r="CK182" s="1431">
        <f t="shared" si="313"/>
        <v>2.9844120737293018E-5</v>
      </c>
      <c r="CL182" s="1431">
        <f t="shared" si="313"/>
        <v>3.006047759276549E-5</v>
      </c>
      <c r="CM182" s="1433">
        <f t="shared" si="313"/>
        <v>3.0274109615364408E-5</v>
      </c>
      <c r="CN182" s="1431">
        <f t="shared" si="313"/>
        <v>1.4400516555745431E-5</v>
      </c>
      <c r="CO182" s="1431">
        <f t="shared" si="313"/>
        <v>1.4520818285914754E-5</v>
      </c>
      <c r="CP182" s="1431">
        <f t="shared" si="313"/>
        <v>1.4639145791761498E-5</v>
      </c>
      <c r="CQ182" s="1431">
        <f t="shared" si="313"/>
        <v>1.4760913568274355E-5</v>
      </c>
      <c r="CR182" s="1434">
        <f t="shared" si="313"/>
        <v>1.4877178565886653E-5</v>
      </c>
      <c r="CS182" s="1378"/>
      <c r="CT182" s="1428" t="str">
        <f t="shared" si="188"/>
        <v>Rev</v>
      </c>
      <c r="CU182" s="1429" t="str">
        <f t="shared" si="189"/>
        <v>Sewerage</v>
      </c>
      <c r="CV182" s="1429" t="str">
        <f t="shared" si="190"/>
        <v>Fixed</v>
      </c>
      <c r="CW182" s="1435">
        <f t="shared" si="213"/>
        <v>6.9856834712985982E-2</v>
      </c>
      <c r="CX182" s="1431">
        <f t="shared" si="214"/>
        <v>6.9909982801981352E-2</v>
      </c>
      <c r="CY182" s="1431">
        <f t="shared" si="215"/>
        <v>6.9962764156899837E-2</v>
      </c>
      <c r="CZ182" s="1434">
        <f t="shared" si="216"/>
        <v>7.0015176515053623E-2</v>
      </c>
      <c r="DA182" s="1431">
        <f t="shared" si="217"/>
        <v>6.3791036399267753E-2</v>
      </c>
      <c r="DB182" s="1431">
        <f t="shared" si="218"/>
        <v>5.9381749543682583E-2</v>
      </c>
      <c r="DC182" s="1431">
        <f t="shared" si="219"/>
        <v>5.6099157774637032E-2</v>
      </c>
      <c r="DD182" s="1431">
        <f t="shared" si="220"/>
        <v>5.3563913257167695E-2</v>
      </c>
      <c r="DE182" s="1434">
        <f t="shared" si="221"/>
        <v>5.1549732296119144E-2</v>
      </c>
      <c r="DF182" s="1378"/>
      <c r="DG182" s="1428" t="str">
        <f t="shared" si="222"/>
        <v>Rev</v>
      </c>
      <c r="DH182" s="1429" t="str">
        <f t="shared" si="222"/>
        <v>Sewerage</v>
      </c>
      <c r="DI182" s="1429" t="str">
        <f t="shared" si="222"/>
        <v>Fixed</v>
      </c>
      <c r="DJ182" s="1429"/>
      <c r="DK182" s="1435">
        <f t="shared" si="223"/>
        <v>6.9963317039301032E-2</v>
      </c>
      <c r="DL182" s="1431">
        <f t="shared" si="224"/>
        <v>7.0015916722074856E-2</v>
      </c>
      <c r="DM182" s="1431">
        <f t="shared" si="225"/>
        <v>7.0068146623050387E-2</v>
      </c>
      <c r="DN182" s="1433">
        <f t="shared" si="226"/>
        <v>6.2592639990276311E-2</v>
      </c>
      <c r="DO182" s="1431">
        <f t="shared" si="227"/>
        <v>5.765471782874787E-2</v>
      </c>
      <c r="DP182" s="1431">
        <f t="shared" si="228"/>
        <v>5.415580337302317E-2</v>
      </c>
      <c r="DQ182" s="1431">
        <f t="shared" si="229"/>
        <v>5.1551397229909535E-2</v>
      </c>
      <c r="DR182" s="1434">
        <f t="shared" si="230"/>
        <v>4.9540879114859937E-2</v>
      </c>
    </row>
    <row r="183" spans="4:122">
      <c r="D183" s="70">
        <f>D180+1</f>
        <v>40</v>
      </c>
      <c r="E183" s="713" t="s">
        <v>44</v>
      </c>
      <c r="F183" s="1532" t="s">
        <v>21</v>
      </c>
      <c r="G183" s="1532" t="s">
        <v>902</v>
      </c>
      <c r="H183" s="1532"/>
      <c r="I183" s="781" t="s">
        <v>319</v>
      </c>
      <c r="J183" s="781" t="s">
        <v>345</v>
      </c>
      <c r="K183" s="1533"/>
      <c r="L183" s="1534"/>
      <c r="M183" s="1534"/>
      <c r="N183" s="1535"/>
      <c r="O183" s="2071">
        <v>241851.58371040726</v>
      </c>
      <c r="P183" s="1547">
        <v>237341.03019538193</v>
      </c>
      <c r="Q183" s="1547">
        <v>234220.85889570555</v>
      </c>
      <c r="R183" s="1554">
        <v>229198.9708404803</v>
      </c>
      <c r="S183" s="1554">
        <v>226671.75572519083</v>
      </c>
      <c r="T183" s="1554">
        <v>215694.91525423728</v>
      </c>
      <c r="U183" s="1554">
        <v>201542.98642533936</v>
      </c>
      <c r="V183" s="1554">
        <v>194502.18340611353</v>
      </c>
      <c r="W183" s="1554">
        <v>189000</v>
      </c>
      <c r="X183" s="1555">
        <v>189000</v>
      </c>
      <c r="Y183" s="1556">
        <v>189000</v>
      </c>
      <c r="Z183" s="1556">
        <v>189000</v>
      </c>
      <c r="AA183" s="1556">
        <v>189000</v>
      </c>
      <c r="AB183" s="1556">
        <v>189000</v>
      </c>
      <c r="AC183" s="1555">
        <v>189000</v>
      </c>
      <c r="AD183" s="1556">
        <v>189000</v>
      </c>
      <c r="AE183" s="1556">
        <v>189000</v>
      </c>
      <c r="AF183" s="1556">
        <v>189000</v>
      </c>
      <c r="AG183" s="1557">
        <v>189000</v>
      </c>
      <c r="AH183" s="697"/>
      <c r="AI183" s="707"/>
      <c r="AJ183" s="709">
        <f t="shared" si="234"/>
        <v>189000</v>
      </c>
      <c r="AK183" s="710">
        <f t="shared" si="235"/>
        <v>189000</v>
      </c>
      <c r="AL183" s="710">
        <f t="shared" si="236"/>
        <v>189000</v>
      </c>
      <c r="AM183" s="710">
        <f t="shared" si="237"/>
        <v>189000</v>
      </c>
      <c r="AN183" s="710">
        <f t="shared" si="238"/>
        <v>189000</v>
      </c>
      <c r="AO183" s="711">
        <f t="shared" si="239"/>
        <v>189000</v>
      </c>
      <c r="AP183" s="707">
        <f t="shared" si="240"/>
        <v>189000</v>
      </c>
      <c r="AQ183" s="707">
        <f t="shared" si="241"/>
        <v>189000</v>
      </c>
      <c r="AR183" s="707">
        <f t="shared" si="242"/>
        <v>189000</v>
      </c>
      <c r="AS183" s="712">
        <f t="shared" si="243"/>
        <v>189000</v>
      </c>
      <c r="AU183" s="1369"/>
      <c r="AV183" s="1559"/>
      <c r="AW183" s="1412" t="str">
        <f t="shared" si="191"/>
        <v>Price</v>
      </c>
      <c r="AX183" s="1413" t="str">
        <f t="shared" si="191"/>
        <v>Sewerage</v>
      </c>
      <c r="AY183" s="1414" t="str">
        <f t="shared" si="192"/>
        <v>Fixed</v>
      </c>
      <c r="AZ183" s="1415">
        <f t="shared" si="306"/>
        <v>-1.8650088809946563E-2</v>
      </c>
      <c r="BA183" s="1415">
        <f t="shared" si="306"/>
        <v>-1.3146362839614456E-2</v>
      </c>
      <c r="BB183" s="1415">
        <f t="shared" si="306"/>
        <v>-2.1440823327615766E-2</v>
      </c>
      <c r="BC183" s="1415">
        <f t="shared" si="194"/>
        <v>-1.1026293469041715E-2</v>
      </c>
      <c r="BD183" s="1415">
        <f t="shared" si="195"/>
        <v>-4.8426150121065437E-2</v>
      </c>
      <c r="BE183" s="1415">
        <f t="shared" si="196"/>
        <v>-6.5610859728506776E-2</v>
      </c>
      <c r="BF183" s="1415">
        <f t="shared" si="197"/>
        <v>-3.4934497816593857E-2</v>
      </c>
      <c r="BG183" s="1416">
        <f t="shared" si="198"/>
        <v>-2.8288543140028266E-2</v>
      </c>
      <c r="BH183" s="1417">
        <f t="shared" si="199"/>
        <v>0</v>
      </c>
      <c r="BI183" s="1417">
        <f t="shared" si="200"/>
        <v>0</v>
      </c>
      <c r="BJ183" s="1417">
        <f t="shared" si="201"/>
        <v>0</v>
      </c>
      <c r="BK183" s="1417">
        <f t="shared" si="202"/>
        <v>0</v>
      </c>
      <c r="BL183" s="1418">
        <f t="shared" si="203"/>
        <v>0</v>
      </c>
      <c r="BM183" s="1417">
        <f t="shared" si="204"/>
        <v>0</v>
      </c>
      <c r="BN183" s="1417">
        <f t="shared" si="205"/>
        <v>0</v>
      </c>
      <c r="BO183" s="1417">
        <f t="shared" si="206"/>
        <v>0</v>
      </c>
      <c r="BP183" s="1417">
        <f t="shared" si="207"/>
        <v>0</v>
      </c>
      <c r="BQ183" s="1419">
        <f t="shared" si="208"/>
        <v>0</v>
      </c>
      <c r="BR183" s="1378"/>
      <c r="BS183" s="1420"/>
      <c r="BT183" s="1421"/>
      <c r="BU183" s="1422"/>
      <c r="BV183" s="1423"/>
      <c r="BW183" s="1378"/>
      <c r="BX183" s="1412" t="str">
        <f t="shared" si="209"/>
        <v>Price</v>
      </c>
      <c r="BY183" s="1413" t="str">
        <f t="shared" si="210"/>
        <v>Sewerage</v>
      </c>
      <c r="BZ183" s="1414" t="str">
        <f t="shared" si="211"/>
        <v>Fixed</v>
      </c>
      <c r="CA183" s="1424">
        <f t="shared" ref="CA183:CR183" si="314">IFERROR((P183/O183-1)*(O185/O$13),"-")</f>
        <v>-5.9819449056806494E-5</v>
      </c>
      <c r="CB183" s="1415">
        <f t="shared" si="314"/>
        <v>-4.033361302584088E-5</v>
      </c>
      <c r="CC183" s="1415">
        <f t="shared" si="314"/>
        <v>-6.6088117600833458E-5</v>
      </c>
      <c r="CD183" s="1415">
        <f t="shared" si="314"/>
        <v>-3.3875051822240824E-5</v>
      </c>
      <c r="CE183" s="1415">
        <f t="shared" si="314"/>
        <v>-1.5228601179517406E-4</v>
      </c>
      <c r="CF183" s="1415">
        <f t="shared" si="314"/>
        <v>-1.8960789717673446E-4</v>
      </c>
      <c r="CG183" s="1415">
        <f t="shared" si="314"/>
        <v>-8.9788225008938282E-5</v>
      </c>
      <c r="CH183" s="1425">
        <f t="shared" si="314"/>
        <v>-6.6980924082955554E-5</v>
      </c>
      <c r="CI183" s="1417">
        <f t="shared" si="314"/>
        <v>0</v>
      </c>
      <c r="CJ183" s="1417">
        <f t="shared" si="314"/>
        <v>0</v>
      </c>
      <c r="CK183" s="1417">
        <f t="shared" si="314"/>
        <v>0</v>
      </c>
      <c r="CL183" s="1417">
        <f t="shared" si="314"/>
        <v>0</v>
      </c>
      <c r="CM183" s="1418">
        <f t="shared" si="314"/>
        <v>0</v>
      </c>
      <c r="CN183" s="1417">
        <f t="shared" si="314"/>
        <v>0</v>
      </c>
      <c r="CO183" s="1417">
        <f t="shared" si="314"/>
        <v>0</v>
      </c>
      <c r="CP183" s="1417">
        <f t="shared" si="314"/>
        <v>0</v>
      </c>
      <c r="CQ183" s="1417">
        <f t="shared" si="314"/>
        <v>0</v>
      </c>
      <c r="CR183" s="1419">
        <f t="shared" si="314"/>
        <v>0</v>
      </c>
      <c r="CS183" s="1378"/>
      <c r="CT183" s="1412" t="str">
        <f t="shared" si="188"/>
        <v>Price</v>
      </c>
      <c r="CU183" s="1413" t="str">
        <f t="shared" si="189"/>
        <v>Sewerage</v>
      </c>
      <c r="CV183" s="1426" t="str">
        <f t="shared" si="190"/>
        <v>Fixed</v>
      </c>
      <c r="CW183" s="1427">
        <f t="shared" si="213"/>
        <v>0</v>
      </c>
      <c r="CX183" s="1417">
        <f t="shared" si="214"/>
        <v>0</v>
      </c>
      <c r="CY183" s="1417">
        <f t="shared" si="215"/>
        <v>0</v>
      </c>
      <c r="CZ183" s="1419">
        <f t="shared" si="216"/>
        <v>0</v>
      </c>
      <c r="DA183" s="1417">
        <f t="shared" si="217"/>
        <v>0</v>
      </c>
      <c r="DB183" s="1417">
        <f t="shared" si="218"/>
        <v>0</v>
      </c>
      <c r="DC183" s="1417">
        <f t="shared" si="219"/>
        <v>0</v>
      </c>
      <c r="DD183" s="1417">
        <f t="shared" si="220"/>
        <v>0</v>
      </c>
      <c r="DE183" s="1419">
        <f t="shared" si="221"/>
        <v>0</v>
      </c>
      <c r="DF183" s="1378"/>
      <c r="DG183" s="1412" t="str">
        <f t="shared" si="222"/>
        <v>Price</v>
      </c>
      <c r="DH183" s="1413" t="str">
        <f t="shared" si="222"/>
        <v>Sewerage</v>
      </c>
      <c r="DI183" s="1426" t="str">
        <f t="shared" si="222"/>
        <v>Fixed</v>
      </c>
      <c r="DJ183" s="1426"/>
      <c r="DK183" s="1427">
        <f t="shared" si="223"/>
        <v>0</v>
      </c>
      <c r="DL183" s="1417">
        <f t="shared" si="224"/>
        <v>0</v>
      </c>
      <c r="DM183" s="1417">
        <f t="shared" si="225"/>
        <v>0</v>
      </c>
      <c r="DN183" s="1418">
        <f t="shared" si="226"/>
        <v>0</v>
      </c>
      <c r="DO183" s="1417">
        <f t="shared" si="227"/>
        <v>0</v>
      </c>
      <c r="DP183" s="1417">
        <f t="shared" si="228"/>
        <v>0</v>
      </c>
      <c r="DQ183" s="1417">
        <f t="shared" si="229"/>
        <v>0</v>
      </c>
      <c r="DR183" s="1419">
        <f t="shared" si="230"/>
        <v>0</v>
      </c>
    </row>
    <row r="184" spans="4:122">
      <c r="E184" s="742" t="s">
        <v>45</v>
      </c>
      <c r="F184" s="722" t="str">
        <f>+F183</f>
        <v>Sewerage</v>
      </c>
      <c r="G184" s="723" t="str">
        <f>+G183</f>
        <v>Wastewater Fixed Charge - Bandiana Army</v>
      </c>
      <c r="H184" s="723">
        <f>+H183</f>
        <v>0</v>
      </c>
      <c r="I184" s="724" t="str">
        <f>+I183</f>
        <v>Fixed</v>
      </c>
      <c r="J184" s="782" t="s">
        <v>323</v>
      </c>
      <c r="K184" s="1540"/>
      <c r="L184" s="1541"/>
      <c r="M184" s="1541"/>
      <c r="N184" s="1542"/>
      <c r="O184" s="2031">
        <v>1</v>
      </c>
      <c r="P184" s="1543">
        <v>1</v>
      </c>
      <c r="Q184" s="1543">
        <v>1</v>
      </c>
      <c r="R184" s="1543">
        <v>1</v>
      </c>
      <c r="S184" s="1543">
        <v>1</v>
      </c>
      <c r="T184" s="1543">
        <v>1</v>
      </c>
      <c r="U184" s="1543">
        <v>1</v>
      </c>
      <c r="V184" s="1543">
        <v>1</v>
      </c>
      <c r="W184" s="1543">
        <v>1</v>
      </c>
      <c r="X184" s="1544">
        <v>1</v>
      </c>
      <c r="Y184" s="1543">
        <v>1</v>
      </c>
      <c r="Z184" s="1543">
        <v>1</v>
      </c>
      <c r="AA184" s="1543">
        <v>1</v>
      </c>
      <c r="AB184" s="1543">
        <v>1</v>
      </c>
      <c r="AC184" s="1544">
        <v>1</v>
      </c>
      <c r="AD184" s="1543">
        <v>1</v>
      </c>
      <c r="AE184" s="1543">
        <v>1</v>
      </c>
      <c r="AF184" s="1543">
        <v>1</v>
      </c>
      <c r="AG184" s="1553">
        <v>1</v>
      </c>
      <c r="AH184" s="697"/>
      <c r="AI184" s="707"/>
      <c r="AJ184" s="709">
        <f t="shared" si="234"/>
        <v>1</v>
      </c>
      <c r="AK184" s="710">
        <f t="shared" si="235"/>
        <v>1</v>
      </c>
      <c r="AL184" s="710">
        <f t="shared" si="236"/>
        <v>1</v>
      </c>
      <c r="AM184" s="710">
        <f t="shared" si="237"/>
        <v>1</v>
      </c>
      <c r="AN184" s="710">
        <f t="shared" si="238"/>
        <v>1</v>
      </c>
      <c r="AO184" s="711">
        <f t="shared" si="239"/>
        <v>1</v>
      </c>
      <c r="AP184" s="707">
        <f t="shared" si="240"/>
        <v>1</v>
      </c>
      <c r="AQ184" s="707">
        <f t="shared" si="241"/>
        <v>1</v>
      </c>
      <c r="AR184" s="707">
        <f t="shared" si="242"/>
        <v>1</v>
      </c>
      <c r="AS184" s="712">
        <f t="shared" si="243"/>
        <v>1</v>
      </c>
      <c r="AV184" s="1559"/>
      <c r="AW184" s="1392" t="str">
        <f t="shared" si="191"/>
        <v>Qty</v>
      </c>
      <c r="AX184" s="1393" t="str">
        <f t="shared" si="191"/>
        <v>Sewerage</v>
      </c>
      <c r="AY184" s="1394" t="str">
        <f t="shared" si="192"/>
        <v>Fixed</v>
      </c>
      <c r="AZ184" s="1395">
        <f t="shared" si="306"/>
        <v>0</v>
      </c>
      <c r="BA184" s="1395">
        <f t="shared" si="306"/>
        <v>0</v>
      </c>
      <c r="BB184" s="1395">
        <f t="shared" si="306"/>
        <v>0</v>
      </c>
      <c r="BC184" s="1395">
        <f t="shared" si="194"/>
        <v>0</v>
      </c>
      <c r="BD184" s="1395">
        <f t="shared" si="195"/>
        <v>0</v>
      </c>
      <c r="BE184" s="1395">
        <f t="shared" si="196"/>
        <v>0</v>
      </c>
      <c r="BF184" s="1395">
        <f t="shared" si="197"/>
        <v>0</v>
      </c>
      <c r="BG184" s="1396">
        <f t="shared" si="198"/>
        <v>0</v>
      </c>
      <c r="BH184" s="1395">
        <f t="shared" si="199"/>
        <v>0</v>
      </c>
      <c r="BI184" s="1395">
        <f t="shared" si="200"/>
        <v>0</v>
      </c>
      <c r="BJ184" s="1395">
        <f t="shared" si="201"/>
        <v>0</v>
      </c>
      <c r="BK184" s="1395">
        <f t="shared" si="202"/>
        <v>0</v>
      </c>
      <c r="BL184" s="1397">
        <f t="shared" si="203"/>
        <v>0</v>
      </c>
      <c r="BM184" s="1395">
        <f t="shared" si="204"/>
        <v>0</v>
      </c>
      <c r="BN184" s="1395">
        <f t="shared" si="205"/>
        <v>0</v>
      </c>
      <c r="BO184" s="1395">
        <f t="shared" si="206"/>
        <v>0</v>
      </c>
      <c r="BP184" s="1395">
        <f t="shared" si="207"/>
        <v>0</v>
      </c>
      <c r="BQ184" s="1398">
        <f t="shared" si="208"/>
        <v>0</v>
      </c>
      <c r="BR184" s="1378"/>
      <c r="BS184" s="1329"/>
      <c r="BT184" s="1399"/>
      <c r="BU184" s="1331"/>
      <c r="BV184" s="1400"/>
      <c r="BW184" s="1378"/>
      <c r="BX184" s="1392" t="str">
        <f t="shared" si="209"/>
        <v>Qty</v>
      </c>
      <c r="BY184" s="1393" t="str">
        <f t="shared" si="210"/>
        <v>Sewerage</v>
      </c>
      <c r="BZ184" s="1394" t="str">
        <f t="shared" si="211"/>
        <v>Fixed</v>
      </c>
      <c r="CA184" s="1401">
        <f t="shared" ref="CA184:CR184" si="315">IFERROR((P184/O184-1)*(O185/O$13),"-")</f>
        <v>0</v>
      </c>
      <c r="CB184" s="1395">
        <f t="shared" si="315"/>
        <v>0</v>
      </c>
      <c r="CC184" s="1395">
        <f t="shared" si="315"/>
        <v>0</v>
      </c>
      <c r="CD184" s="1395">
        <f t="shared" si="315"/>
        <v>0</v>
      </c>
      <c r="CE184" s="1395">
        <f t="shared" si="315"/>
        <v>0</v>
      </c>
      <c r="CF184" s="1395">
        <f t="shared" si="315"/>
        <v>0</v>
      </c>
      <c r="CG184" s="1395">
        <f t="shared" si="315"/>
        <v>0</v>
      </c>
      <c r="CH184" s="1397">
        <f t="shared" si="315"/>
        <v>0</v>
      </c>
      <c r="CI184" s="1395">
        <f t="shared" si="315"/>
        <v>0</v>
      </c>
      <c r="CJ184" s="1395">
        <f t="shared" si="315"/>
        <v>0</v>
      </c>
      <c r="CK184" s="1395">
        <f t="shared" si="315"/>
        <v>0</v>
      </c>
      <c r="CL184" s="1395">
        <f t="shared" si="315"/>
        <v>0</v>
      </c>
      <c r="CM184" s="1397">
        <f t="shared" si="315"/>
        <v>0</v>
      </c>
      <c r="CN184" s="1395">
        <f t="shared" si="315"/>
        <v>0</v>
      </c>
      <c r="CO184" s="1395">
        <f t="shared" si="315"/>
        <v>0</v>
      </c>
      <c r="CP184" s="1395">
        <f t="shared" si="315"/>
        <v>0</v>
      </c>
      <c r="CQ184" s="1395">
        <f t="shared" si="315"/>
        <v>0</v>
      </c>
      <c r="CR184" s="1398">
        <f t="shared" si="315"/>
        <v>0</v>
      </c>
      <c r="CS184" s="1378"/>
      <c r="CT184" s="1392" t="str">
        <f t="shared" si="188"/>
        <v>Qty</v>
      </c>
      <c r="CU184" s="1393" t="str">
        <f t="shared" si="189"/>
        <v>Sewerage</v>
      </c>
      <c r="CV184" s="1393" t="str">
        <f t="shared" si="190"/>
        <v>Fixed</v>
      </c>
      <c r="CW184" s="1401">
        <f t="shared" si="213"/>
        <v>0</v>
      </c>
      <c r="CX184" s="1395">
        <f t="shared" si="214"/>
        <v>0</v>
      </c>
      <c r="CY184" s="1395">
        <f t="shared" si="215"/>
        <v>0</v>
      </c>
      <c r="CZ184" s="1398">
        <f t="shared" si="216"/>
        <v>0</v>
      </c>
      <c r="DA184" s="1395">
        <f t="shared" si="217"/>
        <v>0</v>
      </c>
      <c r="DB184" s="1395">
        <f t="shared" si="218"/>
        <v>0</v>
      </c>
      <c r="DC184" s="1395">
        <f t="shared" si="219"/>
        <v>0</v>
      </c>
      <c r="DD184" s="1395">
        <f t="shared" si="220"/>
        <v>0</v>
      </c>
      <c r="DE184" s="1398">
        <f t="shared" si="221"/>
        <v>0</v>
      </c>
      <c r="DF184" s="1378"/>
      <c r="DG184" s="1392" t="str">
        <f t="shared" si="222"/>
        <v>Qty</v>
      </c>
      <c r="DH184" s="1393" t="str">
        <f t="shared" si="222"/>
        <v>Sewerage</v>
      </c>
      <c r="DI184" s="1393" t="str">
        <f t="shared" si="222"/>
        <v>Fixed</v>
      </c>
      <c r="DJ184" s="1393"/>
      <c r="DK184" s="1401">
        <f t="shared" si="223"/>
        <v>0</v>
      </c>
      <c r="DL184" s="1395">
        <f t="shared" si="224"/>
        <v>0</v>
      </c>
      <c r="DM184" s="1395">
        <f t="shared" si="225"/>
        <v>0</v>
      </c>
      <c r="DN184" s="1397">
        <f t="shared" si="226"/>
        <v>0</v>
      </c>
      <c r="DO184" s="1395">
        <f t="shared" si="227"/>
        <v>0</v>
      </c>
      <c r="DP184" s="1395">
        <f t="shared" si="228"/>
        <v>0</v>
      </c>
      <c r="DQ184" s="1395">
        <f t="shared" si="229"/>
        <v>0</v>
      </c>
      <c r="DR184" s="1398">
        <f t="shared" si="230"/>
        <v>0</v>
      </c>
    </row>
    <row r="185" spans="4:122" ht="12.75" thickBot="1">
      <c r="E185" s="743" t="s">
        <v>46</v>
      </c>
      <c r="F185" s="732" t="str">
        <f>+F183</f>
        <v>Sewerage</v>
      </c>
      <c r="G185" s="733" t="str">
        <f>+G183</f>
        <v>Wastewater Fixed Charge - Bandiana Army</v>
      </c>
      <c r="H185" s="733">
        <f>+H183</f>
        <v>0</v>
      </c>
      <c r="I185" s="734" t="str">
        <f>+I183</f>
        <v>Fixed</v>
      </c>
      <c r="J185" s="735" t="s">
        <v>344</v>
      </c>
      <c r="K185" s="736">
        <f t="shared" ref="K185:AG185" si="316">K183*K184/10^6</f>
        <v>0</v>
      </c>
      <c r="L185" s="737">
        <f t="shared" si="316"/>
        <v>0</v>
      </c>
      <c r="M185" s="737">
        <f t="shared" si="316"/>
        <v>0</v>
      </c>
      <c r="N185" s="738">
        <f t="shared" si="316"/>
        <v>0</v>
      </c>
      <c r="O185" s="1923">
        <f t="shared" si="316"/>
        <v>0.24185158371040727</v>
      </c>
      <c r="P185" s="737">
        <f t="shared" si="316"/>
        <v>0.23734103019538194</v>
      </c>
      <c r="Q185" s="737">
        <f t="shared" si="316"/>
        <v>0.23422085889570554</v>
      </c>
      <c r="R185" s="737">
        <f t="shared" si="316"/>
        <v>0.2291989708404803</v>
      </c>
      <c r="S185" s="737">
        <f t="shared" si="316"/>
        <v>0.22667175572519083</v>
      </c>
      <c r="T185" s="1531">
        <f t="shared" si="316"/>
        <v>0.21569491525423728</v>
      </c>
      <c r="U185" s="737">
        <f t="shared" si="316"/>
        <v>0.20154298642533935</v>
      </c>
      <c r="V185" s="737">
        <f t="shared" si="316"/>
        <v>0.19450218340611353</v>
      </c>
      <c r="W185" s="737">
        <f t="shared" si="316"/>
        <v>0.189</v>
      </c>
      <c r="X185" s="738">
        <f t="shared" si="316"/>
        <v>0.189</v>
      </c>
      <c r="Y185" s="737">
        <f t="shared" si="316"/>
        <v>0.189</v>
      </c>
      <c r="Z185" s="737">
        <f t="shared" si="316"/>
        <v>0.189</v>
      </c>
      <c r="AA185" s="737">
        <f t="shared" si="316"/>
        <v>0.189</v>
      </c>
      <c r="AB185" s="737">
        <f t="shared" si="316"/>
        <v>0.189</v>
      </c>
      <c r="AC185" s="738">
        <f t="shared" si="316"/>
        <v>0.189</v>
      </c>
      <c r="AD185" s="737">
        <f t="shared" si="316"/>
        <v>0.189</v>
      </c>
      <c r="AE185" s="737">
        <f t="shared" si="316"/>
        <v>0.189</v>
      </c>
      <c r="AF185" s="737">
        <f t="shared" si="316"/>
        <v>0.189</v>
      </c>
      <c r="AG185" s="739">
        <f t="shared" si="316"/>
        <v>0.189</v>
      </c>
      <c r="AH185" s="697"/>
      <c r="AI185" s="707"/>
      <c r="AJ185" s="709">
        <f t="shared" si="234"/>
        <v>0.189</v>
      </c>
      <c r="AK185" s="710">
        <f t="shared" si="235"/>
        <v>0.189</v>
      </c>
      <c r="AL185" s="710">
        <f t="shared" si="236"/>
        <v>0.189</v>
      </c>
      <c r="AM185" s="710">
        <f t="shared" si="237"/>
        <v>0.189</v>
      </c>
      <c r="AN185" s="710">
        <f t="shared" si="238"/>
        <v>0.189</v>
      </c>
      <c r="AO185" s="711">
        <f t="shared" si="239"/>
        <v>0.189</v>
      </c>
      <c r="AP185" s="707">
        <f t="shared" si="240"/>
        <v>0.189</v>
      </c>
      <c r="AQ185" s="707">
        <f t="shared" si="241"/>
        <v>0.189</v>
      </c>
      <c r="AR185" s="707">
        <f t="shared" si="242"/>
        <v>0.189</v>
      </c>
      <c r="AS185" s="712">
        <f t="shared" si="243"/>
        <v>0.189</v>
      </c>
      <c r="AV185" s="1559"/>
      <c r="AW185" s="1428" t="str">
        <f t="shared" si="191"/>
        <v>Rev</v>
      </c>
      <c r="AX185" s="1429" t="str">
        <f t="shared" si="191"/>
        <v>Sewerage</v>
      </c>
      <c r="AY185" s="1430" t="str">
        <f t="shared" si="192"/>
        <v>Fixed</v>
      </c>
      <c r="AZ185" s="1431">
        <f t="shared" si="306"/>
        <v>-1.8650088809946563E-2</v>
      </c>
      <c r="BA185" s="1431">
        <f t="shared" si="306"/>
        <v>-1.3146362839614567E-2</v>
      </c>
      <c r="BB185" s="1431">
        <f t="shared" si="306"/>
        <v>-2.1440823327615766E-2</v>
      </c>
      <c r="BC185" s="1431">
        <f t="shared" si="194"/>
        <v>-1.1026293469041715E-2</v>
      </c>
      <c r="BD185" s="1431">
        <f t="shared" si="195"/>
        <v>-4.8426150121065326E-2</v>
      </c>
      <c r="BE185" s="1431">
        <f t="shared" si="196"/>
        <v>-6.5610859728506776E-2</v>
      </c>
      <c r="BF185" s="1431">
        <f t="shared" si="197"/>
        <v>-3.4934497816593857E-2</v>
      </c>
      <c r="BG185" s="1432">
        <f t="shared" si="198"/>
        <v>-2.8288543140028266E-2</v>
      </c>
      <c r="BH185" s="1431">
        <f t="shared" si="199"/>
        <v>0</v>
      </c>
      <c r="BI185" s="1431">
        <f t="shared" si="200"/>
        <v>0</v>
      </c>
      <c r="BJ185" s="1431">
        <f t="shared" si="201"/>
        <v>0</v>
      </c>
      <c r="BK185" s="1431">
        <f t="shared" si="202"/>
        <v>0</v>
      </c>
      <c r="BL185" s="1433">
        <f t="shared" si="203"/>
        <v>0</v>
      </c>
      <c r="BM185" s="1431">
        <f t="shared" si="204"/>
        <v>0</v>
      </c>
      <c r="BN185" s="1431">
        <f t="shared" si="205"/>
        <v>0</v>
      </c>
      <c r="BO185" s="1431">
        <f t="shared" si="206"/>
        <v>0</v>
      </c>
      <c r="BP185" s="1431">
        <f t="shared" si="207"/>
        <v>0</v>
      </c>
      <c r="BQ185" s="1434">
        <f t="shared" si="208"/>
        <v>0</v>
      </c>
      <c r="BR185" s="1378"/>
      <c r="BS185" s="1407"/>
      <c r="BT185" s="1408"/>
      <c r="BU185" s="1409"/>
      <c r="BV185" s="1410"/>
      <c r="BW185" s="1378"/>
      <c r="BX185" s="1428" t="str">
        <f t="shared" si="209"/>
        <v>Rev</v>
      </c>
      <c r="BY185" s="1429" t="str">
        <f t="shared" si="210"/>
        <v>Sewerage</v>
      </c>
      <c r="BZ185" s="1430" t="str">
        <f t="shared" si="211"/>
        <v>Fixed</v>
      </c>
      <c r="CA185" s="1435">
        <f t="shared" ref="CA185:CR185" si="317">IFERROR((P185/O185-1)*(O185/O$13),"-")</f>
        <v>-5.9819449056806494E-5</v>
      </c>
      <c r="CB185" s="1431">
        <f t="shared" si="317"/>
        <v>-4.0333613025841219E-5</v>
      </c>
      <c r="CC185" s="1431">
        <f t="shared" si="317"/>
        <v>-6.6088117600833458E-5</v>
      </c>
      <c r="CD185" s="1431">
        <f t="shared" si="317"/>
        <v>-3.3875051822240824E-5</v>
      </c>
      <c r="CE185" s="1431">
        <f t="shared" si="317"/>
        <v>-1.5228601179517371E-4</v>
      </c>
      <c r="CF185" s="1431">
        <f t="shared" si="317"/>
        <v>-1.8960789717673446E-4</v>
      </c>
      <c r="CG185" s="1431">
        <f t="shared" si="317"/>
        <v>-8.9788225008938282E-5</v>
      </c>
      <c r="CH185" s="1433">
        <f t="shared" si="317"/>
        <v>-6.6980924082955554E-5</v>
      </c>
      <c r="CI185" s="1431">
        <f t="shared" si="317"/>
        <v>0</v>
      </c>
      <c r="CJ185" s="1431">
        <f t="shared" si="317"/>
        <v>0</v>
      </c>
      <c r="CK185" s="1431">
        <f t="shared" si="317"/>
        <v>0</v>
      </c>
      <c r="CL185" s="1431">
        <f t="shared" si="317"/>
        <v>0</v>
      </c>
      <c r="CM185" s="1433">
        <f t="shared" si="317"/>
        <v>0</v>
      </c>
      <c r="CN185" s="1431">
        <f t="shared" si="317"/>
        <v>0</v>
      </c>
      <c r="CO185" s="1431">
        <f t="shared" si="317"/>
        <v>0</v>
      </c>
      <c r="CP185" s="1431">
        <f t="shared" si="317"/>
        <v>0</v>
      </c>
      <c r="CQ185" s="1431">
        <f t="shared" si="317"/>
        <v>0</v>
      </c>
      <c r="CR185" s="1434">
        <f t="shared" si="317"/>
        <v>0</v>
      </c>
      <c r="CS185" s="1378"/>
      <c r="CT185" s="1428" t="str">
        <f t="shared" si="188"/>
        <v>Rev</v>
      </c>
      <c r="CU185" s="1429" t="str">
        <f t="shared" si="189"/>
        <v>Sewerage</v>
      </c>
      <c r="CV185" s="1429" t="str">
        <f t="shared" si="190"/>
        <v>Fixed</v>
      </c>
      <c r="CW185" s="1435">
        <f t="shared" si="213"/>
        <v>0</v>
      </c>
      <c r="CX185" s="1431">
        <f t="shared" si="214"/>
        <v>0</v>
      </c>
      <c r="CY185" s="1431">
        <f t="shared" si="215"/>
        <v>0</v>
      </c>
      <c r="CZ185" s="1434">
        <f t="shared" si="216"/>
        <v>0</v>
      </c>
      <c r="DA185" s="1431">
        <f t="shared" si="217"/>
        <v>0</v>
      </c>
      <c r="DB185" s="1431">
        <f t="shared" si="218"/>
        <v>0</v>
      </c>
      <c r="DC185" s="1431">
        <f t="shared" si="219"/>
        <v>0</v>
      </c>
      <c r="DD185" s="1431">
        <f t="shared" si="220"/>
        <v>0</v>
      </c>
      <c r="DE185" s="1434">
        <f t="shared" si="221"/>
        <v>0</v>
      </c>
      <c r="DF185" s="1378"/>
      <c r="DG185" s="1428" t="str">
        <f t="shared" si="222"/>
        <v>Rev</v>
      </c>
      <c r="DH185" s="1429" t="str">
        <f t="shared" si="222"/>
        <v>Sewerage</v>
      </c>
      <c r="DI185" s="1429" t="str">
        <f t="shared" si="222"/>
        <v>Fixed</v>
      </c>
      <c r="DJ185" s="1429"/>
      <c r="DK185" s="1435">
        <f t="shared" si="223"/>
        <v>0</v>
      </c>
      <c r="DL185" s="1431">
        <f t="shared" si="224"/>
        <v>0</v>
      </c>
      <c r="DM185" s="1431">
        <f t="shared" si="225"/>
        <v>0</v>
      </c>
      <c r="DN185" s="1433">
        <f t="shared" si="226"/>
        <v>0</v>
      </c>
      <c r="DO185" s="1431">
        <f t="shared" si="227"/>
        <v>0</v>
      </c>
      <c r="DP185" s="1431">
        <f t="shared" si="228"/>
        <v>0</v>
      </c>
      <c r="DQ185" s="1431">
        <f t="shared" si="229"/>
        <v>0</v>
      </c>
      <c r="DR185" s="1434">
        <f t="shared" si="230"/>
        <v>0</v>
      </c>
    </row>
    <row r="186" spans="4:122">
      <c r="D186" s="70">
        <f>D183+1</f>
        <v>41</v>
      </c>
      <c r="E186" s="713" t="s">
        <v>44</v>
      </c>
      <c r="F186" s="1532" t="s">
        <v>316</v>
      </c>
      <c r="G186" s="1532" t="s">
        <v>903</v>
      </c>
      <c r="H186" s="1532"/>
      <c r="I186" s="781" t="s">
        <v>320</v>
      </c>
      <c r="J186" s="781" t="s">
        <v>345</v>
      </c>
      <c r="K186" s="1533"/>
      <c r="L186" s="1534"/>
      <c r="M186" s="1534"/>
      <c r="N186" s="1535"/>
      <c r="O186" s="2071">
        <v>1.787208325791855</v>
      </c>
      <c r="P186" s="1547">
        <v>1.7952370337477797</v>
      </c>
      <c r="Q186" s="1547">
        <v>1.8032042944785276</v>
      </c>
      <c r="R186" s="1547">
        <v>1.8112409948542021</v>
      </c>
      <c r="S186" s="1536">
        <v>1.8193142493638677</v>
      </c>
      <c r="T186" s="1536">
        <v>1.8273966101694912</v>
      </c>
      <c r="U186" s="1536">
        <v>1.8355726244343891</v>
      </c>
      <c r="V186" s="1547">
        <v>1.8437434497816592</v>
      </c>
      <c r="W186" s="1536">
        <v>1.8520000000000001</v>
      </c>
      <c r="X186" s="1537">
        <v>1.94923</v>
      </c>
      <c r="Y186" s="1538">
        <v>2.051564575</v>
      </c>
      <c r="Z186" s="1538">
        <v>2.1592717151874998</v>
      </c>
      <c r="AA186" s="1538">
        <v>2.2726334802348434</v>
      </c>
      <c r="AB186" s="1538">
        <v>2.3919467379471726</v>
      </c>
      <c r="AC186" s="1537">
        <v>2.4302178857543275</v>
      </c>
      <c r="AD186" s="1538">
        <v>2.469101371926397</v>
      </c>
      <c r="AE186" s="1538">
        <v>2.5086069938772195</v>
      </c>
      <c r="AF186" s="1538">
        <v>2.5487447057792552</v>
      </c>
      <c r="AG186" s="1539">
        <v>2.5895246210717233</v>
      </c>
      <c r="AH186" s="697"/>
      <c r="AI186" s="707"/>
      <c r="AJ186" s="709">
        <f t="shared" si="234"/>
        <v>1.94923</v>
      </c>
      <c r="AK186" s="710">
        <f t="shared" si="235"/>
        <v>2.051564575</v>
      </c>
      <c r="AL186" s="710">
        <f t="shared" si="236"/>
        <v>2.1592717151874998</v>
      </c>
      <c r="AM186" s="710">
        <f t="shared" si="237"/>
        <v>2.2726334802348434</v>
      </c>
      <c r="AN186" s="710">
        <f t="shared" si="238"/>
        <v>2.3919467379471726</v>
      </c>
      <c r="AO186" s="711">
        <f t="shared" si="239"/>
        <v>2.4302178857543275</v>
      </c>
      <c r="AP186" s="707">
        <f t="shared" si="240"/>
        <v>2.469101371926397</v>
      </c>
      <c r="AQ186" s="707">
        <f t="shared" si="241"/>
        <v>2.5086069938772195</v>
      </c>
      <c r="AR186" s="707">
        <f t="shared" si="242"/>
        <v>2.5487447057792552</v>
      </c>
      <c r="AS186" s="712">
        <f t="shared" si="243"/>
        <v>2.5895246210717233</v>
      </c>
      <c r="AU186" s="1369"/>
      <c r="AV186" s="1559"/>
      <c r="AW186" s="1412" t="str">
        <f t="shared" si="191"/>
        <v>Price</v>
      </c>
      <c r="AX186" s="1413" t="str">
        <f t="shared" si="191"/>
        <v>Trade Waste</v>
      </c>
      <c r="AY186" s="1414" t="str">
        <f t="shared" si="192"/>
        <v>Variable</v>
      </c>
      <c r="AZ186" s="1415">
        <f t="shared" si="306"/>
        <v>4.492317901645615E-3</v>
      </c>
      <c r="BA186" s="1415">
        <f t="shared" si="306"/>
        <v>4.4379993176251187E-3</v>
      </c>
      <c r="BB186" s="1415">
        <f t="shared" si="306"/>
        <v>4.4568995317297855E-3</v>
      </c>
      <c r="BC186" s="1415">
        <f t="shared" si="194"/>
        <v>4.4573055339416356E-3</v>
      </c>
      <c r="BD186" s="1415">
        <f t="shared" si="195"/>
        <v>4.4425314694531703E-3</v>
      </c>
      <c r="BE186" s="1415">
        <f t="shared" si="196"/>
        <v>4.4741323363512997E-3</v>
      </c>
      <c r="BF186" s="1415">
        <f t="shared" si="197"/>
        <v>4.4513767739307042E-3</v>
      </c>
      <c r="BG186" s="1416">
        <f t="shared" si="198"/>
        <v>4.4781448413111491E-3</v>
      </c>
      <c r="BH186" s="1417">
        <f t="shared" si="199"/>
        <v>5.2499999999999991E-2</v>
      </c>
      <c r="BI186" s="1417">
        <f t="shared" si="200"/>
        <v>5.2499999999999991E-2</v>
      </c>
      <c r="BJ186" s="1417">
        <f t="shared" si="201"/>
        <v>5.2499999999999991E-2</v>
      </c>
      <c r="BK186" s="1417">
        <f t="shared" si="202"/>
        <v>5.2499999999999991E-2</v>
      </c>
      <c r="BL186" s="1418">
        <f t="shared" si="203"/>
        <v>5.2499999999999991E-2</v>
      </c>
      <c r="BM186" s="1417">
        <f t="shared" si="204"/>
        <v>1.6000000000000014E-2</v>
      </c>
      <c r="BN186" s="1417">
        <f t="shared" si="205"/>
        <v>1.6000000000000014E-2</v>
      </c>
      <c r="BO186" s="1417">
        <f t="shared" si="206"/>
        <v>1.6000000000000014E-2</v>
      </c>
      <c r="BP186" s="1417">
        <f t="shared" si="207"/>
        <v>1.6000000000000014E-2</v>
      </c>
      <c r="BQ186" s="1419">
        <f t="shared" si="208"/>
        <v>1.6000000000000014E-2</v>
      </c>
      <c r="BR186" s="1378"/>
      <c r="BS186" s="1420"/>
      <c r="BT186" s="1421"/>
      <c r="BU186" s="1422"/>
      <c r="BV186" s="1423"/>
      <c r="BW186" s="1378"/>
      <c r="BX186" s="1412" t="str">
        <f t="shared" si="209"/>
        <v>Price</v>
      </c>
      <c r="BY186" s="1413" t="str">
        <f t="shared" si="210"/>
        <v>Trade Waste</v>
      </c>
      <c r="BZ186" s="1414" t="str">
        <f t="shared" si="211"/>
        <v>Variable</v>
      </c>
      <c r="CA186" s="1424">
        <f t="shared" ref="CA186:CR186" si="318">IFERROR((P186/O186-1)*(O188/O$13),"-")</f>
        <v>1.4335087212119185E-4</v>
      </c>
      <c r="CB186" s="1415">
        <f t="shared" si="318"/>
        <v>1.0065625075881246E-4</v>
      </c>
      <c r="CC186" s="1415">
        <f t="shared" si="318"/>
        <v>9.7599871881128301E-5</v>
      </c>
      <c r="CD186" s="1415">
        <f t="shared" si="318"/>
        <v>1.0277245399296705E-4</v>
      </c>
      <c r="CE186" s="1415">
        <f t="shared" si="318"/>
        <v>1.1575899816877706E-4</v>
      </c>
      <c r="CF186" s="1415">
        <f t="shared" si="318"/>
        <v>1.1864145164824462E-4</v>
      </c>
      <c r="CG186" s="1415">
        <f t="shared" si="318"/>
        <v>1.187363096975216E-4</v>
      </c>
      <c r="CH186" s="1425">
        <f t="shared" si="318"/>
        <v>1.0676153637805995E-4</v>
      </c>
      <c r="CI186" s="1417">
        <f t="shared" si="318"/>
        <v>1.2801847540324502E-3</v>
      </c>
      <c r="CJ186" s="1417">
        <f t="shared" si="318"/>
        <v>1.2525316981500394E-3</v>
      </c>
      <c r="CK186" s="1417">
        <f t="shared" si="318"/>
        <v>1.2391568552279227E-3</v>
      </c>
      <c r="CL186" s="1417">
        <f t="shared" si="318"/>
        <v>1.2258724802780062E-3</v>
      </c>
      <c r="CM186" s="1418">
        <f t="shared" si="318"/>
        <v>1.2124616301956751E-3</v>
      </c>
      <c r="CN186" s="1417">
        <f t="shared" si="318"/>
        <v>3.6552293826721264E-4</v>
      </c>
      <c r="CO186" s="1417">
        <f t="shared" si="318"/>
        <v>3.6137143947493787E-4</v>
      </c>
      <c r="CP186" s="1417">
        <f t="shared" si="318"/>
        <v>3.5717530563441247E-4</v>
      </c>
      <c r="CQ186" s="1417">
        <f t="shared" si="318"/>
        <v>3.5306857019059494E-4</v>
      </c>
      <c r="CR186" s="1419">
        <f t="shared" si="318"/>
        <v>3.4883824904223586E-4</v>
      </c>
      <c r="CS186" s="1378"/>
      <c r="CT186" s="1412" t="str">
        <f t="shared" si="188"/>
        <v>Price</v>
      </c>
      <c r="CU186" s="1413" t="str">
        <f t="shared" si="189"/>
        <v>Trade Waste</v>
      </c>
      <c r="CV186" s="1426" t="str">
        <f t="shared" si="190"/>
        <v>Variable</v>
      </c>
      <c r="CW186" s="1427">
        <f t="shared" si="213"/>
        <v>5.2499999999999991E-2</v>
      </c>
      <c r="CX186" s="1417">
        <f t="shared" si="214"/>
        <v>5.2499999999999991E-2</v>
      </c>
      <c r="CY186" s="1417">
        <f t="shared" si="215"/>
        <v>5.2499999999999991E-2</v>
      </c>
      <c r="CZ186" s="1419">
        <f t="shared" si="216"/>
        <v>5.2499999999999991E-2</v>
      </c>
      <c r="DA186" s="1417">
        <f t="shared" si="217"/>
        <v>4.6326854261736994E-2</v>
      </c>
      <c r="DB186" s="1417">
        <f t="shared" si="218"/>
        <v>4.1939644324732628E-2</v>
      </c>
      <c r="DC186" s="1417">
        <f t="shared" si="219"/>
        <v>3.8661313083165672E-2</v>
      </c>
      <c r="DD186" s="1417">
        <f t="shared" si="220"/>
        <v>3.6118632816290797E-2</v>
      </c>
      <c r="DE186" s="1419">
        <f t="shared" si="221"/>
        <v>3.4088971027154802E-2</v>
      </c>
      <c r="DF186" s="1378"/>
      <c r="DG186" s="1412" t="str">
        <f t="shared" si="222"/>
        <v>Price</v>
      </c>
      <c r="DH186" s="1413" t="str">
        <f t="shared" si="222"/>
        <v>Trade Waste</v>
      </c>
      <c r="DI186" s="1426" t="str">
        <f t="shared" si="222"/>
        <v>Variable</v>
      </c>
      <c r="DJ186" s="1426"/>
      <c r="DK186" s="1427">
        <f t="shared" si="223"/>
        <v>5.2499999999999991E-2</v>
      </c>
      <c r="DL186" s="1417">
        <f t="shared" si="224"/>
        <v>5.2499999999999991E-2</v>
      </c>
      <c r="DM186" s="1417">
        <f t="shared" si="225"/>
        <v>5.2499999999999991E-2</v>
      </c>
      <c r="DN186" s="1418">
        <f t="shared" si="226"/>
        <v>4.5096576751770812E-2</v>
      </c>
      <c r="DO186" s="1417">
        <f t="shared" si="227"/>
        <v>4.0189915391222852E-2</v>
      </c>
      <c r="DP186" s="1417">
        <f t="shared" si="228"/>
        <v>3.6699267547711134E-2</v>
      </c>
      <c r="DQ186" s="1417">
        <f t="shared" si="229"/>
        <v>3.4088971027154802E-2</v>
      </c>
      <c r="DR186" s="1419">
        <f t="shared" si="230"/>
        <v>3.2063285160126576E-2</v>
      </c>
    </row>
    <row r="187" spans="4:122">
      <c r="E187" s="742" t="s">
        <v>45</v>
      </c>
      <c r="F187" s="722" t="str">
        <f>+F186</f>
        <v>Trade Waste</v>
      </c>
      <c r="G187" s="723" t="str">
        <f>+G186</f>
        <v>Major - Converted Discharge</v>
      </c>
      <c r="H187" s="723">
        <f>+H186</f>
        <v>0</v>
      </c>
      <c r="I187" s="724" t="str">
        <f>+I186</f>
        <v>Variable</v>
      </c>
      <c r="J187" s="782" t="s">
        <v>47</v>
      </c>
      <c r="K187" s="1540"/>
      <c r="L187" s="1541"/>
      <c r="M187" s="1541"/>
      <c r="N187" s="1542"/>
      <c r="O187" s="2031">
        <v>1346300.8181818181</v>
      </c>
      <c r="P187" s="1543">
        <v>977334.05180900008</v>
      </c>
      <c r="Q187" s="1543">
        <v>922816</v>
      </c>
      <c r="R187" s="1543">
        <v>949708.5</v>
      </c>
      <c r="S187" s="1543">
        <v>1032366.4088802692</v>
      </c>
      <c r="T187" s="1543">
        <v>1083063.7628030002</v>
      </c>
      <c r="U187" s="1543">
        <v>1139516</v>
      </c>
      <c r="V187" s="1543">
        <v>1062184.8827880002</v>
      </c>
      <c r="W187" s="1543">
        <v>1062184.8827880002</v>
      </c>
      <c r="X187" s="1544">
        <v>1062184.8827880002</v>
      </c>
      <c r="Y187" s="1543">
        <v>1062184.8827880002</v>
      </c>
      <c r="Z187" s="1543">
        <v>1062184.8827880002</v>
      </c>
      <c r="AA187" s="1543">
        <v>1062184.8827880002</v>
      </c>
      <c r="AB187" s="1543">
        <v>1062184.8827880002</v>
      </c>
      <c r="AC187" s="1544">
        <v>1062184.8827880002</v>
      </c>
      <c r="AD187" s="1543">
        <v>1062184.8827880002</v>
      </c>
      <c r="AE187" s="1543">
        <v>1062184.8827880002</v>
      </c>
      <c r="AF187" s="1543">
        <v>1062184.8827880002</v>
      </c>
      <c r="AG187" s="1553">
        <v>1062184.8827880002</v>
      </c>
      <c r="AH187" s="697"/>
      <c r="AI187" s="707"/>
      <c r="AJ187" s="709">
        <f t="shared" si="234"/>
        <v>1062184.8827880002</v>
      </c>
      <c r="AK187" s="710">
        <f t="shared" si="235"/>
        <v>1062184.8827880002</v>
      </c>
      <c r="AL187" s="710">
        <f t="shared" si="236"/>
        <v>1062184.8827880002</v>
      </c>
      <c r="AM187" s="710">
        <f t="shared" si="237"/>
        <v>1062184.8827880002</v>
      </c>
      <c r="AN187" s="710">
        <f t="shared" si="238"/>
        <v>1062184.8827880002</v>
      </c>
      <c r="AO187" s="711">
        <f t="shared" si="239"/>
        <v>1062184.8827880002</v>
      </c>
      <c r="AP187" s="707">
        <f t="shared" si="240"/>
        <v>1062184.8827880002</v>
      </c>
      <c r="AQ187" s="707">
        <f t="shared" si="241"/>
        <v>1062184.8827880002</v>
      </c>
      <c r="AR187" s="707">
        <f t="shared" si="242"/>
        <v>1062184.8827880002</v>
      </c>
      <c r="AS187" s="712">
        <f t="shared" si="243"/>
        <v>1062184.8827880002</v>
      </c>
      <c r="AV187" s="1559"/>
      <c r="AW187" s="1392" t="str">
        <f t="shared" si="191"/>
        <v>Qty</v>
      </c>
      <c r="AX187" s="1393" t="str">
        <f t="shared" si="191"/>
        <v>Trade Waste</v>
      </c>
      <c r="AY187" s="1394" t="str">
        <f t="shared" si="192"/>
        <v>Variable</v>
      </c>
      <c r="AZ187" s="1395">
        <f t="shared" si="306"/>
        <v>-0.27405967625505001</v>
      </c>
      <c r="BA187" s="1395">
        <f t="shared" si="306"/>
        <v>-5.5782413094161321E-2</v>
      </c>
      <c r="BB187" s="1395">
        <f t="shared" si="306"/>
        <v>2.9141779076218954E-2</v>
      </c>
      <c r="BC187" s="1395">
        <f t="shared" si="194"/>
        <v>8.7035031149314879E-2</v>
      </c>
      <c r="BD187" s="1395">
        <f t="shared" si="195"/>
        <v>4.910790731530934E-2</v>
      </c>
      <c r="BE187" s="1395">
        <f t="shared" si="196"/>
        <v>5.212272733684653E-2</v>
      </c>
      <c r="BF187" s="1395">
        <f t="shared" si="197"/>
        <v>-6.7863125407629066E-2</v>
      </c>
      <c r="BG187" s="1396">
        <f t="shared" si="198"/>
        <v>0</v>
      </c>
      <c r="BH187" s="1395">
        <f t="shared" si="199"/>
        <v>0</v>
      </c>
      <c r="BI187" s="1395">
        <f t="shared" si="200"/>
        <v>0</v>
      </c>
      <c r="BJ187" s="1395">
        <f t="shared" si="201"/>
        <v>0</v>
      </c>
      <c r="BK187" s="1395">
        <f t="shared" si="202"/>
        <v>0</v>
      </c>
      <c r="BL187" s="1397">
        <f t="shared" si="203"/>
        <v>0</v>
      </c>
      <c r="BM187" s="1395">
        <f t="shared" si="204"/>
        <v>0</v>
      </c>
      <c r="BN187" s="1395">
        <f t="shared" si="205"/>
        <v>0</v>
      </c>
      <c r="BO187" s="1395">
        <f t="shared" si="206"/>
        <v>0</v>
      </c>
      <c r="BP187" s="1395">
        <f t="shared" si="207"/>
        <v>0</v>
      </c>
      <c r="BQ187" s="1398">
        <f t="shared" si="208"/>
        <v>0</v>
      </c>
      <c r="BR187" s="1378"/>
      <c r="BS187" s="1329"/>
      <c r="BT187" s="1399"/>
      <c r="BU187" s="1331"/>
      <c r="BV187" s="1400"/>
      <c r="BW187" s="1378"/>
      <c r="BX187" s="1392" t="str">
        <f t="shared" si="209"/>
        <v>Qty</v>
      </c>
      <c r="BY187" s="1393" t="str">
        <f t="shared" si="210"/>
        <v>Trade Waste</v>
      </c>
      <c r="BZ187" s="1394" t="str">
        <f t="shared" si="211"/>
        <v>Variable</v>
      </c>
      <c r="CA187" s="1401">
        <f t="shared" ref="CA187:CR187" si="319">IFERROR((P187/O187-1)*(O188/O$13),"-")</f>
        <v>-8.7453057563048921E-3</v>
      </c>
      <c r="CB187" s="1395">
        <f t="shared" si="319"/>
        <v>-1.2651756249800884E-3</v>
      </c>
      <c r="CC187" s="1395">
        <f t="shared" si="319"/>
        <v>6.3816424040486007E-4</v>
      </c>
      <c r="CD187" s="1395">
        <f t="shared" si="319"/>
        <v>2.0067737485025953E-3</v>
      </c>
      <c r="CE187" s="1395">
        <f t="shared" si="319"/>
        <v>1.2796042508811071E-3</v>
      </c>
      <c r="CF187" s="1395">
        <f t="shared" si="319"/>
        <v>1.382148664863177E-3</v>
      </c>
      <c r="CG187" s="1395">
        <f t="shared" si="319"/>
        <v>-1.8101853616688322E-3</v>
      </c>
      <c r="CH187" s="1397">
        <f t="shared" si="319"/>
        <v>0</v>
      </c>
      <c r="CI187" s="1395">
        <f t="shared" si="319"/>
        <v>0</v>
      </c>
      <c r="CJ187" s="1395">
        <f t="shared" si="319"/>
        <v>0</v>
      </c>
      <c r="CK187" s="1395">
        <f t="shared" si="319"/>
        <v>0</v>
      </c>
      <c r="CL187" s="1395">
        <f t="shared" si="319"/>
        <v>0</v>
      </c>
      <c r="CM187" s="1397">
        <f t="shared" si="319"/>
        <v>0</v>
      </c>
      <c r="CN187" s="1395">
        <f t="shared" si="319"/>
        <v>0</v>
      </c>
      <c r="CO187" s="1395">
        <f t="shared" si="319"/>
        <v>0</v>
      </c>
      <c r="CP187" s="1395">
        <f t="shared" si="319"/>
        <v>0</v>
      </c>
      <c r="CQ187" s="1395">
        <f t="shared" si="319"/>
        <v>0</v>
      </c>
      <c r="CR187" s="1398">
        <f t="shared" si="319"/>
        <v>0</v>
      </c>
      <c r="CS187" s="1378"/>
      <c r="CT187" s="1392" t="str">
        <f t="shared" si="188"/>
        <v>Qty</v>
      </c>
      <c r="CU187" s="1393" t="str">
        <f t="shared" si="189"/>
        <v>Trade Waste</v>
      </c>
      <c r="CV187" s="1393" t="str">
        <f t="shared" si="190"/>
        <v>Variable</v>
      </c>
      <c r="CW187" s="1401">
        <f t="shared" si="213"/>
        <v>0</v>
      </c>
      <c r="CX187" s="1395">
        <f t="shared" si="214"/>
        <v>0</v>
      </c>
      <c r="CY187" s="1395">
        <f t="shared" si="215"/>
        <v>0</v>
      </c>
      <c r="CZ187" s="1398">
        <f t="shared" si="216"/>
        <v>0</v>
      </c>
      <c r="DA187" s="1395">
        <f t="shared" si="217"/>
        <v>0</v>
      </c>
      <c r="DB187" s="1395">
        <f t="shared" si="218"/>
        <v>0</v>
      </c>
      <c r="DC187" s="1395">
        <f t="shared" si="219"/>
        <v>0</v>
      </c>
      <c r="DD187" s="1395">
        <f t="shared" si="220"/>
        <v>0</v>
      </c>
      <c r="DE187" s="1398">
        <f t="shared" si="221"/>
        <v>0</v>
      </c>
      <c r="DF187" s="1378"/>
      <c r="DG187" s="1392" t="str">
        <f t="shared" si="222"/>
        <v>Qty</v>
      </c>
      <c r="DH187" s="1393" t="str">
        <f t="shared" si="222"/>
        <v>Trade Waste</v>
      </c>
      <c r="DI187" s="1393" t="str">
        <f t="shared" si="222"/>
        <v>Variable</v>
      </c>
      <c r="DJ187" s="1393"/>
      <c r="DK187" s="1401">
        <f t="shared" si="223"/>
        <v>0</v>
      </c>
      <c r="DL187" s="1395">
        <f t="shared" si="224"/>
        <v>0</v>
      </c>
      <c r="DM187" s="1395">
        <f t="shared" si="225"/>
        <v>0</v>
      </c>
      <c r="DN187" s="1397">
        <f t="shared" si="226"/>
        <v>0</v>
      </c>
      <c r="DO187" s="1395">
        <f t="shared" si="227"/>
        <v>0</v>
      </c>
      <c r="DP187" s="1395">
        <f t="shared" si="228"/>
        <v>0</v>
      </c>
      <c r="DQ187" s="1395">
        <f t="shared" si="229"/>
        <v>0</v>
      </c>
      <c r="DR187" s="1398">
        <f t="shared" si="230"/>
        <v>0</v>
      </c>
    </row>
    <row r="188" spans="4:122" ht="12.75" thickBot="1">
      <c r="E188" s="743" t="s">
        <v>46</v>
      </c>
      <c r="F188" s="732" t="str">
        <f>+F186</f>
        <v>Trade Waste</v>
      </c>
      <c r="G188" s="733" t="str">
        <f>+G186</f>
        <v>Major - Converted Discharge</v>
      </c>
      <c r="H188" s="733">
        <f>+H186</f>
        <v>0</v>
      </c>
      <c r="I188" s="734" t="str">
        <f>+I186</f>
        <v>Variable</v>
      </c>
      <c r="J188" s="735" t="s">
        <v>344</v>
      </c>
      <c r="K188" s="736">
        <f t="shared" ref="K188:AG188" si="320">K186*K187/10^6</f>
        <v>0</v>
      </c>
      <c r="L188" s="737">
        <f t="shared" si="320"/>
        <v>0</v>
      </c>
      <c r="M188" s="737">
        <f t="shared" si="320"/>
        <v>0</v>
      </c>
      <c r="N188" s="738">
        <f t="shared" si="320"/>
        <v>0</v>
      </c>
      <c r="O188" s="1923">
        <f t="shared" si="320"/>
        <v>2.4061200312749316</v>
      </c>
      <c r="P188" s="737">
        <f t="shared" si="320"/>
        <v>1.7545462841502881</v>
      </c>
      <c r="Q188" s="737">
        <f t="shared" si="320"/>
        <v>1.6640257742134967</v>
      </c>
      <c r="R188" s="737">
        <f t="shared" si="320"/>
        <v>1.7201509683614919</v>
      </c>
      <c r="S188" s="1531">
        <f t="shared" si="320"/>
        <v>1.8781989182404786</v>
      </c>
      <c r="T188" s="1531">
        <f t="shared" si="320"/>
        <v>1.9791870487436163</v>
      </c>
      <c r="U188" s="737">
        <f t="shared" si="320"/>
        <v>2.0916643747049775</v>
      </c>
      <c r="V188" s="737">
        <f t="shared" si="320"/>
        <v>1.9583964200974746</v>
      </c>
      <c r="W188" s="737">
        <f t="shared" si="320"/>
        <v>1.9671664029233762</v>
      </c>
      <c r="X188" s="738">
        <f t="shared" si="320"/>
        <v>2.0704426390768536</v>
      </c>
      <c r="Y188" s="737">
        <f t="shared" si="320"/>
        <v>2.1791408776283885</v>
      </c>
      <c r="Z188" s="737">
        <f t="shared" si="320"/>
        <v>2.2935457737038787</v>
      </c>
      <c r="AA188" s="737">
        <f t="shared" si="320"/>
        <v>2.4139569268233321</v>
      </c>
      <c r="AB188" s="737">
        <f t="shared" si="320"/>
        <v>2.5406896654815565</v>
      </c>
      <c r="AC188" s="738">
        <f t="shared" si="320"/>
        <v>2.5813407001292616</v>
      </c>
      <c r="AD188" s="737">
        <f t="shared" si="320"/>
        <v>2.6226421513313301</v>
      </c>
      <c r="AE188" s="737">
        <f t="shared" si="320"/>
        <v>2.664604425752632</v>
      </c>
      <c r="AF188" s="737">
        <f t="shared" si="320"/>
        <v>2.7072380965646743</v>
      </c>
      <c r="AG188" s="739">
        <f t="shared" si="320"/>
        <v>2.7505539061097086</v>
      </c>
      <c r="AH188" s="697"/>
      <c r="AI188" s="707"/>
      <c r="AJ188" s="709">
        <f t="shared" si="234"/>
        <v>2.0704426390768536</v>
      </c>
      <c r="AK188" s="710">
        <f t="shared" si="235"/>
        <v>2.1791408776283885</v>
      </c>
      <c r="AL188" s="710">
        <f t="shared" si="236"/>
        <v>2.2935457737038787</v>
      </c>
      <c r="AM188" s="710">
        <f t="shared" si="237"/>
        <v>2.4139569268233321</v>
      </c>
      <c r="AN188" s="710">
        <f t="shared" si="238"/>
        <v>2.5406896654815565</v>
      </c>
      <c r="AO188" s="711">
        <f t="shared" si="239"/>
        <v>2.5813407001292616</v>
      </c>
      <c r="AP188" s="707">
        <f t="shared" si="240"/>
        <v>2.6226421513313301</v>
      </c>
      <c r="AQ188" s="707">
        <f t="shared" si="241"/>
        <v>2.664604425752632</v>
      </c>
      <c r="AR188" s="707">
        <f t="shared" si="242"/>
        <v>2.7072380965646743</v>
      </c>
      <c r="AS188" s="712">
        <f t="shared" si="243"/>
        <v>2.7505539061097086</v>
      </c>
      <c r="AV188" s="1559"/>
      <c r="AW188" s="1428" t="str">
        <f t="shared" si="191"/>
        <v>Rev</v>
      </c>
      <c r="AX188" s="1429" t="str">
        <f t="shared" si="191"/>
        <v>Trade Waste</v>
      </c>
      <c r="AY188" s="1430" t="str">
        <f t="shared" si="192"/>
        <v>Variable</v>
      </c>
      <c r="AZ188" s="1431">
        <f t="shared" si="306"/>
        <v>-0.27079852154316419</v>
      </c>
      <c r="BA188" s="1431">
        <f t="shared" si="306"/>
        <v>-5.1591976087783653E-2</v>
      </c>
      <c r="BB188" s="1431">
        <f t="shared" si="306"/>
        <v>3.3728560589467271E-2</v>
      </c>
      <c r="BC188" s="1431">
        <f t="shared" si="194"/>
        <v>9.1880278409245175E-2</v>
      </c>
      <c r="BD188" s="1431">
        <f t="shared" si="195"/>
        <v>5.3768602208409622E-2</v>
      </c>
      <c r="BE188" s="1431">
        <f t="shared" si="196"/>
        <v>5.6830063653034557E-2</v>
      </c>
      <c r="BF188" s="1431">
        <f t="shared" si="197"/>
        <v>-6.3713832973944395E-2</v>
      </c>
      <c r="BG188" s="1432">
        <f t="shared" si="198"/>
        <v>4.4781448413111491E-3</v>
      </c>
      <c r="BH188" s="1431">
        <f t="shared" si="199"/>
        <v>5.2499999999999991E-2</v>
      </c>
      <c r="BI188" s="1431">
        <f t="shared" si="200"/>
        <v>5.2499999999999991E-2</v>
      </c>
      <c r="BJ188" s="1431">
        <f t="shared" si="201"/>
        <v>5.2499999999999991E-2</v>
      </c>
      <c r="BK188" s="1431">
        <f t="shared" si="202"/>
        <v>5.2499999999999991E-2</v>
      </c>
      <c r="BL188" s="1433">
        <f t="shared" si="203"/>
        <v>5.2499999999999769E-2</v>
      </c>
      <c r="BM188" s="1431">
        <f t="shared" si="204"/>
        <v>1.6000000000000014E-2</v>
      </c>
      <c r="BN188" s="1431">
        <f t="shared" si="205"/>
        <v>1.6000000000000014E-2</v>
      </c>
      <c r="BO188" s="1431">
        <f t="shared" si="206"/>
        <v>1.6000000000000236E-2</v>
      </c>
      <c r="BP188" s="1431">
        <f t="shared" si="207"/>
        <v>1.6000000000000014E-2</v>
      </c>
      <c r="BQ188" s="1434">
        <f t="shared" si="208"/>
        <v>1.5999999999999792E-2</v>
      </c>
      <c r="BR188" s="1378"/>
      <c r="BS188" s="1407"/>
      <c r="BT188" s="1408"/>
      <c r="BU188" s="1409"/>
      <c r="BV188" s="1410"/>
      <c r="BW188" s="1378"/>
      <c r="BX188" s="1428" t="str">
        <f t="shared" si="209"/>
        <v>Rev</v>
      </c>
      <c r="BY188" s="1429" t="str">
        <f t="shared" si="210"/>
        <v>Trade Waste</v>
      </c>
      <c r="BZ188" s="1430" t="str">
        <f t="shared" si="211"/>
        <v>Variable</v>
      </c>
      <c r="CA188" s="1435">
        <f t="shared" ref="CA188:CR188" si="321">IFERROR((P188/O188-1)*(O188/O$13),"-")</f>
        <v>-8.6412415777881151E-3</v>
      </c>
      <c r="CB188" s="1431">
        <f t="shared" si="321"/>
        <v>-1.1701342227816154E-3</v>
      </c>
      <c r="CC188" s="1431">
        <f t="shared" si="321"/>
        <v>7.386083461902146E-4</v>
      </c>
      <c r="CD188" s="1431">
        <f t="shared" si="321"/>
        <v>2.1184910062301324E-3</v>
      </c>
      <c r="CE188" s="1431">
        <f t="shared" si="321"/>
        <v>1.4010479312028658E-3</v>
      </c>
      <c r="CF188" s="1431">
        <f t="shared" si="321"/>
        <v>1.5069740325465339E-3</v>
      </c>
      <c r="CG188" s="1431">
        <f t="shared" si="321"/>
        <v>-1.699506869046757E-3</v>
      </c>
      <c r="CH188" s="1433">
        <f t="shared" si="321"/>
        <v>1.0676153637805995E-4</v>
      </c>
      <c r="CI188" s="1431">
        <f t="shared" si="321"/>
        <v>1.2801847540324502E-3</v>
      </c>
      <c r="CJ188" s="1431">
        <f t="shared" si="321"/>
        <v>1.2525316981500394E-3</v>
      </c>
      <c r="CK188" s="1431">
        <f t="shared" si="321"/>
        <v>1.2391568552279227E-3</v>
      </c>
      <c r="CL188" s="1431">
        <f t="shared" si="321"/>
        <v>1.2258724802780062E-3</v>
      </c>
      <c r="CM188" s="1433">
        <f t="shared" si="321"/>
        <v>1.2124616301956701E-3</v>
      </c>
      <c r="CN188" s="1431">
        <f t="shared" si="321"/>
        <v>3.6552293826721264E-4</v>
      </c>
      <c r="CO188" s="1431">
        <f t="shared" si="321"/>
        <v>3.6137143947493787E-4</v>
      </c>
      <c r="CP188" s="1431">
        <f t="shared" si="321"/>
        <v>3.571753056344174E-4</v>
      </c>
      <c r="CQ188" s="1431">
        <f t="shared" si="321"/>
        <v>3.5306857019059494E-4</v>
      </c>
      <c r="CR188" s="1434">
        <f t="shared" si="321"/>
        <v>3.4883824904223098E-4</v>
      </c>
      <c r="CS188" s="1378"/>
      <c r="CT188" s="1428" t="str">
        <f t="shared" si="188"/>
        <v>Rev</v>
      </c>
      <c r="CU188" s="1429" t="str">
        <f t="shared" si="189"/>
        <v>Trade Waste</v>
      </c>
      <c r="CV188" s="1429" t="str">
        <f t="shared" si="190"/>
        <v>Variable</v>
      </c>
      <c r="CW188" s="1435">
        <f t="shared" si="213"/>
        <v>5.2500000000000213E-2</v>
      </c>
      <c r="CX188" s="1431">
        <f t="shared" si="214"/>
        <v>5.2499999999999991E-2</v>
      </c>
      <c r="CY188" s="1431">
        <f t="shared" si="215"/>
        <v>5.2499999999999991E-2</v>
      </c>
      <c r="CZ188" s="1434">
        <f t="shared" si="216"/>
        <v>5.2499999999999991E-2</v>
      </c>
      <c r="DA188" s="1431">
        <f t="shared" si="217"/>
        <v>4.6326854261736994E-2</v>
      </c>
      <c r="DB188" s="1431">
        <f t="shared" si="218"/>
        <v>4.1939644324732628E-2</v>
      </c>
      <c r="DC188" s="1431">
        <f t="shared" si="219"/>
        <v>3.8661313083165672E-2</v>
      </c>
      <c r="DD188" s="1431">
        <f t="shared" si="220"/>
        <v>3.6118632816290797E-2</v>
      </c>
      <c r="DE188" s="1434">
        <f t="shared" si="221"/>
        <v>3.4088971027154802E-2</v>
      </c>
      <c r="DF188" s="1378"/>
      <c r="DG188" s="1428" t="str">
        <f t="shared" si="222"/>
        <v>Rev</v>
      </c>
      <c r="DH188" s="1429" t="str">
        <f t="shared" si="222"/>
        <v>Trade Waste</v>
      </c>
      <c r="DI188" s="1429" t="str">
        <f t="shared" si="222"/>
        <v>Variable</v>
      </c>
      <c r="DJ188" s="1429"/>
      <c r="DK188" s="1435">
        <f t="shared" si="223"/>
        <v>5.2499999999999991E-2</v>
      </c>
      <c r="DL188" s="1431">
        <f t="shared" si="224"/>
        <v>5.2499999999999991E-2</v>
      </c>
      <c r="DM188" s="1431">
        <f t="shared" si="225"/>
        <v>5.2499999999999991E-2</v>
      </c>
      <c r="DN188" s="1433">
        <f t="shared" si="226"/>
        <v>4.5096576751770812E-2</v>
      </c>
      <c r="DO188" s="1431">
        <f t="shared" si="227"/>
        <v>4.0189915391222852E-2</v>
      </c>
      <c r="DP188" s="1431">
        <f t="shared" si="228"/>
        <v>3.6699267547711134E-2</v>
      </c>
      <c r="DQ188" s="1431">
        <f t="shared" si="229"/>
        <v>3.4088971027155024E-2</v>
      </c>
      <c r="DR188" s="1434">
        <f t="shared" si="230"/>
        <v>3.2063285160126576E-2</v>
      </c>
    </row>
    <row r="189" spans="4:122">
      <c r="D189" s="70">
        <f>D186+1</f>
        <v>42</v>
      </c>
      <c r="E189" s="713" t="s">
        <v>44</v>
      </c>
      <c r="F189" s="1532" t="s">
        <v>316</v>
      </c>
      <c r="G189" s="1532" t="s">
        <v>904</v>
      </c>
      <c r="H189" s="1532"/>
      <c r="I189" s="781" t="s">
        <v>320</v>
      </c>
      <c r="J189" s="781" t="s">
        <v>345</v>
      </c>
      <c r="K189" s="1533"/>
      <c r="L189" s="1534"/>
      <c r="M189" s="1534"/>
      <c r="N189" s="1535"/>
      <c r="O189" s="2071">
        <v>0.51059457013574661</v>
      </c>
      <c r="P189" s="1547">
        <v>0.5128177619893427</v>
      </c>
      <c r="Q189" s="1547">
        <v>0.51507791411042947</v>
      </c>
      <c r="R189" s="1547">
        <v>0.51730780445969127</v>
      </c>
      <c r="S189" s="1536">
        <v>0.5195994910941476</v>
      </c>
      <c r="T189" s="1536">
        <v>0.52191864406779653</v>
      </c>
      <c r="U189" s="1536">
        <v>0.52417647058823524</v>
      </c>
      <c r="V189" s="1547">
        <v>0.52644737991266366</v>
      </c>
      <c r="W189" s="1536">
        <v>0.52880000000000005</v>
      </c>
      <c r="X189" s="1537">
        <v>0.556562</v>
      </c>
      <c r="Y189" s="1538">
        <v>0.58578150500000004</v>
      </c>
      <c r="Z189" s="1538">
        <v>0.61653503401249998</v>
      </c>
      <c r="AA189" s="1538">
        <v>0.64890312329815625</v>
      </c>
      <c r="AB189" s="1538">
        <v>0.68297053727130941</v>
      </c>
      <c r="AC189" s="1537">
        <v>0.69389806586765035</v>
      </c>
      <c r="AD189" s="1538">
        <v>0.70500043492153275</v>
      </c>
      <c r="AE189" s="1538">
        <v>0.71628044188027729</v>
      </c>
      <c r="AF189" s="1538">
        <v>0.72774092895036169</v>
      </c>
      <c r="AG189" s="1539">
        <v>0.73938478381356754</v>
      </c>
      <c r="AH189" s="697"/>
      <c r="AI189" s="707"/>
      <c r="AJ189" s="709">
        <f t="shared" si="234"/>
        <v>0.556562</v>
      </c>
      <c r="AK189" s="710">
        <f t="shared" si="235"/>
        <v>0.58578150500000004</v>
      </c>
      <c r="AL189" s="710">
        <f t="shared" si="236"/>
        <v>0.61653503401249998</v>
      </c>
      <c r="AM189" s="710">
        <f t="shared" si="237"/>
        <v>0.64890312329815625</v>
      </c>
      <c r="AN189" s="710">
        <f t="shared" si="238"/>
        <v>0.68297053727130941</v>
      </c>
      <c r="AO189" s="711">
        <f t="shared" si="239"/>
        <v>0.69389806586765035</v>
      </c>
      <c r="AP189" s="707">
        <f t="shared" si="240"/>
        <v>0.70500043492153275</v>
      </c>
      <c r="AQ189" s="707">
        <f t="shared" si="241"/>
        <v>0.71628044188027729</v>
      </c>
      <c r="AR189" s="707">
        <f t="shared" si="242"/>
        <v>0.72774092895036169</v>
      </c>
      <c r="AS189" s="712">
        <f t="shared" si="243"/>
        <v>0.73938478381356754</v>
      </c>
      <c r="AU189" s="1369"/>
      <c r="AV189" s="1559"/>
      <c r="AW189" s="1412" t="str">
        <f t="shared" si="191"/>
        <v>Price</v>
      </c>
      <c r="AX189" s="1413" t="str">
        <f t="shared" si="191"/>
        <v>Trade Waste</v>
      </c>
      <c r="AY189" s="1414" t="str">
        <f t="shared" si="192"/>
        <v>Variable</v>
      </c>
      <c r="AZ189" s="1415">
        <f t="shared" si="306"/>
        <v>4.3541235720643279E-3</v>
      </c>
      <c r="BA189" s="1415">
        <f t="shared" si="306"/>
        <v>4.4073202775174458E-3</v>
      </c>
      <c r="BB189" s="1415">
        <f t="shared" si="306"/>
        <v>4.3292292062511173E-3</v>
      </c>
      <c r="BC189" s="1415">
        <f t="shared" si="194"/>
        <v>4.4300252474440693E-3</v>
      </c>
      <c r="BD189" s="1415">
        <f t="shared" si="195"/>
        <v>4.4633472768909055E-3</v>
      </c>
      <c r="BE189" s="1415">
        <f t="shared" si="196"/>
        <v>4.3260123892898683E-3</v>
      </c>
      <c r="BF189" s="1415">
        <f t="shared" si="197"/>
        <v>4.3323373937025345E-3</v>
      </c>
      <c r="BG189" s="1416">
        <f t="shared" si="198"/>
        <v>4.4688608531524565E-3</v>
      </c>
      <c r="BH189" s="1417">
        <f t="shared" si="199"/>
        <v>5.2499999999999991E-2</v>
      </c>
      <c r="BI189" s="1417">
        <f t="shared" si="200"/>
        <v>5.2499999999999991E-2</v>
      </c>
      <c r="BJ189" s="1417">
        <f t="shared" si="201"/>
        <v>5.2499999999999991E-2</v>
      </c>
      <c r="BK189" s="1417">
        <f t="shared" si="202"/>
        <v>5.2499999999999991E-2</v>
      </c>
      <c r="BL189" s="1418">
        <f t="shared" si="203"/>
        <v>5.2499999999999991E-2</v>
      </c>
      <c r="BM189" s="1417">
        <f t="shared" si="204"/>
        <v>1.6000000000000014E-2</v>
      </c>
      <c r="BN189" s="1417">
        <f t="shared" si="205"/>
        <v>1.6000000000000014E-2</v>
      </c>
      <c r="BO189" s="1417">
        <f t="shared" si="206"/>
        <v>1.6000000000000014E-2</v>
      </c>
      <c r="BP189" s="1417">
        <f t="shared" si="207"/>
        <v>1.6000000000000014E-2</v>
      </c>
      <c r="BQ189" s="1419">
        <f t="shared" si="208"/>
        <v>1.6000000000000014E-2</v>
      </c>
      <c r="BR189" s="1378"/>
      <c r="BS189" s="1420"/>
      <c r="BT189" s="1421"/>
      <c r="BU189" s="1422"/>
      <c r="BV189" s="1423"/>
      <c r="BW189" s="1378"/>
      <c r="BX189" s="1412" t="str">
        <f t="shared" si="209"/>
        <v>Price</v>
      </c>
      <c r="BY189" s="1413" t="str">
        <f t="shared" si="210"/>
        <v>Trade Waste</v>
      </c>
      <c r="BZ189" s="1414" t="str">
        <f t="shared" si="211"/>
        <v>Variable</v>
      </c>
      <c r="CA189" s="1424">
        <f t="shared" ref="CA189:CR189" si="322">IFERROR((P189/O189-1)*(O191/O$13),"-")</f>
        <v>1.1842420548598591E-4</v>
      </c>
      <c r="CB189" s="1415">
        <f t="shared" si="322"/>
        <v>1.0068893942865348E-4</v>
      </c>
      <c r="CC189" s="1415">
        <f t="shared" si="322"/>
        <v>1.0874688622672534E-4</v>
      </c>
      <c r="CD189" s="1415">
        <f t="shared" si="322"/>
        <v>1.14654010730265E-4</v>
      </c>
      <c r="CE189" s="1415">
        <f t="shared" si="322"/>
        <v>1.2567637617294774E-4</v>
      </c>
      <c r="CF189" s="1415">
        <f t="shared" si="322"/>
        <v>1.2459548885606836E-4</v>
      </c>
      <c r="CG189" s="1415">
        <f t="shared" si="322"/>
        <v>9.9366816383413722E-5</v>
      </c>
      <c r="CH189" s="1425">
        <f t="shared" si="322"/>
        <v>1.004431350651002E-4</v>
      </c>
      <c r="CI189" s="1417">
        <f t="shared" si="322"/>
        <v>1.206911388773661E-3</v>
      </c>
      <c r="CJ189" s="1417">
        <f t="shared" si="322"/>
        <v>1.5512076507110826E-3</v>
      </c>
      <c r="CK189" s="1417">
        <f t="shared" si="322"/>
        <v>1.5346434721769271E-3</v>
      </c>
      <c r="CL189" s="1417">
        <f t="shared" si="322"/>
        <v>1.5181913344085487E-3</v>
      </c>
      <c r="CM189" s="1418">
        <f t="shared" si="322"/>
        <v>1.5015825625259874E-3</v>
      </c>
      <c r="CN189" s="1417">
        <f t="shared" si="322"/>
        <v>4.5268473379791031E-4</v>
      </c>
      <c r="CO189" s="1417">
        <f t="shared" si="322"/>
        <v>4.4754327773894898E-4</v>
      </c>
      <c r="CP189" s="1417">
        <f t="shared" si="322"/>
        <v>4.4234654305635025E-4</v>
      </c>
      <c r="CQ189" s="1417">
        <f t="shared" si="322"/>
        <v>4.3726052451541821E-4</v>
      </c>
      <c r="CR189" s="1419">
        <f t="shared" si="322"/>
        <v>4.3202145029478832E-4</v>
      </c>
      <c r="CS189" s="1378"/>
      <c r="CT189" s="1412" t="str">
        <f t="shared" si="188"/>
        <v>Price</v>
      </c>
      <c r="CU189" s="1413" t="str">
        <f t="shared" si="189"/>
        <v>Trade Waste</v>
      </c>
      <c r="CV189" s="1426" t="str">
        <f t="shared" si="190"/>
        <v>Variable</v>
      </c>
      <c r="CW189" s="1427">
        <f t="shared" si="213"/>
        <v>5.2499999999999991E-2</v>
      </c>
      <c r="CX189" s="1417">
        <f t="shared" si="214"/>
        <v>5.2499999999999991E-2</v>
      </c>
      <c r="CY189" s="1417">
        <f t="shared" si="215"/>
        <v>5.2499999999999991E-2</v>
      </c>
      <c r="CZ189" s="1419">
        <f t="shared" si="216"/>
        <v>5.2499999999999991E-2</v>
      </c>
      <c r="DA189" s="1417">
        <f t="shared" si="217"/>
        <v>4.6326854261736994E-2</v>
      </c>
      <c r="DB189" s="1417">
        <f t="shared" si="218"/>
        <v>4.1939644324732628E-2</v>
      </c>
      <c r="DC189" s="1417">
        <f t="shared" si="219"/>
        <v>3.8661313083165672E-2</v>
      </c>
      <c r="DD189" s="1417">
        <f t="shared" si="220"/>
        <v>3.6118632816290797E-2</v>
      </c>
      <c r="DE189" s="1419">
        <f t="shared" si="221"/>
        <v>3.4088971027154802E-2</v>
      </c>
      <c r="DF189" s="1378"/>
      <c r="DG189" s="1412" t="str">
        <f t="shared" si="222"/>
        <v>Price</v>
      </c>
      <c r="DH189" s="1413" t="str">
        <f t="shared" si="222"/>
        <v>Trade Waste</v>
      </c>
      <c r="DI189" s="1426" t="str">
        <f t="shared" si="222"/>
        <v>Variable</v>
      </c>
      <c r="DJ189" s="1426"/>
      <c r="DK189" s="1427">
        <f t="shared" si="223"/>
        <v>5.2499999999999991E-2</v>
      </c>
      <c r="DL189" s="1417">
        <f t="shared" si="224"/>
        <v>5.2499999999999991E-2</v>
      </c>
      <c r="DM189" s="1417">
        <f t="shared" si="225"/>
        <v>5.2499999999999991E-2</v>
      </c>
      <c r="DN189" s="1418">
        <f t="shared" si="226"/>
        <v>4.5096576751770812E-2</v>
      </c>
      <c r="DO189" s="1417">
        <f t="shared" si="227"/>
        <v>4.0189915391222852E-2</v>
      </c>
      <c r="DP189" s="1417">
        <f t="shared" si="228"/>
        <v>3.6699267547710912E-2</v>
      </c>
      <c r="DQ189" s="1417">
        <f t="shared" si="229"/>
        <v>3.4088971027154802E-2</v>
      </c>
      <c r="DR189" s="1419">
        <f t="shared" si="230"/>
        <v>3.2063285160126576E-2</v>
      </c>
    </row>
    <row r="190" spans="4:122">
      <c r="E190" s="742" t="s">
        <v>45</v>
      </c>
      <c r="F190" s="722" t="str">
        <f>+F189</f>
        <v>Trade Waste</v>
      </c>
      <c r="G190" s="723" t="str">
        <f>+G189</f>
        <v>Major - Chemial Oxygen Demand</v>
      </c>
      <c r="H190" s="723">
        <f>+H189</f>
        <v>0</v>
      </c>
      <c r="I190" s="724" t="str">
        <f>+I189</f>
        <v>Variable</v>
      </c>
      <c r="J190" s="782" t="s">
        <v>221</v>
      </c>
      <c r="K190" s="1540"/>
      <c r="L190" s="1541"/>
      <c r="M190" s="1541"/>
      <c r="N190" s="1542"/>
      <c r="O190" s="2031">
        <v>4016529.5672727274</v>
      </c>
      <c r="P190" s="1543">
        <v>3446318.46</v>
      </c>
      <c r="Q190" s="1543">
        <v>3705757.2600000002</v>
      </c>
      <c r="R190" s="1543">
        <v>3732469.45</v>
      </c>
      <c r="S190" s="1543">
        <v>3906084.1288963654</v>
      </c>
      <c r="T190" s="1543">
        <v>4118802.4508443396</v>
      </c>
      <c r="U190" s="1543">
        <v>3431187.0183601407</v>
      </c>
      <c r="V190" s="1543">
        <v>3507134.218306045</v>
      </c>
      <c r="W190" s="1543">
        <v>3507134.218306045</v>
      </c>
      <c r="X190" s="1544">
        <v>4607134.218306045</v>
      </c>
      <c r="Y190" s="1543">
        <v>4607134.218306045</v>
      </c>
      <c r="Z190" s="1543">
        <v>4607134.218306045</v>
      </c>
      <c r="AA190" s="1543">
        <v>4607134.218306045</v>
      </c>
      <c r="AB190" s="1543">
        <v>4607134.218306045</v>
      </c>
      <c r="AC190" s="1544">
        <v>4607134.218306045</v>
      </c>
      <c r="AD190" s="1543">
        <v>4607134.218306045</v>
      </c>
      <c r="AE190" s="1543">
        <v>4607134.218306045</v>
      </c>
      <c r="AF190" s="1543">
        <v>4607134.218306045</v>
      </c>
      <c r="AG190" s="1553">
        <v>4607134.218306045</v>
      </c>
      <c r="AH190" s="697"/>
      <c r="AI190" s="707"/>
      <c r="AJ190" s="709">
        <f t="shared" si="234"/>
        <v>4607134.218306045</v>
      </c>
      <c r="AK190" s="710">
        <f t="shared" si="235"/>
        <v>4607134.218306045</v>
      </c>
      <c r="AL190" s="710">
        <f t="shared" si="236"/>
        <v>4607134.218306045</v>
      </c>
      <c r="AM190" s="710">
        <f t="shared" si="237"/>
        <v>4607134.218306045</v>
      </c>
      <c r="AN190" s="710">
        <f t="shared" si="238"/>
        <v>4607134.218306045</v>
      </c>
      <c r="AO190" s="711">
        <f t="shared" si="239"/>
        <v>4607134.218306045</v>
      </c>
      <c r="AP190" s="707">
        <f t="shared" si="240"/>
        <v>4607134.218306045</v>
      </c>
      <c r="AQ190" s="707">
        <f t="shared" si="241"/>
        <v>4607134.218306045</v>
      </c>
      <c r="AR190" s="707">
        <f t="shared" si="242"/>
        <v>4607134.218306045</v>
      </c>
      <c r="AS190" s="712">
        <f t="shared" si="243"/>
        <v>4607134.218306045</v>
      </c>
      <c r="AV190" s="1559"/>
      <c r="AW190" s="1392" t="str">
        <f t="shared" si="191"/>
        <v>Qty</v>
      </c>
      <c r="AX190" s="1393" t="str">
        <f t="shared" si="191"/>
        <v>Trade Waste</v>
      </c>
      <c r="AY190" s="1394" t="str">
        <f t="shared" si="192"/>
        <v>Variable</v>
      </c>
      <c r="AZ190" s="1395">
        <f t="shared" si="306"/>
        <v>-0.1419661171970179</v>
      </c>
      <c r="BA190" s="1395">
        <f t="shared" si="306"/>
        <v>7.5279984427208291E-2</v>
      </c>
      <c r="BB190" s="1395">
        <f t="shared" si="306"/>
        <v>7.2082945875413529E-3</v>
      </c>
      <c r="BC190" s="1395">
        <f t="shared" si="194"/>
        <v>4.6514695223122349E-2</v>
      </c>
      <c r="BD190" s="1395">
        <f t="shared" si="195"/>
        <v>5.4458202877488038E-2</v>
      </c>
      <c r="BE190" s="1395">
        <f t="shared" si="196"/>
        <v>-0.16694547521773961</v>
      </c>
      <c r="BF190" s="1395">
        <f t="shared" si="197"/>
        <v>2.213438076663099E-2</v>
      </c>
      <c r="BG190" s="1396">
        <f t="shared" si="198"/>
        <v>0</v>
      </c>
      <c r="BH190" s="1395">
        <f t="shared" si="199"/>
        <v>0.31364639375886294</v>
      </c>
      <c r="BI190" s="1395">
        <f t="shared" si="200"/>
        <v>0</v>
      </c>
      <c r="BJ190" s="1395">
        <f t="shared" si="201"/>
        <v>0</v>
      </c>
      <c r="BK190" s="1395">
        <f t="shared" si="202"/>
        <v>0</v>
      </c>
      <c r="BL190" s="1397">
        <f t="shared" si="203"/>
        <v>0</v>
      </c>
      <c r="BM190" s="1395">
        <f t="shared" si="204"/>
        <v>0</v>
      </c>
      <c r="BN190" s="1395">
        <f t="shared" si="205"/>
        <v>0</v>
      </c>
      <c r="BO190" s="1395">
        <f t="shared" si="206"/>
        <v>0</v>
      </c>
      <c r="BP190" s="1395">
        <f t="shared" si="207"/>
        <v>0</v>
      </c>
      <c r="BQ190" s="1398">
        <f t="shared" si="208"/>
        <v>0</v>
      </c>
      <c r="BR190" s="1378"/>
      <c r="BS190" s="1329"/>
      <c r="BT190" s="1399"/>
      <c r="BU190" s="1331"/>
      <c r="BV190" s="1400"/>
      <c r="BW190" s="1378"/>
      <c r="BX190" s="1392" t="str">
        <f t="shared" si="209"/>
        <v>Qty</v>
      </c>
      <c r="BY190" s="1393" t="str">
        <f t="shared" si="210"/>
        <v>Trade Waste</v>
      </c>
      <c r="BZ190" s="1394" t="str">
        <f t="shared" si="211"/>
        <v>Variable</v>
      </c>
      <c r="CA190" s="1401">
        <f t="shared" ref="CA190:CR190" si="323">IFERROR((P190/O190-1)*(O191/O$13),"-")</f>
        <v>-3.8612189931523659E-3</v>
      </c>
      <c r="CB190" s="1395">
        <f t="shared" si="323"/>
        <v>1.7198345740488674E-3</v>
      </c>
      <c r="CC190" s="1395">
        <f t="shared" si="323"/>
        <v>1.8106677980186633E-4</v>
      </c>
      <c r="CD190" s="1395">
        <f t="shared" si="323"/>
        <v>1.2038523636640308E-3</v>
      </c>
      <c r="CE190" s="1395">
        <f t="shared" si="323"/>
        <v>1.5334028848638878E-3</v>
      </c>
      <c r="CF190" s="1395">
        <f t="shared" si="323"/>
        <v>-4.8082740466856176E-3</v>
      </c>
      <c r="CG190" s="1395">
        <f t="shared" si="323"/>
        <v>5.0767582243143314E-4</v>
      </c>
      <c r="CH190" s="1397">
        <f t="shared" si="323"/>
        <v>0</v>
      </c>
      <c r="CI190" s="1395">
        <f t="shared" si="323"/>
        <v>7.2103505652449497E-3</v>
      </c>
      <c r="CJ190" s="1395">
        <f t="shared" si="323"/>
        <v>0</v>
      </c>
      <c r="CK190" s="1395">
        <f t="shared" si="323"/>
        <v>0</v>
      </c>
      <c r="CL190" s="1395">
        <f t="shared" si="323"/>
        <v>0</v>
      </c>
      <c r="CM190" s="1397">
        <f t="shared" si="323"/>
        <v>0</v>
      </c>
      <c r="CN190" s="1395">
        <f t="shared" si="323"/>
        <v>0</v>
      </c>
      <c r="CO190" s="1395">
        <f t="shared" si="323"/>
        <v>0</v>
      </c>
      <c r="CP190" s="1395">
        <f t="shared" si="323"/>
        <v>0</v>
      </c>
      <c r="CQ190" s="1395">
        <f t="shared" si="323"/>
        <v>0</v>
      </c>
      <c r="CR190" s="1398">
        <f t="shared" si="323"/>
        <v>0</v>
      </c>
      <c r="CS190" s="1378"/>
      <c r="CT190" s="1392" t="str">
        <f t="shared" si="188"/>
        <v>Qty</v>
      </c>
      <c r="CU190" s="1393" t="str">
        <f t="shared" si="189"/>
        <v>Trade Waste</v>
      </c>
      <c r="CV190" s="1393" t="str">
        <f t="shared" si="190"/>
        <v>Variable</v>
      </c>
      <c r="CW190" s="1401">
        <f t="shared" si="213"/>
        <v>0.14614414178970647</v>
      </c>
      <c r="CX190" s="1395">
        <f t="shared" si="214"/>
        <v>9.5198463852377957E-2</v>
      </c>
      <c r="CY190" s="1395">
        <f t="shared" si="215"/>
        <v>7.0581216811553604E-2</v>
      </c>
      <c r="CZ190" s="1398">
        <f t="shared" si="216"/>
        <v>5.6077270494317322E-2</v>
      </c>
      <c r="DA190" s="1395">
        <f t="shared" si="217"/>
        <v>4.6517302223129997E-2</v>
      </c>
      <c r="DB190" s="1395">
        <f t="shared" si="218"/>
        <v>3.9741782982109175E-2</v>
      </c>
      <c r="DC190" s="1395">
        <f t="shared" si="219"/>
        <v>3.468894688768831E-2</v>
      </c>
      <c r="DD190" s="1395">
        <f t="shared" si="220"/>
        <v>3.0775945870150423E-2</v>
      </c>
      <c r="DE190" s="1398">
        <f t="shared" si="221"/>
        <v>2.765620247936873E-2</v>
      </c>
      <c r="DF190" s="1378"/>
      <c r="DG190" s="1392" t="str">
        <f t="shared" si="222"/>
        <v>Qty</v>
      </c>
      <c r="DH190" s="1393" t="str">
        <f t="shared" si="222"/>
        <v>Trade Waste</v>
      </c>
      <c r="DI190" s="1393" t="str">
        <f t="shared" si="222"/>
        <v>Variable</v>
      </c>
      <c r="DJ190" s="1393"/>
      <c r="DK190" s="1401">
        <f t="shared" si="223"/>
        <v>0</v>
      </c>
      <c r="DL190" s="1395">
        <f t="shared" si="224"/>
        <v>0</v>
      </c>
      <c r="DM190" s="1395">
        <f t="shared" si="225"/>
        <v>0</v>
      </c>
      <c r="DN190" s="1397">
        <f t="shared" si="226"/>
        <v>0</v>
      </c>
      <c r="DO190" s="1395">
        <f t="shared" si="227"/>
        <v>0</v>
      </c>
      <c r="DP190" s="1395">
        <f t="shared" si="228"/>
        <v>0</v>
      </c>
      <c r="DQ190" s="1395">
        <f t="shared" si="229"/>
        <v>0</v>
      </c>
      <c r="DR190" s="1398">
        <f t="shared" si="230"/>
        <v>0</v>
      </c>
    </row>
    <row r="191" spans="4:122" ht="12.75" thickBot="1">
      <c r="E191" s="743" t="s">
        <v>46</v>
      </c>
      <c r="F191" s="732" t="str">
        <f>+F189</f>
        <v>Trade Waste</v>
      </c>
      <c r="G191" s="733" t="str">
        <f>+G189</f>
        <v>Major - Chemial Oxygen Demand</v>
      </c>
      <c r="H191" s="733">
        <f>+H189</f>
        <v>0</v>
      </c>
      <c r="I191" s="734" t="str">
        <f>+I189</f>
        <v>Variable</v>
      </c>
      <c r="J191" s="735" t="s">
        <v>344</v>
      </c>
      <c r="K191" s="736">
        <f t="shared" ref="K191:AG191" si="324">K189*K190/10^6</f>
        <v>0</v>
      </c>
      <c r="L191" s="737">
        <f t="shared" si="324"/>
        <v>0</v>
      </c>
      <c r="M191" s="737">
        <f t="shared" si="324"/>
        <v>0</v>
      </c>
      <c r="N191" s="738">
        <f t="shared" si="324"/>
        <v>0</v>
      </c>
      <c r="O191" s="1923">
        <f t="shared" si="324"/>
        <v>2.0508181878391345</v>
      </c>
      <c r="P191" s="737">
        <f t="shared" si="324"/>
        <v>1.767333319759758</v>
      </c>
      <c r="Q191" s="737">
        <f t="shared" si="324"/>
        <v>1.9087537196803805</v>
      </c>
      <c r="R191" s="737">
        <f t="shared" si="324"/>
        <v>1.9308355763923715</v>
      </c>
      <c r="S191" s="737">
        <f t="shared" si="324"/>
        <v>2.0295993255454783</v>
      </c>
      <c r="T191" s="1531">
        <f t="shared" si="324"/>
        <v>2.1496797903277947</v>
      </c>
      <c r="U191" s="737">
        <f t="shared" si="324"/>
        <v>1.798547501212189</v>
      </c>
      <c r="V191" s="737">
        <f t="shared" si="324"/>
        <v>1.8463216202292652</v>
      </c>
      <c r="W191" s="737">
        <f t="shared" si="324"/>
        <v>1.8545725746402368</v>
      </c>
      <c r="X191" s="738">
        <f t="shared" si="324"/>
        <v>2.5641558348088491</v>
      </c>
      <c r="Y191" s="737">
        <f t="shared" si="324"/>
        <v>2.6987740161363138</v>
      </c>
      <c r="Z191" s="737">
        <f t="shared" si="324"/>
        <v>2.8404596519834704</v>
      </c>
      <c r="AA191" s="737">
        <f t="shared" si="324"/>
        <v>2.989583783712602</v>
      </c>
      <c r="AB191" s="737">
        <f t="shared" si="324"/>
        <v>3.1465369323575136</v>
      </c>
      <c r="AC191" s="738">
        <f t="shared" si="324"/>
        <v>3.1968815232752337</v>
      </c>
      <c r="AD191" s="737">
        <f t="shared" si="324"/>
        <v>3.2480316276476375</v>
      </c>
      <c r="AE191" s="737">
        <f t="shared" si="324"/>
        <v>3.3000001336900002</v>
      </c>
      <c r="AF191" s="737">
        <f t="shared" si="324"/>
        <v>3.3528001358290398</v>
      </c>
      <c r="AG191" s="739">
        <f t="shared" si="324"/>
        <v>3.4064449380023047</v>
      </c>
      <c r="AH191" s="697"/>
      <c r="AI191" s="707"/>
      <c r="AJ191" s="709">
        <f t="shared" si="234"/>
        <v>2.5641558348088491</v>
      </c>
      <c r="AK191" s="710">
        <f t="shared" si="235"/>
        <v>2.6987740161363138</v>
      </c>
      <c r="AL191" s="710">
        <f t="shared" si="236"/>
        <v>2.8404596519834704</v>
      </c>
      <c r="AM191" s="710">
        <f t="shared" si="237"/>
        <v>2.989583783712602</v>
      </c>
      <c r="AN191" s="710">
        <f t="shared" si="238"/>
        <v>3.1465369323575136</v>
      </c>
      <c r="AO191" s="711">
        <f t="shared" si="239"/>
        <v>3.1968815232752337</v>
      </c>
      <c r="AP191" s="707">
        <f t="shared" si="240"/>
        <v>3.2480316276476375</v>
      </c>
      <c r="AQ191" s="707">
        <f t="shared" si="241"/>
        <v>3.3000001336900002</v>
      </c>
      <c r="AR191" s="707">
        <f t="shared" si="242"/>
        <v>3.3528001358290398</v>
      </c>
      <c r="AS191" s="712">
        <f t="shared" si="243"/>
        <v>3.4064449380023047</v>
      </c>
      <c r="AV191" s="1559"/>
      <c r="AW191" s="1428" t="str">
        <f t="shared" si="191"/>
        <v>Rev</v>
      </c>
      <c r="AX191" s="1429" t="str">
        <f t="shared" si="191"/>
        <v>Trade Waste</v>
      </c>
      <c r="AY191" s="1430" t="str">
        <f t="shared" si="192"/>
        <v>Variable</v>
      </c>
      <c r="AZ191" s="1431">
        <f t="shared" si="306"/>
        <v>-0.13823013164227549</v>
      </c>
      <c r="BA191" s="1431">
        <f t="shared" si="306"/>
        <v>8.0019087706582948E-2</v>
      </c>
      <c r="BB191" s="1431">
        <f t="shared" si="306"/>
        <v>1.1568730153248108E-2</v>
      </c>
      <c r="BC191" s="1431">
        <f t="shared" si="194"/>
        <v>5.1150781744782048E-2</v>
      </c>
      <c r="BD191" s="1431">
        <f t="shared" si="195"/>
        <v>5.9164616025896288E-2</v>
      </c>
      <c r="BE191" s="1431">
        <f t="shared" si="196"/>
        <v>-0.16334167102257735</v>
      </c>
      <c r="BF191" s="1431">
        <f t="shared" si="197"/>
        <v>2.6562611765815092E-2</v>
      </c>
      <c r="BG191" s="1432">
        <f t="shared" si="198"/>
        <v>4.4688608531524565E-3</v>
      </c>
      <c r="BH191" s="1431">
        <f t="shared" si="199"/>
        <v>0.38261282943120323</v>
      </c>
      <c r="BI191" s="1431">
        <f t="shared" si="200"/>
        <v>5.2499999999999991E-2</v>
      </c>
      <c r="BJ191" s="1431">
        <f t="shared" si="201"/>
        <v>5.2499999999999991E-2</v>
      </c>
      <c r="BK191" s="1431">
        <f t="shared" si="202"/>
        <v>5.2499999999999769E-2</v>
      </c>
      <c r="BL191" s="1433">
        <f t="shared" si="203"/>
        <v>5.2499999999999991E-2</v>
      </c>
      <c r="BM191" s="1431">
        <f t="shared" si="204"/>
        <v>1.6000000000000014E-2</v>
      </c>
      <c r="BN191" s="1431">
        <f t="shared" si="205"/>
        <v>1.6000000000000014E-2</v>
      </c>
      <c r="BO191" s="1431">
        <f t="shared" si="206"/>
        <v>1.6000000000000236E-2</v>
      </c>
      <c r="BP191" s="1431">
        <f t="shared" si="207"/>
        <v>1.5999999999999792E-2</v>
      </c>
      <c r="BQ191" s="1434">
        <f t="shared" si="208"/>
        <v>1.6000000000000014E-2</v>
      </c>
      <c r="BR191" s="1378"/>
      <c r="BS191" s="1407"/>
      <c r="BT191" s="1408"/>
      <c r="BU191" s="1409"/>
      <c r="BV191" s="1410"/>
      <c r="BW191" s="1378"/>
      <c r="BX191" s="1428" t="str">
        <f t="shared" si="209"/>
        <v>Rev</v>
      </c>
      <c r="BY191" s="1429" t="str">
        <f t="shared" si="210"/>
        <v>Trade Waste</v>
      </c>
      <c r="BZ191" s="1430" t="str">
        <f t="shared" si="211"/>
        <v>Variable</v>
      </c>
      <c r="CA191" s="1435">
        <f t="shared" ref="CA191:CR191" si="325">IFERROR((P191/O191-1)*(O191/O$13),"-")</f>
        <v>-3.7596070123013655E-3</v>
      </c>
      <c r="CB191" s="1431">
        <f t="shared" si="325"/>
        <v>1.8281033752697016E-3</v>
      </c>
      <c r="CC191" s="1431">
        <f t="shared" si="325"/>
        <v>2.9059754561999154E-4</v>
      </c>
      <c r="CD191" s="1431">
        <f t="shared" si="325"/>
        <v>1.3238394707595234E-3</v>
      </c>
      <c r="CE191" s="1431">
        <f t="shared" si="325"/>
        <v>1.6659233706273621E-3</v>
      </c>
      <c r="CF191" s="1431">
        <f t="shared" si="325"/>
        <v>-4.7044792109266053E-3</v>
      </c>
      <c r="CG191" s="1431">
        <f t="shared" si="325"/>
        <v>6.0924206176424158E-4</v>
      </c>
      <c r="CH191" s="1433">
        <f t="shared" si="325"/>
        <v>1.004431350651002E-4</v>
      </c>
      <c r="CI191" s="1431">
        <f t="shared" si="325"/>
        <v>8.7958053586939706E-3</v>
      </c>
      <c r="CJ191" s="1431">
        <f t="shared" si="325"/>
        <v>1.5512076507110826E-3</v>
      </c>
      <c r="CK191" s="1431">
        <f t="shared" si="325"/>
        <v>1.5346434721769271E-3</v>
      </c>
      <c r="CL191" s="1431">
        <f t="shared" si="325"/>
        <v>1.5181913344085422E-3</v>
      </c>
      <c r="CM191" s="1433">
        <f t="shared" si="325"/>
        <v>1.5015825625259874E-3</v>
      </c>
      <c r="CN191" s="1431">
        <f t="shared" si="325"/>
        <v>4.5268473379791031E-4</v>
      </c>
      <c r="CO191" s="1431">
        <f t="shared" si="325"/>
        <v>4.4754327773894898E-4</v>
      </c>
      <c r="CP191" s="1431">
        <f t="shared" si="325"/>
        <v>4.4234654305635638E-4</v>
      </c>
      <c r="CQ191" s="1431">
        <f t="shared" si="325"/>
        <v>4.3726052451541214E-4</v>
      </c>
      <c r="CR191" s="1434">
        <f t="shared" si="325"/>
        <v>4.3202145029478832E-4</v>
      </c>
      <c r="CS191" s="1378"/>
      <c r="CT191" s="1428" t="str">
        <f t="shared" si="188"/>
        <v>Rev</v>
      </c>
      <c r="CU191" s="1429" t="str">
        <f t="shared" si="189"/>
        <v>Trade Waste</v>
      </c>
      <c r="CV191" s="1429" t="str">
        <f t="shared" si="190"/>
        <v>Variable</v>
      </c>
      <c r="CW191" s="1435">
        <f t="shared" si="213"/>
        <v>0.20631670923366618</v>
      </c>
      <c r="CX191" s="1431">
        <f t="shared" si="214"/>
        <v>0.15269638320462775</v>
      </c>
      <c r="CY191" s="1431">
        <f t="shared" si="215"/>
        <v>0.12678673069415991</v>
      </c>
      <c r="CZ191" s="1434">
        <f t="shared" si="216"/>
        <v>0.11152132719526908</v>
      </c>
      <c r="DA191" s="1431">
        <f t="shared" si="217"/>
        <v>9.4999156765606996E-2</v>
      </c>
      <c r="DB191" s="1431">
        <f t="shared" si="218"/>
        <v>8.3348183549942112E-2</v>
      </c>
      <c r="DC191" s="1431">
        <f t="shared" si="219"/>
        <v>7.4691380207004165E-2</v>
      </c>
      <c r="DD191" s="1431">
        <f t="shared" si="220"/>
        <v>6.8006163774898987E-2</v>
      </c>
      <c r="DE191" s="1434">
        <f t="shared" si="221"/>
        <v>6.2687944991564049E-2</v>
      </c>
      <c r="DF191" s="1378"/>
      <c r="DG191" s="1428" t="str">
        <f t="shared" si="222"/>
        <v>Rev</v>
      </c>
      <c r="DH191" s="1429" t="str">
        <f t="shared" si="222"/>
        <v>Trade Waste</v>
      </c>
      <c r="DI191" s="1429" t="str">
        <f t="shared" si="222"/>
        <v>Variable</v>
      </c>
      <c r="DJ191" s="1429"/>
      <c r="DK191" s="1435">
        <f t="shared" si="223"/>
        <v>5.2499999999999991E-2</v>
      </c>
      <c r="DL191" s="1431">
        <f t="shared" si="224"/>
        <v>5.2499999999999991E-2</v>
      </c>
      <c r="DM191" s="1431">
        <f t="shared" si="225"/>
        <v>5.2499999999999991E-2</v>
      </c>
      <c r="DN191" s="1433">
        <f t="shared" si="226"/>
        <v>4.5096576751770812E-2</v>
      </c>
      <c r="DO191" s="1431">
        <f t="shared" si="227"/>
        <v>4.0189915391222852E-2</v>
      </c>
      <c r="DP191" s="1431">
        <f t="shared" si="228"/>
        <v>3.6699267547711134E-2</v>
      </c>
      <c r="DQ191" s="1431">
        <f t="shared" si="229"/>
        <v>3.4088971027154802E-2</v>
      </c>
      <c r="DR191" s="1434">
        <f t="shared" si="230"/>
        <v>3.2063285160126576E-2</v>
      </c>
    </row>
    <row r="192" spans="4:122">
      <c r="D192" s="70">
        <f>D189+1</f>
        <v>43</v>
      </c>
      <c r="E192" s="713" t="s">
        <v>44</v>
      </c>
      <c r="F192" s="1532" t="s">
        <v>316</v>
      </c>
      <c r="G192" s="1532" t="s">
        <v>905</v>
      </c>
      <c r="H192" s="1532"/>
      <c r="I192" s="781" t="s">
        <v>320</v>
      </c>
      <c r="J192" s="781" t="s">
        <v>345</v>
      </c>
      <c r="K192" s="1533"/>
      <c r="L192" s="1534"/>
      <c r="M192" s="1534"/>
      <c r="N192" s="1535"/>
      <c r="O192" s="2071">
        <v>0.13828072398190044</v>
      </c>
      <c r="P192" s="1547">
        <v>0.13882566607460034</v>
      </c>
      <c r="Q192" s="1547">
        <v>0.1393435582822086</v>
      </c>
      <c r="R192" s="1547">
        <v>0.13985531732418524</v>
      </c>
      <c r="S192" s="1536">
        <v>0.14046132315521628</v>
      </c>
      <c r="T192" s="1536">
        <v>0.14104067796610167</v>
      </c>
      <c r="U192" s="1536">
        <v>0.14165497737556562</v>
      </c>
      <c r="V192" s="1536">
        <v>0.14223602620087333</v>
      </c>
      <c r="W192" s="1536">
        <v>0.14280000000000001</v>
      </c>
      <c r="X192" s="1537">
        <v>0.15029700000000001</v>
      </c>
      <c r="Y192" s="1538">
        <v>0.1581875925</v>
      </c>
      <c r="Z192" s="1538">
        <v>0.16649244110625</v>
      </c>
      <c r="AA192" s="1538">
        <v>0.17523329426432813</v>
      </c>
      <c r="AB192" s="1538">
        <v>0.18443304221320536</v>
      </c>
      <c r="AC192" s="1537">
        <v>0.18738397088861666</v>
      </c>
      <c r="AD192" s="1538">
        <v>0.19038211442283454</v>
      </c>
      <c r="AE192" s="1538">
        <v>0.1934282282535999</v>
      </c>
      <c r="AF192" s="1538">
        <v>0.19652307990565751</v>
      </c>
      <c r="AG192" s="1539">
        <v>0.19966744918414803</v>
      </c>
      <c r="AH192" s="697"/>
      <c r="AI192" s="707"/>
      <c r="AJ192" s="709">
        <f t="shared" si="234"/>
        <v>0.15029700000000001</v>
      </c>
      <c r="AK192" s="710">
        <f t="shared" si="235"/>
        <v>0.1581875925</v>
      </c>
      <c r="AL192" s="710">
        <f t="shared" si="236"/>
        <v>0.16649244110625</v>
      </c>
      <c r="AM192" s="710">
        <f t="shared" si="237"/>
        <v>0.17523329426432813</v>
      </c>
      <c r="AN192" s="710">
        <f t="shared" si="238"/>
        <v>0.18443304221320536</v>
      </c>
      <c r="AO192" s="711">
        <f t="shared" si="239"/>
        <v>0.18738397088861666</v>
      </c>
      <c r="AP192" s="707">
        <f t="shared" si="240"/>
        <v>0.19038211442283454</v>
      </c>
      <c r="AQ192" s="707">
        <f t="shared" si="241"/>
        <v>0.1934282282535999</v>
      </c>
      <c r="AR192" s="707">
        <f t="shared" si="242"/>
        <v>0.19652307990565751</v>
      </c>
      <c r="AS192" s="712">
        <f t="shared" si="243"/>
        <v>0.19966744918414803</v>
      </c>
      <c r="AU192" s="1369"/>
      <c r="AV192" s="1559"/>
      <c r="AW192" s="1412" t="str">
        <f t="shared" si="191"/>
        <v>Price</v>
      </c>
      <c r="AX192" s="1413" t="str">
        <f t="shared" si="191"/>
        <v>Trade Waste</v>
      </c>
      <c r="AY192" s="1414" t="str">
        <f t="shared" si="192"/>
        <v>Variable</v>
      </c>
      <c r="AZ192" s="1415">
        <f t="shared" si="306"/>
        <v>3.9408391640416429E-3</v>
      </c>
      <c r="BA192" s="1415">
        <f t="shared" si="306"/>
        <v>3.7305220443166753E-3</v>
      </c>
      <c r="BB192" s="1415">
        <f t="shared" si="306"/>
        <v>3.6726422684010274E-3</v>
      </c>
      <c r="BC192" s="1415">
        <f t="shared" si="194"/>
        <v>4.3330911017585017E-3</v>
      </c>
      <c r="BD192" s="1415">
        <f t="shared" si="195"/>
        <v>4.1246572214415078E-3</v>
      </c>
      <c r="BE192" s="1415">
        <f t="shared" si="196"/>
        <v>4.3554768618709883E-3</v>
      </c>
      <c r="BF192" s="1415">
        <f t="shared" si="197"/>
        <v>4.1018595750941245E-3</v>
      </c>
      <c r="BG192" s="1416">
        <f t="shared" si="198"/>
        <v>3.9650559298542998E-3</v>
      </c>
      <c r="BH192" s="1417">
        <f t="shared" si="199"/>
        <v>5.2499999999999991E-2</v>
      </c>
      <c r="BI192" s="1417">
        <f t="shared" si="200"/>
        <v>5.2499999999999991E-2</v>
      </c>
      <c r="BJ192" s="1417">
        <f t="shared" si="201"/>
        <v>5.2499999999999991E-2</v>
      </c>
      <c r="BK192" s="1417">
        <f t="shared" si="202"/>
        <v>5.2499999999999991E-2</v>
      </c>
      <c r="BL192" s="1418">
        <f t="shared" si="203"/>
        <v>5.2499999999999991E-2</v>
      </c>
      <c r="BM192" s="1417">
        <f t="shared" si="204"/>
        <v>1.6000000000000014E-2</v>
      </c>
      <c r="BN192" s="1417">
        <f t="shared" si="205"/>
        <v>1.6000000000000014E-2</v>
      </c>
      <c r="BO192" s="1417">
        <f t="shared" si="206"/>
        <v>1.6000000000000014E-2</v>
      </c>
      <c r="BP192" s="1417">
        <f t="shared" si="207"/>
        <v>1.6000000000000014E-2</v>
      </c>
      <c r="BQ192" s="1419">
        <f t="shared" si="208"/>
        <v>1.6000000000000014E-2</v>
      </c>
      <c r="BR192" s="1378"/>
      <c r="BS192" s="1420"/>
      <c r="BT192" s="1421"/>
      <c r="BU192" s="1422"/>
      <c r="BV192" s="1423"/>
      <c r="BW192" s="1378"/>
      <c r="BX192" s="1412" t="str">
        <f t="shared" si="209"/>
        <v>Price</v>
      </c>
      <c r="BY192" s="1413" t="str">
        <f t="shared" si="210"/>
        <v>Trade Waste</v>
      </c>
      <c r="BZ192" s="1414" t="str">
        <f t="shared" si="211"/>
        <v>Variable</v>
      </c>
      <c r="CA192" s="1424">
        <f t="shared" ref="CA192:CR192" si="326">IFERROR((P192/O192-1)*(O194/O$13),"-")</f>
        <v>7.1382340902734115E-6</v>
      </c>
      <c r="CB192" s="1415">
        <f t="shared" si="326"/>
        <v>5.9471345993823617E-6</v>
      </c>
      <c r="CC192" s="1415">
        <f t="shared" si="326"/>
        <v>6.2039595616339512E-6</v>
      </c>
      <c r="CD192" s="1415">
        <f t="shared" si="326"/>
        <v>5.4495017586654451E-6</v>
      </c>
      <c r="CE192" s="1415">
        <f t="shared" si="326"/>
        <v>1.0481620193504803E-5</v>
      </c>
      <c r="CF192" s="1415">
        <f t="shared" si="326"/>
        <v>1.1613742379484203E-5</v>
      </c>
      <c r="CG192" s="1415">
        <f t="shared" si="326"/>
        <v>8.1812230128888685E-6</v>
      </c>
      <c r="CH192" s="1425">
        <f t="shared" si="326"/>
        <v>6.9201924418522264E-6</v>
      </c>
      <c r="CI192" s="1417">
        <f t="shared" si="326"/>
        <v>9.3670520022842376E-5</v>
      </c>
      <c r="CJ192" s="1417">
        <f t="shared" si="326"/>
        <v>1.7608402503897202E-4</v>
      </c>
      <c r="CK192" s="1417">
        <f t="shared" si="326"/>
        <v>1.7420375631645681E-4</v>
      </c>
      <c r="CL192" s="1417">
        <f t="shared" si="326"/>
        <v>1.7233620580674668E-4</v>
      </c>
      <c r="CM192" s="1418">
        <f t="shared" si="326"/>
        <v>1.7045087510798767E-4</v>
      </c>
      <c r="CN192" s="1417">
        <f t="shared" si="326"/>
        <v>5.1386124845562652E-5</v>
      </c>
      <c r="CO192" s="1417">
        <f t="shared" si="326"/>
        <v>5.0802496807751018E-5</v>
      </c>
      <c r="CP192" s="1417">
        <f t="shared" si="326"/>
        <v>5.021259386371115E-5</v>
      </c>
      <c r="CQ192" s="1417">
        <f t="shared" si="326"/>
        <v>4.9635258768890269E-5</v>
      </c>
      <c r="CR192" s="1419">
        <f t="shared" si="326"/>
        <v>4.9040549687985774E-5</v>
      </c>
      <c r="CS192" s="1378"/>
      <c r="CT192" s="1412" t="str">
        <f t="shared" si="188"/>
        <v>Price</v>
      </c>
      <c r="CU192" s="1413" t="str">
        <f t="shared" si="189"/>
        <v>Trade Waste</v>
      </c>
      <c r="CV192" s="1426" t="str">
        <f t="shared" si="190"/>
        <v>Variable</v>
      </c>
      <c r="CW192" s="1427">
        <f t="shared" si="213"/>
        <v>5.2499999999999991E-2</v>
      </c>
      <c r="CX192" s="1417">
        <f t="shared" si="214"/>
        <v>5.2499999999999991E-2</v>
      </c>
      <c r="CY192" s="1417">
        <f t="shared" si="215"/>
        <v>5.2499999999999991E-2</v>
      </c>
      <c r="CZ192" s="1419">
        <f t="shared" si="216"/>
        <v>5.2499999999999991E-2</v>
      </c>
      <c r="DA192" s="1417">
        <f t="shared" si="217"/>
        <v>4.6326854261736994E-2</v>
      </c>
      <c r="DB192" s="1417">
        <f t="shared" si="218"/>
        <v>4.1939644324732628E-2</v>
      </c>
      <c r="DC192" s="1417">
        <f t="shared" si="219"/>
        <v>3.8661313083165672E-2</v>
      </c>
      <c r="DD192" s="1417">
        <f t="shared" si="220"/>
        <v>3.6118632816290797E-2</v>
      </c>
      <c r="DE192" s="1419">
        <f t="shared" si="221"/>
        <v>3.4088971027155024E-2</v>
      </c>
      <c r="DF192" s="1378"/>
      <c r="DG192" s="1412" t="str">
        <f t="shared" si="222"/>
        <v>Price</v>
      </c>
      <c r="DH192" s="1413" t="str">
        <f t="shared" si="222"/>
        <v>Trade Waste</v>
      </c>
      <c r="DI192" s="1426" t="str">
        <f t="shared" si="222"/>
        <v>Variable</v>
      </c>
      <c r="DJ192" s="1426"/>
      <c r="DK192" s="1427">
        <f t="shared" si="223"/>
        <v>5.2499999999999991E-2</v>
      </c>
      <c r="DL192" s="1417">
        <f t="shared" si="224"/>
        <v>5.2499999999999991E-2</v>
      </c>
      <c r="DM192" s="1417">
        <f t="shared" si="225"/>
        <v>5.2499999999999991E-2</v>
      </c>
      <c r="DN192" s="1418">
        <f t="shared" si="226"/>
        <v>4.5096576751770812E-2</v>
      </c>
      <c r="DO192" s="1417">
        <f t="shared" si="227"/>
        <v>4.0189915391222852E-2</v>
      </c>
      <c r="DP192" s="1417">
        <f t="shared" si="228"/>
        <v>3.6699267547711134E-2</v>
      </c>
      <c r="DQ192" s="1417">
        <f t="shared" si="229"/>
        <v>3.4088971027155024E-2</v>
      </c>
      <c r="DR192" s="1419">
        <f t="shared" si="230"/>
        <v>3.2063285160126576E-2</v>
      </c>
    </row>
    <row r="193" spans="4:122">
      <c r="E193" s="742" t="s">
        <v>45</v>
      </c>
      <c r="F193" s="722" t="str">
        <f>+F192</f>
        <v>Trade Waste</v>
      </c>
      <c r="G193" s="723" t="str">
        <f>+G192</f>
        <v>Major - Suspended Solids</v>
      </c>
      <c r="H193" s="723">
        <f>+H192</f>
        <v>0</v>
      </c>
      <c r="I193" s="724" t="str">
        <f>+I192</f>
        <v>Variable</v>
      </c>
      <c r="J193" s="782" t="s">
        <v>221</v>
      </c>
      <c r="K193" s="1540"/>
      <c r="L193" s="1541"/>
      <c r="M193" s="1541"/>
      <c r="N193" s="1542"/>
      <c r="O193" s="2031">
        <v>987706.38636363635</v>
      </c>
      <c r="P193" s="1543">
        <v>888340.99</v>
      </c>
      <c r="Q193" s="1543">
        <v>921185.47</v>
      </c>
      <c r="R193" s="1543">
        <v>670875.97000000009</v>
      </c>
      <c r="S193" s="1543">
        <v>1304070.7099738545</v>
      </c>
      <c r="T193" s="1543">
        <v>1411078.9210365962</v>
      </c>
      <c r="U193" s="1543">
        <v>1104100.0048009313</v>
      </c>
      <c r="V193" s="1543">
        <v>1007959.7068534743</v>
      </c>
      <c r="W193" s="1543">
        <v>1007959.7068534743</v>
      </c>
      <c r="X193" s="1544">
        <v>1936618.7068534743</v>
      </c>
      <c r="Y193" s="1543">
        <v>1936618.7068534743</v>
      </c>
      <c r="Z193" s="1543">
        <v>1936618.7068534743</v>
      </c>
      <c r="AA193" s="1543">
        <v>1936618.7068534743</v>
      </c>
      <c r="AB193" s="1543">
        <v>1936618.7068534743</v>
      </c>
      <c r="AC193" s="1544">
        <v>1936618.7068534743</v>
      </c>
      <c r="AD193" s="1543">
        <v>1936618.7068534743</v>
      </c>
      <c r="AE193" s="1543">
        <v>1936618.7068534743</v>
      </c>
      <c r="AF193" s="1543">
        <v>1936618.7068534743</v>
      </c>
      <c r="AG193" s="1553">
        <v>1936618.7068534743</v>
      </c>
      <c r="AH193" s="697"/>
      <c r="AI193" s="707"/>
      <c r="AJ193" s="709">
        <f t="shared" si="234"/>
        <v>1936618.7068534743</v>
      </c>
      <c r="AK193" s="710">
        <f t="shared" si="235"/>
        <v>1936618.7068534743</v>
      </c>
      <c r="AL193" s="710">
        <f t="shared" si="236"/>
        <v>1936618.7068534743</v>
      </c>
      <c r="AM193" s="710">
        <f t="shared" si="237"/>
        <v>1936618.7068534743</v>
      </c>
      <c r="AN193" s="710">
        <f t="shared" si="238"/>
        <v>1936618.7068534743</v>
      </c>
      <c r="AO193" s="711">
        <f t="shared" si="239"/>
        <v>1936618.7068534743</v>
      </c>
      <c r="AP193" s="707">
        <f t="shared" si="240"/>
        <v>1936618.7068534743</v>
      </c>
      <c r="AQ193" s="707">
        <f t="shared" si="241"/>
        <v>1936618.7068534743</v>
      </c>
      <c r="AR193" s="707">
        <f t="shared" si="242"/>
        <v>1936618.7068534743</v>
      </c>
      <c r="AS193" s="712">
        <f t="shared" si="243"/>
        <v>1936618.7068534743</v>
      </c>
      <c r="AV193" s="1559"/>
      <c r="AW193" s="1392" t="str">
        <f t="shared" si="191"/>
        <v>Qty</v>
      </c>
      <c r="AX193" s="1393" t="str">
        <f t="shared" si="191"/>
        <v>Trade Waste</v>
      </c>
      <c r="AY193" s="1394" t="str">
        <f t="shared" si="192"/>
        <v>Variable</v>
      </c>
      <c r="AZ193" s="1395">
        <f t="shared" si="306"/>
        <v>-0.10060216045525672</v>
      </c>
      <c r="BA193" s="1395">
        <f t="shared" si="306"/>
        <v>3.697282954375436E-2</v>
      </c>
      <c r="BB193" s="1395">
        <f t="shared" si="306"/>
        <v>-0.27172541051912147</v>
      </c>
      <c r="BC193" s="1395">
        <f t="shared" si="194"/>
        <v>0.9438327921834111</v>
      </c>
      <c r="BD193" s="1395">
        <f t="shared" si="195"/>
        <v>8.2057061970885803E-2</v>
      </c>
      <c r="BE193" s="1395">
        <f t="shared" si="196"/>
        <v>-0.21754907656770484</v>
      </c>
      <c r="BF193" s="1395">
        <f t="shared" si="197"/>
        <v>-8.7075715541538368E-2</v>
      </c>
      <c r="BG193" s="1396">
        <f t="shared" si="198"/>
        <v>0</v>
      </c>
      <c r="BH193" s="1395">
        <f t="shared" si="199"/>
        <v>0.92132551895251291</v>
      </c>
      <c r="BI193" s="1395">
        <f t="shared" si="200"/>
        <v>0</v>
      </c>
      <c r="BJ193" s="1395">
        <f t="shared" si="201"/>
        <v>0</v>
      </c>
      <c r="BK193" s="1395">
        <f t="shared" si="202"/>
        <v>0</v>
      </c>
      <c r="BL193" s="1397">
        <f t="shared" si="203"/>
        <v>0</v>
      </c>
      <c r="BM193" s="1395">
        <f t="shared" si="204"/>
        <v>0</v>
      </c>
      <c r="BN193" s="1395">
        <f t="shared" si="205"/>
        <v>0</v>
      </c>
      <c r="BO193" s="1395">
        <f t="shared" si="206"/>
        <v>0</v>
      </c>
      <c r="BP193" s="1395">
        <f t="shared" si="207"/>
        <v>0</v>
      </c>
      <c r="BQ193" s="1398">
        <f t="shared" si="208"/>
        <v>0</v>
      </c>
      <c r="BR193" s="1378"/>
      <c r="BS193" s="1329"/>
      <c r="BT193" s="1399"/>
      <c r="BU193" s="1331"/>
      <c r="BV193" s="1400"/>
      <c r="BW193" s="1378"/>
      <c r="BX193" s="1392" t="str">
        <f t="shared" si="209"/>
        <v>Qty</v>
      </c>
      <c r="BY193" s="1393" t="str">
        <f t="shared" si="210"/>
        <v>Trade Waste</v>
      </c>
      <c r="BZ193" s="1394" t="str">
        <f t="shared" si="211"/>
        <v>Variable</v>
      </c>
      <c r="CA193" s="1401">
        <f t="shared" ref="CA193:CR193" si="327">IFERROR((P193/O193-1)*(O194/O$13),"-")</f>
        <v>-1.8222559749948749E-4</v>
      </c>
      <c r="CB193" s="1395">
        <f t="shared" si="327"/>
        <v>5.8941454092654771E-5</v>
      </c>
      <c r="CC193" s="1395">
        <f t="shared" si="327"/>
        <v>-4.5900834754128016E-4</v>
      </c>
      <c r="CD193" s="1395">
        <f t="shared" si="327"/>
        <v>1.1870090750693563E-3</v>
      </c>
      <c r="CE193" s="1395">
        <f t="shared" si="327"/>
        <v>2.0852422676547226E-4</v>
      </c>
      <c r="CF193" s="1395">
        <f t="shared" si="327"/>
        <v>-5.800877860861072E-4</v>
      </c>
      <c r="CG193" s="1395">
        <f t="shared" si="327"/>
        <v>-1.7367387518034467E-4</v>
      </c>
      <c r="CH193" s="1397">
        <f t="shared" si="327"/>
        <v>0</v>
      </c>
      <c r="CI193" s="1395">
        <f t="shared" si="327"/>
        <v>1.6438293422970859E-3</v>
      </c>
      <c r="CJ193" s="1395">
        <f t="shared" si="327"/>
        <v>0</v>
      </c>
      <c r="CK193" s="1395">
        <f t="shared" si="327"/>
        <v>0</v>
      </c>
      <c r="CL193" s="1395">
        <f t="shared" si="327"/>
        <v>0</v>
      </c>
      <c r="CM193" s="1397">
        <f t="shared" si="327"/>
        <v>0</v>
      </c>
      <c r="CN193" s="1395">
        <f t="shared" si="327"/>
        <v>0</v>
      </c>
      <c r="CO193" s="1395">
        <f t="shared" si="327"/>
        <v>0</v>
      </c>
      <c r="CP193" s="1395">
        <f t="shared" si="327"/>
        <v>0</v>
      </c>
      <c r="CQ193" s="1395">
        <f t="shared" si="327"/>
        <v>0</v>
      </c>
      <c r="CR193" s="1398">
        <f t="shared" si="327"/>
        <v>0</v>
      </c>
      <c r="CS193" s="1378"/>
      <c r="CT193" s="1392" t="str">
        <f t="shared" ref="CT193:CT256" si="328">AW193</f>
        <v>Qty</v>
      </c>
      <c r="CU193" s="1393" t="str">
        <f t="shared" ref="CU193:CU256" si="329">AX193</f>
        <v>Trade Waste</v>
      </c>
      <c r="CV193" s="1393" t="str">
        <f t="shared" ref="CV193:CV256" si="330">AY193</f>
        <v>Variable</v>
      </c>
      <c r="CW193" s="1401">
        <f t="shared" si="213"/>
        <v>0.38611886898364989</v>
      </c>
      <c r="CX193" s="1395">
        <f t="shared" si="214"/>
        <v>0.24317895711250137</v>
      </c>
      <c r="CY193" s="1395">
        <f t="shared" si="215"/>
        <v>0.17733549550824712</v>
      </c>
      <c r="CZ193" s="1398">
        <f t="shared" si="216"/>
        <v>0.13951537737760233</v>
      </c>
      <c r="DA193" s="1395">
        <f t="shared" si="217"/>
        <v>0.11497935277407789</v>
      </c>
      <c r="DB193" s="1395">
        <f t="shared" si="218"/>
        <v>9.7777743484832369E-2</v>
      </c>
      <c r="DC193" s="1395">
        <f t="shared" si="219"/>
        <v>8.505091839426937E-2</v>
      </c>
      <c r="DD193" s="1395">
        <f t="shared" si="220"/>
        <v>7.5254371277658993E-2</v>
      </c>
      <c r="DE193" s="1398">
        <f t="shared" si="221"/>
        <v>6.7480855742903856E-2</v>
      </c>
      <c r="DF193" s="1378"/>
      <c r="DG193" s="1392" t="str">
        <f t="shared" si="222"/>
        <v>Qty</v>
      </c>
      <c r="DH193" s="1393" t="str">
        <f t="shared" si="222"/>
        <v>Trade Waste</v>
      </c>
      <c r="DI193" s="1393" t="str">
        <f t="shared" si="222"/>
        <v>Variable</v>
      </c>
      <c r="DJ193" s="1393"/>
      <c r="DK193" s="1401">
        <f t="shared" si="223"/>
        <v>0</v>
      </c>
      <c r="DL193" s="1395">
        <f t="shared" si="224"/>
        <v>0</v>
      </c>
      <c r="DM193" s="1395">
        <f t="shared" si="225"/>
        <v>0</v>
      </c>
      <c r="DN193" s="1397">
        <f t="shared" si="226"/>
        <v>0</v>
      </c>
      <c r="DO193" s="1395">
        <f t="shared" si="227"/>
        <v>0</v>
      </c>
      <c r="DP193" s="1395">
        <f t="shared" si="228"/>
        <v>0</v>
      </c>
      <c r="DQ193" s="1395">
        <f t="shared" si="229"/>
        <v>0</v>
      </c>
      <c r="DR193" s="1398">
        <f t="shared" si="230"/>
        <v>0</v>
      </c>
    </row>
    <row r="194" spans="4:122" ht="12.75" thickBot="1">
      <c r="E194" s="743" t="s">
        <v>46</v>
      </c>
      <c r="F194" s="732" t="str">
        <f>+F192</f>
        <v>Trade Waste</v>
      </c>
      <c r="G194" s="733" t="str">
        <f>+G192</f>
        <v>Major - Suspended Solids</v>
      </c>
      <c r="H194" s="733">
        <f>+H192</f>
        <v>0</v>
      </c>
      <c r="I194" s="734" t="str">
        <f>+I192</f>
        <v>Variable</v>
      </c>
      <c r="J194" s="735" t="s">
        <v>344</v>
      </c>
      <c r="K194" s="736">
        <f t="shared" ref="K194:AG194" si="331">K192*K193/10^6</f>
        <v>0</v>
      </c>
      <c r="L194" s="737">
        <f t="shared" si="331"/>
        <v>0</v>
      </c>
      <c r="M194" s="737">
        <f t="shared" si="331"/>
        <v>0</v>
      </c>
      <c r="N194" s="738">
        <f t="shared" si="331"/>
        <v>0</v>
      </c>
      <c r="O194" s="1923">
        <f t="shared" si="331"/>
        <v>0.13658075418791032</v>
      </c>
      <c r="P194" s="737">
        <f t="shared" si="331"/>
        <v>0.12332452963811989</v>
      </c>
      <c r="Q194" s="737">
        <f t="shared" si="331"/>
        <v>0.12836126122766872</v>
      </c>
      <c r="R194" s="737">
        <f t="shared" si="331"/>
        <v>9.3825571669520588E-2</v>
      </c>
      <c r="S194" s="737">
        <f t="shared" si="331"/>
        <v>0.18317149741088992</v>
      </c>
      <c r="T194" s="1531">
        <f t="shared" si="331"/>
        <v>0.19901952768667677</v>
      </c>
      <c r="U194" s="737">
        <f t="shared" si="331"/>
        <v>0.15640126120043782</v>
      </c>
      <c r="V194" s="737">
        <f t="shared" si="331"/>
        <v>0.14336818327343537</v>
      </c>
      <c r="W194" s="737">
        <f t="shared" si="331"/>
        <v>0.14393664613867613</v>
      </c>
      <c r="X194" s="738">
        <f t="shared" si="331"/>
        <v>0.29106798178395665</v>
      </c>
      <c r="Y194" s="737">
        <f t="shared" si="331"/>
        <v>0.30634905082761432</v>
      </c>
      <c r="Z194" s="737">
        <f t="shared" si="331"/>
        <v>0.32243237599606411</v>
      </c>
      <c r="AA194" s="737">
        <f t="shared" si="331"/>
        <v>0.33936007573585747</v>
      </c>
      <c r="AB194" s="737">
        <f t="shared" si="331"/>
        <v>0.35717647971199001</v>
      </c>
      <c r="AC194" s="738">
        <f t="shared" si="331"/>
        <v>0.3628913033873819</v>
      </c>
      <c r="AD194" s="737">
        <f t="shared" si="331"/>
        <v>0.36869756424157996</v>
      </c>
      <c r="AE194" s="737">
        <f t="shared" si="331"/>
        <v>0.37459672526944526</v>
      </c>
      <c r="AF194" s="737">
        <f t="shared" si="331"/>
        <v>0.38059027287375641</v>
      </c>
      <c r="AG194" s="739">
        <f t="shared" si="331"/>
        <v>0.38667971723973654</v>
      </c>
      <c r="AH194" s="697"/>
      <c r="AI194" s="707"/>
      <c r="AJ194" s="709">
        <f t="shared" si="234"/>
        <v>0.29106798178395665</v>
      </c>
      <c r="AK194" s="710">
        <f t="shared" si="235"/>
        <v>0.30634905082761432</v>
      </c>
      <c r="AL194" s="710">
        <f t="shared" si="236"/>
        <v>0.32243237599606411</v>
      </c>
      <c r="AM194" s="710">
        <f t="shared" si="237"/>
        <v>0.33936007573585747</v>
      </c>
      <c r="AN194" s="710">
        <f t="shared" si="238"/>
        <v>0.35717647971199001</v>
      </c>
      <c r="AO194" s="711">
        <f t="shared" si="239"/>
        <v>0.3628913033873819</v>
      </c>
      <c r="AP194" s="707">
        <f t="shared" si="240"/>
        <v>0.36869756424157996</v>
      </c>
      <c r="AQ194" s="707">
        <f t="shared" si="241"/>
        <v>0.37459672526944526</v>
      </c>
      <c r="AR194" s="707">
        <f t="shared" si="242"/>
        <v>0.38059027287375641</v>
      </c>
      <c r="AS194" s="712">
        <f t="shared" si="243"/>
        <v>0.38667971723973654</v>
      </c>
      <c r="AV194" s="1559"/>
      <c r="AW194" s="1428" t="str">
        <f t="shared" ref="AW194:AX257" si="332">E194</f>
        <v>Rev</v>
      </c>
      <c r="AX194" s="1429" t="str">
        <f t="shared" si="332"/>
        <v>Trade Waste</v>
      </c>
      <c r="AY194" s="1430" t="str">
        <f t="shared" ref="AY194:AY257" si="333">I194</f>
        <v>Variable</v>
      </c>
      <c r="AZ194" s="1431">
        <f t="shared" ref="AZ194:BB209" si="334">IFERROR(P194/O194-1,"-")</f>
        <v>-9.7057778225124403E-2</v>
      </c>
      <c r="BA194" s="1431">
        <f t="shared" si="334"/>
        <v>4.084127954372474E-2</v>
      </c>
      <c r="BB194" s="1431">
        <f t="shared" si="334"/>
        <v>-0.26905071847879169</v>
      </c>
      <c r="BC194" s="1431">
        <f t="shared" ref="BC194:BC257" si="335">IFERROR(S194/R194-1,"-")</f>
        <v>0.95225559675852756</v>
      </c>
      <c r="BD194" s="1431">
        <f t="shared" ref="BD194:BD257" si="336">IFERROR(T194/S194-1,"-")</f>
        <v>8.6520176445555652E-2</v>
      </c>
      <c r="BE194" s="1431">
        <f t="shared" ref="BE194:BE257" si="337">IFERROR(U194/T194-1,"-")</f>
        <v>-0.21414112967514598</v>
      </c>
      <c r="BF194" s="1431">
        <f t="shared" ref="BF194:BF257" si="338">IFERROR(V194/U194-1,"-")</f>
        <v>-8.3331028323996414E-2</v>
      </c>
      <c r="BG194" s="1432">
        <f t="shared" ref="BG194:BG257" si="339">IFERROR(W194/V194-1,"-")</f>
        <v>3.9650559298542998E-3</v>
      </c>
      <c r="BH194" s="1431">
        <f t="shared" ref="BH194:BH257" si="340">IFERROR(X194/W194-1,"-")</f>
        <v>1.0221951086975203</v>
      </c>
      <c r="BI194" s="1431">
        <f t="shared" ref="BI194:BI257" si="341">IFERROR(Y194/X194-1,"-")</f>
        <v>5.2499999999999769E-2</v>
      </c>
      <c r="BJ194" s="1431">
        <f t="shared" ref="BJ194:BJ257" si="342">IFERROR(Z194/Y194-1,"-")</f>
        <v>5.2500000000000213E-2</v>
      </c>
      <c r="BK194" s="1431">
        <f t="shared" ref="BK194:BK257" si="343">IFERROR(AA194/Z194-1,"-")</f>
        <v>5.2499999999999991E-2</v>
      </c>
      <c r="BL194" s="1433">
        <f t="shared" ref="BL194:BL257" si="344">IFERROR(AB194/AA194-1,"-")</f>
        <v>5.2499999999999991E-2</v>
      </c>
      <c r="BM194" s="1431">
        <f t="shared" ref="BM194:BM257" si="345">IFERROR(AC194/AB194-1,"-")</f>
        <v>1.6000000000000236E-2</v>
      </c>
      <c r="BN194" s="1431">
        <f t="shared" ref="BN194:BN257" si="346">IFERROR(AD194/AC194-1,"-")</f>
        <v>1.5999999999999792E-2</v>
      </c>
      <c r="BO194" s="1431">
        <f t="shared" ref="BO194:BO257" si="347">IFERROR(AE194/AD194-1,"-")</f>
        <v>1.6000000000000014E-2</v>
      </c>
      <c r="BP194" s="1431">
        <f t="shared" ref="BP194:BP257" si="348">IFERROR(AF194/AE194-1,"-")</f>
        <v>1.6000000000000014E-2</v>
      </c>
      <c r="BQ194" s="1434">
        <f t="shared" ref="BQ194:BQ257" si="349">IFERROR(AG194/AF194-1,"-")</f>
        <v>1.6000000000000014E-2</v>
      </c>
      <c r="BR194" s="1378"/>
      <c r="BS194" s="1407"/>
      <c r="BT194" s="1408"/>
      <c r="BU194" s="1409"/>
      <c r="BV194" s="1410"/>
      <c r="BW194" s="1378"/>
      <c r="BX194" s="1428" t="str">
        <f t="shared" ref="BX194:BX257" si="350">AW194</f>
        <v>Rev</v>
      </c>
      <c r="BY194" s="1429" t="str">
        <f t="shared" ref="BY194:BY257" si="351">AX194</f>
        <v>Trade Waste</v>
      </c>
      <c r="BZ194" s="1430" t="str">
        <f t="shared" ref="BZ194:BZ257" si="352">AY194</f>
        <v>Variable</v>
      </c>
      <c r="CA194" s="1435">
        <f t="shared" ref="CA194:CR194" si="353">IFERROR((P194/O194-1)*(O194/O$13),"-")</f>
        <v>-1.7580548518053105E-4</v>
      </c>
      <c r="CB194" s="1431">
        <f t="shared" si="353"/>
        <v>6.5108471085853812E-5</v>
      </c>
      <c r="CC194" s="1431">
        <f t="shared" si="353"/>
        <v>-4.5449016143837536E-4</v>
      </c>
      <c r="CD194" s="1431">
        <f t="shared" si="353"/>
        <v>1.1976019952889114E-3</v>
      </c>
      <c r="CE194" s="1431">
        <f t="shared" si="353"/>
        <v>2.1986593791675042E-4</v>
      </c>
      <c r="CF194" s="1431">
        <f t="shared" si="353"/>
        <v>-5.7100060263677523E-4</v>
      </c>
      <c r="CG194" s="1431">
        <f t="shared" si="353"/>
        <v>-1.6620503801530789E-4</v>
      </c>
      <c r="CH194" s="1433">
        <f t="shared" si="353"/>
        <v>6.9201924418522264E-6</v>
      </c>
      <c r="CI194" s="1431">
        <f t="shared" si="353"/>
        <v>1.8238009027905261E-3</v>
      </c>
      <c r="CJ194" s="1431">
        <f t="shared" si="353"/>
        <v>1.7608402503897127E-4</v>
      </c>
      <c r="CK194" s="1431">
        <f t="shared" si="353"/>
        <v>1.7420375631645754E-4</v>
      </c>
      <c r="CL194" s="1431">
        <f t="shared" si="353"/>
        <v>1.7233620580674668E-4</v>
      </c>
      <c r="CM194" s="1433">
        <f t="shared" si="353"/>
        <v>1.7045087510798767E-4</v>
      </c>
      <c r="CN194" s="1431">
        <f t="shared" si="353"/>
        <v>5.1386124845563364E-5</v>
      </c>
      <c r="CO194" s="1431">
        <f t="shared" si="353"/>
        <v>5.0802496807750313E-5</v>
      </c>
      <c r="CP194" s="1431">
        <f t="shared" si="353"/>
        <v>5.021259386371115E-5</v>
      </c>
      <c r="CQ194" s="1431">
        <f t="shared" si="353"/>
        <v>4.9635258768890269E-5</v>
      </c>
      <c r="CR194" s="1434">
        <f t="shared" si="353"/>
        <v>4.9040549687985774E-5</v>
      </c>
      <c r="CS194" s="1378"/>
      <c r="CT194" s="1428" t="str">
        <f t="shared" si="328"/>
        <v>Rev</v>
      </c>
      <c r="CU194" s="1429" t="str">
        <f t="shared" si="329"/>
        <v>Trade Waste</v>
      </c>
      <c r="CV194" s="1429" t="str">
        <f t="shared" si="330"/>
        <v>Variable</v>
      </c>
      <c r="CW194" s="1435">
        <f t="shared" ref="CW194:CW257" si="354">IFERROR((Y194/$W194)^(1/CW$61)-1,"-")</f>
        <v>0.45889010960529153</v>
      </c>
      <c r="CX194" s="1431">
        <f t="shared" ref="CX194:CX257" si="355">IFERROR((Z194/$W194)^(1/CX$61)-1,"-")</f>
        <v>0.30844585236090771</v>
      </c>
      <c r="CY194" s="1431">
        <f t="shared" ref="CY194:CY257" si="356">IFERROR((AA194/$W194)^(1/CY$61)-1,"-")</f>
        <v>0.23914560902243021</v>
      </c>
      <c r="CZ194" s="1434">
        <f t="shared" ref="CZ194:CZ257" si="357">IFERROR((AB194/$W194)^(1/CZ$61)-1,"-")</f>
        <v>0.1993399346899265</v>
      </c>
      <c r="DA194" s="1431">
        <f t="shared" ref="DA194:DA257" si="358">IFERROR((AC194/$W194)^(1/DA$61)-1,"-")</f>
        <v>0.16663283875488832</v>
      </c>
      <c r="DB194" s="1431">
        <f t="shared" ref="DB194:DB257" si="359">IFERROR((AD194/$W194)^(1/DB$61)-1,"-")</f>
        <v>0.14381815159419387</v>
      </c>
      <c r="DC194" s="1431">
        <f t="shared" ref="DC194:DC257" si="360">IFERROR((AE194/$W194)^(1/DC$61)-1,"-")</f>
        <v>0.12700041166148668</v>
      </c>
      <c r="DD194" s="1431">
        <f t="shared" ref="DD194:DD257" si="361">IFERROR((AF194/$W194)^(1/DD$61)-1,"-")</f>
        <v>0.1140910890979483</v>
      </c>
      <c r="DE194" s="1434">
        <f t="shared" ref="DE194:DE257" si="362">IFERROR((AG194/$W194)^(1/DE$61)-1,"-")</f>
        <v>0.10387017970636636</v>
      </c>
      <c r="DF194" s="1378"/>
      <c r="DG194" s="1428" t="str">
        <f t="shared" ref="DG194:DI257" si="363">CT194</f>
        <v>Rev</v>
      </c>
      <c r="DH194" s="1429" t="str">
        <f t="shared" si="363"/>
        <v>Trade Waste</v>
      </c>
      <c r="DI194" s="1429" t="str">
        <f t="shared" si="363"/>
        <v>Variable</v>
      </c>
      <c r="DJ194" s="1429"/>
      <c r="DK194" s="1435">
        <f t="shared" ref="DK194:DK257" si="364">IFERROR((Z194/$X194)^(1/DK$61)-1,"-")</f>
        <v>5.2499999999999991E-2</v>
      </c>
      <c r="DL194" s="1431">
        <f t="shared" ref="DL194:DL257" si="365">IFERROR((AA194/$X194)^(1/DL$61)-1,"-")</f>
        <v>5.2499999999999991E-2</v>
      </c>
      <c r="DM194" s="1431">
        <f t="shared" ref="DM194:DM257" si="366">IFERROR((AB194/$X194)^(1/DM$61)-1,"-")</f>
        <v>5.2499999999999991E-2</v>
      </c>
      <c r="DN194" s="1433">
        <f t="shared" ref="DN194:DN257" si="367">IFERROR((AC194/$X194)^(1/DN$61)-1,"-")</f>
        <v>4.5096576751770812E-2</v>
      </c>
      <c r="DO194" s="1431">
        <f t="shared" ref="DO194:DO257" si="368">IFERROR((AD194/$X194)^(1/DO$61)-1,"-")</f>
        <v>4.0189915391222852E-2</v>
      </c>
      <c r="DP194" s="1431">
        <f t="shared" ref="DP194:DP257" si="369">IFERROR((AE194/$X194)^(1/DP$61)-1,"-")</f>
        <v>3.6699267547711134E-2</v>
      </c>
      <c r="DQ194" s="1431">
        <f t="shared" ref="DQ194:DQ257" si="370">IFERROR((AF194/$X194)^(1/DQ$61)-1,"-")</f>
        <v>3.4088971027154802E-2</v>
      </c>
      <c r="DR194" s="1434">
        <f t="shared" ref="DR194:DR257" si="371">IFERROR((AG194/$X194)^(1/DR$61)-1,"-")</f>
        <v>3.2063285160126576E-2</v>
      </c>
    </row>
    <row r="195" spans="4:122">
      <c r="D195" s="70">
        <f>D192+1</f>
        <v>44</v>
      </c>
      <c r="E195" s="713" t="s">
        <v>44</v>
      </c>
      <c r="F195" s="1532" t="s">
        <v>316</v>
      </c>
      <c r="G195" s="1532" t="s">
        <v>906</v>
      </c>
      <c r="H195" s="1532"/>
      <c r="I195" s="781" t="s">
        <v>320</v>
      </c>
      <c r="J195" s="781" t="s">
        <v>345</v>
      </c>
      <c r="K195" s="1533"/>
      <c r="L195" s="1534"/>
      <c r="M195" s="1534"/>
      <c r="N195" s="1535"/>
      <c r="O195" s="2071">
        <v>1.6662445248868778</v>
      </c>
      <c r="P195" s="1547">
        <v>1.6736552397868558</v>
      </c>
      <c r="Q195" s="1547">
        <v>1.6811245398773005</v>
      </c>
      <c r="R195" s="1547">
        <v>1.6886413379073755</v>
      </c>
      <c r="S195" s="1536">
        <v>1.6961569974554707</v>
      </c>
      <c r="T195" s="1536">
        <v>1.703730508474576</v>
      </c>
      <c r="U195" s="1536">
        <v>1.7113194570135746</v>
      </c>
      <c r="V195" s="1547">
        <v>1.7190181222707424</v>
      </c>
      <c r="W195" s="1536">
        <v>1.7266999999999999</v>
      </c>
      <c r="X195" s="1537">
        <v>1.8173517499999998</v>
      </c>
      <c r="Y195" s="1538">
        <v>1.9127627168749999</v>
      </c>
      <c r="Z195" s="1538">
        <v>2.0131827595109373</v>
      </c>
      <c r="AA195" s="1538">
        <v>2.1188748543852616</v>
      </c>
      <c r="AB195" s="1538">
        <v>2.2301157842404877</v>
      </c>
      <c r="AC195" s="1537">
        <v>2.2657976367883355</v>
      </c>
      <c r="AD195" s="1538">
        <v>2.3020503989769487</v>
      </c>
      <c r="AE195" s="1538">
        <v>2.3388832053605801</v>
      </c>
      <c r="AF195" s="1538">
        <v>2.3763053366463494</v>
      </c>
      <c r="AG195" s="1539">
        <v>2.4143262220326909</v>
      </c>
      <c r="AH195" s="697"/>
      <c r="AI195" s="707"/>
      <c r="AJ195" s="709">
        <f t="shared" si="234"/>
        <v>1.8173517499999998</v>
      </c>
      <c r="AK195" s="710">
        <f t="shared" si="235"/>
        <v>1.9127627168749999</v>
      </c>
      <c r="AL195" s="710">
        <f t="shared" si="236"/>
        <v>2.0131827595109373</v>
      </c>
      <c r="AM195" s="710">
        <f t="shared" si="237"/>
        <v>2.1188748543852616</v>
      </c>
      <c r="AN195" s="710">
        <f t="shared" si="238"/>
        <v>2.2301157842404877</v>
      </c>
      <c r="AO195" s="711">
        <f t="shared" si="239"/>
        <v>2.2657976367883355</v>
      </c>
      <c r="AP195" s="707">
        <f t="shared" si="240"/>
        <v>2.3020503989769487</v>
      </c>
      <c r="AQ195" s="707">
        <f t="shared" si="241"/>
        <v>2.3388832053605801</v>
      </c>
      <c r="AR195" s="707">
        <f t="shared" si="242"/>
        <v>2.3763053366463494</v>
      </c>
      <c r="AS195" s="712">
        <f t="shared" si="243"/>
        <v>2.4143262220326909</v>
      </c>
      <c r="AU195" s="1369"/>
      <c r="AV195" s="1559"/>
      <c r="AW195" s="1412" t="str">
        <f t="shared" si="332"/>
        <v>Price</v>
      </c>
      <c r="AX195" s="1413" t="str">
        <f t="shared" si="332"/>
        <v>Trade Waste</v>
      </c>
      <c r="AY195" s="1414" t="str">
        <f t="shared" si="333"/>
        <v>Variable</v>
      </c>
      <c r="AZ195" s="1415">
        <f t="shared" si="334"/>
        <v>4.4475554393681449E-3</v>
      </c>
      <c r="BA195" s="1415">
        <f t="shared" si="334"/>
        <v>4.4628666124786331E-3</v>
      </c>
      <c r="BB195" s="1415">
        <f t="shared" si="334"/>
        <v>4.471291597839322E-3</v>
      </c>
      <c r="BC195" s="1415">
        <f t="shared" si="335"/>
        <v>4.450713943440876E-3</v>
      </c>
      <c r="BD195" s="1415">
        <f t="shared" si="336"/>
        <v>4.465100241585418E-3</v>
      </c>
      <c r="BE195" s="1415">
        <f t="shared" si="337"/>
        <v>4.454312757358192E-3</v>
      </c>
      <c r="BF195" s="1415">
        <f t="shared" si="338"/>
        <v>4.4986721944964003E-3</v>
      </c>
      <c r="BG195" s="1416">
        <f t="shared" si="339"/>
        <v>4.4687590140761735E-3</v>
      </c>
      <c r="BH195" s="1417">
        <f t="shared" si="340"/>
        <v>5.2499999999999991E-2</v>
      </c>
      <c r="BI195" s="1417">
        <f t="shared" si="341"/>
        <v>5.2499999999999991E-2</v>
      </c>
      <c r="BJ195" s="1417">
        <f t="shared" si="342"/>
        <v>5.2499999999999991E-2</v>
      </c>
      <c r="BK195" s="1417">
        <f t="shared" si="343"/>
        <v>5.2499999999999991E-2</v>
      </c>
      <c r="BL195" s="1418">
        <f t="shared" si="344"/>
        <v>5.2499999999999991E-2</v>
      </c>
      <c r="BM195" s="1417">
        <f t="shared" si="345"/>
        <v>1.6000000000000014E-2</v>
      </c>
      <c r="BN195" s="1417">
        <f t="shared" si="346"/>
        <v>1.6000000000000014E-2</v>
      </c>
      <c r="BO195" s="1417">
        <f t="shared" si="347"/>
        <v>1.6000000000000014E-2</v>
      </c>
      <c r="BP195" s="1417">
        <f t="shared" si="348"/>
        <v>1.6000000000000014E-2</v>
      </c>
      <c r="BQ195" s="1419">
        <f t="shared" si="349"/>
        <v>1.6000000000000014E-2</v>
      </c>
      <c r="BR195" s="1378"/>
      <c r="BS195" s="1420"/>
      <c r="BT195" s="1421"/>
      <c r="BU195" s="1422"/>
      <c r="BV195" s="1423"/>
      <c r="BW195" s="1378"/>
      <c r="BX195" s="1412" t="str">
        <f t="shared" si="350"/>
        <v>Price</v>
      </c>
      <c r="BY195" s="1413" t="str">
        <f t="shared" si="351"/>
        <v>Trade Waste</v>
      </c>
      <c r="BZ195" s="1414" t="str">
        <f t="shared" si="352"/>
        <v>Variable</v>
      </c>
      <c r="CA195" s="1424">
        <f t="shared" ref="CA195:CR195" si="372">IFERROR((P195/O195-1)*(O197/O$13),"-")</f>
        <v>2.0886076541535391E-5</v>
      </c>
      <c r="CB195" s="1415">
        <f t="shared" si="372"/>
        <v>1.6878318628455384E-5</v>
      </c>
      <c r="CC195" s="1415">
        <f t="shared" si="372"/>
        <v>2.0096163705777679E-5</v>
      </c>
      <c r="CD195" s="1415">
        <f t="shared" si="372"/>
        <v>2.0845083174418414E-5</v>
      </c>
      <c r="CE195" s="1415">
        <f t="shared" si="372"/>
        <v>2.2630319437994392E-5</v>
      </c>
      <c r="CF195" s="1415">
        <f t="shared" si="372"/>
        <v>2.6173918811896746E-5</v>
      </c>
      <c r="CG195" s="1415">
        <f t="shared" si="372"/>
        <v>1.9749674480947182E-5</v>
      </c>
      <c r="CH195" s="1425">
        <f t="shared" si="372"/>
        <v>1.7414219770874194E-5</v>
      </c>
      <c r="CI195" s="1417">
        <f t="shared" si="372"/>
        <v>2.0925170238861879E-4</v>
      </c>
      <c r="CJ195" s="1417">
        <f t="shared" si="372"/>
        <v>2.4797526627306176E-4</v>
      </c>
      <c r="CK195" s="1417">
        <f t="shared" si="372"/>
        <v>2.4532732511526847E-4</v>
      </c>
      <c r="CL195" s="1417">
        <f t="shared" si="372"/>
        <v>2.4269729473732095E-4</v>
      </c>
      <c r="CM195" s="1418">
        <f t="shared" si="372"/>
        <v>2.4004222490952667E-4</v>
      </c>
      <c r="CN195" s="1417">
        <f t="shared" si="372"/>
        <v>7.2365951360431178E-5</v>
      </c>
      <c r="CO195" s="1417">
        <f t="shared" si="372"/>
        <v>7.154404080921147E-5</v>
      </c>
      <c r="CP195" s="1417">
        <f t="shared" si="372"/>
        <v>7.0713293445325546E-5</v>
      </c>
      <c r="CQ195" s="1417">
        <f t="shared" si="372"/>
        <v>6.990024510754871E-5</v>
      </c>
      <c r="CR195" s="1419">
        <f t="shared" si="372"/>
        <v>6.9062729366642288E-5</v>
      </c>
      <c r="CS195" s="1378"/>
      <c r="CT195" s="1412" t="str">
        <f t="shared" si="328"/>
        <v>Price</v>
      </c>
      <c r="CU195" s="1413" t="str">
        <f t="shared" si="329"/>
        <v>Trade Waste</v>
      </c>
      <c r="CV195" s="1426" t="str">
        <f t="shared" si="330"/>
        <v>Variable</v>
      </c>
      <c r="CW195" s="1427">
        <f t="shared" si="354"/>
        <v>5.2499999999999991E-2</v>
      </c>
      <c r="CX195" s="1417">
        <f t="shared" si="355"/>
        <v>5.2499999999999991E-2</v>
      </c>
      <c r="CY195" s="1417">
        <f t="shared" si="356"/>
        <v>5.2499999999999991E-2</v>
      </c>
      <c r="CZ195" s="1419">
        <f t="shared" si="357"/>
        <v>5.2499999999999991E-2</v>
      </c>
      <c r="DA195" s="1417">
        <f t="shared" si="358"/>
        <v>4.6326854261736994E-2</v>
      </c>
      <c r="DB195" s="1417">
        <f t="shared" si="359"/>
        <v>4.1939644324732628E-2</v>
      </c>
      <c r="DC195" s="1417">
        <f t="shared" si="360"/>
        <v>3.8661313083165672E-2</v>
      </c>
      <c r="DD195" s="1417">
        <f t="shared" si="361"/>
        <v>3.6118632816290797E-2</v>
      </c>
      <c r="DE195" s="1419">
        <f t="shared" si="362"/>
        <v>3.4088971027154802E-2</v>
      </c>
      <c r="DF195" s="1378"/>
      <c r="DG195" s="1412" t="str">
        <f t="shared" si="363"/>
        <v>Price</v>
      </c>
      <c r="DH195" s="1413" t="str">
        <f t="shared" si="363"/>
        <v>Trade Waste</v>
      </c>
      <c r="DI195" s="1426" t="str">
        <f t="shared" si="363"/>
        <v>Variable</v>
      </c>
      <c r="DJ195" s="1426"/>
      <c r="DK195" s="1427">
        <f t="shared" si="364"/>
        <v>5.2499999999999991E-2</v>
      </c>
      <c r="DL195" s="1417">
        <f t="shared" si="365"/>
        <v>5.2499999999999991E-2</v>
      </c>
      <c r="DM195" s="1417">
        <f t="shared" si="366"/>
        <v>5.2499999999999991E-2</v>
      </c>
      <c r="DN195" s="1418">
        <f t="shared" si="367"/>
        <v>4.5096576751770812E-2</v>
      </c>
      <c r="DO195" s="1417">
        <f t="shared" si="368"/>
        <v>4.0189915391222852E-2</v>
      </c>
      <c r="DP195" s="1417">
        <f t="shared" si="369"/>
        <v>3.6699267547711134E-2</v>
      </c>
      <c r="DQ195" s="1417">
        <f t="shared" si="370"/>
        <v>3.4088971027154802E-2</v>
      </c>
      <c r="DR195" s="1419">
        <f t="shared" si="371"/>
        <v>3.2063285160126576E-2</v>
      </c>
    </row>
    <row r="196" spans="4:122">
      <c r="E196" s="742" t="s">
        <v>45</v>
      </c>
      <c r="F196" s="722" t="str">
        <f>+F195</f>
        <v>Trade Waste</v>
      </c>
      <c r="G196" s="723" t="str">
        <f>+G195</f>
        <v>Major - TKN</v>
      </c>
      <c r="H196" s="723">
        <f>+H195</f>
        <v>0</v>
      </c>
      <c r="I196" s="724" t="str">
        <f>+I195</f>
        <v>Variable</v>
      </c>
      <c r="J196" s="782" t="s">
        <v>221</v>
      </c>
      <c r="K196" s="1540"/>
      <c r="L196" s="1541"/>
      <c r="M196" s="1541"/>
      <c r="N196" s="1542"/>
      <c r="O196" s="2031">
        <v>212512.35818181818</v>
      </c>
      <c r="P196" s="1543">
        <v>174807.71000000002</v>
      </c>
      <c r="Q196" s="1543">
        <v>203153.31999999998</v>
      </c>
      <c r="R196" s="1543">
        <v>206918.24</v>
      </c>
      <c r="S196" s="1543">
        <v>215382.67280723818</v>
      </c>
      <c r="T196" s="1543">
        <v>257422.41311661244</v>
      </c>
      <c r="U196" s="1543">
        <v>201162.63382740694</v>
      </c>
      <c r="V196" s="1543">
        <v>186217.5286257868</v>
      </c>
      <c r="W196" s="1543">
        <v>186217.5286257868</v>
      </c>
      <c r="X196" s="1544">
        <v>225550.5286257868</v>
      </c>
      <c r="Y196" s="1543">
        <v>225550.5286257868</v>
      </c>
      <c r="Z196" s="1543">
        <v>225550.5286257868</v>
      </c>
      <c r="AA196" s="1543">
        <v>225550.5286257868</v>
      </c>
      <c r="AB196" s="1543">
        <v>225550.5286257868</v>
      </c>
      <c r="AC196" s="1544">
        <v>225550.5286257868</v>
      </c>
      <c r="AD196" s="1543">
        <v>225550.5286257868</v>
      </c>
      <c r="AE196" s="1543">
        <v>225550.5286257868</v>
      </c>
      <c r="AF196" s="1543">
        <v>225550.5286257868</v>
      </c>
      <c r="AG196" s="1553">
        <v>225550.5286257868</v>
      </c>
      <c r="AH196" s="697"/>
      <c r="AI196" s="707"/>
      <c r="AJ196" s="709">
        <f t="shared" si="234"/>
        <v>225550.5286257868</v>
      </c>
      <c r="AK196" s="710">
        <f t="shared" si="235"/>
        <v>225550.5286257868</v>
      </c>
      <c r="AL196" s="710">
        <f t="shared" si="236"/>
        <v>225550.5286257868</v>
      </c>
      <c r="AM196" s="710">
        <f t="shared" si="237"/>
        <v>225550.5286257868</v>
      </c>
      <c r="AN196" s="710">
        <f t="shared" si="238"/>
        <v>225550.5286257868</v>
      </c>
      <c r="AO196" s="711">
        <f t="shared" si="239"/>
        <v>225550.5286257868</v>
      </c>
      <c r="AP196" s="707">
        <f t="shared" si="240"/>
        <v>225550.5286257868</v>
      </c>
      <c r="AQ196" s="707">
        <f t="shared" si="241"/>
        <v>225550.5286257868</v>
      </c>
      <c r="AR196" s="707">
        <f t="shared" si="242"/>
        <v>225550.5286257868</v>
      </c>
      <c r="AS196" s="712">
        <f t="shared" si="243"/>
        <v>225550.5286257868</v>
      </c>
      <c r="AV196" s="1559"/>
      <c r="AW196" s="1392" t="str">
        <f t="shared" si="332"/>
        <v>Qty</v>
      </c>
      <c r="AX196" s="1393" t="str">
        <f t="shared" si="332"/>
        <v>Trade Waste</v>
      </c>
      <c r="AY196" s="1394" t="str">
        <f t="shared" si="333"/>
        <v>Variable</v>
      </c>
      <c r="AZ196" s="1395">
        <f t="shared" si="334"/>
        <v>-0.17742332024549545</v>
      </c>
      <c r="BA196" s="1395">
        <f t="shared" si="334"/>
        <v>0.16215308809891704</v>
      </c>
      <c r="BB196" s="1395">
        <f t="shared" si="334"/>
        <v>1.8532406952542102E-2</v>
      </c>
      <c r="BC196" s="1395">
        <f t="shared" si="335"/>
        <v>4.0907137076162003E-2</v>
      </c>
      <c r="BD196" s="1395">
        <f t="shared" si="336"/>
        <v>0.19518626898552194</v>
      </c>
      <c r="BE196" s="1395">
        <f t="shared" si="337"/>
        <v>-0.21855043081940106</v>
      </c>
      <c r="BF196" s="1395">
        <f t="shared" si="338"/>
        <v>-7.4293644486891686E-2</v>
      </c>
      <c r="BG196" s="1396">
        <f t="shared" si="339"/>
        <v>0</v>
      </c>
      <c r="BH196" s="1395">
        <f t="shared" si="340"/>
        <v>0.21122071746017834</v>
      </c>
      <c r="BI196" s="1395">
        <f t="shared" si="341"/>
        <v>0</v>
      </c>
      <c r="BJ196" s="1395">
        <f t="shared" si="342"/>
        <v>0</v>
      </c>
      <c r="BK196" s="1395">
        <f t="shared" si="343"/>
        <v>0</v>
      </c>
      <c r="BL196" s="1397">
        <f t="shared" si="344"/>
        <v>0</v>
      </c>
      <c r="BM196" s="1395">
        <f t="shared" si="345"/>
        <v>0</v>
      </c>
      <c r="BN196" s="1395">
        <f t="shared" si="346"/>
        <v>0</v>
      </c>
      <c r="BO196" s="1395">
        <f t="shared" si="347"/>
        <v>0</v>
      </c>
      <c r="BP196" s="1395">
        <f t="shared" si="348"/>
        <v>0</v>
      </c>
      <c r="BQ196" s="1398">
        <f t="shared" si="349"/>
        <v>0</v>
      </c>
      <c r="BR196" s="1378"/>
      <c r="BS196" s="1329"/>
      <c r="BT196" s="1399"/>
      <c r="BU196" s="1331"/>
      <c r="BV196" s="1400"/>
      <c r="BW196" s="1378"/>
      <c r="BX196" s="1392" t="str">
        <f t="shared" si="350"/>
        <v>Qty</v>
      </c>
      <c r="BY196" s="1393" t="str">
        <f t="shared" si="351"/>
        <v>Trade Waste</v>
      </c>
      <c r="BZ196" s="1394" t="str">
        <f t="shared" si="352"/>
        <v>Variable</v>
      </c>
      <c r="CA196" s="1401">
        <f t="shared" ref="CA196:CR196" si="373">IFERROR((P196/O196-1)*(O197/O$13),"-")</f>
        <v>-8.3319412144915769E-4</v>
      </c>
      <c r="CB196" s="1395">
        <f t="shared" si="373"/>
        <v>6.1325415370222926E-4</v>
      </c>
      <c r="CC196" s="1395">
        <f t="shared" si="373"/>
        <v>8.3293669363981835E-5</v>
      </c>
      <c r="CD196" s="1395">
        <f t="shared" si="373"/>
        <v>1.9159008770639944E-4</v>
      </c>
      <c r="CE196" s="1395">
        <f t="shared" si="373"/>
        <v>9.8925609237482089E-4</v>
      </c>
      <c r="CF196" s="1395">
        <f t="shared" si="373"/>
        <v>-1.2842208314004257E-3</v>
      </c>
      <c r="CG196" s="1395">
        <f t="shared" si="373"/>
        <v>-3.2615741516227092E-4</v>
      </c>
      <c r="CH196" s="1397">
        <f t="shared" si="373"/>
        <v>0</v>
      </c>
      <c r="CI196" s="1395">
        <f t="shared" si="373"/>
        <v>8.4187228015786253E-4</v>
      </c>
      <c r="CJ196" s="1395">
        <f t="shared" si="373"/>
        <v>0</v>
      </c>
      <c r="CK196" s="1395">
        <f t="shared" si="373"/>
        <v>0</v>
      </c>
      <c r="CL196" s="1395">
        <f t="shared" si="373"/>
        <v>0</v>
      </c>
      <c r="CM196" s="1397">
        <f t="shared" si="373"/>
        <v>0</v>
      </c>
      <c r="CN196" s="1395">
        <f t="shared" si="373"/>
        <v>0</v>
      </c>
      <c r="CO196" s="1395">
        <f t="shared" si="373"/>
        <v>0</v>
      </c>
      <c r="CP196" s="1395">
        <f t="shared" si="373"/>
        <v>0</v>
      </c>
      <c r="CQ196" s="1395">
        <f t="shared" si="373"/>
        <v>0</v>
      </c>
      <c r="CR196" s="1398">
        <f t="shared" si="373"/>
        <v>0</v>
      </c>
      <c r="CS196" s="1378"/>
      <c r="CT196" s="1392" t="str">
        <f t="shared" si="328"/>
        <v>Qty</v>
      </c>
      <c r="CU196" s="1393" t="str">
        <f t="shared" si="329"/>
        <v>Trade Waste</v>
      </c>
      <c r="CV196" s="1393" t="str">
        <f t="shared" si="330"/>
        <v>Variable</v>
      </c>
      <c r="CW196" s="1401">
        <f t="shared" si="354"/>
        <v>0.1005547316967832</v>
      </c>
      <c r="CX196" s="1395">
        <f t="shared" si="355"/>
        <v>6.5960463229617794E-2</v>
      </c>
      <c r="CY196" s="1395">
        <f t="shared" si="356"/>
        <v>4.9073272796892553E-2</v>
      </c>
      <c r="CZ196" s="1398">
        <f t="shared" si="357"/>
        <v>3.9069646062298125E-2</v>
      </c>
      <c r="DA196" s="1395">
        <f t="shared" si="358"/>
        <v>3.2453613112772173E-2</v>
      </c>
      <c r="DB196" s="1395">
        <f t="shared" si="359"/>
        <v>2.7753682418429237E-2</v>
      </c>
      <c r="DC196" s="1395">
        <f t="shared" si="360"/>
        <v>2.4242780202473613E-2</v>
      </c>
      <c r="DD196" s="1395">
        <f t="shared" si="361"/>
        <v>2.1520372429295387E-2</v>
      </c>
      <c r="DE196" s="1398">
        <f t="shared" si="362"/>
        <v>1.9347657113262917E-2</v>
      </c>
      <c r="DF196" s="1378"/>
      <c r="DG196" s="1392" t="str">
        <f t="shared" si="363"/>
        <v>Qty</v>
      </c>
      <c r="DH196" s="1393" t="str">
        <f t="shared" si="363"/>
        <v>Trade Waste</v>
      </c>
      <c r="DI196" s="1393" t="str">
        <f t="shared" si="363"/>
        <v>Variable</v>
      </c>
      <c r="DJ196" s="1393"/>
      <c r="DK196" s="1401">
        <f t="shared" si="364"/>
        <v>0</v>
      </c>
      <c r="DL196" s="1395">
        <f t="shared" si="365"/>
        <v>0</v>
      </c>
      <c r="DM196" s="1395">
        <f t="shared" si="366"/>
        <v>0</v>
      </c>
      <c r="DN196" s="1397">
        <f t="shared" si="367"/>
        <v>0</v>
      </c>
      <c r="DO196" s="1395">
        <f t="shared" si="368"/>
        <v>0</v>
      </c>
      <c r="DP196" s="1395">
        <f t="shared" si="369"/>
        <v>0</v>
      </c>
      <c r="DQ196" s="1395">
        <f t="shared" si="370"/>
        <v>0</v>
      </c>
      <c r="DR196" s="1398">
        <f t="shared" si="371"/>
        <v>0</v>
      </c>
    </row>
    <row r="197" spans="4:122" ht="12.75" thickBot="1">
      <c r="E197" s="743" t="s">
        <v>46</v>
      </c>
      <c r="F197" s="732" t="str">
        <f>+F195</f>
        <v>Trade Waste</v>
      </c>
      <c r="G197" s="733" t="str">
        <f>+G195</f>
        <v>Major - TKN</v>
      </c>
      <c r="H197" s="733">
        <f>+H195</f>
        <v>0</v>
      </c>
      <c r="I197" s="734" t="str">
        <f>+I195</f>
        <v>Variable</v>
      </c>
      <c r="J197" s="735" t="s">
        <v>344</v>
      </c>
      <c r="K197" s="736">
        <f t="shared" ref="K197:AG197" si="374">K195*K196/10^6</f>
        <v>0</v>
      </c>
      <c r="L197" s="737">
        <f t="shared" si="374"/>
        <v>0</v>
      </c>
      <c r="M197" s="737">
        <f t="shared" si="374"/>
        <v>0</v>
      </c>
      <c r="N197" s="738">
        <f t="shared" si="374"/>
        <v>0</v>
      </c>
      <c r="O197" s="1923">
        <f t="shared" si="374"/>
        <v>0.35409755329125364</v>
      </c>
      <c r="P197" s="737">
        <f t="shared" si="374"/>
        <v>0.29256783979664119</v>
      </c>
      <c r="Q197" s="737">
        <f t="shared" si="374"/>
        <v>0.34152603160954592</v>
      </c>
      <c r="R197" s="737">
        <f t="shared" si="374"/>
        <v>0.34941069363103938</v>
      </c>
      <c r="S197" s="737">
        <f t="shared" si="374"/>
        <v>0.36532282761265916</v>
      </c>
      <c r="T197" s="1531">
        <f t="shared" si="374"/>
        <v>0.4385784187919185</v>
      </c>
      <c r="U197" s="737">
        <f t="shared" si="374"/>
        <v>0.34425352929293856</v>
      </c>
      <c r="V197" s="737">
        <f t="shared" si="374"/>
        <v>0.32011130639219826</v>
      </c>
      <c r="W197" s="737">
        <f t="shared" si="374"/>
        <v>0.32154180667814608</v>
      </c>
      <c r="X197" s="738">
        <f t="shared" si="374"/>
        <v>0.40990464791149867</v>
      </c>
      <c r="Y197" s="737">
        <f t="shared" si="374"/>
        <v>0.43142464192685243</v>
      </c>
      <c r="Z197" s="737">
        <f t="shared" si="374"/>
        <v>0.45407443562801214</v>
      </c>
      <c r="AA197" s="737">
        <f t="shared" si="374"/>
        <v>0.4779133434984828</v>
      </c>
      <c r="AB197" s="737">
        <f t="shared" si="374"/>
        <v>0.50300379403215312</v>
      </c>
      <c r="AC197" s="738">
        <f t="shared" si="374"/>
        <v>0.51105185473666759</v>
      </c>
      <c r="AD197" s="737">
        <f t="shared" si="374"/>
        <v>0.51922868441245418</v>
      </c>
      <c r="AE197" s="737">
        <f t="shared" si="374"/>
        <v>0.52753634336305355</v>
      </c>
      <c r="AF197" s="737">
        <f t="shared" si="374"/>
        <v>0.53597692485686244</v>
      </c>
      <c r="AG197" s="739">
        <f t="shared" si="374"/>
        <v>0.54455255565457206</v>
      </c>
      <c r="AH197" s="697"/>
      <c r="AI197" s="707"/>
      <c r="AJ197" s="709">
        <f t="shared" ref="AJ197:AJ260" si="375">+X197</f>
        <v>0.40990464791149867</v>
      </c>
      <c r="AK197" s="710">
        <f t="shared" ref="AK197:AK260" si="376">+Y197</f>
        <v>0.43142464192685243</v>
      </c>
      <c r="AL197" s="710">
        <f t="shared" ref="AL197:AL260" si="377">+Z197</f>
        <v>0.45407443562801214</v>
      </c>
      <c r="AM197" s="710">
        <f t="shared" ref="AM197:AM260" si="378">+AA197</f>
        <v>0.4779133434984828</v>
      </c>
      <c r="AN197" s="710">
        <f t="shared" ref="AN197:AN260" si="379">+AB197</f>
        <v>0.50300379403215312</v>
      </c>
      <c r="AO197" s="711">
        <f t="shared" ref="AO197:AO260" si="380">+AC197</f>
        <v>0.51105185473666759</v>
      </c>
      <c r="AP197" s="707">
        <f t="shared" ref="AP197:AP260" si="381">+AD197</f>
        <v>0.51922868441245418</v>
      </c>
      <c r="AQ197" s="707">
        <f t="shared" ref="AQ197:AQ260" si="382">+AE197</f>
        <v>0.52753634336305355</v>
      </c>
      <c r="AR197" s="707">
        <f t="shared" ref="AR197:AR260" si="383">+AF197</f>
        <v>0.53597692485686244</v>
      </c>
      <c r="AS197" s="712">
        <f t="shared" ref="AS197:AS260" si="384">+AG197</f>
        <v>0.54455255565457206</v>
      </c>
      <c r="AV197" s="1559"/>
      <c r="AW197" s="1428" t="str">
        <f t="shared" si="332"/>
        <v>Rev</v>
      </c>
      <c r="AX197" s="1429" t="str">
        <f t="shared" si="332"/>
        <v>Trade Waste</v>
      </c>
      <c r="AY197" s="1430" t="str">
        <f t="shared" si="333"/>
        <v>Variable</v>
      </c>
      <c r="AZ197" s="1431">
        <f t="shared" si="334"/>
        <v>-0.17376486485915588</v>
      </c>
      <c r="BA197" s="1431">
        <f t="shared" si="334"/>
        <v>0.1673396223143826</v>
      </c>
      <c r="BB197" s="1431">
        <f t="shared" si="334"/>
        <v>2.3086562345876249E-2</v>
      </c>
      <c r="BC197" s="1431">
        <f t="shared" si="335"/>
        <v>4.5539916984974171E-2</v>
      </c>
      <c r="BD197" s="1431">
        <f t="shared" si="336"/>
        <v>0.20052289548390889</v>
      </c>
      <c r="BE197" s="1431">
        <f t="shared" si="337"/>
        <v>-0.21506961003416802</v>
      </c>
      <c r="BF197" s="1431">
        <f t="shared" si="338"/>
        <v>-7.0129195045076087E-2</v>
      </c>
      <c r="BG197" s="1432">
        <f t="shared" si="339"/>
        <v>4.4687590140761735E-3</v>
      </c>
      <c r="BH197" s="1431">
        <f t="shared" si="340"/>
        <v>0.2748098051268375</v>
      </c>
      <c r="BI197" s="1431">
        <f t="shared" si="341"/>
        <v>5.2500000000000213E-2</v>
      </c>
      <c r="BJ197" s="1431">
        <f t="shared" si="342"/>
        <v>5.2499999999999991E-2</v>
      </c>
      <c r="BK197" s="1431">
        <f t="shared" si="343"/>
        <v>5.2499999999999991E-2</v>
      </c>
      <c r="BL197" s="1433">
        <f t="shared" si="344"/>
        <v>5.2499999999999991E-2</v>
      </c>
      <c r="BM197" s="1431">
        <f t="shared" si="345"/>
        <v>1.6000000000000014E-2</v>
      </c>
      <c r="BN197" s="1431">
        <f t="shared" si="346"/>
        <v>1.5999999999999792E-2</v>
      </c>
      <c r="BO197" s="1431">
        <f t="shared" si="347"/>
        <v>1.6000000000000236E-2</v>
      </c>
      <c r="BP197" s="1431">
        <f t="shared" si="348"/>
        <v>1.6000000000000014E-2</v>
      </c>
      <c r="BQ197" s="1434">
        <f t="shared" si="349"/>
        <v>1.599999999999957E-2</v>
      </c>
      <c r="BR197" s="1378"/>
      <c r="BS197" s="1407"/>
      <c r="BT197" s="1408"/>
      <c r="BU197" s="1409"/>
      <c r="BV197" s="1410"/>
      <c r="BW197" s="1378"/>
      <c r="BX197" s="1428" t="str">
        <f t="shared" si="350"/>
        <v>Rev</v>
      </c>
      <c r="BY197" s="1429" t="str">
        <f t="shared" si="351"/>
        <v>Trade Waste</v>
      </c>
      <c r="BZ197" s="1430" t="str">
        <f t="shared" si="352"/>
        <v>Variable</v>
      </c>
      <c r="CA197" s="1435">
        <f t="shared" ref="CA197:CR197" si="385">IFERROR((P197/O197-1)*(O197/O$13),"-")</f>
        <v>-8.1601372195452284E-4</v>
      </c>
      <c r="CB197" s="1431">
        <f t="shared" si="385"/>
        <v>6.3286934381820599E-4</v>
      </c>
      <c r="CC197" s="1431">
        <f t="shared" si="385"/>
        <v>1.0376226335374072E-4</v>
      </c>
      <c r="CD197" s="1431">
        <f t="shared" si="385"/>
        <v>2.1328788355559858E-4</v>
      </c>
      <c r="CE197" s="1431">
        <f t="shared" si="385"/>
        <v>1.0163035394298685E-3</v>
      </c>
      <c r="CF197" s="1431">
        <f t="shared" si="385"/>
        <v>-1.2637672338211019E-3</v>
      </c>
      <c r="CG197" s="1431">
        <f t="shared" si="385"/>
        <v>-3.0787501597594229E-4</v>
      </c>
      <c r="CH197" s="1433">
        <f t="shared" si="385"/>
        <v>1.7414219770874194E-5</v>
      </c>
      <c r="CI197" s="1431">
        <f t="shared" si="385"/>
        <v>1.0953222772547683E-3</v>
      </c>
      <c r="CJ197" s="1431">
        <f t="shared" si="385"/>
        <v>2.4797526627306279E-4</v>
      </c>
      <c r="CK197" s="1431">
        <f t="shared" si="385"/>
        <v>2.4532732511526847E-4</v>
      </c>
      <c r="CL197" s="1431">
        <f t="shared" si="385"/>
        <v>2.4269729473732095E-4</v>
      </c>
      <c r="CM197" s="1433">
        <f t="shared" si="385"/>
        <v>2.4004222490952667E-4</v>
      </c>
      <c r="CN197" s="1431">
        <f t="shared" si="385"/>
        <v>7.2365951360431178E-5</v>
      </c>
      <c r="CO197" s="1431">
        <f t="shared" si="385"/>
        <v>7.1544040809210481E-5</v>
      </c>
      <c r="CP197" s="1431">
        <f t="shared" si="385"/>
        <v>7.0713293445326522E-5</v>
      </c>
      <c r="CQ197" s="1431">
        <f t="shared" si="385"/>
        <v>6.990024510754871E-5</v>
      </c>
      <c r="CR197" s="1434">
        <f t="shared" si="385"/>
        <v>6.9062729366640378E-5</v>
      </c>
      <c r="CS197" s="1378"/>
      <c r="CT197" s="1428" t="str">
        <f t="shared" si="328"/>
        <v>Rev</v>
      </c>
      <c r="CU197" s="1429" t="str">
        <f t="shared" si="329"/>
        <v>Trade Waste</v>
      </c>
      <c r="CV197" s="1429" t="str">
        <f t="shared" si="330"/>
        <v>Variable</v>
      </c>
      <c r="CW197" s="1435">
        <f t="shared" si="354"/>
        <v>0.1583338551108644</v>
      </c>
      <c r="CX197" s="1431">
        <f t="shared" si="355"/>
        <v>0.12192338754917276</v>
      </c>
      <c r="CY197" s="1431">
        <f t="shared" si="356"/>
        <v>0.10414961961872926</v>
      </c>
      <c r="CZ197" s="1434">
        <f t="shared" si="357"/>
        <v>9.3620802480568921E-2</v>
      </c>
      <c r="DA197" s="1431">
        <f t="shared" si="358"/>
        <v>8.0283941179451146E-2</v>
      </c>
      <c r="DB197" s="1431">
        <f t="shared" si="359"/>
        <v>7.085730631249243E-2</v>
      </c>
      <c r="DC197" s="1431">
        <f t="shared" si="360"/>
        <v>6.384135100105337E-2</v>
      </c>
      <c r="DD197" s="1431">
        <f t="shared" si="361"/>
        <v>5.8416291675429832E-2</v>
      </c>
      <c r="DE197" s="1434">
        <f t="shared" si="362"/>
        <v>5.4096169863195209E-2</v>
      </c>
      <c r="DF197" s="1378"/>
      <c r="DG197" s="1428" t="str">
        <f t="shared" si="363"/>
        <v>Rev</v>
      </c>
      <c r="DH197" s="1429" t="str">
        <f t="shared" si="363"/>
        <v>Trade Waste</v>
      </c>
      <c r="DI197" s="1429" t="str">
        <f t="shared" si="363"/>
        <v>Variable</v>
      </c>
      <c r="DJ197" s="1429"/>
      <c r="DK197" s="1435">
        <f t="shared" si="364"/>
        <v>5.2500000000000213E-2</v>
      </c>
      <c r="DL197" s="1431">
        <f t="shared" si="365"/>
        <v>5.2499999999999991E-2</v>
      </c>
      <c r="DM197" s="1431">
        <f t="shared" si="366"/>
        <v>5.2499999999999991E-2</v>
      </c>
      <c r="DN197" s="1433">
        <f t="shared" si="367"/>
        <v>4.5096576751770812E-2</v>
      </c>
      <c r="DO197" s="1431">
        <f t="shared" si="368"/>
        <v>4.0189915391222852E-2</v>
      </c>
      <c r="DP197" s="1431">
        <f t="shared" si="369"/>
        <v>3.6699267547711134E-2</v>
      </c>
      <c r="DQ197" s="1431">
        <f t="shared" si="370"/>
        <v>3.4088971027155024E-2</v>
      </c>
      <c r="DR197" s="1434">
        <f t="shared" si="371"/>
        <v>3.2063285160126576E-2</v>
      </c>
    </row>
    <row r="198" spans="4:122">
      <c r="D198" s="70">
        <f>D195+1</f>
        <v>45</v>
      </c>
      <c r="E198" s="713" t="s">
        <v>44</v>
      </c>
      <c r="F198" s="1532" t="s">
        <v>316</v>
      </c>
      <c r="G198" s="1532" t="s">
        <v>907</v>
      </c>
      <c r="H198" s="1532"/>
      <c r="I198" s="781" t="s">
        <v>320</v>
      </c>
      <c r="J198" s="781" t="s">
        <v>345</v>
      </c>
      <c r="K198" s="1533"/>
      <c r="L198" s="1534"/>
      <c r="M198" s="1534"/>
      <c r="N198" s="1535"/>
      <c r="O198" s="2071">
        <v>20.264874570135746</v>
      </c>
      <c r="P198" s="1547">
        <v>20.356016163410303</v>
      </c>
      <c r="Q198" s="1547">
        <v>20.447495705521472</v>
      </c>
      <c r="R198" s="1547">
        <v>20.539424614065179</v>
      </c>
      <c r="S198" s="1536">
        <v>20.631823155216281</v>
      </c>
      <c r="T198" s="1536">
        <v>20.724576271186439</v>
      </c>
      <c r="U198" s="1536">
        <v>20.81776402714932</v>
      </c>
      <c r="V198" s="1536">
        <v>20.911358296943227</v>
      </c>
      <c r="W198" s="1536">
        <v>21.005400000000002</v>
      </c>
      <c r="X198" s="1537">
        <v>22.108183500000003</v>
      </c>
      <c r="Y198" s="1538">
        <v>23.268863133750003</v>
      </c>
      <c r="Z198" s="1538">
        <v>24.490478448271876</v>
      </c>
      <c r="AA198" s="1538">
        <v>25.77622856680615</v>
      </c>
      <c r="AB198" s="1538">
        <v>27.129480566563473</v>
      </c>
      <c r="AC198" s="1537">
        <v>27.563552255628487</v>
      </c>
      <c r="AD198" s="1538">
        <v>28.004569091718544</v>
      </c>
      <c r="AE198" s="1538">
        <v>28.452642197186041</v>
      </c>
      <c r="AF198" s="1538">
        <v>28.907884472341017</v>
      </c>
      <c r="AG198" s="1539">
        <v>29.370410623898472</v>
      </c>
      <c r="AH198" s="697"/>
      <c r="AI198" s="707"/>
      <c r="AJ198" s="709">
        <f t="shared" si="375"/>
        <v>22.108183500000003</v>
      </c>
      <c r="AK198" s="710">
        <f t="shared" si="376"/>
        <v>23.268863133750003</v>
      </c>
      <c r="AL198" s="710">
        <f t="shared" si="377"/>
        <v>24.490478448271876</v>
      </c>
      <c r="AM198" s="710">
        <f t="shared" si="378"/>
        <v>25.77622856680615</v>
      </c>
      <c r="AN198" s="710">
        <f t="shared" si="379"/>
        <v>27.129480566563473</v>
      </c>
      <c r="AO198" s="711">
        <f t="shared" si="380"/>
        <v>27.563552255628487</v>
      </c>
      <c r="AP198" s="707">
        <f t="shared" si="381"/>
        <v>28.004569091718544</v>
      </c>
      <c r="AQ198" s="707">
        <f t="shared" si="382"/>
        <v>28.452642197186041</v>
      </c>
      <c r="AR198" s="707">
        <f t="shared" si="383"/>
        <v>28.907884472341017</v>
      </c>
      <c r="AS198" s="712">
        <f t="shared" si="384"/>
        <v>29.370410623898472</v>
      </c>
      <c r="AU198" s="1369"/>
      <c r="AV198" s="1559"/>
      <c r="AW198" s="1412" t="str">
        <f t="shared" si="332"/>
        <v>Price</v>
      </c>
      <c r="AX198" s="1413" t="str">
        <f t="shared" si="332"/>
        <v>Trade Waste</v>
      </c>
      <c r="AY198" s="1414" t="str">
        <f t="shared" si="333"/>
        <v>Variable</v>
      </c>
      <c r="AZ198" s="1415">
        <f t="shared" si="334"/>
        <v>4.4975157857070069E-3</v>
      </c>
      <c r="BA198" s="1415">
        <f t="shared" si="334"/>
        <v>4.4939806186439224E-3</v>
      </c>
      <c r="BB198" s="1415">
        <f t="shared" si="334"/>
        <v>4.4958517105291307E-3</v>
      </c>
      <c r="BC198" s="1415">
        <f t="shared" si="335"/>
        <v>4.498594429360514E-3</v>
      </c>
      <c r="BD198" s="1415">
        <f t="shared" si="336"/>
        <v>4.4956335304138229E-3</v>
      </c>
      <c r="BE198" s="1415">
        <f t="shared" si="337"/>
        <v>4.4964854645757057E-3</v>
      </c>
      <c r="BF198" s="1415">
        <f t="shared" si="338"/>
        <v>4.4958848448779509E-3</v>
      </c>
      <c r="BG198" s="1416">
        <f t="shared" si="339"/>
        <v>4.4971589947133683E-3</v>
      </c>
      <c r="BH198" s="1417">
        <f t="shared" si="340"/>
        <v>5.2499999999999991E-2</v>
      </c>
      <c r="BI198" s="1417">
        <f t="shared" si="341"/>
        <v>5.2499999999999991E-2</v>
      </c>
      <c r="BJ198" s="1417">
        <f t="shared" si="342"/>
        <v>5.2499999999999991E-2</v>
      </c>
      <c r="BK198" s="1417">
        <f t="shared" si="343"/>
        <v>5.2499999999999991E-2</v>
      </c>
      <c r="BL198" s="1418">
        <f t="shared" si="344"/>
        <v>5.2499999999999991E-2</v>
      </c>
      <c r="BM198" s="1417">
        <f t="shared" si="345"/>
        <v>1.6000000000000014E-2</v>
      </c>
      <c r="BN198" s="1417">
        <f t="shared" si="346"/>
        <v>1.6000000000000014E-2</v>
      </c>
      <c r="BO198" s="1417">
        <f t="shared" si="347"/>
        <v>1.6000000000000014E-2</v>
      </c>
      <c r="BP198" s="1417">
        <f t="shared" si="348"/>
        <v>1.6000000000000014E-2</v>
      </c>
      <c r="BQ198" s="1419">
        <f t="shared" si="349"/>
        <v>1.6000000000000014E-2</v>
      </c>
      <c r="BR198" s="1378"/>
      <c r="BS198" s="1420"/>
      <c r="BT198" s="1421"/>
      <c r="BU198" s="1422"/>
      <c r="BV198" s="1423"/>
      <c r="BW198" s="1378"/>
      <c r="BX198" s="1412" t="str">
        <f t="shared" si="350"/>
        <v>Price</v>
      </c>
      <c r="BY198" s="1413" t="str">
        <f t="shared" si="351"/>
        <v>Trade Waste</v>
      </c>
      <c r="BZ198" s="1414" t="str">
        <f t="shared" si="352"/>
        <v>Variable</v>
      </c>
      <c r="CA198" s="1424">
        <f t="shared" ref="CA198:CR198" si="386">IFERROR((P198/O198-1)*(O200/O$13),"-")</f>
        <v>4.6913822808073191E-5</v>
      </c>
      <c r="CB198" s="1415">
        <f t="shared" si="386"/>
        <v>3.6844603004020768E-5</v>
      </c>
      <c r="CC198" s="1415">
        <f t="shared" si="386"/>
        <v>3.0976575775098704E-5</v>
      </c>
      <c r="CD198" s="1415">
        <f t="shared" si="386"/>
        <v>4.1772484511661355E-5</v>
      </c>
      <c r="CE198" s="1415">
        <f t="shared" si="386"/>
        <v>4.8793350323169879E-5</v>
      </c>
      <c r="CF198" s="1415">
        <f t="shared" si="386"/>
        <v>4.862714787726342E-5</v>
      </c>
      <c r="CG198" s="1415">
        <f t="shared" si="386"/>
        <v>4.293844706393645E-5</v>
      </c>
      <c r="CH198" s="1425">
        <f t="shared" si="386"/>
        <v>3.1774702797130833E-5</v>
      </c>
      <c r="CI198" s="1417">
        <f t="shared" si="386"/>
        <v>3.7940884218402442E-4</v>
      </c>
      <c r="CJ198" s="1417">
        <f t="shared" si="386"/>
        <v>5.3612127084282427E-4</v>
      </c>
      <c r="CK198" s="1417">
        <f t="shared" si="386"/>
        <v>5.3039643545916171E-4</v>
      </c>
      <c r="CL198" s="1417">
        <f t="shared" si="386"/>
        <v>5.2471032309089102E-4</v>
      </c>
      <c r="CM198" s="1418">
        <f t="shared" si="386"/>
        <v>5.1897007555875988E-4</v>
      </c>
      <c r="CN198" s="1417">
        <f t="shared" si="386"/>
        <v>1.5645482064482406E-4</v>
      </c>
      <c r="CO198" s="1417">
        <f t="shared" si="386"/>
        <v>1.5467785419223516E-4</v>
      </c>
      <c r="CP198" s="1417">
        <f t="shared" si="386"/>
        <v>1.5288178259537915E-4</v>
      </c>
      <c r="CQ198" s="1417">
        <f t="shared" si="386"/>
        <v>1.511239762034079E-4</v>
      </c>
      <c r="CR198" s="1419">
        <f t="shared" si="386"/>
        <v>1.4931327140968386E-4</v>
      </c>
      <c r="CS198" s="1378"/>
      <c r="CT198" s="1412" t="str">
        <f t="shared" si="328"/>
        <v>Price</v>
      </c>
      <c r="CU198" s="1413" t="str">
        <f t="shared" si="329"/>
        <v>Trade Waste</v>
      </c>
      <c r="CV198" s="1426" t="str">
        <f t="shared" si="330"/>
        <v>Variable</v>
      </c>
      <c r="CW198" s="1427">
        <f t="shared" si="354"/>
        <v>5.2499999999999991E-2</v>
      </c>
      <c r="CX198" s="1417">
        <f t="shared" si="355"/>
        <v>5.2499999999999991E-2</v>
      </c>
      <c r="CY198" s="1417">
        <f t="shared" si="356"/>
        <v>5.2499999999999991E-2</v>
      </c>
      <c r="CZ198" s="1419">
        <f t="shared" si="357"/>
        <v>5.2499999999999991E-2</v>
      </c>
      <c r="DA198" s="1417">
        <f t="shared" si="358"/>
        <v>4.6326854261736994E-2</v>
      </c>
      <c r="DB198" s="1417">
        <f t="shared" si="359"/>
        <v>4.1939644324732628E-2</v>
      </c>
      <c r="DC198" s="1417">
        <f t="shared" si="360"/>
        <v>3.8661313083165672E-2</v>
      </c>
      <c r="DD198" s="1417">
        <f t="shared" si="361"/>
        <v>3.6118632816290797E-2</v>
      </c>
      <c r="DE198" s="1419">
        <f t="shared" si="362"/>
        <v>3.4088971027154802E-2</v>
      </c>
      <c r="DF198" s="1378"/>
      <c r="DG198" s="1412" t="str">
        <f t="shared" si="363"/>
        <v>Price</v>
      </c>
      <c r="DH198" s="1413" t="str">
        <f t="shared" si="363"/>
        <v>Trade Waste</v>
      </c>
      <c r="DI198" s="1426" t="str">
        <f t="shared" si="363"/>
        <v>Variable</v>
      </c>
      <c r="DJ198" s="1426"/>
      <c r="DK198" s="1427">
        <f t="shared" si="364"/>
        <v>5.2499999999999991E-2</v>
      </c>
      <c r="DL198" s="1417">
        <f t="shared" si="365"/>
        <v>5.2499999999999991E-2</v>
      </c>
      <c r="DM198" s="1417">
        <f t="shared" si="366"/>
        <v>5.2499999999999991E-2</v>
      </c>
      <c r="DN198" s="1418">
        <f t="shared" si="367"/>
        <v>4.5096576751770812E-2</v>
      </c>
      <c r="DO198" s="1417">
        <f t="shared" si="368"/>
        <v>4.0189915391222852E-2</v>
      </c>
      <c r="DP198" s="1417">
        <f t="shared" si="369"/>
        <v>3.6699267547710912E-2</v>
      </c>
      <c r="DQ198" s="1417">
        <f t="shared" si="370"/>
        <v>3.4088971027154802E-2</v>
      </c>
      <c r="DR198" s="1419">
        <f t="shared" si="371"/>
        <v>3.2063285160126576E-2</v>
      </c>
    </row>
    <row r="199" spans="4:122">
      <c r="E199" s="742" t="s">
        <v>45</v>
      </c>
      <c r="F199" s="722" t="str">
        <f>+F198</f>
        <v>Trade Waste</v>
      </c>
      <c r="G199" s="723" t="str">
        <f>+G198</f>
        <v>Major - Total Phosphorus</v>
      </c>
      <c r="H199" s="723">
        <f>+H198</f>
        <v>0</v>
      </c>
      <c r="I199" s="724" t="str">
        <f>+I198</f>
        <v>Variable</v>
      </c>
      <c r="J199" s="782" t="s">
        <v>221</v>
      </c>
      <c r="K199" s="1540"/>
      <c r="L199" s="1541"/>
      <c r="M199" s="1541"/>
      <c r="N199" s="1542"/>
      <c r="O199" s="2031">
        <v>38812.501818181823</v>
      </c>
      <c r="P199" s="1543">
        <v>31157.399999999994</v>
      </c>
      <c r="Q199" s="1543">
        <v>25605.010000000002</v>
      </c>
      <c r="R199" s="1543">
        <v>33727.754999999997</v>
      </c>
      <c r="S199" s="1543">
        <v>37918.353446498491</v>
      </c>
      <c r="T199" s="1543">
        <v>38947.461621838964</v>
      </c>
      <c r="U199" s="1543">
        <v>35974.9236646762</v>
      </c>
      <c r="V199" s="1543">
        <v>27755.236967892546</v>
      </c>
      <c r="W199" s="1543">
        <v>27755.236967892546</v>
      </c>
      <c r="X199" s="1544">
        <v>40085.236967892546</v>
      </c>
      <c r="Y199" s="1543">
        <v>40085.236967892546</v>
      </c>
      <c r="Z199" s="1543">
        <v>40085.236967892546</v>
      </c>
      <c r="AA199" s="1543">
        <v>40085.236967892546</v>
      </c>
      <c r="AB199" s="1543">
        <v>40085.236967892546</v>
      </c>
      <c r="AC199" s="1544">
        <v>40085.236967892546</v>
      </c>
      <c r="AD199" s="1543">
        <v>40085.236967892546</v>
      </c>
      <c r="AE199" s="1543">
        <v>40085.236967892546</v>
      </c>
      <c r="AF199" s="1543">
        <v>40085.236967892546</v>
      </c>
      <c r="AG199" s="1553">
        <v>40085.236967892546</v>
      </c>
      <c r="AH199" s="697"/>
      <c r="AI199" s="707"/>
      <c r="AJ199" s="709">
        <f t="shared" si="375"/>
        <v>40085.236967892546</v>
      </c>
      <c r="AK199" s="710">
        <f t="shared" si="376"/>
        <v>40085.236967892546</v>
      </c>
      <c r="AL199" s="710">
        <f t="shared" si="377"/>
        <v>40085.236967892546</v>
      </c>
      <c r="AM199" s="710">
        <f t="shared" si="378"/>
        <v>40085.236967892546</v>
      </c>
      <c r="AN199" s="710">
        <f t="shared" si="379"/>
        <v>40085.236967892546</v>
      </c>
      <c r="AO199" s="711">
        <f t="shared" si="380"/>
        <v>40085.236967892546</v>
      </c>
      <c r="AP199" s="707">
        <f t="shared" si="381"/>
        <v>40085.236967892546</v>
      </c>
      <c r="AQ199" s="707">
        <f t="shared" si="382"/>
        <v>40085.236967892546</v>
      </c>
      <c r="AR199" s="707">
        <f t="shared" si="383"/>
        <v>40085.236967892546</v>
      </c>
      <c r="AS199" s="712">
        <f t="shared" si="384"/>
        <v>40085.236967892546</v>
      </c>
      <c r="AV199" s="1559"/>
      <c r="AW199" s="1392" t="str">
        <f t="shared" si="332"/>
        <v>Qty</v>
      </c>
      <c r="AX199" s="1393" t="str">
        <f t="shared" si="332"/>
        <v>Trade Waste</v>
      </c>
      <c r="AY199" s="1394" t="str">
        <f t="shared" si="333"/>
        <v>Variable</v>
      </c>
      <c r="AZ199" s="1395">
        <f t="shared" si="334"/>
        <v>-0.19723288784738369</v>
      </c>
      <c r="BA199" s="1395">
        <f t="shared" si="334"/>
        <v>-0.17820453568012717</v>
      </c>
      <c r="BB199" s="1395">
        <f t="shared" si="334"/>
        <v>0.31723264314288468</v>
      </c>
      <c r="BC199" s="1395">
        <f t="shared" si="335"/>
        <v>0.12424777298395617</v>
      </c>
      <c r="BD199" s="1395">
        <f t="shared" si="336"/>
        <v>2.7140107146068626E-2</v>
      </c>
      <c r="BE199" s="1395">
        <f t="shared" si="337"/>
        <v>-7.6321737884349705E-2</v>
      </c>
      <c r="BF199" s="1395">
        <f t="shared" si="338"/>
        <v>-0.22848378424370552</v>
      </c>
      <c r="BG199" s="1396">
        <f t="shared" si="339"/>
        <v>0</v>
      </c>
      <c r="BH199" s="1395">
        <f t="shared" si="340"/>
        <v>0.44424048745335631</v>
      </c>
      <c r="BI199" s="1395">
        <f t="shared" si="341"/>
        <v>0</v>
      </c>
      <c r="BJ199" s="1395">
        <f t="shared" si="342"/>
        <v>0</v>
      </c>
      <c r="BK199" s="1395">
        <f t="shared" si="343"/>
        <v>0</v>
      </c>
      <c r="BL199" s="1397">
        <f t="shared" si="344"/>
        <v>0</v>
      </c>
      <c r="BM199" s="1395">
        <f t="shared" si="345"/>
        <v>0</v>
      </c>
      <c r="BN199" s="1395">
        <f t="shared" si="346"/>
        <v>0</v>
      </c>
      <c r="BO199" s="1395">
        <f t="shared" si="347"/>
        <v>0</v>
      </c>
      <c r="BP199" s="1395">
        <f t="shared" si="348"/>
        <v>0</v>
      </c>
      <c r="BQ199" s="1398">
        <f t="shared" si="349"/>
        <v>0</v>
      </c>
      <c r="BR199" s="1378"/>
      <c r="BS199" s="1329"/>
      <c r="BT199" s="1399"/>
      <c r="BU199" s="1331"/>
      <c r="BV199" s="1400"/>
      <c r="BW199" s="1378"/>
      <c r="BX199" s="1392" t="str">
        <f t="shared" si="350"/>
        <v>Qty</v>
      </c>
      <c r="BY199" s="1393" t="str">
        <f t="shared" si="351"/>
        <v>Trade Waste</v>
      </c>
      <c r="BZ199" s="1394" t="str">
        <f t="shared" si="352"/>
        <v>Variable</v>
      </c>
      <c r="CA199" s="1401">
        <f t="shared" ref="CA199:CR199" si="387">IFERROR((P199/O199-1)*(O200/O$13),"-")</f>
        <v>-2.0573465871542621E-3</v>
      </c>
      <c r="CB199" s="1395">
        <f t="shared" si="387"/>
        <v>-1.461037758687847E-3</v>
      </c>
      <c r="CC199" s="1395">
        <f t="shared" si="387"/>
        <v>2.1857440239046204E-3</v>
      </c>
      <c r="CD199" s="1395">
        <f t="shared" si="387"/>
        <v>1.1537244030506025E-3</v>
      </c>
      <c r="CE199" s="1395">
        <f t="shared" si="387"/>
        <v>2.9456510341148624E-4</v>
      </c>
      <c r="CF199" s="1395">
        <f t="shared" si="387"/>
        <v>-8.2537983578297072E-4</v>
      </c>
      <c r="CG199" s="1395">
        <f t="shared" si="387"/>
        <v>-2.1821597334489907E-3</v>
      </c>
      <c r="CH199" s="1397">
        <f t="shared" si="387"/>
        <v>0</v>
      </c>
      <c r="CI199" s="1395">
        <f t="shared" si="387"/>
        <v>3.2104527427798965E-3</v>
      </c>
      <c r="CJ199" s="1395">
        <f t="shared" si="387"/>
        <v>0</v>
      </c>
      <c r="CK199" s="1395">
        <f t="shared" si="387"/>
        <v>0</v>
      </c>
      <c r="CL199" s="1395">
        <f t="shared" si="387"/>
        <v>0</v>
      </c>
      <c r="CM199" s="1397">
        <f t="shared" si="387"/>
        <v>0</v>
      </c>
      <c r="CN199" s="1395">
        <f t="shared" si="387"/>
        <v>0</v>
      </c>
      <c r="CO199" s="1395">
        <f t="shared" si="387"/>
        <v>0</v>
      </c>
      <c r="CP199" s="1395">
        <f t="shared" si="387"/>
        <v>0</v>
      </c>
      <c r="CQ199" s="1395">
        <f t="shared" si="387"/>
        <v>0</v>
      </c>
      <c r="CR199" s="1398">
        <f t="shared" si="387"/>
        <v>0</v>
      </c>
      <c r="CS199" s="1378"/>
      <c r="CT199" s="1392" t="str">
        <f t="shared" si="328"/>
        <v>Qty</v>
      </c>
      <c r="CU199" s="1393" t="str">
        <f t="shared" si="329"/>
        <v>Trade Waste</v>
      </c>
      <c r="CV199" s="1393" t="str">
        <f t="shared" si="330"/>
        <v>Variable</v>
      </c>
      <c r="CW199" s="1401">
        <f t="shared" si="354"/>
        <v>0.20176557092194836</v>
      </c>
      <c r="CX199" s="1395">
        <f t="shared" si="355"/>
        <v>0.13035060711966828</v>
      </c>
      <c r="CY199" s="1395">
        <f t="shared" si="356"/>
        <v>9.6250687991550787E-2</v>
      </c>
      <c r="CZ199" s="1398">
        <f t="shared" si="357"/>
        <v>7.6286525394093863E-2</v>
      </c>
      <c r="DA199" s="1395">
        <f t="shared" si="358"/>
        <v>6.3179480200623583E-2</v>
      </c>
      <c r="DB199" s="1395">
        <f t="shared" si="359"/>
        <v>5.3915144118444225E-2</v>
      </c>
      <c r="DC199" s="1395">
        <f t="shared" si="360"/>
        <v>4.7019908116149756E-2</v>
      </c>
      <c r="DD199" s="1395">
        <f t="shared" si="361"/>
        <v>4.1688150508510269E-2</v>
      </c>
      <c r="DE199" s="1398">
        <f t="shared" si="362"/>
        <v>3.7442299790255262E-2</v>
      </c>
      <c r="DF199" s="1378"/>
      <c r="DG199" s="1392" t="str">
        <f t="shared" si="363"/>
        <v>Qty</v>
      </c>
      <c r="DH199" s="1393" t="str">
        <f t="shared" si="363"/>
        <v>Trade Waste</v>
      </c>
      <c r="DI199" s="1393" t="str">
        <f t="shared" si="363"/>
        <v>Variable</v>
      </c>
      <c r="DJ199" s="1393"/>
      <c r="DK199" s="1401">
        <f t="shared" si="364"/>
        <v>0</v>
      </c>
      <c r="DL199" s="1395">
        <f t="shared" si="365"/>
        <v>0</v>
      </c>
      <c r="DM199" s="1395">
        <f t="shared" si="366"/>
        <v>0</v>
      </c>
      <c r="DN199" s="1397">
        <f t="shared" si="367"/>
        <v>0</v>
      </c>
      <c r="DO199" s="1395">
        <f t="shared" si="368"/>
        <v>0</v>
      </c>
      <c r="DP199" s="1395">
        <f t="shared" si="369"/>
        <v>0</v>
      </c>
      <c r="DQ199" s="1395">
        <f t="shared" si="370"/>
        <v>0</v>
      </c>
      <c r="DR199" s="1398">
        <f t="shared" si="371"/>
        <v>0</v>
      </c>
    </row>
    <row r="200" spans="4:122" ht="12.75" thickBot="1">
      <c r="E200" s="743" t="s">
        <v>46</v>
      </c>
      <c r="F200" s="732" t="str">
        <f>+F198</f>
        <v>Trade Waste</v>
      </c>
      <c r="G200" s="733" t="str">
        <f>+G198</f>
        <v>Major - Total Phosphorus</v>
      </c>
      <c r="H200" s="733">
        <f>+H198</f>
        <v>0</v>
      </c>
      <c r="I200" s="734" t="str">
        <f>+I198</f>
        <v>Variable</v>
      </c>
      <c r="J200" s="735" t="s">
        <v>344</v>
      </c>
      <c r="K200" s="736">
        <f t="shared" ref="K200:AG200" si="388">K198*K199/10^6</f>
        <v>0</v>
      </c>
      <c r="L200" s="737">
        <f t="shared" si="388"/>
        <v>0</v>
      </c>
      <c r="M200" s="737">
        <f t="shared" si="388"/>
        <v>0</v>
      </c>
      <c r="N200" s="738">
        <f t="shared" si="388"/>
        <v>0</v>
      </c>
      <c r="O200" s="1923">
        <f t="shared" si="388"/>
        <v>0.78653048109862023</v>
      </c>
      <c r="P200" s="737">
        <f t="shared" si="388"/>
        <v>0.63424053800984004</v>
      </c>
      <c r="Q200" s="737">
        <f t="shared" si="388"/>
        <v>0.52355833201483437</v>
      </c>
      <c r="R200" s="737">
        <f t="shared" si="388"/>
        <v>0.69274868122415989</v>
      </c>
      <c r="S200" s="737">
        <f t="shared" si="388"/>
        <v>0.78232476264514261</v>
      </c>
      <c r="T200" s="1531">
        <f t="shared" si="388"/>
        <v>0.80716963895090832</v>
      </c>
      <c r="U200" s="737">
        <f t="shared" si="388"/>
        <v>0.74891747174593903</v>
      </c>
      <c r="V200" s="737">
        <f t="shared" si="388"/>
        <v>0.58039970485216519</v>
      </c>
      <c r="W200" s="737">
        <f t="shared" si="388"/>
        <v>0.58300985460537014</v>
      </c>
      <c r="X200" s="738">
        <f t="shared" si="388"/>
        <v>0.88621177452715205</v>
      </c>
      <c r="Y200" s="737">
        <f t="shared" si="388"/>
        <v>0.93273789268982754</v>
      </c>
      <c r="Z200" s="737">
        <f t="shared" si="388"/>
        <v>0.98170663205604347</v>
      </c>
      <c r="AA200" s="737">
        <f t="shared" si="388"/>
        <v>1.0332462302389858</v>
      </c>
      <c r="AB200" s="737">
        <f t="shared" si="388"/>
        <v>1.0874916573265325</v>
      </c>
      <c r="AC200" s="738">
        <f t="shared" si="388"/>
        <v>1.1048915238437571</v>
      </c>
      <c r="AD200" s="737">
        <f t="shared" si="388"/>
        <v>1.122569788225257</v>
      </c>
      <c r="AE200" s="737">
        <f t="shared" si="388"/>
        <v>1.1405309048368613</v>
      </c>
      <c r="AF200" s="737">
        <f t="shared" si="388"/>
        <v>1.158779399314251</v>
      </c>
      <c r="AG200" s="739">
        <f t="shared" si="388"/>
        <v>1.1773198697032792</v>
      </c>
      <c r="AH200" s="697"/>
      <c r="AI200" s="707"/>
      <c r="AJ200" s="709">
        <f t="shared" si="375"/>
        <v>0.88621177452715205</v>
      </c>
      <c r="AK200" s="710">
        <f t="shared" si="376"/>
        <v>0.93273789268982754</v>
      </c>
      <c r="AL200" s="710">
        <f t="shared" si="377"/>
        <v>0.98170663205604347</v>
      </c>
      <c r="AM200" s="710">
        <f t="shared" si="378"/>
        <v>1.0332462302389858</v>
      </c>
      <c r="AN200" s="710">
        <f t="shared" si="379"/>
        <v>1.0874916573265325</v>
      </c>
      <c r="AO200" s="711">
        <f t="shared" si="380"/>
        <v>1.1048915238437571</v>
      </c>
      <c r="AP200" s="707">
        <f t="shared" si="381"/>
        <v>1.122569788225257</v>
      </c>
      <c r="AQ200" s="707">
        <f t="shared" si="382"/>
        <v>1.1405309048368613</v>
      </c>
      <c r="AR200" s="707">
        <f t="shared" si="383"/>
        <v>1.158779399314251</v>
      </c>
      <c r="AS200" s="712">
        <f t="shared" si="384"/>
        <v>1.1773198697032792</v>
      </c>
      <c r="AV200" s="1559"/>
      <c r="AW200" s="1428" t="str">
        <f t="shared" si="332"/>
        <v>Rev</v>
      </c>
      <c r="AX200" s="1429" t="str">
        <f t="shared" si="332"/>
        <v>Trade Waste</v>
      </c>
      <c r="AY200" s="1430" t="str">
        <f t="shared" si="333"/>
        <v>Variable</v>
      </c>
      <c r="AZ200" s="1431">
        <f t="shared" si="334"/>
        <v>-0.19362243008823088</v>
      </c>
      <c r="BA200" s="1431">
        <f t="shared" si="334"/>
        <v>-0.17451140279098409</v>
      </c>
      <c r="BB200" s="1431">
        <f t="shared" si="334"/>
        <v>0.32315472577472359</v>
      </c>
      <c r="BC200" s="1431">
        <f t="shared" si="335"/>
        <v>0.12930530775272264</v>
      </c>
      <c r="BD200" s="1431">
        <f t="shared" si="336"/>
        <v>3.1757752652187499E-2</v>
      </c>
      <c r="BE200" s="1431">
        <f t="shared" si="337"/>
        <v>-7.2168432004802052E-2</v>
      </c>
      <c r="BF200" s="1431">
        <f t="shared" si="338"/>
        <v>-0.22501513618170921</v>
      </c>
      <c r="BG200" s="1432">
        <f t="shared" si="339"/>
        <v>4.4971589947133683E-3</v>
      </c>
      <c r="BH200" s="1431">
        <f t="shared" si="340"/>
        <v>0.52006311304465735</v>
      </c>
      <c r="BI200" s="1431">
        <f t="shared" si="341"/>
        <v>5.2499999999999991E-2</v>
      </c>
      <c r="BJ200" s="1431">
        <f t="shared" si="342"/>
        <v>5.2499999999999991E-2</v>
      </c>
      <c r="BK200" s="1431">
        <f t="shared" si="343"/>
        <v>5.2499999999999991E-2</v>
      </c>
      <c r="BL200" s="1433">
        <f t="shared" si="344"/>
        <v>5.2499999999999991E-2</v>
      </c>
      <c r="BM200" s="1431">
        <f t="shared" si="345"/>
        <v>1.6000000000000014E-2</v>
      </c>
      <c r="BN200" s="1431">
        <f t="shared" si="346"/>
        <v>1.5999999999999792E-2</v>
      </c>
      <c r="BO200" s="1431">
        <f t="shared" si="347"/>
        <v>1.6000000000000236E-2</v>
      </c>
      <c r="BP200" s="1431">
        <f t="shared" si="348"/>
        <v>1.6000000000000014E-2</v>
      </c>
      <c r="BQ200" s="1434">
        <f t="shared" si="349"/>
        <v>1.6000000000000236E-2</v>
      </c>
      <c r="BR200" s="1378"/>
      <c r="BS200" s="1407"/>
      <c r="BT200" s="1408"/>
      <c r="BU200" s="1409"/>
      <c r="BV200" s="1410"/>
      <c r="BW200" s="1378"/>
      <c r="BX200" s="1428" t="str">
        <f t="shared" si="350"/>
        <v>Rev</v>
      </c>
      <c r="BY200" s="1429" t="str">
        <f t="shared" si="351"/>
        <v>Trade Waste</v>
      </c>
      <c r="BZ200" s="1430" t="str">
        <f t="shared" si="352"/>
        <v>Variable</v>
      </c>
      <c r="CA200" s="1435">
        <f t="shared" ref="CA200:CR200" si="389">IFERROR((P200/O200-1)*(O200/O$13),"-")</f>
        <v>-2.0196857130985856E-3</v>
      </c>
      <c r="CB200" s="1431">
        <f t="shared" si="389"/>
        <v>-1.4307590310544756E-3</v>
      </c>
      <c r="CC200" s="1431">
        <f t="shared" si="389"/>
        <v>2.2265473806883707E-3</v>
      </c>
      <c r="CD200" s="1431">
        <f t="shared" si="389"/>
        <v>1.2006870257348435E-3</v>
      </c>
      <c r="CE200" s="1431">
        <f t="shared" si="389"/>
        <v>3.4468271049044433E-4</v>
      </c>
      <c r="CF200" s="1431">
        <f t="shared" si="389"/>
        <v>-7.8046399634005843E-4</v>
      </c>
      <c r="CG200" s="1431">
        <f t="shared" si="389"/>
        <v>-2.1490320252597703E-3</v>
      </c>
      <c r="CH200" s="1433">
        <f t="shared" si="389"/>
        <v>3.1774702797130833E-5</v>
      </c>
      <c r="CI200" s="1431">
        <f t="shared" si="389"/>
        <v>3.7584103539598642E-3</v>
      </c>
      <c r="CJ200" s="1431">
        <f t="shared" si="389"/>
        <v>5.3612127084282427E-4</v>
      </c>
      <c r="CK200" s="1431">
        <f t="shared" si="389"/>
        <v>5.3039643545916171E-4</v>
      </c>
      <c r="CL200" s="1431">
        <f t="shared" si="389"/>
        <v>5.2471032309089102E-4</v>
      </c>
      <c r="CM200" s="1433">
        <f t="shared" si="389"/>
        <v>5.1897007555875988E-4</v>
      </c>
      <c r="CN200" s="1431">
        <f t="shared" si="389"/>
        <v>1.5645482064482406E-4</v>
      </c>
      <c r="CO200" s="1431">
        <f t="shared" si="389"/>
        <v>1.5467785419223299E-4</v>
      </c>
      <c r="CP200" s="1431">
        <f t="shared" si="389"/>
        <v>1.5288178259538127E-4</v>
      </c>
      <c r="CQ200" s="1431">
        <f t="shared" si="389"/>
        <v>1.511239762034079E-4</v>
      </c>
      <c r="CR200" s="1434">
        <f t="shared" si="389"/>
        <v>1.4931327140968594E-4</v>
      </c>
      <c r="CS200" s="1378"/>
      <c r="CT200" s="1428" t="str">
        <f t="shared" si="328"/>
        <v>Rev</v>
      </c>
      <c r="CU200" s="1429" t="str">
        <f t="shared" si="329"/>
        <v>Trade Waste</v>
      </c>
      <c r="CV200" s="1429" t="str">
        <f t="shared" si="330"/>
        <v>Variable</v>
      </c>
      <c r="CW200" s="1435">
        <f t="shared" si="354"/>
        <v>0.26485826339535046</v>
      </c>
      <c r="CX200" s="1431">
        <f t="shared" si="355"/>
        <v>0.18969401399345087</v>
      </c>
      <c r="CY200" s="1431">
        <f t="shared" si="356"/>
        <v>0.15380384911110712</v>
      </c>
      <c r="CZ200" s="1434">
        <f t="shared" si="357"/>
        <v>0.13279156797728375</v>
      </c>
      <c r="DA200" s="1431">
        <f t="shared" si="358"/>
        <v>0.11243324103394725</v>
      </c>
      <c r="DB200" s="1431">
        <f t="shared" si="359"/>
        <v>9.811597041122111E-2</v>
      </c>
      <c r="DC200" s="1431">
        <f t="shared" si="360"/>
        <v>8.7499072588135496E-2</v>
      </c>
      <c r="DD200" s="1431">
        <f t="shared" si="361"/>
        <v>7.931250232580811E-2</v>
      </c>
      <c r="DE200" s="1434">
        <f t="shared" si="362"/>
        <v>7.2807640290150299E-2</v>
      </c>
      <c r="DF200" s="1378"/>
      <c r="DG200" s="1428" t="str">
        <f t="shared" si="363"/>
        <v>Rev</v>
      </c>
      <c r="DH200" s="1429" t="str">
        <f t="shared" si="363"/>
        <v>Trade Waste</v>
      </c>
      <c r="DI200" s="1429" t="str">
        <f t="shared" si="363"/>
        <v>Variable</v>
      </c>
      <c r="DJ200" s="1429"/>
      <c r="DK200" s="1435">
        <f t="shared" si="364"/>
        <v>5.2499999999999991E-2</v>
      </c>
      <c r="DL200" s="1431">
        <f t="shared" si="365"/>
        <v>5.2499999999999991E-2</v>
      </c>
      <c r="DM200" s="1431">
        <f t="shared" si="366"/>
        <v>5.2499999999999991E-2</v>
      </c>
      <c r="DN200" s="1433">
        <f t="shared" si="367"/>
        <v>4.5096576751770812E-2</v>
      </c>
      <c r="DO200" s="1431">
        <f t="shared" si="368"/>
        <v>4.0189915391222852E-2</v>
      </c>
      <c r="DP200" s="1431">
        <f t="shared" si="369"/>
        <v>3.6699267547711134E-2</v>
      </c>
      <c r="DQ200" s="1431">
        <f t="shared" si="370"/>
        <v>3.4088971027154802E-2</v>
      </c>
      <c r="DR200" s="1434">
        <f t="shared" si="371"/>
        <v>3.2063285160126576E-2</v>
      </c>
    </row>
    <row r="201" spans="4:122">
      <c r="D201" s="70">
        <f>D198+1</f>
        <v>46</v>
      </c>
      <c r="E201" s="713" t="s">
        <v>44</v>
      </c>
      <c r="F201" s="1532" t="s">
        <v>316</v>
      </c>
      <c r="G201" s="1532" t="s">
        <v>908</v>
      </c>
      <c r="H201" s="1532"/>
      <c r="I201" s="781" t="s">
        <v>320</v>
      </c>
      <c r="J201" s="781" t="s">
        <v>345</v>
      </c>
      <c r="K201" s="1533"/>
      <c r="L201" s="1534"/>
      <c r="M201" s="1534"/>
      <c r="N201" s="1535"/>
      <c r="O201" s="2071">
        <v>0.13828072398190044</v>
      </c>
      <c r="P201" s="1547">
        <v>0.13882566607460034</v>
      </c>
      <c r="Q201" s="1547">
        <v>0.1393435582822086</v>
      </c>
      <c r="R201" s="1547">
        <v>0.13985531732418524</v>
      </c>
      <c r="S201" s="1536">
        <v>0.14046132315521628</v>
      </c>
      <c r="T201" s="1536">
        <v>0.14104067796610167</v>
      </c>
      <c r="U201" s="1536">
        <v>0.14165497737556562</v>
      </c>
      <c r="V201" s="1536">
        <v>0.14223602620087333</v>
      </c>
      <c r="W201" s="1536">
        <v>0.14280000000000001</v>
      </c>
      <c r="X201" s="1537">
        <v>0.15029700000000001</v>
      </c>
      <c r="Y201" s="1538">
        <v>0.1581875925</v>
      </c>
      <c r="Z201" s="1538">
        <v>0.16649244110625</v>
      </c>
      <c r="AA201" s="1538">
        <v>0.17523329426432813</v>
      </c>
      <c r="AB201" s="1538">
        <v>0.18443304221320536</v>
      </c>
      <c r="AC201" s="1537">
        <v>0.18738397088861666</v>
      </c>
      <c r="AD201" s="1538">
        <v>0.19038211442283454</v>
      </c>
      <c r="AE201" s="1538">
        <v>0.1934282282535999</v>
      </c>
      <c r="AF201" s="1538">
        <v>0.19652307990565751</v>
      </c>
      <c r="AG201" s="1539">
        <v>0.19966744918414803</v>
      </c>
      <c r="AH201" s="697"/>
      <c r="AI201" s="707"/>
      <c r="AJ201" s="709">
        <f t="shared" si="375"/>
        <v>0.15029700000000001</v>
      </c>
      <c r="AK201" s="710">
        <f t="shared" si="376"/>
        <v>0.1581875925</v>
      </c>
      <c r="AL201" s="710">
        <f t="shared" si="377"/>
        <v>0.16649244110625</v>
      </c>
      <c r="AM201" s="710">
        <f t="shared" si="378"/>
        <v>0.17523329426432813</v>
      </c>
      <c r="AN201" s="710">
        <f t="shared" si="379"/>
        <v>0.18443304221320536</v>
      </c>
      <c r="AO201" s="711">
        <f t="shared" si="380"/>
        <v>0.18738397088861666</v>
      </c>
      <c r="AP201" s="707">
        <f t="shared" si="381"/>
        <v>0.19038211442283454</v>
      </c>
      <c r="AQ201" s="707">
        <f t="shared" si="382"/>
        <v>0.1934282282535999</v>
      </c>
      <c r="AR201" s="707">
        <f t="shared" si="383"/>
        <v>0.19652307990565751</v>
      </c>
      <c r="AS201" s="712">
        <f t="shared" si="384"/>
        <v>0.19966744918414803</v>
      </c>
      <c r="AU201" s="1369"/>
      <c r="AV201" s="1559"/>
      <c r="AW201" s="1412" t="str">
        <f t="shared" si="332"/>
        <v>Price</v>
      </c>
      <c r="AX201" s="1413" t="str">
        <f t="shared" si="332"/>
        <v>Trade Waste</v>
      </c>
      <c r="AY201" s="1414" t="str">
        <f t="shared" si="333"/>
        <v>Variable</v>
      </c>
      <c r="AZ201" s="1415">
        <f t="shared" si="334"/>
        <v>3.9408391640416429E-3</v>
      </c>
      <c r="BA201" s="1415">
        <f t="shared" si="334"/>
        <v>3.7305220443166753E-3</v>
      </c>
      <c r="BB201" s="1415">
        <f t="shared" si="334"/>
        <v>3.6726422684010274E-3</v>
      </c>
      <c r="BC201" s="1415">
        <f t="shared" si="335"/>
        <v>4.3330911017585017E-3</v>
      </c>
      <c r="BD201" s="1415">
        <f t="shared" si="336"/>
        <v>4.1246572214415078E-3</v>
      </c>
      <c r="BE201" s="1415">
        <f t="shared" si="337"/>
        <v>4.3554768618709883E-3</v>
      </c>
      <c r="BF201" s="1415">
        <f t="shared" si="338"/>
        <v>4.1018595750941245E-3</v>
      </c>
      <c r="BG201" s="1416">
        <f t="shared" si="339"/>
        <v>3.9650559298542998E-3</v>
      </c>
      <c r="BH201" s="1417">
        <f t="shared" si="340"/>
        <v>5.2499999999999991E-2</v>
      </c>
      <c r="BI201" s="1417">
        <f t="shared" si="341"/>
        <v>5.2499999999999991E-2</v>
      </c>
      <c r="BJ201" s="1417">
        <f t="shared" si="342"/>
        <v>5.2499999999999991E-2</v>
      </c>
      <c r="BK201" s="1417">
        <f t="shared" si="343"/>
        <v>5.2499999999999991E-2</v>
      </c>
      <c r="BL201" s="1418">
        <f t="shared" si="344"/>
        <v>5.2499999999999991E-2</v>
      </c>
      <c r="BM201" s="1417">
        <f t="shared" si="345"/>
        <v>1.6000000000000014E-2</v>
      </c>
      <c r="BN201" s="1417">
        <f t="shared" si="346"/>
        <v>1.6000000000000014E-2</v>
      </c>
      <c r="BO201" s="1417">
        <f t="shared" si="347"/>
        <v>1.6000000000000014E-2</v>
      </c>
      <c r="BP201" s="1417">
        <f t="shared" si="348"/>
        <v>1.6000000000000014E-2</v>
      </c>
      <c r="BQ201" s="1419">
        <f t="shared" si="349"/>
        <v>1.6000000000000014E-2</v>
      </c>
      <c r="BR201" s="1378"/>
      <c r="BS201" s="1420"/>
      <c r="BT201" s="1421"/>
      <c r="BU201" s="1422"/>
      <c r="BV201" s="1423"/>
      <c r="BW201" s="1378"/>
      <c r="BX201" s="1412" t="str">
        <f t="shared" si="350"/>
        <v>Price</v>
      </c>
      <c r="BY201" s="1413" t="str">
        <f t="shared" si="351"/>
        <v>Trade Waste</v>
      </c>
      <c r="BZ201" s="1414" t="str">
        <f t="shared" si="352"/>
        <v>Variable</v>
      </c>
      <c r="CA201" s="1424">
        <f t="shared" ref="CA201:CR201" si="390">IFERROR((P201/O201-1)*(O203/O$13),"-")</f>
        <v>1.537881052862614E-5</v>
      </c>
      <c r="CB201" s="1415">
        <f t="shared" si="390"/>
        <v>1.3094518654592214E-5</v>
      </c>
      <c r="CC201" s="1415">
        <f t="shared" si="390"/>
        <v>1.4331171768841383E-5</v>
      </c>
      <c r="CD201" s="1415">
        <f t="shared" si="390"/>
        <v>1.6819548930511095E-5</v>
      </c>
      <c r="CE201" s="1415">
        <f t="shared" si="390"/>
        <v>1.4893824918501974E-5</v>
      </c>
      <c r="CF201" s="1415">
        <f t="shared" si="390"/>
        <v>1.5869963953522954E-5</v>
      </c>
      <c r="CG201" s="1415">
        <f t="shared" si="390"/>
        <v>1.4422025518749149E-5</v>
      </c>
      <c r="CH201" s="1425">
        <f t="shared" si="390"/>
        <v>1.1998736823344517E-5</v>
      </c>
      <c r="CI201" s="1417">
        <f t="shared" si="390"/>
        <v>1.624128125487625E-4</v>
      </c>
      <c r="CJ201" s="1417">
        <f t="shared" si="390"/>
        <v>1.5890456065989755E-4</v>
      </c>
      <c r="CK201" s="1417">
        <f t="shared" si="390"/>
        <v>1.5720773850236403E-4</v>
      </c>
      <c r="CL201" s="1417">
        <f t="shared" si="390"/>
        <v>1.5552239371773648E-4</v>
      </c>
      <c r="CM201" s="1418">
        <f t="shared" si="390"/>
        <v>1.5382100345068291E-4</v>
      </c>
      <c r="CN201" s="1417">
        <f t="shared" si="390"/>
        <v>4.6372688214002045E-5</v>
      </c>
      <c r="CO201" s="1417">
        <f t="shared" si="390"/>
        <v>4.584600127055712E-5</v>
      </c>
      <c r="CP201" s="1417">
        <f t="shared" si="390"/>
        <v>4.5313651625926467E-5</v>
      </c>
      <c r="CQ201" s="1417">
        <f t="shared" si="390"/>
        <v>4.4792643660690842E-5</v>
      </c>
      <c r="CR201" s="1419">
        <f t="shared" si="390"/>
        <v>4.425595678520248E-5</v>
      </c>
      <c r="CS201" s="1378"/>
      <c r="CT201" s="1412" t="str">
        <f t="shared" si="328"/>
        <v>Price</v>
      </c>
      <c r="CU201" s="1413" t="str">
        <f t="shared" si="329"/>
        <v>Trade Waste</v>
      </c>
      <c r="CV201" s="1426" t="str">
        <f t="shared" si="330"/>
        <v>Variable</v>
      </c>
      <c r="CW201" s="1427">
        <f t="shared" si="354"/>
        <v>5.2499999999999991E-2</v>
      </c>
      <c r="CX201" s="1417">
        <f t="shared" si="355"/>
        <v>5.2499999999999991E-2</v>
      </c>
      <c r="CY201" s="1417">
        <f t="shared" si="356"/>
        <v>5.2499999999999991E-2</v>
      </c>
      <c r="CZ201" s="1419">
        <f t="shared" si="357"/>
        <v>5.2499999999999991E-2</v>
      </c>
      <c r="DA201" s="1417">
        <f t="shared" si="358"/>
        <v>4.6326854261736994E-2</v>
      </c>
      <c r="DB201" s="1417">
        <f t="shared" si="359"/>
        <v>4.1939644324732628E-2</v>
      </c>
      <c r="DC201" s="1417">
        <f t="shared" si="360"/>
        <v>3.8661313083165672E-2</v>
      </c>
      <c r="DD201" s="1417">
        <f t="shared" si="361"/>
        <v>3.6118632816290797E-2</v>
      </c>
      <c r="DE201" s="1419">
        <f t="shared" si="362"/>
        <v>3.4088971027155024E-2</v>
      </c>
      <c r="DF201" s="1378"/>
      <c r="DG201" s="1412" t="str">
        <f t="shared" si="363"/>
        <v>Price</v>
      </c>
      <c r="DH201" s="1413" t="str">
        <f t="shared" si="363"/>
        <v>Trade Waste</v>
      </c>
      <c r="DI201" s="1426" t="str">
        <f t="shared" si="363"/>
        <v>Variable</v>
      </c>
      <c r="DJ201" s="1426"/>
      <c r="DK201" s="1427">
        <f t="shared" si="364"/>
        <v>5.2499999999999991E-2</v>
      </c>
      <c r="DL201" s="1417">
        <f t="shared" si="365"/>
        <v>5.2499999999999991E-2</v>
      </c>
      <c r="DM201" s="1417">
        <f t="shared" si="366"/>
        <v>5.2499999999999991E-2</v>
      </c>
      <c r="DN201" s="1418">
        <f t="shared" si="367"/>
        <v>4.5096576751770812E-2</v>
      </c>
      <c r="DO201" s="1417">
        <f t="shared" si="368"/>
        <v>4.0189915391222852E-2</v>
      </c>
      <c r="DP201" s="1417">
        <f t="shared" si="369"/>
        <v>3.6699267547711134E-2</v>
      </c>
      <c r="DQ201" s="1417">
        <f t="shared" si="370"/>
        <v>3.4088971027155024E-2</v>
      </c>
      <c r="DR201" s="1419">
        <f t="shared" si="371"/>
        <v>3.2063285160126576E-2</v>
      </c>
    </row>
    <row r="202" spans="4:122">
      <c r="E202" s="742" t="s">
        <v>45</v>
      </c>
      <c r="F202" s="722" t="str">
        <f>+F201</f>
        <v>Trade Waste</v>
      </c>
      <c r="G202" s="723" t="str">
        <f>+G201</f>
        <v>Major - Total Dissolved Solids</v>
      </c>
      <c r="H202" s="723">
        <f>+H201</f>
        <v>0</v>
      </c>
      <c r="I202" s="724" t="str">
        <f>+I201</f>
        <v>Variable</v>
      </c>
      <c r="J202" s="782" t="s">
        <v>221</v>
      </c>
      <c r="K202" s="1540"/>
      <c r="L202" s="1541"/>
      <c r="M202" s="1541"/>
      <c r="N202" s="1542"/>
      <c r="O202" s="2031">
        <v>2127942.1747317011</v>
      </c>
      <c r="P202" s="1543">
        <v>1955966.7720320299</v>
      </c>
      <c r="Q202" s="1543">
        <v>2127942.1747317011</v>
      </c>
      <c r="R202" s="1543">
        <v>2070617.0404984774</v>
      </c>
      <c r="S202" s="1543">
        <v>1853015.1328830684</v>
      </c>
      <c r="T202" s="1543">
        <v>1928213.2219486528</v>
      </c>
      <c r="U202" s="1543">
        <v>1946329.8359431222</v>
      </c>
      <c r="V202" s="1543">
        <v>1747674.4111805707</v>
      </c>
      <c r="W202" s="1543">
        <v>1747674.4111805707</v>
      </c>
      <c r="X202" s="1544">
        <v>1747674.4111805707</v>
      </c>
      <c r="Y202" s="1543">
        <v>1747674.4111805707</v>
      </c>
      <c r="Z202" s="1543">
        <v>1747674.4111805707</v>
      </c>
      <c r="AA202" s="1543">
        <v>1747674.4111805707</v>
      </c>
      <c r="AB202" s="1543">
        <v>1747674.4111805707</v>
      </c>
      <c r="AC202" s="1544">
        <v>1747674.4111805707</v>
      </c>
      <c r="AD202" s="1543">
        <v>1747674.4111805707</v>
      </c>
      <c r="AE202" s="1543">
        <v>1747674.4111805707</v>
      </c>
      <c r="AF202" s="1543">
        <v>1747674.4111805707</v>
      </c>
      <c r="AG202" s="1553">
        <v>1747674.4111805707</v>
      </c>
      <c r="AH202" s="697"/>
      <c r="AI202" s="707"/>
      <c r="AJ202" s="709">
        <f t="shared" si="375"/>
        <v>1747674.4111805707</v>
      </c>
      <c r="AK202" s="710">
        <f t="shared" si="376"/>
        <v>1747674.4111805707</v>
      </c>
      <c r="AL202" s="710">
        <f t="shared" si="377"/>
        <v>1747674.4111805707</v>
      </c>
      <c r="AM202" s="710">
        <f t="shared" si="378"/>
        <v>1747674.4111805707</v>
      </c>
      <c r="AN202" s="710">
        <f t="shared" si="379"/>
        <v>1747674.4111805707</v>
      </c>
      <c r="AO202" s="711">
        <f t="shared" si="380"/>
        <v>1747674.4111805707</v>
      </c>
      <c r="AP202" s="707">
        <f t="shared" si="381"/>
        <v>1747674.4111805707</v>
      </c>
      <c r="AQ202" s="707">
        <f t="shared" si="382"/>
        <v>1747674.4111805707</v>
      </c>
      <c r="AR202" s="707">
        <f t="shared" si="383"/>
        <v>1747674.4111805707</v>
      </c>
      <c r="AS202" s="712">
        <f t="shared" si="384"/>
        <v>1747674.4111805707</v>
      </c>
      <c r="AV202" s="1559"/>
      <c r="AW202" s="1392" t="str">
        <f t="shared" si="332"/>
        <v>Qty</v>
      </c>
      <c r="AX202" s="1393" t="str">
        <f t="shared" si="332"/>
        <v>Trade Waste</v>
      </c>
      <c r="AY202" s="1394" t="str">
        <f t="shared" si="333"/>
        <v>Variable</v>
      </c>
      <c r="AZ202" s="1395">
        <f t="shared" si="334"/>
        <v>-8.0817704889633357E-2</v>
      </c>
      <c r="BA202" s="1395">
        <f t="shared" si="334"/>
        <v>8.7923478639163166E-2</v>
      </c>
      <c r="BB202" s="1395">
        <f t="shared" si="334"/>
        <v>-2.6939234963211156E-2</v>
      </c>
      <c r="BC202" s="1395">
        <f t="shared" si="335"/>
        <v>-0.10509036840681263</v>
      </c>
      <c r="BD202" s="1395">
        <f t="shared" si="336"/>
        <v>4.0581475958366919E-2</v>
      </c>
      <c r="BE202" s="1395">
        <f t="shared" si="337"/>
        <v>9.395544947130352E-3</v>
      </c>
      <c r="BF202" s="1395">
        <f t="shared" si="338"/>
        <v>-0.10206668011451925</v>
      </c>
      <c r="BG202" s="1396">
        <f t="shared" si="339"/>
        <v>0</v>
      </c>
      <c r="BH202" s="1395">
        <f t="shared" si="340"/>
        <v>0</v>
      </c>
      <c r="BI202" s="1395">
        <f t="shared" si="341"/>
        <v>0</v>
      </c>
      <c r="BJ202" s="1395">
        <f t="shared" si="342"/>
        <v>0</v>
      </c>
      <c r="BK202" s="1395">
        <f t="shared" si="343"/>
        <v>0</v>
      </c>
      <c r="BL202" s="1397">
        <f t="shared" si="344"/>
        <v>0</v>
      </c>
      <c r="BM202" s="1395">
        <f t="shared" si="345"/>
        <v>0</v>
      </c>
      <c r="BN202" s="1395">
        <f t="shared" si="346"/>
        <v>0</v>
      </c>
      <c r="BO202" s="1395">
        <f t="shared" si="347"/>
        <v>0</v>
      </c>
      <c r="BP202" s="1395">
        <f t="shared" si="348"/>
        <v>0</v>
      </c>
      <c r="BQ202" s="1398">
        <f t="shared" si="349"/>
        <v>0</v>
      </c>
      <c r="BR202" s="1378"/>
      <c r="BS202" s="1329"/>
      <c r="BT202" s="1399"/>
      <c r="BU202" s="1331"/>
      <c r="BV202" s="1400"/>
      <c r="BW202" s="1378"/>
      <c r="BX202" s="1392" t="str">
        <f t="shared" si="350"/>
        <v>Qty</v>
      </c>
      <c r="BY202" s="1393" t="str">
        <f t="shared" si="351"/>
        <v>Trade Waste</v>
      </c>
      <c r="BZ202" s="1394" t="str">
        <f t="shared" si="352"/>
        <v>Variable</v>
      </c>
      <c r="CA202" s="1401">
        <f t="shared" ref="CA202:CR202" si="391">IFERROR((P202/O202-1)*(O203/O$13),"-")</f>
        <v>-3.1538464756359703E-4</v>
      </c>
      <c r="CB202" s="1395">
        <f t="shared" si="391"/>
        <v>3.086205141103918E-4</v>
      </c>
      <c r="CC202" s="1395">
        <f t="shared" si="391"/>
        <v>-1.0512072109518077E-4</v>
      </c>
      <c r="CD202" s="1395">
        <f t="shared" si="391"/>
        <v>-4.0792417053647616E-4</v>
      </c>
      <c r="CE202" s="1395">
        <f t="shared" si="391"/>
        <v>1.4653663696375727E-4</v>
      </c>
      <c r="CF202" s="1395">
        <f t="shared" si="391"/>
        <v>3.4234359259254871E-5</v>
      </c>
      <c r="CG202" s="1395">
        <f t="shared" si="391"/>
        <v>-3.5886364178905979E-4</v>
      </c>
      <c r="CH202" s="1397">
        <f t="shared" si="391"/>
        <v>0</v>
      </c>
      <c r="CI202" s="1395">
        <f t="shared" si="391"/>
        <v>0</v>
      </c>
      <c r="CJ202" s="1395">
        <f t="shared" si="391"/>
        <v>0</v>
      </c>
      <c r="CK202" s="1395">
        <f t="shared" si="391"/>
        <v>0</v>
      </c>
      <c r="CL202" s="1395">
        <f t="shared" si="391"/>
        <v>0</v>
      </c>
      <c r="CM202" s="1397">
        <f t="shared" si="391"/>
        <v>0</v>
      </c>
      <c r="CN202" s="1395">
        <f t="shared" si="391"/>
        <v>0</v>
      </c>
      <c r="CO202" s="1395">
        <f t="shared" si="391"/>
        <v>0</v>
      </c>
      <c r="CP202" s="1395">
        <f t="shared" si="391"/>
        <v>0</v>
      </c>
      <c r="CQ202" s="1395">
        <f t="shared" si="391"/>
        <v>0</v>
      </c>
      <c r="CR202" s="1398">
        <f t="shared" si="391"/>
        <v>0</v>
      </c>
      <c r="CS202" s="1378"/>
      <c r="CT202" s="1392" t="str">
        <f t="shared" si="328"/>
        <v>Qty</v>
      </c>
      <c r="CU202" s="1393" t="str">
        <f t="shared" si="329"/>
        <v>Trade Waste</v>
      </c>
      <c r="CV202" s="1393" t="str">
        <f t="shared" si="330"/>
        <v>Variable</v>
      </c>
      <c r="CW202" s="1401">
        <f t="shared" si="354"/>
        <v>0</v>
      </c>
      <c r="CX202" s="1395">
        <f t="shared" si="355"/>
        <v>0</v>
      </c>
      <c r="CY202" s="1395">
        <f t="shared" si="356"/>
        <v>0</v>
      </c>
      <c r="CZ202" s="1398">
        <f t="shared" si="357"/>
        <v>0</v>
      </c>
      <c r="DA202" s="1395">
        <f t="shared" si="358"/>
        <v>0</v>
      </c>
      <c r="DB202" s="1395">
        <f t="shared" si="359"/>
        <v>0</v>
      </c>
      <c r="DC202" s="1395">
        <f t="shared" si="360"/>
        <v>0</v>
      </c>
      <c r="DD202" s="1395">
        <f t="shared" si="361"/>
        <v>0</v>
      </c>
      <c r="DE202" s="1398">
        <f t="shared" si="362"/>
        <v>0</v>
      </c>
      <c r="DF202" s="1378"/>
      <c r="DG202" s="1392" t="str">
        <f t="shared" si="363"/>
        <v>Qty</v>
      </c>
      <c r="DH202" s="1393" t="str">
        <f t="shared" si="363"/>
        <v>Trade Waste</v>
      </c>
      <c r="DI202" s="1393" t="str">
        <f t="shared" si="363"/>
        <v>Variable</v>
      </c>
      <c r="DJ202" s="1393"/>
      <c r="DK202" s="1401">
        <f t="shared" si="364"/>
        <v>0</v>
      </c>
      <c r="DL202" s="1395">
        <f t="shared" si="365"/>
        <v>0</v>
      </c>
      <c r="DM202" s="1395">
        <f t="shared" si="366"/>
        <v>0</v>
      </c>
      <c r="DN202" s="1397">
        <f t="shared" si="367"/>
        <v>0</v>
      </c>
      <c r="DO202" s="1395">
        <f t="shared" si="368"/>
        <v>0</v>
      </c>
      <c r="DP202" s="1395">
        <f t="shared" si="369"/>
        <v>0</v>
      </c>
      <c r="DQ202" s="1395">
        <f t="shared" si="370"/>
        <v>0</v>
      </c>
      <c r="DR202" s="1398">
        <f t="shared" si="371"/>
        <v>0</v>
      </c>
    </row>
    <row r="203" spans="4:122" ht="12.75" thickBot="1">
      <c r="E203" s="743" t="s">
        <v>46</v>
      </c>
      <c r="F203" s="732" t="str">
        <f>+F201</f>
        <v>Trade Waste</v>
      </c>
      <c r="G203" s="733" t="str">
        <f>+G201</f>
        <v>Major - Total Dissolved Solids</v>
      </c>
      <c r="H203" s="733">
        <f>+H201</f>
        <v>0</v>
      </c>
      <c r="I203" s="734" t="str">
        <f>+I201</f>
        <v>Variable</v>
      </c>
      <c r="J203" s="735" t="s">
        <v>344</v>
      </c>
      <c r="K203" s="736">
        <f t="shared" ref="K203:AG203" si="392">K201*K202/10^6</f>
        <v>0</v>
      </c>
      <c r="L203" s="737">
        <f t="shared" si="392"/>
        <v>0</v>
      </c>
      <c r="M203" s="737">
        <f t="shared" si="392"/>
        <v>0</v>
      </c>
      <c r="N203" s="738">
        <f t="shared" si="392"/>
        <v>0</v>
      </c>
      <c r="O203" s="1923">
        <f t="shared" si="392"/>
        <v>0.29425338451351934</v>
      </c>
      <c r="P203" s="737">
        <f t="shared" si="392"/>
        <v>0.27153838994713247</v>
      </c>
      <c r="Q203" s="737">
        <f t="shared" si="392"/>
        <v>0.2965150344458965</v>
      </c>
      <c r="R203" s="737">
        <f t="shared" si="392"/>
        <v>0.2895868032557799</v>
      </c>
      <c r="S203" s="737">
        <f t="shared" si="392"/>
        <v>0.26027695739139473</v>
      </c>
      <c r="T203" s="1531">
        <f t="shared" si="392"/>
        <v>0.27195650008683925</v>
      </c>
      <c r="U203" s="737">
        <f t="shared" si="392"/>
        <v>0.27570730887591133</v>
      </c>
      <c r="V203" s="737">
        <f t="shared" si="392"/>
        <v>0.24858226333927552</v>
      </c>
      <c r="W203" s="737">
        <f t="shared" si="392"/>
        <v>0.24956790591658554</v>
      </c>
      <c r="X203" s="738">
        <f t="shared" si="392"/>
        <v>0.26267022097720627</v>
      </c>
      <c r="Y203" s="737">
        <f t="shared" si="392"/>
        <v>0.27646040757850959</v>
      </c>
      <c r="Z203" s="737">
        <f t="shared" si="392"/>
        <v>0.29097457897638135</v>
      </c>
      <c r="AA203" s="737">
        <f t="shared" si="392"/>
        <v>0.30625074437264133</v>
      </c>
      <c r="AB203" s="737">
        <f t="shared" si="392"/>
        <v>0.32232890845220502</v>
      </c>
      <c r="AC203" s="738">
        <f t="shared" si="392"/>
        <v>0.32748617098744032</v>
      </c>
      <c r="AD203" s="737">
        <f t="shared" si="392"/>
        <v>0.33272594972323943</v>
      </c>
      <c r="AE203" s="737">
        <f t="shared" si="392"/>
        <v>0.33804956491881127</v>
      </c>
      <c r="AF203" s="737">
        <f t="shared" si="392"/>
        <v>0.34345835795751228</v>
      </c>
      <c r="AG203" s="739">
        <f t="shared" si="392"/>
        <v>0.34895369168483242</v>
      </c>
      <c r="AH203" s="697"/>
      <c r="AI203" s="707"/>
      <c r="AJ203" s="709">
        <f t="shared" si="375"/>
        <v>0.26267022097720627</v>
      </c>
      <c r="AK203" s="710">
        <f t="shared" si="376"/>
        <v>0.27646040757850959</v>
      </c>
      <c r="AL203" s="710">
        <f t="shared" si="377"/>
        <v>0.29097457897638135</v>
      </c>
      <c r="AM203" s="710">
        <f t="shared" si="378"/>
        <v>0.30625074437264133</v>
      </c>
      <c r="AN203" s="710">
        <f t="shared" si="379"/>
        <v>0.32232890845220502</v>
      </c>
      <c r="AO203" s="711">
        <f t="shared" si="380"/>
        <v>0.32748617098744032</v>
      </c>
      <c r="AP203" s="707">
        <f t="shared" si="381"/>
        <v>0.33272594972323943</v>
      </c>
      <c r="AQ203" s="707">
        <f t="shared" si="382"/>
        <v>0.33804956491881127</v>
      </c>
      <c r="AR203" s="707">
        <f t="shared" si="383"/>
        <v>0.34345835795751228</v>
      </c>
      <c r="AS203" s="712">
        <f t="shared" si="384"/>
        <v>0.34895369168483242</v>
      </c>
      <c r="AV203" s="1559"/>
      <c r="AW203" s="1428" t="str">
        <f t="shared" si="332"/>
        <v>Rev</v>
      </c>
      <c r="AX203" s="1429" t="str">
        <f t="shared" si="332"/>
        <v>Trade Waste</v>
      </c>
      <c r="AY203" s="1430" t="str">
        <f t="shared" si="333"/>
        <v>Variable</v>
      </c>
      <c r="AZ203" s="1431">
        <f t="shared" si="334"/>
        <v>-7.7195355302168922E-2</v>
      </c>
      <c r="BA203" s="1431">
        <f t="shared" si="334"/>
        <v>9.1982001158756432E-2</v>
      </c>
      <c r="BB203" s="1431">
        <f t="shared" si="334"/>
        <v>-2.3365530867814233E-2</v>
      </c>
      <c r="BC203" s="1431">
        <f t="shared" si="335"/>
        <v>-0.10121264344527814</v>
      </c>
      <c r="BD203" s="1431">
        <f t="shared" si="336"/>
        <v>4.4873517857676681E-2</v>
      </c>
      <c r="BE203" s="1431">
        <f t="shared" si="337"/>
        <v>1.3791943887623281E-2</v>
      </c>
      <c r="BF203" s="1431">
        <f t="shared" si="338"/>
        <v>-9.8383483728550991E-2</v>
      </c>
      <c r="BG203" s="1432">
        <f t="shared" si="339"/>
        <v>3.9650559298542998E-3</v>
      </c>
      <c r="BH203" s="1431">
        <f t="shared" si="340"/>
        <v>5.2499999999999991E-2</v>
      </c>
      <c r="BI203" s="1431">
        <f t="shared" si="341"/>
        <v>5.2499999999999991E-2</v>
      </c>
      <c r="BJ203" s="1431">
        <f t="shared" si="342"/>
        <v>5.2499999999999991E-2</v>
      </c>
      <c r="BK203" s="1431">
        <f t="shared" si="343"/>
        <v>5.2499999999999769E-2</v>
      </c>
      <c r="BL203" s="1433">
        <f t="shared" si="344"/>
        <v>5.2499999999999991E-2</v>
      </c>
      <c r="BM203" s="1431">
        <f t="shared" si="345"/>
        <v>1.6000000000000014E-2</v>
      </c>
      <c r="BN203" s="1431">
        <f t="shared" si="346"/>
        <v>1.6000000000000236E-2</v>
      </c>
      <c r="BO203" s="1431">
        <f t="shared" si="347"/>
        <v>1.6000000000000014E-2</v>
      </c>
      <c r="BP203" s="1431">
        <f t="shared" si="348"/>
        <v>1.6000000000000014E-2</v>
      </c>
      <c r="BQ203" s="1434">
        <f t="shared" si="349"/>
        <v>1.5999999999999792E-2</v>
      </c>
      <c r="BR203" s="1378"/>
      <c r="BS203" s="1407"/>
      <c r="BT203" s="1408"/>
      <c r="BU203" s="1409"/>
      <c r="BV203" s="1410"/>
      <c r="BW203" s="1378"/>
      <c r="BX203" s="1428" t="str">
        <f t="shared" si="350"/>
        <v>Rev</v>
      </c>
      <c r="BY203" s="1429" t="str">
        <f t="shared" si="351"/>
        <v>Trade Waste</v>
      </c>
      <c r="BZ203" s="1430" t="str">
        <f t="shared" si="352"/>
        <v>Variable</v>
      </c>
      <c r="CA203" s="1435">
        <f t="shared" ref="CA203:CR203" si="393">IFERROR((P203/O203-1)*(O203/O$13),"-")</f>
        <v>-3.0124871720582766E-4</v>
      </c>
      <c r="CB203" s="1431">
        <f t="shared" si="393"/>
        <v>3.228663483962018E-4</v>
      </c>
      <c r="CC203" s="1431">
        <f t="shared" si="393"/>
        <v>-9.1175620129917666E-5</v>
      </c>
      <c r="CD203" s="1431">
        <f t="shared" si="393"/>
        <v>-3.9287219419950858E-4</v>
      </c>
      <c r="CE203" s="1431">
        <f t="shared" si="393"/>
        <v>1.6203487528011691E-4</v>
      </c>
      <c r="CF203" s="1431">
        <f t="shared" si="393"/>
        <v>5.025343017241266E-5</v>
      </c>
      <c r="CG203" s="1431">
        <f t="shared" si="393"/>
        <v>-3.4591362453553645E-4</v>
      </c>
      <c r="CH203" s="1433">
        <f t="shared" si="393"/>
        <v>1.1998736823344517E-5</v>
      </c>
      <c r="CI203" s="1431">
        <f t="shared" si="393"/>
        <v>1.624128125487625E-4</v>
      </c>
      <c r="CJ203" s="1431">
        <f t="shared" si="393"/>
        <v>1.5890456065989755E-4</v>
      </c>
      <c r="CK203" s="1431">
        <f t="shared" si="393"/>
        <v>1.5720773850236403E-4</v>
      </c>
      <c r="CL203" s="1431">
        <f t="shared" si="393"/>
        <v>1.5552239371773583E-4</v>
      </c>
      <c r="CM203" s="1433">
        <f t="shared" si="393"/>
        <v>1.5382100345068291E-4</v>
      </c>
      <c r="CN203" s="1431">
        <f t="shared" si="393"/>
        <v>4.6372688214002045E-5</v>
      </c>
      <c r="CO203" s="1431">
        <f t="shared" si="393"/>
        <v>4.5846001270557757E-5</v>
      </c>
      <c r="CP203" s="1431">
        <f t="shared" si="393"/>
        <v>4.5313651625926467E-5</v>
      </c>
      <c r="CQ203" s="1431">
        <f t="shared" si="393"/>
        <v>4.4792643660690842E-5</v>
      </c>
      <c r="CR203" s="1434">
        <f t="shared" si="393"/>
        <v>4.4255956785201871E-5</v>
      </c>
      <c r="CS203" s="1378"/>
      <c r="CT203" s="1428" t="str">
        <f t="shared" si="328"/>
        <v>Rev</v>
      </c>
      <c r="CU203" s="1429" t="str">
        <f t="shared" si="329"/>
        <v>Trade Waste</v>
      </c>
      <c r="CV203" s="1429" t="str">
        <f t="shared" si="330"/>
        <v>Variable</v>
      </c>
      <c r="CW203" s="1435">
        <f t="shared" si="354"/>
        <v>5.2499999999999991E-2</v>
      </c>
      <c r="CX203" s="1431">
        <f t="shared" si="355"/>
        <v>5.2499999999999991E-2</v>
      </c>
      <c r="CY203" s="1431">
        <f t="shared" si="356"/>
        <v>5.2499999999999991E-2</v>
      </c>
      <c r="CZ203" s="1434">
        <f t="shared" si="357"/>
        <v>5.2499999999999991E-2</v>
      </c>
      <c r="DA203" s="1431">
        <f t="shared" si="358"/>
        <v>4.6326854261736994E-2</v>
      </c>
      <c r="DB203" s="1431">
        <f t="shared" si="359"/>
        <v>4.1939644324732628E-2</v>
      </c>
      <c r="DC203" s="1431">
        <f t="shared" si="360"/>
        <v>3.8661313083165672E-2</v>
      </c>
      <c r="DD203" s="1431">
        <f t="shared" si="361"/>
        <v>3.6118632816290797E-2</v>
      </c>
      <c r="DE203" s="1434">
        <f t="shared" si="362"/>
        <v>3.4088971027154802E-2</v>
      </c>
      <c r="DF203" s="1378"/>
      <c r="DG203" s="1428" t="str">
        <f t="shared" si="363"/>
        <v>Rev</v>
      </c>
      <c r="DH203" s="1429" t="str">
        <f t="shared" si="363"/>
        <v>Trade Waste</v>
      </c>
      <c r="DI203" s="1429" t="str">
        <f t="shared" si="363"/>
        <v>Variable</v>
      </c>
      <c r="DJ203" s="1429"/>
      <c r="DK203" s="1435">
        <f t="shared" si="364"/>
        <v>5.2499999999999991E-2</v>
      </c>
      <c r="DL203" s="1431">
        <f t="shared" si="365"/>
        <v>5.2499999999999991E-2</v>
      </c>
      <c r="DM203" s="1431">
        <f t="shared" si="366"/>
        <v>5.2499999999999991E-2</v>
      </c>
      <c r="DN203" s="1433">
        <f t="shared" si="367"/>
        <v>4.5096576751770812E-2</v>
      </c>
      <c r="DO203" s="1431">
        <f t="shared" si="368"/>
        <v>4.0189915391222852E-2</v>
      </c>
      <c r="DP203" s="1431">
        <f t="shared" si="369"/>
        <v>3.6699267547711134E-2</v>
      </c>
      <c r="DQ203" s="1431">
        <f t="shared" si="370"/>
        <v>3.4088971027155024E-2</v>
      </c>
      <c r="DR203" s="1434">
        <f t="shared" si="371"/>
        <v>3.2063285160126576E-2</v>
      </c>
    </row>
    <row r="204" spans="4:122">
      <c r="D204" s="70">
        <f>D201+1</f>
        <v>47</v>
      </c>
      <c r="E204" s="713" t="s">
        <v>44</v>
      </c>
      <c r="F204" s="1532" t="s">
        <v>316</v>
      </c>
      <c r="G204" s="1532" t="s">
        <v>909</v>
      </c>
      <c r="H204" s="1532"/>
      <c r="I204" s="781" t="s">
        <v>320</v>
      </c>
      <c r="J204" s="781" t="s">
        <v>345</v>
      </c>
      <c r="K204" s="1533"/>
      <c r="L204" s="1534"/>
      <c r="M204" s="1534"/>
      <c r="N204" s="1535"/>
      <c r="O204" s="2071">
        <v>0.13828072398190044</v>
      </c>
      <c r="P204" s="1547">
        <v>0.13882566607460034</v>
      </c>
      <c r="Q204" s="1547">
        <v>0.1393435582822086</v>
      </c>
      <c r="R204" s="1547">
        <v>0.13985531732418524</v>
      </c>
      <c r="S204" s="1536">
        <v>0.14046132315521628</v>
      </c>
      <c r="T204" s="1536">
        <v>0.14104067796610167</v>
      </c>
      <c r="U204" s="1536">
        <v>0.14165497737556562</v>
      </c>
      <c r="V204" s="1536">
        <v>0.14223602620087333</v>
      </c>
      <c r="W204" s="1536">
        <v>0.14280000000000001</v>
      </c>
      <c r="X204" s="1537">
        <v>0.15029700000000001</v>
      </c>
      <c r="Y204" s="1538">
        <v>0.1581875925</v>
      </c>
      <c r="Z204" s="1538">
        <v>0.16649244110625</v>
      </c>
      <c r="AA204" s="1538">
        <v>0.17523329426432813</v>
      </c>
      <c r="AB204" s="1538">
        <v>0.18443304221320536</v>
      </c>
      <c r="AC204" s="1537">
        <v>0.18738397088861666</v>
      </c>
      <c r="AD204" s="1538">
        <v>0.19038211442283454</v>
      </c>
      <c r="AE204" s="1538">
        <v>0.1934282282535999</v>
      </c>
      <c r="AF204" s="1538">
        <v>0.19652307990565751</v>
      </c>
      <c r="AG204" s="1539">
        <v>0.19966744918414803</v>
      </c>
      <c r="AH204" s="697"/>
      <c r="AI204" s="707"/>
      <c r="AJ204" s="709">
        <f t="shared" si="375"/>
        <v>0.15029700000000001</v>
      </c>
      <c r="AK204" s="710">
        <f t="shared" si="376"/>
        <v>0.1581875925</v>
      </c>
      <c r="AL204" s="710">
        <f t="shared" si="377"/>
        <v>0.16649244110625</v>
      </c>
      <c r="AM204" s="710">
        <f t="shared" si="378"/>
        <v>0.17523329426432813</v>
      </c>
      <c r="AN204" s="710">
        <f t="shared" si="379"/>
        <v>0.18443304221320536</v>
      </c>
      <c r="AO204" s="711">
        <f t="shared" si="380"/>
        <v>0.18738397088861666</v>
      </c>
      <c r="AP204" s="707">
        <f t="shared" si="381"/>
        <v>0.19038211442283454</v>
      </c>
      <c r="AQ204" s="707">
        <f t="shared" si="382"/>
        <v>0.1934282282535999</v>
      </c>
      <c r="AR204" s="707">
        <f t="shared" si="383"/>
        <v>0.19652307990565751</v>
      </c>
      <c r="AS204" s="712">
        <f t="shared" si="384"/>
        <v>0.19966744918414803</v>
      </c>
      <c r="AU204" s="1369"/>
      <c r="AV204" s="1559"/>
      <c r="AW204" s="1412" t="str">
        <f t="shared" si="332"/>
        <v>Price</v>
      </c>
      <c r="AX204" s="1413" t="str">
        <f t="shared" si="332"/>
        <v>Trade Waste</v>
      </c>
      <c r="AY204" s="1414" t="str">
        <f t="shared" si="333"/>
        <v>Variable</v>
      </c>
      <c r="AZ204" s="1415">
        <f t="shared" si="334"/>
        <v>3.9408391640416429E-3</v>
      </c>
      <c r="BA204" s="1415">
        <f t="shared" si="334"/>
        <v>3.7305220443166753E-3</v>
      </c>
      <c r="BB204" s="1415">
        <f t="shared" si="334"/>
        <v>3.6726422684010274E-3</v>
      </c>
      <c r="BC204" s="1415">
        <f t="shared" si="335"/>
        <v>4.3330911017585017E-3</v>
      </c>
      <c r="BD204" s="1415">
        <f t="shared" si="336"/>
        <v>4.1246572214415078E-3</v>
      </c>
      <c r="BE204" s="1415">
        <f t="shared" si="337"/>
        <v>4.3554768618709883E-3</v>
      </c>
      <c r="BF204" s="1415">
        <f t="shared" si="338"/>
        <v>4.1018595750941245E-3</v>
      </c>
      <c r="BG204" s="1416">
        <f t="shared" si="339"/>
        <v>3.9650559298542998E-3</v>
      </c>
      <c r="BH204" s="1417">
        <f t="shared" si="340"/>
        <v>5.2499999999999991E-2</v>
      </c>
      <c r="BI204" s="1417">
        <f t="shared" si="341"/>
        <v>5.2499999999999991E-2</v>
      </c>
      <c r="BJ204" s="1417">
        <f t="shared" si="342"/>
        <v>5.2499999999999991E-2</v>
      </c>
      <c r="BK204" s="1417">
        <f t="shared" si="343"/>
        <v>5.2499999999999991E-2</v>
      </c>
      <c r="BL204" s="1418">
        <f t="shared" si="344"/>
        <v>5.2499999999999991E-2</v>
      </c>
      <c r="BM204" s="1417">
        <f t="shared" si="345"/>
        <v>1.6000000000000014E-2</v>
      </c>
      <c r="BN204" s="1417">
        <f t="shared" si="346"/>
        <v>1.6000000000000014E-2</v>
      </c>
      <c r="BO204" s="1417">
        <f t="shared" si="347"/>
        <v>1.6000000000000014E-2</v>
      </c>
      <c r="BP204" s="1417">
        <f t="shared" si="348"/>
        <v>1.6000000000000014E-2</v>
      </c>
      <c r="BQ204" s="1419">
        <f t="shared" si="349"/>
        <v>1.6000000000000014E-2</v>
      </c>
      <c r="BR204" s="1378"/>
      <c r="BS204" s="1420"/>
      <c r="BT204" s="1421"/>
      <c r="BU204" s="1422"/>
      <c r="BV204" s="1423"/>
      <c r="BW204" s="1378"/>
      <c r="BX204" s="1412" t="str">
        <f t="shared" si="350"/>
        <v>Price</v>
      </c>
      <c r="BY204" s="1413" t="str">
        <f t="shared" si="351"/>
        <v>Trade Waste</v>
      </c>
      <c r="BZ204" s="1414" t="str">
        <f t="shared" si="352"/>
        <v>Variable</v>
      </c>
      <c r="CA204" s="1424">
        <f t="shared" ref="CA204:CR204" si="394">IFERROR((P204/O204-1)*(O206/O$13),"-")</f>
        <v>3.7248087754964994E-6</v>
      </c>
      <c r="CB204" s="1415">
        <f t="shared" si="394"/>
        <v>4.0550764760480066E-6</v>
      </c>
      <c r="CC204" s="1415">
        <f t="shared" si="394"/>
        <v>3.4710665215859724E-6</v>
      </c>
      <c r="CD204" s="1415">
        <f t="shared" si="394"/>
        <v>4.4311062596445147E-6</v>
      </c>
      <c r="CE204" s="1415">
        <f t="shared" si="394"/>
        <v>4.9670062424920444E-6</v>
      </c>
      <c r="CF204" s="1415">
        <f t="shared" si="394"/>
        <v>4.9954137876446579E-6</v>
      </c>
      <c r="CG204" s="1415">
        <f t="shared" si="394"/>
        <v>3.2296137110352813E-6</v>
      </c>
      <c r="CH204" s="1425">
        <f t="shared" si="394"/>
        <v>2.9317661349514499E-6</v>
      </c>
      <c r="CI204" s="1417">
        <f t="shared" si="394"/>
        <v>3.9683875954865418E-5</v>
      </c>
      <c r="CJ204" s="1417">
        <f t="shared" si="394"/>
        <v>3.8826671214726219E-5</v>
      </c>
      <c r="CK204" s="1417">
        <f t="shared" si="394"/>
        <v>3.8412070427015522E-5</v>
      </c>
      <c r="CL204" s="1417">
        <f t="shared" si="394"/>
        <v>3.8000274015607034E-5</v>
      </c>
      <c r="CM204" s="1418">
        <f t="shared" si="394"/>
        <v>3.758455705800372E-5</v>
      </c>
      <c r="CN204" s="1417">
        <f t="shared" si="394"/>
        <v>1.1330682462170863E-5</v>
      </c>
      <c r="CO204" s="1417">
        <f t="shared" si="394"/>
        <v>1.120199200356286E-5</v>
      </c>
      <c r="CP204" s="1417">
        <f t="shared" si="394"/>
        <v>1.1071917923010889E-5</v>
      </c>
      <c r="CQ204" s="1417">
        <f t="shared" si="394"/>
        <v>1.0944615063467714E-5</v>
      </c>
      <c r="CR204" s="1419">
        <f t="shared" si="394"/>
        <v>1.0813481225815037E-5</v>
      </c>
      <c r="CS204" s="1378"/>
      <c r="CT204" s="1412" t="str">
        <f t="shared" si="328"/>
        <v>Price</v>
      </c>
      <c r="CU204" s="1413" t="str">
        <f t="shared" si="329"/>
        <v>Trade Waste</v>
      </c>
      <c r="CV204" s="1426" t="str">
        <f t="shared" si="330"/>
        <v>Variable</v>
      </c>
      <c r="CW204" s="1427">
        <f t="shared" si="354"/>
        <v>5.2499999999999991E-2</v>
      </c>
      <c r="CX204" s="1417">
        <f t="shared" si="355"/>
        <v>5.2499999999999991E-2</v>
      </c>
      <c r="CY204" s="1417">
        <f t="shared" si="356"/>
        <v>5.2499999999999991E-2</v>
      </c>
      <c r="CZ204" s="1419">
        <f t="shared" si="357"/>
        <v>5.2499999999999991E-2</v>
      </c>
      <c r="DA204" s="1417">
        <f t="shared" si="358"/>
        <v>4.6326854261736994E-2</v>
      </c>
      <c r="DB204" s="1417">
        <f t="shared" si="359"/>
        <v>4.1939644324732628E-2</v>
      </c>
      <c r="DC204" s="1417">
        <f t="shared" si="360"/>
        <v>3.8661313083165672E-2</v>
      </c>
      <c r="DD204" s="1417">
        <f t="shared" si="361"/>
        <v>3.6118632816290797E-2</v>
      </c>
      <c r="DE204" s="1419">
        <f t="shared" si="362"/>
        <v>3.4088971027155024E-2</v>
      </c>
      <c r="DF204" s="1378"/>
      <c r="DG204" s="1412" t="str">
        <f t="shared" si="363"/>
        <v>Price</v>
      </c>
      <c r="DH204" s="1413" t="str">
        <f t="shared" si="363"/>
        <v>Trade Waste</v>
      </c>
      <c r="DI204" s="1426" t="str">
        <f t="shared" si="363"/>
        <v>Variable</v>
      </c>
      <c r="DJ204" s="1426"/>
      <c r="DK204" s="1427">
        <f t="shared" si="364"/>
        <v>5.2499999999999991E-2</v>
      </c>
      <c r="DL204" s="1417">
        <f t="shared" si="365"/>
        <v>5.2499999999999991E-2</v>
      </c>
      <c r="DM204" s="1417">
        <f t="shared" si="366"/>
        <v>5.2499999999999991E-2</v>
      </c>
      <c r="DN204" s="1418">
        <f t="shared" si="367"/>
        <v>4.5096576751770812E-2</v>
      </c>
      <c r="DO204" s="1417">
        <f t="shared" si="368"/>
        <v>4.0189915391222852E-2</v>
      </c>
      <c r="DP204" s="1417">
        <f t="shared" si="369"/>
        <v>3.6699267547711134E-2</v>
      </c>
      <c r="DQ204" s="1417">
        <f t="shared" si="370"/>
        <v>3.4088971027155024E-2</v>
      </c>
      <c r="DR204" s="1419">
        <f t="shared" si="371"/>
        <v>3.2063285160126576E-2</v>
      </c>
    </row>
    <row r="205" spans="4:122">
      <c r="E205" s="742" t="s">
        <v>45</v>
      </c>
      <c r="F205" s="722" t="str">
        <f>+F204</f>
        <v>Trade Waste</v>
      </c>
      <c r="G205" s="723" t="str">
        <f>+G204</f>
        <v>Major - Oil and Grease</v>
      </c>
      <c r="H205" s="723">
        <f>+H204</f>
        <v>0</v>
      </c>
      <c r="I205" s="724" t="str">
        <f>+I204</f>
        <v>Variable</v>
      </c>
      <c r="J205" s="782" t="s">
        <v>221</v>
      </c>
      <c r="K205" s="1540"/>
      <c r="L205" s="1541"/>
      <c r="M205" s="1541"/>
      <c r="N205" s="1542"/>
      <c r="O205" s="2031">
        <v>515396.0165798224</v>
      </c>
      <c r="P205" s="1543">
        <v>605718.7021851351</v>
      </c>
      <c r="Q205" s="1543">
        <v>515396.0165798224</v>
      </c>
      <c r="R205" s="1543">
        <v>545503.57844825997</v>
      </c>
      <c r="S205" s="1543">
        <v>617970.05019367184</v>
      </c>
      <c r="T205" s="1543">
        <v>606946.74182311445</v>
      </c>
      <c r="U205" s="1543">
        <v>435853.72361094988</v>
      </c>
      <c r="V205" s="1543">
        <v>427026.00524179323</v>
      </c>
      <c r="W205" s="1543">
        <v>427026.00524179323</v>
      </c>
      <c r="X205" s="1544">
        <v>427026.00524179323</v>
      </c>
      <c r="Y205" s="1543">
        <v>427026.00524179323</v>
      </c>
      <c r="Z205" s="1543">
        <v>427026.00524179323</v>
      </c>
      <c r="AA205" s="1543">
        <v>427026.00524179323</v>
      </c>
      <c r="AB205" s="1543">
        <v>427026.00524179323</v>
      </c>
      <c r="AC205" s="1544">
        <v>427026.00524179323</v>
      </c>
      <c r="AD205" s="1543">
        <v>427026.00524179323</v>
      </c>
      <c r="AE205" s="1543">
        <v>427026.00524179323</v>
      </c>
      <c r="AF205" s="1543">
        <v>427026.00524179323</v>
      </c>
      <c r="AG205" s="1553">
        <v>427026.00524179323</v>
      </c>
      <c r="AH205" s="697"/>
      <c r="AI205" s="707"/>
      <c r="AJ205" s="709">
        <f t="shared" si="375"/>
        <v>427026.00524179323</v>
      </c>
      <c r="AK205" s="710">
        <f t="shared" si="376"/>
        <v>427026.00524179323</v>
      </c>
      <c r="AL205" s="710">
        <f t="shared" si="377"/>
        <v>427026.00524179323</v>
      </c>
      <c r="AM205" s="710">
        <f t="shared" si="378"/>
        <v>427026.00524179323</v>
      </c>
      <c r="AN205" s="710">
        <f t="shared" si="379"/>
        <v>427026.00524179323</v>
      </c>
      <c r="AO205" s="711">
        <f t="shared" si="380"/>
        <v>427026.00524179323</v>
      </c>
      <c r="AP205" s="707">
        <f t="shared" si="381"/>
        <v>427026.00524179323</v>
      </c>
      <c r="AQ205" s="707">
        <f t="shared" si="382"/>
        <v>427026.00524179323</v>
      </c>
      <c r="AR205" s="707">
        <f t="shared" si="383"/>
        <v>427026.00524179323</v>
      </c>
      <c r="AS205" s="712">
        <f t="shared" si="384"/>
        <v>427026.00524179323</v>
      </c>
      <c r="AV205" s="1559"/>
      <c r="AW205" s="1392" t="str">
        <f t="shared" si="332"/>
        <v>Qty</v>
      </c>
      <c r="AX205" s="1393" t="str">
        <f t="shared" si="332"/>
        <v>Trade Waste</v>
      </c>
      <c r="AY205" s="1394" t="str">
        <f t="shared" si="333"/>
        <v>Variable</v>
      </c>
      <c r="AZ205" s="1395">
        <f t="shared" si="334"/>
        <v>0.17524909525823595</v>
      </c>
      <c r="BA205" s="1395">
        <f t="shared" si="334"/>
        <v>-0.14911655406952584</v>
      </c>
      <c r="BB205" s="1395">
        <f t="shared" si="334"/>
        <v>5.8416365086078725E-2</v>
      </c>
      <c r="BC205" s="1395">
        <f t="shared" si="335"/>
        <v>0.13284325641190131</v>
      </c>
      <c r="BD205" s="1395">
        <f t="shared" si="336"/>
        <v>-1.7837933031063069E-2</v>
      </c>
      <c r="BE205" s="1395">
        <f t="shared" si="337"/>
        <v>-0.28189131998343786</v>
      </c>
      <c r="BF205" s="1395">
        <f t="shared" si="338"/>
        <v>-2.0253855573427182E-2</v>
      </c>
      <c r="BG205" s="1396">
        <f t="shared" si="339"/>
        <v>0</v>
      </c>
      <c r="BH205" s="1395">
        <f t="shared" si="340"/>
        <v>0</v>
      </c>
      <c r="BI205" s="1395">
        <f t="shared" si="341"/>
        <v>0</v>
      </c>
      <c r="BJ205" s="1395">
        <f t="shared" si="342"/>
        <v>0</v>
      </c>
      <c r="BK205" s="1395">
        <f t="shared" si="343"/>
        <v>0</v>
      </c>
      <c r="BL205" s="1397">
        <f t="shared" si="344"/>
        <v>0</v>
      </c>
      <c r="BM205" s="1395">
        <f t="shared" si="345"/>
        <v>0</v>
      </c>
      <c r="BN205" s="1395">
        <f t="shared" si="346"/>
        <v>0</v>
      </c>
      <c r="BO205" s="1395">
        <f t="shared" si="347"/>
        <v>0</v>
      </c>
      <c r="BP205" s="1395">
        <f t="shared" si="348"/>
        <v>0</v>
      </c>
      <c r="BQ205" s="1398">
        <f t="shared" si="349"/>
        <v>0</v>
      </c>
      <c r="BR205" s="1378"/>
      <c r="BS205" s="1329"/>
      <c r="BT205" s="1399"/>
      <c r="BU205" s="1331"/>
      <c r="BV205" s="1400"/>
      <c r="BW205" s="1378"/>
      <c r="BX205" s="1392" t="str">
        <f t="shared" si="350"/>
        <v>Qty</v>
      </c>
      <c r="BY205" s="1393" t="str">
        <f t="shared" si="351"/>
        <v>Trade Waste</v>
      </c>
      <c r="BZ205" s="1394" t="str">
        <f t="shared" si="352"/>
        <v>Variable</v>
      </c>
      <c r="CA205" s="1401">
        <f t="shared" ref="CA205:CR205" si="395">IFERROR((P205/O205-1)*(O206/O$13),"-")</f>
        <v>1.656422251057393E-4</v>
      </c>
      <c r="CB205" s="1395">
        <f t="shared" si="395"/>
        <v>-1.6208965485618374E-4</v>
      </c>
      <c r="CC205" s="1395">
        <f t="shared" si="395"/>
        <v>5.5210138735159477E-5</v>
      </c>
      <c r="CD205" s="1395">
        <f t="shared" si="395"/>
        <v>1.35848190406024E-4</v>
      </c>
      <c r="CE205" s="1395">
        <f t="shared" si="395"/>
        <v>-2.1480845549507382E-5</v>
      </c>
      <c r="CF205" s="1395">
        <f t="shared" si="395"/>
        <v>-3.2330875151468736E-4</v>
      </c>
      <c r="CG205" s="1395">
        <f t="shared" si="395"/>
        <v>-1.5946945151033792E-5</v>
      </c>
      <c r="CH205" s="1397">
        <f t="shared" si="395"/>
        <v>0</v>
      </c>
      <c r="CI205" s="1395">
        <f t="shared" si="395"/>
        <v>0</v>
      </c>
      <c r="CJ205" s="1395">
        <f t="shared" si="395"/>
        <v>0</v>
      </c>
      <c r="CK205" s="1395">
        <f t="shared" si="395"/>
        <v>0</v>
      </c>
      <c r="CL205" s="1395">
        <f t="shared" si="395"/>
        <v>0</v>
      </c>
      <c r="CM205" s="1397">
        <f t="shared" si="395"/>
        <v>0</v>
      </c>
      <c r="CN205" s="1395">
        <f t="shared" si="395"/>
        <v>0</v>
      </c>
      <c r="CO205" s="1395">
        <f t="shared" si="395"/>
        <v>0</v>
      </c>
      <c r="CP205" s="1395">
        <f t="shared" si="395"/>
        <v>0</v>
      </c>
      <c r="CQ205" s="1395">
        <f t="shared" si="395"/>
        <v>0</v>
      </c>
      <c r="CR205" s="1398">
        <f t="shared" si="395"/>
        <v>0</v>
      </c>
      <c r="CS205" s="1378"/>
      <c r="CT205" s="1392" t="str">
        <f t="shared" si="328"/>
        <v>Qty</v>
      </c>
      <c r="CU205" s="1393" t="str">
        <f t="shared" si="329"/>
        <v>Trade Waste</v>
      </c>
      <c r="CV205" s="1393" t="str">
        <f t="shared" si="330"/>
        <v>Variable</v>
      </c>
      <c r="CW205" s="1401">
        <f t="shared" si="354"/>
        <v>0</v>
      </c>
      <c r="CX205" s="1395">
        <f t="shared" si="355"/>
        <v>0</v>
      </c>
      <c r="CY205" s="1395">
        <f t="shared" si="356"/>
        <v>0</v>
      </c>
      <c r="CZ205" s="1398">
        <f t="shared" si="357"/>
        <v>0</v>
      </c>
      <c r="DA205" s="1395">
        <f t="shared" si="358"/>
        <v>0</v>
      </c>
      <c r="DB205" s="1395">
        <f t="shared" si="359"/>
        <v>0</v>
      </c>
      <c r="DC205" s="1395">
        <f t="shared" si="360"/>
        <v>0</v>
      </c>
      <c r="DD205" s="1395">
        <f t="shared" si="361"/>
        <v>0</v>
      </c>
      <c r="DE205" s="1398">
        <f t="shared" si="362"/>
        <v>0</v>
      </c>
      <c r="DF205" s="1378"/>
      <c r="DG205" s="1392" t="str">
        <f t="shared" si="363"/>
        <v>Qty</v>
      </c>
      <c r="DH205" s="1393" t="str">
        <f t="shared" si="363"/>
        <v>Trade Waste</v>
      </c>
      <c r="DI205" s="1393" t="str">
        <f t="shared" si="363"/>
        <v>Variable</v>
      </c>
      <c r="DJ205" s="1393"/>
      <c r="DK205" s="1401">
        <f t="shared" si="364"/>
        <v>0</v>
      </c>
      <c r="DL205" s="1395">
        <f t="shared" si="365"/>
        <v>0</v>
      </c>
      <c r="DM205" s="1395">
        <f t="shared" si="366"/>
        <v>0</v>
      </c>
      <c r="DN205" s="1397">
        <f t="shared" si="367"/>
        <v>0</v>
      </c>
      <c r="DO205" s="1395">
        <f t="shared" si="368"/>
        <v>0</v>
      </c>
      <c r="DP205" s="1395">
        <f t="shared" si="369"/>
        <v>0</v>
      </c>
      <c r="DQ205" s="1395">
        <f t="shared" si="370"/>
        <v>0</v>
      </c>
      <c r="DR205" s="1398">
        <f t="shared" si="371"/>
        <v>0</v>
      </c>
    </row>
    <row r="206" spans="4:122" ht="12.75" thickBot="1">
      <c r="E206" s="743" t="s">
        <v>46</v>
      </c>
      <c r="F206" s="732" t="str">
        <f>+F204</f>
        <v>Trade Waste</v>
      </c>
      <c r="G206" s="733" t="str">
        <f>+G204</f>
        <v>Major - Oil and Grease</v>
      </c>
      <c r="H206" s="733">
        <f>+H204</f>
        <v>0</v>
      </c>
      <c r="I206" s="734" t="str">
        <f>+I204</f>
        <v>Variable</v>
      </c>
      <c r="J206" s="735" t="s">
        <v>344</v>
      </c>
      <c r="K206" s="736">
        <f t="shared" ref="K206:AG206" si="396">K204*K205/10^6</f>
        <v>0</v>
      </c>
      <c r="L206" s="737">
        <f t="shared" si="396"/>
        <v>0</v>
      </c>
      <c r="M206" s="737">
        <f t="shared" si="396"/>
        <v>0</v>
      </c>
      <c r="N206" s="738">
        <f t="shared" si="396"/>
        <v>0</v>
      </c>
      <c r="O206" s="1923">
        <f t="shared" si="396"/>
        <v>7.126933431004541E-2</v>
      </c>
      <c r="P206" s="737">
        <f t="shared" si="396"/>
        <v>8.4089302284693856E-2</v>
      </c>
      <c r="Q206" s="737">
        <f t="shared" si="396"/>
        <v>7.1817114874708626E-2</v>
      </c>
      <c r="R206" s="737">
        <f t="shared" si="396"/>
        <v>7.6291576065359967E-2</v>
      </c>
      <c r="S206" s="737">
        <f t="shared" si="396"/>
        <v>8.6800890920498572E-2</v>
      </c>
      <c r="T206" s="1531">
        <f t="shared" si="396"/>
        <v>8.5604179956048534E-2</v>
      </c>
      <c r="U206" s="737">
        <f t="shared" si="396"/>
        <v>6.1740849357165131E-2</v>
      </c>
      <c r="V206" s="737">
        <f t="shared" si="396"/>
        <v>6.0738482070025974E-2</v>
      </c>
      <c r="W206" s="737">
        <f t="shared" si="396"/>
        <v>6.0979313548528077E-2</v>
      </c>
      <c r="X206" s="738">
        <f t="shared" si="396"/>
        <v>6.41807275098258E-2</v>
      </c>
      <c r="Y206" s="737">
        <f t="shared" si="396"/>
        <v>6.7550215704091657E-2</v>
      </c>
      <c r="Z206" s="737">
        <f t="shared" si="396"/>
        <v>7.1096602028556458E-2</v>
      </c>
      <c r="AA206" s="737">
        <f t="shared" si="396"/>
        <v>7.4829173635055674E-2</v>
      </c>
      <c r="AB206" s="737">
        <f t="shared" si="396"/>
        <v>7.8757705250896107E-2</v>
      </c>
      <c r="AC206" s="738">
        <f t="shared" si="396"/>
        <v>8.0017828534910448E-2</v>
      </c>
      <c r="AD206" s="737">
        <f t="shared" si="396"/>
        <v>8.1298113791469021E-2</v>
      </c>
      <c r="AE206" s="737">
        <f t="shared" si="396"/>
        <v>8.2598883612132523E-2</v>
      </c>
      <c r="AF206" s="737">
        <f t="shared" si="396"/>
        <v>8.3920465749926662E-2</v>
      </c>
      <c r="AG206" s="739">
        <f t="shared" si="396"/>
        <v>8.5263193201925477E-2</v>
      </c>
      <c r="AH206" s="697"/>
      <c r="AI206" s="707"/>
      <c r="AJ206" s="709">
        <f t="shared" si="375"/>
        <v>6.41807275098258E-2</v>
      </c>
      <c r="AK206" s="710">
        <f t="shared" si="376"/>
        <v>6.7550215704091657E-2</v>
      </c>
      <c r="AL206" s="710">
        <f t="shared" si="377"/>
        <v>7.1096602028556458E-2</v>
      </c>
      <c r="AM206" s="710">
        <f t="shared" si="378"/>
        <v>7.4829173635055674E-2</v>
      </c>
      <c r="AN206" s="710">
        <f t="shared" si="379"/>
        <v>7.8757705250896107E-2</v>
      </c>
      <c r="AO206" s="711">
        <f t="shared" si="380"/>
        <v>8.0017828534910448E-2</v>
      </c>
      <c r="AP206" s="707">
        <f t="shared" si="381"/>
        <v>8.1298113791469021E-2</v>
      </c>
      <c r="AQ206" s="707">
        <f t="shared" si="382"/>
        <v>8.2598883612132523E-2</v>
      </c>
      <c r="AR206" s="707">
        <f t="shared" si="383"/>
        <v>8.3920465749926662E-2</v>
      </c>
      <c r="AS206" s="712">
        <f t="shared" si="384"/>
        <v>8.5263193201925477E-2</v>
      </c>
      <c r="AV206" s="1559"/>
      <c r="AW206" s="1428" t="str">
        <f t="shared" si="332"/>
        <v>Rev</v>
      </c>
      <c r="AX206" s="1429" t="str">
        <f t="shared" si="332"/>
        <v>Trade Waste</v>
      </c>
      <c r="AY206" s="1430" t="str">
        <f t="shared" si="333"/>
        <v>Variable</v>
      </c>
      <c r="AZ206" s="1431">
        <f t="shared" si="334"/>
        <v>0.17988056292033416</v>
      </c>
      <c r="BA206" s="1431">
        <f t="shared" si="334"/>
        <v>-0.14594231461733798</v>
      </c>
      <c r="BB206" s="1431">
        <f t="shared" si="334"/>
        <v>6.2303549766061117E-2</v>
      </c>
      <c r="BC206" s="1431">
        <f t="shared" si="335"/>
        <v>0.13775196944594703</v>
      </c>
      <c r="BD206" s="1431">
        <f t="shared" si="336"/>
        <v>-1.3786851168913872E-2</v>
      </c>
      <c r="BE206" s="1431">
        <f t="shared" si="337"/>
        <v>-0.27876361424331697</v>
      </c>
      <c r="BF206" s="1431">
        <f t="shared" si="338"/>
        <v>-1.6235074469749478E-2</v>
      </c>
      <c r="BG206" s="1432">
        <f t="shared" si="339"/>
        <v>3.9650559298542998E-3</v>
      </c>
      <c r="BH206" s="1431">
        <f t="shared" si="340"/>
        <v>5.2499999999999991E-2</v>
      </c>
      <c r="BI206" s="1431">
        <f t="shared" si="341"/>
        <v>5.2499999999999991E-2</v>
      </c>
      <c r="BJ206" s="1431">
        <f t="shared" si="342"/>
        <v>5.2499999999999769E-2</v>
      </c>
      <c r="BK206" s="1431">
        <f t="shared" si="343"/>
        <v>5.2499999999999991E-2</v>
      </c>
      <c r="BL206" s="1433">
        <f t="shared" si="344"/>
        <v>5.2500000000000213E-2</v>
      </c>
      <c r="BM206" s="1431">
        <f t="shared" si="345"/>
        <v>1.6000000000000014E-2</v>
      </c>
      <c r="BN206" s="1431">
        <f t="shared" si="346"/>
        <v>1.6000000000000014E-2</v>
      </c>
      <c r="BO206" s="1431">
        <f t="shared" si="347"/>
        <v>1.6000000000000014E-2</v>
      </c>
      <c r="BP206" s="1431">
        <f t="shared" si="348"/>
        <v>1.6000000000000236E-2</v>
      </c>
      <c r="BQ206" s="1434">
        <f t="shared" si="349"/>
        <v>1.5999999999999792E-2</v>
      </c>
      <c r="BR206" s="1378"/>
      <c r="BS206" s="1407"/>
      <c r="BT206" s="1408"/>
      <c r="BU206" s="1409"/>
      <c r="BV206" s="1410"/>
      <c r="BW206" s="1378"/>
      <c r="BX206" s="1428" t="str">
        <f t="shared" si="350"/>
        <v>Rev</v>
      </c>
      <c r="BY206" s="1429" t="str">
        <f t="shared" si="351"/>
        <v>Trade Waste</v>
      </c>
      <c r="BZ206" s="1430" t="str">
        <f t="shared" si="352"/>
        <v>Variable</v>
      </c>
      <c r="CA206" s="1435">
        <f t="shared" ref="CA206:CR206" si="397">IFERROR((P206/O206-1)*(O206/O$13),"-")</f>
        <v>1.7001980324915153E-4</v>
      </c>
      <c r="CB206" s="1431">
        <f t="shared" si="397"/>
        <v>-1.5863925741073229E-4</v>
      </c>
      <c r="CC206" s="1431">
        <f t="shared" si="397"/>
        <v>5.8883972345908371E-5</v>
      </c>
      <c r="CD206" s="1431">
        <f t="shared" si="397"/>
        <v>1.4086793925070703E-4</v>
      </c>
      <c r="CE206" s="1431">
        <f t="shared" si="397"/>
        <v>-1.6602440431733959E-5</v>
      </c>
      <c r="CF206" s="1431">
        <f t="shared" si="397"/>
        <v>-3.1972150151350523E-4</v>
      </c>
      <c r="CG206" s="1431">
        <f t="shared" si="397"/>
        <v>-1.2782743569659765E-5</v>
      </c>
      <c r="CH206" s="1433">
        <f t="shared" si="397"/>
        <v>2.9317661349514499E-6</v>
      </c>
      <c r="CI206" s="1431">
        <f t="shared" si="397"/>
        <v>3.9683875954865418E-5</v>
      </c>
      <c r="CJ206" s="1431">
        <f t="shared" si="397"/>
        <v>3.8826671214726219E-5</v>
      </c>
      <c r="CK206" s="1431">
        <f t="shared" si="397"/>
        <v>3.8412070427015359E-5</v>
      </c>
      <c r="CL206" s="1431">
        <f t="shared" si="397"/>
        <v>3.8000274015607034E-5</v>
      </c>
      <c r="CM206" s="1433">
        <f t="shared" si="397"/>
        <v>3.7584557058003876E-5</v>
      </c>
      <c r="CN206" s="1431">
        <f t="shared" si="397"/>
        <v>1.1330682462170863E-5</v>
      </c>
      <c r="CO206" s="1431">
        <f t="shared" si="397"/>
        <v>1.120199200356286E-5</v>
      </c>
      <c r="CP206" s="1431">
        <f t="shared" si="397"/>
        <v>1.1071917923010889E-5</v>
      </c>
      <c r="CQ206" s="1431">
        <f t="shared" si="397"/>
        <v>1.0944615063467867E-5</v>
      </c>
      <c r="CR206" s="1434">
        <f t="shared" si="397"/>
        <v>1.0813481225814888E-5</v>
      </c>
      <c r="CS206" s="1378"/>
      <c r="CT206" s="1428" t="str">
        <f t="shared" si="328"/>
        <v>Rev</v>
      </c>
      <c r="CU206" s="1429" t="str">
        <f t="shared" si="329"/>
        <v>Trade Waste</v>
      </c>
      <c r="CV206" s="1429" t="str">
        <f t="shared" si="330"/>
        <v>Variable</v>
      </c>
      <c r="CW206" s="1435">
        <f t="shared" si="354"/>
        <v>5.2499999999999991E-2</v>
      </c>
      <c r="CX206" s="1431">
        <f t="shared" si="355"/>
        <v>5.2499999999999991E-2</v>
      </c>
      <c r="CY206" s="1431">
        <f t="shared" si="356"/>
        <v>5.2499999999999991E-2</v>
      </c>
      <c r="CZ206" s="1434">
        <f t="shared" si="357"/>
        <v>5.2499999999999991E-2</v>
      </c>
      <c r="DA206" s="1431">
        <f t="shared" si="358"/>
        <v>4.6326854261736994E-2</v>
      </c>
      <c r="DB206" s="1431">
        <f t="shared" si="359"/>
        <v>4.1939644324732628E-2</v>
      </c>
      <c r="DC206" s="1431">
        <f t="shared" si="360"/>
        <v>3.8661313083165672E-2</v>
      </c>
      <c r="DD206" s="1431">
        <f t="shared" si="361"/>
        <v>3.6118632816290797E-2</v>
      </c>
      <c r="DE206" s="1434">
        <f t="shared" si="362"/>
        <v>3.4088971027155024E-2</v>
      </c>
      <c r="DF206" s="1378"/>
      <c r="DG206" s="1428" t="str">
        <f t="shared" si="363"/>
        <v>Rev</v>
      </c>
      <c r="DH206" s="1429" t="str">
        <f t="shared" si="363"/>
        <v>Trade Waste</v>
      </c>
      <c r="DI206" s="1429" t="str">
        <f t="shared" si="363"/>
        <v>Variable</v>
      </c>
      <c r="DJ206" s="1429"/>
      <c r="DK206" s="1435">
        <f t="shared" si="364"/>
        <v>5.2499999999999991E-2</v>
      </c>
      <c r="DL206" s="1431">
        <f t="shared" si="365"/>
        <v>5.2499999999999991E-2</v>
      </c>
      <c r="DM206" s="1431">
        <f t="shared" si="366"/>
        <v>5.2499999999999991E-2</v>
      </c>
      <c r="DN206" s="1433">
        <f t="shared" si="367"/>
        <v>4.5096576751770812E-2</v>
      </c>
      <c r="DO206" s="1431">
        <f t="shared" si="368"/>
        <v>4.0189915391222852E-2</v>
      </c>
      <c r="DP206" s="1431">
        <f t="shared" si="369"/>
        <v>3.6699267547711134E-2</v>
      </c>
      <c r="DQ206" s="1431">
        <f t="shared" si="370"/>
        <v>3.4088971027155024E-2</v>
      </c>
      <c r="DR206" s="1434">
        <f t="shared" si="371"/>
        <v>3.2063285160126576E-2</v>
      </c>
    </row>
    <row r="207" spans="4:122">
      <c r="D207" s="70">
        <f>D204+1</f>
        <v>48</v>
      </c>
      <c r="E207" s="713" t="s">
        <v>44</v>
      </c>
      <c r="F207" s="1532" t="s">
        <v>316</v>
      </c>
      <c r="G207" s="1532" t="s">
        <v>910</v>
      </c>
      <c r="H207" s="1532"/>
      <c r="I207" s="781" t="s">
        <v>320</v>
      </c>
      <c r="J207" s="781" t="s">
        <v>345</v>
      </c>
      <c r="K207" s="1533"/>
      <c r="L207" s="1534"/>
      <c r="M207" s="1534"/>
      <c r="N207" s="1535"/>
      <c r="O207" s="2071">
        <v>0.13828072398190044</v>
      </c>
      <c r="P207" s="1547">
        <v>0.13882566607460034</v>
      </c>
      <c r="Q207" s="1547">
        <v>0.1393435582822086</v>
      </c>
      <c r="R207" s="1547">
        <v>0.13985531732418524</v>
      </c>
      <c r="S207" s="1536">
        <v>0.14046132315521628</v>
      </c>
      <c r="T207" s="1536">
        <v>0.14104067796610167</v>
      </c>
      <c r="U207" s="1536">
        <v>0.14165497737556562</v>
      </c>
      <c r="V207" s="1536">
        <v>0.14223602620087333</v>
      </c>
      <c r="W207" s="1536">
        <v>0.14280000000000001</v>
      </c>
      <c r="X207" s="1537">
        <v>0.15029700000000001</v>
      </c>
      <c r="Y207" s="1538">
        <v>0.1581875925</v>
      </c>
      <c r="Z207" s="1538">
        <v>0.16649244110625</v>
      </c>
      <c r="AA207" s="1538">
        <v>0.17523329426432813</v>
      </c>
      <c r="AB207" s="1538">
        <v>0.18443304221320536</v>
      </c>
      <c r="AC207" s="1537">
        <v>0.18738397088861666</v>
      </c>
      <c r="AD207" s="1538">
        <v>0.19038211442283454</v>
      </c>
      <c r="AE207" s="1538">
        <v>0.1934282282535999</v>
      </c>
      <c r="AF207" s="1538">
        <v>0.19652307990565751</v>
      </c>
      <c r="AG207" s="1539">
        <v>0.19966744918414803</v>
      </c>
      <c r="AH207" s="697"/>
      <c r="AI207" s="707"/>
      <c r="AJ207" s="709">
        <f t="shared" si="375"/>
        <v>0.15029700000000001</v>
      </c>
      <c r="AK207" s="710">
        <f t="shared" si="376"/>
        <v>0.1581875925</v>
      </c>
      <c r="AL207" s="710">
        <f t="shared" si="377"/>
        <v>0.16649244110625</v>
      </c>
      <c r="AM207" s="710">
        <f t="shared" si="378"/>
        <v>0.17523329426432813</v>
      </c>
      <c r="AN207" s="710">
        <f t="shared" si="379"/>
        <v>0.18443304221320536</v>
      </c>
      <c r="AO207" s="711">
        <f t="shared" si="380"/>
        <v>0.18738397088861666</v>
      </c>
      <c r="AP207" s="707">
        <f t="shared" si="381"/>
        <v>0.19038211442283454</v>
      </c>
      <c r="AQ207" s="707">
        <f t="shared" si="382"/>
        <v>0.1934282282535999</v>
      </c>
      <c r="AR207" s="707">
        <f t="shared" si="383"/>
        <v>0.19652307990565751</v>
      </c>
      <c r="AS207" s="712">
        <f t="shared" si="384"/>
        <v>0.19966744918414803</v>
      </c>
      <c r="AU207" s="1369"/>
      <c r="AV207" s="1559"/>
      <c r="AW207" s="1412" t="str">
        <f t="shared" si="332"/>
        <v>Price</v>
      </c>
      <c r="AX207" s="1413" t="str">
        <f t="shared" si="332"/>
        <v>Trade Waste</v>
      </c>
      <c r="AY207" s="1414" t="str">
        <f t="shared" si="333"/>
        <v>Variable</v>
      </c>
      <c r="AZ207" s="1415">
        <f t="shared" si="334"/>
        <v>3.9408391640416429E-3</v>
      </c>
      <c r="BA207" s="1415">
        <f t="shared" si="334"/>
        <v>3.7305220443166753E-3</v>
      </c>
      <c r="BB207" s="1415">
        <f t="shared" si="334"/>
        <v>3.6726422684010274E-3</v>
      </c>
      <c r="BC207" s="1415">
        <f t="shared" si="335"/>
        <v>4.3330911017585017E-3</v>
      </c>
      <c r="BD207" s="1415">
        <f t="shared" si="336"/>
        <v>4.1246572214415078E-3</v>
      </c>
      <c r="BE207" s="1415">
        <f t="shared" si="337"/>
        <v>4.3554768618709883E-3</v>
      </c>
      <c r="BF207" s="1415">
        <f t="shared" si="338"/>
        <v>4.1018595750941245E-3</v>
      </c>
      <c r="BG207" s="1416">
        <f t="shared" si="339"/>
        <v>3.9650559298542998E-3</v>
      </c>
      <c r="BH207" s="1417">
        <f t="shared" si="340"/>
        <v>5.2499999999999991E-2</v>
      </c>
      <c r="BI207" s="1417">
        <f t="shared" si="341"/>
        <v>5.2499999999999991E-2</v>
      </c>
      <c r="BJ207" s="1417">
        <f t="shared" si="342"/>
        <v>5.2499999999999991E-2</v>
      </c>
      <c r="BK207" s="1417">
        <f t="shared" si="343"/>
        <v>5.2499999999999991E-2</v>
      </c>
      <c r="BL207" s="1418">
        <f t="shared" si="344"/>
        <v>5.2499999999999991E-2</v>
      </c>
      <c r="BM207" s="1417">
        <f t="shared" si="345"/>
        <v>1.6000000000000014E-2</v>
      </c>
      <c r="BN207" s="1417">
        <f t="shared" si="346"/>
        <v>1.6000000000000014E-2</v>
      </c>
      <c r="BO207" s="1417">
        <f t="shared" si="347"/>
        <v>1.6000000000000014E-2</v>
      </c>
      <c r="BP207" s="1417">
        <f t="shared" si="348"/>
        <v>1.6000000000000014E-2</v>
      </c>
      <c r="BQ207" s="1419">
        <f t="shared" si="349"/>
        <v>1.6000000000000014E-2</v>
      </c>
      <c r="BR207" s="1378"/>
      <c r="BS207" s="1420"/>
      <c r="BT207" s="1421"/>
      <c r="BU207" s="1422"/>
      <c r="BV207" s="1423"/>
      <c r="BW207" s="1378"/>
      <c r="BX207" s="1412" t="str">
        <f t="shared" si="350"/>
        <v>Price</v>
      </c>
      <c r="BY207" s="1413" t="str">
        <f t="shared" si="351"/>
        <v>Trade Waste</v>
      </c>
      <c r="BZ207" s="1414" t="str">
        <f t="shared" si="352"/>
        <v>Variable</v>
      </c>
      <c r="CA207" s="1424">
        <f t="shared" ref="CA207:CR207" si="398">IFERROR((P207/O207-1)*(O209/O$13),"-")</f>
        <v>6.3857917916141481E-7</v>
      </c>
      <c r="CB207" s="1415">
        <f t="shared" si="398"/>
        <v>5.0468750361802414E-7</v>
      </c>
      <c r="CC207" s="1415">
        <f t="shared" si="398"/>
        <v>5.9507774593706035E-7</v>
      </c>
      <c r="CD207" s="1415">
        <f t="shared" si="398"/>
        <v>6.8261354567348409E-7</v>
      </c>
      <c r="CE207" s="1415">
        <f t="shared" si="398"/>
        <v>4.6345664980236585E-7</v>
      </c>
      <c r="CF207" s="1415">
        <f t="shared" si="398"/>
        <v>6.9765244638225822E-7</v>
      </c>
      <c r="CG207" s="1415">
        <f t="shared" si="398"/>
        <v>4.1526011414789118E-7</v>
      </c>
      <c r="CH207" s="1425">
        <f t="shared" si="398"/>
        <v>3.7853381924475835E-7</v>
      </c>
      <c r="CI207" s="1417">
        <f t="shared" si="398"/>
        <v>5.1237678710274066E-6</v>
      </c>
      <c r="CJ207" s="1417">
        <f t="shared" si="398"/>
        <v>5.0130902217117757E-6</v>
      </c>
      <c r="CK207" s="1417">
        <f t="shared" si="398"/>
        <v>4.9595592057951116E-6</v>
      </c>
      <c r="CL207" s="1417">
        <f t="shared" si="398"/>
        <v>4.9063902758100741E-6</v>
      </c>
      <c r="CM207" s="1418">
        <f t="shared" si="398"/>
        <v>4.852715146061364E-6</v>
      </c>
      <c r="CN207" s="1417">
        <f t="shared" si="398"/>
        <v>1.4629565625725345E-6</v>
      </c>
      <c r="CO207" s="1417">
        <f t="shared" si="398"/>
        <v>1.4463407451590992E-6</v>
      </c>
      <c r="CP207" s="1417">
        <f t="shared" si="398"/>
        <v>1.4295462819483071E-6</v>
      </c>
      <c r="CQ207" s="1417">
        <f t="shared" si="398"/>
        <v>1.4131096238366072E-6</v>
      </c>
      <c r="CR207" s="1419">
        <f t="shared" si="398"/>
        <v>1.396178330508972E-6</v>
      </c>
      <c r="CS207" s="1378"/>
      <c r="CT207" s="1412" t="str">
        <f t="shared" si="328"/>
        <v>Price</v>
      </c>
      <c r="CU207" s="1413" t="str">
        <f t="shared" si="329"/>
        <v>Trade Waste</v>
      </c>
      <c r="CV207" s="1426" t="str">
        <f t="shared" si="330"/>
        <v>Variable</v>
      </c>
      <c r="CW207" s="1427">
        <f t="shared" si="354"/>
        <v>5.2499999999999991E-2</v>
      </c>
      <c r="CX207" s="1417">
        <f t="shared" si="355"/>
        <v>5.2499999999999991E-2</v>
      </c>
      <c r="CY207" s="1417">
        <f t="shared" si="356"/>
        <v>5.2499999999999991E-2</v>
      </c>
      <c r="CZ207" s="1419">
        <f t="shared" si="357"/>
        <v>5.2499999999999991E-2</v>
      </c>
      <c r="DA207" s="1417">
        <f t="shared" si="358"/>
        <v>4.6326854261736994E-2</v>
      </c>
      <c r="DB207" s="1417">
        <f t="shared" si="359"/>
        <v>4.1939644324732628E-2</v>
      </c>
      <c r="DC207" s="1417">
        <f t="shared" si="360"/>
        <v>3.8661313083165672E-2</v>
      </c>
      <c r="DD207" s="1417">
        <f t="shared" si="361"/>
        <v>3.6118632816290797E-2</v>
      </c>
      <c r="DE207" s="1419">
        <f t="shared" si="362"/>
        <v>3.4088971027155024E-2</v>
      </c>
      <c r="DF207" s="1378"/>
      <c r="DG207" s="1412" t="str">
        <f t="shared" si="363"/>
        <v>Price</v>
      </c>
      <c r="DH207" s="1413" t="str">
        <f t="shared" si="363"/>
        <v>Trade Waste</v>
      </c>
      <c r="DI207" s="1426" t="str">
        <f t="shared" si="363"/>
        <v>Variable</v>
      </c>
      <c r="DJ207" s="1426"/>
      <c r="DK207" s="1427">
        <f t="shared" si="364"/>
        <v>5.2499999999999991E-2</v>
      </c>
      <c r="DL207" s="1417">
        <f t="shared" si="365"/>
        <v>5.2499999999999991E-2</v>
      </c>
      <c r="DM207" s="1417">
        <f t="shared" si="366"/>
        <v>5.2499999999999991E-2</v>
      </c>
      <c r="DN207" s="1418">
        <f t="shared" si="367"/>
        <v>4.5096576751770812E-2</v>
      </c>
      <c r="DO207" s="1417">
        <f t="shared" si="368"/>
        <v>4.0189915391222852E-2</v>
      </c>
      <c r="DP207" s="1417">
        <f t="shared" si="369"/>
        <v>3.6699267547711134E-2</v>
      </c>
      <c r="DQ207" s="1417">
        <f t="shared" si="370"/>
        <v>3.4088971027155024E-2</v>
      </c>
      <c r="DR207" s="1419">
        <f t="shared" si="371"/>
        <v>3.2063285160126576E-2</v>
      </c>
    </row>
    <row r="208" spans="4:122">
      <c r="E208" s="742" t="s">
        <v>45</v>
      </c>
      <c r="F208" s="722" t="str">
        <f>+F207</f>
        <v>Trade Waste</v>
      </c>
      <c r="G208" s="723" t="str">
        <f>+G207</f>
        <v>Major - Ammonia</v>
      </c>
      <c r="H208" s="723">
        <f>+H207</f>
        <v>0</v>
      </c>
      <c r="I208" s="724" t="str">
        <f>+I207</f>
        <v>Variable</v>
      </c>
      <c r="J208" s="782" t="s">
        <v>221</v>
      </c>
      <c r="K208" s="1540"/>
      <c r="L208" s="1541"/>
      <c r="M208" s="1541"/>
      <c r="N208" s="1542"/>
      <c r="O208" s="2031">
        <v>88359.211183058826</v>
      </c>
      <c r="P208" s="1543">
        <v>75386.657072000002</v>
      </c>
      <c r="Q208" s="1543">
        <v>88359.21118305884</v>
      </c>
      <c r="R208" s="1543">
        <v>84035.026479372566</v>
      </c>
      <c r="S208" s="1543">
        <v>57660.956149164289</v>
      </c>
      <c r="T208" s="1543">
        <v>84765.326208599829</v>
      </c>
      <c r="U208" s="1543">
        <v>56041.583673004548</v>
      </c>
      <c r="V208" s="1543">
        <v>55135.292939620849</v>
      </c>
      <c r="W208" s="1543">
        <v>55135.292939620849</v>
      </c>
      <c r="X208" s="1544">
        <v>55135.292939620849</v>
      </c>
      <c r="Y208" s="1543">
        <v>55135.292939620849</v>
      </c>
      <c r="Z208" s="1543">
        <v>55135.292939620849</v>
      </c>
      <c r="AA208" s="1543">
        <v>55135.292939620849</v>
      </c>
      <c r="AB208" s="1543">
        <v>55135.292939620849</v>
      </c>
      <c r="AC208" s="1544">
        <v>55135.292939620849</v>
      </c>
      <c r="AD208" s="1543">
        <v>55135.292939620849</v>
      </c>
      <c r="AE208" s="1543">
        <v>55135.292939620849</v>
      </c>
      <c r="AF208" s="1543">
        <v>55135.292939620849</v>
      </c>
      <c r="AG208" s="1553">
        <v>55135.292939620849</v>
      </c>
      <c r="AH208" s="697"/>
      <c r="AI208" s="707"/>
      <c r="AJ208" s="709">
        <f t="shared" si="375"/>
        <v>55135.292939620849</v>
      </c>
      <c r="AK208" s="710">
        <f t="shared" si="376"/>
        <v>55135.292939620849</v>
      </c>
      <c r="AL208" s="710">
        <f t="shared" si="377"/>
        <v>55135.292939620849</v>
      </c>
      <c r="AM208" s="710">
        <f t="shared" si="378"/>
        <v>55135.292939620849</v>
      </c>
      <c r="AN208" s="710">
        <f t="shared" si="379"/>
        <v>55135.292939620849</v>
      </c>
      <c r="AO208" s="711">
        <f t="shared" si="380"/>
        <v>55135.292939620849</v>
      </c>
      <c r="AP208" s="707">
        <f t="shared" si="381"/>
        <v>55135.292939620849</v>
      </c>
      <c r="AQ208" s="707">
        <f t="shared" si="382"/>
        <v>55135.292939620849</v>
      </c>
      <c r="AR208" s="707">
        <f t="shared" si="383"/>
        <v>55135.292939620849</v>
      </c>
      <c r="AS208" s="712">
        <f t="shared" si="384"/>
        <v>55135.292939620849</v>
      </c>
      <c r="AV208" s="1559"/>
      <c r="AW208" s="1392" t="str">
        <f t="shared" si="332"/>
        <v>Qty</v>
      </c>
      <c r="AX208" s="1393" t="str">
        <f t="shared" si="332"/>
        <v>Trade Waste</v>
      </c>
      <c r="AY208" s="1394" t="str">
        <f t="shared" si="333"/>
        <v>Variable</v>
      </c>
      <c r="AZ208" s="1395">
        <f t="shared" si="334"/>
        <v>-0.1468160923730164</v>
      </c>
      <c r="BA208" s="1395">
        <f t="shared" si="334"/>
        <v>0.17208024091941176</v>
      </c>
      <c r="BB208" s="1395">
        <f t="shared" si="334"/>
        <v>-4.8938697457672098E-2</v>
      </c>
      <c r="BC208" s="1395">
        <f t="shared" si="335"/>
        <v>-0.31384615957349782</v>
      </c>
      <c r="BD208" s="1395">
        <f t="shared" si="336"/>
        <v>0.47006452666720788</v>
      </c>
      <c r="BE208" s="1395">
        <f t="shared" si="337"/>
        <v>-0.33886193589238056</v>
      </c>
      <c r="BF208" s="1395">
        <f t="shared" si="338"/>
        <v>-1.6171754507720348E-2</v>
      </c>
      <c r="BG208" s="1396">
        <f t="shared" si="339"/>
        <v>0</v>
      </c>
      <c r="BH208" s="1395">
        <f t="shared" si="340"/>
        <v>0</v>
      </c>
      <c r="BI208" s="1395">
        <f t="shared" si="341"/>
        <v>0</v>
      </c>
      <c r="BJ208" s="1395">
        <f t="shared" si="342"/>
        <v>0</v>
      </c>
      <c r="BK208" s="1395">
        <f t="shared" si="343"/>
        <v>0</v>
      </c>
      <c r="BL208" s="1397">
        <f t="shared" si="344"/>
        <v>0</v>
      </c>
      <c r="BM208" s="1395">
        <f t="shared" si="345"/>
        <v>0</v>
      </c>
      <c r="BN208" s="1395">
        <f t="shared" si="346"/>
        <v>0</v>
      </c>
      <c r="BO208" s="1395">
        <f t="shared" si="347"/>
        <v>0</v>
      </c>
      <c r="BP208" s="1395">
        <f t="shared" si="348"/>
        <v>0</v>
      </c>
      <c r="BQ208" s="1398">
        <f t="shared" si="349"/>
        <v>0</v>
      </c>
      <c r="BR208" s="1378"/>
      <c r="BS208" s="1329"/>
      <c r="BT208" s="1399"/>
      <c r="BU208" s="1331"/>
      <c r="BV208" s="1400"/>
      <c r="BW208" s="1378"/>
      <c r="BX208" s="1392" t="str">
        <f t="shared" si="350"/>
        <v>Qty</v>
      </c>
      <c r="BY208" s="1393" t="str">
        <f t="shared" si="351"/>
        <v>Trade Waste</v>
      </c>
      <c r="BZ208" s="1394" t="str">
        <f t="shared" si="352"/>
        <v>Variable</v>
      </c>
      <c r="CA208" s="1401">
        <f t="shared" ref="CA208:CR208" si="399">IFERROR((P208/O208-1)*(O209/O$13),"-")</f>
        <v>-2.3790288274311459E-5</v>
      </c>
      <c r="CB208" s="1395">
        <f t="shared" si="399"/>
        <v>2.3280052008783647E-5</v>
      </c>
      <c r="CC208" s="1395">
        <f t="shared" si="399"/>
        <v>-7.9295307421504898E-6</v>
      </c>
      <c r="CD208" s="1395">
        <f t="shared" si="399"/>
        <v>-4.9441757570139253E-5</v>
      </c>
      <c r="CE208" s="1395">
        <f t="shared" si="399"/>
        <v>5.2817608597298668E-5</v>
      </c>
      <c r="CF208" s="1395">
        <f t="shared" si="399"/>
        <v>-5.4278295134735997E-5</v>
      </c>
      <c r="CG208" s="1395">
        <f t="shared" si="399"/>
        <v>-1.6371805274912481E-6</v>
      </c>
      <c r="CH208" s="1397">
        <f t="shared" si="399"/>
        <v>0</v>
      </c>
      <c r="CI208" s="1395">
        <f t="shared" si="399"/>
        <v>0</v>
      </c>
      <c r="CJ208" s="1395">
        <f t="shared" si="399"/>
        <v>0</v>
      </c>
      <c r="CK208" s="1395">
        <f t="shared" si="399"/>
        <v>0</v>
      </c>
      <c r="CL208" s="1395">
        <f t="shared" si="399"/>
        <v>0</v>
      </c>
      <c r="CM208" s="1397">
        <f t="shared" si="399"/>
        <v>0</v>
      </c>
      <c r="CN208" s="1395">
        <f t="shared" si="399"/>
        <v>0</v>
      </c>
      <c r="CO208" s="1395">
        <f t="shared" si="399"/>
        <v>0</v>
      </c>
      <c r="CP208" s="1395">
        <f t="shared" si="399"/>
        <v>0</v>
      </c>
      <c r="CQ208" s="1395">
        <f t="shared" si="399"/>
        <v>0</v>
      </c>
      <c r="CR208" s="1398">
        <f t="shared" si="399"/>
        <v>0</v>
      </c>
      <c r="CS208" s="1378"/>
      <c r="CT208" s="1392" t="str">
        <f t="shared" si="328"/>
        <v>Qty</v>
      </c>
      <c r="CU208" s="1393" t="str">
        <f t="shared" si="329"/>
        <v>Trade Waste</v>
      </c>
      <c r="CV208" s="1393" t="str">
        <f t="shared" si="330"/>
        <v>Variable</v>
      </c>
      <c r="CW208" s="1401">
        <f t="shared" si="354"/>
        <v>0</v>
      </c>
      <c r="CX208" s="1395">
        <f t="shared" si="355"/>
        <v>0</v>
      </c>
      <c r="CY208" s="1395">
        <f t="shared" si="356"/>
        <v>0</v>
      </c>
      <c r="CZ208" s="1398">
        <f t="shared" si="357"/>
        <v>0</v>
      </c>
      <c r="DA208" s="1395">
        <f t="shared" si="358"/>
        <v>0</v>
      </c>
      <c r="DB208" s="1395">
        <f t="shared" si="359"/>
        <v>0</v>
      </c>
      <c r="DC208" s="1395">
        <f t="shared" si="360"/>
        <v>0</v>
      </c>
      <c r="DD208" s="1395">
        <f t="shared" si="361"/>
        <v>0</v>
      </c>
      <c r="DE208" s="1398">
        <f t="shared" si="362"/>
        <v>0</v>
      </c>
      <c r="DF208" s="1378"/>
      <c r="DG208" s="1392" t="str">
        <f t="shared" si="363"/>
        <v>Qty</v>
      </c>
      <c r="DH208" s="1393" t="str">
        <f t="shared" si="363"/>
        <v>Trade Waste</v>
      </c>
      <c r="DI208" s="1393" t="str">
        <f t="shared" si="363"/>
        <v>Variable</v>
      </c>
      <c r="DJ208" s="1393"/>
      <c r="DK208" s="1401">
        <f t="shared" si="364"/>
        <v>0</v>
      </c>
      <c r="DL208" s="1395">
        <f t="shared" si="365"/>
        <v>0</v>
      </c>
      <c r="DM208" s="1395">
        <f t="shared" si="366"/>
        <v>0</v>
      </c>
      <c r="DN208" s="1397">
        <f t="shared" si="367"/>
        <v>0</v>
      </c>
      <c r="DO208" s="1395">
        <f t="shared" si="368"/>
        <v>0</v>
      </c>
      <c r="DP208" s="1395">
        <f t="shared" si="369"/>
        <v>0</v>
      </c>
      <c r="DQ208" s="1395">
        <f t="shared" si="370"/>
        <v>0</v>
      </c>
      <c r="DR208" s="1398">
        <f t="shared" si="371"/>
        <v>0</v>
      </c>
    </row>
    <row r="209" spans="4:122" ht="12.75" thickBot="1">
      <c r="E209" s="743" t="s">
        <v>46</v>
      </c>
      <c r="F209" s="732" t="str">
        <f>+F207</f>
        <v>Trade Waste</v>
      </c>
      <c r="G209" s="733" t="str">
        <f>+G207</f>
        <v>Major - Ammonia</v>
      </c>
      <c r="H209" s="733">
        <f>+H207</f>
        <v>0</v>
      </c>
      <c r="I209" s="734" t="str">
        <f>+I207</f>
        <v>Variable</v>
      </c>
      <c r="J209" s="735" t="s">
        <v>344</v>
      </c>
      <c r="K209" s="736">
        <f t="shared" ref="K209:AG209" si="400">K207*K208/10^6</f>
        <v>0</v>
      </c>
      <c r="L209" s="737">
        <f t="shared" si="400"/>
        <v>0</v>
      </c>
      <c r="M209" s="737">
        <f t="shared" si="400"/>
        <v>0</v>
      </c>
      <c r="N209" s="738">
        <f t="shared" si="400"/>
        <v>0</v>
      </c>
      <c r="O209" s="1923">
        <f t="shared" si="400"/>
        <v>1.2218375692863008E-2</v>
      </c>
      <c r="P209" s="737">
        <f t="shared" si="400"/>
        <v>1.046560288115788E-2</v>
      </c>
      <c r="Q209" s="737">
        <f t="shared" si="400"/>
        <v>1.2312286893256539E-2</v>
      </c>
      <c r="R209" s="737">
        <f t="shared" si="400"/>
        <v>1.1752745294618958E-2</v>
      </c>
      <c r="S209" s="737">
        <f t="shared" si="400"/>
        <v>8.0991341951065204E-3</v>
      </c>
      <c r="T209" s="1531">
        <f t="shared" si="400"/>
        <v>1.1955359076478687E-2</v>
      </c>
      <c r="U209" s="737">
        <f t="shared" si="400"/>
        <v>7.9385692672903265E-3</v>
      </c>
      <c r="V209" s="737">
        <f t="shared" si="400"/>
        <v>7.8422249711527382E-3</v>
      </c>
      <c r="W209" s="737">
        <f t="shared" si="400"/>
        <v>7.8733198317778585E-3</v>
      </c>
      <c r="X209" s="738">
        <f t="shared" si="400"/>
        <v>8.2866691229461966E-3</v>
      </c>
      <c r="Y209" s="737">
        <f t="shared" si="400"/>
        <v>8.7217192519008693E-3</v>
      </c>
      <c r="Z209" s="737">
        <f t="shared" si="400"/>
        <v>9.1796095126256659E-3</v>
      </c>
      <c r="AA209" s="737">
        <f t="shared" si="400"/>
        <v>9.6615390120385128E-3</v>
      </c>
      <c r="AB209" s="737">
        <f t="shared" si="400"/>
        <v>1.0168769810170536E-2</v>
      </c>
      <c r="AC209" s="738">
        <f t="shared" si="400"/>
        <v>1.0331470127133265E-2</v>
      </c>
      <c r="AD209" s="737">
        <f t="shared" si="400"/>
        <v>1.0496773649167396E-2</v>
      </c>
      <c r="AE209" s="737">
        <f t="shared" si="400"/>
        <v>1.0664722027554077E-2</v>
      </c>
      <c r="AF209" s="737">
        <f t="shared" si="400"/>
        <v>1.0835357579994943E-2</v>
      </c>
      <c r="AG209" s="739">
        <f t="shared" si="400"/>
        <v>1.1008723301274862E-2</v>
      </c>
      <c r="AH209" s="697"/>
      <c r="AI209" s="707"/>
      <c r="AJ209" s="709">
        <f t="shared" si="375"/>
        <v>8.2866691229461966E-3</v>
      </c>
      <c r="AK209" s="710">
        <f t="shared" si="376"/>
        <v>8.7217192519008693E-3</v>
      </c>
      <c r="AL209" s="710">
        <f t="shared" si="377"/>
        <v>9.1796095126256659E-3</v>
      </c>
      <c r="AM209" s="710">
        <f t="shared" si="378"/>
        <v>9.6615390120385128E-3</v>
      </c>
      <c r="AN209" s="710">
        <f t="shared" si="379"/>
        <v>1.0168769810170536E-2</v>
      </c>
      <c r="AO209" s="711">
        <f t="shared" si="380"/>
        <v>1.0331470127133265E-2</v>
      </c>
      <c r="AP209" s="707">
        <f t="shared" si="381"/>
        <v>1.0496773649167396E-2</v>
      </c>
      <c r="AQ209" s="707">
        <f t="shared" si="382"/>
        <v>1.0664722027554077E-2</v>
      </c>
      <c r="AR209" s="707">
        <f t="shared" si="383"/>
        <v>1.0835357579994943E-2</v>
      </c>
      <c r="AS209" s="712">
        <f t="shared" si="384"/>
        <v>1.1008723301274862E-2</v>
      </c>
      <c r="AV209" s="1559"/>
      <c r="AW209" s="1428" t="str">
        <f t="shared" si="332"/>
        <v>Rev</v>
      </c>
      <c r="AX209" s="1429" t="str">
        <f t="shared" si="332"/>
        <v>Trade Waste</v>
      </c>
      <c r="AY209" s="1430" t="str">
        <f t="shared" si="333"/>
        <v>Variable</v>
      </c>
      <c r="AZ209" s="1431">
        <f t="shared" si="334"/>
        <v>-0.14345383181570992</v>
      </c>
      <c r="BA209" s="1431">
        <f t="shared" si="334"/>
        <v>0.17645271209586988</v>
      </c>
      <c r="BB209" s="1431">
        <f t="shared" si="334"/>
        <v>-4.5445789518114843E-2</v>
      </c>
      <c r="BC209" s="1431">
        <f t="shared" si="335"/>
        <v>-0.31087299247310829</v>
      </c>
      <c r="BD209" s="1431">
        <f t="shared" si="336"/>
        <v>0.47612803893311084</v>
      </c>
      <c r="BE209" s="1431">
        <f t="shared" si="337"/>
        <v>-0.33598236435165774</v>
      </c>
      <c r="BF209" s="1431">
        <f t="shared" si="338"/>
        <v>-1.2136229198699611E-2</v>
      </c>
      <c r="BG209" s="1432">
        <f t="shared" si="339"/>
        <v>3.9650559298542998E-3</v>
      </c>
      <c r="BH209" s="1431">
        <f t="shared" si="340"/>
        <v>5.2499999999999991E-2</v>
      </c>
      <c r="BI209" s="1431">
        <f t="shared" si="341"/>
        <v>5.2499999999999769E-2</v>
      </c>
      <c r="BJ209" s="1431">
        <f t="shared" si="342"/>
        <v>5.2500000000000213E-2</v>
      </c>
      <c r="BK209" s="1431">
        <f t="shared" si="343"/>
        <v>5.2499999999999991E-2</v>
      </c>
      <c r="BL209" s="1433">
        <f t="shared" si="344"/>
        <v>5.2500000000000213E-2</v>
      </c>
      <c r="BM209" s="1431">
        <f t="shared" si="345"/>
        <v>1.6000000000000014E-2</v>
      </c>
      <c r="BN209" s="1431">
        <f t="shared" si="346"/>
        <v>1.6000000000000014E-2</v>
      </c>
      <c r="BO209" s="1431">
        <f t="shared" si="347"/>
        <v>1.6000000000000236E-2</v>
      </c>
      <c r="BP209" s="1431">
        <f t="shared" si="348"/>
        <v>1.6000000000000014E-2</v>
      </c>
      <c r="BQ209" s="1434">
        <f t="shared" si="349"/>
        <v>1.6000000000000014E-2</v>
      </c>
      <c r="BR209" s="1378"/>
      <c r="BS209" s="1407"/>
      <c r="BT209" s="1408"/>
      <c r="BU209" s="1409"/>
      <c r="BV209" s="1410"/>
      <c r="BW209" s="1378"/>
      <c r="BX209" s="1428" t="str">
        <f t="shared" si="350"/>
        <v>Rev</v>
      </c>
      <c r="BY209" s="1429" t="str">
        <f t="shared" si="351"/>
        <v>Trade Waste</v>
      </c>
      <c r="BZ209" s="1430" t="str">
        <f t="shared" si="352"/>
        <v>Variable</v>
      </c>
      <c r="CA209" s="1435">
        <f t="shared" ref="CA209:CR209" si="401">IFERROR((P209/O209-1)*(O209/O$13),"-")</f>
        <v>-2.3245462794905295E-5</v>
      </c>
      <c r="CB209" s="1431">
        <f t="shared" si="401"/>
        <v>2.3871586259613313E-5</v>
      </c>
      <c r="CC209" s="1431">
        <f t="shared" si="401"/>
        <v>-7.3635753259856747E-6</v>
      </c>
      <c r="CD209" s="1431">
        <f t="shared" si="401"/>
        <v>-4.8973379664248235E-5</v>
      </c>
      <c r="CE209" s="1431">
        <f t="shared" si="401"/>
        <v>5.3498919777821162E-5</v>
      </c>
      <c r="CF209" s="1431">
        <f t="shared" si="401"/>
        <v>-5.3817050546914903E-5</v>
      </c>
      <c r="CG209" s="1431">
        <f t="shared" si="401"/>
        <v>-1.2286358979661866E-6</v>
      </c>
      <c r="CH209" s="1433">
        <f t="shared" si="401"/>
        <v>3.7853381924475835E-7</v>
      </c>
      <c r="CI209" s="1431">
        <f t="shared" si="401"/>
        <v>5.1237678710274066E-6</v>
      </c>
      <c r="CJ209" s="1431">
        <f t="shared" si="401"/>
        <v>5.0130902217117545E-6</v>
      </c>
      <c r="CK209" s="1431">
        <f t="shared" si="401"/>
        <v>4.9595592057951328E-6</v>
      </c>
      <c r="CL209" s="1431">
        <f t="shared" si="401"/>
        <v>4.9063902758100741E-6</v>
      </c>
      <c r="CM209" s="1433">
        <f t="shared" si="401"/>
        <v>4.8527151460613851E-6</v>
      </c>
      <c r="CN209" s="1431">
        <f t="shared" si="401"/>
        <v>1.4629565625725345E-6</v>
      </c>
      <c r="CO209" s="1431">
        <f t="shared" si="401"/>
        <v>1.4463407451590992E-6</v>
      </c>
      <c r="CP209" s="1431">
        <f t="shared" si="401"/>
        <v>1.4295462819483268E-6</v>
      </c>
      <c r="CQ209" s="1431">
        <f t="shared" si="401"/>
        <v>1.4131096238366072E-6</v>
      </c>
      <c r="CR209" s="1434">
        <f t="shared" si="401"/>
        <v>1.396178330508972E-6</v>
      </c>
      <c r="CS209" s="1378"/>
      <c r="CT209" s="1428" t="str">
        <f t="shared" si="328"/>
        <v>Rev</v>
      </c>
      <c r="CU209" s="1429" t="str">
        <f t="shared" si="329"/>
        <v>Trade Waste</v>
      </c>
      <c r="CV209" s="1429" t="str">
        <f t="shared" si="330"/>
        <v>Variable</v>
      </c>
      <c r="CW209" s="1435">
        <f t="shared" si="354"/>
        <v>5.2499999999999991E-2</v>
      </c>
      <c r="CX209" s="1431">
        <f t="shared" si="355"/>
        <v>5.2499999999999991E-2</v>
      </c>
      <c r="CY209" s="1431">
        <f t="shared" si="356"/>
        <v>5.2499999999999991E-2</v>
      </c>
      <c r="CZ209" s="1434">
        <f t="shared" si="357"/>
        <v>5.2499999999999991E-2</v>
      </c>
      <c r="DA209" s="1431">
        <f t="shared" si="358"/>
        <v>4.6326854261736994E-2</v>
      </c>
      <c r="DB209" s="1431">
        <f t="shared" si="359"/>
        <v>4.1939644324732628E-2</v>
      </c>
      <c r="DC209" s="1431">
        <f t="shared" si="360"/>
        <v>3.8661313083165672E-2</v>
      </c>
      <c r="DD209" s="1431">
        <f t="shared" si="361"/>
        <v>3.6118632816290797E-2</v>
      </c>
      <c r="DE209" s="1434">
        <f t="shared" si="362"/>
        <v>3.4088971027155024E-2</v>
      </c>
      <c r="DF209" s="1378"/>
      <c r="DG209" s="1428" t="str">
        <f t="shared" si="363"/>
        <v>Rev</v>
      </c>
      <c r="DH209" s="1429" t="str">
        <f t="shared" si="363"/>
        <v>Trade Waste</v>
      </c>
      <c r="DI209" s="1429" t="str">
        <f t="shared" si="363"/>
        <v>Variable</v>
      </c>
      <c r="DJ209" s="1429"/>
      <c r="DK209" s="1435">
        <f t="shared" si="364"/>
        <v>5.2499999999999991E-2</v>
      </c>
      <c r="DL209" s="1431">
        <f t="shared" si="365"/>
        <v>5.2499999999999991E-2</v>
      </c>
      <c r="DM209" s="1431">
        <f t="shared" si="366"/>
        <v>5.2499999999999991E-2</v>
      </c>
      <c r="DN209" s="1433">
        <f t="shared" si="367"/>
        <v>4.5096576751770812E-2</v>
      </c>
      <c r="DO209" s="1431">
        <f t="shared" si="368"/>
        <v>4.0189915391222852E-2</v>
      </c>
      <c r="DP209" s="1431">
        <f t="shared" si="369"/>
        <v>3.6699267547711134E-2</v>
      </c>
      <c r="DQ209" s="1431">
        <f t="shared" si="370"/>
        <v>3.4088971027154802E-2</v>
      </c>
      <c r="DR209" s="1434">
        <f t="shared" si="371"/>
        <v>3.2063285160126576E-2</v>
      </c>
    </row>
    <row r="210" spans="4:122">
      <c r="D210" s="70">
        <f>D207+1</f>
        <v>49</v>
      </c>
      <c r="E210" s="713" t="s">
        <v>44</v>
      </c>
      <c r="F210" s="1532" t="s">
        <v>316</v>
      </c>
      <c r="G210" s="1532" t="s">
        <v>911</v>
      </c>
      <c r="H210" s="1532"/>
      <c r="I210" s="781" t="s">
        <v>320</v>
      </c>
      <c r="J210" s="781" t="s">
        <v>345</v>
      </c>
      <c r="K210" s="1533"/>
      <c r="L210" s="1534"/>
      <c r="M210" s="1534"/>
      <c r="N210" s="1535"/>
      <c r="O210" s="2071">
        <v>0.13828072398190044</v>
      </c>
      <c r="P210" s="1547">
        <v>0.13882566607460034</v>
      </c>
      <c r="Q210" s="1547">
        <v>0.1393435582822086</v>
      </c>
      <c r="R210" s="1547">
        <v>0.13985531732418524</v>
      </c>
      <c r="S210" s="1536">
        <v>0.14046132315521628</v>
      </c>
      <c r="T210" s="1536">
        <v>0.14104067796610167</v>
      </c>
      <c r="U210" s="1536">
        <v>0.14165497737556562</v>
      </c>
      <c r="V210" s="1536">
        <v>0.14223602620087333</v>
      </c>
      <c r="W210" s="1536">
        <v>0.14280000000000001</v>
      </c>
      <c r="X210" s="1537">
        <v>0.15029700000000001</v>
      </c>
      <c r="Y210" s="1538">
        <v>0.1581875925</v>
      </c>
      <c r="Z210" s="1538">
        <v>0.16649244110625</v>
      </c>
      <c r="AA210" s="1538">
        <v>0.17523329426432813</v>
      </c>
      <c r="AB210" s="1538">
        <v>0.18443304221320536</v>
      </c>
      <c r="AC210" s="1537">
        <v>0.18738397088861666</v>
      </c>
      <c r="AD210" s="1538">
        <v>0.19038211442283454</v>
      </c>
      <c r="AE210" s="1538">
        <v>0.1934282282535999</v>
      </c>
      <c r="AF210" s="1538">
        <v>0.19652307990565751</v>
      </c>
      <c r="AG210" s="1539">
        <v>0.19966744918414803</v>
      </c>
      <c r="AH210" s="697"/>
      <c r="AI210" s="707"/>
      <c r="AJ210" s="709">
        <f t="shared" si="375"/>
        <v>0.15029700000000001</v>
      </c>
      <c r="AK210" s="710">
        <f t="shared" si="376"/>
        <v>0.1581875925</v>
      </c>
      <c r="AL210" s="710">
        <f t="shared" si="377"/>
        <v>0.16649244110625</v>
      </c>
      <c r="AM210" s="710">
        <f t="shared" si="378"/>
        <v>0.17523329426432813</v>
      </c>
      <c r="AN210" s="710">
        <f t="shared" si="379"/>
        <v>0.18443304221320536</v>
      </c>
      <c r="AO210" s="711">
        <f t="shared" si="380"/>
        <v>0.18738397088861666</v>
      </c>
      <c r="AP210" s="707">
        <f t="shared" si="381"/>
        <v>0.19038211442283454</v>
      </c>
      <c r="AQ210" s="707">
        <f t="shared" si="382"/>
        <v>0.1934282282535999</v>
      </c>
      <c r="AR210" s="707">
        <f t="shared" si="383"/>
        <v>0.19652307990565751</v>
      </c>
      <c r="AS210" s="712">
        <f t="shared" si="384"/>
        <v>0.19966744918414803</v>
      </c>
      <c r="AU210" s="1369"/>
      <c r="AV210" s="1559"/>
      <c r="AW210" s="1412" t="str">
        <f t="shared" si="332"/>
        <v>Price</v>
      </c>
      <c r="AX210" s="1413" t="str">
        <f t="shared" si="332"/>
        <v>Trade Waste</v>
      </c>
      <c r="AY210" s="1414" t="str">
        <f t="shared" si="333"/>
        <v>Variable</v>
      </c>
      <c r="AZ210" s="1415">
        <f t="shared" ref="AZ210:BB225" si="402">IFERROR(P210/O210-1,"-")</f>
        <v>3.9408391640416429E-3</v>
      </c>
      <c r="BA210" s="1415">
        <f t="shared" si="402"/>
        <v>3.7305220443166753E-3</v>
      </c>
      <c r="BB210" s="1415">
        <f t="shared" si="402"/>
        <v>3.6726422684010274E-3</v>
      </c>
      <c r="BC210" s="1415">
        <f t="shared" si="335"/>
        <v>4.3330911017585017E-3</v>
      </c>
      <c r="BD210" s="1415">
        <f t="shared" si="336"/>
        <v>4.1246572214415078E-3</v>
      </c>
      <c r="BE210" s="1415">
        <f t="shared" si="337"/>
        <v>4.3554768618709883E-3</v>
      </c>
      <c r="BF210" s="1415">
        <f t="shared" si="338"/>
        <v>4.1018595750941245E-3</v>
      </c>
      <c r="BG210" s="1416">
        <f t="shared" si="339"/>
        <v>3.9650559298542998E-3</v>
      </c>
      <c r="BH210" s="1417">
        <f t="shared" si="340"/>
        <v>5.2499999999999991E-2</v>
      </c>
      <c r="BI210" s="1417">
        <f t="shared" si="341"/>
        <v>5.2499999999999991E-2</v>
      </c>
      <c r="BJ210" s="1417">
        <f t="shared" si="342"/>
        <v>5.2499999999999991E-2</v>
      </c>
      <c r="BK210" s="1417">
        <f t="shared" si="343"/>
        <v>5.2499999999999991E-2</v>
      </c>
      <c r="BL210" s="1418">
        <f t="shared" si="344"/>
        <v>5.2499999999999991E-2</v>
      </c>
      <c r="BM210" s="1417">
        <f t="shared" si="345"/>
        <v>1.6000000000000014E-2</v>
      </c>
      <c r="BN210" s="1417">
        <f t="shared" si="346"/>
        <v>1.6000000000000014E-2</v>
      </c>
      <c r="BO210" s="1417">
        <f t="shared" si="347"/>
        <v>1.6000000000000014E-2</v>
      </c>
      <c r="BP210" s="1417">
        <f t="shared" si="348"/>
        <v>1.6000000000000014E-2</v>
      </c>
      <c r="BQ210" s="1419">
        <f t="shared" si="349"/>
        <v>1.6000000000000014E-2</v>
      </c>
      <c r="BR210" s="1378"/>
      <c r="BS210" s="1420"/>
      <c r="BT210" s="1421"/>
      <c r="BU210" s="1422"/>
      <c r="BV210" s="1423"/>
      <c r="BW210" s="1378"/>
      <c r="BX210" s="1412" t="str">
        <f t="shared" si="350"/>
        <v>Price</v>
      </c>
      <c r="BY210" s="1413" t="str">
        <f t="shared" si="351"/>
        <v>Trade Waste</v>
      </c>
      <c r="BZ210" s="1414" t="str">
        <f t="shared" si="352"/>
        <v>Variable</v>
      </c>
      <c r="CA210" s="1424">
        <f t="shared" ref="CA210:CR210" si="403">IFERROR((P210/O210-1)*(O212/O$13),"-")</f>
        <v>2.6445099931771421E-6</v>
      </c>
      <c r="CB210" s="1415">
        <f t="shared" si="403"/>
        <v>2.454369196016478E-6</v>
      </c>
      <c r="CC210" s="1415">
        <f t="shared" si="403"/>
        <v>2.4643600937858001E-6</v>
      </c>
      <c r="CD210" s="1415">
        <f t="shared" si="403"/>
        <v>2.974223068037156E-6</v>
      </c>
      <c r="CE210" s="1415">
        <f t="shared" si="403"/>
        <v>3.0355566103064385E-6</v>
      </c>
      <c r="CF210" s="1415">
        <f t="shared" si="403"/>
        <v>3.0998209000502963E-6</v>
      </c>
      <c r="CG210" s="1415">
        <f t="shared" si="403"/>
        <v>3.0288218144743679E-6</v>
      </c>
      <c r="CH210" s="1425">
        <f t="shared" si="403"/>
        <v>2.4490666983396679E-6</v>
      </c>
      <c r="CI210" s="1417">
        <f t="shared" si="403"/>
        <v>3.3150140423363827E-5</v>
      </c>
      <c r="CJ210" s="1417">
        <f t="shared" si="403"/>
        <v>3.2434069807189463E-5</v>
      </c>
      <c r="CK210" s="1417">
        <f t="shared" si="403"/>
        <v>3.2087730796658356E-5</v>
      </c>
      <c r="CL210" s="1417">
        <f t="shared" si="403"/>
        <v>3.1743734437039787E-5</v>
      </c>
      <c r="CM210" s="1418">
        <f t="shared" si="403"/>
        <v>3.1396463027951696E-5</v>
      </c>
      <c r="CN210" s="1417">
        <f t="shared" si="403"/>
        <v>9.4651468808317838E-6</v>
      </c>
      <c r="CO210" s="1417">
        <f t="shared" si="403"/>
        <v>9.357644610165117E-6</v>
      </c>
      <c r="CP210" s="1417">
        <f t="shared" si="403"/>
        <v>9.2489865234237412E-6</v>
      </c>
      <c r="CQ210" s="1417">
        <f t="shared" si="403"/>
        <v>9.1426433911412062E-6</v>
      </c>
      <c r="CR210" s="1419">
        <f t="shared" si="403"/>
        <v>9.0331000305736796E-6</v>
      </c>
      <c r="CS210" s="1378"/>
      <c r="CT210" s="1412" t="str">
        <f t="shared" si="328"/>
        <v>Price</v>
      </c>
      <c r="CU210" s="1413" t="str">
        <f t="shared" si="329"/>
        <v>Trade Waste</v>
      </c>
      <c r="CV210" s="1426" t="str">
        <f t="shared" si="330"/>
        <v>Variable</v>
      </c>
      <c r="CW210" s="1427">
        <f t="shared" si="354"/>
        <v>5.2499999999999991E-2</v>
      </c>
      <c r="CX210" s="1417">
        <f t="shared" si="355"/>
        <v>5.2499999999999991E-2</v>
      </c>
      <c r="CY210" s="1417">
        <f t="shared" si="356"/>
        <v>5.2499999999999991E-2</v>
      </c>
      <c r="CZ210" s="1419">
        <f t="shared" si="357"/>
        <v>5.2499999999999991E-2</v>
      </c>
      <c r="DA210" s="1417">
        <f t="shared" si="358"/>
        <v>4.6326854261736994E-2</v>
      </c>
      <c r="DB210" s="1417">
        <f t="shared" si="359"/>
        <v>4.1939644324732628E-2</v>
      </c>
      <c r="DC210" s="1417">
        <f t="shared" si="360"/>
        <v>3.8661313083165672E-2</v>
      </c>
      <c r="DD210" s="1417">
        <f t="shared" si="361"/>
        <v>3.6118632816290797E-2</v>
      </c>
      <c r="DE210" s="1419">
        <f t="shared" si="362"/>
        <v>3.4088971027155024E-2</v>
      </c>
      <c r="DF210" s="1378"/>
      <c r="DG210" s="1412" t="str">
        <f t="shared" si="363"/>
        <v>Price</v>
      </c>
      <c r="DH210" s="1413" t="str">
        <f t="shared" si="363"/>
        <v>Trade Waste</v>
      </c>
      <c r="DI210" s="1426" t="str">
        <f t="shared" si="363"/>
        <v>Variable</v>
      </c>
      <c r="DJ210" s="1426"/>
      <c r="DK210" s="1427">
        <f t="shared" si="364"/>
        <v>5.2499999999999991E-2</v>
      </c>
      <c r="DL210" s="1417">
        <f t="shared" si="365"/>
        <v>5.2499999999999991E-2</v>
      </c>
      <c r="DM210" s="1417">
        <f t="shared" si="366"/>
        <v>5.2499999999999991E-2</v>
      </c>
      <c r="DN210" s="1418">
        <f t="shared" si="367"/>
        <v>4.5096576751770812E-2</v>
      </c>
      <c r="DO210" s="1417">
        <f t="shared" si="368"/>
        <v>4.0189915391222852E-2</v>
      </c>
      <c r="DP210" s="1417">
        <f t="shared" si="369"/>
        <v>3.6699267547711134E-2</v>
      </c>
      <c r="DQ210" s="1417">
        <f t="shared" si="370"/>
        <v>3.4088971027155024E-2</v>
      </c>
      <c r="DR210" s="1419">
        <f t="shared" si="371"/>
        <v>3.2063285160126576E-2</v>
      </c>
    </row>
    <row r="211" spans="4:122">
      <c r="E211" s="742" t="s">
        <v>45</v>
      </c>
      <c r="F211" s="722" t="str">
        <f>+F210</f>
        <v>Trade Waste</v>
      </c>
      <c r="G211" s="723" t="str">
        <f>+G210</f>
        <v>Major - Sodium</v>
      </c>
      <c r="H211" s="723">
        <f>+H210</f>
        <v>0</v>
      </c>
      <c r="I211" s="724" t="str">
        <f>+I210</f>
        <v>Variable</v>
      </c>
      <c r="J211" s="782" t="s">
        <v>221</v>
      </c>
      <c r="K211" s="1540"/>
      <c r="L211" s="1541"/>
      <c r="M211" s="1541"/>
      <c r="N211" s="1542"/>
      <c r="O211" s="2031">
        <v>365916.74860069959</v>
      </c>
      <c r="P211" s="1543">
        <v>366616.34691120306</v>
      </c>
      <c r="Q211" s="1543">
        <v>365916.74860069953</v>
      </c>
      <c r="R211" s="1543">
        <v>366149.94803753402</v>
      </c>
      <c r="S211" s="1543">
        <v>377668.75644102978</v>
      </c>
      <c r="T211" s="1543">
        <v>376630.70077880687</v>
      </c>
      <c r="U211" s="1543">
        <v>408755.77827837173</v>
      </c>
      <c r="V211" s="1543">
        <v>356718.48320194031</v>
      </c>
      <c r="W211" s="1543">
        <v>356718.48320194031</v>
      </c>
      <c r="X211" s="1544">
        <v>356718.48320194031</v>
      </c>
      <c r="Y211" s="1543">
        <v>356718.48320194031</v>
      </c>
      <c r="Z211" s="1543">
        <v>356718.48320194031</v>
      </c>
      <c r="AA211" s="1543">
        <v>356718.48320194031</v>
      </c>
      <c r="AB211" s="1543">
        <v>356718.48320194031</v>
      </c>
      <c r="AC211" s="1544">
        <v>356718.48320194031</v>
      </c>
      <c r="AD211" s="1543">
        <v>356718.48320194031</v>
      </c>
      <c r="AE211" s="1543">
        <v>356718.48320194031</v>
      </c>
      <c r="AF211" s="1543">
        <v>356718.48320194031</v>
      </c>
      <c r="AG211" s="1553">
        <v>356718.48320194031</v>
      </c>
      <c r="AH211" s="697"/>
      <c r="AI211" s="707"/>
      <c r="AJ211" s="709">
        <f t="shared" si="375"/>
        <v>356718.48320194031</v>
      </c>
      <c r="AK211" s="710">
        <f t="shared" si="376"/>
        <v>356718.48320194031</v>
      </c>
      <c r="AL211" s="710">
        <f t="shared" si="377"/>
        <v>356718.48320194031</v>
      </c>
      <c r="AM211" s="710">
        <f t="shared" si="378"/>
        <v>356718.48320194031</v>
      </c>
      <c r="AN211" s="710">
        <f t="shared" si="379"/>
        <v>356718.48320194031</v>
      </c>
      <c r="AO211" s="711">
        <f t="shared" si="380"/>
        <v>356718.48320194031</v>
      </c>
      <c r="AP211" s="707">
        <f t="shared" si="381"/>
        <v>356718.48320194031</v>
      </c>
      <c r="AQ211" s="707">
        <f t="shared" si="382"/>
        <v>356718.48320194031</v>
      </c>
      <c r="AR211" s="707">
        <f t="shared" si="383"/>
        <v>356718.48320194031</v>
      </c>
      <c r="AS211" s="712">
        <f t="shared" si="384"/>
        <v>356718.48320194031</v>
      </c>
      <c r="AV211" s="1559"/>
      <c r="AW211" s="1392" t="str">
        <f t="shared" si="332"/>
        <v>Qty</v>
      </c>
      <c r="AX211" s="1393" t="str">
        <f t="shared" si="332"/>
        <v>Trade Waste</v>
      </c>
      <c r="AY211" s="1394" t="str">
        <f t="shared" si="333"/>
        <v>Variable</v>
      </c>
      <c r="AZ211" s="1395">
        <f t="shared" si="402"/>
        <v>1.9119056812206825E-3</v>
      </c>
      <c r="BA211" s="1395">
        <f t="shared" si="402"/>
        <v>-1.9082572732987968E-3</v>
      </c>
      <c r="BB211" s="1395">
        <f t="shared" si="402"/>
        <v>6.373018937402275E-4</v>
      </c>
      <c r="BC211" s="1395">
        <f t="shared" si="335"/>
        <v>3.1459265432737249E-2</v>
      </c>
      <c r="BD211" s="1395">
        <f t="shared" si="336"/>
        <v>-2.7485876036054124E-3</v>
      </c>
      <c r="BE211" s="1395">
        <f t="shared" si="337"/>
        <v>8.5295960826177408E-2</v>
      </c>
      <c r="BF211" s="1395">
        <f t="shared" si="338"/>
        <v>-0.12730656749515812</v>
      </c>
      <c r="BG211" s="1396">
        <f t="shared" si="339"/>
        <v>0</v>
      </c>
      <c r="BH211" s="1395">
        <f t="shared" si="340"/>
        <v>0</v>
      </c>
      <c r="BI211" s="1395">
        <f t="shared" si="341"/>
        <v>0</v>
      </c>
      <c r="BJ211" s="1395">
        <f t="shared" si="342"/>
        <v>0</v>
      </c>
      <c r="BK211" s="1395">
        <f t="shared" si="343"/>
        <v>0</v>
      </c>
      <c r="BL211" s="1397">
        <f t="shared" si="344"/>
        <v>0</v>
      </c>
      <c r="BM211" s="1395">
        <f t="shared" si="345"/>
        <v>0</v>
      </c>
      <c r="BN211" s="1395">
        <f t="shared" si="346"/>
        <v>0</v>
      </c>
      <c r="BO211" s="1395">
        <f t="shared" si="347"/>
        <v>0</v>
      </c>
      <c r="BP211" s="1395">
        <f t="shared" si="348"/>
        <v>0</v>
      </c>
      <c r="BQ211" s="1398">
        <f t="shared" si="349"/>
        <v>0</v>
      </c>
      <c r="BR211" s="1378"/>
      <c r="BS211" s="1329"/>
      <c r="BT211" s="1399"/>
      <c r="BU211" s="1331"/>
      <c r="BV211" s="1400"/>
      <c r="BW211" s="1378"/>
      <c r="BX211" s="1392" t="str">
        <f t="shared" si="350"/>
        <v>Qty</v>
      </c>
      <c r="BY211" s="1393" t="str">
        <f t="shared" si="351"/>
        <v>Trade Waste</v>
      </c>
      <c r="BZ211" s="1394" t="str">
        <f t="shared" si="352"/>
        <v>Variable</v>
      </c>
      <c r="CA211" s="1401">
        <f t="shared" ref="CA211:CR211" si="404">IFERROR((P211/O211-1)*(O212/O$13),"-")</f>
        <v>1.2829890968741953E-6</v>
      </c>
      <c r="CB211" s="1395">
        <f t="shared" si="404"/>
        <v>-1.2554725086785701E-6</v>
      </c>
      <c r="CC211" s="1395">
        <f t="shared" si="404"/>
        <v>4.2763254350696884E-7</v>
      </c>
      <c r="CD211" s="1395">
        <f t="shared" si="404"/>
        <v>2.1593562368346865E-5</v>
      </c>
      <c r="CE211" s="1395">
        <f t="shared" si="404"/>
        <v>-2.0228331279889515E-6</v>
      </c>
      <c r="CF211" s="1395">
        <f t="shared" si="404"/>
        <v>6.0705684002939801E-5</v>
      </c>
      <c r="CG211" s="1395">
        <f t="shared" si="404"/>
        <v>-9.4003439585408128E-5</v>
      </c>
      <c r="CH211" s="1397">
        <f t="shared" si="404"/>
        <v>0</v>
      </c>
      <c r="CI211" s="1395">
        <f t="shared" si="404"/>
        <v>0</v>
      </c>
      <c r="CJ211" s="1395">
        <f t="shared" si="404"/>
        <v>0</v>
      </c>
      <c r="CK211" s="1395">
        <f t="shared" si="404"/>
        <v>0</v>
      </c>
      <c r="CL211" s="1395">
        <f t="shared" si="404"/>
        <v>0</v>
      </c>
      <c r="CM211" s="1397">
        <f t="shared" si="404"/>
        <v>0</v>
      </c>
      <c r="CN211" s="1395">
        <f t="shared" si="404"/>
        <v>0</v>
      </c>
      <c r="CO211" s="1395">
        <f t="shared" si="404"/>
        <v>0</v>
      </c>
      <c r="CP211" s="1395">
        <f t="shared" si="404"/>
        <v>0</v>
      </c>
      <c r="CQ211" s="1395">
        <f t="shared" si="404"/>
        <v>0</v>
      </c>
      <c r="CR211" s="1398">
        <f t="shared" si="404"/>
        <v>0</v>
      </c>
      <c r="CS211" s="1378"/>
      <c r="CT211" s="1392" t="str">
        <f t="shared" si="328"/>
        <v>Qty</v>
      </c>
      <c r="CU211" s="1393" t="str">
        <f t="shared" si="329"/>
        <v>Trade Waste</v>
      </c>
      <c r="CV211" s="1393" t="str">
        <f t="shared" si="330"/>
        <v>Variable</v>
      </c>
      <c r="CW211" s="1401">
        <f t="shared" si="354"/>
        <v>0</v>
      </c>
      <c r="CX211" s="1395">
        <f t="shared" si="355"/>
        <v>0</v>
      </c>
      <c r="CY211" s="1395">
        <f t="shared" si="356"/>
        <v>0</v>
      </c>
      <c r="CZ211" s="1398">
        <f t="shared" si="357"/>
        <v>0</v>
      </c>
      <c r="DA211" s="1395">
        <f t="shared" si="358"/>
        <v>0</v>
      </c>
      <c r="DB211" s="1395">
        <f t="shared" si="359"/>
        <v>0</v>
      </c>
      <c r="DC211" s="1395">
        <f t="shared" si="360"/>
        <v>0</v>
      </c>
      <c r="DD211" s="1395">
        <f t="shared" si="361"/>
        <v>0</v>
      </c>
      <c r="DE211" s="1398">
        <f t="shared" si="362"/>
        <v>0</v>
      </c>
      <c r="DF211" s="1378"/>
      <c r="DG211" s="1392" t="str">
        <f t="shared" si="363"/>
        <v>Qty</v>
      </c>
      <c r="DH211" s="1393" t="str">
        <f t="shared" si="363"/>
        <v>Trade Waste</v>
      </c>
      <c r="DI211" s="1393" t="str">
        <f t="shared" si="363"/>
        <v>Variable</v>
      </c>
      <c r="DJ211" s="1393"/>
      <c r="DK211" s="1401">
        <f t="shared" si="364"/>
        <v>0</v>
      </c>
      <c r="DL211" s="1395">
        <f t="shared" si="365"/>
        <v>0</v>
      </c>
      <c r="DM211" s="1395">
        <f t="shared" si="366"/>
        <v>0</v>
      </c>
      <c r="DN211" s="1397">
        <f t="shared" si="367"/>
        <v>0</v>
      </c>
      <c r="DO211" s="1395">
        <f t="shared" si="368"/>
        <v>0</v>
      </c>
      <c r="DP211" s="1395">
        <f t="shared" si="369"/>
        <v>0</v>
      </c>
      <c r="DQ211" s="1395">
        <f t="shared" si="370"/>
        <v>0</v>
      </c>
      <c r="DR211" s="1398">
        <f t="shared" si="371"/>
        <v>0</v>
      </c>
    </row>
    <row r="212" spans="4:122" ht="12.75" thickBot="1">
      <c r="E212" s="743" t="s">
        <v>46</v>
      </c>
      <c r="F212" s="732" t="str">
        <f>+F210</f>
        <v>Trade Waste</v>
      </c>
      <c r="G212" s="733" t="str">
        <f>+G210</f>
        <v>Major - Sodium</v>
      </c>
      <c r="H212" s="733">
        <f>+H210</f>
        <v>0</v>
      </c>
      <c r="I212" s="734" t="str">
        <f>+I210</f>
        <v>Variable</v>
      </c>
      <c r="J212" s="735" t="s">
        <v>344</v>
      </c>
      <c r="K212" s="736">
        <f t="shared" ref="K212:AG212" si="405">K210*K211/10^6</f>
        <v>0</v>
      </c>
      <c r="L212" s="737">
        <f t="shared" si="405"/>
        <v>0</v>
      </c>
      <c r="M212" s="737">
        <f t="shared" si="405"/>
        <v>0</v>
      </c>
      <c r="N212" s="738">
        <f t="shared" si="405"/>
        <v>0</v>
      </c>
      <c r="O212" s="1923">
        <f t="shared" si="405"/>
        <v>5.0599232913607795E-2</v>
      </c>
      <c r="P212" s="737">
        <f t="shared" si="405"/>
        <v>5.0895758553784511E-2</v>
      </c>
      <c r="Q212" s="737">
        <f t="shared" si="405"/>
        <v>5.0988141785077844E-2</v>
      </c>
      <c r="R212" s="737">
        <f t="shared" si="405"/>
        <v>5.120801717102326E-2</v>
      </c>
      <c r="S212" s="737">
        <f t="shared" si="405"/>
        <v>5.3047853244092155E-2</v>
      </c>
      <c r="T212" s="1531">
        <f t="shared" si="405"/>
        <v>5.3120249380690897E-2</v>
      </c>
      <c r="U212" s="737">
        <f t="shared" si="405"/>
        <v>5.7902290524154465E-2</v>
      </c>
      <c r="V212" s="737">
        <f t="shared" si="405"/>
        <v>5.0738219523046975E-2</v>
      </c>
      <c r="W212" s="737">
        <f t="shared" si="405"/>
        <v>5.0939399401237082E-2</v>
      </c>
      <c r="X212" s="738">
        <f t="shared" si="405"/>
        <v>5.3613717869802027E-2</v>
      </c>
      <c r="Y212" s="737">
        <f t="shared" si="405"/>
        <v>5.6428438057966629E-2</v>
      </c>
      <c r="Z212" s="737">
        <f t="shared" si="405"/>
        <v>5.9390931056009871E-2</v>
      </c>
      <c r="AA212" s="737">
        <f t="shared" si="405"/>
        <v>6.2508954936450395E-2</v>
      </c>
      <c r="AB212" s="737">
        <f t="shared" si="405"/>
        <v>6.5790675070614049E-2</v>
      </c>
      <c r="AC212" s="738">
        <f t="shared" si="405"/>
        <v>6.6843325871743867E-2</v>
      </c>
      <c r="AD212" s="737">
        <f t="shared" si="405"/>
        <v>6.7912819085691772E-2</v>
      </c>
      <c r="AE212" s="737">
        <f t="shared" si="405"/>
        <v>6.899942419106285E-2</v>
      </c>
      <c r="AF212" s="737">
        <f t="shared" si="405"/>
        <v>7.0103414978119866E-2</v>
      </c>
      <c r="AG212" s="739">
        <f t="shared" si="405"/>
        <v>7.1225069617769782E-2</v>
      </c>
      <c r="AH212" s="697"/>
      <c r="AI212" s="707"/>
      <c r="AJ212" s="709">
        <f t="shared" si="375"/>
        <v>5.3613717869802027E-2</v>
      </c>
      <c r="AK212" s="710">
        <f t="shared" si="376"/>
        <v>5.6428438057966629E-2</v>
      </c>
      <c r="AL212" s="710">
        <f t="shared" si="377"/>
        <v>5.9390931056009871E-2</v>
      </c>
      <c r="AM212" s="710">
        <f t="shared" si="378"/>
        <v>6.2508954936450395E-2</v>
      </c>
      <c r="AN212" s="710">
        <f t="shared" si="379"/>
        <v>6.5790675070614049E-2</v>
      </c>
      <c r="AO212" s="711">
        <f t="shared" si="380"/>
        <v>6.6843325871743867E-2</v>
      </c>
      <c r="AP212" s="707">
        <f t="shared" si="381"/>
        <v>6.7912819085691772E-2</v>
      </c>
      <c r="AQ212" s="707">
        <f t="shared" si="382"/>
        <v>6.899942419106285E-2</v>
      </c>
      <c r="AR212" s="707">
        <f t="shared" si="383"/>
        <v>7.0103414978119866E-2</v>
      </c>
      <c r="AS212" s="712">
        <f t="shared" si="384"/>
        <v>7.1225069617769782E-2</v>
      </c>
      <c r="AV212" s="1559"/>
      <c r="AW212" s="1428" t="str">
        <f t="shared" si="332"/>
        <v>Rev</v>
      </c>
      <c r="AX212" s="1429" t="str">
        <f t="shared" si="332"/>
        <v>Trade Waste</v>
      </c>
      <c r="AY212" s="1430" t="str">
        <f t="shared" si="333"/>
        <v>Variable</v>
      </c>
      <c r="AZ212" s="1431">
        <f t="shared" si="402"/>
        <v>5.8602793580486701E-3</v>
      </c>
      <c r="BA212" s="1431">
        <f t="shared" si="402"/>
        <v>1.8151459751936105E-3</v>
      </c>
      <c r="BB212" s="1431">
        <f t="shared" si="402"/>
        <v>4.3122847440140166E-3</v>
      </c>
      <c r="BC212" s="1431">
        <f t="shared" si="335"/>
        <v>3.5928672397610217E-2</v>
      </c>
      <c r="BD212" s="1431">
        <f t="shared" si="336"/>
        <v>1.3647326361279077E-3</v>
      </c>
      <c r="BE212" s="1431">
        <f t="shared" si="337"/>
        <v>9.0022942271837936E-2</v>
      </c>
      <c r="BF212" s="1431">
        <f t="shared" si="338"/>
        <v>-0.12372690158291633</v>
      </c>
      <c r="BG212" s="1432">
        <f t="shared" si="339"/>
        <v>3.9650559298542998E-3</v>
      </c>
      <c r="BH212" s="1431">
        <f t="shared" si="340"/>
        <v>5.2499999999999991E-2</v>
      </c>
      <c r="BI212" s="1431">
        <f t="shared" si="341"/>
        <v>5.2499999999999991E-2</v>
      </c>
      <c r="BJ212" s="1431">
        <f t="shared" si="342"/>
        <v>5.2499999999999991E-2</v>
      </c>
      <c r="BK212" s="1431">
        <f t="shared" si="343"/>
        <v>5.2499999999999991E-2</v>
      </c>
      <c r="BL212" s="1433">
        <f t="shared" si="344"/>
        <v>5.2500000000000213E-2</v>
      </c>
      <c r="BM212" s="1431">
        <f t="shared" si="345"/>
        <v>1.5999999999999792E-2</v>
      </c>
      <c r="BN212" s="1431">
        <f t="shared" si="346"/>
        <v>1.6000000000000014E-2</v>
      </c>
      <c r="BO212" s="1431">
        <f t="shared" si="347"/>
        <v>1.6000000000000236E-2</v>
      </c>
      <c r="BP212" s="1431">
        <f t="shared" si="348"/>
        <v>1.6000000000000236E-2</v>
      </c>
      <c r="BQ212" s="1434">
        <f t="shared" si="349"/>
        <v>1.6000000000000014E-2</v>
      </c>
      <c r="BR212" s="1378"/>
      <c r="BS212" s="1407"/>
      <c r="BT212" s="1408"/>
      <c r="BU212" s="1409"/>
      <c r="BV212" s="1410"/>
      <c r="BW212" s="1378"/>
      <c r="BX212" s="1428" t="str">
        <f t="shared" si="350"/>
        <v>Rev</v>
      </c>
      <c r="BY212" s="1429" t="str">
        <f t="shared" si="351"/>
        <v>Trade Waste</v>
      </c>
      <c r="BZ212" s="1430" t="str">
        <f t="shared" si="352"/>
        <v>Variable</v>
      </c>
      <c r="CA212" s="1435">
        <f t="shared" ref="CA212:CR212" si="406">IFERROR((P212/O212-1)*(O212/O$13),"-")</f>
        <v>3.9325551437312273E-6</v>
      </c>
      <c r="CB212" s="1431">
        <f t="shared" si="406"/>
        <v>1.1942131194682493E-6</v>
      </c>
      <c r="CC212" s="1431">
        <f t="shared" si="406"/>
        <v>2.8935631786474497E-6</v>
      </c>
      <c r="CD212" s="1431">
        <f t="shared" si="406"/>
        <v>2.466135230933758E-5</v>
      </c>
      <c r="CE212" s="1431">
        <f t="shared" si="406"/>
        <v>1.0043799890482002E-6</v>
      </c>
      <c r="CF212" s="1431">
        <f t="shared" si="406"/>
        <v>6.4069907105049006E-5</v>
      </c>
      <c r="CG212" s="1431">
        <f t="shared" si="406"/>
        <v>-9.1360206679688913E-5</v>
      </c>
      <c r="CH212" s="1433">
        <f t="shared" si="406"/>
        <v>2.4490666983396679E-6</v>
      </c>
      <c r="CI212" s="1431">
        <f t="shared" si="406"/>
        <v>3.3150140423363827E-5</v>
      </c>
      <c r="CJ212" s="1431">
        <f t="shared" si="406"/>
        <v>3.2434069807189463E-5</v>
      </c>
      <c r="CK212" s="1431">
        <f t="shared" si="406"/>
        <v>3.2087730796658356E-5</v>
      </c>
      <c r="CL212" s="1431">
        <f t="shared" si="406"/>
        <v>3.1743734437039787E-5</v>
      </c>
      <c r="CM212" s="1433">
        <f t="shared" si="406"/>
        <v>3.1396463027951825E-5</v>
      </c>
      <c r="CN212" s="1431">
        <f t="shared" si="406"/>
        <v>9.4651468808316534E-6</v>
      </c>
      <c r="CO212" s="1431">
        <f t="shared" si="406"/>
        <v>9.357644610165117E-6</v>
      </c>
      <c r="CP212" s="1431">
        <f t="shared" si="406"/>
        <v>9.2489865234238682E-6</v>
      </c>
      <c r="CQ212" s="1431">
        <f t="shared" si="406"/>
        <v>9.1426433911413333E-6</v>
      </c>
      <c r="CR212" s="1434">
        <f t="shared" si="406"/>
        <v>9.0331000305736796E-6</v>
      </c>
      <c r="CS212" s="1378"/>
      <c r="CT212" s="1428" t="str">
        <f t="shared" si="328"/>
        <v>Rev</v>
      </c>
      <c r="CU212" s="1429" t="str">
        <f t="shared" si="329"/>
        <v>Trade Waste</v>
      </c>
      <c r="CV212" s="1429" t="str">
        <f t="shared" si="330"/>
        <v>Variable</v>
      </c>
      <c r="CW212" s="1435">
        <f t="shared" si="354"/>
        <v>5.2499999999999991E-2</v>
      </c>
      <c r="CX212" s="1431">
        <f t="shared" si="355"/>
        <v>5.2499999999999991E-2</v>
      </c>
      <c r="CY212" s="1431">
        <f t="shared" si="356"/>
        <v>5.2499999999999991E-2</v>
      </c>
      <c r="CZ212" s="1434">
        <f t="shared" si="357"/>
        <v>5.2499999999999991E-2</v>
      </c>
      <c r="DA212" s="1431">
        <f t="shared" si="358"/>
        <v>4.6326854261736994E-2</v>
      </c>
      <c r="DB212" s="1431">
        <f t="shared" si="359"/>
        <v>4.1939644324732628E-2</v>
      </c>
      <c r="DC212" s="1431">
        <f t="shared" si="360"/>
        <v>3.8661313083165672E-2</v>
      </c>
      <c r="DD212" s="1431">
        <f t="shared" si="361"/>
        <v>3.6118632816290797E-2</v>
      </c>
      <c r="DE212" s="1434">
        <f t="shared" si="362"/>
        <v>3.4088971027155024E-2</v>
      </c>
      <c r="DF212" s="1378"/>
      <c r="DG212" s="1428" t="str">
        <f t="shared" si="363"/>
        <v>Rev</v>
      </c>
      <c r="DH212" s="1429" t="str">
        <f t="shared" si="363"/>
        <v>Trade Waste</v>
      </c>
      <c r="DI212" s="1429" t="str">
        <f t="shared" si="363"/>
        <v>Variable</v>
      </c>
      <c r="DJ212" s="1429"/>
      <c r="DK212" s="1435">
        <f t="shared" si="364"/>
        <v>5.2499999999999991E-2</v>
      </c>
      <c r="DL212" s="1431">
        <f t="shared" si="365"/>
        <v>5.2499999999999991E-2</v>
      </c>
      <c r="DM212" s="1431">
        <f t="shared" si="366"/>
        <v>5.2499999999999991E-2</v>
      </c>
      <c r="DN212" s="1433">
        <f t="shared" si="367"/>
        <v>4.5096576751770812E-2</v>
      </c>
      <c r="DO212" s="1431">
        <f t="shared" si="368"/>
        <v>4.0189915391222852E-2</v>
      </c>
      <c r="DP212" s="1431">
        <f t="shared" si="369"/>
        <v>3.6699267547711134E-2</v>
      </c>
      <c r="DQ212" s="1431">
        <f t="shared" si="370"/>
        <v>3.4088971027155024E-2</v>
      </c>
      <c r="DR212" s="1434">
        <f t="shared" si="371"/>
        <v>3.2063285160126576E-2</v>
      </c>
    </row>
    <row r="213" spans="4:122">
      <c r="D213" s="70">
        <f>D210+1</f>
        <v>50</v>
      </c>
      <c r="E213" s="713" t="s">
        <v>44</v>
      </c>
      <c r="F213" s="1532" t="s">
        <v>316</v>
      </c>
      <c r="G213" s="1532" t="s">
        <v>912</v>
      </c>
      <c r="H213" s="1532"/>
      <c r="I213" s="781" t="s">
        <v>320</v>
      </c>
      <c r="J213" s="781" t="s">
        <v>345</v>
      </c>
      <c r="K213" s="1533"/>
      <c r="L213" s="1534"/>
      <c r="M213" s="1534"/>
      <c r="N213" s="1535"/>
      <c r="O213" s="2071">
        <v>0.94071638009049774</v>
      </c>
      <c r="P213" s="1547">
        <v>0.9449142095914741</v>
      </c>
      <c r="Q213" s="1547">
        <v>0.94913926380368108</v>
      </c>
      <c r="R213" s="1547">
        <v>0.95340540308747845</v>
      </c>
      <c r="S213" s="1547">
        <v>0.9576908396946564</v>
      </c>
      <c r="T213" s="1536">
        <v>0.96196101694915237</v>
      </c>
      <c r="U213" s="1536">
        <v>0.96622488687782804</v>
      </c>
      <c r="V213" s="1536">
        <v>0.97056375545851514</v>
      </c>
      <c r="W213" s="1536">
        <v>0.97489999999999999</v>
      </c>
      <c r="X213" s="1537">
        <v>1.02608225</v>
      </c>
      <c r="Y213" s="1538">
        <v>1.079951568125</v>
      </c>
      <c r="Z213" s="1538">
        <v>1.1366490254515624</v>
      </c>
      <c r="AA213" s="1538">
        <v>1.1963230992877694</v>
      </c>
      <c r="AB213" s="1538">
        <v>1.2591300620003771</v>
      </c>
      <c r="AC213" s="1537">
        <v>1.2792761429923831</v>
      </c>
      <c r="AD213" s="1538">
        <v>1.2997445612802612</v>
      </c>
      <c r="AE213" s="1538">
        <v>1.3205404742607454</v>
      </c>
      <c r="AF213" s="1538">
        <v>1.3416691218489174</v>
      </c>
      <c r="AG213" s="1539">
        <v>1.3631358277985002</v>
      </c>
      <c r="AH213" s="697"/>
      <c r="AI213" s="707"/>
      <c r="AJ213" s="709">
        <f t="shared" si="375"/>
        <v>1.02608225</v>
      </c>
      <c r="AK213" s="710">
        <f t="shared" si="376"/>
        <v>1.079951568125</v>
      </c>
      <c r="AL213" s="710">
        <f t="shared" si="377"/>
        <v>1.1366490254515624</v>
      </c>
      <c r="AM213" s="710">
        <f t="shared" si="378"/>
        <v>1.1963230992877694</v>
      </c>
      <c r="AN213" s="710">
        <f t="shared" si="379"/>
        <v>1.2591300620003771</v>
      </c>
      <c r="AO213" s="711">
        <f t="shared" si="380"/>
        <v>1.2792761429923831</v>
      </c>
      <c r="AP213" s="707">
        <f t="shared" si="381"/>
        <v>1.2997445612802612</v>
      </c>
      <c r="AQ213" s="707">
        <f t="shared" si="382"/>
        <v>1.3205404742607454</v>
      </c>
      <c r="AR213" s="707">
        <f t="shared" si="383"/>
        <v>1.3416691218489174</v>
      </c>
      <c r="AS213" s="712">
        <f t="shared" si="384"/>
        <v>1.3631358277985002</v>
      </c>
      <c r="AU213" s="1369"/>
      <c r="AV213" s="1559"/>
      <c r="AW213" s="1412" t="str">
        <f t="shared" si="332"/>
        <v>Price</v>
      </c>
      <c r="AX213" s="1413" t="str">
        <f t="shared" si="332"/>
        <v>Trade Waste</v>
      </c>
      <c r="AY213" s="1414" t="str">
        <f t="shared" si="333"/>
        <v>Variable</v>
      </c>
      <c r="AZ213" s="1415">
        <f t="shared" si="402"/>
        <v>4.4623752597701127E-3</v>
      </c>
      <c r="BA213" s="1415">
        <f t="shared" si="402"/>
        <v>4.4713627642807285E-3</v>
      </c>
      <c r="BB213" s="1415">
        <f t="shared" si="402"/>
        <v>4.4947453408479277E-3</v>
      </c>
      <c r="BC213" s="1415">
        <f t="shared" si="335"/>
        <v>4.4948734224707909E-3</v>
      </c>
      <c r="BD213" s="1415">
        <f t="shared" si="336"/>
        <v>4.4588264578759862E-3</v>
      </c>
      <c r="BE213" s="1415">
        <f t="shared" si="337"/>
        <v>4.4324768400683112E-3</v>
      </c>
      <c r="BF213" s="1415">
        <f t="shared" si="338"/>
        <v>4.490536974997017E-3</v>
      </c>
      <c r="BG213" s="1416">
        <f t="shared" si="339"/>
        <v>4.4677585754644422E-3</v>
      </c>
      <c r="BH213" s="1417">
        <f t="shared" si="340"/>
        <v>5.2499999999999991E-2</v>
      </c>
      <c r="BI213" s="1417">
        <f t="shared" si="341"/>
        <v>5.2499999999999991E-2</v>
      </c>
      <c r="BJ213" s="1417">
        <f t="shared" si="342"/>
        <v>5.2499999999999991E-2</v>
      </c>
      <c r="BK213" s="1417">
        <f t="shared" si="343"/>
        <v>5.2499999999999991E-2</v>
      </c>
      <c r="BL213" s="1418">
        <f t="shared" si="344"/>
        <v>5.2499999999999991E-2</v>
      </c>
      <c r="BM213" s="1417">
        <f t="shared" si="345"/>
        <v>1.6000000000000014E-2</v>
      </c>
      <c r="BN213" s="1417">
        <f t="shared" si="346"/>
        <v>1.6000000000000014E-2</v>
      </c>
      <c r="BO213" s="1417">
        <f t="shared" si="347"/>
        <v>1.6000000000000014E-2</v>
      </c>
      <c r="BP213" s="1417">
        <f t="shared" si="348"/>
        <v>1.6000000000000014E-2</v>
      </c>
      <c r="BQ213" s="1419">
        <f t="shared" si="349"/>
        <v>1.6000000000000014E-2</v>
      </c>
      <c r="BR213" s="1378"/>
      <c r="BS213" s="1420"/>
      <c r="BT213" s="1421"/>
      <c r="BU213" s="1422"/>
      <c r="BV213" s="1423"/>
      <c r="BW213" s="1378"/>
      <c r="BX213" s="1412" t="str">
        <f t="shared" si="350"/>
        <v>Price</v>
      </c>
      <c r="BY213" s="1413" t="str">
        <f t="shared" si="351"/>
        <v>Trade Waste</v>
      </c>
      <c r="BZ213" s="1414" t="str">
        <f t="shared" si="352"/>
        <v>Variable</v>
      </c>
      <c r="CA213" s="1424">
        <f t="shared" ref="CA213:CR213" si="407">IFERROR((P213/O213-1)*(O215/O$13),"-")</f>
        <v>4.0815434205571547E-6</v>
      </c>
      <c r="CB213" s="1415">
        <f t="shared" si="407"/>
        <v>3.9975261787960798E-6</v>
      </c>
      <c r="CC213" s="1415">
        <f t="shared" si="407"/>
        <v>4.1160291489700987E-6</v>
      </c>
      <c r="CD213" s="1415">
        <f t="shared" si="407"/>
        <v>4.2090212264392022E-6</v>
      </c>
      <c r="CE213" s="1415">
        <f t="shared" si="407"/>
        <v>3.5133309217653414E-6</v>
      </c>
      <c r="CF213" s="1415">
        <f t="shared" si="407"/>
        <v>3.4873577189419574E-6</v>
      </c>
      <c r="CG213" s="1415">
        <f t="shared" si="407"/>
        <v>3.402226572124278E-6</v>
      </c>
      <c r="CH213" s="1425">
        <f t="shared" si="407"/>
        <v>2.129386490080423E-6</v>
      </c>
      <c r="CI213" s="1417">
        <f t="shared" si="407"/>
        <v>2.5592710189884096E-5</v>
      </c>
      <c r="CJ213" s="1417">
        <f t="shared" si="407"/>
        <v>2.5039886355016532E-5</v>
      </c>
      <c r="CK213" s="1417">
        <f t="shared" si="407"/>
        <v>2.4772504262187551E-5</v>
      </c>
      <c r="CL213" s="1417">
        <f t="shared" si="407"/>
        <v>2.4506930752523362E-5</v>
      </c>
      <c r="CM213" s="1418">
        <f t="shared" si="407"/>
        <v>2.4238828825457005E-5</v>
      </c>
      <c r="CN213" s="1417">
        <f t="shared" si="407"/>
        <v>7.3073223199708146E-6</v>
      </c>
      <c r="CO213" s="1417">
        <f t="shared" si="407"/>
        <v>7.2243279669216367E-6</v>
      </c>
      <c r="CP213" s="1417">
        <f t="shared" si="407"/>
        <v>7.1404412959077345E-6</v>
      </c>
      <c r="CQ213" s="1417">
        <f t="shared" si="407"/>
        <v>7.0583418257265072E-6</v>
      </c>
      <c r="CR213" s="1419">
        <f t="shared" si="407"/>
        <v>6.9737717019072178E-6</v>
      </c>
      <c r="CS213" s="1378"/>
      <c r="CT213" s="1412" t="str">
        <f t="shared" si="328"/>
        <v>Price</v>
      </c>
      <c r="CU213" s="1413" t="str">
        <f t="shared" si="329"/>
        <v>Trade Waste</v>
      </c>
      <c r="CV213" s="1426" t="str">
        <f t="shared" si="330"/>
        <v>Variable</v>
      </c>
      <c r="CW213" s="1427">
        <f t="shared" si="354"/>
        <v>5.2499999999999991E-2</v>
      </c>
      <c r="CX213" s="1417">
        <f t="shared" si="355"/>
        <v>5.2499999999999991E-2</v>
      </c>
      <c r="CY213" s="1417">
        <f t="shared" si="356"/>
        <v>5.2499999999999991E-2</v>
      </c>
      <c r="CZ213" s="1419">
        <f t="shared" si="357"/>
        <v>5.2499999999999991E-2</v>
      </c>
      <c r="DA213" s="1417">
        <f t="shared" si="358"/>
        <v>4.6326854261736772E-2</v>
      </c>
      <c r="DB213" s="1417">
        <f t="shared" si="359"/>
        <v>4.1939644324732628E-2</v>
      </c>
      <c r="DC213" s="1417">
        <f t="shared" si="360"/>
        <v>3.8661313083165672E-2</v>
      </c>
      <c r="DD213" s="1417">
        <f t="shared" si="361"/>
        <v>3.6118632816290797E-2</v>
      </c>
      <c r="DE213" s="1419">
        <f t="shared" si="362"/>
        <v>3.4088971027154802E-2</v>
      </c>
      <c r="DF213" s="1378"/>
      <c r="DG213" s="1412" t="str">
        <f t="shared" si="363"/>
        <v>Price</v>
      </c>
      <c r="DH213" s="1413" t="str">
        <f t="shared" si="363"/>
        <v>Trade Waste</v>
      </c>
      <c r="DI213" s="1426" t="str">
        <f t="shared" si="363"/>
        <v>Variable</v>
      </c>
      <c r="DJ213" s="1426"/>
      <c r="DK213" s="1427">
        <f t="shared" si="364"/>
        <v>5.2499999999999991E-2</v>
      </c>
      <c r="DL213" s="1417">
        <f t="shared" si="365"/>
        <v>5.2499999999999991E-2</v>
      </c>
      <c r="DM213" s="1417">
        <f t="shared" si="366"/>
        <v>5.2499999999999991E-2</v>
      </c>
      <c r="DN213" s="1418">
        <f t="shared" si="367"/>
        <v>4.5096576751770812E-2</v>
      </c>
      <c r="DO213" s="1417">
        <f t="shared" si="368"/>
        <v>4.0189915391222852E-2</v>
      </c>
      <c r="DP213" s="1417">
        <f t="shared" si="369"/>
        <v>3.6699267547710912E-2</v>
      </c>
      <c r="DQ213" s="1417">
        <f t="shared" si="370"/>
        <v>3.4088971027154802E-2</v>
      </c>
      <c r="DR213" s="1419">
        <f t="shared" si="371"/>
        <v>3.2063285160126576E-2</v>
      </c>
    </row>
    <row r="214" spans="4:122">
      <c r="E214" s="742" t="s">
        <v>45</v>
      </c>
      <c r="F214" s="722" t="str">
        <f>+F213</f>
        <v>Trade Waste</v>
      </c>
      <c r="G214" s="723" t="str">
        <f>+G213</f>
        <v>Major -Total Oxidised Sulphur</v>
      </c>
      <c r="H214" s="723">
        <f>+H213</f>
        <v>0</v>
      </c>
      <c r="I214" s="724" t="str">
        <f>+I213</f>
        <v>Variable</v>
      </c>
      <c r="J214" s="782" t="s">
        <v>221</v>
      </c>
      <c r="K214" s="1540"/>
      <c r="L214" s="1541"/>
      <c r="M214" s="1541"/>
      <c r="N214" s="1542"/>
      <c r="O214" s="2031">
        <v>73314.023890989687</v>
      </c>
      <c r="P214" s="1543">
        <v>73193.133658449995</v>
      </c>
      <c r="Q214" s="1543">
        <v>73314.023890989702</v>
      </c>
      <c r="R214" s="1543">
        <v>73273.727146809804</v>
      </c>
      <c r="S214" s="1543">
        <v>59304.888616242744</v>
      </c>
      <c r="T214" s="1543">
        <v>61045.234165438407</v>
      </c>
      <c r="U214" s="1543">
        <v>61487.883478863187</v>
      </c>
      <c r="V214" s="1543">
        <v>40338.956179299428</v>
      </c>
      <c r="W214" s="1543">
        <v>40338.956179299428</v>
      </c>
      <c r="X214" s="1544">
        <v>40338.956179299428</v>
      </c>
      <c r="Y214" s="1543">
        <v>40338.956179299428</v>
      </c>
      <c r="Z214" s="1543">
        <v>40338.956179299428</v>
      </c>
      <c r="AA214" s="1543">
        <v>40338.956179299428</v>
      </c>
      <c r="AB214" s="1543">
        <v>40338.956179299428</v>
      </c>
      <c r="AC214" s="1544">
        <v>40338.956179299428</v>
      </c>
      <c r="AD214" s="1543">
        <v>40338.956179299428</v>
      </c>
      <c r="AE214" s="1543">
        <v>40338.956179299428</v>
      </c>
      <c r="AF214" s="1543">
        <v>40338.956179299428</v>
      </c>
      <c r="AG214" s="1553">
        <v>40338.956179299428</v>
      </c>
      <c r="AH214" s="697"/>
      <c r="AI214" s="707"/>
      <c r="AJ214" s="709">
        <f t="shared" si="375"/>
        <v>40338.956179299428</v>
      </c>
      <c r="AK214" s="710">
        <f t="shared" si="376"/>
        <v>40338.956179299428</v>
      </c>
      <c r="AL214" s="710">
        <f t="shared" si="377"/>
        <v>40338.956179299428</v>
      </c>
      <c r="AM214" s="710">
        <f t="shared" si="378"/>
        <v>40338.956179299428</v>
      </c>
      <c r="AN214" s="710">
        <f t="shared" si="379"/>
        <v>40338.956179299428</v>
      </c>
      <c r="AO214" s="711">
        <f t="shared" si="380"/>
        <v>40338.956179299428</v>
      </c>
      <c r="AP214" s="707">
        <f t="shared" si="381"/>
        <v>40338.956179299428</v>
      </c>
      <c r="AQ214" s="707">
        <f t="shared" si="382"/>
        <v>40338.956179299428</v>
      </c>
      <c r="AR214" s="707">
        <f t="shared" si="383"/>
        <v>40338.956179299428</v>
      </c>
      <c r="AS214" s="712">
        <f t="shared" si="384"/>
        <v>40338.956179299428</v>
      </c>
      <c r="AV214" s="1559"/>
      <c r="AW214" s="1392" t="str">
        <f t="shared" si="332"/>
        <v>Qty</v>
      </c>
      <c r="AX214" s="1393" t="str">
        <f t="shared" si="332"/>
        <v>Trade Waste</v>
      </c>
      <c r="AY214" s="1394" t="str">
        <f t="shared" si="333"/>
        <v>Variable</v>
      </c>
      <c r="AZ214" s="1395">
        <f t="shared" si="402"/>
        <v>-1.6489373536424656E-3</v>
      </c>
      <c r="BA214" s="1395">
        <f t="shared" si="402"/>
        <v>1.6516608388954523E-3</v>
      </c>
      <c r="BB214" s="1395">
        <f t="shared" si="402"/>
        <v>-5.4964578454752555E-4</v>
      </c>
      <c r="BC214" s="1395">
        <f t="shared" si="335"/>
        <v>-0.19063911547148915</v>
      </c>
      <c r="BD214" s="1395">
        <f t="shared" si="336"/>
        <v>2.9345735061696132E-2</v>
      </c>
      <c r="BE214" s="1395">
        <f t="shared" si="337"/>
        <v>7.2511690630123748E-3</v>
      </c>
      <c r="BF214" s="1395">
        <f t="shared" si="338"/>
        <v>-0.34395276114576012</v>
      </c>
      <c r="BG214" s="1396">
        <f t="shared" si="339"/>
        <v>0</v>
      </c>
      <c r="BH214" s="1395">
        <f t="shared" si="340"/>
        <v>0</v>
      </c>
      <c r="BI214" s="1395">
        <f t="shared" si="341"/>
        <v>0</v>
      </c>
      <c r="BJ214" s="1395">
        <f t="shared" si="342"/>
        <v>0</v>
      </c>
      <c r="BK214" s="1395">
        <f t="shared" si="343"/>
        <v>0</v>
      </c>
      <c r="BL214" s="1397">
        <f t="shared" si="344"/>
        <v>0</v>
      </c>
      <c r="BM214" s="1395">
        <f t="shared" si="345"/>
        <v>0</v>
      </c>
      <c r="BN214" s="1395">
        <f t="shared" si="346"/>
        <v>0</v>
      </c>
      <c r="BO214" s="1395">
        <f t="shared" si="347"/>
        <v>0</v>
      </c>
      <c r="BP214" s="1395">
        <f t="shared" si="348"/>
        <v>0</v>
      </c>
      <c r="BQ214" s="1398">
        <f t="shared" si="349"/>
        <v>0</v>
      </c>
      <c r="BR214" s="1378"/>
      <c r="BS214" s="1329"/>
      <c r="BT214" s="1399"/>
      <c r="BU214" s="1331"/>
      <c r="BV214" s="1400"/>
      <c r="BW214" s="1378"/>
      <c r="BX214" s="1392" t="str">
        <f t="shared" si="350"/>
        <v>Qty</v>
      </c>
      <c r="BY214" s="1393" t="str">
        <f t="shared" si="351"/>
        <v>Trade Waste</v>
      </c>
      <c r="BZ214" s="1394" t="str">
        <f t="shared" si="352"/>
        <v>Variable</v>
      </c>
      <c r="CA214" s="1401">
        <f t="shared" ref="CA214:CR214" si="408">IFERROR((P214/O214-1)*(O215/O$13),"-")</f>
        <v>-1.5082123342125759E-6</v>
      </c>
      <c r="CB214" s="1395">
        <f t="shared" si="408"/>
        <v>1.4766320225057751E-6</v>
      </c>
      <c r="CC214" s="1395">
        <f t="shared" si="408"/>
        <v>-5.0333398207146548E-7</v>
      </c>
      <c r="CD214" s="1395">
        <f t="shared" si="408"/>
        <v>-1.7851539035508985E-4</v>
      </c>
      <c r="CE214" s="1395">
        <f t="shared" si="408"/>
        <v>2.3122962821769893E-5</v>
      </c>
      <c r="CF214" s="1395">
        <f t="shared" si="408"/>
        <v>5.705031591966448E-6</v>
      </c>
      <c r="CG214" s="1395">
        <f t="shared" si="408"/>
        <v>-2.6059360607456021E-4</v>
      </c>
      <c r="CH214" s="1397">
        <f t="shared" si="408"/>
        <v>0</v>
      </c>
      <c r="CI214" s="1395">
        <f t="shared" si="408"/>
        <v>0</v>
      </c>
      <c r="CJ214" s="1395">
        <f t="shared" si="408"/>
        <v>0</v>
      </c>
      <c r="CK214" s="1395">
        <f t="shared" si="408"/>
        <v>0</v>
      </c>
      <c r="CL214" s="1395">
        <f t="shared" si="408"/>
        <v>0</v>
      </c>
      <c r="CM214" s="1397">
        <f t="shared" si="408"/>
        <v>0</v>
      </c>
      <c r="CN214" s="1395">
        <f t="shared" si="408"/>
        <v>0</v>
      </c>
      <c r="CO214" s="1395">
        <f t="shared" si="408"/>
        <v>0</v>
      </c>
      <c r="CP214" s="1395">
        <f t="shared" si="408"/>
        <v>0</v>
      </c>
      <c r="CQ214" s="1395">
        <f t="shared" si="408"/>
        <v>0</v>
      </c>
      <c r="CR214" s="1398">
        <f t="shared" si="408"/>
        <v>0</v>
      </c>
      <c r="CS214" s="1378"/>
      <c r="CT214" s="1392" t="str">
        <f t="shared" si="328"/>
        <v>Qty</v>
      </c>
      <c r="CU214" s="1393" t="str">
        <f t="shared" si="329"/>
        <v>Trade Waste</v>
      </c>
      <c r="CV214" s="1393" t="str">
        <f t="shared" si="330"/>
        <v>Variable</v>
      </c>
      <c r="CW214" s="1401">
        <f t="shared" si="354"/>
        <v>0</v>
      </c>
      <c r="CX214" s="1395">
        <f t="shared" si="355"/>
        <v>0</v>
      </c>
      <c r="CY214" s="1395">
        <f t="shared" si="356"/>
        <v>0</v>
      </c>
      <c r="CZ214" s="1398">
        <f t="shared" si="357"/>
        <v>0</v>
      </c>
      <c r="DA214" s="1395">
        <f t="shared" si="358"/>
        <v>0</v>
      </c>
      <c r="DB214" s="1395">
        <f t="shared" si="359"/>
        <v>0</v>
      </c>
      <c r="DC214" s="1395">
        <f t="shared" si="360"/>
        <v>0</v>
      </c>
      <c r="DD214" s="1395">
        <f t="shared" si="361"/>
        <v>0</v>
      </c>
      <c r="DE214" s="1398">
        <f t="shared" si="362"/>
        <v>0</v>
      </c>
      <c r="DF214" s="1378"/>
      <c r="DG214" s="1392" t="str">
        <f t="shared" si="363"/>
        <v>Qty</v>
      </c>
      <c r="DH214" s="1393" t="str">
        <f t="shared" si="363"/>
        <v>Trade Waste</v>
      </c>
      <c r="DI214" s="1393" t="str">
        <f t="shared" si="363"/>
        <v>Variable</v>
      </c>
      <c r="DJ214" s="1393"/>
      <c r="DK214" s="1401">
        <f t="shared" si="364"/>
        <v>0</v>
      </c>
      <c r="DL214" s="1395">
        <f t="shared" si="365"/>
        <v>0</v>
      </c>
      <c r="DM214" s="1395">
        <f t="shared" si="366"/>
        <v>0</v>
      </c>
      <c r="DN214" s="1397">
        <f t="shared" si="367"/>
        <v>0</v>
      </c>
      <c r="DO214" s="1395">
        <f t="shared" si="368"/>
        <v>0</v>
      </c>
      <c r="DP214" s="1395">
        <f t="shared" si="369"/>
        <v>0</v>
      </c>
      <c r="DQ214" s="1395">
        <f t="shared" si="370"/>
        <v>0</v>
      </c>
      <c r="DR214" s="1398">
        <f t="shared" si="371"/>
        <v>0</v>
      </c>
    </row>
    <row r="215" spans="4:122" ht="12.75" thickBot="1">
      <c r="E215" s="743" t="s">
        <v>46</v>
      </c>
      <c r="F215" s="732" t="str">
        <f>+F213</f>
        <v>Trade Waste</v>
      </c>
      <c r="G215" s="733" t="str">
        <f>+G213</f>
        <v>Major -Total Oxidised Sulphur</v>
      </c>
      <c r="H215" s="733">
        <f>+H213</f>
        <v>0</v>
      </c>
      <c r="I215" s="734" t="str">
        <f>+I213</f>
        <v>Variable</v>
      </c>
      <c r="J215" s="735" t="s">
        <v>344</v>
      </c>
      <c r="K215" s="736">
        <f t="shared" ref="K215:AG215" si="409">K213*K214/10^6</f>
        <v>0</v>
      </c>
      <c r="L215" s="737">
        <f t="shared" si="409"/>
        <v>0</v>
      </c>
      <c r="M215" s="737">
        <f t="shared" si="409"/>
        <v>0</v>
      </c>
      <c r="N215" s="738">
        <f t="shared" si="409"/>
        <v>0</v>
      </c>
      <c r="O215" s="1923">
        <f t="shared" si="409"/>
        <v>6.8967703164600089E-2</v>
      </c>
      <c r="P215" s="737">
        <f t="shared" si="409"/>
        <v>6.9161232038397399E-2</v>
      </c>
      <c r="Q215" s="737">
        <f t="shared" si="409"/>
        <v>6.9585218662379461E-2</v>
      </c>
      <c r="R215" s="737">
        <f t="shared" si="409"/>
        <v>6.9859567366126113E-2</v>
      </c>
      <c r="S215" s="737">
        <f t="shared" si="409"/>
        <v>5.6795748576887586E-2</v>
      </c>
      <c r="T215" s="1531">
        <f t="shared" si="409"/>
        <v>5.8723135537684268E-2</v>
      </c>
      <c r="U215" s="737">
        <f t="shared" si="409"/>
        <v>5.9411123258721651E-2</v>
      </c>
      <c r="V215" s="737">
        <f t="shared" si="409"/>
        <v>3.915152880065733E-2</v>
      </c>
      <c r="W215" s="737">
        <f t="shared" si="409"/>
        <v>3.9326448379199012E-2</v>
      </c>
      <c r="X215" s="738">
        <f t="shared" si="409"/>
        <v>4.1391086919106958E-2</v>
      </c>
      <c r="Y215" s="737">
        <f t="shared" si="409"/>
        <v>4.3564118982360081E-2</v>
      </c>
      <c r="Z215" s="737">
        <f t="shared" si="409"/>
        <v>4.5851235228933973E-2</v>
      </c>
      <c r="AA215" s="737">
        <f t="shared" si="409"/>
        <v>4.8258425078453009E-2</v>
      </c>
      <c r="AB215" s="737">
        <f t="shared" si="409"/>
        <v>5.0791992395071789E-2</v>
      </c>
      <c r="AC215" s="738">
        <f t="shared" si="409"/>
        <v>5.1604664273392935E-2</v>
      </c>
      <c r="AD215" s="737">
        <f t="shared" si="409"/>
        <v>5.2430338901767216E-2</v>
      </c>
      <c r="AE215" s="737">
        <f t="shared" si="409"/>
        <v>5.3269224324195494E-2</v>
      </c>
      <c r="AF215" s="737">
        <f t="shared" si="409"/>
        <v>5.4121531913382627E-2</v>
      </c>
      <c r="AG215" s="739">
        <f t="shared" si="409"/>
        <v>5.4987476423996748E-2</v>
      </c>
      <c r="AH215" s="697"/>
      <c r="AI215" s="707"/>
      <c r="AJ215" s="709">
        <f t="shared" si="375"/>
        <v>4.1391086919106958E-2</v>
      </c>
      <c r="AK215" s="710">
        <f t="shared" si="376"/>
        <v>4.3564118982360081E-2</v>
      </c>
      <c r="AL215" s="710">
        <f t="shared" si="377"/>
        <v>4.5851235228933973E-2</v>
      </c>
      <c r="AM215" s="710">
        <f t="shared" si="378"/>
        <v>4.8258425078453009E-2</v>
      </c>
      <c r="AN215" s="710">
        <f t="shared" si="379"/>
        <v>5.0791992395071789E-2</v>
      </c>
      <c r="AO215" s="711">
        <f t="shared" si="380"/>
        <v>5.1604664273392935E-2</v>
      </c>
      <c r="AP215" s="707">
        <f t="shared" si="381"/>
        <v>5.2430338901767216E-2</v>
      </c>
      <c r="AQ215" s="707">
        <f t="shared" si="382"/>
        <v>5.3269224324195494E-2</v>
      </c>
      <c r="AR215" s="707">
        <f t="shared" si="383"/>
        <v>5.4121531913382627E-2</v>
      </c>
      <c r="AS215" s="712">
        <f t="shared" si="384"/>
        <v>5.4987476423996748E-2</v>
      </c>
      <c r="AV215" s="1559"/>
      <c r="AW215" s="1428" t="str">
        <f t="shared" si="332"/>
        <v>Rev</v>
      </c>
      <c r="AX215" s="1429" t="str">
        <f t="shared" si="332"/>
        <v>Trade Waste</v>
      </c>
      <c r="AY215" s="1430" t="str">
        <f t="shared" si="333"/>
        <v>Variable</v>
      </c>
      <c r="AZ215" s="1431">
        <f t="shared" si="402"/>
        <v>2.8060797288758099E-3</v>
      </c>
      <c r="BA215" s="1431">
        <f t="shared" si="402"/>
        <v>6.1304087779505689E-3</v>
      </c>
      <c r="BB215" s="1431">
        <f t="shared" si="402"/>
        <v>3.9426290384709795E-3</v>
      </c>
      <c r="BC215" s="1431">
        <f t="shared" si="335"/>
        <v>-0.18700114074243435</v>
      </c>
      <c r="BD215" s="1431">
        <f t="shared" si="336"/>
        <v>3.3935409059490995E-2</v>
      </c>
      <c r="BE215" s="1431">
        <f t="shared" si="337"/>
        <v>1.1715786542016104E-2</v>
      </c>
      <c r="BF215" s="1431">
        <f t="shared" si="338"/>
        <v>-0.34100675676234049</v>
      </c>
      <c r="BG215" s="1432">
        <f t="shared" si="339"/>
        <v>4.4677585754644422E-3</v>
      </c>
      <c r="BH215" s="1431">
        <f t="shared" si="340"/>
        <v>5.2499999999999991E-2</v>
      </c>
      <c r="BI215" s="1431">
        <f t="shared" si="341"/>
        <v>5.2500000000000213E-2</v>
      </c>
      <c r="BJ215" s="1431">
        <f t="shared" si="342"/>
        <v>5.2499999999999769E-2</v>
      </c>
      <c r="BK215" s="1431">
        <f t="shared" si="343"/>
        <v>5.2499999999999991E-2</v>
      </c>
      <c r="BL215" s="1433">
        <f t="shared" si="344"/>
        <v>5.2499999999999991E-2</v>
      </c>
      <c r="BM215" s="1431">
        <f t="shared" si="345"/>
        <v>1.6000000000000014E-2</v>
      </c>
      <c r="BN215" s="1431">
        <f t="shared" si="346"/>
        <v>1.5999999999999792E-2</v>
      </c>
      <c r="BO215" s="1431">
        <f t="shared" si="347"/>
        <v>1.6000000000000014E-2</v>
      </c>
      <c r="BP215" s="1431">
        <f t="shared" si="348"/>
        <v>1.6000000000000014E-2</v>
      </c>
      <c r="BQ215" s="1434">
        <f t="shared" si="349"/>
        <v>1.6000000000000014E-2</v>
      </c>
      <c r="BR215" s="1378"/>
      <c r="BS215" s="1407"/>
      <c r="BT215" s="1408"/>
      <c r="BU215" s="1409"/>
      <c r="BV215" s="1410"/>
      <c r="BW215" s="1378"/>
      <c r="BX215" s="1428" t="str">
        <f t="shared" si="350"/>
        <v>Rev</v>
      </c>
      <c r="BY215" s="1429" t="str">
        <f t="shared" si="351"/>
        <v>Trade Waste</v>
      </c>
      <c r="BZ215" s="1430" t="str">
        <f t="shared" si="352"/>
        <v>Variable</v>
      </c>
      <c r="CA215" s="1435">
        <f t="shared" ref="CA215:CR215" si="410">IFERROR((P215/O215-1)*(O215/O$13),"-")</f>
        <v>2.5666008769378788E-6</v>
      </c>
      <c r="CB215" s="1431">
        <f t="shared" si="410"/>
        <v>5.4807607587439485E-6</v>
      </c>
      <c r="CC215" s="1431">
        <f t="shared" si="410"/>
        <v>3.6104328088276344E-6</v>
      </c>
      <c r="CD215" s="1431">
        <f t="shared" si="410"/>
        <v>-1.7510877321225959E-4</v>
      </c>
      <c r="CE215" s="1431">
        <f t="shared" si="410"/>
        <v>2.6739395021949398E-5</v>
      </c>
      <c r="CF215" s="1431">
        <f t="shared" si="410"/>
        <v>9.2176767313118083E-6</v>
      </c>
      <c r="CG215" s="1431">
        <f t="shared" si="410"/>
        <v>-2.5836158472596158E-4</v>
      </c>
      <c r="CH215" s="1433">
        <f t="shared" si="410"/>
        <v>2.129386490080423E-6</v>
      </c>
      <c r="CI215" s="1431">
        <f t="shared" si="410"/>
        <v>2.5592710189884096E-5</v>
      </c>
      <c r="CJ215" s="1431">
        <f t="shared" si="410"/>
        <v>2.5039886355016637E-5</v>
      </c>
      <c r="CK215" s="1431">
        <f t="shared" si="410"/>
        <v>2.4772504262187446E-5</v>
      </c>
      <c r="CL215" s="1431">
        <f t="shared" si="410"/>
        <v>2.4506930752523362E-5</v>
      </c>
      <c r="CM215" s="1433">
        <f t="shared" si="410"/>
        <v>2.4238828825457005E-5</v>
      </c>
      <c r="CN215" s="1431">
        <f t="shared" si="410"/>
        <v>7.3073223199708146E-6</v>
      </c>
      <c r="CO215" s="1431">
        <f t="shared" si="410"/>
        <v>7.2243279669215367E-6</v>
      </c>
      <c r="CP215" s="1431">
        <f t="shared" si="410"/>
        <v>7.1404412959077345E-6</v>
      </c>
      <c r="CQ215" s="1431">
        <f t="shared" si="410"/>
        <v>7.0583418257265072E-6</v>
      </c>
      <c r="CR215" s="1434">
        <f t="shared" si="410"/>
        <v>6.9737717019072178E-6</v>
      </c>
      <c r="CS215" s="1378"/>
      <c r="CT215" s="1428" t="str">
        <f t="shared" si="328"/>
        <v>Rev</v>
      </c>
      <c r="CU215" s="1429" t="str">
        <f t="shared" si="329"/>
        <v>Trade Waste</v>
      </c>
      <c r="CV215" s="1429" t="str">
        <f t="shared" si="330"/>
        <v>Variable</v>
      </c>
      <c r="CW215" s="1435">
        <f t="shared" si="354"/>
        <v>5.2500000000000213E-2</v>
      </c>
      <c r="CX215" s="1431">
        <f t="shared" si="355"/>
        <v>5.2499999999999991E-2</v>
      </c>
      <c r="CY215" s="1431">
        <f t="shared" si="356"/>
        <v>5.2499999999999991E-2</v>
      </c>
      <c r="CZ215" s="1434">
        <f t="shared" si="357"/>
        <v>5.2499999999999991E-2</v>
      </c>
      <c r="DA215" s="1431">
        <f t="shared" si="358"/>
        <v>4.6326854261736994E-2</v>
      </c>
      <c r="DB215" s="1431">
        <f t="shared" si="359"/>
        <v>4.1939644324732628E-2</v>
      </c>
      <c r="DC215" s="1431">
        <f t="shared" si="360"/>
        <v>3.8661313083165672E-2</v>
      </c>
      <c r="DD215" s="1431">
        <f t="shared" si="361"/>
        <v>3.6118632816290797E-2</v>
      </c>
      <c r="DE215" s="1434">
        <f t="shared" si="362"/>
        <v>3.4088971027154802E-2</v>
      </c>
      <c r="DF215" s="1378"/>
      <c r="DG215" s="1428" t="str">
        <f t="shared" si="363"/>
        <v>Rev</v>
      </c>
      <c r="DH215" s="1429" t="str">
        <f t="shared" si="363"/>
        <v>Trade Waste</v>
      </c>
      <c r="DI215" s="1429" t="str">
        <f t="shared" si="363"/>
        <v>Variable</v>
      </c>
      <c r="DJ215" s="1429"/>
      <c r="DK215" s="1435">
        <f t="shared" si="364"/>
        <v>5.2499999999999991E-2</v>
      </c>
      <c r="DL215" s="1431">
        <f t="shared" si="365"/>
        <v>5.2499999999999991E-2</v>
      </c>
      <c r="DM215" s="1431">
        <f t="shared" si="366"/>
        <v>5.2499999999999991E-2</v>
      </c>
      <c r="DN215" s="1433">
        <f t="shared" si="367"/>
        <v>4.5096576751770812E-2</v>
      </c>
      <c r="DO215" s="1431">
        <f t="shared" si="368"/>
        <v>4.0189915391222852E-2</v>
      </c>
      <c r="DP215" s="1431">
        <f t="shared" si="369"/>
        <v>3.6699267547710912E-2</v>
      </c>
      <c r="DQ215" s="1431">
        <f t="shared" si="370"/>
        <v>3.4088971027154802E-2</v>
      </c>
      <c r="DR215" s="1434">
        <f t="shared" si="371"/>
        <v>3.2063285160126576E-2</v>
      </c>
    </row>
    <row r="216" spans="4:122">
      <c r="D216" s="70">
        <f>D213+1</f>
        <v>51</v>
      </c>
      <c r="E216" s="713" t="s">
        <v>44</v>
      </c>
      <c r="F216" s="1532" t="s">
        <v>316</v>
      </c>
      <c r="G216" s="1532" t="s">
        <v>913</v>
      </c>
      <c r="H216" s="1532"/>
      <c r="I216" s="781" t="s">
        <v>319</v>
      </c>
      <c r="J216" s="781" t="s">
        <v>345</v>
      </c>
      <c r="K216" s="1533"/>
      <c r="L216" s="1534"/>
      <c r="M216" s="1534"/>
      <c r="N216" s="1535"/>
      <c r="O216" s="2071">
        <v>183.29199095022622</v>
      </c>
      <c r="P216" s="1547">
        <v>184.12206927175842</v>
      </c>
      <c r="Q216" s="1547">
        <v>184.94466257668711</v>
      </c>
      <c r="R216" s="1547">
        <v>185.76985420240135</v>
      </c>
      <c r="S216" s="1547">
        <v>186.5975572519084</v>
      </c>
      <c r="T216" s="1547">
        <v>187.42966101694915</v>
      </c>
      <c r="U216" s="1547">
        <v>188.26848416289593</v>
      </c>
      <c r="V216" s="1547">
        <v>189.11554585152837</v>
      </c>
      <c r="W216" s="1547">
        <v>189.96</v>
      </c>
      <c r="X216" s="1550">
        <v>199.93290000000002</v>
      </c>
      <c r="Y216" s="1551">
        <v>210.42937725000002</v>
      </c>
      <c r="Z216" s="1551">
        <v>221.47691955562502</v>
      </c>
      <c r="AA216" s="1551">
        <v>233.10445783229534</v>
      </c>
      <c r="AB216" s="1551">
        <v>245.34244186849085</v>
      </c>
      <c r="AC216" s="1550">
        <v>249.26792093838671</v>
      </c>
      <c r="AD216" s="1551">
        <v>253.25620767340089</v>
      </c>
      <c r="AE216" s="1551">
        <v>257.3083069961753</v>
      </c>
      <c r="AF216" s="1551">
        <v>261.42523990811412</v>
      </c>
      <c r="AG216" s="1552">
        <v>265.60804374664394</v>
      </c>
      <c r="AH216" s="697"/>
      <c r="AI216" s="707"/>
      <c r="AJ216" s="709">
        <f t="shared" si="375"/>
        <v>199.93290000000002</v>
      </c>
      <c r="AK216" s="710">
        <f t="shared" si="376"/>
        <v>210.42937725000002</v>
      </c>
      <c r="AL216" s="710">
        <f t="shared" si="377"/>
        <v>221.47691955562502</v>
      </c>
      <c r="AM216" s="710">
        <f t="shared" si="378"/>
        <v>233.10445783229534</v>
      </c>
      <c r="AN216" s="710">
        <f t="shared" si="379"/>
        <v>245.34244186849085</v>
      </c>
      <c r="AO216" s="711">
        <f t="shared" si="380"/>
        <v>249.26792093838671</v>
      </c>
      <c r="AP216" s="707">
        <f t="shared" si="381"/>
        <v>253.25620767340089</v>
      </c>
      <c r="AQ216" s="707">
        <f t="shared" si="382"/>
        <v>257.3083069961753</v>
      </c>
      <c r="AR216" s="707">
        <f t="shared" si="383"/>
        <v>261.42523990811412</v>
      </c>
      <c r="AS216" s="712">
        <f t="shared" si="384"/>
        <v>265.60804374664394</v>
      </c>
      <c r="AU216" s="1369"/>
      <c r="AV216" s="1559"/>
      <c r="AW216" s="1412" t="str">
        <f t="shared" si="332"/>
        <v>Price</v>
      </c>
      <c r="AX216" s="1413" t="str">
        <f t="shared" si="332"/>
        <v>Trade Waste</v>
      </c>
      <c r="AY216" s="1414" t="str">
        <f t="shared" si="333"/>
        <v>Fixed</v>
      </c>
      <c r="AZ216" s="1415">
        <f t="shared" si="402"/>
        <v>4.5287211799538429E-3</v>
      </c>
      <c r="BA216" s="1415">
        <f t="shared" si="402"/>
        <v>4.4676518582602576E-3</v>
      </c>
      <c r="BB216" s="1415">
        <f t="shared" si="402"/>
        <v>4.4618299020771079E-3</v>
      </c>
      <c r="BC216" s="1415">
        <f t="shared" si="335"/>
        <v>4.4555294133203915E-3</v>
      </c>
      <c r="BD216" s="1415">
        <f t="shared" si="336"/>
        <v>4.459349721912087E-3</v>
      </c>
      <c r="BE216" s="1415">
        <f t="shared" si="337"/>
        <v>4.4754023530508835E-3</v>
      </c>
      <c r="BF216" s="1415">
        <f t="shared" si="338"/>
        <v>4.4992219085353558E-3</v>
      </c>
      <c r="BG216" s="1416">
        <f t="shared" si="339"/>
        <v>4.465281501154994E-3</v>
      </c>
      <c r="BH216" s="1417">
        <f t="shared" si="340"/>
        <v>5.2499999999999991E-2</v>
      </c>
      <c r="BI216" s="1417">
        <f t="shared" si="341"/>
        <v>5.2499999999999991E-2</v>
      </c>
      <c r="BJ216" s="1417">
        <f t="shared" si="342"/>
        <v>5.2499999999999991E-2</v>
      </c>
      <c r="BK216" s="1417">
        <f t="shared" si="343"/>
        <v>5.2499999999999991E-2</v>
      </c>
      <c r="BL216" s="1418">
        <f t="shared" si="344"/>
        <v>5.2499999999999991E-2</v>
      </c>
      <c r="BM216" s="1417">
        <f t="shared" si="345"/>
        <v>1.6000000000000014E-2</v>
      </c>
      <c r="BN216" s="1417">
        <f t="shared" si="346"/>
        <v>1.6000000000000014E-2</v>
      </c>
      <c r="BO216" s="1417">
        <f t="shared" si="347"/>
        <v>1.6000000000000014E-2</v>
      </c>
      <c r="BP216" s="1417">
        <f t="shared" si="348"/>
        <v>1.6000000000000014E-2</v>
      </c>
      <c r="BQ216" s="1419">
        <f t="shared" si="349"/>
        <v>1.6000000000000014E-2</v>
      </c>
      <c r="BR216" s="1378"/>
      <c r="BS216" s="1420"/>
      <c r="BT216" s="1421"/>
      <c r="BU216" s="1422"/>
      <c r="BV216" s="1423"/>
      <c r="BW216" s="1378"/>
      <c r="BX216" s="1412" t="str">
        <f t="shared" si="350"/>
        <v>Price</v>
      </c>
      <c r="BY216" s="1413" t="str">
        <f t="shared" si="351"/>
        <v>Trade Waste</v>
      </c>
      <c r="BZ216" s="1414" t="str">
        <f t="shared" si="352"/>
        <v>Fixed</v>
      </c>
      <c r="CA216" s="1424">
        <f t="shared" ref="CA216:CR216" si="411">IFERROR((P216/O216-1)*(O218/O$13),"-")</f>
        <v>7.6719236279334977E-6</v>
      </c>
      <c r="CB216" s="1415">
        <f t="shared" si="411"/>
        <v>7.9045147379717449E-6</v>
      </c>
      <c r="CC216" s="1415">
        <f t="shared" si="411"/>
        <v>8.268373279816719E-6</v>
      </c>
      <c r="CD216" s="1415">
        <f t="shared" si="411"/>
        <v>8.7166336049800443E-6</v>
      </c>
      <c r="CE216" s="1415">
        <f t="shared" si="411"/>
        <v>9.4220017105838355E-6</v>
      </c>
      <c r="CF216" s="1415">
        <f t="shared" si="411"/>
        <v>1.0215863343346279E-5</v>
      </c>
      <c r="CG216" s="1415">
        <f t="shared" si="411"/>
        <v>9.7759914011751695E-6</v>
      </c>
      <c r="CH216" s="1425">
        <f t="shared" si="411"/>
        <v>9.2314194024190714E-6</v>
      </c>
      <c r="CI216" s="1417">
        <f t="shared" si="411"/>
        <v>1.1323227203126502E-4</v>
      </c>
      <c r="CJ216" s="1417">
        <f t="shared" si="411"/>
        <v>1.1300208795370081E-4</v>
      </c>
      <c r="CK216" s="1417">
        <f t="shared" si="411"/>
        <v>1.1403133221515147E-4</v>
      </c>
      <c r="CL216" s="1417">
        <f t="shared" si="411"/>
        <v>1.1506503707862469E-4</v>
      </c>
      <c r="CM216" s="1418">
        <f t="shared" si="411"/>
        <v>1.1608236873977383E-4</v>
      </c>
      <c r="CN216" s="1417">
        <f t="shared" si="411"/>
        <v>3.5695466804876176E-5</v>
      </c>
      <c r="CO216" s="1417">
        <f t="shared" si="411"/>
        <v>3.5995849477521918E-5</v>
      </c>
      <c r="CP216" s="1417">
        <f t="shared" si="411"/>
        <v>3.6289434296557827E-5</v>
      </c>
      <c r="CQ216" s="1417">
        <f t="shared" si="411"/>
        <v>3.6589628811265419E-5</v>
      </c>
      <c r="CR216" s="1419">
        <f t="shared" si="411"/>
        <v>3.6874251598072494E-5</v>
      </c>
      <c r="CS216" s="1378"/>
      <c r="CT216" s="1412" t="str">
        <f t="shared" si="328"/>
        <v>Price</v>
      </c>
      <c r="CU216" s="1413" t="str">
        <f t="shared" si="329"/>
        <v>Trade Waste</v>
      </c>
      <c r="CV216" s="1426" t="str">
        <f t="shared" si="330"/>
        <v>Fixed</v>
      </c>
      <c r="CW216" s="1427">
        <f t="shared" si="354"/>
        <v>5.2499999999999991E-2</v>
      </c>
      <c r="CX216" s="1417">
        <f t="shared" si="355"/>
        <v>5.2499999999999991E-2</v>
      </c>
      <c r="CY216" s="1417">
        <f t="shared" si="356"/>
        <v>5.2499999999999991E-2</v>
      </c>
      <c r="CZ216" s="1419">
        <f t="shared" si="357"/>
        <v>5.2499999999999991E-2</v>
      </c>
      <c r="DA216" s="1417">
        <f t="shared" si="358"/>
        <v>4.6326854261736994E-2</v>
      </c>
      <c r="DB216" s="1417">
        <f t="shared" si="359"/>
        <v>4.1939644324732628E-2</v>
      </c>
      <c r="DC216" s="1417">
        <f t="shared" si="360"/>
        <v>3.8661313083165672E-2</v>
      </c>
      <c r="DD216" s="1417">
        <f t="shared" si="361"/>
        <v>3.6118632816290797E-2</v>
      </c>
      <c r="DE216" s="1419">
        <f t="shared" si="362"/>
        <v>3.4088971027155024E-2</v>
      </c>
      <c r="DF216" s="1378"/>
      <c r="DG216" s="1412" t="str">
        <f t="shared" si="363"/>
        <v>Price</v>
      </c>
      <c r="DH216" s="1413" t="str">
        <f t="shared" si="363"/>
        <v>Trade Waste</v>
      </c>
      <c r="DI216" s="1426" t="str">
        <f t="shared" si="363"/>
        <v>Fixed</v>
      </c>
      <c r="DJ216" s="1426"/>
      <c r="DK216" s="1427">
        <f t="shared" si="364"/>
        <v>5.2499999999999991E-2</v>
      </c>
      <c r="DL216" s="1417">
        <f t="shared" si="365"/>
        <v>5.2499999999999991E-2</v>
      </c>
      <c r="DM216" s="1417">
        <f t="shared" si="366"/>
        <v>5.2499999999999991E-2</v>
      </c>
      <c r="DN216" s="1418">
        <f t="shared" si="367"/>
        <v>4.5096576751770812E-2</v>
      </c>
      <c r="DO216" s="1417">
        <f t="shared" si="368"/>
        <v>4.0189915391222852E-2</v>
      </c>
      <c r="DP216" s="1417">
        <f t="shared" si="369"/>
        <v>3.6699267547711134E-2</v>
      </c>
      <c r="DQ216" s="1417">
        <f t="shared" si="370"/>
        <v>3.4088971027154802E-2</v>
      </c>
      <c r="DR216" s="1419">
        <f t="shared" si="371"/>
        <v>3.2063285160126576E-2</v>
      </c>
    </row>
    <row r="217" spans="4:122">
      <c r="E217" s="742" t="s">
        <v>45</v>
      </c>
      <c r="F217" s="722" t="str">
        <f>+F216</f>
        <v>Trade Waste</v>
      </c>
      <c r="G217" s="723" t="str">
        <f>+G216</f>
        <v>Commercial Tradewaste Category 4</v>
      </c>
      <c r="H217" s="723">
        <f>+H216</f>
        <v>0</v>
      </c>
      <c r="I217" s="724" t="str">
        <f>+I216</f>
        <v>Fixed</v>
      </c>
      <c r="J217" s="782" t="s">
        <v>323</v>
      </c>
      <c r="K217" s="1540"/>
      <c r="L217" s="1541"/>
      <c r="M217" s="1541"/>
      <c r="N217" s="1542"/>
      <c r="O217" s="2031">
        <v>696.90347490347494</v>
      </c>
      <c r="P217" s="1543">
        <v>743.3637065637065</v>
      </c>
      <c r="Q217" s="1543">
        <v>761.39305019305016</v>
      </c>
      <c r="R217" s="1543">
        <v>785.66332046332047</v>
      </c>
      <c r="S217" s="1543">
        <v>816.17451737451734</v>
      </c>
      <c r="T217" s="1543">
        <v>909</v>
      </c>
      <c r="U217" s="1543">
        <v>905</v>
      </c>
      <c r="V217" s="1543">
        <v>898</v>
      </c>
      <c r="W217" s="1543">
        <v>915.96</v>
      </c>
      <c r="X217" s="1544">
        <v>934.27920000000006</v>
      </c>
      <c r="Y217" s="1543">
        <v>952.96478400000012</v>
      </c>
      <c r="Z217" s="1543">
        <v>972.02407968000011</v>
      </c>
      <c r="AA217" s="1543">
        <v>991.46456127360011</v>
      </c>
      <c r="AB217" s="1543">
        <v>1011.2938524990722</v>
      </c>
      <c r="AC217" s="1544">
        <v>1031.5197295490536</v>
      </c>
      <c r="AD217" s="1543">
        <v>1052.1501241400347</v>
      </c>
      <c r="AE217" s="1543">
        <v>1073.1931266228353</v>
      </c>
      <c r="AF217" s="1543">
        <v>1094.656989155292</v>
      </c>
      <c r="AG217" s="1553">
        <v>1116.5501289383978</v>
      </c>
      <c r="AH217" s="697"/>
      <c r="AI217" s="707"/>
      <c r="AJ217" s="709">
        <f t="shared" si="375"/>
        <v>934.27920000000006</v>
      </c>
      <c r="AK217" s="710">
        <f t="shared" si="376"/>
        <v>952.96478400000012</v>
      </c>
      <c r="AL217" s="710">
        <f t="shared" si="377"/>
        <v>972.02407968000011</v>
      </c>
      <c r="AM217" s="710">
        <f t="shared" si="378"/>
        <v>991.46456127360011</v>
      </c>
      <c r="AN217" s="710">
        <f t="shared" si="379"/>
        <v>1011.2938524990722</v>
      </c>
      <c r="AO217" s="711">
        <f t="shared" si="380"/>
        <v>1031.5197295490536</v>
      </c>
      <c r="AP217" s="707">
        <f t="shared" si="381"/>
        <v>1052.1501241400347</v>
      </c>
      <c r="AQ217" s="707">
        <f t="shared" si="382"/>
        <v>1073.1931266228353</v>
      </c>
      <c r="AR217" s="707">
        <f t="shared" si="383"/>
        <v>1094.656989155292</v>
      </c>
      <c r="AS217" s="712">
        <f t="shared" si="384"/>
        <v>1116.5501289383978</v>
      </c>
      <c r="AV217" s="1559"/>
      <c r="AW217" s="1392" t="str">
        <f t="shared" si="332"/>
        <v>Qty</v>
      </c>
      <c r="AX217" s="1393" t="str">
        <f t="shared" si="332"/>
        <v>Trade Waste</v>
      </c>
      <c r="AY217" s="1394" t="str">
        <f t="shared" si="333"/>
        <v>Fixed</v>
      </c>
      <c r="AZ217" s="1395">
        <f t="shared" si="402"/>
        <v>6.666666666666643E-2</v>
      </c>
      <c r="BA217" s="1395">
        <f t="shared" si="402"/>
        <v>2.4253731343283569E-2</v>
      </c>
      <c r="BB217" s="1395">
        <f t="shared" si="402"/>
        <v>3.1876138433515555E-2</v>
      </c>
      <c r="BC217" s="1395">
        <f t="shared" si="335"/>
        <v>3.8834951456310662E-2</v>
      </c>
      <c r="BD217" s="1395">
        <f t="shared" si="336"/>
        <v>0.11373239503248045</v>
      </c>
      <c r="BE217" s="1395">
        <f t="shared" si="337"/>
        <v>-4.4004400440044167E-3</v>
      </c>
      <c r="BF217" s="1395">
        <f t="shared" si="338"/>
        <v>-7.7348066298342788E-3</v>
      </c>
      <c r="BG217" s="1396">
        <f t="shared" si="339"/>
        <v>2.0000000000000018E-2</v>
      </c>
      <c r="BH217" s="1395">
        <f t="shared" si="340"/>
        <v>2.0000000000000018E-2</v>
      </c>
      <c r="BI217" s="1395">
        <f t="shared" si="341"/>
        <v>2.0000000000000018E-2</v>
      </c>
      <c r="BJ217" s="1395">
        <f t="shared" si="342"/>
        <v>2.0000000000000018E-2</v>
      </c>
      <c r="BK217" s="1395">
        <f t="shared" si="343"/>
        <v>2.0000000000000018E-2</v>
      </c>
      <c r="BL217" s="1397">
        <f t="shared" si="344"/>
        <v>2.0000000000000018E-2</v>
      </c>
      <c r="BM217" s="1395">
        <f t="shared" si="345"/>
        <v>2.0000000000000018E-2</v>
      </c>
      <c r="BN217" s="1395">
        <f t="shared" si="346"/>
        <v>2.0000000000000018E-2</v>
      </c>
      <c r="BO217" s="1395">
        <f t="shared" si="347"/>
        <v>2.0000000000000018E-2</v>
      </c>
      <c r="BP217" s="1395">
        <f t="shared" si="348"/>
        <v>2.0000000000000018E-2</v>
      </c>
      <c r="BQ217" s="1398">
        <f t="shared" si="349"/>
        <v>2.0000000000000018E-2</v>
      </c>
      <c r="BR217" s="1378"/>
      <c r="BS217" s="1329"/>
      <c r="BT217" s="1399"/>
      <c r="BU217" s="1331"/>
      <c r="BV217" s="1400"/>
      <c r="BW217" s="1378"/>
      <c r="BX217" s="1392" t="str">
        <f t="shared" si="350"/>
        <v>Qty</v>
      </c>
      <c r="BY217" s="1393" t="str">
        <f t="shared" si="351"/>
        <v>Trade Waste</v>
      </c>
      <c r="BZ217" s="1394" t="str">
        <f t="shared" si="352"/>
        <v>Fixed</v>
      </c>
      <c r="CA217" s="1401">
        <f t="shared" ref="CA217:CR217" si="412">IFERROR((P217/O217-1)*(O218/O$13),"-")</f>
        <v>1.1293730721589215E-4</v>
      </c>
      <c r="CB217" s="1395">
        <f t="shared" si="412"/>
        <v>4.2911574790531533E-5</v>
      </c>
      <c r="CC217" s="1395">
        <f t="shared" si="412"/>
        <v>5.9070788683522504E-5</v>
      </c>
      <c r="CD217" s="1395">
        <f t="shared" si="412"/>
        <v>7.5975268370987722E-5</v>
      </c>
      <c r="CE217" s="1395">
        <f t="shared" si="412"/>
        <v>2.4030113971087037E-4</v>
      </c>
      <c r="CF217" s="1395">
        <f t="shared" si="412"/>
        <v>-1.004474918539837E-5</v>
      </c>
      <c r="CG217" s="1395">
        <f t="shared" si="412"/>
        <v>-1.680632888090374E-5</v>
      </c>
      <c r="CH217" s="1397">
        <f t="shared" si="412"/>
        <v>4.1347536096128633E-5</v>
      </c>
      <c r="CI217" s="1395">
        <f t="shared" si="412"/>
        <v>4.3136103630958146E-5</v>
      </c>
      <c r="CJ217" s="1395">
        <f t="shared" si="412"/>
        <v>4.3048414458552736E-5</v>
      </c>
      <c r="CK217" s="1395">
        <f t="shared" si="412"/>
        <v>4.3440507510533941E-5</v>
      </c>
      <c r="CL217" s="1395">
        <f t="shared" si="412"/>
        <v>4.3834299839476118E-5</v>
      </c>
      <c r="CM217" s="1397">
        <f t="shared" si="412"/>
        <v>4.4221854758009126E-5</v>
      </c>
      <c r="CN217" s="1395">
        <f t="shared" si="412"/>
        <v>4.4619333506095225E-5</v>
      </c>
      <c r="CO217" s="1395">
        <f t="shared" si="412"/>
        <v>4.4994811846902397E-5</v>
      </c>
      <c r="CP217" s="1395">
        <f t="shared" si="412"/>
        <v>4.5361792870697281E-5</v>
      </c>
      <c r="CQ217" s="1395">
        <f t="shared" si="412"/>
        <v>4.5737036014081771E-5</v>
      </c>
      <c r="CR217" s="1398">
        <f t="shared" si="412"/>
        <v>4.6092814497590621E-5</v>
      </c>
      <c r="CS217" s="1378"/>
      <c r="CT217" s="1392" t="str">
        <f t="shared" si="328"/>
        <v>Qty</v>
      </c>
      <c r="CU217" s="1393" t="str">
        <f t="shared" si="329"/>
        <v>Trade Waste</v>
      </c>
      <c r="CV217" s="1393" t="str">
        <f t="shared" si="330"/>
        <v>Fixed</v>
      </c>
      <c r="CW217" s="1401">
        <f t="shared" si="354"/>
        <v>2.0000000000000018E-2</v>
      </c>
      <c r="CX217" s="1395">
        <f t="shared" si="355"/>
        <v>2.0000000000000018E-2</v>
      </c>
      <c r="CY217" s="1395">
        <f t="shared" si="356"/>
        <v>2.0000000000000018E-2</v>
      </c>
      <c r="CZ217" s="1398">
        <f t="shared" si="357"/>
        <v>2.0000000000000018E-2</v>
      </c>
      <c r="DA217" s="1395">
        <f t="shared" si="358"/>
        <v>2.0000000000000018E-2</v>
      </c>
      <c r="DB217" s="1395">
        <f t="shared" si="359"/>
        <v>2.0000000000000018E-2</v>
      </c>
      <c r="DC217" s="1395">
        <f t="shared" si="360"/>
        <v>2.0000000000000018E-2</v>
      </c>
      <c r="DD217" s="1395">
        <f t="shared" si="361"/>
        <v>2.0000000000000018E-2</v>
      </c>
      <c r="DE217" s="1398">
        <f t="shared" si="362"/>
        <v>2.0000000000000018E-2</v>
      </c>
      <c r="DF217" s="1378"/>
      <c r="DG217" s="1392" t="str">
        <f t="shared" si="363"/>
        <v>Qty</v>
      </c>
      <c r="DH217" s="1393" t="str">
        <f t="shared" si="363"/>
        <v>Trade Waste</v>
      </c>
      <c r="DI217" s="1393" t="str">
        <f t="shared" si="363"/>
        <v>Fixed</v>
      </c>
      <c r="DJ217" s="1393"/>
      <c r="DK217" s="1401">
        <f t="shared" si="364"/>
        <v>2.0000000000000018E-2</v>
      </c>
      <c r="DL217" s="1395">
        <f t="shared" si="365"/>
        <v>2.0000000000000018E-2</v>
      </c>
      <c r="DM217" s="1395">
        <f t="shared" si="366"/>
        <v>2.0000000000000018E-2</v>
      </c>
      <c r="DN217" s="1397">
        <f t="shared" si="367"/>
        <v>2.0000000000000018E-2</v>
      </c>
      <c r="DO217" s="1395">
        <f t="shared" si="368"/>
        <v>2.0000000000000018E-2</v>
      </c>
      <c r="DP217" s="1395">
        <f t="shared" si="369"/>
        <v>2.0000000000000018E-2</v>
      </c>
      <c r="DQ217" s="1395">
        <f t="shared" si="370"/>
        <v>2.0000000000000018E-2</v>
      </c>
      <c r="DR217" s="1398">
        <f t="shared" si="371"/>
        <v>2.0000000000000018E-2</v>
      </c>
    </row>
    <row r="218" spans="4:122" ht="12.75" thickBot="1">
      <c r="E218" s="743" t="s">
        <v>46</v>
      </c>
      <c r="F218" s="732" t="str">
        <f>+F216</f>
        <v>Trade Waste</v>
      </c>
      <c r="G218" s="733" t="str">
        <f>+G216</f>
        <v>Commercial Tradewaste Category 4</v>
      </c>
      <c r="H218" s="733">
        <f>+H216</f>
        <v>0</v>
      </c>
      <c r="I218" s="734" t="str">
        <f>+I216</f>
        <v>Fixed</v>
      </c>
      <c r="J218" s="735" t="s">
        <v>344</v>
      </c>
      <c r="K218" s="736">
        <f t="shared" ref="K218:AG218" si="413">K216*K217/10^6</f>
        <v>0</v>
      </c>
      <c r="L218" s="737">
        <f t="shared" si="413"/>
        <v>0</v>
      </c>
      <c r="M218" s="737">
        <f t="shared" si="413"/>
        <v>0</v>
      </c>
      <c r="N218" s="738">
        <f t="shared" si="413"/>
        <v>0</v>
      </c>
      <c r="O218" s="1923">
        <f t="shared" si="413"/>
        <v>0.12773682541518894</v>
      </c>
      <c r="P218" s="737">
        <f t="shared" si="413"/>
        <v>0.13686966387403388</v>
      </c>
      <c r="Q218" s="737">
        <f t="shared" si="413"/>
        <v>0.14081558075618825</v>
      </c>
      <c r="R218" s="737">
        <f t="shared" si="413"/>
        <v>0.14595256049464558</v>
      </c>
      <c r="S218" s="737">
        <f t="shared" si="413"/>
        <v>0.15229617123334019</v>
      </c>
      <c r="T218" s="1531">
        <f t="shared" si="413"/>
        <v>0.17037356186440678</v>
      </c>
      <c r="U218" s="737">
        <f t="shared" si="413"/>
        <v>0.17038297816742082</v>
      </c>
      <c r="V218" s="737">
        <f t="shared" si="413"/>
        <v>0.16982576017467246</v>
      </c>
      <c r="W218" s="737">
        <f t="shared" si="413"/>
        <v>0.17399576160000002</v>
      </c>
      <c r="X218" s="738">
        <f t="shared" si="413"/>
        <v>0.18679314986568002</v>
      </c>
      <c r="Y218" s="737">
        <f t="shared" si="413"/>
        <v>0.2005317860383008</v>
      </c>
      <c r="Z218" s="737">
        <f t="shared" si="413"/>
        <v>0.21528089890141783</v>
      </c>
      <c r="AA218" s="737">
        <f t="shared" si="413"/>
        <v>0.23111480901561712</v>
      </c>
      <c r="AB218" s="737">
        <f t="shared" si="413"/>
        <v>0.24811330321871577</v>
      </c>
      <c r="AC218" s="738">
        <f t="shared" si="413"/>
        <v>0.25712477839161951</v>
      </c>
      <c r="AD218" s="737">
        <f t="shared" si="413"/>
        <v>0.26646355034280317</v>
      </c>
      <c r="AE218" s="737">
        <f t="shared" si="413"/>
        <v>0.27614150649125374</v>
      </c>
      <c r="AF218" s="737">
        <f t="shared" si="413"/>
        <v>0.28617096600701608</v>
      </c>
      <c r="AG218" s="739">
        <f t="shared" si="413"/>
        <v>0.2965646954923909</v>
      </c>
      <c r="AH218" s="697"/>
      <c r="AI218" s="707"/>
      <c r="AJ218" s="709">
        <f t="shared" si="375"/>
        <v>0.18679314986568002</v>
      </c>
      <c r="AK218" s="710">
        <f t="shared" si="376"/>
        <v>0.2005317860383008</v>
      </c>
      <c r="AL218" s="710">
        <f t="shared" si="377"/>
        <v>0.21528089890141783</v>
      </c>
      <c r="AM218" s="710">
        <f t="shared" si="378"/>
        <v>0.23111480901561712</v>
      </c>
      <c r="AN218" s="710">
        <f t="shared" si="379"/>
        <v>0.24811330321871577</v>
      </c>
      <c r="AO218" s="711">
        <f t="shared" si="380"/>
        <v>0.25712477839161951</v>
      </c>
      <c r="AP218" s="707">
        <f t="shared" si="381"/>
        <v>0.26646355034280317</v>
      </c>
      <c r="AQ218" s="707">
        <f t="shared" si="382"/>
        <v>0.27614150649125374</v>
      </c>
      <c r="AR218" s="707">
        <f t="shared" si="383"/>
        <v>0.28617096600701608</v>
      </c>
      <c r="AS218" s="712">
        <f t="shared" si="384"/>
        <v>0.2965646954923909</v>
      </c>
      <c r="AV218" s="1559"/>
      <c r="AW218" s="1428" t="str">
        <f t="shared" si="332"/>
        <v>Rev</v>
      </c>
      <c r="AX218" s="1429" t="str">
        <f t="shared" si="332"/>
        <v>Trade Waste</v>
      </c>
      <c r="AY218" s="1430" t="str">
        <f t="shared" si="333"/>
        <v>Fixed</v>
      </c>
      <c r="AZ218" s="1431">
        <f t="shared" si="402"/>
        <v>7.1497302591950751E-2</v>
      </c>
      <c r="BA218" s="1431">
        <f t="shared" si="402"/>
        <v>2.8829740429449302E-2</v>
      </c>
      <c r="BB218" s="1431">
        <f t="shared" si="402"/>
        <v>3.6480194243218245E-2</v>
      </c>
      <c r="BC218" s="1431">
        <f t="shared" si="335"/>
        <v>4.3463511138109423E-2</v>
      </c>
      <c r="BD218" s="1431">
        <f t="shared" si="336"/>
        <v>0.11869891727855308</v>
      </c>
      <c r="BE218" s="1431">
        <f t="shared" si="337"/>
        <v>5.5268569319144589E-5</v>
      </c>
      <c r="BF218" s="1431">
        <f t="shared" si="338"/>
        <v>-3.2703853327462618E-3</v>
      </c>
      <c r="BG218" s="1432">
        <f t="shared" si="339"/>
        <v>2.4554587131178085E-2</v>
      </c>
      <c r="BH218" s="1431">
        <f t="shared" si="340"/>
        <v>7.3550000000000004E-2</v>
      </c>
      <c r="BI218" s="1431">
        <f t="shared" si="341"/>
        <v>7.3550000000000004E-2</v>
      </c>
      <c r="BJ218" s="1431">
        <f t="shared" si="342"/>
        <v>7.3550000000000004E-2</v>
      </c>
      <c r="BK218" s="1431">
        <f t="shared" si="343"/>
        <v>7.3550000000000004E-2</v>
      </c>
      <c r="BL218" s="1433">
        <f t="shared" si="344"/>
        <v>7.3550000000000004E-2</v>
      </c>
      <c r="BM218" s="1431">
        <f t="shared" si="345"/>
        <v>3.6319999999999908E-2</v>
      </c>
      <c r="BN218" s="1431">
        <f t="shared" si="346"/>
        <v>3.632000000000013E-2</v>
      </c>
      <c r="BO218" s="1431">
        <f t="shared" si="347"/>
        <v>3.6319999999999908E-2</v>
      </c>
      <c r="BP218" s="1431">
        <f t="shared" si="348"/>
        <v>3.6319999999999908E-2</v>
      </c>
      <c r="BQ218" s="1434">
        <f t="shared" si="349"/>
        <v>3.6319999999999908E-2</v>
      </c>
      <c r="BR218" s="1378"/>
      <c r="BS218" s="1407"/>
      <c r="BT218" s="1408"/>
      <c r="BU218" s="1409"/>
      <c r="BV218" s="1410"/>
      <c r="BW218" s="1378"/>
      <c r="BX218" s="1428" t="str">
        <f t="shared" si="350"/>
        <v>Rev</v>
      </c>
      <c r="BY218" s="1429" t="str">
        <f t="shared" si="351"/>
        <v>Trade Waste</v>
      </c>
      <c r="BZ218" s="1430" t="str">
        <f t="shared" si="352"/>
        <v>Fixed</v>
      </c>
      <c r="CA218" s="1435">
        <f t="shared" ref="CA218:CR218" si="414">IFERROR((P218/O218-1)*(O218/O$13),"-")</f>
        <v>1.2112069241902158E-4</v>
      </c>
      <c r="CB218" s="1431">
        <f t="shared" si="414"/>
        <v>5.100780350535691E-5</v>
      </c>
      <c r="CC218" s="1431">
        <f t="shared" si="414"/>
        <v>6.7602725774626956E-5</v>
      </c>
      <c r="CD218" s="1431">
        <f t="shared" si="414"/>
        <v>8.5030412018879427E-5</v>
      </c>
      <c r="CE218" s="1431">
        <f t="shared" si="414"/>
        <v>2.5079472824199913E-4</v>
      </c>
      <c r="CF218" s="1431">
        <f t="shared" si="414"/>
        <v>1.2615986380794187E-7</v>
      </c>
      <c r="CG218" s="1431">
        <f t="shared" si="414"/>
        <v>-7.1059528828318103E-6</v>
      </c>
      <c r="CH218" s="1433">
        <f t="shared" si="414"/>
        <v>5.076358388659603E-5</v>
      </c>
      <c r="CI218" s="1431">
        <f t="shared" si="414"/>
        <v>1.5863302110284846E-4</v>
      </c>
      <c r="CJ218" s="1431">
        <f t="shared" si="414"/>
        <v>1.5831054417132754E-4</v>
      </c>
      <c r="CK218" s="1431">
        <f t="shared" si="414"/>
        <v>1.5975246636998843E-4</v>
      </c>
      <c r="CL218" s="1431">
        <f t="shared" si="414"/>
        <v>1.6120063765967329E-4</v>
      </c>
      <c r="CM218" s="1433">
        <f t="shared" si="414"/>
        <v>1.6262587087257843E-4</v>
      </c>
      <c r="CN218" s="1431">
        <f t="shared" si="414"/>
        <v>8.1028709647068645E-5</v>
      </c>
      <c r="CO218" s="1431">
        <f t="shared" si="414"/>
        <v>8.1710578313974971E-5</v>
      </c>
      <c r="CP218" s="1431">
        <f t="shared" si="414"/>
        <v>8.2377015853185979E-5</v>
      </c>
      <c r="CQ218" s="1431">
        <f t="shared" si="414"/>
        <v>8.3058457401572215E-5</v>
      </c>
      <c r="CR218" s="1434">
        <f t="shared" si="414"/>
        <v>8.3704551127624274E-5</v>
      </c>
      <c r="CS218" s="1378"/>
      <c r="CT218" s="1428" t="str">
        <f t="shared" si="328"/>
        <v>Rev</v>
      </c>
      <c r="CU218" s="1429" t="str">
        <f t="shared" si="329"/>
        <v>Trade Waste</v>
      </c>
      <c r="CV218" s="1429" t="str">
        <f t="shared" si="330"/>
        <v>Fixed</v>
      </c>
      <c r="CW218" s="1435">
        <f t="shared" si="354"/>
        <v>7.3550000000000004E-2</v>
      </c>
      <c r="CX218" s="1431">
        <f t="shared" si="355"/>
        <v>7.3550000000000004E-2</v>
      </c>
      <c r="CY218" s="1431">
        <f t="shared" si="356"/>
        <v>7.3550000000000004E-2</v>
      </c>
      <c r="CZ218" s="1434">
        <f t="shared" si="357"/>
        <v>7.3550000000000004E-2</v>
      </c>
      <c r="DA218" s="1431">
        <f t="shared" si="358"/>
        <v>6.7253391346971725E-2</v>
      </c>
      <c r="DB218" s="1431">
        <f t="shared" si="359"/>
        <v>6.2778437211227223E-2</v>
      </c>
      <c r="DC218" s="1431">
        <f t="shared" si="360"/>
        <v>5.9434539344829007E-2</v>
      </c>
      <c r="DD218" s="1431">
        <f t="shared" si="361"/>
        <v>5.6841005472616501E-2</v>
      </c>
      <c r="DE218" s="1434">
        <f t="shared" si="362"/>
        <v>5.4770750447697969E-2</v>
      </c>
      <c r="DF218" s="1378"/>
      <c r="DG218" s="1428" t="str">
        <f t="shared" si="363"/>
        <v>Rev</v>
      </c>
      <c r="DH218" s="1429" t="str">
        <f t="shared" si="363"/>
        <v>Trade Waste</v>
      </c>
      <c r="DI218" s="1429" t="str">
        <f t="shared" si="363"/>
        <v>Fixed</v>
      </c>
      <c r="DJ218" s="1429"/>
      <c r="DK218" s="1435">
        <f t="shared" si="364"/>
        <v>7.3550000000000004E-2</v>
      </c>
      <c r="DL218" s="1431">
        <f t="shared" si="365"/>
        <v>7.3550000000000004E-2</v>
      </c>
      <c r="DM218" s="1431">
        <f t="shared" si="366"/>
        <v>7.3550000000000004E-2</v>
      </c>
      <c r="DN218" s="1433">
        <f t="shared" si="367"/>
        <v>6.5998508286806423E-2</v>
      </c>
      <c r="DO218" s="1431">
        <f t="shared" si="368"/>
        <v>6.0993713699047269E-2</v>
      </c>
      <c r="DP218" s="1431">
        <f t="shared" si="369"/>
        <v>5.7433252898665188E-2</v>
      </c>
      <c r="DQ218" s="1431">
        <f t="shared" si="370"/>
        <v>5.4770750447697969E-2</v>
      </c>
      <c r="DR218" s="1434">
        <f t="shared" si="371"/>
        <v>5.2704550863329036E-2</v>
      </c>
    </row>
    <row r="219" spans="4:122">
      <c r="D219" s="70">
        <f>D216+1</f>
        <v>52</v>
      </c>
      <c r="E219" s="713" t="s">
        <v>44</v>
      </c>
      <c r="F219" s="1717" t="s">
        <v>20</v>
      </c>
      <c r="G219" s="1717" t="s">
        <v>914</v>
      </c>
      <c r="H219" s="1717"/>
      <c r="I219" s="1718" t="s">
        <v>319</v>
      </c>
      <c r="J219" s="781" t="s">
        <v>345</v>
      </c>
      <c r="K219" s="1533"/>
      <c r="L219" s="1534"/>
      <c r="M219" s="1534"/>
      <c r="N219" s="1535"/>
      <c r="O219" s="2071"/>
      <c r="P219" s="1547"/>
      <c r="Q219" s="1547"/>
      <c r="R219" s="1547"/>
      <c r="S219" s="1547"/>
      <c r="T219" s="1547"/>
      <c r="U219" s="1547"/>
      <c r="V219" s="1547"/>
      <c r="W219" s="1547"/>
      <c r="X219" s="1550"/>
      <c r="Y219" s="1551"/>
      <c r="Z219" s="1551"/>
      <c r="AA219" s="1551"/>
      <c r="AB219" s="1551"/>
      <c r="AC219" s="1550"/>
      <c r="AD219" s="1551"/>
      <c r="AE219" s="1551"/>
      <c r="AF219" s="1551"/>
      <c r="AG219" s="1552"/>
      <c r="AH219" s="697"/>
      <c r="AI219" s="707"/>
      <c r="AJ219" s="709">
        <f t="shared" si="375"/>
        <v>0</v>
      </c>
      <c r="AK219" s="710">
        <f t="shared" si="376"/>
        <v>0</v>
      </c>
      <c r="AL219" s="710">
        <f t="shared" si="377"/>
        <v>0</v>
      </c>
      <c r="AM219" s="710">
        <f t="shared" si="378"/>
        <v>0</v>
      </c>
      <c r="AN219" s="710">
        <f t="shared" si="379"/>
        <v>0</v>
      </c>
      <c r="AO219" s="711">
        <f t="shared" si="380"/>
        <v>0</v>
      </c>
      <c r="AP219" s="707">
        <f t="shared" si="381"/>
        <v>0</v>
      </c>
      <c r="AQ219" s="707">
        <f t="shared" si="382"/>
        <v>0</v>
      </c>
      <c r="AR219" s="707">
        <f t="shared" si="383"/>
        <v>0</v>
      </c>
      <c r="AS219" s="712">
        <f t="shared" si="384"/>
        <v>0</v>
      </c>
      <c r="AU219" s="1369"/>
      <c r="AV219" s="1559"/>
      <c r="AW219" s="1412" t="str">
        <f t="shared" si="332"/>
        <v>Price</v>
      </c>
      <c r="AX219" s="1413" t="str">
        <f t="shared" si="332"/>
        <v>Water</v>
      </c>
      <c r="AY219" s="1414" t="str">
        <f t="shared" si="333"/>
        <v>Fixed</v>
      </c>
      <c r="AZ219" s="1415" t="str">
        <f t="shared" si="402"/>
        <v>-</v>
      </c>
      <c r="BA219" s="1415" t="str">
        <f t="shared" si="402"/>
        <v>-</v>
      </c>
      <c r="BB219" s="1415" t="str">
        <f t="shared" si="402"/>
        <v>-</v>
      </c>
      <c r="BC219" s="1415" t="str">
        <f t="shared" si="335"/>
        <v>-</v>
      </c>
      <c r="BD219" s="1415" t="str">
        <f t="shared" si="336"/>
        <v>-</v>
      </c>
      <c r="BE219" s="1415" t="str">
        <f t="shared" si="337"/>
        <v>-</v>
      </c>
      <c r="BF219" s="1415" t="str">
        <f t="shared" si="338"/>
        <v>-</v>
      </c>
      <c r="BG219" s="1416" t="str">
        <f t="shared" si="339"/>
        <v>-</v>
      </c>
      <c r="BH219" s="1417" t="str">
        <f t="shared" si="340"/>
        <v>-</v>
      </c>
      <c r="BI219" s="1417" t="str">
        <f t="shared" si="341"/>
        <v>-</v>
      </c>
      <c r="BJ219" s="1417" t="str">
        <f t="shared" si="342"/>
        <v>-</v>
      </c>
      <c r="BK219" s="1417" t="str">
        <f t="shared" si="343"/>
        <v>-</v>
      </c>
      <c r="BL219" s="1418" t="str">
        <f t="shared" si="344"/>
        <v>-</v>
      </c>
      <c r="BM219" s="1417" t="str">
        <f t="shared" si="345"/>
        <v>-</v>
      </c>
      <c r="BN219" s="1417" t="str">
        <f t="shared" si="346"/>
        <v>-</v>
      </c>
      <c r="BO219" s="1417" t="str">
        <f t="shared" si="347"/>
        <v>-</v>
      </c>
      <c r="BP219" s="1417" t="str">
        <f t="shared" si="348"/>
        <v>-</v>
      </c>
      <c r="BQ219" s="1419" t="str">
        <f t="shared" si="349"/>
        <v>-</v>
      </c>
      <c r="BR219" s="1378"/>
      <c r="BS219" s="1420"/>
      <c r="BT219" s="1421"/>
      <c r="BU219" s="1422"/>
      <c r="BV219" s="1423"/>
      <c r="BW219" s="1378"/>
      <c r="BX219" s="1412" t="str">
        <f t="shared" si="350"/>
        <v>Price</v>
      </c>
      <c r="BY219" s="1413" t="str">
        <f t="shared" si="351"/>
        <v>Water</v>
      </c>
      <c r="BZ219" s="1414" t="str">
        <f t="shared" si="352"/>
        <v>Fixed</v>
      </c>
      <c r="CA219" s="1424" t="str">
        <f t="shared" ref="CA219:CR219" si="415">IFERROR((P219/O219-1)*(O221/O$13),"-")</f>
        <v>-</v>
      </c>
      <c r="CB219" s="1415" t="str">
        <f t="shared" si="415"/>
        <v>-</v>
      </c>
      <c r="CC219" s="1415" t="str">
        <f t="shared" si="415"/>
        <v>-</v>
      </c>
      <c r="CD219" s="1415" t="str">
        <f t="shared" si="415"/>
        <v>-</v>
      </c>
      <c r="CE219" s="1415" t="str">
        <f t="shared" si="415"/>
        <v>-</v>
      </c>
      <c r="CF219" s="1415" t="str">
        <f t="shared" si="415"/>
        <v>-</v>
      </c>
      <c r="CG219" s="1415" t="str">
        <f t="shared" si="415"/>
        <v>-</v>
      </c>
      <c r="CH219" s="1425" t="str">
        <f t="shared" si="415"/>
        <v>-</v>
      </c>
      <c r="CI219" s="1417" t="str">
        <f t="shared" si="415"/>
        <v>-</v>
      </c>
      <c r="CJ219" s="1417" t="str">
        <f t="shared" si="415"/>
        <v>-</v>
      </c>
      <c r="CK219" s="1417" t="str">
        <f t="shared" si="415"/>
        <v>-</v>
      </c>
      <c r="CL219" s="1417" t="str">
        <f t="shared" si="415"/>
        <v>-</v>
      </c>
      <c r="CM219" s="1418" t="str">
        <f t="shared" si="415"/>
        <v>-</v>
      </c>
      <c r="CN219" s="1417" t="str">
        <f t="shared" si="415"/>
        <v>-</v>
      </c>
      <c r="CO219" s="1417" t="str">
        <f t="shared" si="415"/>
        <v>-</v>
      </c>
      <c r="CP219" s="1417" t="str">
        <f t="shared" si="415"/>
        <v>-</v>
      </c>
      <c r="CQ219" s="1417" t="str">
        <f t="shared" si="415"/>
        <v>-</v>
      </c>
      <c r="CR219" s="1419" t="str">
        <f t="shared" si="415"/>
        <v>-</v>
      </c>
      <c r="CS219" s="1378"/>
      <c r="CT219" s="1412" t="str">
        <f t="shared" si="328"/>
        <v>Price</v>
      </c>
      <c r="CU219" s="1413" t="str">
        <f t="shared" si="329"/>
        <v>Water</v>
      </c>
      <c r="CV219" s="1426" t="str">
        <f t="shared" si="330"/>
        <v>Fixed</v>
      </c>
      <c r="CW219" s="1427" t="str">
        <f t="shared" si="354"/>
        <v>-</v>
      </c>
      <c r="CX219" s="1417" t="str">
        <f t="shared" si="355"/>
        <v>-</v>
      </c>
      <c r="CY219" s="1417" t="str">
        <f t="shared" si="356"/>
        <v>-</v>
      </c>
      <c r="CZ219" s="1419" t="str">
        <f t="shared" si="357"/>
        <v>-</v>
      </c>
      <c r="DA219" s="1417" t="str">
        <f t="shared" si="358"/>
        <v>-</v>
      </c>
      <c r="DB219" s="1417" t="str">
        <f t="shared" si="359"/>
        <v>-</v>
      </c>
      <c r="DC219" s="1417" t="str">
        <f t="shared" si="360"/>
        <v>-</v>
      </c>
      <c r="DD219" s="1417" t="str">
        <f t="shared" si="361"/>
        <v>-</v>
      </c>
      <c r="DE219" s="1419" t="str">
        <f t="shared" si="362"/>
        <v>-</v>
      </c>
      <c r="DF219" s="1378"/>
      <c r="DG219" s="1412" t="str">
        <f t="shared" si="363"/>
        <v>Price</v>
      </c>
      <c r="DH219" s="1413" t="str">
        <f t="shared" si="363"/>
        <v>Water</v>
      </c>
      <c r="DI219" s="1426" t="str">
        <f t="shared" si="363"/>
        <v>Fixed</v>
      </c>
      <c r="DJ219" s="1426"/>
      <c r="DK219" s="1427" t="str">
        <f t="shared" si="364"/>
        <v>-</v>
      </c>
      <c r="DL219" s="1417" t="str">
        <f t="shared" si="365"/>
        <v>-</v>
      </c>
      <c r="DM219" s="1417" t="str">
        <f t="shared" si="366"/>
        <v>-</v>
      </c>
      <c r="DN219" s="1418" t="str">
        <f t="shared" si="367"/>
        <v>-</v>
      </c>
      <c r="DO219" s="1417" t="str">
        <f t="shared" si="368"/>
        <v>-</v>
      </c>
      <c r="DP219" s="1417" t="str">
        <f t="shared" si="369"/>
        <v>-</v>
      </c>
      <c r="DQ219" s="1417" t="str">
        <f t="shared" si="370"/>
        <v>-</v>
      </c>
      <c r="DR219" s="1419" t="str">
        <f t="shared" si="371"/>
        <v>-</v>
      </c>
    </row>
    <row r="220" spans="4:122">
      <c r="E220" s="742" t="s">
        <v>45</v>
      </c>
      <c r="F220" s="722" t="str">
        <f>+F219</f>
        <v>Water</v>
      </c>
      <c r="G220" s="723" t="str">
        <f>+G219</f>
        <v xml:space="preserve">NCC </v>
      </c>
      <c r="H220" s="723">
        <f>+H219</f>
        <v>0</v>
      </c>
      <c r="I220" s="724" t="str">
        <f>+I219</f>
        <v>Fixed</v>
      </c>
      <c r="J220" s="782" t="s">
        <v>323</v>
      </c>
      <c r="K220" s="1540"/>
      <c r="L220" s="1541"/>
      <c r="M220" s="1541"/>
      <c r="N220" s="1542"/>
      <c r="O220" s="2031"/>
      <c r="P220" s="1543"/>
      <c r="Q220" s="1543"/>
      <c r="R220" s="1543"/>
      <c r="S220" s="1543"/>
      <c r="T220" s="1543"/>
      <c r="U220" s="1543"/>
      <c r="V220" s="1543"/>
      <c r="W220" s="1543"/>
      <c r="X220" s="1544"/>
      <c r="Y220" s="1543"/>
      <c r="Z220" s="1543"/>
      <c r="AA220" s="1543"/>
      <c r="AB220" s="1543"/>
      <c r="AC220" s="1544"/>
      <c r="AD220" s="1543"/>
      <c r="AE220" s="1543"/>
      <c r="AF220" s="1543"/>
      <c r="AG220" s="788"/>
      <c r="AH220" s="697"/>
      <c r="AI220" s="707"/>
      <c r="AJ220" s="709">
        <f t="shared" si="375"/>
        <v>0</v>
      </c>
      <c r="AK220" s="710">
        <f t="shared" si="376"/>
        <v>0</v>
      </c>
      <c r="AL220" s="710">
        <f t="shared" si="377"/>
        <v>0</v>
      </c>
      <c r="AM220" s="710">
        <f t="shared" si="378"/>
        <v>0</v>
      </c>
      <c r="AN220" s="710">
        <f t="shared" si="379"/>
        <v>0</v>
      </c>
      <c r="AO220" s="711">
        <f t="shared" si="380"/>
        <v>0</v>
      </c>
      <c r="AP220" s="707">
        <f t="shared" si="381"/>
        <v>0</v>
      </c>
      <c r="AQ220" s="707">
        <f t="shared" si="382"/>
        <v>0</v>
      </c>
      <c r="AR220" s="707">
        <f t="shared" si="383"/>
        <v>0</v>
      </c>
      <c r="AS220" s="712">
        <f t="shared" si="384"/>
        <v>0</v>
      </c>
      <c r="AV220" s="1559"/>
      <c r="AW220" s="1392" t="str">
        <f t="shared" si="332"/>
        <v>Qty</v>
      </c>
      <c r="AX220" s="1393" t="str">
        <f t="shared" si="332"/>
        <v>Water</v>
      </c>
      <c r="AY220" s="1394" t="str">
        <f t="shared" si="333"/>
        <v>Fixed</v>
      </c>
      <c r="AZ220" s="1395" t="str">
        <f t="shared" si="402"/>
        <v>-</v>
      </c>
      <c r="BA220" s="1395" t="str">
        <f t="shared" si="402"/>
        <v>-</v>
      </c>
      <c r="BB220" s="1395" t="str">
        <f t="shared" si="402"/>
        <v>-</v>
      </c>
      <c r="BC220" s="1395" t="str">
        <f t="shared" si="335"/>
        <v>-</v>
      </c>
      <c r="BD220" s="1395" t="str">
        <f t="shared" si="336"/>
        <v>-</v>
      </c>
      <c r="BE220" s="1395" t="str">
        <f t="shared" si="337"/>
        <v>-</v>
      </c>
      <c r="BF220" s="1395" t="str">
        <f t="shared" si="338"/>
        <v>-</v>
      </c>
      <c r="BG220" s="1396" t="str">
        <f t="shared" si="339"/>
        <v>-</v>
      </c>
      <c r="BH220" s="1395" t="str">
        <f t="shared" si="340"/>
        <v>-</v>
      </c>
      <c r="BI220" s="1395" t="str">
        <f t="shared" si="341"/>
        <v>-</v>
      </c>
      <c r="BJ220" s="1395" t="str">
        <f t="shared" si="342"/>
        <v>-</v>
      </c>
      <c r="BK220" s="1395" t="str">
        <f t="shared" si="343"/>
        <v>-</v>
      </c>
      <c r="BL220" s="1397" t="str">
        <f t="shared" si="344"/>
        <v>-</v>
      </c>
      <c r="BM220" s="1395" t="str">
        <f t="shared" si="345"/>
        <v>-</v>
      </c>
      <c r="BN220" s="1395" t="str">
        <f t="shared" si="346"/>
        <v>-</v>
      </c>
      <c r="BO220" s="1395" t="str">
        <f t="shared" si="347"/>
        <v>-</v>
      </c>
      <c r="BP220" s="1395" t="str">
        <f t="shared" si="348"/>
        <v>-</v>
      </c>
      <c r="BQ220" s="1398" t="str">
        <f t="shared" si="349"/>
        <v>-</v>
      </c>
      <c r="BR220" s="1378"/>
      <c r="BS220" s="1329"/>
      <c r="BT220" s="1399"/>
      <c r="BU220" s="1331"/>
      <c r="BV220" s="1400"/>
      <c r="BW220" s="1378"/>
      <c r="BX220" s="1392" t="str">
        <f t="shared" si="350"/>
        <v>Qty</v>
      </c>
      <c r="BY220" s="1393" t="str">
        <f t="shared" si="351"/>
        <v>Water</v>
      </c>
      <c r="BZ220" s="1394" t="str">
        <f t="shared" si="352"/>
        <v>Fixed</v>
      </c>
      <c r="CA220" s="1401" t="str">
        <f t="shared" ref="CA220:CR220" si="416">IFERROR((P220/O220-1)*(O221/O$13),"-")</f>
        <v>-</v>
      </c>
      <c r="CB220" s="1395" t="str">
        <f t="shared" si="416"/>
        <v>-</v>
      </c>
      <c r="CC220" s="1395" t="str">
        <f t="shared" si="416"/>
        <v>-</v>
      </c>
      <c r="CD220" s="1395" t="str">
        <f t="shared" si="416"/>
        <v>-</v>
      </c>
      <c r="CE220" s="1395" t="str">
        <f t="shared" si="416"/>
        <v>-</v>
      </c>
      <c r="CF220" s="1395" t="str">
        <f t="shared" si="416"/>
        <v>-</v>
      </c>
      <c r="CG220" s="1395" t="str">
        <f t="shared" si="416"/>
        <v>-</v>
      </c>
      <c r="CH220" s="1397" t="str">
        <f t="shared" si="416"/>
        <v>-</v>
      </c>
      <c r="CI220" s="1395" t="str">
        <f t="shared" si="416"/>
        <v>-</v>
      </c>
      <c r="CJ220" s="1395" t="str">
        <f t="shared" si="416"/>
        <v>-</v>
      </c>
      <c r="CK220" s="1395" t="str">
        <f t="shared" si="416"/>
        <v>-</v>
      </c>
      <c r="CL220" s="1395" t="str">
        <f t="shared" si="416"/>
        <v>-</v>
      </c>
      <c r="CM220" s="1397" t="str">
        <f t="shared" si="416"/>
        <v>-</v>
      </c>
      <c r="CN220" s="1395" t="str">
        <f t="shared" si="416"/>
        <v>-</v>
      </c>
      <c r="CO220" s="1395" t="str">
        <f t="shared" si="416"/>
        <v>-</v>
      </c>
      <c r="CP220" s="1395" t="str">
        <f t="shared" si="416"/>
        <v>-</v>
      </c>
      <c r="CQ220" s="1395" t="str">
        <f t="shared" si="416"/>
        <v>-</v>
      </c>
      <c r="CR220" s="1398" t="str">
        <f t="shared" si="416"/>
        <v>-</v>
      </c>
      <c r="CS220" s="1378"/>
      <c r="CT220" s="1392" t="str">
        <f t="shared" si="328"/>
        <v>Qty</v>
      </c>
      <c r="CU220" s="1393" t="str">
        <f t="shared" si="329"/>
        <v>Water</v>
      </c>
      <c r="CV220" s="1393" t="str">
        <f t="shared" si="330"/>
        <v>Fixed</v>
      </c>
      <c r="CW220" s="1401" t="str">
        <f t="shared" si="354"/>
        <v>-</v>
      </c>
      <c r="CX220" s="1395" t="str">
        <f t="shared" si="355"/>
        <v>-</v>
      </c>
      <c r="CY220" s="1395" t="str">
        <f t="shared" si="356"/>
        <v>-</v>
      </c>
      <c r="CZ220" s="1398" t="str">
        <f t="shared" si="357"/>
        <v>-</v>
      </c>
      <c r="DA220" s="1395" t="str">
        <f t="shared" si="358"/>
        <v>-</v>
      </c>
      <c r="DB220" s="1395" t="str">
        <f t="shared" si="359"/>
        <v>-</v>
      </c>
      <c r="DC220" s="1395" t="str">
        <f t="shared" si="360"/>
        <v>-</v>
      </c>
      <c r="DD220" s="1395" t="str">
        <f t="shared" si="361"/>
        <v>-</v>
      </c>
      <c r="DE220" s="1398" t="str">
        <f t="shared" si="362"/>
        <v>-</v>
      </c>
      <c r="DF220" s="1378"/>
      <c r="DG220" s="1392" t="str">
        <f t="shared" si="363"/>
        <v>Qty</v>
      </c>
      <c r="DH220" s="1393" t="str">
        <f t="shared" si="363"/>
        <v>Water</v>
      </c>
      <c r="DI220" s="1393" t="str">
        <f t="shared" si="363"/>
        <v>Fixed</v>
      </c>
      <c r="DJ220" s="1393"/>
      <c r="DK220" s="1401" t="str">
        <f t="shared" si="364"/>
        <v>-</v>
      </c>
      <c r="DL220" s="1395" t="str">
        <f t="shared" si="365"/>
        <v>-</v>
      </c>
      <c r="DM220" s="1395" t="str">
        <f t="shared" si="366"/>
        <v>-</v>
      </c>
      <c r="DN220" s="1397" t="str">
        <f t="shared" si="367"/>
        <v>-</v>
      </c>
      <c r="DO220" s="1395" t="str">
        <f t="shared" si="368"/>
        <v>-</v>
      </c>
      <c r="DP220" s="1395" t="str">
        <f t="shared" si="369"/>
        <v>-</v>
      </c>
      <c r="DQ220" s="1395" t="str">
        <f t="shared" si="370"/>
        <v>-</v>
      </c>
      <c r="DR220" s="1398" t="str">
        <f t="shared" si="371"/>
        <v>-</v>
      </c>
    </row>
    <row r="221" spans="4:122" ht="12.75" thickBot="1">
      <c r="E221" s="743" t="s">
        <v>46</v>
      </c>
      <c r="F221" s="732" t="str">
        <f>+F219</f>
        <v>Water</v>
      </c>
      <c r="G221" s="733" t="str">
        <f>+G219</f>
        <v xml:space="preserve">NCC </v>
      </c>
      <c r="H221" s="733">
        <f>+H219</f>
        <v>0</v>
      </c>
      <c r="I221" s="734" t="str">
        <f>+I219</f>
        <v>Fixed</v>
      </c>
      <c r="J221" s="735" t="s">
        <v>344</v>
      </c>
      <c r="K221" s="736">
        <f t="shared" ref="K221:AG221" si="417">K219*K220/10^6</f>
        <v>0</v>
      </c>
      <c r="L221" s="737">
        <f t="shared" si="417"/>
        <v>0</v>
      </c>
      <c r="M221" s="737">
        <f t="shared" si="417"/>
        <v>0</v>
      </c>
      <c r="N221" s="738">
        <f t="shared" si="417"/>
        <v>0</v>
      </c>
      <c r="O221" s="1923">
        <f t="shared" si="417"/>
        <v>0</v>
      </c>
      <c r="P221" s="737">
        <f t="shared" si="417"/>
        <v>0</v>
      </c>
      <c r="Q221" s="737">
        <f t="shared" si="417"/>
        <v>0</v>
      </c>
      <c r="R221" s="374">
        <f t="shared" si="417"/>
        <v>0</v>
      </c>
      <c r="S221" s="737">
        <f t="shared" si="417"/>
        <v>0</v>
      </c>
      <c r="T221" s="1531">
        <f t="shared" si="417"/>
        <v>0</v>
      </c>
      <c r="U221" s="737">
        <f t="shared" si="417"/>
        <v>0</v>
      </c>
      <c r="V221" s="737">
        <f t="shared" si="417"/>
        <v>0</v>
      </c>
      <c r="W221" s="737">
        <f t="shared" si="417"/>
        <v>0</v>
      </c>
      <c r="X221" s="738">
        <f t="shared" si="417"/>
        <v>0</v>
      </c>
      <c r="Y221" s="737">
        <f t="shared" si="417"/>
        <v>0</v>
      </c>
      <c r="Z221" s="737">
        <f t="shared" si="417"/>
        <v>0</v>
      </c>
      <c r="AA221" s="737">
        <f t="shared" si="417"/>
        <v>0</v>
      </c>
      <c r="AB221" s="737">
        <f t="shared" si="417"/>
        <v>0</v>
      </c>
      <c r="AC221" s="738">
        <f t="shared" si="417"/>
        <v>0</v>
      </c>
      <c r="AD221" s="737">
        <f t="shared" si="417"/>
        <v>0</v>
      </c>
      <c r="AE221" s="737">
        <f t="shared" si="417"/>
        <v>0</v>
      </c>
      <c r="AF221" s="737">
        <f t="shared" si="417"/>
        <v>0</v>
      </c>
      <c r="AG221" s="739">
        <f t="shared" si="417"/>
        <v>0</v>
      </c>
      <c r="AH221" s="697"/>
      <c r="AI221" s="707"/>
      <c r="AJ221" s="709">
        <f t="shared" si="375"/>
        <v>0</v>
      </c>
      <c r="AK221" s="710">
        <f t="shared" si="376"/>
        <v>0</v>
      </c>
      <c r="AL221" s="710">
        <f t="shared" si="377"/>
        <v>0</v>
      </c>
      <c r="AM221" s="710">
        <f t="shared" si="378"/>
        <v>0</v>
      </c>
      <c r="AN221" s="710">
        <f t="shared" si="379"/>
        <v>0</v>
      </c>
      <c r="AO221" s="711">
        <f t="shared" si="380"/>
        <v>0</v>
      </c>
      <c r="AP221" s="707">
        <f t="shared" si="381"/>
        <v>0</v>
      </c>
      <c r="AQ221" s="707">
        <f t="shared" si="382"/>
        <v>0</v>
      </c>
      <c r="AR221" s="707">
        <f t="shared" si="383"/>
        <v>0</v>
      </c>
      <c r="AS221" s="712">
        <f t="shared" si="384"/>
        <v>0</v>
      </c>
      <c r="AV221" s="1559"/>
      <c r="AW221" s="1428" t="str">
        <f t="shared" si="332"/>
        <v>Rev</v>
      </c>
      <c r="AX221" s="1429" t="str">
        <f t="shared" si="332"/>
        <v>Water</v>
      </c>
      <c r="AY221" s="1430" t="str">
        <f t="shared" si="333"/>
        <v>Fixed</v>
      </c>
      <c r="AZ221" s="1431" t="str">
        <f t="shared" si="402"/>
        <v>-</v>
      </c>
      <c r="BA221" s="1431" t="str">
        <f t="shared" si="402"/>
        <v>-</v>
      </c>
      <c r="BB221" s="1431" t="str">
        <f t="shared" si="402"/>
        <v>-</v>
      </c>
      <c r="BC221" s="1431" t="str">
        <f t="shared" si="335"/>
        <v>-</v>
      </c>
      <c r="BD221" s="1431" t="str">
        <f t="shared" si="336"/>
        <v>-</v>
      </c>
      <c r="BE221" s="1431" t="str">
        <f t="shared" si="337"/>
        <v>-</v>
      </c>
      <c r="BF221" s="1431" t="str">
        <f t="shared" si="338"/>
        <v>-</v>
      </c>
      <c r="BG221" s="1432" t="str">
        <f t="shared" si="339"/>
        <v>-</v>
      </c>
      <c r="BH221" s="1431" t="str">
        <f t="shared" si="340"/>
        <v>-</v>
      </c>
      <c r="BI221" s="1431" t="str">
        <f t="shared" si="341"/>
        <v>-</v>
      </c>
      <c r="BJ221" s="1431" t="str">
        <f t="shared" si="342"/>
        <v>-</v>
      </c>
      <c r="BK221" s="1431" t="str">
        <f t="shared" si="343"/>
        <v>-</v>
      </c>
      <c r="BL221" s="1433" t="str">
        <f t="shared" si="344"/>
        <v>-</v>
      </c>
      <c r="BM221" s="1431" t="str">
        <f t="shared" si="345"/>
        <v>-</v>
      </c>
      <c r="BN221" s="1431" t="str">
        <f t="shared" si="346"/>
        <v>-</v>
      </c>
      <c r="BO221" s="1431" t="str">
        <f t="shared" si="347"/>
        <v>-</v>
      </c>
      <c r="BP221" s="1431" t="str">
        <f t="shared" si="348"/>
        <v>-</v>
      </c>
      <c r="BQ221" s="1434" t="str">
        <f t="shared" si="349"/>
        <v>-</v>
      </c>
      <c r="BR221" s="1378"/>
      <c r="BS221" s="1407"/>
      <c r="BT221" s="1408"/>
      <c r="BU221" s="1409"/>
      <c r="BV221" s="1410"/>
      <c r="BW221" s="1378"/>
      <c r="BX221" s="1428" t="str">
        <f t="shared" si="350"/>
        <v>Rev</v>
      </c>
      <c r="BY221" s="1429" t="str">
        <f t="shared" si="351"/>
        <v>Water</v>
      </c>
      <c r="BZ221" s="1430" t="str">
        <f t="shared" si="352"/>
        <v>Fixed</v>
      </c>
      <c r="CA221" s="1435" t="str">
        <f t="shared" ref="CA221:CR221" si="418">IFERROR((P221/O221-1)*(O221/O$13),"-")</f>
        <v>-</v>
      </c>
      <c r="CB221" s="1431" t="str">
        <f t="shared" si="418"/>
        <v>-</v>
      </c>
      <c r="CC221" s="1431" t="str">
        <f t="shared" si="418"/>
        <v>-</v>
      </c>
      <c r="CD221" s="1431" t="str">
        <f t="shared" si="418"/>
        <v>-</v>
      </c>
      <c r="CE221" s="1431" t="str">
        <f t="shared" si="418"/>
        <v>-</v>
      </c>
      <c r="CF221" s="1431" t="str">
        <f t="shared" si="418"/>
        <v>-</v>
      </c>
      <c r="CG221" s="1431" t="str">
        <f t="shared" si="418"/>
        <v>-</v>
      </c>
      <c r="CH221" s="1433" t="str">
        <f t="shared" si="418"/>
        <v>-</v>
      </c>
      <c r="CI221" s="1431" t="str">
        <f t="shared" si="418"/>
        <v>-</v>
      </c>
      <c r="CJ221" s="1431" t="str">
        <f t="shared" si="418"/>
        <v>-</v>
      </c>
      <c r="CK221" s="1431" t="str">
        <f t="shared" si="418"/>
        <v>-</v>
      </c>
      <c r="CL221" s="1431" t="str">
        <f t="shared" si="418"/>
        <v>-</v>
      </c>
      <c r="CM221" s="1433" t="str">
        <f t="shared" si="418"/>
        <v>-</v>
      </c>
      <c r="CN221" s="1431" t="str">
        <f t="shared" si="418"/>
        <v>-</v>
      </c>
      <c r="CO221" s="1431" t="str">
        <f t="shared" si="418"/>
        <v>-</v>
      </c>
      <c r="CP221" s="1431" t="str">
        <f t="shared" si="418"/>
        <v>-</v>
      </c>
      <c r="CQ221" s="1431" t="str">
        <f t="shared" si="418"/>
        <v>-</v>
      </c>
      <c r="CR221" s="1434" t="str">
        <f t="shared" si="418"/>
        <v>-</v>
      </c>
      <c r="CS221" s="1378"/>
      <c r="CT221" s="1428" t="str">
        <f t="shared" si="328"/>
        <v>Rev</v>
      </c>
      <c r="CU221" s="1429" t="str">
        <f t="shared" si="329"/>
        <v>Water</v>
      </c>
      <c r="CV221" s="1429" t="str">
        <f t="shared" si="330"/>
        <v>Fixed</v>
      </c>
      <c r="CW221" s="1435" t="str">
        <f t="shared" si="354"/>
        <v>-</v>
      </c>
      <c r="CX221" s="1431" t="str">
        <f t="shared" si="355"/>
        <v>-</v>
      </c>
      <c r="CY221" s="1431" t="str">
        <f t="shared" si="356"/>
        <v>-</v>
      </c>
      <c r="CZ221" s="1434" t="str">
        <f t="shared" si="357"/>
        <v>-</v>
      </c>
      <c r="DA221" s="1431" t="str">
        <f t="shared" si="358"/>
        <v>-</v>
      </c>
      <c r="DB221" s="1431" t="str">
        <f t="shared" si="359"/>
        <v>-</v>
      </c>
      <c r="DC221" s="1431" t="str">
        <f t="shared" si="360"/>
        <v>-</v>
      </c>
      <c r="DD221" s="1431" t="str">
        <f t="shared" si="361"/>
        <v>-</v>
      </c>
      <c r="DE221" s="1434" t="str">
        <f t="shared" si="362"/>
        <v>-</v>
      </c>
      <c r="DF221" s="1378"/>
      <c r="DG221" s="1428" t="str">
        <f t="shared" si="363"/>
        <v>Rev</v>
      </c>
      <c r="DH221" s="1429" t="str">
        <f t="shared" si="363"/>
        <v>Water</v>
      </c>
      <c r="DI221" s="1429" t="str">
        <f t="shared" si="363"/>
        <v>Fixed</v>
      </c>
      <c r="DJ221" s="1429"/>
      <c r="DK221" s="1435" t="str">
        <f t="shared" si="364"/>
        <v>-</v>
      </c>
      <c r="DL221" s="1431" t="str">
        <f t="shared" si="365"/>
        <v>-</v>
      </c>
      <c r="DM221" s="1431" t="str">
        <f t="shared" si="366"/>
        <v>-</v>
      </c>
      <c r="DN221" s="1433" t="str">
        <f t="shared" si="367"/>
        <v>-</v>
      </c>
      <c r="DO221" s="1431" t="str">
        <f t="shared" si="368"/>
        <v>-</v>
      </c>
      <c r="DP221" s="1431" t="str">
        <f t="shared" si="369"/>
        <v>-</v>
      </c>
      <c r="DQ221" s="1431" t="str">
        <f t="shared" si="370"/>
        <v>-</v>
      </c>
      <c r="DR221" s="1434" t="str">
        <f t="shared" si="371"/>
        <v>-</v>
      </c>
    </row>
    <row r="222" spans="4:122">
      <c r="D222" s="70">
        <f>D219+1</f>
        <v>53</v>
      </c>
      <c r="E222" s="713" t="s">
        <v>44</v>
      </c>
      <c r="F222" s="1717" t="s">
        <v>21</v>
      </c>
      <c r="G222" s="1717" t="s">
        <v>915</v>
      </c>
      <c r="H222" s="1717"/>
      <c r="I222" s="1718" t="s">
        <v>319</v>
      </c>
      <c r="J222" s="781" t="s">
        <v>345</v>
      </c>
      <c r="K222" s="1533"/>
      <c r="L222" s="1534"/>
      <c r="M222" s="1534"/>
      <c r="N222" s="1535"/>
      <c r="O222" s="2071"/>
      <c r="P222" s="1547"/>
      <c r="Q222" s="1547"/>
      <c r="R222" s="1547"/>
      <c r="S222" s="1547"/>
      <c r="T222" s="1547"/>
      <c r="U222" s="1547"/>
      <c r="V222" s="1547"/>
      <c r="W222" s="1547"/>
      <c r="X222" s="1550"/>
      <c r="Y222" s="1551"/>
      <c r="Z222" s="1551"/>
      <c r="AA222" s="1551"/>
      <c r="AB222" s="1551"/>
      <c r="AC222" s="1550"/>
      <c r="AD222" s="1551"/>
      <c r="AE222" s="1551"/>
      <c r="AF222" s="1551"/>
      <c r="AG222" s="1552"/>
      <c r="AH222" s="697"/>
      <c r="AI222" s="707"/>
      <c r="AJ222" s="709">
        <f t="shared" si="375"/>
        <v>0</v>
      </c>
      <c r="AK222" s="710">
        <f t="shared" si="376"/>
        <v>0</v>
      </c>
      <c r="AL222" s="710">
        <f t="shared" si="377"/>
        <v>0</v>
      </c>
      <c r="AM222" s="710">
        <f t="shared" si="378"/>
        <v>0</v>
      </c>
      <c r="AN222" s="710">
        <f t="shared" si="379"/>
        <v>0</v>
      </c>
      <c r="AO222" s="711">
        <f t="shared" si="380"/>
        <v>0</v>
      </c>
      <c r="AP222" s="707">
        <f t="shared" si="381"/>
        <v>0</v>
      </c>
      <c r="AQ222" s="707">
        <f t="shared" si="382"/>
        <v>0</v>
      </c>
      <c r="AR222" s="707">
        <f t="shared" si="383"/>
        <v>0</v>
      </c>
      <c r="AS222" s="712">
        <f t="shared" si="384"/>
        <v>0</v>
      </c>
      <c r="AU222" s="1369"/>
      <c r="AV222" s="1559"/>
      <c r="AW222" s="1412" t="str">
        <f t="shared" si="332"/>
        <v>Price</v>
      </c>
      <c r="AX222" s="1413" t="str">
        <f t="shared" si="332"/>
        <v>Sewerage</v>
      </c>
      <c r="AY222" s="1414" t="str">
        <f t="shared" si="333"/>
        <v>Fixed</v>
      </c>
      <c r="AZ222" s="1415" t="str">
        <f t="shared" si="402"/>
        <v>-</v>
      </c>
      <c r="BA222" s="1415" t="str">
        <f t="shared" si="402"/>
        <v>-</v>
      </c>
      <c r="BB222" s="1415" t="str">
        <f t="shared" si="402"/>
        <v>-</v>
      </c>
      <c r="BC222" s="1415" t="str">
        <f t="shared" si="335"/>
        <v>-</v>
      </c>
      <c r="BD222" s="1415" t="str">
        <f t="shared" si="336"/>
        <v>-</v>
      </c>
      <c r="BE222" s="1415" t="str">
        <f t="shared" si="337"/>
        <v>-</v>
      </c>
      <c r="BF222" s="1415" t="str">
        <f t="shared" si="338"/>
        <v>-</v>
      </c>
      <c r="BG222" s="1416" t="str">
        <f t="shared" si="339"/>
        <v>-</v>
      </c>
      <c r="BH222" s="1417" t="str">
        <f t="shared" si="340"/>
        <v>-</v>
      </c>
      <c r="BI222" s="1417" t="str">
        <f t="shared" si="341"/>
        <v>-</v>
      </c>
      <c r="BJ222" s="1417" t="str">
        <f t="shared" si="342"/>
        <v>-</v>
      </c>
      <c r="BK222" s="1417" t="str">
        <f t="shared" si="343"/>
        <v>-</v>
      </c>
      <c r="BL222" s="1418" t="str">
        <f t="shared" si="344"/>
        <v>-</v>
      </c>
      <c r="BM222" s="1417" t="str">
        <f t="shared" si="345"/>
        <v>-</v>
      </c>
      <c r="BN222" s="1417" t="str">
        <f t="shared" si="346"/>
        <v>-</v>
      </c>
      <c r="BO222" s="1417" t="str">
        <f t="shared" si="347"/>
        <v>-</v>
      </c>
      <c r="BP222" s="1417" t="str">
        <f t="shared" si="348"/>
        <v>-</v>
      </c>
      <c r="BQ222" s="1419" t="str">
        <f t="shared" si="349"/>
        <v>-</v>
      </c>
      <c r="BR222" s="1378"/>
      <c r="BS222" s="1420"/>
      <c r="BT222" s="1421"/>
      <c r="BU222" s="1422"/>
      <c r="BV222" s="1423"/>
      <c r="BW222" s="1378"/>
      <c r="BX222" s="1412" t="str">
        <f t="shared" si="350"/>
        <v>Price</v>
      </c>
      <c r="BY222" s="1413" t="str">
        <f t="shared" si="351"/>
        <v>Sewerage</v>
      </c>
      <c r="BZ222" s="1414" t="str">
        <f t="shared" si="352"/>
        <v>Fixed</v>
      </c>
      <c r="CA222" s="1424" t="str">
        <f t="shared" ref="CA222:CR222" si="419">IFERROR((P222/O222-1)*(O224/O$13),"-")</f>
        <v>-</v>
      </c>
      <c r="CB222" s="1415" t="str">
        <f t="shared" si="419"/>
        <v>-</v>
      </c>
      <c r="CC222" s="1415" t="str">
        <f t="shared" si="419"/>
        <v>-</v>
      </c>
      <c r="CD222" s="1415" t="str">
        <f t="shared" si="419"/>
        <v>-</v>
      </c>
      <c r="CE222" s="1415" t="str">
        <f t="shared" si="419"/>
        <v>-</v>
      </c>
      <c r="CF222" s="1415" t="str">
        <f t="shared" si="419"/>
        <v>-</v>
      </c>
      <c r="CG222" s="1415" t="str">
        <f t="shared" si="419"/>
        <v>-</v>
      </c>
      <c r="CH222" s="1425" t="str">
        <f t="shared" si="419"/>
        <v>-</v>
      </c>
      <c r="CI222" s="1417" t="str">
        <f t="shared" si="419"/>
        <v>-</v>
      </c>
      <c r="CJ222" s="1417" t="str">
        <f t="shared" si="419"/>
        <v>-</v>
      </c>
      <c r="CK222" s="1417" t="str">
        <f t="shared" si="419"/>
        <v>-</v>
      </c>
      <c r="CL222" s="1417" t="str">
        <f t="shared" si="419"/>
        <v>-</v>
      </c>
      <c r="CM222" s="1418" t="str">
        <f t="shared" si="419"/>
        <v>-</v>
      </c>
      <c r="CN222" s="1417" t="str">
        <f t="shared" si="419"/>
        <v>-</v>
      </c>
      <c r="CO222" s="1417" t="str">
        <f t="shared" si="419"/>
        <v>-</v>
      </c>
      <c r="CP222" s="1417" t="str">
        <f t="shared" si="419"/>
        <v>-</v>
      </c>
      <c r="CQ222" s="1417" t="str">
        <f t="shared" si="419"/>
        <v>-</v>
      </c>
      <c r="CR222" s="1419" t="str">
        <f t="shared" si="419"/>
        <v>-</v>
      </c>
      <c r="CS222" s="1378"/>
      <c r="CT222" s="1412" t="str">
        <f t="shared" si="328"/>
        <v>Price</v>
      </c>
      <c r="CU222" s="1413" t="str">
        <f t="shared" si="329"/>
        <v>Sewerage</v>
      </c>
      <c r="CV222" s="1426" t="str">
        <f t="shared" si="330"/>
        <v>Fixed</v>
      </c>
      <c r="CW222" s="1427" t="str">
        <f t="shared" si="354"/>
        <v>-</v>
      </c>
      <c r="CX222" s="1417" t="str">
        <f t="shared" si="355"/>
        <v>-</v>
      </c>
      <c r="CY222" s="1417" t="str">
        <f t="shared" si="356"/>
        <v>-</v>
      </c>
      <c r="CZ222" s="1419" t="str">
        <f t="shared" si="357"/>
        <v>-</v>
      </c>
      <c r="DA222" s="1417" t="str">
        <f t="shared" si="358"/>
        <v>-</v>
      </c>
      <c r="DB222" s="1417" t="str">
        <f t="shared" si="359"/>
        <v>-</v>
      </c>
      <c r="DC222" s="1417" t="str">
        <f t="shared" si="360"/>
        <v>-</v>
      </c>
      <c r="DD222" s="1417" t="str">
        <f t="shared" si="361"/>
        <v>-</v>
      </c>
      <c r="DE222" s="1419" t="str">
        <f t="shared" si="362"/>
        <v>-</v>
      </c>
      <c r="DF222" s="1378"/>
      <c r="DG222" s="1412" t="str">
        <f t="shared" si="363"/>
        <v>Price</v>
      </c>
      <c r="DH222" s="1413" t="str">
        <f t="shared" si="363"/>
        <v>Sewerage</v>
      </c>
      <c r="DI222" s="1426" t="str">
        <f t="shared" si="363"/>
        <v>Fixed</v>
      </c>
      <c r="DJ222" s="1426"/>
      <c r="DK222" s="1427" t="str">
        <f t="shared" si="364"/>
        <v>-</v>
      </c>
      <c r="DL222" s="1417" t="str">
        <f t="shared" si="365"/>
        <v>-</v>
      </c>
      <c r="DM222" s="1417" t="str">
        <f t="shared" si="366"/>
        <v>-</v>
      </c>
      <c r="DN222" s="1418" t="str">
        <f t="shared" si="367"/>
        <v>-</v>
      </c>
      <c r="DO222" s="1417" t="str">
        <f t="shared" si="368"/>
        <v>-</v>
      </c>
      <c r="DP222" s="1417" t="str">
        <f t="shared" si="369"/>
        <v>-</v>
      </c>
      <c r="DQ222" s="1417" t="str">
        <f t="shared" si="370"/>
        <v>-</v>
      </c>
      <c r="DR222" s="1419" t="str">
        <f t="shared" si="371"/>
        <v>-</v>
      </c>
    </row>
    <row r="223" spans="4:122">
      <c r="E223" s="742" t="s">
        <v>45</v>
      </c>
      <c r="F223" s="722" t="str">
        <f>+F222</f>
        <v>Sewerage</v>
      </c>
      <c r="G223" s="723" t="str">
        <f>+G222</f>
        <v>NCC</v>
      </c>
      <c r="H223" s="723">
        <f>+H222</f>
        <v>0</v>
      </c>
      <c r="I223" s="724" t="str">
        <f>+I222</f>
        <v>Fixed</v>
      </c>
      <c r="J223" s="782" t="s">
        <v>323</v>
      </c>
      <c r="K223" s="1540"/>
      <c r="L223" s="1541"/>
      <c r="M223" s="1541"/>
      <c r="N223" s="1542"/>
      <c r="O223" s="2031"/>
      <c r="P223" s="1543"/>
      <c r="Q223" s="1543"/>
      <c r="R223" s="1543"/>
      <c r="S223" s="1543"/>
      <c r="T223" s="1543"/>
      <c r="U223" s="1543"/>
      <c r="V223" s="1543"/>
      <c r="W223" s="1543"/>
      <c r="X223" s="1544"/>
      <c r="Y223" s="1543"/>
      <c r="Z223" s="1543"/>
      <c r="AA223" s="1543"/>
      <c r="AB223" s="1543"/>
      <c r="AC223" s="1544"/>
      <c r="AD223" s="1543"/>
      <c r="AE223" s="1543"/>
      <c r="AF223" s="1543"/>
      <c r="AG223" s="788"/>
      <c r="AH223" s="697"/>
      <c r="AI223" s="707"/>
      <c r="AJ223" s="709">
        <f t="shared" si="375"/>
        <v>0</v>
      </c>
      <c r="AK223" s="710">
        <f t="shared" si="376"/>
        <v>0</v>
      </c>
      <c r="AL223" s="710">
        <f t="shared" si="377"/>
        <v>0</v>
      </c>
      <c r="AM223" s="710">
        <f t="shared" si="378"/>
        <v>0</v>
      </c>
      <c r="AN223" s="710">
        <f t="shared" si="379"/>
        <v>0</v>
      </c>
      <c r="AO223" s="711">
        <f t="shared" si="380"/>
        <v>0</v>
      </c>
      <c r="AP223" s="707">
        <f t="shared" si="381"/>
        <v>0</v>
      </c>
      <c r="AQ223" s="707">
        <f t="shared" si="382"/>
        <v>0</v>
      </c>
      <c r="AR223" s="707">
        <f t="shared" si="383"/>
        <v>0</v>
      </c>
      <c r="AS223" s="712">
        <f t="shared" si="384"/>
        <v>0</v>
      </c>
      <c r="AV223" s="1559"/>
      <c r="AW223" s="1392" t="str">
        <f t="shared" si="332"/>
        <v>Qty</v>
      </c>
      <c r="AX223" s="1393" t="str">
        <f t="shared" si="332"/>
        <v>Sewerage</v>
      </c>
      <c r="AY223" s="1394" t="str">
        <f t="shared" si="333"/>
        <v>Fixed</v>
      </c>
      <c r="AZ223" s="1395" t="str">
        <f t="shared" si="402"/>
        <v>-</v>
      </c>
      <c r="BA223" s="1395" t="str">
        <f t="shared" si="402"/>
        <v>-</v>
      </c>
      <c r="BB223" s="1395" t="str">
        <f t="shared" si="402"/>
        <v>-</v>
      </c>
      <c r="BC223" s="1395" t="str">
        <f t="shared" si="335"/>
        <v>-</v>
      </c>
      <c r="BD223" s="1395" t="str">
        <f t="shared" si="336"/>
        <v>-</v>
      </c>
      <c r="BE223" s="1395" t="str">
        <f t="shared" si="337"/>
        <v>-</v>
      </c>
      <c r="BF223" s="1395" t="str">
        <f t="shared" si="338"/>
        <v>-</v>
      </c>
      <c r="BG223" s="1396" t="str">
        <f t="shared" si="339"/>
        <v>-</v>
      </c>
      <c r="BH223" s="1395" t="str">
        <f t="shared" si="340"/>
        <v>-</v>
      </c>
      <c r="BI223" s="1395" t="str">
        <f t="shared" si="341"/>
        <v>-</v>
      </c>
      <c r="BJ223" s="1395" t="str">
        <f t="shared" si="342"/>
        <v>-</v>
      </c>
      <c r="BK223" s="1395" t="str">
        <f t="shared" si="343"/>
        <v>-</v>
      </c>
      <c r="BL223" s="1397" t="str">
        <f t="shared" si="344"/>
        <v>-</v>
      </c>
      <c r="BM223" s="1395" t="str">
        <f t="shared" si="345"/>
        <v>-</v>
      </c>
      <c r="BN223" s="1395" t="str">
        <f t="shared" si="346"/>
        <v>-</v>
      </c>
      <c r="BO223" s="1395" t="str">
        <f t="shared" si="347"/>
        <v>-</v>
      </c>
      <c r="BP223" s="1395" t="str">
        <f t="shared" si="348"/>
        <v>-</v>
      </c>
      <c r="BQ223" s="1398" t="str">
        <f t="shared" si="349"/>
        <v>-</v>
      </c>
      <c r="BR223" s="1378"/>
      <c r="BS223" s="1329"/>
      <c r="BT223" s="1399"/>
      <c r="BU223" s="1331"/>
      <c r="BV223" s="1400"/>
      <c r="BW223" s="1378"/>
      <c r="BX223" s="1392" t="str">
        <f t="shared" si="350"/>
        <v>Qty</v>
      </c>
      <c r="BY223" s="1393" t="str">
        <f t="shared" si="351"/>
        <v>Sewerage</v>
      </c>
      <c r="BZ223" s="1394" t="str">
        <f t="shared" si="352"/>
        <v>Fixed</v>
      </c>
      <c r="CA223" s="1401" t="str">
        <f t="shared" ref="CA223:CR223" si="420">IFERROR((P223/O223-1)*(O224/O$13),"-")</f>
        <v>-</v>
      </c>
      <c r="CB223" s="1395" t="str">
        <f t="shared" si="420"/>
        <v>-</v>
      </c>
      <c r="CC223" s="1395" t="str">
        <f t="shared" si="420"/>
        <v>-</v>
      </c>
      <c r="CD223" s="1395" t="str">
        <f t="shared" si="420"/>
        <v>-</v>
      </c>
      <c r="CE223" s="1395" t="str">
        <f t="shared" si="420"/>
        <v>-</v>
      </c>
      <c r="CF223" s="1395" t="str">
        <f t="shared" si="420"/>
        <v>-</v>
      </c>
      <c r="CG223" s="1395" t="str">
        <f t="shared" si="420"/>
        <v>-</v>
      </c>
      <c r="CH223" s="1397" t="str">
        <f t="shared" si="420"/>
        <v>-</v>
      </c>
      <c r="CI223" s="1395" t="str">
        <f t="shared" si="420"/>
        <v>-</v>
      </c>
      <c r="CJ223" s="1395" t="str">
        <f t="shared" si="420"/>
        <v>-</v>
      </c>
      <c r="CK223" s="1395" t="str">
        <f t="shared" si="420"/>
        <v>-</v>
      </c>
      <c r="CL223" s="1395" t="str">
        <f t="shared" si="420"/>
        <v>-</v>
      </c>
      <c r="CM223" s="1397" t="str">
        <f t="shared" si="420"/>
        <v>-</v>
      </c>
      <c r="CN223" s="1395" t="str">
        <f t="shared" si="420"/>
        <v>-</v>
      </c>
      <c r="CO223" s="1395" t="str">
        <f t="shared" si="420"/>
        <v>-</v>
      </c>
      <c r="CP223" s="1395" t="str">
        <f t="shared" si="420"/>
        <v>-</v>
      </c>
      <c r="CQ223" s="1395" t="str">
        <f t="shared" si="420"/>
        <v>-</v>
      </c>
      <c r="CR223" s="1398" t="str">
        <f t="shared" si="420"/>
        <v>-</v>
      </c>
      <c r="CS223" s="1378"/>
      <c r="CT223" s="1392" t="str">
        <f t="shared" si="328"/>
        <v>Qty</v>
      </c>
      <c r="CU223" s="1393" t="str">
        <f t="shared" si="329"/>
        <v>Sewerage</v>
      </c>
      <c r="CV223" s="1393" t="str">
        <f t="shared" si="330"/>
        <v>Fixed</v>
      </c>
      <c r="CW223" s="1401" t="str">
        <f t="shared" si="354"/>
        <v>-</v>
      </c>
      <c r="CX223" s="1395" t="str">
        <f t="shared" si="355"/>
        <v>-</v>
      </c>
      <c r="CY223" s="1395" t="str">
        <f t="shared" si="356"/>
        <v>-</v>
      </c>
      <c r="CZ223" s="1398" t="str">
        <f t="shared" si="357"/>
        <v>-</v>
      </c>
      <c r="DA223" s="1395" t="str">
        <f t="shared" si="358"/>
        <v>-</v>
      </c>
      <c r="DB223" s="1395" t="str">
        <f t="shared" si="359"/>
        <v>-</v>
      </c>
      <c r="DC223" s="1395" t="str">
        <f t="shared" si="360"/>
        <v>-</v>
      </c>
      <c r="DD223" s="1395" t="str">
        <f t="shared" si="361"/>
        <v>-</v>
      </c>
      <c r="DE223" s="1398" t="str">
        <f t="shared" si="362"/>
        <v>-</v>
      </c>
      <c r="DF223" s="1378"/>
      <c r="DG223" s="1392" t="str">
        <f t="shared" si="363"/>
        <v>Qty</v>
      </c>
      <c r="DH223" s="1393" t="str">
        <f t="shared" si="363"/>
        <v>Sewerage</v>
      </c>
      <c r="DI223" s="1393" t="str">
        <f t="shared" si="363"/>
        <v>Fixed</v>
      </c>
      <c r="DJ223" s="1393"/>
      <c r="DK223" s="1401" t="str">
        <f t="shared" si="364"/>
        <v>-</v>
      </c>
      <c r="DL223" s="1395" t="str">
        <f t="shared" si="365"/>
        <v>-</v>
      </c>
      <c r="DM223" s="1395" t="str">
        <f t="shared" si="366"/>
        <v>-</v>
      </c>
      <c r="DN223" s="1397" t="str">
        <f t="shared" si="367"/>
        <v>-</v>
      </c>
      <c r="DO223" s="1395" t="str">
        <f t="shared" si="368"/>
        <v>-</v>
      </c>
      <c r="DP223" s="1395" t="str">
        <f t="shared" si="369"/>
        <v>-</v>
      </c>
      <c r="DQ223" s="1395" t="str">
        <f t="shared" si="370"/>
        <v>-</v>
      </c>
      <c r="DR223" s="1398" t="str">
        <f t="shared" si="371"/>
        <v>-</v>
      </c>
    </row>
    <row r="224" spans="4:122" ht="12.75" thickBot="1">
      <c r="E224" s="743" t="s">
        <v>46</v>
      </c>
      <c r="F224" s="732" t="str">
        <f>+F222</f>
        <v>Sewerage</v>
      </c>
      <c r="G224" s="733" t="str">
        <f>+G222</f>
        <v>NCC</v>
      </c>
      <c r="H224" s="733">
        <f>+H222</f>
        <v>0</v>
      </c>
      <c r="I224" s="734" t="str">
        <f>+I222</f>
        <v>Fixed</v>
      </c>
      <c r="J224" s="735" t="s">
        <v>344</v>
      </c>
      <c r="K224" s="736">
        <f t="shared" ref="K224:AG224" si="421">K222*K223/10^6</f>
        <v>0</v>
      </c>
      <c r="L224" s="737">
        <f t="shared" si="421"/>
        <v>0</v>
      </c>
      <c r="M224" s="737">
        <f t="shared" si="421"/>
        <v>0</v>
      </c>
      <c r="N224" s="738">
        <f t="shared" si="421"/>
        <v>0</v>
      </c>
      <c r="O224" s="1923">
        <f t="shared" si="421"/>
        <v>0</v>
      </c>
      <c r="P224" s="737">
        <f t="shared" si="421"/>
        <v>0</v>
      </c>
      <c r="Q224" s="737">
        <f t="shared" si="421"/>
        <v>0</v>
      </c>
      <c r="R224" s="374">
        <f t="shared" si="421"/>
        <v>0</v>
      </c>
      <c r="S224" s="737">
        <f t="shared" si="421"/>
        <v>0</v>
      </c>
      <c r="T224" s="1531">
        <f t="shared" si="421"/>
        <v>0</v>
      </c>
      <c r="U224" s="737">
        <f t="shared" si="421"/>
        <v>0</v>
      </c>
      <c r="V224" s="737">
        <f t="shared" si="421"/>
        <v>0</v>
      </c>
      <c r="W224" s="737">
        <f t="shared" si="421"/>
        <v>0</v>
      </c>
      <c r="X224" s="738">
        <f t="shared" si="421"/>
        <v>0</v>
      </c>
      <c r="Y224" s="737">
        <f t="shared" si="421"/>
        <v>0</v>
      </c>
      <c r="Z224" s="737">
        <f t="shared" si="421"/>
        <v>0</v>
      </c>
      <c r="AA224" s="737">
        <f t="shared" si="421"/>
        <v>0</v>
      </c>
      <c r="AB224" s="737">
        <f t="shared" si="421"/>
        <v>0</v>
      </c>
      <c r="AC224" s="738">
        <f t="shared" si="421"/>
        <v>0</v>
      </c>
      <c r="AD224" s="737">
        <f t="shared" si="421"/>
        <v>0</v>
      </c>
      <c r="AE224" s="737">
        <f t="shared" si="421"/>
        <v>0</v>
      </c>
      <c r="AF224" s="737">
        <f t="shared" si="421"/>
        <v>0</v>
      </c>
      <c r="AG224" s="739">
        <f t="shared" si="421"/>
        <v>0</v>
      </c>
      <c r="AH224" s="697"/>
      <c r="AI224" s="707"/>
      <c r="AJ224" s="709">
        <f t="shared" si="375"/>
        <v>0</v>
      </c>
      <c r="AK224" s="710">
        <f t="shared" si="376"/>
        <v>0</v>
      </c>
      <c r="AL224" s="710">
        <f t="shared" si="377"/>
        <v>0</v>
      </c>
      <c r="AM224" s="710">
        <f t="shared" si="378"/>
        <v>0</v>
      </c>
      <c r="AN224" s="710">
        <f t="shared" si="379"/>
        <v>0</v>
      </c>
      <c r="AO224" s="711">
        <f t="shared" si="380"/>
        <v>0</v>
      </c>
      <c r="AP224" s="707">
        <f t="shared" si="381"/>
        <v>0</v>
      </c>
      <c r="AQ224" s="707">
        <f t="shared" si="382"/>
        <v>0</v>
      </c>
      <c r="AR224" s="707">
        <f t="shared" si="383"/>
        <v>0</v>
      </c>
      <c r="AS224" s="712">
        <f t="shared" si="384"/>
        <v>0</v>
      </c>
      <c r="AV224" s="1559"/>
      <c r="AW224" s="1428" t="str">
        <f t="shared" si="332"/>
        <v>Rev</v>
      </c>
      <c r="AX224" s="1429" t="str">
        <f t="shared" si="332"/>
        <v>Sewerage</v>
      </c>
      <c r="AY224" s="1430" t="str">
        <f t="shared" si="333"/>
        <v>Fixed</v>
      </c>
      <c r="AZ224" s="1431" t="str">
        <f t="shared" si="402"/>
        <v>-</v>
      </c>
      <c r="BA224" s="1431" t="str">
        <f t="shared" si="402"/>
        <v>-</v>
      </c>
      <c r="BB224" s="1431" t="str">
        <f t="shared" si="402"/>
        <v>-</v>
      </c>
      <c r="BC224" s="1431" t="str">
        <f t="shared" si="335"/>
        <v>-</v>
      </c>
      <c r="BD224" s="1431" t="str">
        <f t="shared" si="336"/>
        <v>-</v>
      </c>
      <c r="BE224" s="1431" t="str">
        <f t="shared" si="337"/>
        <v>-</v>
      </c>
      <c r="BF224" s="1431" t="str">
        <f t="shared" si="338"/>
        <v>-</v>
      </c>
      <c r="BG224" s="1432" t="str">
        <f t="shared" si="339"/>
        <v>-</v>
      </c>
      <c r="BH224" s="1431" t="str">
        <f t="shared" si="340"/>
        <v>-</v>
      </c>
      <c r="BI224" s="1431" t="str">
        <f t="shared" si="341"/>
        <v>-</v>
      </c>
      <c r="BJ224" s="1431" t="str">
        <f t="shared" si="342"/>
        <v>-</v>
      </c>
      <c r="BK224" s="1431" t="str">
        <f t="shared" si="343"/>
        <v>-</v>
      </c>
      <c r="BL224" s="1433" t="str">
        <f t="shared" si="344"/>
        <v>-</v>
      </c>
      <c r="BM224" s="1431" t="str">
        <f t="shared" si="345"/>
        <v>-</v>
      </c>
      <c r="BN224" s="1431" t="str">
        <f t="shared" si="346"/>
        <v>-</v>
      </c>
      <c r="BO224" s="1431" t="str">
        <f t="shared" si="347"/>
        <v>-</v>
      </c>
      <c r="BP224" s="1431" t="str">
        <f t="shared" si="348"/>
        <v>-</v>
      </c>
      <c r="BQ224" s="1434" t="str">
        <f t="shared" si="349"/>
        <v>-</v>
      </c>
      <c r="BR224" s="1378"/>
      <c r="BS224" s="1407"/>
      <c r="BT224" s="1408"/>
      <c r="BU224" s="1409"/>
      <c r="BV224" s="1410"/>
      <c r="BW224" s="1378"/>
      <c r="BX224" s="1428" t="str">
        <f t="shared" si="350"/>
        <v>Rev</v>
      </c>
      <c r="BY224" s="1429" t="str">
        <f t="shared" si="351"/>
        <v>Sewerage</v>
      </c>
      <c r="BZ224" s="1430" t="str">
        <f t="shared" si="352"/>
        <v>Fixed</v>
      </c>
      <c r="CA224" s="1435" t="str">
        <f t="shared" ref="CA224:CR224" si="422">IFERROR((P224/O224-1)*(O224/O$13),"-")</f>
        <v>-</v>
      </c>
      <c r="CB224" s="1431" t="str">
        <f t="shared" si="422"/>
        <v>-</v>
      </c>
      <c r="CC224" s="1431" t="str">
        <f t="shared" si="422"/>
        <v>-</v>
      </c>
      <c r="CD224" s="1431" t="str">
        <f t="shared" si="422"/>
        <v>-</v>
      </c>
      <c r="CE224" s="1431" t="str">
        <f t="shared" si="422"/>
        <v>-</v>
      </c>
      <c r="CF224" s="1431" t="str">
        <f t="shared" si="422"/>
        <v>-</v>
      </c>
      <c r="CG224" s="1431" t="str">
        <f t="shared" si="422"/>
        <v>-</v>
      </c>
      <c r="CH224" s="1433" t="str">
        <f t="shared" si="422"/>
        <v>-</v>
      </c>
      <c r="CI224" s="1431" t="str">
        <f t="shared" si="422"/>
        <v>-</v>
      </c>
      <c r="CJ224" s="1431" t="str">
        <f t="shared" si="422"/>
        <v>-</v>
      </c>
      <c r="CK224" s="1431" t="str">
        <f t="shared" si="422"/>
        <v>-</v>
      </c>
      <c r="CL224" s="1431" t="str">
        <f t="shared" si="422"/>
        <v>-</v>
      </c>
      <c r="CM224" s="1433" t="str">
        <f t="shared" si="422"/>
        <v>-</v>
      </c>
      <c r="CN224" s="1431" t="str">
        <f t="shared" si="422"/>
        <v>-</v>
      </c>
      <c r="CO224" s="1431" t="str">
        <f t="shared" si="422"/>
        <v>-</v>
      </c>
      <c r="CP224" s="1431" t="str">
        <f t="shared" si="422"/>
        <v>-</v>
      </c>
      <c r="CQ224" s="1431" t="str">
        <f t="shared" si="422"/>
        <v>-</v>
      </c>
      <c r="CR224" s="1434" t="str">
        <f t="shared" si="422"/>
        <v>-</v>
      </c>
      <c r="CS224" s="1378"/>
      <c r="CT224" s="1428" t="str">
        <f t="shared" si="328"/>
        <v>Rev</v>
      </c>
      <c r="CU224" s="1429" t="str">
        <f t="shared" si="329"/>
        <v>Sewerage</v>
      </c>
      <c r="CV224" s="1429" t="str">
        <f t="shared" si="330"/>
        <v>Fixed</v>
      </c>
      <c r="CW224" s="1435" t="str">
        <f t="shared" si="354"/>
        <v>-</v>
      </c>
      <c r="CX224" s="1431" t="str">
        <f t="shared" si="355"/>
        <v>-</v>
      </c>
      <c r="CY224" s="1431" t="str">
        <f t="shared" si="356"/>
        <v>-</v>
      </c>
      <c r="CZ224" s="1434" t="str">
        <f t="shared" si="357"/>
        <v>-</v>
      </c>
      <c r="DA224" s="1431" t="str">
        <f t="shared" si="358"/>
        <v>-</v>
      </c>
      <c r="DB224" s="1431" t="str">
        <f t="shared" si="359"/>
        <v>-</v>
      </c>
      <c r="DC224" s="1431" t="str">
        <f t="shared" si="360"/>
        <v>-</v>
      </c>
      <c r="DD224" s="1431" t="str">
        <f t="shared" si="361"/>
        <v>-</v>
      </c>
      <c r="DE224" s="1434" t="str">
        <f t="shared" si="362"/>
        <v>-</v>
      </c>
      <c r="DF224" s="1378"/>
      <c r="DG224" s="1428" t="str">
        <f t="shared" si="363"/>
        <v>Rev</v>
      </c>
      <c r="DH224" s="1429" t="str">
        <f t="shared" si="363"/>
        <v>Sewerage</v>
      </c>
      <c r="DI224" s="1429" t="str">
        <f t="shared" si="363"/>
        <v>Fixed</v>
      </c>
      <c r="DJ224" s="1429"/>
      <c r="DK224" s="1435" t="str">
        <f t="shared" si="364"/>
        <v>-</v>
      </c>
      <c r="DL224" s="1431" t="str">
        <f t="shared" si="365"/>
        <v>-</v>
      </c>
      <c r="DM224" s="1431" t="str">
        <f t="shared" si="366"/>
        <v>-</v>
      </c>
      <c r="DN224" s="1433" t="str">
        <f t="shared" si="367"/>
        <v>-</v>
      </c>
      <c r="DO224" s="1431" t="str">
        <f t="shared" si="368"/>
        <v>-</v>
      </c>
      <c r="DP224" s="1431" t="str">
        <f t="shared" si="369"/>
        <v>-</v>
      </c>
      <c r="DQ224" s="1431" t="str">
        <f t="shared" si="370"/>
        <v>-</v>
      </c>
      <c r="DR224" s="1434" t="str">
        <f t="shared" si="371"/>
        <v>-</v>
      </c>
    </row>
    <row r="225" spans="4:122">
      <c r="D225" s="70">
        <f>D222+1</f>
        <v>54</v>
      </c>
      <c r="E225" s="713" t="s">
        <v>44</v>
      </c>
      <c r="F225" s="1532" t="s">
        <v>20</v>
      </c>
      <c r="G225" s="1532" t="s">
        <v>916</v>
      </c>
      <c r="H225" s="1532"/>
      <c r="I225" s="781" t="s">
        <v>319</v>
      </c>
      <c r="J225" s="781" t="s">
        <v>345</v>
      </c>
      <c r="K225" s="1533"/>
      <c r="L225" s="1534"/>
      <c r="M225" s="1534"/>
      <c r="N225" s="1535"/>
      <c r="O225" s="2071"/>
      <c r="P225" s="1547"/>
      <c r="Q225" s="1547"/>
      <c r="R225" s="1547"/>
      <c r="S225" s="1547"/>
      <c r="T225" s="1547"/>
      <c r="U225" s="1547"/>
      <c r="V225" s="1547"/>
      <c r="W225" s="1547"/>
      <c r="X225" s="1548"/>
      <c r="Y225" s="1547"/>
      <c r="Z225" s="1547"/>
      <c r="AA225" s="1547"/>
      <c r="AB225" s="1547"/>
      <c r="AC225" s="1548"/>
      <c r="AD225" s="1547"/>
      <c r="AE225" s="1547"/>
      <c r="AF225" s="1547"/>
      <c r="AG225" s="1560"/>
      <c r="AH225" s="697"/>
      <c r="AI225" s="707"/>
      <c r="AJ225" s="709">
        <f t="shared" si="375"/>
        <v>0</v>
      </c>
      <c r="AK225" s="710">
        <f t="shared" si="376"/>
        <v>0</v>
      </c>
      <c r="AL225" s="710">
        <f t="shared" si="377"/>
        <v>0</v>
      </c>
      <c r="AM225" s="710">
        <f t="shared" si="378"/>
        <v>0</v>
      </c>
      <c r="AN225" s="710">
        <f t="shared" si="379"/>
        <v>0</v>
      </c>
      <c r="AO225" s="711">
        <f t="shared" si="380"/>
        <v>0</v>
      </c>
      <c r="AP225" s="707">
        <f t="shared" si="381"/>
        <v>0</v>
      </c>
      <c r="AQ225" s="707">
        <f t="shared" si="382"/>
        <v>0</v>
      </c>
      <c r="AR225" s="707">
        <f t="shared" si="383"/>
        <v>0</v>
      </c>
      <c r="AS225" s="712">
        <f t="shared" si="384"/>
        <v>0</v>
      </c>
      <c r="AU225" s="1369"/>
      <c r="AV225" s="1559"/>
      <c r="AW225" s="1412" t="str">
        <f t="shared" si="332"/>
        <v>Price</v>
      </c>
      <c r="AX225" s="1413" t="str">
        <f t="shared" si="332"/>
        <v>Water</v>
      </c>
      <c r="AY225" s="1414" t="str">
        <f t="shared" si="333"/>
        <v>Fixed</v>
      </c>
      <c r="AZ225" s="1415" t="str">
        <f t="shared" si="402"/>
        <v>-</v>
      </c>
      <c r="BA225" s="1415" t="str">
        <f t="shared" si="402"/>
        <v>-</v>
      </c>
      <c r="BB225" s="1415" t="str">
        <f t="shared" si="402"/>
        <v>-</v>
      </c>
      <c r="BC225" s="1415" t="str">
        <f t="shared" si="335"/>
        <v>-</v>
      </c>
      <c r="BD225" s="1415" t="str">
        <f t="shared" si="336"/>
        <v>-</v>
      </c>
      <c r="BE225" s="1415" t="str">
        <f t="shared" si="337"/>
        <v>-</v>
      </c>
      <c r="BF225" s="1415" t="str">
        <f t="shared" si="338"/>
        <v>-</v>
      </c>
      <c r="BG225" s="1416" t="str">
        <f t="shared" si="339"/>
        <v>-</v>
      </c>
      <c r="BH225" s="1417" t="str">
        <f t="shared" si="340"/>
        <v>-</v>
      </c>
      <c r="BI225" s="1417" t="str">
        <f t="shared" si="341"/>
        <v>-</v>
      </c>
      <c r="BJ225" s="1417" t="str">
        <f t="shared" si="342"/>
        <v>-</v>
      </c>
      <c r="BK225" s="1417" t="str">
        <f t="shared" si="343"/>
        <v>-</v>
      </c>
      <c r="BL225" s="1418" t="str">
        <f t="shared" si="344"/>
        <v>-</v>
      </c>
      <c r="BM225" s="1417" t="str">
        <f t="shared" si="345"/>
        <v>-</v>
      </c>
      <c r="BN225" s="1417" t="str">
        <f t="shared" si="346"/>
        <v>-</v>
      </c>
      <c r="BO225" s="1417" t="str">
        <f t="shared" si="347"/>
        <v>-</v>
      </c>
      <c r="BP225" s="1417" t="str">
        <f t="shared" si="348"/>
        <v>-</v>
      </c>
      <c r="BQ225" s="1419" t="str">
        <f t="shared" si="349"/>
        <v>-</v>
      </c>
      <c r="BR225" s="1378"/>
      <c r="BS225" s="1420"/>
      <c r="BT225" s="1421"/>
      <c r="BU225" s="1422"/>
      <c r="BV225" s="1423"/>
      <c r="BW225" s="1378"/>
      <c r="BX225" s="1412" t="str">
        <f t="shared" si="350"/>
        <v>Price</v>
      </c>
      <c r="BY225" s="1413" t="str">
        <f t="shared" si="351"/>
        <v>Water</v>
      </c>
      <c r="BZ225" s="1414" t="str">
        <f t="shared" si="352"/>
        <v>Fixed</v>
      </c>
      <c r="CA225" s="1424" t="str">
        <f t="shared" ref="CA225:CR225" si="423">IFERROR((P225/O225-1)*(O227/O$13),"-")</f>
        <v>-</v>
      </c>
      <c r="CB225" s="1415" t="str">
        <f t="shared" si="423"/>
        <v>-</v>
      </c>
      <c r="CC225" s="1415" t="str">
        <f t="shared" si="423"/>
        <v>-</v>
      </c>
      <c r="CD225" s="1415" t="str">
        <f t="shared" si="423"/>
        <v>-</v>
      </c>
      <c r="CE225" s="1415" t="str">
        <f t="shared" si="423"/>
        <v>-</v>
      </c>
      <c r="CF225" s="1415" t="str">
        <f t="shared" si="423"/>
        <v>-</v>
      </c>
      <c r="CG225" s="1415" t="str">
        <f t="shared" si="423"/>
        <v>-</v>
      </c>
      <c r="CH225" s="1425" t="str">
        <f t="shared" si="423"/>
        <v>-</v>
      </c>
      <c r="CI225" s="1417" t="str">
        <f t="shared" si="423"/>
        <v>-</v>
      </c>
      <c r="CJ225" s="1417" t="str">
        <f t="shared" si="423"/>
        <v>-</v>
      </c>
      <c r="CK225" s="1417" t="str">
        <f t="shared" si="423"/>
        <v>-</v>
      </c>
      <c r="CL225" s="1417" t="str">
        <f t="shared" si="423"/>
        <v>-</v>
      </c>
      <c r="CM225" s="1418" t="str">
        <f t="shared" si="423"/>
        <v>-</v>
      </c>
      <c r="CN225" s="1417" t="str">
        <f t="shared" si="423"/>
        <v>-</v>
      </c>
      <c r="CO225" s="1417" t="str">
        <f t="shared" si="423"/>
        <v>-</v>
      </c>
      <c r="CP225" s="1417" t="str">
        <f t="shared" si="423"/>
        <v>-</v>
      </c>
      <c r="CQ225" s="1417" t="str">
        <f t="shared" si="423"/>
        <v>-</v>
      </c>
      <c r="CR225" s="1419" t="str">
        <f t="shared" si="423"/>
        <v>-</v>
      </c>
      <c r="CS225" s="1378"/>
      <c r="CT225" s="1412" t="str">
        <f t="shared" si="328"/>
        <v>Price</v>
      </c>
      <c r="CU225" s="1413" t="str">
        <f t="shared" si="329"/>
        <v>Water</v>
      </c>
      <c r="CV225" s="1426" t="str">
        <f t="shared" si="330"/>
        <v>Fixed</v>
      </c>
      <c r="CW225" s="1427" t="str">
        <f t="shared" si="354"/>
        <v>-</v>
      </c>
      <c r="CX225" s="1417" t="str">
        <f t="shared" si="355"/>
        <v>-</v>
      </c>
      <c r="CY225" s="1417" t="str">
        <f t="shared" si="356"/>
        <v>-</v>
      </c>
      <c r="CZ225" s="1419" t="str">
        <f t="shared" si="357"/>
        <v>-</v>
      </c>
      <c r="DA225" s="1417" t="str">
        <f t="shared" si="358"/>
        <v>-</v>
      </c>
      <c r="DB225" s="1417" t="str">
        <f t="shared" si="359"/>
        <v>-</v>
      </c>
      <c r="DC225" s="1417" t="str">
        <f t="shared" si="360"/>
        <v>-</v>
      </c>
      <c r="DD225" s="1417" t="str">
        <f t="shared" si="361"/>
        <v>-</v>
      </c>
      <c r="DE225" s="1419" t="str">
        <f t="shared" si="362"/>
        <v>-</v>
      </c>
      <c r="DF225" s="1378"/>
      <c r="DG225" s="1412" t="str">
        <f t="shared" si="363"/>
        <v>Price</v>
      </c>
      <c r="DH225" s="1413" t="str">
        <f t="shared" si="363"/>
        <v>Water</v>
      </c>
      <c r="DI225" s="1426" t="str">
        <f t="shared" si="363"/>
        <v>Fixed</v>
      </c>
      <c r="DJ225" s="1426"/>
      <c r="DK225" s="1427" t="str">
        <f t="shared" si="364"/>
        <v>-</v>
      </c>
      <c r="DL225" s="1417" t="str">
        <f t="shared" si="365"/>
        <v>-</v>
      </c>
      <c r="DM225" s="1417" t="str">
        <f t="shared" si="366"/>
        <v>-</v>
      </c>
      <c r="DN225" s="1418" t="str">
        <f t="shared" si="367"/>
        <v>-</v>
      </c>
      <c r="DO225" s="1417" t="str">
        <f t="shared" si="368"/>
        <v>-</v>
      </c>
      <c r="DP225" s="1417" t="str">
        <f t="shared" si="369"/>
        <v>-</v>
      </c>
      <c r="DQ225" s="1417" t="str">
        <f t="shared" si="370"/>
        <v>-</v>
      </c>
      <c r="DR225" s="1419" t="str">
        <f t="shared" si="371"/>
        <v>-</v>
      </c>
    </row>
    <row r="226" spans="4:122">
      <c r="E226" s="742" t="s">
        <v>45</v>
      </c>
      <c r="F226" s="722" t="str">
        <f>+F225</f>
        <v>Water</v>
      </c>
      <c r="G226" s="723" t="str">
        <f>+G225</f>
        <v>Cat A - Non Potable Fixed Charge 20mm</v>
      </c>
      <c r="H226" s="723">
        <f>+H225</f>
        <v>0</v>
      </c>
      <c r="I226" s="724" t="str">
        <f>+I225</f>
        <v>Fixed</v>
      </c>
      <c r="J226" s="782" t="s">
        <v>323</v>
      </c>
      <c r="K226" s="1540"/>
      <c r="L226" s="1541"/>
      <c r="M226" s="1541"/>
      <c r="N226" s="1542"/>
      <c r="O226" s="2031"/>
      <c r="P226" s="1543"/>
      <c r="Q226" s="1543"/>
      <c r="R226" s="1543"/>
      <c r="S226" s="1543"/>
      <c r="T226" s="1543"/>
      <c r="U226" s="1543"/>
      <c r="V226" s="1543"/>
      <c r="W226" s="1543"/>
      <c r="X226" s="1544"/>
      <c r="Y226" s="1543"/>
      <c r="Z226" s="1543"/>
      <c r="AA226" s="1543"/>
      <c r="AB226" s="1543"/>
      <c r="AC226" s="1544"/>
      <c r="AD226" s="1543"/>
      <c r="AE226" s="1543"/>
      <c r="AF226" s="1543"/>
      <c r="AG226" s="1553"/>
      <c r="AH226" s="697"/>
      <c r="AI226" s="707"/>
      <c r="AJ226" s="709">
        <f t="shared" si="375"/>
        <v>0</v>
      </c>
      <c r="AK226" s="710">
        <f t="shared" si="376"/>
        <v>0</v>
      </c>
      <c r="AL226" s="710">
        <f t="shared" si="377"/>
        <v>0</v>
      </c>
      <c r="AM226" s="710">
        <f t="shared" si="378"/>
        <v>0</v>
      </c>
      <c r="AN226" s="710">
        <f t="shared" si="379"/>
        <v>0</v>
      </c>
      <c r="AO226" s="711">
        <f t="shared" si="380"/>
        <v>0</v>
      </c>
      <c r="AP226" s="707">
        <f t="shared" si="381"/>
        <v>0</v>
      </c>
      <c r="AQ226" s="707">
        <f t="shared" si="382"/>
        <v>0</v>
      </c>
      <c r="AR226" s="707">
        <f t="shared" si="383"/>
        <v>0</v>
      </c>
      <c r="AS226" s="712">
        <f t="shared" si="384"/>
        <v>0</v>
      </c>
      <c r="AV226" s="1559"/>
      <c r="AW226" s="1392" t="str">
        <f t="shared" si="332"/>
        <v>Qty</v>
      </c>
      <c r="AX226" s="1393" t="str">
        <f t="shared" si="332"/>
        <v>Water</v>
      </c>
      <c r="AY226" s="1394" t="str">
        <f t="shared" si="333"/>
        <v>Fixed</v>
      </c>
      <c r="AZ226" s="1395" t="str">
        <f t="shared" ref="AZ226:BB241" si="424">IFERROR(P226/O226-1,"-")</f>
        <v>-</v>
      </c>
      <c r="BA226" s="1395" t="str">
        <f t="shared" si="424"/>
        <v>-</v>
      </c>
      <c r="BB226" s="1395" t="str">
        <f t="shared" si="424"/>
        <v>-</v>
      </c>
      <c r="BC226" s="1395" t="str">
        <f t="shared" si="335"/>
        <v>-</v>
      </c>
      <c r="BD226" s="1395" t="str">
        <f t="shared" si="336"/>
        <v>-</v>
      </c>
      <c r="BE226" s="1395" t="str">
        <f t="shared" si="337"/>
        <v>-</v>
      </c>
      <c r="BF226" s="1395" t="str">
        <f t="shared" si="338"/>
        <v>-</v>
      </c>
      <c r="BG226" s="1396" t="str">
        <f t="shared" si="339"/>
        <v>-</v>
      </c>
      <c r="BH226" s="1395" t="str">
        <f t="shared" si="340"/>
        <v>-</v>
      </c>
      <c r="BI226" s="1395" t="str">
        <f t="shared" si="341"/>
        <v>-</v>
      </c>
      <c r="BJ226" s="1395" t="str">
        <f t="shared" si="342"/>
        <v>-</v>
      </c>
      <c r="BK226" s="1395" t="str">
        <f t="shared" si="343"/>
        <v>-</v>
      </c>
      <c r="BL226" s="1397" t="str">
        <f t="shared" si="344"/>
        <v>-</v>
      </c>
      <c r="BM226" s="1395" t="str">
        <f t="shared" si="345"/>
        <v>-</v>
      </c>
      <c r="BN226" s="1395" t="str">
        <f t="shared" si="346"/>
        <v>-</v>
      </c>
      <c r="BO226" s="1395" t="str">
        <f t="shared" si="347"/>
        <v>-</v>
      </c>
      <c r="BP226" s="1395" t="str">
        <f t="shared" si="348"/>
        <v>-</v>
      </c>
      <c r="BQ226" s="1398" t="str">
        <f t="shared" si="349"/>
        <v>-</v>
      </c>
      <c r="BR226" s="1378"/>
      <c r="BS226" s="1329"/>
      <c r="BT226" s="1399"/>
      <c r="BU226" s="1331"/>
      <c r="BV226" s="1400"/>
      <c r="BW226" s="1378"/>
      <c r="BX226" s="1392" t="str">
        <f t="shared" si="350"/>
        <v>Qty</v>
      </c>
      <c r="BY226" s="1393" t="str">
        <f t="shared" si="351"/>
        <v>Water</v>
      </c>
      <c r="BZ226" s="1394" t="str">
        <f t="shared" si="352"/>
        <v>Fixed</v>
      </c>
      <c r="CA226" s="1401" t="str">
        <f t="shared" ref="CA226:CR226" si="425">IFERROR((P226/O226-1)*(O227/O$13),"-")</f>
        <v>-</v>
      </c>
      <c r="CB226" s="1395" t="str">
        <f t="shared" si="425"/>
        <v>-</v>
      </c>
      <c r="CC226" s="1395" t="str">
        <f t="shared" si="425"/>
        <v>-</v>
      </c>
      <c r="CD226" s="1395" t="str">
        <f t="shared" si="425"/>
        <v>-</v>
      </c>
      <c r="CE226" s="1395" t="str">
        <f t="shared" si="425"/>
        <v>-</v>
      </c>
      <c r="CF226" s="1395" t="str">
        <f t="shared" si="425"/>
        <v>-</v>
      </c>
      <c r="CG226" s="1395" t="str">
        <f t="shared" si="425"/>
        <v>-</v>
      </c>
      <c r="CH226" s="1397" t="str">
        <f t="shared" si="425"/>
        <v>-</v>
      </c>
      <c r="CI226" s="1395" t="str">
        <f t="shared" si="425"/>
        <v>-</v>
      </c>
      <c r="CJ226" s="1395" t="str">
        <f t="shared" si="425"/>
        <v>-</v>
      </c>
      <c r="CK226" s="1395" t="str">
        <f t="shared" si="425"/>
        <v>-</v>
      </c>
      <c r="CL226" s="1395" t="str">
        <f t="shared" si="425"/>
        <v>-</v>
      </c>
      <c r="CM226" s="1397" t="str">
        <f t="shared" si="425"/>
        <v>-</v>
      </c>
      <c r="CN226" s="1395" t="str">
        <f t="shared" si="425"/>
        <v>-</v>
      </c>
      <c r="CO226" s="1395" t="str">
        <f t="shared" si="425"/>
        <v>-</v>
      </c>
      <c r="CP226" s="1395" t="str">
        <f t="shared" si="425"/>
        <v>-</v>
      </c>
      <c r="CQ226" s="1395" t="str">
        <f t="shared" si="425"/>
        <v>-</v>
      </c>
      <c r="CR226" s="1398" t="str">
        <f t="shared" si="425"/>
        <v>-</v>
      </c>
      <c r="CS226" s="1378"/>
      <c r="CT226" s="1392" t="str">
        <f t="shared" si="328"/>
        <v>Qty</v>
      </c>
      <c r="CU226" s="1393" t="str">
        <f t="shared" si="329"/>
        <v>Water</v>
      </c>
      <c r="CV226" s="1393" t="str">
        <f t="shared" si="330"/>
        <v>Fixed</v>
      </c>
      <c r="CW226" s="1401" t="str">
        <f t="shared" si="354"/>
        <v>-</v>
      </c>
      <c r="CX226" s="1395" t="str">
        <f t="shared" si="355"/>
        <v>-</v>
      </c>
      <c r="CY226" s="1395" t="str">
        <f t="shared" si="356"/>
        <v>-</v>
      </c>
      <c r="CZ226" s="1398" t="str">
        <f t="shared" si="357"/>
        <v>-</v>
      </c>
      <c r="DA226" s="1395" t="str">
        <f t="shared" si="358"/>
        <v>-</v>
      </c>
      <c r="DB226" s="1395" t="str">
        <f t="shared" si="359"/>
        <v>-</v>
      </c>
      <c r="DC226" s="1395" t="str">
        <f t="shared" si="360"/>
        <v>-</v>
      </c>
      <c r="DD226" s="1395" t="str">
        <f t="shared" si="361"/>
        <v>-</v>
      </c>
      <c r="DE226" s="1398" t="str">
        <f t="shared" si="362"/>
        <v>-</v>
      </c>
      <c r="DF226" s="1378"/>
      <c r="DG226" s="1392" t="str">
        <f t="shared" si="363"/>
        <v>Qty</v>
      </c>
      <c r="DH226" s="1393" t="str">
        <f t="shared" si="363"/>
        <v>Water</v>
      </c>
      <c r="DI226" s="1393" t="str">
        <f t="shared" si="363"/>
        <v>Fixed</v>
      </c>
      <c r="DJ226" s="1393"/>
      <c r="DK226" s="1401" t="str">
        <f t="shared" si="364"/>
        <v>-</v>
      </c>
      <c r="DL226" s="1395" t="str">
        <f t="shared" si="365"/>
        <v>-</v>
      </c>
      <c r="DM226" s="1395" t="str">
        <f t="shared" si="366"/>
        <v>-</v>
      </c>
      <c r="DN226" s="1397" t="str">
        <f t="shared" si="367"/>
        <v>-</v>
      </c>
      <c r="DO226" s="1395" t="str">
        <f t="shared" si="368"/>
        <v>-</v>
      </c>
      <c r="DP226" s="1395" t="str">
        <f t="shared" si="369"/>
        <v>-</v>
      </c>
      <c r="DQ226" s="1395" t="str">
        <f t="shared" si="370"/>
        <v>-</v>
      </c>
      <c r="DR226" s="1398" t="str">
        <f t="shared" si="371"/>
        <v>-</v>
      </c>
    </row>
    <row r="227" spans="4:122" ht="12.75" thickBot="1">
      <c r="E227" s="743" t="s">
        <v>46</v>
      </c>
      <c r="F227" s="732" t="str">
        <f>+F225</f>
        <v>Water</v>
      </c>
      <c r="G227" s="733" t="str">
        <f>+G225</f>
        <v>Cat A - Non Potable Fixed Charge 20mm</v>
      </c>
      <c r="H227" s="733">
        <f>+H225</f>
        <v>0</v>
      </c>
      <c r="I227" s="734" t="str">
        <f>+I225</f>
        <v>Fixed</v>
      </c>
      <c r="J227" s="735" t="s">
        <v>344</v>
      </c>
      <c r="K227" s="736">
        <f t="shared" ref="K227:AG227" si="426">K225*K226/10^6</f>
        <v>0</v>
      </c>
      <c r="L227" s="737">
        <f t="shared" si="426"/>
        <v>0</v>
      </c>
      <c r="M227" s="737">
        <f t="shared" si="426"/>
        <v>0</v>
      </c>
      <c r="N227" s="738">
        <f t="shared" si="426"/>
        <v>0</v>
      </c>
      <c r="O227" s="1923">
        <f t="shared" si="426"/>
        <v>0</v>
      </c>
      <c r="P227" s="737">
        <f t="shared" si="426"/>
        <v>0</v>
      </c>
      <c r="Q227" s="737">
        <f t="shared" si="426"/>
        <v>0</v>
      </c>
      <c r="R227" s="737">
        <f t="shared" si="426"/>
        <v>0</v>
      </c>
      <c r="S227" s="737">
        <f t="shared" si="426"/>
        <v>0</v>
      </c>
      <c r="T227" s="1531">
        <f t="shared" si="426"/>
        <v>0</v>
      </c>
      <c r="U227" s="737">
        <f t="shared" si="426"/>
        <v>0</v>
      </c>
      <c r="V227" s="737">
        <f t="shared" si="426"/>
        <v>0</v>
      </c>
      <c r="W227" s="737">
        <f t="shared" si="426"/>
        <v>0</v>
      </c>
      <c r="X227" s="738">
        <f t="shared" si="426"/>
        <v>0</v>
      </c>
      <c r="Y227" s="737">
        <f t="shared" si="426"/>
        <v>0</v>
      </c>
      <c r="Z227" s="737">
        <f t="shared" si="426"/>
        <v>0</v>
      </c>
      <c r="AA227" s="737">
        <f t="shared" si="426"/>
        <v>0</v>
      </c>
      <c r="AB227" s="737">
        <f t="shared" si="426"/>
        <v>0</v>
      </c>
      <c r="AC227" s="738">
        <f t="shared" si="426"/>
        <v>0</v>
      </c>
      <c r="AD227" s="737">
        <f t="shared" si="426"/>
        <v>0</v>
      </c>
      <c r="AE227" s="737">
        <f t="shared" si="426"/>
        <v>0</v>
      </c>
      <c r="AF227" s="737">
        <f t="shared" si="426"/>
        <v>0</v>
      </c>
      <c r="AG227" s="739">
        <f t="shared" si="426"/>
        <v>0</v>
      </c>
      <c r="AH227" s="697"/>
      <c r="AI227" s="707"/>
      <c r="AJ227" s="709">
        <f t="shared" si="375"/>
        <v>0</v>
      </c>
      <c r="AK227" s="710">
        <f t="shared" si="376"/>
        <v>0</v>
      </c>
      <c r="AL227" s="710">
        <f t="shared" si="377"/>
        <v>0</v>
      </c>
      <c r="AM227" s="710">
        <f t="shared" si="378"/>
        <v>0</v>
      </c>
      <c r="AN227" s="710">
        <f t="shared" si="379"/>
        <v>0</v>
      </c>
      <c r="AO227" s="711">
        <f t="shared" si="380"/>
        <v>0</v>
      </c>
      <c r="AP227" s="707">
        <f t="shared" si="381"/>
        <v>0</v>
      </c>
      <c r="AQ227" s="707">
        <f t="shared" si="382"/>
        <v>0</v>
      </c>
      <c r="AR227" s="707">
        <f t="shared" si="383"/>
        <v>0</v>
      </c>
      <c r="AS227" s="712">
        <f t="shared" si="384"/>
        <v>0</v>
      </c>
      <c r="AV227" s="1559"/>
      <c r="AW227" s="1428" t="str">
        <f t="shared" si="332"/>
        <v>Rev</v>
      </c>
      <c r="AX227" s="1429" t="str">
        <f t="shared" si="332"/>
        <v>Water</v>
      </c>
      <c r="AY227" s="1430" t="str">
        <f t="shared" si="333"/>
        <v>Fixed</v>
      </c>
      <c r="AZ227" s="1431" t="str">
        <f t="shared" si="424"/>
        <v>-</v>
      </c>
      <c r="BA227" s="1431" t="str">
        <f t="shared" si="424"/>
        <v>-</v>
      </c>
      <c r="BB227" s="1431" t="str">
        <f t="shared" si="424"/>
        <v>-</v>
      </c>
      <c r="BC227" s="1431" t="str">
        <f t="shared" si="335"/>
        <v>-</v>
      </c>
      <c r="BD227" s="1431" t="str">
        <f t="shared" si="336"/>
        <v>-</v>
      </c>
      <c r="BE227" s="1431" t="str">
        <f t="shared" si="337"/>
        <v>-</v>
      </c>
      <c r="BF227" s="1431" t="str">
        <f t="shared" si="338"/>
        <v>-</v>
      </c>
      <c r="BG227" s="1432" t="str">
        <f t="shared" si="339"/>
        <v>-</v>
      </c>
      <c r="BH227" s="1431" t="str">
        <f t="shared" si="340"/>
        <v>-</v>
      </c>
      <c r="BI227" s="1431" t="str">
        <f t="shared" si="341"/>
        <v>-</v>
      </c>
      <c r="BJ227" s="1431" t="str">
        <f t="shared" si="342"/>
        <v>-</v>
      </c>
      <c r="BK227" s="1431" t="str">
        <f t="shared" si="343"/>
        <v>-</v>
      </c>
      <c r="BL227" s="1433" t="str">
        <f t="shared" si="344"/>
        <v>-</v>
      </c>
      <c r="BM227" s="1431" t="str">
        <f t="shared" si="345"/>
        <v>-</v>
      </c>
      <c r="BN227" s="1431" t="str">
        <f t="shared" si="346"/>
        <v>-</v>
      </c>
      <c r="BO227" s="1431" t="str">
        <f t="shared" si="347"/>
        <v>-</v>
      </c>
      <c r="BP227" s="1431" t="str">
        <f t="shared" si="348"/>
        <v>-</v>
      </c>
      <c r="BQ227" s="1434" t="str">
        <f t="shared" si="349"/>
        <v>-</v>
      </c>
      <c r="BR227" s="1378"/>
      <c r="BS227" s="1407"/>
      <c r="BT227" s="1408"/>
      <c r="BU227" s="1409"/>
      <c r="BV227" s="1410"/>
      <c r="BW227" s="1378"/>
      <c r="BX227" s="1428" t="str">
        <f t="shared" si="350"/>
        <v>Rev</v>
      </c>
      <c r="BY227" s="1429" t="str">
        <f t="shared" si="351"/>
        <v>Water</v>
      </c>
      <c r="BZ227" s="1430" t="str">
        <f t="shared" si="352"/>
        <v>Fixed</v>
      </c>
      <c r="CA227" s="1435" t="str">
        <f t="shared" ref="CA227:CR227" si="427">IFERROR((P227/O227-1)*(O227/O$13),"-")</f>
        <v>-</v>
      </c>
      <c r="CB227" s="1431" t="str">
        <f t="shared" si="427"/>
        <v>-</v>
      </c>
      <c r="CC227" s="1431" t="str">
        <f t="shared" si="427"/>
        <v>-</v>
      </c>
      <c r="CD227" s="1431" t="str">
        <f t="shared" si="427"/>
        <v>-</v>
      </c>
      <c r="CE227" s="1431" t="str">
        <f t="shared" si="427"/>
        <v>-</v>
      </c>
      <c r="CF227" s="1431" t="str">
        <f t="shared" si="427"/>
        <v>-</v>
      </c>
      <c r="CG227" s="1431" t="str">
        <f t="shared" si="427"/>
        <v>-</v>
      </c>
      <c r="CH227" s="1433" t="str">
        <f t="shared" si="427"/>
        <v>-</v>
      </c>
      <c r="CI227" s="1431" t="str">
        <f t="shared" si="427"/>
        <v>-</v>
      </c>
      <c r="CJ227" s="1431" t="str">
        <f t="shared" si="427"/>
        <v>-</v>
      </c>
      <c r="CK227" s="1431" t="str">
        <f t="shared" si="427"/>
        <v>-</v>
      </c>
      <c r="CL227" s="1431" t="str">
        <f t="shared" si="427"/>
        <v>-</v>
      </c>
      <c r="CM227" s="1433" t="str">
        <f t="shared" si="427"/>
        <v>-</v>
      </c>
      <c r="CN227" s="1431" t="str">
        <f t="shared" si="427"/>
        <v>-</v>
      </c>
      <c r="CO227" s="1431" t="str">
        <f t="shared" si="427"/>
        <v>-</v>
      </c>
      <c r="CP227" s="1431" t="str">
        <f t="shared" si="427"/>
        <v>-</v>
      </c>
      <c r="CQ227" s="1431" t="str">
        <f t="shared" si="427"/>
        <v>-</v>
      </c>
      <c r="CR227" s="1434" t="str">
        <f t="shared" si="427"/>
        <v>-</v>
      </c>
      <c r="CS227" s="1378"/>
      <c r="CT227" s="1428" t="str">
        <f t="shared" si="328"/>
        <v>Rev</v>
      </c>
      <c r="CU227" s="1429" t="str">
        <f t="shared" si="329"/>
        <v>Water</v>
      </c>
      <c r="CV227" s="1429" t="str">
        <f t="shared" si="330"/>
        <v>Fixed</v>
      </c>
      <c r="CW227" s="1435" t="str">
        <f t="shared" si="354"/>
        <v>-</v>
      </c>
      <c r="CX227" s="1431" t="str">
        <f t="shared" si="355"/>
        <v>-</v>
      </c>
      <c r="CY227" s="1431" t="str">
        <f t="shared" si="356"/>
        <v>-</v>
      </c>
      <c r="CZ227" s="1434" t="str">
        <f t="shared" si="357"/>
        <v>-</v>
      </c>
      <c r="DA227" s="1431" t="str">
        <f t="shared" si="358"/>
        <v>-</v>
      </c>
      <c r="DB227" s="1431" t="str">
        <f t="shared" si="359"/>
        <v>-</v>
      </c>
      <c r="DC227" s="1431" t="str">
        <f t="shared" si="360"/>
        <v>-</v>
      </c>
      <c r="DD227" s="1431" t="str">
        <f t="shared" si="361"/>
        <v>-</v>
      </c>
      <c r="DE227" s="1434" t="str">
        <f t="shared" si="362"/>
        <v>-</v>
      </c>
      <c r="DF227" s="1378"/>
      <c r="DG227" s="1428" t="str">
        <f t="shared" si="363"/>
        <v>Rev</v>
      </c>
      <c r="DH227" s="1429" t="str">
        <f t="shared" si="363"/>
        <v>Water</v>
      </c>
      <c r="DI227" s="1429" t="str">
        <f t="shared" si="363"/>
        <v>Fixed</v>
      </c>
      <c r="DJ227" s="1429"/>
      <c r="DK227" s="1435" t="str">
        <f t="shared" si="364"/>
        <v>-</v>
      </c>
      <c r="DL227" s="1431" t="str">
        <f t="shared" si="365"/>
        <v>-</v>
      </c>
      <c r="DM227" s="1431" t="str">
        <f t="shared" si="366"/>
        <v>-</v>
      </c>
      <c r="DN227" s="1433" t="str">
        <f t="shared" si="367"/>
        <v>-</v>
      </c>
      <c r="DO227" s="1431" t="str">
        <f t="shared" si="368"/>
        <v>-</v>
      </c>
      <c r="DP227" s="1431" t="str">
        <f t="shared" si="369"/>
        <v>-</v>
      </c>
      <c r="DQ227" s="1431" t="str">
        <f t="shared" si="370"/>
        <v>-</v>
      </c>
      <c r="DR227" s="1434" t="str">
        <f t="shared" si="371"/>
        <v>-</v>
      </c>
    </row>
    <row r="228" spans="4:122">
      <c r="D228" s="70">
        <f>D225+1</f>
        <v>55</v>
      </c>
      <c r="E228" s="713" t="s">
        <v>44</v>
      </c>
      <c r="F228" s="1532" t="s">
        <v>20</v>
      </c>
      <c r="G228" s="1532" t="s">
        <v>917</v>
      </c>
      <c r="H228" s="1532"/>
      <c r="I228" s="781" t="s">
        <v>319</v>
      </c>
      <c r="J228" s="781" t="s">
        <v>345</v>
      </c>
      <c r="K228" s="1533"/>
      <c r="L228" s="1534"/>
      <c r="M228" s="1534"/>
      <c r="N228" s="1535"/>
      <c r="O228" s="2071"/>
      <c r="P228" s="1547"/>
      <c r="Q228" s="1547"/>
      <c r="R228" s="1547"/>
      <c r="S228" s="1547"/>
      <c r="T228" s="1547"/>
      <c r="U228" s="1547"/>
      <c r="V228" s="1547"/>
      <c r="W228" s="1547"/>
      <c r="X228" s="1550"/>
      <c r="Y228" s="1551"/>
      <c r="Z228" s="1551"/>
      <c r="AA228" s="1551"/>
      <c r="AB228" s="1551"/>
      <c r="AC228" s="1550"/>
      <c r="AD228" s="1551"/>
      <c r="AE228" s="1551"/>
      <c r="AF228" s="1551"/>
      <c r="AG228" s="1552"/>
      <c r="AH228" s="697"/>
      <c r="AI228" s="707"/>
      <c r="AJ228" s="709">
        <f t="shared" si="375"/>
        <v>0</v>
      </c>
      <c r="AK228" s="710">
        <f t="shared" si="376"/>
        <v>0</v>
      </c>
      <c r="AL228" s="710">
        <f t="shared" si="377"/>
        <v>0</v>
      </c>
      <c r="AM228" s="710">
        <f t="shared" si="378"/>
        <v>0</v>
      </c>
      <c r="AN228" s="710">
        <f t="shared" si="379"/>
        <v>0</v>
      </c>
      <c r="AO228" s="711">
        <f t="shared" si="380"/>
        <v>0</v>
      </c>
      <c r="AP228" s="707">
        <f t="shared" si="381"/>
        <v>0</v>
      </c>
      <c r="AQ228" s="707">
        <f t="shared" si="382"/>
        <v>0</v>
      </c>
      <c r="AR228" s="707">
        <f t="shared" si="383"/>
        <v>0</v>
      </c>
      <c r="AS228" s="712">
        <f t="shared" si="384"/>
        <v>0</v>
      </c>
      <c r="AU228" s="1369"/>
      <c r="AV228" s="1559"/>
      <c r="AW228" s="1412" t="str">
        <f t="shared" si="332"/>
        <v>Price</v>
      </c>
      <c r="AX228" s="1413" t="str">
        <f t="shared" si="332"/>
        <v>Water</v>
      </c>
      <c r="AY228" s="1414" t="str">
        <f t="shared" si="333"/>
        <v>Fixed</v>
      </c>
      <c r="AZ228" s="1415" t="str">
        <f t="shared" si="424"/>
        <v>-</v>
      </c>
      <c r="BA228" s="1415" t="str">
        <f t="shared" si="424"/>
        <v>-</v>
      </c>
      <c r="BB228" s="1415" t="str">
        <f t="shared" si="424"/>
        <v>-</v>
      </c>
      <c r="BC228" s="1415" t="str">
        <f t="shared" si="335"/>
        <v>-</v>
      </c>
      <c r="BD228" s="1415" t="str">
        <f t="shared" si="336"/>
        <v>-</v>
      </c>
      <c r="BE228" s="1415" t="str">
        <f t="shared" si="337"/>
        <v>-</v>
      </c>
      <c r="BF228" s="1415" t="str">
        <f t="shared" si="338"/>
        <v>-</v>
      </c>
      <c r="BG228" s="1416" t="str">
        <f t="shared" si="339"/>
        <v>-</v>
      </c>
      <c r="BH228" s="1417" t="str">
        <f t="shared" si="340"/>
        <v>-</v>
      </c>
      <c r="BI228" s="1417" t="str">
        <f t="shared" si="341"/>
        <v>-</v>
      </c>
      <c r="BJ228" s="1417" t="str">
        <f t="shared" si="342"/>
        <v>-</v>
      </c>
      <c r="BK228" s="1417" t="str">
        <f t="shared" si="343"/>
        <v>-</v>
      </c>
      <c r="BL228" s="1418" t="str">
        <f t="shared" si="344"/>
        <v>-</v>
      </c>
      <c r="BM228" s="1417" t="str">
        <f t="shared" si="345"/>
        <v>-</v>
      </c>
      <c r="BN228" s="1417" t="str">
        <f t="shared" si="346"/>
        <v>-</v>
      </c>
      <c r="BO228" s="1417" t="str">
        <f t="shared" si="347"/>
        <v>-</v>
      </c>
      <c r="BP228" s="1417" t="str">
        <f t="shared" si="348"/>
        <v>-</v>
      </c>
      <c r="BQ228" s="1419" t="str">
        <f t="shared" si="349"/>
        <v>-</v>
      </c>
      <c r="BR228" s="1378"/>
      <c r="BS228" s="1420"/>
      <c r="BT228" s="1421"/>
      <c r="BU228" s="1422"/>
      <c r="BV228" s="1423"/>
      <c r="BW228" s="1378"/>
      <c r="BX228" s="1412" t="str">
        <f t="shared" si="350"/>
        <v>Price</v>
      </c>
      <c r="BY228" s="1413" t="str">
        <f t="shared" si="351"/>
        <v>Water</v>
      </c>
      <c r="BZ228" s="1414" t="str">
        <f t="shared" si="352"/>
        <v>Fixed</v>
      </c>
      <c r="CA228" s="1424" t="str">
        <f t="shared" ref="CA228:CR228" si="428">IFERROR((P228/O228-1)*(O230/O$13),"-")</f>
        <v>-</v>
      </c>
      <c r="CB228" s="1415" t="str">
        <f t="shared" si="428"/>
        <v>-</v>
      </c>
      <c r="CC228" s="1415" t="str">
        <f t="shared" si="428"/>
        <v>-</v>
      </c>
      <c r="CD228" s="1415" t="str">
        <f t="shared" si="428"/>
        <v>-</v>
      </c>
      <c r="CE228" s="1415" t="str">
        <f t="shared" si="428"/>
        <v>-</v>
      </c>
      <c r="CF228" s="1415" t="str">
        <f t="shared" si="428"/>
        <v>-</v>
      </c>
      <c r="CG228" s="1415" t="str">
        <f t="shared" si="428"/>
        <v>-</v>
      </c>
      <c r="CH228" s="1425" t="str">
        <f t="shared" si="428"/>
        <v>-</v>
      </c>
      <c r="CI228" s="1417" t="str">
        <f t="shared" si="428"/>
        <v>-</v>
      </c>
      <c r="CJ228" s="1417" t="str">
        <f t="shared" si="428"/>
        <v>-</v>
      </c>
      <c r="CK228" s="1417" t="str">
        <f t="shared" si="428"/>
        <v>-</v>
      </c>
      <c r="CL228" s="1417" t="str">
        <f t="shared" si="428"/>
        <v>-</v>
      </c>
      <c r="CM228" s="1418" t="str">
        <f t="shared" si="428"/>
        <v>-</v>
      </c>
      <c r="CN228" s="1417" t="str">
        <f t="shared" si="428"/>
        <v>-</v>
      </c>
      <c r="CO228" s="1417" t="str">
        <f t="shared" si="428"/>
        <v>-</v>
      </c>
      <c r="CP228" s="1417" t="str">
        <f t="shared" si="428"/>
        <v>-</v>
      </c>
      <c r="CQ228" s="1417" t="str">
        <f t="shared" si="428"/>
        <v>-</v>
      </c>
      <c r="CR228" s="1419" t="str">
        <f t="shared" si="428"/>
        <v>-</v>
      </c>
      <c r="CS228" s="1378"/>
      <c r="CT228" s="1412" t="str">
        <f t="shared" si="328"/>
        <v>Price</v>
      </c>
      <c r="CU228" s="1413" t="str">
        <f t="shared" si="329"/>
        <v>Water</v>
      </c>
      <c r="CV228" s="1426" t="str">
        <f t="shared" si="330"/>
        <v>Fixed</v>
      </c>
      <c r="CW228" s="1427" t="str">
        <f t="shared" si="354"/>
        <v>-</v>
      </c>
      <c r="CX228" s="1417" t="str">
        <f t="shared" si="355"/>
        <v>-</v>
      </c>
      <c r="CY228" s="1417" t="str">
        <f t="shared" si="356"/>
        <v>-</v>
      </c>
      <c r="CZ228" s="1419" t="str">
        <f t="shared" si="357"/>
        <v>-</v>
      </c>
      <c r="DA228" s="1417" t="str">
        <f t="shared" si="358"/>
        <v>-</v>
      </c>
      <c r="DB228" s="1417" t="str">
        <f t="shared" si="359"/>
        <v>-</v>
      </c>
      <c r="DC228" s="1417" t="str">
        <f t="shared" si="360"/>
        <v>-</v>
      </c>
      <c r="DD228" s="1417" t="str">
        <f t="shared" si="361"/>
        <v>-</v>
      </c>
      <c r="DE228" s="1419" t="str">
        <f t="shared" si="362"/>
        <v>-</v>
      </c>
      <c r="DF228" s="1378"/>
      <c r="DG228" s="1412" t="str">
        <f t="shared" si="363"/>
        <v>Price</v>
      </c>
      <c r="DH228" s="1413" t="str">
        <f t="shared" si="363"/>
        <v>Water</v>
      </c>
      <c r="DI228" s="1426" t="str">
        <f t="shared" si="363"/>
        <v>Fixed</v>
      </c>
      <c r="DJ228" s="1426"/>
      <c r="DK228" s="1427" t="str">
        <f t="shared" si="364"/>
        <v>-</v>
      </c>
      <c r="DL228" s="1417" t="str">
        <f t="shared" si="365"/>
        <v>-</v>
      </c>
      <c r="DM228" s="1417" t="str">
        <f t="shared" si="366"/>
        <v>-</v>
      </c>
      <c r="DN228" s="1418" t="str">
        <f t="shared" si="367"/>
        <v>-</v>
      </c>
      <c r="DO228" s="1417" t="str">
        <f t="shared" si="368"/>
        <v>-</v>
      </c>
      <c r="DP228" s="1417" t="str">
        <f t="shared" si="369"/>
        <v>-</v>
      </c>
      <c r="DQ228" s="1417" t="str">
        <f t="shared" si="370"/>
        <v>-</v>
      </c>
      <c r="DR228" s="1419" t="str">
        <f t="shared" si="371"/>
        <v>-</v>
      </c>
    </row>
    <row r="229" spans="4:122">
      <c r="E229" s="742" t="s">
        <v>45</v>
      </c>
      <c r="F229" s="722" t="str">
        <f>+F228</f>
        <v>Water</v>
      </c>
      <c r="G229" s="723" t="str">
        <f>+G228</f>
        <v>Cat A - Non Potable Fixed Charge 25mm</v>
      </c>
      <c r="H229" s="723">
        <f>+H228</f>
        <v>0</v>
      </c>
      <c r="I229" s="724" t="str">
        <f>+I228</f>
        <v>Fixed</v>
      </c>
      <c r="J229" s="782" t="s">
        <v>323</v>
      </c>
      <c r="K229" s="1540"/>
      <c r="L229" s="1541"/>
      <c r="M229" s="1541"/>
      <c r="N229" s="1542"/>
      <c r="O229" s="2031"/>
      <c r="P229" s="1543"/>
      <c r="Q229" s="1543"/>
      <c r="R229" s="1543"/>
      <c r="S229" s="1543"/>
      <c r="T229" s="1543"/>
      <c r="U229" s="1543"/>
      <c r="V229" s="1543"/>
      <c r="W229" s="1543"/>
      <c r="X229" s="1544"/>
      <c r="Y229" s="1543"/>
      <c r="Z229" s="1543"/>
      <c r="AA229" s="1543"/>
      <c r="AB229" s="1543"/>
      <c r="AC229" s="1544"/>
      <c r="AD229" s="1543"/>
      <c r="AE229" s="1543"/>
      <c r="AF229" s="1543"/>
      <c r="AG229" s="1553"/>
      <c r="AH229" s="697"/>
      <c r="AI229" s="707"/>
      <c r="AJ229" s="709">
        <f t="shared" si="375"/>
        <v>0</v>
      </c>
      <c r="AK229" s="710">
        <f t="shared" si="376"/>
        <v>0</v>
      </c>
      <c r="AL229" s="710">
        <f t="shared" si="377"/>
        <v>0</v>
      </c>
      <c r="AM229" s="710">
        <f t="shared" si="378"/>
        <v>0</v>
      </c>
      <c r="AN229" s="710">
        <f t="shared" si="379"/>
        <v>0</v>
      </c>
      <c r="AO229" s="711">
        <f t="shared" si="380"/>
        <v>0</v>
      </c>
      <c r="AP229" s="707">
        <f t="shared" si="381"/>
        <v>0</v>
      </c>
      <c r="AQ229" s="707">
        <f t="shared" si="382"/>
        <v>0</v>
      </c>
      <c r="AR229" s="707">
        <f t="shared" si="383"/>
        <v>0</v>
      </c>
      <c r="AS229" s="712">
        <f t="shared" si="384"/>
        <v>0</v>
      </c>
      <c r="AV229" s="1559"/>
      <c r="AW229" s="1392" t="str">
        <f t="shared" si="332"/>
        <v>Qty</v>
      </c>
      <c r="AX229" s="1393" t="str">
        <f t="shared" si="332"/>
        <v>Water</v>
      </c>
      <c r="AY229" s="1394" t="str">
        <f t="shared" si="333"/>
        <v>Fixed</v>
      </c>
      <c r="AZ229" s="1395" t="str">
        <f t="shared" si="424"/>
        <v>-</v>
      </c>
      <c r="BA229" s="1395" t="str">
        <f t="shared" si="424"/>
        <v>-</v>
      </c>
      <c r="BB229" s="1395" t="str">
        <f t="shared" si="424"/>
        <v>-</v>
      </c>
      <c r="BC229" s="1395" t="str">
        <f t="shared" si="335"/>
        <v>-</v>
      </c>
      <c r="BD229" s="1395" t="str">
        <f t="shared" si="336"/>
        <v>-</v>
      </c>
      <c r="BE229" s="1395" t="str">
        <f t="shared" si="337"/>
        <v>-</v>
      </c>
      <c r="BF229" s="1395" t="str">
        <f t="shared" si="338"/>
        <v>-</v>
      </c>
      <c r="BG229" s="1396" t="str">
        <f t="shared" si="339"/>
        <v>-</v>
      </c>
      <c r="BH229" s="1395" t="str">
        <f t="shared" si="340"/>
        <v>-</v>
      </c>
      <c r="BI229" s="1395" t="str">
        <f t="shared" si="341"/>
        <v>-</v>
      </c>
      <c r="BJ229" s="1395" t="str">
        <f t="shared" si="342"/>
        <v>-</v>
      </c>
      <c r="BK229" s="1395" t="str">
        <f t="shared" si="343"/>
        <v>-</v>
      </c>
      <c r="BL229" s="1397" t="str">
        <f t="shared" si="344"/>
        <v>-</v>
      </c>
      <c r="BM229" s="1395" t="str">
        <f t="shared" si="345"/>
        <v>-</v>
      </c>
      <c r="BN229" s="1395" t="str">
        <f t="shared" si="346"/>
        <v>-</v>
      </c>
      <c r="BO229" s="1395" t="str">
        <f t="shared" si="347"/>
        <v>-</v>
      </c>
      <c r="BP229" s="1395" t="str">
        <f t="shared" si="348"/>
        <v>-</v>
      </c>
      <c r="BQ229" s="1398" t="str">
        <f t="shared" si="349"/>
        <v>-</v>
      </c>
      <c r="BR229" s="1378"/>
      <c r="BS229" s="1329"/>
      <c r="BT229" s="1399"/>
      <c r="BU229" s="1331"/>
      <c r="BV229" s="1400"/>
      <c r="BW229" s="1378"/>
      <c r="BX229" s="1392" t="str">
        <f t="shared" si="350"/>
        <v>Qty</v>
      </c>
      <c r="BY229" s="1393" t="str">
        <f t="shared" si="351"/>
        <v>Water</v>
      </c>
      <c r="BZ229" s="1394" t="str">
        <f t="shared" si="352"/>
        <v>Fixed</v>
      </c>
      <c r="CA229" s="1401" t="str">
        <f t="shared" ref="CA229:CR229" si="429">IFERROR((P229/O229-1)*(O230/O$13),"-")</f>
        <v>-</v>
      </c>
      <c r="CB229" s="1395" t="str">
        <f t="shared" si="429"/>
        <v>-</v>
      </c>
      <c r="CC229" s="1395" t="str">
        <f t="shared" si="429"/>
        <v>-</v>
      </c>
      <c r="CD229" s="1395" t="str">
        <f t="shared" si="429"/>
        <v>-</v>
      </c>
      <c r="CE229" s="1395" t="str">
        <f t="shared" si="429"/>
        <v>-</v>
      </c>
      <c r="CF229" s="1395" t="str">
        <f t="shared" si="429"/>
        <v>-</v>
      </c>
      <c r="CG229" s="1395" t="str">
        <f t="shared" si="429"/>
        <v>-</v>
      </c>
      <c r="CH229" s="1397" t="str">
        <f t="shared" si="429"/>
        <v>-</v>
      </c>
      <c r="CI229" s="1395" t="str">
        <f t="shared" si="429"/>
        <v>-</v>
      </c>
      <c r="CJ229" s="1395" t="str">
        <f t="shared" si="429"/>
        <v>-</v>
      </c>
      <c r="CK229" s="1395" t="str">
        <f t="shared" si="429"/>
        <v>-</v>
      </c>
      <c r="CL229" s="1395" t="str">
        <f t="shared" si="429"/>
        <v>-</v>
      </c>
      <c r="CM229" s="1397" t="str">
        <f t="shared" si="429"/>
        <v>-</v>
      </c>
      <c r="CN229" s="1395" t="str">
        <f t="shared" si="429"/>
        <v>-</v>
      </c>
      <c r="CO229" s="1395" t="str">
        <f t="shared" si="429"/>
        <v>-</v>
      </c>
      <c r="CP229" s="1395" t="str">
        <f t="shared" si="429"/>
        <v>-</v>
      </c>
      <c r="CQ229" s="1395" t="str">
        <f t="shared" si="429"/>
        <v>-</v>
      </c>
      <c r="CR229" s="1398" t="str">
        <f t="shared" si="429"/>
        <v>-</v>
      </c>
      <c r="CS229" s="1378"/>
      <c r="CT229" s="1392" t="str">
        <f t="shared" si="328"/>
        <v>Qty</v>
      </c>
      <c r="CU229" s="1393" t="str">
        <f t="shared" si="329"/>
        <v>Water</v>
      </c>
      <c r="CV229" s="1393" t="str">
        <f t="shared" si="330"/>
        <v>Fixed</v>
      </c>
      <c r="CW229" s="1401" t="str">
        <f t="shared" si="354"/>
        <v>-</v>
      </c>
      <c r="CX229" s="1395" t="str">
        <f t="shared" si="355"/>
        <v>-</v>
      </c>
      <c r="CY229" s="1395" t="str">
        <f t="shared" si="356"/>
        <v>-</v>
      </c>
      <c r="CZ229" s="1398" t="str">
        <f t="shared" si="357"/>
        <v>-</v>
      </c>
      <c r="DA229" s="1395" t="str">
        <f t="shared" si="358"/>
        <v>-</v>
      </c>
      <c r="DB229" s="1395" t="str">
        <f t="shared" si="359"/>
        <v>-</v>
      </c>
      <c r="DC229" s="1395" t="str">
        <f t="shared" si="360"/>
        <v>-</v>
      </c>
      <c r="DD229" s="1395" t="str">
        <f t="shared" si="361"/>
        <v>-</v>
      </c>
      <c r="DE229" s="1398" t="str">
        <f t="shared" si="362"/>
        <v>-</v>
      </c>
      <c r="DF229" s="1378"/>
      <c r="DG229" s="1392" t="str">
        <f t="shared" si="363"/>
        <v>Qty</v>
      </c>
      <c r="DH229" s="1393" t="str">
        <f t="shared" si="363"/>
        <v>Water</v>
      </c>
      <c r="DI229" s="1393" t="str">
        <f t="shared" si="363"/>
        <v>Fixed</v>
      </c>
      <c r="DJ229" s="1393"/>
      <c r="DK229" s="1401" t="str">
        <f t="shared" si="364"/>
        <v>-</v>
      </c>
      <c r="DL229" s="1395" t="str">
        <f t="shared" si="365"/>
        <v>-</v>
      </c>
      <c r="DM229" s="1395" t="str">
        <f t="shared" si="366"/>
        <v>-</v>
      </c>
      <c r="DN229" s="1397" t="str">
        <f t="shared" si="367"/>
        <v>-</v>
      </c>
      <c r="DO229" s="1395" t="str">
        <f t="shared" si="368"/>
        <v>-</v>
      </c>
      <c r="DP229" s="1395" t="str">
        <f t="shared" si="369"/>
        <v>-</v>
      </c>
      <c r="DQ229" s="1395" t="str">
        <f t="shared" si="370"/>
        <v>-</v>
      </c>
      <c r="DR229" s="1398" t="str">
        <f t="shared" si="371"/>
        <v>-</v>
      </c>
    </row>
    <row r="230" spans="4:122" ht="12.75" thickBot="1">
      <c r="E230" s="743" t="s">
        <v>46</v>
      </c>
      <c r="F230" s="732" t="str">
        <f>+F228</f>
        <v>Water</v>
      </c>
      <c r="G230" s="733" t="str">
        <f>+G228</f>
        <v>Cat A - Non Potable Fixed Charge 25mm</v>
      </c>
      <c r="H230" s="733">
        <f>+H228</f>
        <v>0</v>
      </c>
      <c r="I230" s="734" t="str">
        <f>+I228</f>
        <v>Fixed</v>
      </c>
      <c r="J230" s="735" t="s">
        <v>344</v>
      </c>
      <c r="K230" s="736">
        <f t="shared" ref="K230:AG230" si="430">K228*K229/10^6</f>
        <v>0</v>
      </c>
      <c r="L230" s="737">
        <f t="shared" si="430"/>
        <v>0</v>
      </c>
      <c r="M230" s="737">
        <f t="shared" si="430"/>
        <v>0</v>
      </c>
      <c r="N230" s="738">
        <f t="shared" si="430"/>
        <v>0</v>
      </c>
      <c r="O230" s="1923">
        <f t="shared" si="430"/>
        <v>0</v>
      </c>
      <c r="P230" s="737">
        <f t="shared" si="430"/>
        <v>0</v>
      </c>
      <c r="Q230" s="737">
        <f t="shared" si="430"/>
        <v>0</v>
      </c>
      <c r="R230" s="737">
        <f t="shared" si="430"/>
        <v>0</v>
      </c>
      <c r="S230" s="737">
        <f t="shared" si="430"/>
        <v>0</v>
      </c>
      <c r="T230" s="1531">
        <f t="shared" si="430"/>
        <v>0</v>
      </c>
      <c r="U230" s="737">
        <f t="shared" si="430"/>
        <v>0</v>
      </c>
      <c r="V230" s="737">
        <f t="shared" si="430"/>
        <v>0</v>
      </c>
      <c r="W230" s="737">
        <f t="shared" si="430"/>
        <v>0</v>
      </c>
      <c r="X230" s="738">
        <f t="shared" si="430"/>
        <v>0</v>
      </c>
      <c r="Y230" s="737">
        <f t="shared" si="430"/>
        <v>0</v>
      </c>
      <c r="Z230" s="737">
        <f t="shared" si="430"/>
        <v>0</v>
      </c>
      <c r="AA230" s="737">
        <f t="shared" si="430"/>
        <v>0</v>
      </c>
      <c r="AB230" s="737">
        <f t="shared" si="430"/>
        <v>0</v>
      </c>
      <c r="AC230" s="738">
        <f t="shared" si="430"/>
        <v>0</v>
      </c>
      <c r="AD230" s="737">
        <f t="shared" si="430"/>
        <v>0</v>
      </c>
      <c r="AE230" s="737">
        <f t="shared" si="430"/>
        <v>0</v>
      </c>
      <c r="AF230" s="737">
        <f t="shared" si="430"/>
        <v>0</v>
      </c>
      <c r="AG230" s="739">
        <f t="shared" si="430"/>
        <v>0</v>
      </c>
      <c r="AH230" s="697"/>
      <c r="AI230" s="707"/>
      <c r="AJ230" s="709">
        <f t="shared" si="375"/>
        <v>0</v>
      </c>
      <c r="AK230" s="710">
        <f t="shared" si="376"/>
        <v>0</v>
      </c>
      <c r="AL230" s="710">
        <f t="shared" si="377"/>
        <v>0</v>
      </c>
      <c r="AM230" s="710">
        <f t="shared" si="378"/>
        <v>0</v>
      </c>
      <c r="AN230" s="710">
        <f t="shared" si="379"/>
        <v>0</v>
      </c>
      <c r="AO230" s="711">
        <f t="shared" si="380"/>
        <v>0</v>
      </c>
      <c r="AP230" s="707">
        <f t="shared" si="381"/>
        <v>0</v>
      </c>
      <c r="AQ230" s="707">
        <f t="shared" si="382"/>
        <v>0</v>
      </c>
      <c r="AR230" s="707">
        <f t="shared" si="383"/>
        <v>0</v>
      </c>
      <c r="AS230" s="712">
        <f t="shared" si="384"/>
        <v>0</v>
      </c>
      <c r="AV230" s="1559"/>
      <c r="AW230" s="1428" t="str">
        <f t="shared" si="332"/>
        <v>Rev</v>
      </c>
      <c r="AX230" s="1429" t="str">
        <f t="shared" si="332"/>
        <v>Water</v>
      </c>
      <c r="AY230" s="1430" t="str">
        <f t="shared" si="333"/>
        <v>Fixed</v>
      </c>
      <c r="AZ230" s="1431" t="str">
        <f t="shared" si="424"/>
        <v>-</v>
      </c>
      <c r="BA230" s="1431" t="str">
        <f t="shared" si="424"/>
        <v>-</v>
      </c>
      <c r="BB230" s="1431" t="str">
        <f t="shared" si="424"/>
        <v>-</v>
      </c>
      <c r="BC230" s="1431" t="str">
        <f t="shared" si="335"/>
        <v>-</v>
      </c>
      <c r="BD230" s="1431" t="str">
        <f t="shared" si="336"/>
        <v>-</v>
      </c>
      <c r="BE230" s="1431" t="str">
        <f t="shared" si="337"/>
        <v>-</v>
      </c>
      <c r="BF230" s="1431" t="str">
        <f t="shared" si="338"/>
        <v>-</v>
      </c>
      <c r="BG230" s="1432" t="str">
        <f t="shared" si="339"/>
        <v>-</v>
      </c>
      <c r="BH230" s="1431" t="str">
        <f t="shared" si="340"/>
        <v>-</v>
      </c>
      <c r="BI230" s="1431" t="str">
        <f t="shared" si="341"/>
        <v>-</v>
      </c>
      <c r="BJ230" s="1431" t="str">
        <f t="shared" si="342"/>
        <v>-</v>
      </c>
      <c r="BK230" s="1431" t="str">
        <f t="shared" si="343"/>
        <v>-</v>
      </c>
      <c r="BL230" s="1433" t="str">
        <f t="shared" si="344"/>
        <v>-</v>
      </c>
      <c r="BM230" s="1431" t="str">
        <f t="shared" si="345"/>
        <v>-</v>
      </c>
      <c r="BN230" s="1431" t="str">
        <f t="shared" si="346"/>
        <v>-</v>
      </c>
      <c r="BO230" s="1431" t="str">
        <f t="shared" si="347"/>
        <v>-</v>
      </c>
      <c r="BP230" s="1431" t="str">
        <f t="shared" si="348"/>
        <v>-</v>
      </c>
      <c r="BQ230" s="1434" t="str">
        <f t="shared" si="349"/>
        <v>-</v>
      </c>
      <c r="BR230" s="1378"/>
      <c r="BS230" s="1407"/>
      <c r="BT230" s="1408"/>
      <c r="BU230" s="1409"/>
      <c r="BV230" s="1410"/>
      <c r="BW230" s="1378"/>
      <c r="BX230" s="1428" t="str">
        <f t="shared" si="350"/>
        <v>Rev</v>
      </c>
      <c r="BY230" s="1429" t="str">
        <f t="shared" si="351"/>
        <v>Water</v>
      </c>
      <c r="BZ230" s="1430" t="str">
        <f t="shared" si="352"/>
        <v>Fixed</v>
      </c>
      <c r="CA230" s="1435" t="str">
        <f t="shared" ref="CA230:CR230" si="431">IFERROR((P230/O230-1)*(O230/O$13),"-")</f>
        <v>-</v>
      </c>
      <c r="CB230" s="1431" t="str">
        <f t="shared" si="431"/>
        <v>-</v>
      </c>
      <c r="CC230" s="1431" t="str">
        <f t="shared" si="431"/>
        <v>-</v>
      </c>
      <c r="CD230" s="1431" t="str">
        <f t="shared" si="431"/>
        <v>-</v>
      </c>
      <c r="CE230" s="1431" t="str">
        <f t="shared" si="431"/>
        <v>-</v>
      </c>
      <c r="CF230" s="1431" t="str">
        <f t="shared" si="431"/>
        <v>-</v>
      </c>
      <c r="CG230" s="1431" t="str">
        <f t="shared" si="431"/>
        <v>-</v>
      </c>
      <c r="CH230" s="1433" t="str">
        <f t="shared" si="431"/>
        <v>-</v>
      </c>
      <c r="CI230" s="1431" t="str">
        <f t="shared" si="431"/>
        <v>-</v>
      </c>
      <c r="CJ230" s="1431" t="str">
        <f t="shared" si="431"/>
        <v>-</v>
      </c>
      <c r="CK230" s="1431" t="str">
        <f t="shared" si="431"/>
        <v>-</v>
      </c>
      <c r="CL230" s="1431" t="str">
        <f t="shared" si="431"/>
        <v>-</v>
      </c>
      <c r="CM230" s="1433" t="str">
        <f t="shared" si="431"/>
        <v>-</v>
      </c>
      <c r="CN230" s="1431" t="str">
        <f t="shared" si="431"/>
        <v>-</v>
      </c>
      <c r="CO230" s="1431" t="str">
        <f t="shared" si="431"/>
        <v>-</v>
      </c>
      <c r="CP230" s="1431" t="str">
        <f t="shared" si="431"/>
        <v>-</v>
      </c>
      <c r="CQ230" s="1431" t="str">
        <f t="shared" si="431"/>
        <v>-</v>
      </c>
      <c r="CR230" s="1434" t="str">
        <f t="shared" si="431"/>
        <v>-</v>
      </c>
      <c r="CS230" s="1378"/>
      <c r="CT230" s="1428" t="str">
        <f t="shared" si="328"/>
        <v>Rev</v>
      </c>
      <c r="CU230" s="1429" t="str">
        <f t="shared" si="329"/>
        <v>Water</v>
      </c>
      <c r="CV230" s="1429" t="str">
        <f t="shared" si="330"/>
        <v>Fixed</v>
      </c>
      <c r="CW230" s="1435" t="str">
        <f t="shared" si="354"/>
        <v>-</v>
      </c>
      <c r="CX230" s="1431" t="str">
        <f t="shared" si="355"/>
        <v>-</v>
      </c>
      <c r="CY230" s="1431" t="str">
        <f t="shared" si="356"/>
        <v>-</v>
      </c>
      <c r="CZ230" s="1434" t="str">
        <f t="shared" si="357"/>
        <v>-</v>
      </c>
      <c r="DA230" s="1431" t="str">
        <f t="shared" si="358"/>
        <v>-</v>
      </c>
      <c r="DB230" s="1431" t="str">
        <f t="shared" si="359"/>
        <v>-</v>
      </c>
      <c r="DC230" s="1431" t="str">
        <f t="shared" si="360"/>
        <v>-</v>
      </c>
      <c r="DD230" s="1431" t="str">
        <f t="shared" si="361"/>
        <v>-</v>
      </c>
      <c r="DE230" s="1434" t="str">
        <f t="shared" si="362"/>
        <v>-</v>
      </c>
      <c r="DF230" s="1378"/>
      <c r="DG230" s="1428" t="str">
        <f t="shared" si="363"/>
        <v>Rev</v>
      </c>
      <c r="DH230" s="1429" t="str">
        <f t="shared" si="363"/>
        <v>Water</v>
      </c>
      <c r="DI230" s="1429" t="str">
        <f t="shared" si="363"/>
        <v>Fixed</v>
      </c>
      <c r="DJ230" s="1429"/>
      <c r="DK230" s="1435" t="str">
        <f t="shared" si="364"/>
        <v>-</v>
      </c>
      <c r="DL230" s="1431" t="str">
        <f t="shared" si="365"/>
        <v>-</v>
      </c>
      <c r="DM230" s="1431" t="str">
        <f t="shared" si="366"/>
        <v>-</v>
      </c>
      <c r="DN230" s="1433" t="str">
        <f t="shared" si="367"/>
        <v>-</v>
      </c>
      <c r="DO230" s="1431" t="str">
        <f t="shared" si="368"/>
        <v>-</v>
      </c>
      <c r="DP230" s="1431" t="str">
        <f t="shared" si="369"/>
        <v>-</v>
      </c>
      <c r="DQ230" s="1431" t="str">
        <f t="shared" si="370"/>
        <v>-</v>
      </c>
      <c r="DR230" s="1434" t="str">
        <f t="shared" si="371"/>
        <v>-</v>
      </c>
    </row>
    <row r="231" spans="4:122">
      <c r="D231" s="70">
        <f>D228+1</f>
        <v>56</v>
      </c>
      <c r="E231" s="713" t="s">
        <v>44</v>
      </c>
      <c r="F231" s="1532" t="s">
        <v>20</v>
      </c>
      <c r="G231" s="1532" t="s">
        <v>918</v>
      </c>
      <c r="H231" s="1532"/>
      <c r="I231" s="781" t="s">
        <v>319</v>
      </c>
      <c r="J231" s="781" t="s">
        <v>345</v>
      </c>
      <c r="K231" s="1533"/>
      <c r="L231" s="1534"/>
      <c r="M231" s="1534"/>
      <c r="N231" s="1535"/>
      <c r="O231" s="2071"/>
      <c r="P231" s="1547"/>
      <c r="Q231" s="1547"/>
      <c r="R231" s="1547"/>
      <c r="S231" s="1547"/>
      <c r="T231" s="1547"/>
      <c r="U231" s="1547"/>
      <c r="V231" s="1547"/>
      <c r="W231" s="1547"/>
      <c r="X231" s="1550"/>
      <c r="Y231" s="1551"/>
      <c r="Z231" s="1551"/>
      <c r="AA231" s="1551"/>
      <c r="AB231" s="1551"/>
      <c r="AC231" s="1550"/>
      <c r="AD231" s="1551"/>
      <c r="AE231" s="1551"/>
      <c r="AF231" s="1551"/>
      <c r="AG231" s="1552"/>
      <c r="AH231" s="697"/>
      <c r="AI231" s="707"/>
      <c r="AJ231" s="709">
        <f t="shared" si="375"/>
        <v>0</v>
      </c>
      <c r="AK231" s="710">
        <f t="shared" si="376"/>
        <v>0</v>
      </c>
      <c r="AL231" s="710">
        <f t="shared" si="377"/>
        <v>0</v>
      </c>
      <c r="AM231" s="710">
        <f t="shared" si="378"/>
        <v>0</v>
      </c>
      <c r="AN231" s="710">
        <f t="shared" si="379"/>
        <v>0</v>
      </c>
      <c r="AO231" s="711">
        <f t="shared" si="380"/>
        <v>0</v>
      </c>
      <c r="AP231" s="707">
        <f t="shared" si="381"/>
        <v>0</v>
      </c>
      <c r="AQ231" s="707">
        <f t="shared" si="382"/>
        <v>0</v>
      </c>
      <c r="AR231" s="707">
        <f t="shared" si="383"/>
        <v>0</v>
      </c>
      <c r="AS231" s="712">
        <f t="shared" si="384"/>
        <v>0</v>
      </c>
      <c r="AU231" s="1369"/>
      <c r="AV231" s="1559"/>
      <c r="AW231" s="1412" t="str">
        <f t="shared" si="332"/>
        <v>Price</v>
      </c>
      <c r="AX231" s="1413" t="str">
        <f t="shared" si="332"/>
        <v>Water</v>
      </c>
      <c r="AY231" s="1414" t="str">
        <f t="shared" si="333"/>
        <v>Fixed</v>
      </c>
      <c r="AZ231" s="1415" t="str">
        <f t="shared" si="424"/>
        <v>-</v>
      </c>
      <c r="BA231" s="1415" t="str">
        <f t="shared" si="424"/>
        <v>-</v>
      </c>
      <c r="BB231" s="1415" t="str">
        <f t="shared" si="424"/>
        <v>-</v>
      </c>
      <c r="BC231" s="1415" t="str">
        <f t="shared" si="335"/>
        <v>-</v>
      </c>
      <c r="BD231" s="1415" t="str">
        <f t="shared" si="336"/>
        <v>-</v>
      </c>
      <c r="BE231" s="1415" t="str">
        <f t="shared" si="337"/>
        <v>-</v>
      </c>
      <c r="BF231" s="1415" t="str">
        <f t="shared" si="338"/>
        <v>-</v>
      </c>
      <c r="BG231" s="1416" t="str">
        <f t="shared" si="339"/>
        <v>-</v>
      </c>
      <c r="BH231" s="1417" t="str">
        <f t="shared" si="340"/>
        <v>-</v>
      </c>
      <c r="BI231" s="1417" t="str">
        <f t="shared" si="341"/>
        <v>-</v>
      </c>
      <c r="BJ231" s="1417" t="str">
        <f t="shared" si="342"/>
        <v>-</v>
      </c>
      <c r="BK231" s="1417" t="str">
        <f t="shared" si="343"/>
        <v>-</v>
      </c>
      <c r="BL231" s="1418" t="str">
        <f t="shared" si="344"/>
        <v>-</v>
      </c>
      <c r="BM231" s="1417" t="str">
        <f t="shared" si="345"/>
        <v>-</v>
      </c>
      <c r="BN231" s="1417" t="str">
        <f t="shared" si="346"/>
        <v>-</v>
      </c>
      <c r="BO231" s="1417" t="str">
        <f t="shared" si="347"/>
        <v>-</v>
      </c>
      <c r="BP231" s="1417" t="str">
        <f t="shared" si="348"/>
        <v>-</v>
      </c>
      <c r="BQ231" s="1419" t="str">
        <f t="shared" si="349"/>
        <v>-</v>
      </c>
      <c r="BR231" s="1378"/>
      <c r="BS231" s="1420"/>
      <c r="BT231" s="1421"/>
      <c r="BU231" s="1422"/>
      <c r="BV231" s="1423"/>
      <c r="BW231" s="1378"/>
      <c r="BX231" s="1412" t="str">
        <f t="shared" si="350"/>
        <v>Price</v>
      </c>
      <c r="BY231" s="1413" t="str">
        <f t="shared" si="351"/>
        <v>Water</v>
      </c>
      <c r="BZ231" s="1414" t="str">
        <f t="shared" si="352"/>
        <v>Fixed</v>
      </c>
      <c r="CA231" s="1424" t="str">
        <f t="shared" ref="CA231:CR231" si="432">IFERROR((P231/O231-1)*(O233/O$13),"-")</f>
        <v>-</v>
      </c>
      <c r="CB231" s="1415" t="str">
        <f t="shared" si="432"/>
        <v>-</v>
      </c>
      <c r="CC231" s="1415" t="str">
        <f t="shared" si="432"/>
        <v>-</v>
      </c>
      <c r="CD231" s="1415" t="str">
        <f t="shared" si="432"/>
        <v>-</v>
      </c>
      <c r="CE231" s="1415" t="str">
        <f t="shared" si="432"/>
        <v>-</v>
      </c>
      <c r="CF231" s="1415" t="str">
        <f t="shared" si="432"/>
        <v>-</v>
      </c>
      <c r="CG231" s="1415" t="str">
        <f t="shared" si="432"/>
        <v>-</v>
      </c>
      <c r="CH231" s="1425" t="str">
        <f t="shared" si="432"/>
        <v>-</v>
      </c>
      <c r="CI231" s="1417" t="str">
        <f t="shared" si="432"/>
        <v>-</v>
      </c>
      <c r="CJ231" s="1417" t="str">
        <f t="shared" si="432"/>
        <v>-</v>
      </c>
      <c r="CK231" s="1417" t="str">
        <f t="shared" si="432"/>
        <v>-</v>
      </c>
      <c r="CL231" s="1417" t="str">
        <f t="shared" si="432"/>
        <v>-</v>
      </c>
      <c r="CM231" s="1418" t="str">
        <f t="shared" si="432"/>
        <v>-</v>
      </c>
      <c r="CN231" s="1417" t="str">
        <f t="shared" si="432"/>
        <v>-</v>
      </c>
      <c r="CO231" s="1417" t="str">
        <f t="shared" si="432"/>
        <v>-</v>
      </c>
      <c r="CP231" s="1417" t="str">
        <f t="shared" si="432"/>
        <v>-</v>
      </c>
      <c r="CQ231" s="1417" t="str">
        <f t="shared" si="432"/>
        <v>-</v>
      </c>
      <c r="CR231" s="1419" t="str">
        <f t="shared" si="432"/>
        <v>-</v>
      </c>
      <c r="CS231" s="1378"/>
      <c r="CT231" s="1412" t="str">
        <f t="shared" si="328"/>
        <v>Price</v>
      </c>
      <c r="CU231" s="1413" t="str">
        <f t="shared" si="329"/>
        <v>Water</v>
      </c>
      <c r="CV231" s="1426" t="str">
        <f t="shared" si="330"/>
        <v>Fixed</v>
      </c>
      <c r="CW231" s="1427" t="str">
        <f t="shared" si="354"/>
        <v>-</v>
      </c>
      <c r="CX231" s="1417" t="str">
        <f t="shared" si="355"/>
        <v>-</v>
      </c>
      <c r="CY231" s="1417" t="str">
        <f t="shared" si="356"/>
        <v>-</v>
      </c>
      <c r="CZ231" s="1419" t="str">
        <f t="shared" si="357"/>
        <v>-</v>
      </c>
      <c r="DA231" s="1417" t="str">
        <f t="shared" si="358"/>
        <v>-</v>
      </c>
      <c r="DB231" s="1417" t="str">
        <f t="shared" si="359"/>
        <v>-</v>
      </c>
      <c r="DC231" s="1417" t="str">
        <f t="shared" si="360"/>
        <v>-</v>
      </c>
      <c r="DD231" s="1417" t="str">
        <f t="shared" si="361"/>
        <v>-</v>
      </c>
      <c r="DE231" s="1419" t="str">
        <f t="shared" si="362"/>
        <v>-</v>
      </c>
      <c r="DF231" s="1378"/>
      <c r="DG231" s="1412" t="str">
        <f t="shared" si="363"/>
        <v>Price</v>
      </c>
      <c r="DH231" s="1413" t="str">
        <f t="shared" si="363"/>
        <v>Water</v>
      </c>
      <c r="DI231" s="1426" t="str">
        <f t="shared" si="363"/>
        <v>Fixed</v>
      </c>
      <c r="DJ231" s="1426"/>
      <c r="DK231" s="1427" t="str">
        <f t="shared" si="364"/>
        <v>-</v>
      </c>
      <c r="DL231" s="1417" t="str">
        <f t="shared" si="365"/>
        <v>-</v>
      </c>
      <c r="DM231" s="1417" t="str">
        <f t="shared" si="366"/>
        <v>-</v>
      </c>
      <c r="DN231" s="1418" t="str">
        <f t="shared" si="367"/>
        <v>-</v>
      </c>
      <c r="DO231" s="1417" t="str">
        <f t="shared" si="368"/>
        <v>-</v>
      </c>
      <c r="DP231" s="1417" t="str">
        <f t="shared" si="369"/>
        <v>-</v>
      </c>
      <c r="DQ231" s="1417" t="str">
        <f t="shared" si="370"/>
        <v>-</v>
      </c>
      <c r="DR231" s="1419" t="str">
        <f t="shared" si="371"/>
        <v>-</v>
      </c>
    </row>
    <row r="232" spans="4:122">
      <c r="E232" s="742" t="s">
        <v>45</v>
      </c>
      <c r="F232" s="722" t="str">
        <f>+F231</f>
        <v>Water</v>
      </c>
      <c r="G232" s="723" t="str">
        <f>+G231</f>
        <v>Cat B - Non Potable Fixed Charge 20mm</v>
      </c>
      <c r="H232" s="723">
        <f>+H231</f>
        <v>0</v>
      </c>
      <c r="I232" s="724" t="str">
        <f>+I231</f>
        <v>Fixed</v>
      </c>
      <c r="J232" s="782" t="s">
        <v>323</v>
      </c>
      <c r="K232" s="1540"/>
      <c r="L232" s="1541"/>
      <c r="M232" s="1541"/>
      <c r="N232" s="1542"/>
      <c r="O232" s="2031"/>
      <c r="P232" s="1543"/>
      <c r="Q232" s="1543"/>
      <c r="R232" s="1543"/>
      <c r="S232" s="1543"/>
      <c r="T232" s="1543"/>
      <c r="U232" s="1543"/>
      <c r="V232" s="1543"/>
      <c r="W232" s="1543"/>
      <c r="X232" s="1544"/>
      <c r="Y232" s="1543"/>
      <c r="Z232" s="1543"/>
      <c r="AA232" s="1543"/>
      <c r="AB232" s="1543"/>
      <c r="AC232" s="1544"/>
      <c r="AD232" s="1543"/>
      <c r="AE232" s="1543"/>
      <c r="AF232" s="1543"/>
      <c r="AG232" s="788"/>
      <c r="AH232" s="697"/>
      <c r="AI232" s="707"/>
      <c r="AJ232" s="709">
        <f t="shared" si="375"/>
        <v>0</v>
      </c>
      <c r="AK232" s="710">
        <f t="shared" si="376"/>
        <v>0</v>
      </c>
      <c r="AL232" s="710">
        <f t="shared" si="377"/>
        <v>0</v>
      </c>
      <c r="AM232" s="710">
        <f t="shared" si="378"/>
        <v>0</v>
      </c>
      <c r="AN232" s="710">
        <f t="shared" si="379"/>
        <v>0</v>
      </c>
      <c r="AO232" s="711">
        <f t="shared" si="380"/>
        <v>0</v>
      </c>
      <c r="AP232" s="707">
        <f t="shared" si="381"/>
        <v>0</v>
      </c>
      <c r="AQ232" s="707">
        <f t="shared" si="382"/>
        <v>0</v>
      </c>
      <c r="AR232" s="707">
        <f t="shared" si="383"/>
        <v>0</v>
      </c>
      <c r="AS232" s="712">
        <f t="shared" si="384"/>
        <v>0</v>
      </c>
      <c r="AV232" s="1559"/>
      <c r="AW232" s="1392" t="str">
        <f t="shared" si="332"/>
        <v>Qty</v>
      </c>
      <c r="AX232" s="1393" t="str">
        <f t="shared" si="332"/>
        <v>Water</v>
      </c>
      <c r="AY232" s="1394" t="str">
        <f t="shared" si="333"/>
        <v>Fixed</v>
      </c>
      <c r="AZ232" s="1395" t="str">
        <f t="shared" si="424"/>
        <v>-</v>
      </c>
      <c r="BA232" s="1395" t="str">
        <f t="shared" si="424"/>
        <v>-</v>
      </c>
      <c r="BB232" s="1395" t="str">
        <f t="shared" si="424"/>
        <v>-</v>
      </c>
      <c r="BC232" s="1395" t="str">
        <f t="shared" si="335"/>
        <v>-</v>
      </c>
      <c r="BD232" s="1395" t="str">
        <f t="shared" si="336"/>
        <v>-</v>
      </c>
      <c r="BE232" s="1395" t="str">
        <f t="shared" si="337"/>
        <v>-</v>
      </c>
      <c r="BF232" s="1395" t="str">
        <f t="shared" si="338"/>
        <v>-</v>
      </c>
      <c r="BG232" s="1396" t="str">
        <f t="shared" si="339"/>
        <v>-</v>
      </c>
      <c r="BH232" s="1395" t="str">
        <f t="shared" si="340"/>
        <v>-</v>
      </c>
      <c r="BI232" s="1395" t="str">
        <f t="shared" si="341"/>
        <v>-</v>
      </c>
      <c r="BJ232" s="1395" t="str">
        <f t="shared" si="342"/>
        <v>-</v>
      </c>
      <c r="BK232" s="1395" t="str">
        <f t="shared" si="343"/>
        <v>-</v>
      </c>
      <c r="BL232" s="1397" t="str">
        <f t="shared" si="344"/>
        <v>-</v>
      </c>
      <c r="BM232" s="1395" t="str">
        <f t="shared" si="345"/>
        <v>-</v>
      </c>
      <c r="BN232" s="1395" t="str">
        <f t="shared" si="346"/>
        <v>-</v>
      </c>
      <c r="BO232" s="1395" t="str">
        <f t="shared" si="347"/>
        <v>-</v>
      </c>
      <c r="BP232" s="1395" t="str">
        <f t="shared" si="348"/>
        <v>-</v>
      </c>
      <c r="BQ232" s="1398" t="str">
        <f t="shared" si="349"/>
        <v>-</v>
      </c>
      <c r="BR232" s="1378"/>
      <c r="BS232" s="1329"/>
      <c r="BT232" s="1399"/>
      <c r="BU232" s="1331"/>
      <c r="BV232" s="1400"/>
      <c r="BW232" s="1378"/>
      <c r="BX232" s="1392" t="str">
        <f t="shared" si="350"/>
        <v>Qty</v>
      </c>
      <c r="BY232" s="1393" t="str">
        <f t="shared" si="351"/>
        <v>Water</v>
      </c>
      <c r="BZ232" s="1394" t="str">
        <f t="shared" si="352"/>
        <v>Fixed</v>
      </c>
      <c r="CA232" s="1401" t="str">
        <f t="shared" ref="CA232:CR232" si="433">IFERROR((P232/O232-1)*(O233/O$13),"-")</f>
        <v>-</v>
      </c>
      <c r="CB232" s="1395" t="str">
        <f t="shared" si="433"/>
        <v>-</v>
      </c>
      <c r="CC232" s="1395" t="str">
        <f t="shared" si="433"/>
        <v>-</v>
      </c>
      <c r="CD232" s="1395" t="str">
        <f t="shared" si="433"/>
        <v>-</v>
      </c>
      <c r="CE232" s="1395" t="str">
        <f t="shared" si="433"/>
        <v>-</v>
      </c>
      <c r="CF232" s="1395" t="str">
        <f t="shared" si="433"/>
        <v>-</v>
      </c>
      <c r="CG232" s="1395" t="str">
        <f t="shared" si="433"/>
        <v>-</v>
      </c>
      <c r="CH232" s="1397" t="str">
        <f t="shared" si="433"/>
        <v>-</v>
      </c>
      <c r="CI232" s="1395" t="str">
        <f t="shared" si="433"/>
        <v>-</v>
      </c>
      <c r="CJ232" s="1395" t="str">
        <f t="shared" si="433"/>
        <v>-</v>
      </c>
      <c r="CK232" s="1395" t="str">
        <f t="shared" si="433"/>
        <v>-</v>
      </c>
      <c r="CL232" s="1395" t="str">
        <f t="shared" si="433"/>
        <v>-</v>
      </c>
      <c r="CM232" s="1397" t="str">
        <f t="shared" si="433"/>
        <v>-</v>
      </c>
      <c r="CN232" s="1395" t="str">
        <f t="shared" si="433"/>
        <v>-</v>
      </c>
      <c r="CO232" s="1395" t="str">
        <f t="shared" si="433"/>
        <v>-</v>
      </c>
      <c r="CP232" s="1395" t="str">
        <f t="shared" si="433"/>
        <v>-</v>
      </c>
      <c r="CQ232" s="1395" t="str">
        <f t="shared" si="433"/>
        <v>-</v>
      </c>
      <c r="CR232" s="1398" t="str">
        <f t="shared" si="433"/>
        <v>-</v>
      </c>
      <c r="CS232" s="1378"/>
      <c r="CT232" s="1392" t="str">
        <f t="shared" si="328"/>
        <v>Qty</v>
      </c>
      <c r="CU232" s="1393" t="str">
        <f t="shared" si="329"/>
        <v>Water</v>
      </c>
      <c r="CV232" s="1393" t="str">
        <f t="shared" si="330"/>
        <v>Fixed</v>
      </c>
      <c r="CW232" s="1401" t="str">
        <f t="shared" si="354"/>
        <v>-</v>
      </c>
      <c r="CX232" s="1395" t="str">
        <f t="shared" si="355"/>
        <v>-</v>
      </c>
      <c r="CY232" s="1395" t="str">
        <f t="shared" si="356"/>
        <v>-</v>
      </c>
      <c r="CZ232" s="1398" t="str">
        <f t="shared" si="357"/>
        <v>-</v>
      </c>
      <c r="DA232" s="1395" t="str">
        <f t="shared" si="358"/>
        <v>-</v>
      </c>
      <c r="DB232" s="1395" t="str">
        <f t="shared" si="359"/>
        <v>-</v>
      </c>
      <c r="DC232" s="1395" t="str">
        <f t="shared" si="360"/>
        <v>-</v>
      </c>
      <c r="DD232" s="1395" t="str">
        <f t="shared" si="361"/>
        <v>-</v>
      </c>
      <c r="DE232" s="1398" t="str">
        <f t="shared" si="362"/>
        <v>-</v>
      </c>
      <c r="DF232" s="1378"/>
      <c r="DG232" s="1392" t="str">
        <f t="shared" si="363"/>
        <v>Qty</v>
      </c>
      <c r="DH232" s="1393" t="str">
        <f t="shared" si="363"/>
        <v>Water</v>
      </c>
      <c r="DI232" s="1393" t="str">
        <f t="shared" si="363"/>
        <v>Fixed</v>
      </c>
      <c r="DJ232" s="1393"/>
      <c r="DK232" s="1401" t="str">
        <f t="shared" si="364"/>
        <v>-</v>
      </c>
      <c r="DL232" s="1395" t="str">
        <f t="shared" si="365"/>
        <v>-</v>
      </c>
      <c r="DM232" s="1395" t="str">
        <f t="shared" si="366"/>
        <v>-</v>
      </c>
      <c r="DN232" s="1397" t="str">
        <f t="shared" si="367"/>
        <v>-</v>
      </c>
      <c r="DO232" s="1395" t="str">
        <f t="shared" si="368"/>
        <v>-</v>
      </c>
      <c r="DP232" s="1395" t="str">
        <f t="shared" si="369"/>
        <v>-</v>
      </c>
      <c r="DQ232" s="1395" t="str">
        <f t="shared" si="370"/>
        <v>-</v>
      </c>
      <c r="DR232" s="1398" t="str">
        <f t="shared" si="371"/>
        <v>-</v>
      </c>
    </row>
    <row r="233" spans="4:122" ht="12.75" thickBot="1">
      <c r="E233" s="743" t="s">
        <v>46</v>
      </c>
      <c r="F233" s="732" t="str">
        <f>+F231</f>
        <v>Water</v>
      </c>
      <c r="G233" s="733" t="str">
        <f>+G231</f>
        <v>Cat B - Non Potable Fixed Charge 20mm</v>
      </c>
      <c r="H233" s="733">
        <f>+H231</f>
        <v>0</v>
      </c>
      <c r="I233" s="734" t="str">
        <f>+I231</f>
        <v>Fixed</v>
      </c>
      <c r="J233" s="735" t="s">
        <v>344</v>
      </c>
      <c r="K233" s="736">
        <f t="shared" ref="K233:AG233" si="434">K231*K232/10^6</f>
        <v>0</v>
      </c>
      <c r="L233" s="737">
        <f t="shared" si="434"/>
        <v>0</v>
      </c>
      <c r="M233" s="737">
        <f t="shared" si="434"/>
        <v>0</v>
      </c>
      <c r="N233" s="738">
        <f t="shared" si="434"/>
        <v>0</v>
      </c>
      <c r="O233" s="1923">
        <f t="shared" si="434"/>
        <v>0</v>
      </c>
      <c r="P233" s="737">
        <f t="shared" si="434"/>
        <v>0</v>
      </c>
      <c r="Q233" s="737">
        <f t="shared" si="434"/>
        <v>0</v>
      </c>
      <c r="R233" s="737">
        <f t="shared" si="434"/>
        <v>0</v>
      </c>
      <c r="S233" s="737">
        <f t="shared" si="434"/>
        <v>0</v>
      </c>
      <c r="T233" s="1531">
        <f t="shared" si="434"/>
        <v>0</v>
      </c>
      <c r="U233" s="737">
        <f t="shared" si="434"/>
        <v>0</v>
      </c>
      <c r="V233" s="737">
        <f t="shared" si="434"/>
        <v>0</v>
      </c>
      <c r="W233" s="737">
        <f t="shared" si="434"/>
        <v>0</v>
      </c>
      <c r="X233" s="738">
        <f t="shared" si="434"/>
        <v>0</v>
      </c>
      <c r="Y233" s="737">
        <f t="shared" si="434"/>
        <v>0</v>
      </c>
      <c r="Z233" s="737">
        <f t="shared" si="434"/>
        <v>0</v>
      </c>
      <c r="AA233" s="737">
        <f t="shared" si="434"/>
        <v>0</v>
      </c>
      <c r="AB233" s="737">
        <f t="shared" si="434"/>
        <v>0</v>
      </c>
      <c r="AC233" s="738">
        <f t="shared" si="434"/>
        <v>0</v>
      </c>
      <c r="AD233" s="737">
        <f t="shared" si="434"/>
        <v>0</v>
      </c>
      <c r="AE233" s="737">
        <f t="shared" si="434"/>
        <v>0</v>
      </c>
      <c r="AF233" s="737">
        <f t="shared" si="434"/>
        <v>0</v>
      </c>
      <c r="AG233" s="739">
        <f t="shared" si="434"/>
        <v>0</v>
      </c>
      <c r="AH233" s="697"/>
      <c r="AI233" s="707"/>
      <c r="AJ233" s="709">
        <f t="shared" si="375"/>
        <v>0</v>
      </c>
      <c r="AK233" s="710">
        <f t="shared" si="376"/>
        <v>0</v>
      </c>
      <c r="AL233" s="710">
        <f t="shared" si="377"/>
        <v>0</v>
      </c>
      <c r="AM233" s="710">
        <f t="shared" si="378"/>
        <v>0</v>
      </c>
      <c r="AN233" s="710">
        <f t="shared" si="379"/>
        <v>0</v>
      </c>
      <c r="AO233" s="711">
        <f t="shared" si="380"/>
        <v>0</v>
      </c>
      <c r="AP233" s="707">
        <f t="shared" si="381"/>
        <v>0</v>
      </c>
      <c r="AQ233" s="707">
        <f t="shared" si="382"/>
        <v>0</v>
      </c>
      <c r="AR233" s="707">
        <f t="shared" si="383"/>
        <v>0</v>
      </c>
      <c r="AS233" s="712">
        <f t="shared" si="384"/>
        <v>0</v>
      </c>
      <c r="AV233" s="1559"/>
      <c r="AW233" s="1428" t="str">
        <f t="shared" si="332"/>
        <v>Rev</v>
      </c>
      <c r="AX233" s="1429" t="str">
        <f t="shared" si="332"/>
        <v>Water</v>
      </c>
      <c r="AY233" s="1430" t="str">
        <f t="shared" si="333"/>
        <v>Fixed</v>
      </c>
      <c r="AZ233" s="1431" t="str">
        <f t="shared" si="424"/>
        <v>-</v>
      </c>
      <c r="BA233" s="1431" t="str">
        <f t="shared" si="424"/>
        <v>-</v>
      </c>
      <c r="BB233" s="1431" t="str">
        <f t="shared" si="424"/>
        <v>-</v>
      </c>
      <c r="BC233" s="1431" t="str">
        <f t="shared" si="335"/>
        <v>-</v>
      </c>
      <c r="BD233" s="1431" t="str">
        <f t="shared" si="336"/>
        <v>-</v>
      </c>
      <c r="BE233" s="1431" t="str">
        <f t="shared" si="337"/>
        <v>-</v>
      </c>
      <c r="BF233" s="1431" t="str">
        <f t="shared" si="338"/>
        <v>-</v>
      </c>
      <c r="BG233" s="1432" t="str">
        <f t="shared" si="339"/>
        <v>-</v>
      </c>
      <c r="BH233" s="1431" t="str">
        <f t="shared" si="340"/>
        <v>-</v>
      </c>
      <c r="BI233" s="1431" t="str">
        <f t="shared" si="341"/>
        <v>-</v>
      </c>
      <c r="BJ233" s="1431" t="str">
        <f t="shared" si="342"/>
        <v>-</v>
      </c>
      <c r="BK233" s="1431" t="str">
        <f t="shared" si="343"/>
        <v>-</v>
      </c>
      <c r="BL233" s="1433" t="str">
        <f t="shared" si="344"/>
        <v>-</v>
      </c>
      <c r="BM233" s="1431" t="str">
        <f t="shared" si="345"/>
        <v>-</v>
      </c>
      <c r="BN233" s="1431" t="str">
        <f t="shared" si="346"/>
        <v>-</v>
      </c>
      <c r="BO233" s="1431" t="str">
        <f t="shared" si="347"/>
        <v>-</v>
      </c>
      <c r="BP233" s="1431" t="str">
        <f t="shared" si="348"/>
        <v>-</v>
      </c>
      <c r="BQ233" s="1434" t="str">
        <f t="shared" si="349"/>
        <v>-</v>
      </c>
      <c r="BR233" s="1378"/>
      <c r="BS233" s="1407"/>
      <c r="BT233" s="1408"/>
      <c r="BU233" s="1409"/>
      <c r="BV233" s="1410"/>
      <c r="BW233" s="1378"/>
      <c r="BX233" s="1428" t="str">
        <f t="shared" si="350"/>
        <v>Rev</v>
      </c>
      <c r="BY233" s="1429" t="str">
        <f t="shared" si="351"/>
        <v>Water</v>
      </c>
      <c r="BZ233" s="1430" t="str">
        <f t="shared" si="352"/>
        <v>Fixed</v>
      </c>
      <c r="CA233" s="1435" t="str">
        <f t="shared" ref="CA233:CR233" si="435">IFERROR((P233/O233-1)*(O233/O$13),"-")</f>
        <v>-</v>
      </c>
      <c r="CB233" s="1431" t="str">
        <f t="shared" si="435"/>
        <v>-</v>
      </c>
      <c r="CC233" s="1431" t="str">
        <f t="shared" si="435"/>
        <v>-</v>
      </c>
      <c r="CD233" s="1431" t="str">
        <f t="shared" si="435"/>
        <v>-</v>
      </c>
      <c r="CE233" s="1431" t="str">
        <f t="shared" si="435"/>
        <v>-</v>
      </c>
      <c r="CF233" s="1431" t="str">
        <f t="shared" si="435"/>
        <v>-</v>
      </c>
      <c r="CG233" s="1431" t="str">
        <f t="shared" si="435"/>
        <v>-</v>
      </c>
      <c r="CH233" s="1433" t="str">
        <f t="shared" si="435"/>
        <v>-</v>
      </c>
      <c r="CI233" s="1431" t="str">
        <f t="shared" si="435"/>
        <v>-</v>
      </c>
      <c r="CJ233" s="1431" t="str">
        <f t="shared" si="435"/>
        <v>-</v>
      </c>
      <c r="CK233" s="1431" t="str">
        <f t="shared" si="435"/>
        <v>-</v>
      </c>
      <c r="CL233" s="1431" t="str">
        <f t="shared" si="435"/>
        <v>-</v>
      </c>
      <c r="CM233" s="1433" t="str">
        <f t="shared" si="435"/>
        <v>-</v>
      </c>
      <c r="CN233" s="1431" t="str">
        <f t="shared" si="435"/>
        <v>-</v>
      </c>
      <c r="CO233" s="1431" t="str">
        <f t="shared" si="435"/>
        <v>-</v>
      </c>
      <c r="CP233" s="1431" t="str">
        <f t="shared" si="435"/>
        <v>-</v>
      </c>
      <c r="CQ233" s="1431" t="str">
        <f t="shared" si="435"/>
        <v>-</v>
      </c>
      <c r="CR233" s="1434" t="str">
        <f t="shared" si="435"/>
        <v>-</v>
      </c>
      <c r="CS233" s="1378"/>
      <c r="CT233" s="1428" t="str">
        <f t="shared" si="328"/>
        <v>Rev</v>
      </c>
      <c r="CU233" s="1429" t="str">
        <f t="shared" si="329"/>
        <v>Water</v>
      </c>
      <c r="CV233" s="1429" t="str">
        <f t="shared" si="330"/>
        <v>Fixed</v>
      </c>
      <c r="CW233" s="1435" t="str">
        <f t="shared" si="354"/>
        <v>-</v>
      </c>
      <c r="CX233" s="1431" t="str">
        <f t="shared" si="355"/>
        <v>-</v>
      </c>
      <c r="CY233" s="1431" t="str">
        <f t="shared" si="356"/>
        <v>-</v>
      </c>
      <c r="CZ233" s="1434" t="str">
        <f t="shared" si="357"/>
        <v>-</v>
      </c>
      <c r="DA233" s="1431" t="str">
        <f t="shared" si="358"/>
        <v>-</v>
      </c>
      <c r="DB233" s="1431" t="str">
        <f t="shared" si="359"/>
        <v>-</v>
      </c>
      <c r="DC233" s="1431" t="str">
        <f t="shared" si="360"/>
        <v>-</v>
      </c>
      <c r="DD233" s="1431" t="str">
        <f t="shared" si="361"/>
        <v>-</v>
      </c>
      <c r="DE233" s="1434" t="str">
        <f t="shared" si="362"/>
        <v>-</v>
      </c>
      <c r="DF233" s="1378"/>
      <c r="DG233" s="1428" t="str">
        <f t="shared" si="363"/>
        <v>Rev</v>
      </c>
      <c r="DH233" s="1429" t="str">
        <f t="shared" si="363"/>
        <v>Water</v>
      </c>
      <c r="DI233" s="1429" t="str">
        <f t="shared" si="363"/>
        <v>Fixed</v>
      </c>
      <c r="DJ233" s="1429"/>
      <c r="DK233" s="1435" t="str">
        <f t="shared" si="364"/>
        <v>-</v>
      </c>
      <c r="DL233" s="1431" t="str">
        <f t="shared" si="365"/>
        <v>-</v>
      </c>
      <c r="DM233" s="1431" t="str">
        <f t="shared" si="366"/>
        <v>-</v>
      </c>
      <c r="DN233" s="1433" t="str">
        <f t="shared" si="367"/>
        <v>-</v>
      </c>
      <c r="DO233" s="1431" t="str">
        <f t="shared" si="368"/>
        <v>-</v>
      </c>
      <c r="DP233" s="1431" t="str">
        <f t="shared" si="369"/>
        <v>-</v>
      </c>
      <c r="DQ233" s="1431" t="str">
        <f t="shared" si="370"/>
        <v>-</v>
      </c>
      <c r="DR233" s="1434" t="str">
        <f t="shared" si="371"/>
        <v>-</v>
      </c>
    </row>
    <row r="234" spans="4:122">
      <c r="D234" s="70">
        <f>D231+1</f>
        <v>57</v>
      </c>
      <c r="E234" s="713" t="s">
        <v>44</v>
      </c>
      <c r="F234" s="1532" t="s">
        <v>20</v>
      </c>
      <c r="G234" s="1532" t="s">
        <v>919</v>
      </c>
      <c r="H234" s="1532"/>
      <c r="I234" s="781" t="s">
        <v>319</v>
      </c>
      <c r="J234" s="781" t="s">
        <v>345</v>
      </c>
      <c r="K234" s="1533"/>
      <c r="L234" s="1534"/>
      <c r="M234" s="1534"/>
      <c r="N234" s="1535"/>
      <c r="O234" s="2071"/>
      <c r="P234" s="1547"/>
      <c r="Q234" s="1547"/>
      <c r="R234" s="1547"/>
      <c r="S234" s="1547"/>
      <c r="T234" s="1547"/>
      <c r="U234" s="1547"/>
      <c r="V234" s="1547"/>
      <c r="W234" s="1547"/>
      <c r="X234" s="1550"/>
      <c r="Y234" s="1551"/>
      <c r="Z234" s="1551"/>
      <c r="AA234" s="1551"/>
      <c r="AB234" s="1551"/>
      <c r="AC234" s="1550"/>
      <c r="AD234" s="1551"/>
      <c r="AE234" s="1551"/>
      <c r="AF234" s="1551"/>
      <c r="AG234" s="1552"/>
      <c r="AH234" s="697"/>
      <c r="AI234" s="707"/>
      <c r="AJ234" s="709">
        <f t="shared" si="375"/>
        <v>0</v>
      </c>
      <c r="AK234" s="710">
        <f t="shared" si="376"/>
        <v>0</v>
      </c>
      <c r="AL234" s="710">
        <f t="shared" si="377"/>
        <v>0</v>
      </c>
      <c r="AM234" s="710">
        <f t="shared" si="378"/>
        <v>0</v>
      </c>
      <c r="AN234" s="710">
        <f t="shared" si="379"/>
        <v>0</v>
      </c>
      <c r="AO234" s="711">
        <f t="shared" si="380"/>
        <v>0</v>
      </c>
      <c r="AP234" s="707">
        <f t="shared" si="381"/>
        <v>0</v>
      </c>
      <c r="AQ234" s="707">
        <f t="shared" si="382"/>
        <v>0</v>
      </c>
      <c r="AR234" s="707">
        <f t="shared" si="383"/>
        <v>0</v>
      </c>
      <c r="AS234" s="712">
        <f t="shared" si="384"/>
        <v>0</v>
      </c>
      <c r="AU234" s="1369"/>
      <c r="AV234" s="1559"/>
      <c r="AW234" s="1412" t="str">
        <f t="shared" si="332"/>
        <v>Price</v>
      </c>
      <c r="AX234" s="1413" t="str">
        <f t="shared" si="332"/>
        <v>Water</v>
      </c>
      <c r="AY234" s="1414" t="str">
        <f t="shared" si="333"/>
        <v>Fixed</v>
      </c>
      <c r="AZ234" s="1415" t="str">
        <f t="shared" si="424"/>
        <v>-</v>
      </c>
      <c r="BA234" s="1415" t="str">
        <f t="shared" si="424"/>
        <v>-</v>
      </c>
      <c r="BB234" s="1415" t="str">
        <f t="shared" si="424"/>
        <v>-</v>
      </c>
      <c r="BC234" s="1415" t="str">
        <f t="shared" si="335"/>
        <v>-</v>
      </c>
      <c r="BD234" s="1415" t="str">
        <f t="shared" si="336"/>
        <v>-</v>
      </c>
      <c r="BE234" s="1415" t="str">
        <f t="shared" si="337"/>
        <v>-</v>
      </c>
      <c r="BF234" s="1415" t="str">
        <f t="shared" si="338"/>
        <v>-</v>
      </c>
      <c r="BG234" s="1416" t="str">
        <f t="shared" si="339"/>
        <v>-</v>
      </c>
      <c r="BH234" s="1417" t="str">
        <f t="shared" si="340"/>
        <v>-</v>
      </c>
      <c r="BI234" s="1417" t="str">
        <f t="shared" si="341"/>
        <v>-</v>
      </c>
      <c r="BJ234" s="1417" t="str">
        <f t="shared" si="342"/>
        <v>-</v>
      </c>
      <c r="BK234" s="1417" t="str">
        <f t="shared" si="343"/>
        <v>-</v>
      </c>
      <c r="BL234" s="1418" t="str">
        <f t="shared" si="344"/>
        <v>-</v>
      </c>
      <c r="BM234" s="1417" t="str">
        <f t="shared" si="345"/>
        <v>-</v>
      </c>
      <c r="BN234" s="1417" t="str">
        <f t="shared" si="346"/>
        <v>-</v>
      </c>
      <c r="BO234" s="1417" t="str">
        <f t="shared" si="347"/>
        <v>-</v>
      </c>
      <c r="BP234" s="1417" t="str">
        <f t="shared" si="348"/>
        <v>-</v>
      </c>
      <c r="BQ234" s="1419" t="str">
        <f t="shared" si="349"/>
        <v>-</v>
      </c>
      <c r="BR234" s="1378"/>
      <c r="BS234" s="1420"/>
      <c r="BT234" s="1421"/>
      <c r="BU234" s="1422"/>
      <c r="BV234" s="1423"/>
      <c r="BW234" s="1378"/>
      <c r="BX234" s="1412" t="str">
        <f t="shared" si="350"/>
        <v>Price</v>
      </c>
      <c r="BY234" s="1413" t="str">
        <f t="shared" si="351"/>
        <v>Water</v>
      </c>
      <c r="BZ234" s="1414" t="str">
        <f t="shared" si="352"/>
        <v>Fixed</v>
      </c>
      <c r="CA234" s="1424" t="str">
        <f t="shared" ref="CA234:CR234" si="436">IFERROR((P234/O234-1)*(O236/O$13),"-")</f>
        <v>-</v>
      </c>
      <c r="CB234" s="1415" t="str">
        <f t="shared" si="436"/>
        <v>-</v>
      </c>
      <c r="CC234" s="1415" t="str">
        <f t="shared" si="436"/>
        <v>-</v>
      </c>
      <c r="CD234" s="1415" t="str">
        <f t="shared" si="436"/>
        <v>-</v>
      </c>
      <c r="CE234" s="1415" t="str">
        <f t="shared" si="436"/>
        <v>-</v>
      </c>
      <c r="CF234" s="1415" t="str">
        <f t="shared" si="436"/>
        <v>-</v>
      </c>
      <c r="CG234" s="1415" t="str">
        <f t="shared" si="436"/>
        <v>-</v>
      </c>
      <c r="CH234" s="1425" t="str">
        <f t="shared" si="436"/>
        <v>-</v>
      </c>
      <c r="CI234" s="1417" t="str">
        <f t="shared" si="436"/>
        <v>-</v>
      </c>
      <c r="CJ234" s="1417" t="str">
        <f t="shared" si="436"/>
        <v>-</v>
      </c>
      <c r="CK234" s="1417" t="str">
        <f t="shared" si="436"/>
        <v>-</v>
      </c>
      <c r="CL234" s="1417" t="str">
        <f t="shared" si="436"/>
        <v>-</v>
      </c>
      <c r="CM234" s="1418" t="str">
        <f t="shared" si="436"/>
        <v>-</v>
      </c>
      <c r="CN234" s="1417" t="str">
        <f t="shared" si="436"/>
        <v>-</v>
      </c>
      <c r="CO234" s="1417" t="str">
        <f t="shared" si="436"/>
        <v>-</v>
      </c>
      <c r="CP234" s="1417" t="str">
        <f t="shared" si="436"/>
        <v>-</v>
      </c>
      <c r="CQ234" s="1417" t="str">
        <f t="shared" si="436"/>
        <v>-</v>
      </c>
      <c r="CR234" s="1419" t="str">
        <f t="shared" si="436"/>
        <v>-</v>
      </c>
      <c r="CS234" s="1378"/>
      <c r="CT234" s="1412" t="str">
        <f t="shared" si="328"/>
        <v>Price</v>
      </c>
      <c r="CU234" s="1413" t="str">
        <f t="shared" si="329"/>
        <v>Water</v>
      </c>
      <c r="CV234" s="1426" t="str">
        <f t="shared" si="330"/>
        <v>Fixed</v>
      </c>
      <c r="CW234" s="1427" t="str">
        <f t="shared" si="354"/>
        <v>-</v>
      </c>
      <c r="CX234" s="1417" t="str">
        <f t="shared" si="355"/>
        <v>-</v>
      </c>
      <c r="CY234" s="1417" t="str">
        <f t="shared" si="356"/>
        <v>-</v>
      </c>
      <c r="CZ234" s="1419" t="str">
        <f t="shared" si="357"/>
        <v>-</v>
      </c>
      <c r="DA234" s="1417" t="str">
        <f t="shared" si="358"/>
        <v>-</v>
      </c>
      <c r="DB234" s="1417" t="str">
        <f t="shared" si="359"/>
        <v>-</v>
      </c>
      <c r="DC234" s="1417" t="str">
        <f t="shared" si="360"/>
        <v>-</v>
      </c>
      <c r="DD234" s="1417" t="str">
        <f t="shared" si="361"/>
        <v>-</v>
      </c>
      <c r="DE234" s="1419" t="str">
        <f t="shared" si="362"/>
        <v>-</v>
      </c>
      <c r="DF234" s="1378"/>
      <c r="DG234" s="1412" t="str">
        <f t="shared" si="363"/>
        <v>Price</v>
      </c>
      <c r="DH234" s="1413" t="str">
        <f t="shared" si="363"/>
        <v>Water</v>
      </c>
      <c r="DI234" s="1426" t="str">
        <f t="shared" si="363"/>
        <v>Fixed</v>
      </c>
      <c r="DJ234" s="1426"/>
      <c r="DK234" s="1427" t="str">
        <f t="shared" si="364"/>
        <v>-</v>
      </c>
      <c r="DL234" s="1417" t="str">
        <f t="shared" si="365"/>
        <v>-</v>
      </c>
      <c r="DM234" s="1417" t="str">
        <f t="shared" si="366"/>
        <v>-</v>
      </c>
      <c r="DN234" s="1418" t="str">
        <f t="shared" si="367"/>
        <v>-</v>
      </c>
      <c r="DO234" s="1417" t="str">
        <f t="shared" si="368"/>
        <v>-</v>
      </c>
      <c r="DP234" s="1417" t="str">
        <f t="shared" si="369"/>
        <v>-</v>
      </c>
      <c r="DQ234" s="1417" t="str">
        <f t="shared" si="370"/>
        <v>-</v>
      </c>
      <c r="DR234" s="1419" t="str">
        <f t="shared" si="371"/>
        <v>-</v>
      </c>
    </row>
    <row r="235" spans="4:122">
      <c r="E235" s="742" t="s">
        <v>45</v>
      </c>
      <c r="F235" s="722" t="str">
        <f>+F234</f>
        <v>Water</v>
      </c>
      <c r="G235" s="723" t="str">
        <f>+G234</f>
        <v>Cat B - Non Potable Fixed Charge 25mm</v>
      </c>
      <c r="H235" s="723">
        <f>+H234</f>
        <v>0</v>
      </c>
      <c r="I235" s="724" t="str">
        <f>+I234</f>
        <v>Fixed</v>
      </c>
      <c r="J235" s="782" t="s">
        <v>323</v>
      </c>
      <c r="K235" s="1540"/>
      <c r="L235" s="1541"/>
      <c r="M235" s="1541"/>
      <c r="N235" s="1542"/>
      <c r="O235" s="2031"/>
      <c r="P235" s="1543"/>
      <c r="Q235" s="1543"/>
      <c r="R235" s="1543"/>
      <c r="S235" s="1543"/>
      <c r="T235" s="1543"/>
      <c r="U235" s="1543"/>
      <c r="V235" s="1543"/>
      <c r="W235" s="1543"/>
      <c r="X235" s="1544"/>
      <c r="Y235" s="1543"/>
      <c r="Z235" s="1543"/>
      <c r="AA235" s="1543"/>
      <c r="AB235" s="1543"/>
      <c r="AC235" s="1544"/>
      <c r="AD235" s="1543"/>
      <c r="AE235" s="1543"/>
      <c r="AF235" s="1543"/>
      <c r="AG235" s="1553"/>
      <c r="AH235" s="697"/>
      <c r="AI235" s="707"/>
      <c r="AJ235" s="709">
        <f t="shared" si="375"/>
        <v>0</v>
      </c>
      <c r="AK235" s="710">
        <f t="shared" si="376"/>
        <v>0</v>
      </c>
      <c r="AL235" s="710">
        <f t="shared" si="377"/>
        <v>0</v>
      </c>
      <c r="AM235" s="710">
        <f t="shared" si="378"/>
        <v>0</v>
      </c>
      <c r="AN235" s="710">
        <f t="shared" si="379"/>
        <v>0</v>
      </c>
      <c r="AO235" s="711">
        <f t="shared" si="380"/>
        <v>0</v>
      </c>
      <c r="AP235" s="707">
        <f t="shared" si="381"/>
        <v>0</v>
      </c>
      <c r="AQ235" s="707">
        <f t="shared" si="382"/>
        <v>0</v>
      </c>
      <c r="AR235" s="707">
        <f t="shared" si="383"/>
        <v>0</v>
      </c>
      <c r="AS235" s="712">
        <f t="shared" si="384"/>
        <v>0</v>
      </c>
      <c r="AV235" s="1559"/>
      <c r="AW235" s="1392" t="str">
        <f t="shared" si="332"/>
        <v>Qty</v>
      </c>
      <c r="AX235" s="1393" t="str">
        <f t="shared" si="332"/>
        <v>Water</v>
      </c>
      <c r="AY235" s="1394" t="str">
        <f t="shared" si="333"/>
        <v>Fixed</v>
      </c>
      <c r="AZ235" s="1395" t="str">
        <f t="shared" si="424"/>
        <v>-</v>
      </c>
      <c r="BA235" s="1395" t="str">
        <f t="shared" si="424"/>
        <v>-</v>
      </c>
      <c r="BB235" s="1395" t="str">
        <f t="shared" si="424"/>
        <v>-</v>
      </c>
      <c r="BC235" s="1395" t="str">
        <f t="shared" si="335"/>
        <v>-</v>
      </c>
      <c r="BD235" s="1395" t="str">
        <f t="shared" si="336"/>
        <v>-</v>
      </c>
      <c r="BE235" s="1395" t="str">
        <f t="shared" si="337"/>
        <v>-</v>
      </c>
      <c r="BF235" s="1395" t="str">
        <f t="shared" si="338"/>
        <v>-</v>
      </c>
      <c r="BG235" s="1396" t="str">
        <f t="shared" si="339"/>
        <v>-</v>
      </c>
      <c r="BH235" s="1395" t="str">
        <f t="shared" si="340"/>
        <v>-</v>
      </c>
      <c r="BI235" s="1395" t="str">
        <f t="shared" si="341"/>
        <v>-</v>
      </c>
      <c r="BJ235" s="1395" t="str">
        <f t="shared" si="342"/>
        <v>-</v>
      </c>
      <c r="BK235" s="1395" t="str">
        <f t="shared" si="343"/>
        <v>-</v>
      </c>
      <c r="BL235" s="1397" t="str">
        <f t="shared" si="344"/>
        <v>-</v>
      </c>
      <c r="BM235" s="1395" t="str">
        <f t="shared" si="345"/>
        <v>-</v>
      </c>
      <c r="BN235" s="1395" t="str">
        <f t="shared" si="346"/>
        <v>-</v>
      </c>
      <c r="BO235" s="1395" t="str">
        <f t="shared" si="347"/>
        <v>-</v>
      </c>
      <c r="BP235" s="1395" t="str">
        <f t="shared" si="348"/>
        <v>-</v>
      </c>
      <c r="BQ235" s="1398" t="str">
        <f t="shared" si="349"/>
        <v>-</v>
      </c>
      <c r="BR235" s="1378"/>
      <c r="BS235" s="1329"/>
      <c r="BT235" s="1399"/>
      <c r="BU235" s="1331"/>
      <c r="BV235" s="1400"/>
      <c r="BW235" s="1378"/>
      <c r="BX235" s="1392" t="str">
        <f t="shared" si="350"/>
        <v>Qty</v>
      </c>
      <c r="BY235" s="1393" t="str">
        <f t="shared" si="351"/>
        <v>Water</v>
      </c>
      <c r="BZ235" s="1394" t="str">
        <f t="shared" si="352"/>
        <v>Fixed</v>
      </c>
      <c r="CA235" s="1401" t="str">
        <f t="shared" ref="CA235:CR235" si="437">IFERROR((P235/O235-1)*(O236/O$13),"-")</f>
        <v>-</v>
      </c>
      <c r="CB235" s="1395" t="str">
        <f t="shared" si="437"/>
        <v>-</v>
      </c>
      <c r="CC235" s="1395" t="str">
        <f t="shared" si="437"/>
        <v>-</v>
      </c>
      <c r="CD235" s="1395" t="str">
        <f t="shared" si="437"/>
        <v>-</v>
      </c>
      <c r="CE235" s="1395" t="str">
        <f t="shared" si="437"/>
        <v>-</v>
      </c>
      <c r="CF235" s="1395" t="str">
        <f t="shared" si="437"/>
        <v>-</v>
      </c>
      <c r="CG235" s="1395" t="str">
        <f t="shared" si="437"/>
        <v>-</v>
      </c>
      <c r="CH235" s="1397" t="str">
        <f t="shared" si="437"/>
        <v>-</v>
      </c>
      <c r="CI235" s="1395" t="str">
        <f t="shared" si="437"/>
        <v>-</v>
      </c>
      <c r="CJ235" s="1395" t="str">
        <f t="shared" si="437"/>
        <v>-</v>
      </c>
      <c r="CK235" s="1395" t="str">
        <f t="shared" si="437"/>
        <v>-</v>
      </c>
      <c r="CL235" s="1395" t="str">
        <f t="shared" si="437"/>
        <v>-</v>
      </c>
      <c r="CM235" s="1397" t="str">
        <f t="shared" si="437"/>
        <v>-</v>
      </c>
      <c r="CN235" s="1395" t="str">
        <f t="shared" si="437"/>
        <v>-</v>
      </c>
      <c r="CO235" s="1395" t="str">
        <f t="shared" si="437"/>
        <v>-</v>
      </c>
      <c r="CP235" s="1395" t="str">
        <f t="shared" si="437"/>
        <v>-</v>
      </c>
      <c r="CQ235" s="1395" t="str">
        <f t="shared" si="437"/>
        <v>-</v>
      </c>
      <c r="CR235" s="1398" t="str">
        <f t="shared" si="437"/>
        <v>-</v>
      </c>
      <c r="CS235" s="1378"/>
      <c r="CT235" s="1392" t="str">
        <f t="shared" si="328"/>
        <v>Qty</v>
      </c>
      <c r="CU235" s="1393" t="str">
        <f t="shared" si="329"/>
        <v>Water</v>
      </c>
      <c r="CV235" s="1393" t="str">
        <f t="shared" si="330"/>
        <v>Fixed</v>
      </c>
      <c r="CW235" s="1401" t="str">
        <f t="shared" si="354"/>
        <v>-</v>
      </c>
      <c r="CX235" s="1395" t="str">
        <f t="shared" si="355"/>
        <v>-</v>
      </c>
      <c r="CY235" s="1395" t="str">
        <f t="shared" si="356"/>
        <v>-</v>
      </c>
      <c r="CZ235" s="1398" t="str">
        <f t="shared" si="357"/>
        <v>-</v>
      </c>
      <c r="DA235" s="1395" t="str">
        <f t="shared" si="358"/>
        <v>-</v>
      </c>
      <c r="DB235" s="1395" t="str">
        <f t="shared" si="359"/>
        <v>-</v>
      </c>
      <c r="DC235" s="1395" t="str">
        <f t="shared" si="360"/>
        <v>-</v>
      </c>
      <c r="DD235" s="1395" t="str">
        <f t="shared" si="361"/>
        <v>-</v>
      </c>
      <c r="DE235" s="1398" t="str">
        <f t="shared" si="362"/>
        <v>-</v>
      </c>
      <c r="DF235" s="1378"/>
      <c r="DG235" s="1392" t="str">
        <f t="shared" si="363"/>
        <v>Qty</v>
      </c>
      <c r="DH235" s="1393" t="str">
        <f t="shared" si="363"/>
        <v>Water</v>
      </c>
      <c r="DI235" s="1393" t="str">
        <f t="shared" si="363"/>
        <v>Fixed</v>
      </c>
      <c r="DJ235" s="1393"/>
      <c r="DK235" s="1401" t="str">
        <f t="shared" si="364"/>
        <v>-</v>
      </c>
      <c r="DL235" s="1395" t="str">
        <f t="shared" si="365"/>
        <v>-</v>
      </c>
      <c r="DM235" s="1395" t="str">
        <f t="shared" si="366"/>
        <v>-</v>
      </c>
      <c r="DN235" s="1397" t="str">
        <f t="shared" si="367"/>
        <v>-</v>
      </c>
      <c r="DO235" s="1395" t="str">
        <f t="shared" si="368"/>
        <v>-</v>
      </c>
      <c r="DP235" s="1395" t="str">
        <f t="shared" si="369"/>
        <v>-</v>
      </c>
      <c r="DQ235" s="1395" t="str">
        <f t="shared" si="370"/>
        <v>-</v>
      </c>
      <c r="DR235" s="1398" t="str">
        <f t="shared" si="371"/>
        <v>-</v>
      </c>
    </row>
    <row r="236" spans="4:122" ht="12.75" thickBot="1">
      <c r="E236" s="743" t="s">
        <v>46</v>
      </c>
      <c r="F236" s="732" t="str">
        <f>+F234</f>
        <v>Water</v>
      </c>
      <c r="G236" s="733" t="str">
        <f>+G234</f>
        <v>Cat B - Non Potable Fixed Charge 25mm</v>
      </c>
      <c r="H236" s="733">
        <f>+H234</f>
        <v>0</v>
      </c>
      <c r="I236" s="734" t="str">
        <f>+I234</f>
        <v>Fixed</v>
      </c>
      <c r="J236" s="735" t="s">
        <v>344</v>
      </c>
      <c r="K236" s="736">
        <f t="shared" ref="K236:AG236" si="438">K234*K235/10^6</f>
        <v>0</v>
      </c>
      <c r="L236" s="737">
        <f t="shared" si="438"/>
        <v>0</v>
      </c>
      <c r="M236" s="737">
        <f t="shared" si="438"/>
        <v>0</v>
      </c>
      <c r="N236" s="738">
        <f t="shared" si="438"/>
        <v>0</v>
      </c>
      <c r="O236" s="1923">
        <f t="shared" si="438"/>
        <v>0</v>
      </c>
      <c r="P236" s="737">
        <f t="shared" si="438"/>
        <v>0</v>
      </c>
      <c r="Q236" s="737">
        <f t="shared" si="438"/>
        <v>0</v>
      </c>
      <c r="R236" s="737">
        <f t="shared" si="438"/>
        <v>0</v>
      </c>
      <c r="S236" s="737">
        <f t="shared" si="438"/>
        <v>0</v>
      </c>
      <c r="T236" s="1531">
        <f t="shared" si="438"/>
        <v>0</v>
      </c>
      <c r="U236" s="737">
        <f t="shared" si="438"/>
        <v>0</v>
      </c>
      <c r="V236" s="737">
        <f t="shared" si="438"/>
        <v>0</v>
      </c>
      <c r="W236" s="737">
        <f t="shared" si="438"/>
        <v>0</v>
      </c>
      <c r="X236" s="738">
        <f t="shared" si="438"/>
        <v>0</v>
      </c>
      <c r="Y236" s="737">
        <f t="shared" si="438"/>
        <v>0</v>
      </c>
      <c r="Z236" s="737">
        <f t="shared" si="438"/>
        <v>0</v>
      </c>
      <c r="AA236" s="737">
        <f t="shared" si="438"/>
        <v>0</v>
      </c>
      <c r="AB236" s="737">
        <f t="shared" si="438"/>
        <v>0</v>
      </c>
      <c r="AC236" s="738">
        <f t="shared" si="438"/>
        <v>0</v>
      </c>
      <c r="AD236" s="737">
        <f t="shared" si="438"/>
        <v>0</v>
      </c>
      <c r="AE236" s="737">
        <f t="shared" si="438"/>
        <v>0</v>
      </c>
      <c r="AF236" s="737">
        <f t="shared" si="438"/>
        <v>0</v>
      </c>
      <c r="AG236" s="739">
        <f t="shared" si="438"/>
        <v>0</v>
      </c>
      <c r="AH236" s="697"/>
      <c r="AI236" s="707"/>
      <c r="AJ236" s="709">
        <f t="shared" si="375"/>
        <v>0</v>
      </c>
      <c r="AK236" s="710">
        <f t="shared" si="376"/>
        <v>0</v>
      </c>
      <c r="AL236" s="710">
        <f t="shared" si="377"/>
        <v>0</v>
      </c>
      <c r="AM236" s="710">
        <f t="shared" si="378"/>
        <v>0</v>
      </c>
      <c r="AN236" s="710">
        <f t="shared" si="379"/>
        <v>0</v>
      </c>
      <c r="AO236" s="711">
        <f t="shared" si="380"/>
        <v>0</v>
      </c>
      <c r="AP236" s="707">
        <f t="shared" si="381"/>
        <v>0</v>
      </c>
      <c r="AQ236" s="707">
        <f t="shared" si="382"/>
        <v>0</v>
      </c>
      <c r="AR236" s="707">
        <f t="shared" si="383"/>
        <v>0</v>
      </c>
      <c r="AS236" s="712">
        <f t="shared" si="384"/>
        <v>0</v>
      </c>
      <c r="AV236" s="1559"/>
      <c r="AW236" s="1428" t="str">
        <f t="shared" si="332"/>
        <v>Rev</v>
      </c>
      <c r="AX236" s="1429" t="str">
        <f t="shared" si="332"/>
        <v>Water</v>
      </c>
      <c r="AY236" s="1430" t="str">
        <f t="shared" si="333"/>
        <v>Fixed</v>
      </c>
      <c r="AZ236" s="1431" t="str">
        <f t="shared" si="424"/>
        <v>-</v>
      </c>
      <c r="BA236" s="1431" t="str">
        <f t="shared" si="424"/>
        <v>-</v>
      </c>
      <c r="BB236" s="1431" t="str">
        <f t="shared" si="424"/>
        <v>-</v>
      </c>
      <c r="BC236" s="1431" t="str">
        <f t="shared" si="335"/>
        <v>-</v>
      </c>
      <c r="BD236" s="1431" t="str">
        <f t="shared" si="336"/>
        <v>-</v>
      </c>
      <c r="BE236" s="1431" t="str">
        <f t="shared" si="337"/>
        <v>-</v>
      </c>
      <c r="BF236" s="1431" t="str">
        <f t="shared" si="338"/>
        <v>-</v>
      </c>
      <c r="BG236" s="1432" t="str">
        <f t="shared" si="339"/>
        <v>-</v>
      </c>
      <c r="BH236" s="1431" t="str">
        <f t="shared" si="340"/>
        <v>-</v>
      </c>
      <c r="BI236" s="1431" t="str">
        <f t="shared" si="341"/>
        <v>-</v>
      </c>
      <c r="BJ236" s="1431" t="str">
        <f t="shared" si="342"/>
        <v>-</v>
      </c>
      <c r="BK236" s="1431" t="str">
        <f t="shared" si="343"/>
        <v>-</v>
      </c>
      <c r="BL236" s="1433" t="str">
        <f t="shared" si="344"/>
        <v>-</v>
      </c>
      <c r="BM236" s="1431" t="str">
        <f t="shared" si="345"/>
        <v>-</v>
      </c>
      <c r="BN236" s="1431" t="str">
        <f t="shared" si="346"/>
        <v>-</v>
      </c>
      <c r="BO236" s="1431" t="str">
        <f t="shared" si="347"/>
        <v>-</v>
      </c>
      <c r="BP236" s="1431" t="str">
        <f t="shared" si="348"/>
        <v>-</v>
      </c>
      <c r="BQ236" s="1434" t="str">
        <f t="shared" si="349"/>
        <v>-</v>
      </c>
      <c r="BR236" s="1378"/>
      <c r="BS236" s="1407"/>
      <c r="BT236" s="1408"/>
      <c r="BU236" s="1409"/>
      <c r="BV236" s="1410"/>
      <c r="BW236" s="1378"/>
      <c r="BX236" s="1428" t="str">
        <f t="shared" si="350"/>
        <v>Rev</v>
      </c>
      <c r="BY236" s="1429" t="str">
        <f t="shared" si="351"/>
        <v>Water</v>
      </c>
      <c r="BZ236" s="1430" t="str">
        <f t="shared" si="352"/>
        <v>Fixed</v>
      </c>
      <c r="CA236" s="1435" t="str">
        <f t="shared" ref="CA236:CR236" si="439">IFERROR((P236/O236-1)*(O236/O$13),"-")</f>
        <v>-</v>
      </c>
      <c r="CB236" s="1431" t="str">
        <f t="shared" si="439"/>
        <v>-</v>
      </c>
      <c r="CC236" s="1431" t="str">
        <f t="shared" si="439"/>
        <v>-</v>
      </c>
      <c r="CD236" s="1431" t="str">
        <f t="shared" si="439"/>
        <v>-</v>
      </c>
      <c r="CE236" s="1431" t="str">
        <f t="shared" si="439"/>
        <v>-</v>
      </c>
      <c r="CF236" s="1431" t="str">
        <f t="shared" si="439"/>
        <v>-</v>
      </c>
      <c r="CG236" s="1431" t="str">
        <f t="shared" si="439"/>
        <v>-</v>
      </c>
      <c r="CH236" s="1433" t="str">
        <f t="shared" si="439"/>
        <v>-</v>
      </c>
      <c r="CI236" s="1431" t="str">
        <f t="shared" si="439"/>
        <v>-</v>
      </c>
      <c r="CJ236" s="1431" t="str">
        <f t="shared" si="439"/>
        <v>-</v>
      </c>
      <c r="CK236" s="1431" t="str">
        <f t="shared" si="439"/>
        <v>-</v>
      </c>
      <c r="CL236" s="1431" t="str">
        <f t="shared" si="439"/>
        <v>-</v>
      </c>
      <c r="CM236" s="1433" t="str">
        <f t="shared" si="439"/>
        <v>-</v>
      </c>
      <c r="CN236" s="1431" t="str">
        <f t="shared" si="439"/>
        <v>-</v>
      </c>
      <c r="CO236" s="1431" t="str">
        <f t="shared" si="439"/>
        <v>-</v>
      </c>
      <c r="CP236" s="1431" t="str">
        <f t="shared" si="439"/>
        <v>-</v>
      </c>
      <c r="CQ236" s="1431" t="str">
        <f t="shared" si="439"/>
        <v>-</v>
      </c>
      <c r="CR236" s="1434" t="str">
        <f t="shared" si="439"/>
        <v>-</v>
      </c>
      <c r="CS236" s="1378"/>
      <c r="CT236" s="1428" t="str">
        <f t="shared" si="328"/>
        <v>Rev</v>
      </c>
      <c r="CU236" s="1429" t="str">
        <f t="shared" si="329"/>
        <v>Water</v>
      </c>
      <c r="CV236" s="1429" t="str">
        <f t="shared" si="330"/>
        <v>Fixed</v>
      </c>
      <c r="CW236" s="1435" t="str">
        <f t="shared" si="354"/>
        <v>-</v>
      </c>
      <c r="CX236" s="1431" t="str">
        <f t="shared" si="355"/>
        <v>-</v>
      </c>
      <c r="CY236" s="1431" t="str">
        <f t="shared" si="356"/>
        <v>-</v>
      </c>
      <c r="CZ236" s="1434" t="str">
        <f t="shared" si="357"/>
        <v>-</v>
      </c>
      <c r="DA236" s="1431" t="str">
        <f t="shared" si="358"/>
        <v>-</v>
      </c>
      <c r="DB236" s="1431" t="str">
        <f t="shared" si="359"/>
        <v>-</v>
      </c>
      <c r="DC236" s="1431" t="str">
        <f t="shared" si="360"/>
        <v>-</v>
      </c>
      <c r="DD236" s="1431" t="str">
        <f t="shared" si="361"/>
        <v>-</v>
      </c>
      <c r="DE236" s="1434" t="str">
        <f t="shared" si="362"/>
        <v>-</v>
      </c>
      <c r="DF236" s="1378"/>
      <c r="DG236" s="1428" t="str">
        <f t="shared" si="363"/>
        <v>Rev</v>
      </c>
      <c r="DH236" s="1429" t="str">
        <f t="shared" si="363"/>
        <v>Water</v>
      </c>
      <c r="DI236" s="1429" t="str">
        <f t="shared" si="363"/>
        <v>Fixed</v>
      </c>
      <c r="DJ236" s="1429"/>
      <c r="DK236" s="1435" t="str">
        <f t="shared" si="364"/>
        <v>-</v>
      </c>
      <c r="DL236" s="1431" t="str">
        <f t="shared" si="365"/>
        <v>-</v>
      </c>
      <c r="DM236" s="1431" t="str">
        <f t="shared" si="366"/>
        <v>-</v>
      </c>
      <c r="DN236" s="1433" t="str">
        <f t="shared" si="367"/>
        <v>-</v>
      </c>
      <c r="DO236" s="1431" t="str">
        <f t="shared" si="368"/>
        <v>-</v>
      </c>
      <c r="DP236" s="1431" t="str">
        <f t="shared" si="369"/>
        <v>-</v>
      </c>
      <c r="DQ236" s="1431" t="str">
        <f t="shared" si="370"/>
        <v>-</v>
      </c>
      <c r="DR236" s="1434" t="str">
        <f t="shared" si="371"/>
        <v>-</v>
      </c>
    </row>
    <row r="237" spans="4:122">
      <c r="D237" s="70">
        <f>D234+1</f>
        <v>58</v>
      </c>
      <c r="E237" s="713" t="s">
        <v>44</v>
      </c>
      <c r="F237" s="1532" t="s">
        <v>20</v>
      </c>
      <c r="G237" s="1532" t="s">
        <v>920</v>
      </c>
      <c r="H237" s="1532"/>
      <c r="I237" s="781" t="s">
        <v>319</v>
      </c>
      <c r="J237" s="781" t="s">
        <v>345</v>
      </c>
      <c r="K237" s="1533"/>
      <c r="L237" s="1534"/>
      <c r="M237" s="1534"/>
      <c r="N237" s="1535"/>
      <c r="O237" s="2071"/>
      <c r="P237" s="1547"/>
      <c r="Q237" s="1547"/>
      <c r="R237" s="1547"/>
      <c r="S237" s="1547"/>
      <c r="T237" s="1547"/>
      <c r="U237" s="1547"/>
      <c r="V237" s="1547"/>
      <c r="W237" s="1547"/>
      <c r="X237" s="1550"/>
      <c r="Y237" s="1551"/>
      <c r="Z237" s="1551"/>
      <c r="AA237" s="1551"/>
      <c r="AB237" s="1551"/>
      <c r="AC237" s="1550"/>
      <c r="AD237" s="1551"/>
      <c r="AE237" s="1551"/>
      <c r="AF237" s="1551"/>
      <c r="AG237" s="1552"/>
      <c r="AH237" s="697"/>
      <c r="AI237" s="707"/>
      <c r="AJ237" s="709">
        <f t="shared" si="375"/>
        <v>0</v>
      </c>
      <c r="AK237" s="710">
        <f t="shared" si="376"/>
        <v>0</v>
      </c>
      <c r="AL237" s="710">
        <f t="shared" si="377"/>
        <v>0</v>
      </c>
      <c r="AM237" s="710">
        <f t="shared" si="378"/>
        <v>0</v>
      </c>
      <c r="AN237" s="710">
        <f t="shared" si="379"/>
        <v>0</v>
      </c>
      <c r="AO237" s="711">
        <f t="shared" si="380"/>
        <v>0</v>
      </c>
      <c r="AP237" s="707">
        <f t="shared" si="381"/>
        <v>0</v>
      </c>
      <c r="AQ237" s="707">
        <f t="shared" si="382"/>
        <v>0</v>
      </c>
      <c r="AR237" s="707">
        <f t="shared" si="383"/>
        <v>0</v>
      </c>
      <c r="AS237" s="712">
        <f t="shared" si="384"/>
        <v>0</v>
      </c>
      <c r="AU237" s="1369"/>
      <c r="AV237" s="1559"/>
      <c r="AW237" s="1412" t="str">
        <f t="shared" si="332"/>
        <v>Price</v>
      </c>
      <c r="AX237" s="1413" t="str">
        <f t="shared" si="332"/>
        <v>Water</v>
      </c>
      <c r="AY237" s="1414" t="str">
        <f t="shared" si="333"/>
        <v>Fixed</v>
      </c>
      <c r="AZ237" s="1415" t="str">
        <f t="shared" si="424"/>
        <v>-</v>
      </c>
      <c r="BA237" s="1415" t="str">
        <f t="shared" si="424"/>
        <v>-</v>
      </c>
      <c r="BB237" s="1415" t="str">
        <f t="shared" si="424"/>
        <v>-</v>
      </c>
      <c r="BC237" s="1415" t="str">
        <f t="shared" si="335"/>
        <v>-</v>
      </c>
      <c r="BD237" s="1415" t="str">
        <f t="shared" si="336"/>
        <v>-</v>
      </c>
      <c r="BE237" s="1415" t="str">
        <f t="shared" si="337"/>
        <v>-</v>
      </c>
      <c r="BF237" s="1415" t="str">
        <f t="shared" si="338"/>
        <v>-</v>
      </c>
      <c r="BG237" s="1416" t="str">
        <f t="shared" si="339"/>
        <v>-</v>
      </c>
      <c r="BH237" s="1417" t="str">
        <f t="shared" si="340"/>
        <v>-</v>
      </c>
      <c r="BI237" s="1417" t="str">
        <f t="shared" si="341"/>
        <v>-</v>
      </c>
      <c r="BJ237" s="1417" t="str">
        <f t="shared" si="342"/>
        <v>-</v>
      </c>
      <c r="BK237" s="1417" t="str">
        <f t="shared" si="343"/>
        <v>-</v>
      </c>
      <c r="BL237" s="1418" t="str">
        <f t="shared" si="344"/>
        <v>-</v>
      </c>
      <c r="BM237" s="1417" t="str">
        <f t="shared" si="345"/>
        <v>-</v>
      </c>
      <c r="BN237" s="1417" t="str">
        <f t="shared" si="346"/>
        <v>-</v>
      </c>
      <c r="BO237" s="1417" t="str">
        <f t="shared" si="347"/>
        <v>-</v>
      </c>
      <c r="BP237" s="1417" t="str">
        <f t="shared" si="348"/>
        <v>-</v>
      </c>
      <c r="BQ237" s="1419" t="str">
        <f t="shared" si="349"/>
        <v>-</v>
      </c>
      <c r="BR237" s="1378"/>
      <c r="BS237" s="1420"/>
      <c r="BT237" s="1421"/>
      <c r="BU237" s="1422"/>
      <c r="BV237" s="1423"/>
      <c r="BW237" s="1378"/>
      <c r="BX237" s="1412" t="str">
        <f t="shared" si="350"/>
        <v>Price</v>
      </c>
      <c r="BY237" s="1413" t="str">
        <f t="shared" si="351"/>
        <v>Water</v>
      </c>
      <c r="BZ237" s="1414" t="str">
        <f t="shared" si="352"/>
        <v>Fixed</v>
      </c>
      <c r="CA237" s="1424" t="str">
        <f t="shared" ref="CA237:CR237" si="440">IFERROR((P237/O237-1)*(O239/O$13),"-")</f>
        <v>-</v>
      </c>
      <c r="CB237" s="1415" t="str">
        <f t="shared" si="440"/>
        <v>-</v>
      </c>
      <c r="CC237" s="1415" t="str">
        <f t="shared" si="440"/>
        <v>-</v>
      </c>
      <c r="CD237" s="1415" t="str">
        <f t="shared" si="440"/>
        <v>-</v>
      </c>
      <c r="CE237" s="1415" t="str">
        <f t="shared" si="440"/>
        <v>-</v>
      </c>
      <c r="CF237" s="1415" t="str">
        <f t="shared" si="440"/>
        <v>-</v>
      </c>
      <c r="CG237" s="1415" t="str">
        <f t="shared" si="440"/>
        <v>-</v>
      </c>
      <c r="CH237" s="1425" t="str">
        <f t="shared" si="440"/>
        <v>-</v>
      </c>
      <c r="CI237" s="1417" t="str">
        <f t="shared" si="440"/>
        <v>-</v>
      </c>
      <c r="CJ237" s="1417" t="str">
        <f t="shared" si="440"/>
        <v>-</v>
      </c>
      <c r="CK237" s="1417" t="str">
        <f t="shared" si="440"/>
        <v>-</v>
      </c>
      <c r="CL237" s="1417" t="str">
        <f t="shared" si="440"/>
        <v>-</v>
      </c>
      <c r="CM237" s="1418" t="str">
        <f t="shared" si="440"/>
        <v>-</v>
      </c>
      <c r="CN237" s="1417" t="str">
        <f t="shared" si="440"/>
        <v>-</v>
      </c>
      <c r="CO237" s="1417" t="str">
        <f t="shared" si="440"/>
        <v>-</v>
      </c>
      <c r="CP237" s="1417" t="str">
        <f t="shared" si="440"/>
        <v>-</v>
      </c>
      <c r="CQ237" s="1417" t="str">
        <f t="shared" si="440"/>
        <v>-</v>
      </c>
      <c r="CR237" s="1419" t="str">
        <f t="shared" si="440"/>
        <v>-</v>
      </c>
      <c r="CS237" s="1378"/>
      <c r="CT237" s="1412" t="str">
        <f t="shared" si="328"/>
        <v>Price</v>
      </c>
      <c r="CU237" s="1413" t="str">
        <f t="shared" si="329"/>
        <v>Water</v>
      </c>
      <c r="CV237" s="1426" t="str">
        <f t="shared" si="330"/>
        <v>Fixed</v>
      </c>
      <c r="CW237" s="1427" t="str">
        <f t="shared" si="354"/>
        <v>-</v>
      </c>
      <c r="CX237" s="1417" t="str">
        <f t="shared" si="355"/>
        <v>-</v>
      </c>
      <c r="CY237" s="1417" t="str">
        <f t="shared" si="356"/>
        <v>-</v>
      </c>
      <c r="CZ237" s="1419" t="str">
        <f t="shared" si="357"/>
        <v>-</v>
      </c>
      <c r="DA237" s="1417" t="str">
        <f t="shared" si="358"/>
        <v>-</v>
      </c>
      <c r="DB237" s="1417" t="str">
        <f t="shared" si="359"/>
        <v>-</v>
      </c>
      <c r="DC237" s="1417" t="str">
        <f t="shared" si="360"/>
        <v>-</v>
      </c>
      <c r="DD237" s="1417" t="str">
        <f t="shared" si="361"/>
        <v>-</v>
      </c>
      <c r="DE237" s="1419" t="str">
        <f t="shared" si="362"/>
        <v>-</v>
      </c>
      <c r="DF237" s="1378"/>
      <c r="DG237" s="1412" t="str">
        <f t="shared" si="363"/>
        <v>Price</v>
      </c>
      <c r="DH237" s="1413" t="str">
        <f t="shared" si="363"/>
        <v>Water</v>
      </c>
      <c r="DI237" s="1426" t="str">
        <f t="shared" si="363"/>
        <v>Fixed</v>
      </c>
      <c r="DJ237" s="1426"/>
      <c r="DK237" s="1427" t="str">
        <f t="shared" si="364"/>
        <v>-</v>
      </c>
      <c r="DL237" s="1417" t="str">
        <f t="shared" si="365"/>
        <v>-</v>
      </c>
      <c r="DM237" s="1417" t="str">
        <f t="shared" si="366"/>
        <v>-</v>
      </c>
      <c r="DN237" s="1418" t="str">
        <f t="shared" si="367"/>
        <v>-</v>
      </c>
      <c r="DO237" s="1417" t="str">
        <f t="shared" si="368"/>
        <v>-</v>
      </c>
      <c r="DP237" s="1417" t="str">
        <f t="shared" si="369"/>
        <v>-</v>
      </c>
      <c r="DQ237" s="1417" t="str">
        <f t="shared" si="370"/>
        <v>-</v>
      </c>
      <c r="DR237" s="1419" t="str">
        <f t="shared" si="371"/>
        <v>-</v>
      </c>
    </row>
    <row r="238" spans="4:122">
      <c r="E238" s="742" t="s">
        <v>45</v>
      </c>
      <c r="F238" s="722" t="str">
        <f>+F237</f>
        <v>Water</v>
      </c>
      <c r="G238" s="723" t="str">
        <f>+G237</f>
        <v>Cat B - Non Potable Fixed Charge 32mm</v>
      </c>
      <c r="H238" s="723">
        <f>+H237</f>
        <v>0</v>
      </c>
      <c r="I238" s="724" t="str">
        <f>+I237</f>
        <v>Fixed</v>
      </c>
      <c r="J238" s="782" t="s">
        <v>323</v>
      </c>
      <c r="K238" s="1540"/>
      <c r="L238" s="1541"/>
      <c r="M238" s="1541"/>
      <c r="N238" s="1542"/>
      <c r="O238" s="2031"/>
      <c r="P238" s="1543"/>
      <c r="Q238" s="1543"/>
      <c r="R238" s="1543"/>
      <c r="S238" s="1543"/>
      <c r="T238" s="1543"/>
      <c r="U238" s="1543"/>
      <c r="V238" s="1543"/>
      <c r="W238" s="1543"/>
      <c r="X238" s="1544"/>
      <c r="Y238" s="1543"/>
      <c r="Z238" s="1543"/>
      <c r="AA238" s="1543"/>
      <c r="AB238" s="1543"/>
      <c r="AC238" s="1544"/>
      <c r="AD238" s="1543"/>
      <c r="AE238" s="1543"/>
      <c r="AF238" s="1543"/>
      <c r="AG238" s="1553"/>
      <c r="AH238" s="697"/>
      <c r="AI238" s="707"/>
      <c r="AJ238" s="709">
        <f t="shared" si="375"/>
        <v>0</v>
      </c>
      <c r="AK238" s="710">
        <f t="shared" si="376"/>
        <v>0</v>
      </c>
      <c r="AL238" s="710">
        <f t="shared" si="377"/>
        <v>0</v>
      </c>
      <c r="AM238" s="710">
        <f t="shared" si="378"/>
        <v>0</v>
      </c>
      <c r="AN238" s="710">
        <f t="shared" si="379"/>
        <v>0</v>
      </c>
      <c r="AO238" s="711">
        <f t="shared" si="380"/>
        <v>0</v>
      </c>
      <c r="AP238" s="707">
        <f t="shared" si="381"/>
        <v>0</v>
      </c>
      <c r="AQ238" s="707">
        <f t="shared" si="382"/>
        <v>0</v>
      </c>
      <c r="AR238" s="707">
        <f t="shared" si="383"/>
        <v>0</v>
      </c>
      <c r="AS238" s="712">
        <f t="shared" si="384"/>
        <v>0</v>
      </c>
      <c r="AV238" s="1559"/>
      <c r="AW238" s="1392" t="str">
        <f t="shared" si="332"/>
        <v>Qty</v>
      </c>
      <c r="AX238" s="1393" t="str">
        <f t="shared" si="332"/>
        <v>Water</v>
      </c>
      <c r="AY238" s="1394" t="str">
        <f t="shared" si="333"/>
        <v>Fixed</v>
      </c>
      <c r="AZ238" s="1395" t="str">
        <f t="shared" si="424"/>
        <v>-</v>
      </c>
      <c r="BA238" s="1395" t="str">
        <f t="shared" si="424"/>
        <v>-</v>
      </c>
      <c r="BB238" s="1395" t="str">
        <f t="shared" si="424"/>
        <v>-</v>
      </c>
      <c r="BC238" s="1395" t="str">
        <f t="shared" si="335"/>
        <v>-</v>
      </c>
      <c r="BD238" s="1395" t="str">
        <f t="shared" si="336"/>
        <v>-</v>
      </c>
      <c r="BE238" s="1395" t="str">
        <f t="shared" si="337"/>
        <v>-</v>
      </c>
      <c r="BF238" s="1395" t="str">
        <f t="shared" si="338"/>
        <v>-</v>
      </c>
      <c r="BG238" s="1396" t="str">
        <f t="shared" si="339"/>
        <v>-</v>
      </c>
      <c r="BH238" s="1395" t="str">
        <f t="shared" si="340"/>
        <v>-</v>
      </c>
      <c r="BI238" s="1395" t="str">
        <f t="shared" si="341"/>
        <v>-</v>
      </c>
      <c r="BJ238" s="1395" t="str">
        <f t="shared" si="342"/>
        <v>-</v>
      </c>
      <c r="BK238" s="1395" t="str">
        <f t="shared" si="343"/>
        <v>-</v>
      </c>
      <c r="BL238" s="1397" t="str">
        <f t="shared" si="344"/>
        <v>-</v>
      </c>
      <c r="BM238" s="1395" t="str">
        <f t="shared" si="345"/>
        <v>-</v>
      </c>
      <c r="BN238" s="1395" t="str">
        <f t="shared" si="346"/>
        <v>-</v>
      </c>
      <c r="BO238" s="1395" t="str">
        <f t="shared" si="347"/>
        <v>-</v>
      </c>
      <c r="BP238" s="1395" t="str">
        <f t="shared" si="348"/>
        <v>-</v>
      </c>
      <c r="BQ238" s="1398" t="str">
        <f t="shared" si="349"/>
        <v>-</v>
      </c>
      <c r="BR238" s="1378"/>
      <c r="BS238" s="1329"/>
      <c r="BT238" s="1399"/>
      <c r="BU238" s="1331"/>
      <c r="BV238" s="1400"/>
      <c r="BW238" s="1378"/>
      <c r="BX238" s="1392" t="str">
        <f t="shared" si="350"/>
        <v>Qty</v>
      </c>
      <c r="BY238" s="1393" t="str">
        <f t="shared" si="351"/>
        <v>Water</v>
      </c>
      <c r="BZ238" s="1394" t="str">
        <f t="shared" si="352"/>
        <v>Fixed</v>
      </c>
      <c r="CA238" s="1401" t="str">
        <f t="shared" ref="CA238:CR238" si="441">IFERROR((P238/O238-1)*(O239/O$13),"-")</f>
        <v>-</v>
      </c>
      <c r="CB238" s="1395" t="str">
        <f t="shared" si="441"/>
        <v>-</v>
      </c>
      <c r="CC238" s="1395" t="str">
        <f t="shared" si="441"/>
        <v>-</v>
      </c>
      <c r="CD238" s="1395" t="str">
        <f t="shared" si="441"/>
        <v>-</v>
      </c>
      <c r="CE238" s="1395" t="str">
        <f t="shared" si="441"/>
        <v>-</v>
      </c>
      <c r="CF238" s="1395" t="str">
        <f t="shared" si="441"/>
        <v>-</v>
      </c>
      <c r="CG238" s="1395" t="str">
        <f t="shared" si="441"/>
        <v>-</v>
      </c>
      <c r="CH238" s="1397" t="str">
        <f t="shared" si="441"/>
        <v>-</v>
      </c>
      <c r="CI238" s="1395" t="str">
        <f t="shared" si="441"/>
        <v>-</v>
      </c>
      <c r="CJ238" s="1395" t="str">
        <f t="shared" si="441"/>
        <v>-</v>
      </c>
      <c r="CK238" s="1395" t="str">
        <f t="shared" si="441"/>
        <v>-</v>
      </c>
      <c r="CL238" s="1395" t="str">
        <f t="shared" si="441"/>
        <v>-</v>
      </c>
      <c r="CM238" s="1397" t="str">
        <f t="shared" si="441"/>
        <v>-</v>
      </c>
      <c r="CN238" s="1395" t="str">
        <f t="shared" si="441"/>
        <v>-</v>
      </c>
      <c r="CO238" s="1395" t="str">
        <f t="shared" si="441"/>
        <v>-</v>
      </c>
      <c r="CP238" s="1395" t="str">
        <f t="shared" si="441"/>
        <v>-</v>
      </c>
      <c r="CQ238" s="1395" t="str">
        <f t="shared" si="441"/>
        <v>-</v>
      </c>
      <c r="CR238" s="1398" t="str">
        <f t="shared" si="441"/>
        <v>-</v>
      </c>
      <c r="CS238" s="1378"/>
      <c r="CT238" s="1392" t="str">
        <f t="shared" si="328"/>
        <v>Qty</v>
      </c>
      <c r="CU238" s="1393" t="str">
        <f t="shared" si="329"/>
        <v>Water</v>
      </c>
      <c r="CV238" s="1393" t="str">
        <f t="shared" si="330"/>
        <v>Fixed</v>
      </c>
      <c r="CW238" s="1401" t="str">
        <f t="shared" si="354"/>
        <v>-</v>
      </c>
      <c r="CX238" s="1395" t="str">
        <f t="shared" si="355"/>
        <v>-</v>
      </c>
      <c r="CY238" s="1395" t="str">
        <f t="shared" si="356"/>
        <v>-</v>
      </c>
      <c r="CZ238" s="1398" t="str">
        <f t="shared" si="357"/>
        <v>-</v>
      </c>
      <c r="DA238" s="1395" t="str">
        <f t="shared" si="358"/>
        <v>-</v>
      </c>
      <c r="DB238" s="1395" t="str">
        <f t="shared" si="359"/>
        <v>-</v>
      </c>
      <c r="DC238" s="1395" t="str">
        <f t="shared" si="360"/>
        <v>-</v>
      </c>
      <c r="DD238" s="1395" t="str">
        <f t="shared" si="361"/>
        <v>-</v>
      </c>
      <c r="DE238" s="1398" t="str">
        <f t="shared" si="362"/>
        <v>-</v>
      </c>
      <c r="DF238" s="1378"/>
      <c r="DG238" s="1392" t="str">
        <f t="shared" si="363"/>
        <v>Qty</v>
      </c>
      <c r="DH238" s="1393" t="str">
        <f t="shared" si="363"/>
        <v>Water</v>
      </c>
      <c r="DI238" s="1393" t="str">
        <f t="shared" si="363"/>
        <v>Fixed</v>
      </c>
      <c r="DJ238" s="1393"/>
      <c r="DK238" s="1401" t="str">
        <f t="shared" si="364"/>
        <v>-</v>
      </c>
      <c r="DL238" s="1395" t="str">
        <f t="shared" si="365"/>
        <v>-</v>
      </c>
      <c r="DM238" s="1395" t="str">
        <f t="shared" si="366"/>
        <v>-</v>
      </c>
      <c r="DN238" s="1397" t="str">
        <f t="shared" si="367"/>
        <v>-</v>
      </c>
      <c r="DO238" s="1395" t="str">
        <f t="shared" si="368"/>
        <v>-</v>
      </c>
      <c r="DP238" s="1395" t="str">
        <f t="shared" si="369"/>
        <v>-</v>
      </c>
      <c r="DQ238" s="1395" t="str">
        <f t="shared" si="370"/>
        <v>-</v>
      </c>
      <c r="DR238" s="1398" t="str">
        <f t="shared" si="371"/>
        <v>-</v>
      </c>
    </row>
    <row r="239" spans="4:122" ht="12.75" thickBot="1">
      <c r="E239" s="743" t="s">
        <v>46</v>
      </c>
      <c r="F239" s="732" t="str">
        <f>+F237</f>
        <v>Water</v>
      </c>
      <c r="G239" s="733" t="str">
        <f>+G237</f>
        <v>Cat B - Non Potable Fixed Charge 32mm</v>
      </c>
      <c r="H239" s="733">
        <f>+H237</f>
        <v>0</v>
      </c>
      <c r="I239" s="734" t="str">
        <f>+I237</f>
        <v>Fixed</v>
      </c>
      <c r="J239" s="735" t="s">
        <v>344</v>
      </c>
      <c r="K239" s="736">
        <f t="shared" ref="K239:AG239" si="442">K237*K238/10^6</f>
        <v>0</v>
      </c>
      <c r="L239" s="737">
        <f t="shared" si="442"/>
        <v>0</v>
      </c>
      <c r="M239" s="737">
        <f t="shared" si="442"/>
        <v>0</v>
      </c>
      <c r="N239" s="738">
        <f t="shared" si="442"/>
        <v>0</v>
      </c>
      <c r="O239" s="1923">
        <f t="shared" si="442"/>
        <v>0</v>
      </c>
      <c r="P239" s="737">
        <f t="shared" si="442"/>
        <v>0</v>
      </c>
      <c r="Q239" s="737">
        <f t="shared" si="442"/>
        <v>0</v>
      </c>
      <c r="R239" s="737">
        <f t="shared" si="442"/>
        <v>0</v>
      </c>
      <c r="S239" s="737">
        <f t="shared" si="442"/>
        <v>0</v>
      </c>
      <c r="T239" s="1531">
        <f t="shared" si="442"/>
        <v>0</v>
      </c>
      <c r="U239" s="737">
        <f t="shared" si="442"/>
        <v>0</v>
      </c>
      <c r="V239" s="737">
        <f t="shared" si="442"/>
        <v>0</v>
      </c>
      <c r="W239" s="737">
        <f t="shared" si="442"/>
        <v>0</v>
      </c>
      <c r="X239" s="738">
        <f t="shared" si="442"/>
        <v>0</v>
      </c>
      <c r="Y239" s="737">
        <f t="shared" si="442"/>
        <v>0</v>
      </c>
      <c r="Z239" s="737">
        <f t="shared" si="442"/>
        <v>0</v>
      </c>
      <c r="AA239" s="737">
        <f t="shared" si="442"/>
        <v>0</v>
      </c>
      <c r="AB239" s="737">
        <f t="shared" si="442"/>
        <v>0</v>
      </c>
      <c r="AC239" s="738">
        <f t="shared" si="442"/>
        <v>0</v>
      </c>
      <c r="AD239" s="737">
        <f t="shared" si="442"/>
        <v>0</v>
      </c>
      <c r="AE239" s="737">
        <f t="shared" si="442"/>
        <v>0</v>
      </c>
      <c r="AF239" s="737">
        <f t="shared" si="442"/>
        <v>0</v>
      </c>
      <c r="AG239" s="739">
        <f t="shared" si="442"/>
        <v>0</v>
      </c>
      <c r="AH239" s="697"/>
      <c r="AI239" s="707"/>
      <c r="AJ239" s="709">
        <f t="shared" si="375"/>
        <v>0</v>
      </c>
      <c r="AK239" s="710">
        <f t="shared" si="376"/>
        <v>0</v>
      </c>
      <c r="AL239" s="710">
        <f t="shared" si="377"/>
        <v>0</v>
      </c>
      <c r="AM239" s="710">
        <f t="shared" si="378"/>
        <v>0</v>
      </c>
      <c r="AN239" s="710">
        <f t="shared" si="379"/>
        <v>0</v>
      </c>
      <c r="AO239" s="711">
        <f t="shared" si="380"/>
        <v>0</v>
      </c>
      <c r="AP239" s="707">
        <f t="shared" si="381"/>
        <v>0</v>
      </c>
      <c r="AQ239" s="707">
        <f t="shared" si="382"/>
        <v>0</v>
      </c>
      <c r="AR239" s="707">
        <f t="shared" si="383"/>
        <v>0</v>
      </c>
      <c r="AS239" s="712">
        <f t="shared" si="384"/>
        <v>0</v>
      </c>
      <c r="AV239" s="1559"/>
      <c r="AW239" s="1428" t="str">
        <f t="shared" si="332"/>
        <v>Rev</v>
      </c>
      <c r="AX239" s="1429" t="str">
        <f t="shared" si="332"/>
        <v>Water</v>
      </c>
      <c r="AY239" s="1430" t="str">
        <f t="shared" si="333"/>
        <v>Fixed</v>
      </c>
      <c r="AZ239" s="1431" t="str">
        <f t="shared" si="424"/>
        <v>-</v>
      </c>
      <c r="BA239" s="1431" t="str">
        <f t="shared" si="424"/>
        <v>-</v>
      </c>
      <c r="BB239" s="1431" t="str">
        <f t="shared" si="424"/>
        <v>-</v>
      </c>
      <c r="BC239" s="1431" t="str">
        <f t="shared" si="335"/>
        <v>-</v>
      </c>
      <c r="BD239" s="1431" t="str">
        <f t="shared" si="336"/>
        <v>-</v>
      </c>
      <c r="BE239" s="1431" t="str">
        <f t="shared" si="337"/>
        <v>-</v>
      </c>
      <c r="BF239" s="1431" t="str">
        <f t="shared" si="338"/>
        <v>-</v>
      </c>
      <c r="BG239" s="1432" t="str">
        <f t="shared" si="339"/>
        <v>-</v>
      </c>
      <c r="BH239" s="1431" t="str">
        <f t="shared" si="340"/>
        <v>-</v>
      </c>
      <c r="BI239" s="1431" t="str">
        <f t="shared" si="341"/>
        <v>-</v>
      </c>
      <c r="BJ239" s="1431" t="str">
        <f t="shared" si="342"/>
        <v>-</v>
      </c>
      <c r="BK239" s="1431" t="str">
        <f t="shared" si="343"/>
        <v>-</v>
      </c>
      <c r="BL239" s="1433" t="str">
        <f t="shared" si="344"/>
        <v>-</v>
      </c>
      <c r="BM239" s="1431" t="str">
        <f t="shared" si="345"/>
        <v>-</v>
      </c>
      <c r="BN239" s="1431" t="str">
        <f t="shared" si="346"/>
        <v>-</v>
      </c>
      <c r="BO239" s="1431" t="str">
        <f t="shared" si="347"/>
        <v>-</v>
      </c>
      <c r="BP239" s="1431" t="str">
        <f t="shared" si="348"/>
        <v>-</v>
      </c>
      <c r="BQ239" s="1434" t="str">
        <f t="shared" si="349"/>
        <v>-</v>
      </c>
      <c r="BR239" s="1378"/>
      <c r="BS239" s="1407"/>
      <c r="BT239" s="1408"/>
      <c r="BU239" s="1409"/>
      <c r="BV239" s="1410"/>
      <c r="BW239" s="1378"/>
      <c r="BX239" s="1428" t="str">
        <f t="shared" si="350"/>
        <v>Rev</v>
      </c>
      <c r="BY239" s="1429" t="str">
        <f t="shared" si="351"/>
        <v>Water</v>
      </c>
      <c r="BZ239" s="1430" t="str">
        <f t="shared" si="352"/>
        <v>Fixed</v>
      </c>
      <c r="CA239" s="1435" t="str">
        <f t="shared" ref="CA239:CR239" si="443">IFERROR((P239/O239-1)*(O239/O$13),"-")</f>
        <v>-</v>
      </c>
      <c r="CB239" s="1431" t="str">
        <f t="shared" si="443"/>
        <v>-</v>
      </c>
      <c r="CC239" s="1431" t="str">
        <f t="shared" si="443"/>
        <v>-</v>
      </c>
      <c r="CD239" s="1431" t="str">
        <f t="shared" si="443"/>
        <v>-</v>
      </c>
      <c r="CE239" s="1431" t="str">
        <f t="shared" si="443"/>
        <v>-</v>
      </c>
      <c r="CF239" s="1431" t="str">
        <f t="shared" si="443"/>
        <v>-</v>
      </c>
      <c r="CG239" s="1431" t="str">
        <f t="shared" si="443"/>
        <v>-</v>
      </c>
      <c r="CH239" s="1433" t="str">
        <f t="shared" si="443"/>
        <v>-</v>
      </c>
      <c r="CI239" s="1431" t="str">
        <f t="shared" si="443"/>
        <v>-</v>
      </c>
      <c r="CJ239" s="1431" t="str">
        <f t="shared" si="443"/>
        <v>-</v>
      </c>
      <c r="CK239" s="1431" t="str">
        <f t="shared" si="443"/>
        <v>-</v>
      </c>
      <c r="CL239" s="1431" t="str">
        <f t="shared" si="443"/>
        <v>-</v>
      </c>
      <c r="CM239" s="1433" t="str">
        <f t="shared" si="443"/>
        <v>-</v>
      </c>
      <c r="CN239" s="1431" t="str">
        <f t="shared" si="443"/>
        <v>-</v>
      </c>
      <c r="CO239" s="1431" t="str">
        <f t="shared" si="443"/>
        <v>-</v>
      </c>
      <c r="CP239" s="1431" t="str">
        <f t="shared" si="443"/>
        <v>-</v>
      </c>
      <c r="CQ239" s="1431" t="str">
        <f t="shared" si="443"/>
        <v>-</v>
      </c>
      <c r="CR239" s="1434" t="str">
        <f t="shared" si="443"/>
        <v>-</v>
      </c>
      <c r="CS239" s="1378"/>
      <c r="CT239" s="1428" t="str">
        <f t="shared" si="328"/>
        <v>Rev</v>
      </c>
      <c r="CU239" s="1429" t="str">
        <f t="shared" si="329"/>
        <v>Water</v>
      </c>
      <c r="CV239" s="1429" t="str">
        <f t="shared" si="330"/>
        <v>Fixed</v>
      </c>
      <c r="CW239" s="1435" t="str">
        <f t="shared" si="354"/>
        <v>-</v>
      </c>
      <c r="CX239" s="1431" t="str">
        <f t="shared" si="355"/>
        <v>-</v>
      </c>
      <c r="CY239" s="1431" t="str">
        <f t="shared" si="356"/>
        <v>-</v>
      </c>
      <c r="CZ239" s="1434" t="str">
        <f t="shared" si="357"/>
        <v>-</v>
      </c>
      <c r="DA239" s="1431" t="str">
        <f t="shared" si="358"/>
        <v>-</v>
      </c>
      <c r="DB239" s="1431" t="str">
        <f t="shared" si="359"/>
        <v>-</v>
      </c>
      <c r="DC239" s="1431" t="str">
        <f t="shared" si="360"/>
        <v>-</v>
      </c>
      <c r="DD239" s="1431" t="str">
        <f t="shared" si="361"/>
        <v>-</v>
      </c>
      <c r="DE239" s="1434" t="str">
        <f t="shared" si="362"/>
        <v>-</v>
      </c>
      <c r="DF239" s="1378"/>
      <c r="DG239" s="1428" t="str">
        <f t="shared" si="363"/>
        <v>Rev</v>
      </c>
      <c r="DH239" s="1429" t="str">
        <f t="shared" si="363"/>
        <v>Water</v>
      </c>
      <c r="DI239" s="1429" t="str">
        <f t="shared" si="363"/>
        <v>Fixed</v>
      </c>
      <c r="DJ239" s="1429"/>
      <c r="DK239" s="1435" t="str">
        <f t="shared" si="364"/>
        <v>-</v>
      </c>
      <c r="DL239" s="1431" t="str">
        <f t="shared" si="365"/>
        <v>-</v>
      </c>
      <c r="DM239" s="1431" t="str">
        <f t="shared" si="366"/>
        <v>-</v>
      </c>
      <c r="DN239" s="1433" t="str">
        <f t="shared" si="367"/>
        <v>-</v>
      </c>
      <c r="DO239" s="1431" t="str">
        <f t="shared" si="368"/>
        <v>-</v>
      </c>
      <c r="DP239" s="1431" t="str">
        <f t="shared" si="369"/>
        <v>-</v>
      </c>
      <c r="DQ239" s="1431" t="str">
        <f t="shared" si="370"/>
        <v>-</v>
      </c>
      <c r="DR239" s="1434" t="str">
        <f t="shared" si="371"/>
        <v>-</v>
      </c>
    </row>
    <row r="240" spans="4:122">
      <c r="D240" s="70">
        <f>D237+1</f>
        <v>59</v>
      </c>
      <c r="E240" s="713" t="s">
        <v>44</v>
      </c>
      <c r="F240" s="1532" t="s">
        <v>20</v>
      </c>
      <c r="G240" s="1532" t="s">
        <v>921</v>
      </c>
      <c r="H240" s="1532"/>
      <c r="I240" s="781" t="s">
        <v>319</v>
      </c>
      <c r="J240" s="781" t="s">
        <v>345</v>
      </c>
      <c r="K240" s="1533"/>
      <c r="L240" s="1534"/>
      <c r="M240" s="1534"/>
      <c r="N240" s="1535"/>
      <c r="O240" s="2071"/>
      <c r="P240" s="1547"/>
      <c r="Q240" s="1547"/>
      <c r="R240" s="1547"/>
      <c r="S240" s="1547"/>
      <c r="T240" s="1547"/>
      <c r="U240" s="1547"/>
      <c r="V240" s="1547"/>
      <c r="W240" s="1547"/>
      <c r="X240" s="1550"/>
      <c r="Y240" s="1551"/>
      <c r="Z240" s="1551"/>
      <c r="AA240" s="1551"/>
      <c r="AB240" s="1551"/>
      <c r="AC240" s="1550"/>
      <c r="AD240" s="1551"/>
      <c r="AE240" s="1551"/>
      <c r="AF240" s="1551"/>
      <c r="AG240" s="1552"/>
      <c r="AH240" s="697"/>
      <c r="AI240" s="707"/>
      <c r="AJ240" s="709">
        <f t="shared" si="375"/>
        <v>0</v>
      </c>
      <c r="AK240" s="710">
        <f t="shared" si="376"/>
        <v>0</v>
      </c>
      <c r="AL240" s="710">
        <f t="shared" si="377"/>
        <v>0</v>
      </c>
      <c r="AM240" s="710">
        <f t="shared" si="378"/>
        <v>0</v>
      </c>
      <c r="AN240" s="710">
        <f t="shared" si="379"/>
        <v>0</v>
      </c>
      <c r="AO240" s="711">
        <f t="shared" si="380"/>
        <v>0</v>
      </c>
      <c r="AP240" s="707">
        <f t="shared" si="381"/>
        <v>0</v>
      </c>
      <c r="AQ240" s="707">
        <f t="shared" si="382"/>
        <v>0</v>
      </c>
      <c r="AR240" s="707">
        <f t="shared" si="383"/>
        <v>0</v>
      </c>
      <c r="AS240" s="712">
        <f t="shared" si="384"/>
        <v>0</v>
      </c>
      <c r="AU240" s="1369"/>
      <c r="AV240" s="1559"/>
      <c r="AW240" s="1412" t="str">
        <f t="shared" si="332"/>
        <v>Price</v>
      </c>
      <c r="AX240" s="1413" t="str">
        <f t="shared" si="332"/>
        <v>Water</v>
      </c>
      <c r="AY240" s="1414" t="str">
        <f t="shared" si="333"/>
        <v>Fixed</v>
      </c>
      <c r="AZ240" s="1415" t="str">
        <f t="shared" si="424"/>
        <v>-</v>
      </c>
      <c r="BA240" s="1415" t="str">
        <f t="shared" si="424"/>
        <v>-</v>
      </c>
      <c r="BB240" s="1415" t="str">
        <f t="shared" si="424"/>
        <v>-</v>
      </c>
      <c r="BC240" s="1415" t="str">
        <f t="shared" si="335"/>
        <v>-</v>
      </c>
      <c r="BD240" s="1415" t="str">
        <f t="shared" si="336"/>
        <v>-</v>
      </c>
      <c r="BE240" s="1415" t="str">
        <f t="shared" si="337"/>
        <v>-</v>
      </c>
      <c r="BF240" s="1415" t="str">
        <f t="shared" si="338"/>
        <v>-</v>
      </c>
      <c r="BG240" s="1416" t="str">
        <f t="shared" si="339"/>
        <v>-</v>
      </c>
      <c r="BH240" s="1417" t="str">
        <f t="shared" si="340"/>
        <v>-</v>
      </c>
      <c r="BI240" s="1417" t="str">
        <f t="shared" si="341"/>
        <v>-</v>
      </c>
      <c r="BJ240" s="1417" t="str">
        <f t="shared" si="342"/>
        <v>-</v>
      </c>
      <c r="BK240" s="1417" t="str">
        <f t="shared" si="343"/>
        <v>-</v>
      </c>
      <c r="BL240" s="1418" t="str">
        <f t="shared" si="344"/>
        <v>-</v>
      </c>
      <c r="BM240" s="1417" t="str">
        <f t="shared" si="345"/>
        <v>-</v>
      </c>
      <c r="BN240" s="1417" t="str">
        <f t="shared" si="346"/>
        <v>-</v>
      </c>
      <c r="BO240" s="1417" t="str">
        <f t="shared" si="347"/>
        <v>-</v>
      </c>
      <c r="BP240" s="1417" t="str">
        <f t="shared" si="348"/>
        <v>-</v>
      </c>
      <c r="BQ240" s="1419" t="str">
        <f t="shared" si="349"/>
        <v>-</v>
      </c>
      <c r="BR240" s="1378"/>
      <c r="BS240" s="1420"/>
      <c r="BT240" s="1421"/>
      <c r="BU240" s="1422"/>
      <c r="BV240" s="1423"/>
      <c r="BW240" s="1378"/>
      <c r="BX240" s="1412" t="str">
        <f t="shared" si="350"/>
        <v>Price</v>
      </c>
      <c r="BY240" s="1413" t="str">
        <f t="shared" si="351"/>
        <v>Water</v>
      </c>
      <c r="BZ240" s="1414" t="str">
        <f t="shared" si="352"/>
        <v>Fixed</v>
      </c>
      <c r="CA240" s="1424" t="str">
        <f t="shared" ref="CA240:CR240" si="444">IFERROR((P240/O240-1)*(O242/O$13),"-")</f>
        <v>-</v>
      </c>
      <c r="CB240" s="1415" t="str">
        <f t="shared" si="444"/>
        <v>-</v>
      </c>
      <c r="CC240" s="1415" t="str">
        <f t="shared" si="444"/>
        <v>-</v>
      </c>
      <c r="CD240" s="1415" t="str">
        <f t="shared" si="444"/>
        <v>-</v>
      </c>
      <c r="CE240" s="1415" t="str">
        <f t="shared" si="444"/>
        <v>-</v>
      </c>
      <c r="CF240" s="1415" t="str">
        <f t="shared" si="444"/>
        <v>-</v>
      </c>
      <c r="CG240" s="1415" t="str">
        <f t="shared" si="444"/>
        <v>-</v>
      </c>
      <c r="CH240" s="1425" t="str">
        <f t="shared" si="444"/>
        <v>-</v>
      </c>
      <c r="CI240" s="1417" t="str">
        <f t="shared" si="444"/>
        <v>-</v>
      </c>
      <c r="CJ240" s="1417" t="str">
        <f t="shared" si="444"/>
        <v>-</v>
      </c>
      <c r="CK240" s="1417" t="str">
        <f t="shared" si="444"/>
        <v>-</v>
      </c>
      <c r="CL240" s="1417" t="str">
        <f t="shared" si="444"/>
        <v>-</v>
      </c>
      <c r="CM240" s="1418" t="str">
        <f t="shared" si="444"/>
        <v>-</v>
      </c>
      <c r="CN240" s="1417" t="str">
        <f t="shared" si="444"/>
        <v>-</v>
      </c>
      <c r="CO240" s="1417" t="str">
        <f t="shared" si="444"/>
        <v>-</v>
      </c>
      <c r="CP240" s="1417" t="str">
        <f t="shared" si="444"/>
        <v>-</v>
      </c>
      <c r="CQ240" s="1417" t="str">
        <f t="shared" si="444"/>
        <v>-</v>
      </c>
      <c r="CR240" s="1419" t="str">
        <f t="shared" si="444"/>
        <v>-</v>
      </c>
      <c r="CS240" s="1378"/>
      <c r="CT240" s="1412" t="str">
        <f t="shared" si="328"/>
        <v>Price</v>
      </c>
      <c r="CU240" s="1413" t="str">
        <f t="shared" si="329"/>
        <v>Water</v>
      </c>
      <c r="CV240" s="1426" t="str">
        <f t="shared" si="330"/>
        <v>Fixed</v>
      </c>
      <c r="CW240" s="1427" t="str">
        <f t="shared" si="354"/>
        <v>-</v>
      </c>
      <c r="CX240" s="1417" t="str">
        <f t="shared" si="355"/>
        <v>-</v>
      </c>
      <c r="CY240" s="1417" t="str">
        <f t="shared" si="356"/>
        <v>-</v>
      </c>
      <c r="CZ240" s="1419" t="str">
        <f t="shared" si="357"/>
        <v>-</v>
      </c>
      <c r="DA240" s="1417" t="str">
        <f t="shared" si="358"/>
        <v>-</v>
      </c>
      <c r="DB240" s="1417" t="str">
        <f t="shared" si="359"/>
        <v>-</v>
      </c>
      <c r="DC240" s="1417" t="str">
        <f t="shared" si="360"/>
        <v>-</v>
      </c>
      <c r="DD240" s="1417" t="str">
        <f t="shared" si="361"/>
        <v>-</v>
      </c>
      <c r="DE240" s="1419" t="str">
        <f t="shared" si="362"/>
        <v>-</v>
      </c>
      <c r="DF240" s="1378"/>
      <c r="DG240" s="1412" t="str">
        <f t="shared" si="363"/>
        <v>Price</v>
      </c>
      <c r="DH240" s="1413" t="str">
        <f t="shared" si="363"/>
        <v>Water</v>
      </c>
      <c r="DI240" s="1426" t="str">
        <f t="shared" si="363"/>
        <v>Fixed</v>
      </c>
      <c r="DJ240" s="1426"/>
      <c r="DK240" s="1427" t="str">
        <f t="shared" si="364"/>
        <v>-</v>
      </c>
      <c r="DL240" s="1417" t="str">
        <f t="shared" si="365"/>
        <v>-</v>
      </c>
      <c r="DM240" s="1417" t="str">
        <f t="shared" si="366"/>
        <v>-</v>
      </c>
      <c r="DN240" s="1418" t="str">
        <f t="shared" si="367"/>
        <v>-</v>
      </c>
      <c r="DO240" s="1417" t="str">
        <f t="shared" si="368"/>
        <v>-</v>
      </c>
      <c r="DP240" s="1417" t="str">
        <f t="shared" si="369"/>
        <v>-</v>
      </c>
      <c r="DQ240" s="1417" t="str">
        <f t="shared" si="370"/>
        <v>-</v>
      </c>
      <c r="DR240" s="1419" t="str">
        <f t="shared" si="371"/>
        <v>-</v>
      </c>
    </row>
    <row r="241" spans="4:122">
      <c r="E241" s="742" t="s">
        <v>45</v>
      </c>
      <c r="F241" s="722" t="str">
        <f>+F240</f>
        <v>Water</v>
      </c>
      <c r="G241" s="723" t="str">
        <f>+G240</f>
        <v>Cat C - Non Potable Fixed Charge 20mm</v>
      </c>
      <c r="H241" s="723">
        <f>+H240</f>
        <v>0</v>
      </c>
      <c r="I241" s="724" t="str">
        <f>+I240</f>
        <v>Fixed</v>
      </c>
      <c r="J241" s="782" t="s">
        <v>323</v>
      </c>
      <c r="K241" s="1540"/>
      <c r="L241" s="1541"/>
      <c r="M241" s="1541"/>
      <c r="N241" s="1542"/>
      <c r="O241" s="2031"/>
      <c r="P241" s="1543"/>
      <c r="Q241" s="1543"/>
      <c r="R241" s="1543"/>
      <c r="S241" s="1543"/>
      <c r="T241" s="1543"/>
      <c r="U241" s="1543"/>
      <c r="V241" s="1543"/>
      <c r="W241" s="1543"/>
      <c r="X241" s="1544"/>
      <c r="Y241" s="1543"/>
      <c r="Z241" s="1543"/>
      <c r="AA241" s="1543"/>
      <c r="AB241" s="1543"/>
      <c r="AC241" s="1544"/>
      <c r="AD241" s="1543"/>
      <c r="AE241" s="1543"/>
      <c r="AF241" s="1543"/>
      <c r="AG241" s="1553"/>
      <c r="AH241" s="697"/>
      <c r="AI241" s="707"/>
      <c r="AJ241" s="709">
        <f t="shared" si="375"/>
        <v>0</v>
      </c>
      <c r="AK241" s="710">
        <f t="shared" si="376"/>
        <v>0</v>
      </c>
      <c r="AL241" s="710">
        <f t="shared" si="377"/>
        <v>0</v>
      </c>
      <c r="AM241" s="710">
        <f t="shared" si="378"/>
        <v>0</v>
      </c>
      <c r="AN241" s="710">
        <f t="shared" si="379"/>
        <v>0</v>
      </c>
      <c r="AO241" s="711">
        <f t="shared" si="380"/>
        <v>0</v>
      </c>
      <c r="AP241" s="707">
        <f t="shared" si="381"/>
        <v>0</v>
      </c>
      <c r="AQ241" s="707">
        <f t="shared" si="382"/>
        <v>0</v>
      </c>
      <c r="AR241" s="707">
        <f t="shared" si="383"/>
        <v>0</v>
      </c>
      <c r="AS241" s="712">
        <f t="shared" si="384"/>
        <v>0</v>
      </c>
      <c r="AV241" s="1559"/>
      <c r="AW241" s="1392" t="str">
        <f t="shared" si="332"/>
        <v>Qty</v>
      </c>
      <c r="AX241" s="1393" t="str">
        <f t="shared" si="332"/>
        <v>Water</v>
      </c>
      <c r="AY241" s="1394" t="str">
        <f t="shared" si="333"/>
        <v>Fixed</v>
      </c>
      <c r="AZ241" s="1395" t="str">
        <f t="shared" si="424"/>
        <v>-</v>
      </c>
      <c r="BA241" s="1395" t="str">
        <f t="shared" si="424"/>
        <v>-</v>
      </c>
      <c r="BB241" s="1395" t="str">
        <f t="shared" si="424"/>
        <v>-</v>
      </c>
      <c r="BC241" s="1395" t="str">
        <f t="shared" si="335"/>
        <v>-</v>
      </c>
      <c r="BD241" s="1395" t="str">
        <f t="shared" si="336"/>
        <v>-</v>
      </c>
      <c r="BE241" s="1395" t="str">
        <f t="shared" si="337"/>
        <v>-</v>
      </c>
      <c r="BF241" s="1395" t="str">
        <f t="shared" si="338"/>
        <v>-</v>
      </c>
      <c r="BG241" s="1396" t="str">
        <f t="shared" si="339"/>
        <v>-</v>
      </c>
      <c r="BH241" s="1395" t="str">
        <f t="shared" si="340"/>
        <v>-</v>
      </c>
      <c r="BI241" s="1395" t="str">
        <f t="shared" si="341"/>
        <v>-</v>
      </c>
      <c r="BJ241" s="1395" t="str">
        <f t="shared" si="342"/>
        <v>-</v>
      </c>
      <c r="BK241" s="1395" t="str">
        <f t="shared" si="343"/>
        <v>-</v>
      </c>
      <c r="BL241" s="1397" t="str">
        <f t="shared" si="344"/>
        <v>-</v>
      </c>
      <c r="BM241" s="1395" t="str">
        <f t="shared" si="345"/>
        <v>-</v>
      </c>
      <c r="BN241" s="1395" t="str">
        <f t="shared" si="346"/>
        <v>-</v>
      </c>
      <c r="BO241" s="1395" t="str">
        <f t="shared" si="347"/>
        <v>-</v>
      </c>
      <c r="BP241" s="1395" t="str">
        <f t="shared" si="348"/>
        <v>-</v>
      </c>
      <c r="BQ241" s="1398" t="str">
        <f t="shared" si="349"/>
        <v>-</v>
      </c>
      <c r="BR241" s="1378"/>
      <c r="BS241" s="1329"/>
      <c r="BT241" s="1399"/>
      <c r="BU241" s="1331"/>
      <c r="BV241" s="1400"/>
      <c r="BW241" s="1378"/>
      <c r="BX241" s="1392" t="str">
        <f t="shared" si="350"/>
        <v>Qty</v>
      </c>
      <c r="BY241" s="1393" t="str">
        <f t="shared" si="351"/>
        <v>Water</v>
      </c>
      <c r="BZ241" s="1394" t="str">
        <f t="shared" si="352"/>
        <v>Fixed</v>
      </c>
      <c r="CA241" s="1401" t="str">
        <f t="shared" ref="CA241:CR241" si="445">IFERROR((P241/O241-1)*(O242/O$13),"-")</f>
        <v>-</v>
      </c>
      <c r="CB241" s="1395" t="str">
        <f t="shared" si="445"/>
        <v>-</v>
      </c>
      <c r="CC241" s="1395" t="str">
        <f t="shared" si="445"/>
        <v>-</v>
      </c>
      <c r="CD241" s="1395" t="str">
        <f t="shared" si="445"/>
        <v>-</v>
      </c>
      <c r="CE241" s="1395" t="str">
        <f t="shared" si="445"/>
        <v>-</v>
      </c>
      <c r="CF241" s="1395" t="str">
        <f t="shared" si="445"/>
        <v>-</v>
      </c>
      <c r="CG241" s="1395" t="str">
        <f t="shared" si="445"/>
        <v>-</v>
      </c>
      <c r="CH241" s="1397" t="str">
        <f t="shared" si="445"/>
        <v>-</v>
      </c>
      <c r="CI241" s="1395" t="str">
        <f t="shared" si="445"/>
        <v>-</v>
      </c>
      <c r="CJ241" s="1395" t="str">
        <f t="shared" si="445"/>
        <v>-</v>
      </c>
      <c r="CK241" s="1395" t="str">
        <f t="shared" si="445"/>
        <v>-</v>
      </c>
      <c r="CL241" s="1395" t="str">
        <f t="shared" si="445"/>
        <v>-</v>
      </c>
      <c r="CM241" s="1397" t="str">
        <f t="shared" si="445"/>
        <v>-</v>
      </c>
      <c r="CN241" s="1395" t="str">
        <f t="shared" si="445"/>
        <v>-</v>
      </c>
      <c r="CO241" s="1395" t="str">
        <f t="shared" si="445"/>
        <v>-</v>
      </c>
      <c r="CP241" s="1395" t="str">
        <f t="shared" si="445"/>
        <v>-</v>
      </c>
      <c r="CQ241" s="1395" t="str">
        <f t="shared" si="445"/>
        <v>-</v>
      </c>
      <c r="CR241" s="1398" t="str">
        <f t="shared" si="445"/>
        <v>-</v>
      </c>
      <c r="CS241" s="1378"/>
      <c r="CT241" s="1392" t="str">
        <f t="shared" si="328"/>
        <v>Qty</v>
      </c>
      <c r="CU241" s="1393" t="str">
        <f t="shared" si="329"/>
        <v>Water</v>
      </c>
      <c r="CV241" s="1393" t="str">
        <f t="shared" si="330"/>
        <v>Fixed</v>
      </c>
      <c r="CW241" s="1401" t="str">
        <f t="shared" si="354"/>
        <v>-</v>
      </c>
      <c r="CX241" s="1395" t="str">
        <f t="shared" si="355"/>
        <v>-</v>
      </c>
      <c r="CY241" s="1395" t="str">
        <f t="shared" si="356"/>
        <v>-</v>
      </c>
      <c r="CZ241" s="1398" t="str">
        <f t="shared" si="357"/>
        <v>-</v>
      </c>
      <c r="DA241" s="1395" t="str">
        <f t="shared" si="358"/>
        <v>-</v>
      </c>
      <c r="DB241" s="1395" t="str">
        <f t="shared" si="359"/>
        <v>-</v>
      </c>
      <c r="DC241" s="1395" t="str">
        <f t="shared" si="360"/>
        <v>-</v>
      </c>
      <c r="DD241" s="1395" t="str">
        <f t="shared" si="361"/>
        <v>-</v>
      </c>
      <c r="DE241" s="1398" t="str">
        <f t="shared" si="362"/>
        <v>-</v>
      </c>
      <c r="DF241" s="1378"/>
      <c r="DG241" s="1392" t="str">
        <f t="shared" si="363"/>
        <v>Qty</v>
      </c>
      <c r="DH241" s="1393" t="str">
        <f t="shared" si="363"/>
        <v>Water</v>
      </c>
      <c r="DI241" s="1393" t="str">
        <f t="shared" si="363"/>
        <v>Fixed</v>
      </c>
      <c r="DJ241" s="1393"/>
      <c r="DK241" s="1401" t="str">
        <f t="shared" si="364"/>
        <v>-</v>
      </c>
      <c r="DL241" s="1395" t="str">
        <f t="shared" si="365"/>
        <v>-</v>
      </c>
      <c r="DM241" s="1395" t="str">
        <f t="shared" si="366"/>
        <v>-</v>
      </c>
      <c r="DN241" s="1397" t="str">
        <f t="shared" si="367"/>
        <v>-</v>
      </c>
      <c r="DO241" s="1395" t="str">
        <f t="shared" si="368"/>
        <v>-</v>
      </c>
      <c r="DP241" s="1395" t="str">
        <f t="shared" si="369"/>
        <v>-</v>
      </c>
      <c r="DQ241" s="1395" t="str">
        <f t="shared" si="370"/>
        <v>-</v>
      </c>
      <c r="DR241" s="1398" t="str">
        <f t="shared" si="371"/>
        <v>-</v>
      </c>
    </row>
    <row r="242" spans="4:122" ht="12.75" thickBot="1">
      <c r="E242" s="743" t="s">
        <v>46</v>
      </c>
      <c r="F242" s="732" t="str">
        <f>+F240</f>
        <v>Water</v>
      </c>
      <c r="G242" s="733" t="str">
        <f>+G240</f>
        <v>Cat C - Non Potable Fixed Charge 20mm</v>
      </c>
      <c r="H242" s="733">
        <f>+H240</f>
        <v>0</v>
      </c>
      <c r="I242" s="734" t="str">
        <f>+I240</f>
        <v>Fixed</v>
      </c>
      <c r="J242" s="735" t="s">
        <v>344</v>
      </c>
      <c r="K242" s="736">
        <f t="shared" ref="K242:AG242" si="446">K240*K241/10^6</f>
        <v>0</v>
      </c>
      <c r="L242" s="737">
        <f t="shared" si="446"/>
        <v>0</v>
      </c>
      <c r="M242" s="737">
        <f t="shared" si="446"/>
        <v>0</v>
      </c>
      <c r="N242" s="738">
        <f t="shared" si="446"/>
        <v>0</v>
      </c>
      <c r="O242" s="1923">
        <f t="shared" si="446"/>
        <v>0</v>
      </c>
      <c r="P242" s="737">
        <f t="shared" si="446"/>
        <v>0</v>
      </c>
      <c r="Q242" s="737">
        <f t="shared" si="446"/>
        <v>0</v>
      </c>
      <c r="R242" s="737">
        <f t="shared" si="446"/>
        <v>0</v>
      </c>
      <c r="S242" s="737">
        <f t="shared" si="446"/>
        <v>0</v>
      </c>
      <c r="T242" s="1531">
        <f t="shared" si="446"/>
        <v>0</v>
      </c>
      <c r="U242" s="737">
        <f t="shared" si="446"/>
        <v>0</v>
      </c>
      <c r="V242" s="737">
        <f t="shared" si="446"/>
        <v>0</v>
      </c>
      <c r="W242" s="737">
        <f t="shared" si="446"/>
        <v>0</v>
      </c>
      <c r="X242" s="738">
        <f t="shared" si="446"/>
        <v>0</v>
      </c>
      <c r="Y242" s="737">
        <f t="shared" si="446"/>
        <v>0</v>
      </c>
      <c r="Z242" s="737">
        <f t="shared" si="446"/>
        <v>0</v>
      </c>
      <c r="AA242" s="737">
        <f t="shared" si="446"/>
        <v>0</v>
      </c>
      <c r="AB242" s="737">
        <f t="shared" si="446"/>
        <v>0</v>
      </c>
      <c r="AC242" s="738">
        <f t="shared" si="446"/>
        <v>0</v>
      </c>
      <c r="AD242" s="737">
        <f t="shared" si="446"/>
        <v>0</v>
      </c>
      <c r="AE242" s="737">
        <f t="shared" si="446"/>
        <v>0</v>
      </c>
      <c r="AF242" s="737">
        <f t="shared" si="446"/>
        <v>0</v>
      </c>
      <c r="AG242" s="739">
        <f t="shared" si="446"/>
        <v>0</v>
      </c>
      <c r="AH242" s="697"/>
      <c r="AI242" s="707"/>
      <c r="AJ242" s="709">
        <f t="shared" si="375"/>
        <v>0</v>
      </c>
      <c r="AK242" s="710">
        <f t="shared" si="376"/>
        <v>0</v>
      </c>
      <c r="AL242" s="710">
        <f t="shared" si="377"/>
        <v>0</v>
      </c>
      <c r="AM242" s="710">
        <f t="shared" si="378"/>
        <v>0</v>
      </c>
      <c r="AN242" s="710">
        <f t="shared" si="379"/>
        <v>0</v>
      </c>
      <c r="AO242" s="711">
        <f t="shared" si="380"/>
        <v>0</v>
      </c>
      <c r="AP242" s="707">
        <f t="shared" si="381"/>
        <v>0</v>
      </c>
      <c r="AQ242" s="707">
        <f t="shared" si="382"/>
        <v>0</v>
      </c>
      <c r="AR242" s="707">
        <f t="shared" si="383"/>
        <v>0</v>
      </c>
      <c r="AS242" s="712">
        <f t="shared" si="384"/>
        <v>0</v>
      </c>
      <c r="AV242" s="1559"/>
      <c r="AW242" s="1428" t="str">
        <f t="shared" si="332"/>
        <v>Rev</v>
      </c>
      <c r="AX242" s="1429" t="str">
        <f t="shared" si="332"/>
        <v>Water</v>
      </c>
      <c r="AY242" s="1430" t="str">
        <f t="shared" si="333"/>
        <v>Fixed</v>
      </c>
      <c r="AZ242" s="1431" t="str">
        <f t="shared" ref="AZ242:BB257" si="447">IFERROR(P242/O242-1,"-")</f>
        <v>-</v>
      </c>
      <c r="BA242" s="1431" t="str">
        <f t="shared" si="447"/>
        <v>-</v>
      </c>
      <c r="BB242" s="1431" t="str">
        <f t="shared" si="447"/>
        <v>-</v>
      </c>
      <c r="BC242" s="1431" t="str">
        <f t="shared" si="335"/>
        <v>-</v>
      </c>
      <c r="BD242" s="1431" t="str">
        <f t="shared" si="336"/>
        <v>-</v>
      </c>
      <c r="BE242" s="1431" t="str">
        <f t="shared" si="337"/>
        <v>-</v>
      </c>
      <c r="BF242" s="1431" t="str">
        <f t="shared" si="338"/>
        <v>-</v>
      </c>
      <c r="BG242" s="1432" t="str">
        <f t="shared" si="339"/>
        <v>-</v>
      </c>
      <c r="BH242" s="1431" t="str">
        <f t="shared" si="340"/>
        <v>-</v>
      </c>
      <c r="BI242" s="1431" t="str">
        <f t="shared" si="341"/>
        <v>-</v>
      </c>
      <c r="BJ242" s="1431" t="str">
        <f t="shared" si="342"/>
        <v>-</v>
      </c>
      <c r="BK242" s="1431" t="str">
        <f t="shared" si="343"/>
        <v>-</v>
      </c>
      <c r="BL242" s="1433" t="str">
        <f t="shared" si="344"/>
        <v>-</v>
      </c>
      <c r="BM242" s="1431" t="str">
        <f t="shared" si="345"/>
        <v>-</v>
      </c>
      <c r="BN242" s="1431" t="str">
        <f t="shared" si="346"/>
        <v>-</v>
      </c>
      <c r="BO242" s="1431" t="str">
        <f t="shared" si="347"/>
        <v>-</v>
      </c>
      <c r="BP242" s="1431" t="str">
        <f t="shared" si="348"/>
        <v>-</v>
      </c>
      <c r="BQ242" s="1434" t="str">
        <f t="shared" si="349"/>
        <v>-</v>
      </c>
      <c r="BR242" s="1378"/>
      <c r="BS242" s="1407"/>
      <c r="BT242" s="1408"/>
      <c r="BU242" s="1409"/>
      <c r="BV242" s="1410"/>
      <c r="BW242" s="1378"/>
      <c r="BX242" s="1428" t="str">
        <f t="shared" si="350"/>
        <v>Rev</v>
      </c>
      <c r="BY242" s="1429" t="str">
        <f t="shared" si="351"/>
        <v>Water</v>
      </c>
      <c r="BZ242" s="1430" t="str">
        <f t="shared" si="352"/>
        <v>Fixed</v>
      </c>
      <c r="CA242" s="1435" t="str">
        <f t="shared" ref="CA242:CR242" si="448">IFERROR((P242/O242-1)*(O242/O$13),"-")</f>
        <v>-</v>
      </c>
      <c r="CB242" s="1431" t="str">
        <f t="shared" si="448"/>
        <v>-</v>
      </c>
      <c r="CC242" s="1431" t="str">
        <f t="shared" si="448"/>
        <v>-</v>
      </c>
      <c r="CD242" s="1431" t="str">
        <f t="shared" si="448"/>
        <v>-</v>
      </c>
      <c r="CE242" s="1431" t="str">
        <f t="shared" si="448"/>
        <v>-</v>
      </c>
      <c r="CF242" s="1431" t="str">
        <f t="shared" si="448"/>
        <v>-</v>
      </c>
      <c r="CG242" s="1431" t="str">
        <f t="shared" si="448"/>
        <v>-</v>
      </c>
      <c r="CH242" s="1433" t="str">
        <f t="shared" si="448"/>
        <v>-</v>
      </c>
      <c r="CI242" s="1431" t="str">
        <f t="shared" si="448"/>
        <v>-</v>
      </c>
      <c r="CJ242" s="1431" t="str">
        <f t="shared" si="448"/>
        <v>-</v>
      </c>
      <c r="CK242" s="1431" t="str">
        <f t="shared" si="448"/>
        <v>-</v>
      </c>
      <c r="CL242" s="1431" t="str">
        <f t="shared" si="448"/>
        <v>-</v>
      </c>
      <c r="CM242" s="1433" t="str">
        <f t="shared" si="448"/>
        <v>-</v>
      </c>
      <c r="CN242" s="1431" t="str">
        <f t="shared" si="448"/>
        <v>-</v>
      </c>
      <c r="CO242" s="1431" t="str">
        <f t="shared" si="448"/>
        <v>-</v>
      </c>
      <c r="CP242" s="1431" t="str">
        <f t="shared" si="448"/>
        <v>-</v>
      </c>
      <c r="CQ242" s="1431" t="str">
        <f t="shared" si="448"/>
        <v>-</v>
      </c>
      <c r="CR242" s="1434" t="str">
        <f t="shared" si="448"/>
        <v>-</v>
      </c>
      <c r="CS242" s="1378"/>
      <c r="CT242" s="1428" t="str">
        <f t="shared" si="328"/>
        <v>Rev</v>
      </c>
      <c r="CU242" s="1429" t="str">
        <f t="shared" si="329"/>
        <v>Water</v>
      </c>
      <c r="CV242" s="1429" t="str">
        <f t="shared" si="330"/>
        <v>Fixed</v>
      </c>
      <c r="CW242" s="1435" t="str">
        <f t="shared" si="354"/>
        <v>-</v>
      </c>
      <c r="CX242" s="1431" t="str">
        <f t="shared" si="355"/>
        <v>-</v>
      </c>
      <c r="CY242" s="1431" t="str">
        <f t="shared" si="356"/>
        <v>-</v>
      </c>
      <c r="CZ242" s="1434" t="str">
        <f t="shared" si="357"/>
        <v>-</v>
      </c>
      <c r="DA242" s="1431" t="str">
        <f t="shared" si="358"/>
        <v>-</v>
      </c>
      <c r="DB242" s="1431" t="str">
        <f t="shared" si="359"/>
        <v>-</v>
      </c>
      <c r="DC242" s="1431" t="str">
        <f t="shared" si="360"/>
        <v>-</v>
      </c>
      <c r="DD242" s="1431" t="str">
        <f t="shared" si="361"/>
        <v>-</v>
      </c>
      <c r="DE242" s="1434" t="str">
        <f t="shared" si="362"/>
        <v>-</v>
      </c>
      <c r="DF242" s="1378"/>
      <c r="DG242" s="1428" t="str">
        <f t="shared" si="363"/>
        <v>Rev</v>
      </c>
      <c r="DH242" s="1429" t="str">
        <f t="shared" si="363"/>
        <v>Water</v>
      </c>
      <c r="DI242" s="1429" t="str">
        <f t="shared" si="363"/>
        <v>Fixed</v>
      </c>
      <c r="DJ242" s="1429"/>
      <c r="DK242" s="1435" t="str">
        <f t="shared" si="364"/>
        <v>-</v>
      </c>
      <c r="DL242" s="1431" t="str">
        <f t="shared" si="365"/>
        <v>-</v>
      </c>
      <c r="DM242" s="1431" t="str">
        <f t="shared" si="366"/>
        <v>-</v>
      </c>
      <c r="DN242" s="1433" t="str">
        <f t="shared" si="367"/>
        <v>-</v>
      </c>
      <c r="DO242" s="1431" t="str">
        <f t="shared" si="368"/>
        <v>-</v>
      </c>
      <c r="DP242" s="1431" t="str">
        <f t="shared" si="369"/>
        <v>-</v>
      </c>
      <c r="DQ242" s="1431" t="str">
        <f t="shared" si="370"/>
        <v>-</v>
      </c>
      <c r="DR242" s="1434" t="str">
        <f t="shared" si="371"/>
        <v>-</v>
      </c>
    </row>
    <row r="243" spans="4:122">
      <c r="D243" s="70">
        <f>D240+1</f>
        <v>60</v>
      </c>
      <c r="E243" s="713" t="s">
        <v>44</v>
      </c>
      <c r="F243" s="1532" t="s">
        <v>20</v>
      </c>
      <c r="G243" s="1532" t="s">
        <v>922</v>
      </c>
      <c r="H243" s="1532"/>
      <c r="I243" s="781" t="s">
        <v>319</v>
      </c>
      <c r="J243" s="781" t="s">
        <v>345</v>
      </c>
      <c r="K243" s="1533"/>
      <c r="L243" s="1534"/>
      <c r="M243" s="1534"/>
      <c r="N243" s="1535"/>
      <c r="O243" s="2071"/>
      <c r="P243" s="1547"/>
      <c r="Q243" s="1547"/>
      <c r="R243" s="1547"/>
      <c r="S243" s="1547"/>
      <c r="T243" s="1547"/>
      <c r="U243" s="1547"/>
      <c r="V243" s="1547"/>
      <c r="W243" s="1547"/>
      <c r="X243" s="1550"/>
      <c r="Y243" s="1551"/>
      <c r="Z243" s="1551"/>
      <c r="AA243" s="1551"/>
      <c r="AB243" s="1551"/>
      <c r="AC243" s="1550"/>
      <c r="AD243" s="1551"/>
      <c r="AE243" s="1551"/>
      <c r="AF243" s="1551"/>
      <c r="AG243" s="1552"/>
      <c r="AH243" s="697"/>
      <c r="AI243" s="707"/>
      <c r="AJ243" s="709">
        <f t="shared" si="375"/>
        <v>0</v>
      </c>
      <c r="AK243" s="710">
        <f t="shared" si="376"/>
        <v>0</v>
      </c>
      <c r="AL243" s="710">
        <f t="shared" si="377"/>
        <v>0</v>
      </c>
      <c r="AM243" s="710">
        <f t="shared" si="378"/>
        <v>0</v>
      </c>
      <c r="AN243" s="710">
        <f t="shared" si="379"/>
        <v>0</v>
      </c>
      <c r="AO243" s="711">
        <f t="shared" si="380"/>
        <v>0</v>
      </c>
      <c r="AP243" s="707">
        <f t="shared" si="381"/>
        <v>0</v>
      </c>
      <c r="AQ243" s="707">
        <f t="shared" si="382"/>
        <v>0</v>
      </c>
      <c r="AR243" s="707">
        <f t="shared" si="383"/>
        <v>0</v>
      </c>
      <c r="AS243" s="712">
        <f t="shared" si="384"/>
        <v>0</v>
      </c>
      <c r="AU243" s="1369"/>
      <c r="AV243" s="1559"/>
      <c r="AW243" s="1412" t="str">
        <f t="shared" si="332"/>
        <v>Price</v>
      </c>
      <c r="AX243" s="1413" t="str">
        <f t="shared" si="332"/>
        <v>Water</v>
      </c>
      <c r="AY243" s="1414" t="str">
        <f t="shared" si="333"/>
        <v>Fixed</v>
      </c>
      <c r="AZ243" s="1415" t="str">
        <f t="shared" si="447"/>
        <v>-</v>
      </c>
      <c r="BA243" s="1415" t="str">
        <f t="shared" si="447"/>
        <v>-</v>
      </c>
      <c r="BB243" s="1415" t="str">
        <f t="shared" si="447"/>
        <v>-</v>
      </c>
      <c r="BC243" s="1415" t="str">
        <f t="shared" si="335"/>
        <v>-</v>
      </c>
      <c r="BD243" s="1415" t="str">
        <f t="shared" si="336"/>
        <v>-</v>
      </c>
      <c r="BE243" s="1415" t="str">
        <f t="shared" si="337"/>
        <v>-</v>
      </c>
      <c r="BF243" s="1415" t="str">
        <f t="shared" si="338"/>
        <v>-</v>
      </c>
      <c r="BG243" s="1416" t="str">
        <f t="shared" si="339"/>
        <v>-</v>
      </c>
      <c r="BH243" s="1417" t="str">
        <f t="shared" si="340"/>
        <v>-</v>
      </c>
      <c r="BI243" s="1417" t="str">
        <f t="shared" si="341"/>
        <v>-</v>
      </c>
      <c r="BJ243" s="1417" t="str">
        <f t="shared" si="342"/>
        <v>-</v>
      </c>
      <c r="BK243" s="1417" t="str">
        <f t="shared" si="343"/>
        <v>-</v>
      </c>
      <c r="BL243" s="1418" t="str">
        <f t="shared" si="344"/>
        <v>-</v>
      </c>
      <c r="BM243" s="1417" t="str">
        <f t="shared" si="345"/>
        <v>-</v>
      </c>
      <c r="BN243" s="1417" t="str">
        <f t="shared" si="346"/>
        <v>-</v>
      </c>
      <c r="BO243" s="1417" t="str">
        <f t="shared" si="347"/>
        <v>-</v>
      </c>
      <c r="BP243" s="1417" t="str">
        <f t="shared" si="348"/>
        <v>-</v>
      </c>
      <c r="BQ243" s="1419" t="str">
        <f t="shared" si="349"/>
        <v>-</v>
      </c>
      <c r="BR243" s="1378"/>
      <c r="BS243" s="1420"/>
      <c r="BT243" s="1421"/>
      <c r="BU243" s="1422"/>
      <c r="BV243" s="1423"/>
      <c r="BW243" s="1378"/>
      <c r="BX243" s="1412" t="str">
        <f t="shared" si="350"/>
        <v>Price</v>
      </c>
      <c r="BY243" s="1413" t="str">
        <f t="shared" si="351"/>
        <v>Water</v>
      </c>
      <c r="BZ243" s="1414" t="str">
        <f t="shared" si="352"/>
        <v>Fixed</v>
      </c>
      <c r="CA243" s="1424" t="str">
        <f t="shared" ref="CA243:CR243" si="449">IFERROR((P243/O243-1)*(O245/O$13),"-")</f>
        <v>-</v>
      </c>
      <c r="CB243" s="1415" t="str">
        <f t="shared" si="449"/>
        <v>-</v>
      </c>
      <c r="CC243" s="1415" t="str">
        <f t="shared" si="449"/>
        <v>-</v>
      </c>
      <c r="CD243" s="1415" t="str">
        <f t="shared" si="449"/>
        <v>-</v>
      </c>
      <c r="CE243" s="1415" t="str">
        <f t="shared" si="449"/>
        <v>-</v>
      </c>
      <c r="CF243" s="1415" t="str">
        <f t="shared" si="449"/>
        <v>-</v>
      </c>
      <c r="CG243" s="1415" t="str">
        <f t="shared" si="449"/>
        <v>-</v>
      </c>
      <c r="CH243" s="1425" t="str">
        <f t="shared" si="449"/>
        <v>-</v>
      </c>
      <c r="CI243" s="1417" t="str">
        <f t="shared" si="449"/>
        <v>-</v>
      </c>
      <c r="CJ243" s="1417" t="str">
        <f t="shared" si="449"/>
        <v>-</v>
      </c>
      <c r="CK243" s="1417" t="str">
        <f t="shared" si="449"/>
        <v>-</v>
      </c>
      <c r="CL243" s="1417" t="str">
        <f t="shared" si="449"/>
        <v>-</v>
      </c>
      <c r="CM243" s="1418" t="str">
        <f t="shared" si="449"/>
        <v>-</v>
      </c>
      <c r="CN243" s="1417" t="str">
        <f t="shared" si="449"/>
        <v>-</v>
      </c>
      <c r="CO243" s="1417" t="str">
        <f t="shared" si="449"/>
        <v>-</v>
      </c>
      <c r="CP243" s="1417" t="str">
        <f t="shared" si="449"/>
        <v>-</v>
      </c>
      <c r="CQ243" s="1417" t="str">
        <f t="shared" si="449"/>
        <v>-</v>
      </c>
      <c r="CR243" s="1419" t="str">
        <f t="shared" si="449"/>
        <v>-</v>
      </c>
      <c r="CS243" s="1378"/>
      <c r="CT243" s="1412" t="str">
        <f t="shared" si="328"/>
        <v>Price</v>
      </c>
      <c r="CU243" s="1413" t="str">
        <f t="shared" si="329"/>
        <v>Water</v>
      </c>
      <c r="CV243" s="1426" t="str">
        <f t="shared" si="330"/>
        <v>Fixed</v>
      </c>
      <c r="CW243" s="1427" t="str">
        <f t="shared" si="354"/>
        <v>-</v>
      </c>
      <c r="CX243" s="1417" t="str">
        <f t="shared" si="355"/>
        <v>-</v>
      </c>
      <c r="CY243" s="1417" t="str">
        <f t="shared" si="356"/>
        <v>-</v>
      </c>
      <c r="CZ243" s="1419" t="str">
        <f t="shared" si="357"/>
        <v>-</v>
      </c>
      <c r="DA243" s="1417" t="str">
        <f t="shared" si="358"/>
        <v>-</v>
      </c>
      <c r="DB243" s="1417" t="str">
        <f t="shared" si="359"/>
        <v>-</v>
      </c>
      <c r="DC243" s="1417" t="str">
        <f t="shared" si="360"/>
        <v>-</v>
      </c>
      <c r="DD243" s="1417" t="str">
        <f t="shared" si="361"/>
        <v>-</v>
      </c>
      <c r="DE243" s="1419" t="str">
        <f t="shared" si="362"/>
        <v>-</v>
      </c>
      <c r="DF243" s="1378"/>
      <c r="DG243" s="1412" t="str">
        <f t="shared" si="363"/>
        <v>Price</v>
      </c>
      <c r="DH243" s="1413" t="str">
        <f t="shared" si="363"/>
        <v>Water</v>
      </c>
      <c r="DI243" s="1426" t="str">
        <f t="shared" si="363"/>
        <v>Fixed</v>
      </c>
      <c r="DJ243" s="1426"/>
      <c r="DK243" s="1427" t="str">
        <f t="shared" si="364"/>
        <v>-</v>
      </c>
      <c r="DL243" s="1417" t="str">
        <f t="shared" si="365"/>
        <v>-</v>
      </c>
      <c r="DM243" s="1417" t="str">
        <f t="shared" si="366"/>
        <v>-</v>
      </c>
      <c r="DN243" s="1418" t="str">
        <f t="shared" si="367"/>
        <v>-</v>
      </c>
      <c r="DO243" s="1417" t="str">
        <f t="shared" si="368"/>
        <v>-</v>
      </c>
      <c r="DP243" s="1417" t="str">
        <f t="shared" si="369"/>
        <v>-</v>
      </c>
      <c r="DQ243" s="1417" t="str">
        <f t="shared" si="370"/>
        <v>-</v>
      </c>
      <c r="DR243" s="1419" t="str">
        <f t="shared" si="371"/>
        <v>-</v>
      </c>
    </row>
    <row r="244" spans="4:122">
      <c r="E244" s="742" t="s">
        <v>45</v>
      </c>
      <c r="F244" s="722" t="str">
        <f>+F243</f>
        <v>Water</v>
      </c>
      <c r="G244" s="723" t="str">
        <f>+G243</f>
        <v>Cat C - Non Potable Fixed Charge 25mm</v>
      </c>
      <c r="H244" s="723">
        <f>+H243</f>
        <v>0</v>
      </c>
      <c r="I244" s="724" t="str">
        <f>+I243</f>
        <v>Fixed</v>
      </c>
      <c r="J244" s="782" t="s">
        <v>323</v>
      </c>
      <c r="K244" s="1540"/>
      <c r="L244" s="1541"/>
      <c r="M244" s="1541"/>
      <c r="N244" s="1542"/>
      <c r="O244" s="2031"/>
      <c r="P244" s="1543"/>
      <c r="Q244" s="1543"/>
      <c r="R244" s="1543"/>
      <c r="S244" s="1543"/>
      <c r="T244" s="1543"/>
      <c r="U244" s="1543"/>
      <c r="V244" s="1543"/>
      <c r="W244" s="1543"/>
      <c r="X244" s="1544"/>
      <c r="Y244" s="1543"/>
      <c r="Z244" s="1543"/>
      <c r="AA244" s="1543"/>
      <c r="AB244" s="1543"/>
      <c r="AC244" s="1544"/>
      <c r="AD244" s="1543"/>
      <c r="AE244" s="1543"/>
      <c r="AF244" s="1543"/>
      <c r="AG244" s="1553"/>
      <c r="AH244" s="697"/>
      <c r="AI244" s="707"/>
      <c r="AJ244" s="709">
        <f t="shared" si="375"/>
        <v>0</v>
      </c>
      <c r="AK244" s="710">
        <f t="shared" si="376"/>
        <v>0</v>
      </c>
      <c r="AL244" s="710">
        <f t="shared" si="377"/>
        <v>0</v>
      </c>
      <c r="AM244" s="710">
        <f t="shared" si="378"/>
        <v>0</v>
      </c>
      <c r="AN244" s="710">
        <f t="shared" si="379"/>
        <v>0</v>
      </c>
      <c r="AO244" s="711">
        <f t="shared" si="380"/>
        <v>0</v>
      </c>
      <c r="AP244" s="707">
        <f t="shared" si="381"/>
        <v>0</v>
      </c>
      <c r="AQ244" s="707">
        <f t="shared" si="382"/>
        <v>0</v>
      </c>
      <c r="AR244" s="707">
        <f t="shared" si="383"/>
        <v>0</v>
      </c>
      <c r="AS244" s="712">
        <f t="shared" si="384"/>
        <v>0</v>
      </c>
      <c r="AV244" s="1559"/>
      <c r="AW244" s="1392" t="str">
        <f t="shared" si="332"/>
        <v>Qty</v>
      </c>
      <c r="AX244" s="1393" t="str">
        <f t="shared" si="332"/>
        <v>Water</v>
      </c>
      <c r="AY244" s="1394" t="str">
        <f t="shared" si="333"/>
        <v>Fixed</v>
      </c>
      <c r="AZ244" s="1395" t="str">
        <f t="shared" si="447"/>
        <v>-</v>
      </c>
      <c r="BA244" s="1395" t="str">
        <f t="shared" si="447"/>
        <v>-</v>
      </c>
      <c r="BB244" s="1395" t="str">
        <f t="shared" si="447"/>
        <v>-</v>
      </c>
      <c r="BC244" s="1395" t="str">
        <f t="shared" si="335"/>
        <v>-</v>
      </c>
      <c r="BD244" s="1395" t="str">
        <f t="shared" si="336"/>
        <v>-</v>
      </c>
      <c r="BE244" s="1395" t="str">
        <f t="shared" si="337"/>
        <v>-</v>
      </c>
      <c r="BF244" s="1395" t="str">
        <f t="shared" si="338"/>
        <v>-</v>
      </c>
      <c r="BG244" s="1396" t="str">
        <f t="shared" si="339"/>
        <v>-</v>
      </c>
      <c r="BH244" s="1395" t="str">
        <f t="shared" si="340"/>
        <v>-</v>
      </c>
      <c r="BI244" s="1395" t="str">
        <f t="shared" si="341"/>
        <v>-</v>
      </c>
      <c r="BJ244" s="1395" t="str">
        <f t="shared" si="342"/>
        <v>-</v>
      </c>
      <c r="BK244" s="1395" t="str">
        <f t="shared" si="343"/>
        <v>-</v>
      </c>
      <c r="BL244" s="1397" t="str">
        <f t="shared" si="344"/>
        <v>-</v>
      </c>
      <c r="BM244" s="1395" t="str">
        <f t="shared" si="345"/>
        <v>-</v>
      </c>
      <c r="BN244" s="1395" t="str">
        <f t="shared" si="346"/>
        <v>-</v>
      </c>
      <c r="BO244" s="1395" t="str">
        <f t="shared" si="347"/>
        <v>-</v>
      </c>
      <c r="BP244" s="1395" t="str">
        <f t="shared" si="348"/>
        <v>-</v>
      </c>
      <c r="BQ244" s="1398" t="str">
        <f t="shared" si="349"/>
        <v>-</v>
      </c>
      <c r="BR244" s="1378"/>
      <c r="BS244" s="1329"/>
      <c r="BT244" s="1399"/>
      <c r="BU244" s="1331"/>
      <c r="BV244" s="1400"/>
      <c r="BW244" s="1378"/>
      <c r="BX244" s="1392" t="str">
        <f t="shared" si="350"/>
        <v>Qty</v>
      </c>
      <c r="BY244" s="1393" t="str">
        <f t="shared" si="351"/>
        <v>Water</v>
      </c>
      <c r="BZ244" s="1394" t="str">
        <f t="shared" si="352"/>
        <v>Fixed</v>
      </c>
      <c r="CA244" s="1401" t="str">
        <f t="shared" ref="CA244:CR244" si="450">IFERROR((P244/O244-1)*(O245/O$13),"-")</f>
        <v>-</v>
      </c>
      <c r="CB244" s="1395" t="str">
        <f t="shared" si="450"/>
        <v>-</v>
      </c>
      <c r="CC244" s="1395" t="str">
        <f t="shared" si="450"/>
        <v>-</v>
      </c>
      <c r="CD244" s="1395" t="str">
        <f t="shared" si="450"/>
        <v>-</v>
      </c>
      <c r="CE244" s="1395" t="str">
        <f t="shared" si="450"/>
        <v>-</v>
      </c>
      <c r="CF244" s="1395" t="str">
        <f t="shared" si="450"/>
        <v>-</v>
      </c>
      <c r="CG244" s="1395" t="str">
        <f t="shared" si="450"/>
        <v>-</v>
      </c>
      <c r="CH244" s="1397" t="str">
        <f t="shared" si="450"/>
        <v>-</v>
      </c>
      <c r="CI244" s="1395" t="str">
        <f t="shared" si="450"/>
        <v>-</v>
      </c>
      <c r="CJ244" s="1395" t="str">
        <f t="shared" si="450"/>
        <v>-</v>
      </c>
      <c r="CK244" s="1395" t="str">
        <f t="shared" si="450"/>
        <v>-</v>
      </c>
      <c r="CL244" s="1395" t="str">
        <f t="shared" si="450"/>
        <v>-</v>
      </c>
      <c r="CM244" s="1397" t="str">
        <f t="shared" si="450"/>
        <v>-</v>
      </c>
      <c r="CN244" s="1395" t="str">
        <f t="shared" si="450"/>
        <v>-</v>
      </c>
      <c r="CO244" s="1395" t="str">
        <f t="shared" si="450"/>
        <v>-</v>
      </c>
      <c r="CP244" s="1395" t="str">
        <f t="shared" si="450"/>
        <v>-</v>
      </c>
      <c r="CQ244" s="1395" t="str">
        <f t="shared" si="450"/>
        <v>-</v>
      </c>
      <c r="CR244" s="1398" t="str">
        <f t="shared" si="450"/>
        <v>-</v>
      </c>
      <c r="CS244" s="1378"/>
      <c r="CT244" s="1392" t="str">
        <f t="shared" si="328"/>
        <v>Qty</v>
      </c>
      <c r="CU244" s="1393" t="str">
        <f t="shared" si="329"/>
        <v>Water</v>
      </c>
      <c r="CV244" s="1393" t="str">
        <f t="shared" si="330"/>
        <v>Fixed</v>
      </c>
      <c r="CW244" s="1401" t="str">
        <f t="shared" si="354"/>
        <v>-</v>
      </c>
      <c r="CX244" s="1395" t="str">
        <f t="shared" si="355"/>
        <v>-</v>
      </c>
      <c r="CY244" s="1395" t="str">
        <f t="shared" si="356"/>
        <v>-</v>
      </c>
      <c r="CZ244" s="1398" t="str">
        <f t="shared" si="357"/>
        <v>-</v>
      </c>
      <c r="DA244" s="1395" t="str">
        <f t="shared" si="358"/>
        <v>-</v>
      </c>
      <c r="DB244" s="1395" t="str">
        <f t="shared" si="359"/>
        <v>-</v>
      </c>
      <c r="DC244" s="1395" t="str">
        <f t="shared" si="360"/>
        <v>-</v>
      </c>
      <c r="DD244" s="1395" t="str">
        <f t="shared" si="361"/>
        <v>-</v>
      </c>
      <c r="DE244" s="1398" t="str">
        <f t="shared" si="362"/>
        <v>-</v>
      </c>
      <c r="DF244" s="1378"/>
      <c r="DG244" s="1392" t="str">
        <f t="shared" si="363"/>
        <v>Qty</v>
      </c>
      <c r="DH244" s="1393" t="str">
        <f t="shared" si="363"/>
        <v>Water</v>
      </c>
      <c r="DI244" s="1393" t="str">
        <f t="shared" si="363"/>
        <v>Fixed</v>
      </c>
      <c r="DJ244" s="1393"/>
      <c r="DK244" s="1401" t="str">
        <f t="shared" si="364"/>
        <v>-</v>
      </c>
      <c r="DL244" s="1395" t="str">
        <f t="shared" si="365"/>
        <v>-</v>
      </c>
      <c r="DM244" s="1395" t="str">
        <f t="shared" si="366"/>
        <v>-</v>
      </c>
      <c r="DN244" s="1397" t="str">
        <f t="shared" si="367"/>
        <v>-</v>
      </c>
      <c r="DO244" s="1395" t="str">
        <f t="shared" si="368"/>
        <v>-</v>
      </c>
      <c r="DP244" s="1395" t="str">
        <f t="shared" si="369"/>
        <v>-</v>
      </c>
      <c r="DQ244" s="1395" t="str">
        <f t="shared" si="370"/>
        <v>-</v>
      </c>
      <c r="DR244" s="1398" t="str">
        <f t="shared" si="371"/>
        <v>-</v>
      </c>
    </row>
    <row r="245" spans="4:122" ht="12.75" thickBot="1">
      <c r="E245" s="743" t="s">
        <v>46</v>
      </c>
      <c r="F245" s="732" t="str">
        <f>+F243</f>
        <v>Water</v>
      </c>
      <c r="G245" s="733" t="str">
        <f>+G243</f>
        <v>Cat C - Non Potable Fixed Charge 25mm</v>
      </c>
      <c r="H245" s="733">
        <f>+H243</f>
        <v>0</v>
      </c>
      <c r="I245" s="734" t="str">
        <f>+I243</f>
        <v>Fixed</v>
      </c>
      <c r="J245" s="735" t="s">
        <v>344</v>
      </c>
      <c r="K245" s="736">
        <f t="shared" ref="K245:AG245" si="451">K243*K244/10^6</f>
        <v>0</v>
      </c>
      <c r="L245" s="737">
        <f t="shared" si="451"/>
        <v>0</v>
      </c>
      <c r="M245" s="737">
        <f t="shared" si="451"/>
        <v>0</v>
      </c>
      <c r="N245" s="738">
        <f t="shared" si="451"/>
        <v>0</v>
      </c>
      <c r="O245" s="1923">
        <f t="shared" si="451"/>
        <v>0</v>
      </c>
      <c r="P245" s="737">
        <f t="shared" si="451"/>
        <v>0</v>
      </c>
      <c r="Q245" s="737">
        <f t="shared" si="451"/>
        <v>0</v>
      </c>
      <c r="R245" s="737">
        <f t="shared" si="451"/>
        <v>0</v>
      </c>
      <c r="S245" s="737">
        <f t="shared" si="451"/>
        <v>0</v>
      </c>
      <c r="T245" s="1531">
        <f t="shared" si="451"/>
        <v>0</v>
      </c>
      <c r="U245" s="737">
        <f t="shared" si="451"/>
        <v>0</v>
      </c>
      <c r="V245" s="737">
        <f t="shared" si="451"/>
        <v>0</v>
      </c>
      <c r="W245" s="737">
        <f t="shared" si="451"/>
        <v>0</v>
      </c>
      <c r="X245" s="738">
        <f t="shared" si="451"/>
        <v>0</v>
      </c>
      <c r="Y245" s="737">
        <f t="shared" si="451"/>
        <v>0</v>
      </c>
      <c r="Z245" s="737">
        <f t="shared" si="451"/>
        <v>0</v>
      </c>
      <c r="AA245" s="737">
        <f t="shared" si="451"/>
        <v>0</v>
      </c>
      <c r="AB245" s="737">
        <f t="shared" si="451"/>
        <v>0</v>
      </c>
      <c r="AC245" s="738">
        <f t="shared" si="451"/>
        <v>0</v>
      </c>
      <c r="AD245" s="737">
        <f t="shared" si="451"/>
        <v>0</v>
      </c>
      <c r="AE245" s="737">
        <f t="shared" si="451"/>
        <v>0</v>
      </c>
      <c r="AF245" s="737">
        <f t="shared" si="451"/>
        <v>0</v>
      </c>
      <c r="AG245" s="739">
        <f t="shared" si="451"/>
        <v>0</v>
      </c>
      <c r="AH245" s="697"/>
      <c r="AI245" s="707"/>
      <c r="AJ245" s="709">
        <f t="shared" si="375"/>
        <v>0</v>
      </c>
      <c r="AK245" s="710">
        <f t="shared" si="376"/>
        <v>0</v>
      </c>
      <c r="AL245" s="710">
        <f t="shared" si="377"/>
        <v>0</v>
      </c>
      <c r="AM245" s="710">
        <f t="shared" si="378"/>
        <v>0</v>
      </c>
      <c r="AN245" s="710">
        <f t="shared" si="379"/>
        <v>0</v>
      </c>
      <c r="AO245" s="711">
        <f t="shared" si="380"/>
        <v>0</v>
      </c>
      <c r="AP245" s="707">
        <f t="shared" si="381"/>
        <v>0</v>
      </c>
      <c r="AQ245" s="707">
        <f t="shared" si="382"/>
        <v>0</v>
      </c>
      <c r="AR245" s="707">
        <f t="shared" si="383"/>
        <v>0</v>
      </c>
      <c r="AS245" s="712">
        <f t="shared" si="384"/>
        <v>0</v>
      </c>
      <c r="AV245" s="1559"/>
      <c r="AW245" s="1428" t="str">
        <f t="shared" si="332"/>
        <v>Rev</v>
      </c>
      <c r="AX245" s="1429" t="str">
        <f t="shared" si="332"/>
        <v>Water</v>
      </c>
      <c r="AY245" s="1430" t="str">
        <f t="shared" si="333"/>
        <v>Fixed</v>
      </c>
      <c r="AZ245" s="1431" t="str">
        <f t="shared" si="447"/>
        <v>-</v>
      </c>
      <c r="BA245" s="1431" t="str">
        <f t="shared" si="447"/>
        <v>-</v>
      </c>
      <c r="BB245" s="1431" t="str">
        <f t="shared" si="447"/>
        <v>-</v>
      </c>
      <c r="BC245" s="1431" t="str">
        <f t="shared" si="335"/>
        <v>-</v>
      </c>
      <c r="BD245" s="1431" t="str">
        <f t="shared" si="336"/>
        <v>-</v>
      </c>
      <c r="BE245" s="1431" t="str">
        <f t="shared" si="337"/>
        <v>-</v>
      </c>
      <c r="BF245" s="1431" t="str">
        <f t="shared" si="338"/>
        <v>-</v>
      </c>
      <c r="BG245" s="1432" t="str">
        <f t="shared" si="339"/>
        <v>-</v>
      </c>
      <c r="BH245" s="1431" t="str">
        <f t="shared" si="340"/>
        <v>-</v>
      </c>
      <c r="BI245" s="1431" t="str">
        <f t="shared" si="341"/>
        <v>-</v>
      </c>
      <c r="BJ245" s="1431" t="str">
        <f t="shared" si="342"/>
        <v>-</v>
      </c>
      <c r="BK245" s="1431" t="str">
        <f t="shared" si="343"/>
        <v>-</v>
      </c>
      <c r="BL245" s="1433" t="str">
        <f t="shared" si="344"/>
        <v>-</v>
      </c>
      <c r="BM245" s="1431" t="str">
        <f t="shared" si="345"/>
        <v>-</v>
      </c>
      <c r="BN245" s="1431" t="str">
        <f t="shared" si="346"/>
        <v>-</v>
      </c>
      <c r="BO245" s="1431" t="str">
        <f t="shared" si="347"/>
        <v>-</v>
      </c>
      <c r="BP245" s="1431" t="str">
        <f t="shared" si="348"/>
        <v>-</v>
      </c>
      <c r="BQ245" s="1434" t="str">
        <f t="shared" si="349"/>
        <v>-</v>
      </c>
      <c r="BR245" s="1378"/>
      <c r="BS245" s="1407"/>
      <c r="BT245" s="1408"/>
      <c r="BU245" s="1409"/>
      <c r="BV245" s="1410"/>
      <c r="BW245" s="1378"/>
      <c r="BX245" s="1428" t="str">
        <f t="shared" si="350"/>
        <v>Rev</v>
      </c>
      <c r="BY245" s="1429" t="str">
        <f t="shared" si="351"/>
        <v>Water</v>
      </c>
      <c r="BZ245" s="1430" t="str">
        <f t="shared" si="352"/>
        <v>Fixed</v>
      </c>
      <c r="CA245" s="1435" t="str">
        <f t="shared" ref="CA245:CR245" si="452">IFERROR((P245/O245-1)*(O245/O$13),"-")</f>
        <v>-</v>
      </c>
      <c r="CB245" s="1431" t="str">
        <f t="shared" si="452"/>
        <v>-</v>
      </c>
      <c r="CC245" s="1431" t="str">
        <f t="shared" si="452"/>
        <v>-</v>
      </c>
      <c r="CD245" s="1431" t="str">
        <f t="shared" si="452"/>
        <v>-</v>
      </c>
      <c r="CE245" s="1431" t="str">
        <f t="shared" si="452"/>
        <v>-</v>
      </c>
      <c r="CF245" s="1431" t="str">
        <f t="shared" si="452"/>
        <v>-</v>
      </c>
      <c r="CG245" s="1431" t="str">
        <f t="shared" si="452"/>
        <v>-</v>
      </c>
      <c r="CH245" s="1433" t="str">
        <f t="shared" si="452"/>
        <v>-</v>
      </c>
      <c r="CI245" s="1431" t="str">
        <f t="shared" si="452"/>
        <v>-</v>
      </c>
      <c r="CJ245" s="1431" t="str">
        <f t="shared" si="452"/>
        <v>-</v>
      </c>
      <c r="CK245" s="1431" t="str">
        <f t="shared" si="452"/>
        <v>-</v>
      </c>
      <c r="CL245" s="1431" t="str">
        <f t="shared" si="452"/>
        <v>-</v>
      </c>
      <c r="CM245" s="1433" t="str">
        <f t="shared" si="452"/>
        <v>-</v>
      </c>
      <c r="CN245" s="1431" t="str">
        <f t="shared" si="452"/>
        <v>-</v>
      </c>
      <c r="CO245" s="1431" t="str">
        <f t="shared" si="452"/>
        <v>-</v>
      </c>
      <c r="CP245" s="1431" t="str">
        <f t="shared" si="452"/>
        <v>-</v>
      </c>
      <c r="CQ245" s="1431" t="str">
        <f t="shared" si="452"/>
        <v>-</v>
      </c>
      <c r="CR245" s="1434" t="str">
        <f t="shared" si="452"/>
        <v>-</v>
      </c>
      <c r="CS245" s="1378"/>
      <c r="CT245" s="1428" t="str">
        <f t="shared" si="328"/>
        <v>Rev</v>
      </c>
      <c r="CU245" s="1429" t="str">
        <f t="shared" si="329"/>
        <v>Water</v>
      </c>
      <c r="CV245" s="1429" t="str">
        <f t="shared" si="330"/>
        <v>Fixed</v>
      </c>
      <c r="CW245" s="1435" t="str">
        <f t="shared" si="354"/>
        <v>-</v>
      </c>
      <c r="CX245" s="1431" t="str">
        <f t="shared" si="355"/>
        <v>-</v>
      </c>
      <c r="CY245" s="1431" t="str">
        <f t="shared" si="356"/>
        <v>-</v>
      </c>
      <c r="CZ245" s="1434" t="str">
        <f t="shared" si="357"/>
        <v>-</v>
      </c>
      <c r="DA245" s="1431" t="str">
        <f t="shared" si="358"/>
        <v>-</v>
      </c>
      <c r="DB245" s="1431" t="str">
        <f t="shared" si="359"/>
        <v>-</v>
      </c>
      <c r="DC245" s="1431" t="str">
        <f t="shared" si="360"/>
        <v>-</v>
      </c>
      <c r="DD245" s="1431" t="str">
        <f t="shared" si="361"/>
        <v>-</v>
      </c>
      <c r="DE245" s="1434" t="str">
        <f t="shared" si="362"/>
        <v>-</v>
      </c>
      <c r="DF245" s="1378"/>
      <c r="DG245" s="1428" t="str">
        <f t="shared" si="363"/>
        <v>Rev</v>
      </c>
      <c r="DH245" s="1429" t="str">
        <f t="shared" si="363"/>
        <v>Water</v>
      </c>
      <c r="DI245" s="1429" t="str">
        <f t="shared" si="363"/>
        <v>Fixed</v>
      </c>
      <c r="DJ245" s="1429"/>
      <c r="DK245" s="1435" t="str">
        <f t="shared" si="364"/>
        <v>-</v>
      </c>
      <c r="DL245" s="1431" t="str">
        <f t="shared" si="365"/>
        <v>-</v>
      </c>
      <c r="DM245" s="1431" t="str">
        <f t="shared" si="366"/>
        <v>-</v>
      </c>
      <c r="DN245" s="1433" t="str">
        <f t="shared" si="367"/>
        <v>-</v>
      </c>
      <c r="DO245" s="1431" t="str">
        <f t="shared" si="368"/>
        <v>-</v>
      </c>
      <c r="DP245" s="1431" t="str">
        <f t="shared" si="369"/>
        <v>-</v>
      </c>
      <c r="DQ245" s="1431" t="str">
        <f t="shared" si="370"/>
        <v>-</v>
      </c>
      <c r="DR245" s="1434" t="str">
        <f t="shared" si="371"/>
        <v>-</v>
      </c>
    </row>
    <row r="246" spans="4:122">
      <c r="D246" s="70">
        <f>D243+1</f>
        <v>61</v>
      </c>
      <c r="E246" s="713" t="s">
        <v>44</v>
      </c>
      <c r="F246" s="1532" t="s">
        <v>20</v>
      </c>
      <c r="G246" s="1532" t="s">
        <v>923</v>
      </c>
      <c r="H246" s="1532"/>
      <c r="I246" s="781" t="s">
        <v>319</v>
      </c>
      <c r="J246" s="781" t="s">
        <v>345</v>
      </c>
      <c r="K246" s="1533"/>
      <c r="L246" s="1534"/>
      <c r="M246" s="1534"/>
      <c r="N246" s="1535"/>
      <c r="O246" s="2071"/>
      <c r="P246" s="1547"/>
      <c r="Q246" s="1547"/>
      <c r="R246" s="1547"/>
      <c r="S246" s="1547"/>
      <c r="T246" s="1547"/>
      <c r="U246" s="1547"/>
      <c r="V246" s="1547"/>
      <c r="W246" s="1547"/>
      <c r="X246" s="1550"/>
      <c r="Y246" s="1551"/>
      <c r="Z246" s="1551"/>
      <c r="AA246" s="1551"/>
      <c r="AB246" s="1551"/>
      <c r="AC246" s="1550"/>
      <c r="AD246" s="1551"/>
      <c r="AE246" s="1551"/>
      <c r="AF246" s="1551"/>
      <c r="AG246" s="1552"/>
      <c r="AH246" s="697"/>
      <c r="AI246" s="707"/>
      <c r="AJ246" s="709">
        <f t="shared" si="375"/>
        <v>0</v>
      </c>
      <c r="AK246" s="710">
        <f t="shared" si="376"/>
        <v>0</v>
      </c>
      <c r="AL246" s="710">
        <f t="shared" si="377"/>
        <v>0</v>
      </c>
      <c r="AM246" s="710">
        <f t="shared" si="378"/>
        <v>0</v>
      </c>
      <c r="AN246" s="710">
        <f t="shared" si="379"/>
        <v>0</v>
      </c>
      <c r="AO246" s="711">
        <f t="shared" si="380"/>
        <v>0</v>
      </c>
      <c r="AP246" s="707">
        <f t="shared" si="381"/>
        <v>0</v>
      </c>
      <c r="AQ246" s="707">
        <f t="shared" si="382"/>
        <v>0</v>
      </c>
      <c r="AR246" s="707">
        <f t="shared" si="383"/>
        <v>0</v>
      </c>
      <c r="AS246" s="712">
        <f t="shared" si="384"/>
        <v>0</v>
      </c>
      <c r="AU246" s="1369"/>
      <c r="AV246" s="1559"/>
      <c r="AW246" s="1412" t="str">
        <f t="shared" si="332"/>
        <v>Price</v>
      </c>
      <c r="AX246" s="1413" t="str">
        <f t="shared" si="332"/>
        <v>Water</v>
      </c>
      <c r="AY246" s="1414" t="str">
        <f t="shared" si="333"/>
        <v>Fixed</v>
      </c>
      <c r="AZ246" s="1415" t="str">
        <f t="shared" si="447"/>
        <v>-</v>
      </c>
      <c r="BA246" s="1415" t="str">
        <f t="shared" si="447"/>
        <v>-</v>
      </c>
      <c r="BB246" s="1415" t="str">
        <f t="shared" si="447"/>
        <v>-</v>
      </c>
      <c r="BC246" s="1415" t="str">
        <f t="shared" si="335"/>
        <v>-</v>
      </c>
      <c r="BD246" s="1415" t="str">
        <f t="shared" si="336"/>
        <v>-</v>
      </c>
      <c r="BE246" s="1415" t="str">
        <f t="shared" si="337"/>
        <v>-</v>
      </c>
      <c r="BF246" s="1415" t="str">
        <f t="shared" si="338"/>
        <v>-</v>
      </c>
      <c r="BG246" s="1416" t="str">
        <f t="shared" si="339"/>
        <v>-</v>
      </c>
      <c r="BH246" s="1417" t="str">
        <f t="shared" si="340"/>
        <v>-</v>
      </c>
      <c r="BI246" s="1417" t="str">
        <f t="shared" si="341"/>
        <v>-</v>
      </c>
      <c r="BJ246" s="1417" t="str">
        <f t="shared" si="342"/>
        <v>-</v>
      </c>
      <c r="BK246" s="1417" t="str">
        <f t="shared" si="343"/>
        <v>-</v>
      </c>
      <c r="BL246" s="1418" t="str">
        <f t="shared" si="344"/>
        <v>-</v>
      </c>
      <c r="BM246" s="1417" t="str">
        <f t="shared" si="345"/>
        <v>-</v>
      </c>
      <c r="BN246" s="1417" t="str">
        <f t="shared" si="346"/>
        <v>-</v>
      </c>
      <c r="BO246" s="1417" t="str">
        <f t="shared" si="347"/>
        <v>-</v>
      </c>
      <c r="BP246" s="1417" t="str">
        <f t="shared" si="348"/>
        <v>-</v>
      </c>
      <c r="BQ246" s="1419" t="str">
        <f t="shared" si="349"/>
        <v>-</v>
      </c>
      <c r="BR246" s="1378"/>
      <c r="BS246" s="1420"/>
      <c r="BT246" s="1421"/>
      <c r="BU246" s="1422"/>
      <c r="BV246" s="1423"/>
      <c r="BW246" s="1378"/>
      <c r="BX246" s="1412" t="str">
        <f t="shared" si="350"/>
        <v>Price</v>
      </c>
      <c r="BY246" s="1413" t="str">
        <f t="shared" si="351"/>
        <v>Water</v>
      </c>
      <c r="BZ246" s="1414" t="str">
        <f t="shared" si="352"/>
        <v>Fixed</v>
      </c>
      <c r="CA246" s="1424" t="str">
        <f t="shared" ref="CA246:CR246" si="453">IFERROR((P246/O246-1)*(O248/O$13),"-")</f>
        <v>-</v>
      </c>
      <c r="CB246" s="1415" t="str">
        <f t="shared" si="453"/>
        <v>-</v>
      </c>
      <c r="CC246" s="1415" t="str">
        <f t="shared" si="453"/>
        <v>-</v>
      </c>
      <c r="CD246" s="1415" t="str">
        <f t="shared" si="453"/>
        <v>-</v>
      </c>
      <c r="CE246" s="1415" t="str">
        <f t="shared" si="453"/>
        <v>-</v>
      </c>
      <c r="CF246" s="1415" t="str">
        <f t="shared" si="453"/>
        <v>-</v>
      </c>
      <c r="CG246" s="1415" t="str">
        <f t="shared" si="453"/>
        <v>-</v>
      </c>
      <c r="CH246" s="1425" t="str">
        <f t="shared" si="453"/>
        <v>-</v>
      </c>
      <c r="CI246" s="1417" t="str">
        <f t="shared" si="453"/>
        <v>-</v>
      </c>
      <c r="CJ246" s="1417" t="str">
        <f t="shared" si="453"/>
        <v>-</v>
      </c>
      <c r="CK246" s="1417" t="str">
        <f t="shared" si="453"/>
        <v>-</v>
      </c>
      <c r="CL246" s="1417" t="str">
        <f t="shared" si="453"/>
        <v>-</v>
      </c>
      <c r="CM246" s="1418" t="str">
        <f t="shared" si="453"/>
        <v>-</v>
      </c>
      <c r="CN246" s="1417" t="str">
        <f t="shared" si="453"/>
        <v>-</v>
      </c>
      <c r="CO246" s="1417" t="str">
        <f t="shared" si="453"/>
        <v>-</v>
      </c>
      <c r="CP246" s="1417" t="str">
        <f t="shared" si="453"/>
        <v>-</v>
      </c>
      <c r="CQ246" s="1417" t="str">
        <f t="shared" si="453"/>
        <v>-</v>
      </c>
      <c r="CR246" s="1419" t="str">
        <f t="shared" si="453"/>
        <v>-</v>
      </c>
      <c r="CS246" s="1378"/>
      <c r="CT246" s="1412" t="str">
        <f t="shared" si="328"/>
        <v>Price</v>
      </c>
      <c r="CU246" s="1413" t="str">
        <f t="shared" si="329"/>
        <v>Water</v>
      </c>
      <c r="CV246" s="1426" t="str">
        <f t="shared" si="330"/>
        <v>Fixed</v>
      </c>
      <c r="CW246" s="1427" t="str">
        <f t="shared" si="354"/>
        <v>-</v>
      </c>
      <c r="CX246" s="1417" t="str">
        <f t="shared" si="355"/>
        <v>-</v>
      </c>
      <c r="CY246" s="1417" t="str">
        <f t="shared" si="356"/>
        <v>-</v>
      </c>
      <c r="CZ246" s="1419" t="str">
        <f t="shared" si="357"/>
        <v>-</v>
      </c>
      <c r="DA246" s="1417" t="str">
        <f t="shared" si="358"/>
        <v>-</v>
      </c>
      <c r="DB246" s="1417" t="str">
        <f t="shared" si="359"/>
        <v>-</v>
      </c>
      <c r="DC246" s="1417" t="str">
        <f t="shared" si="360"/>
        <v>-</v>
      </c>
      <c r="DD246" s="1417" t="str">
        <f t="shared" si="361"/>
        <v>-</v>
      </c>
      <c r="DE246" s="1419" t="str">
        <f t="shared" si="362"/>
        <v>-</v>
      </c>
      <c r="DF246" s="1378"/>
      <c r="DG246" s="1412" t="str">
        <f t="shared" si="363"/>
        <v>Price</v>
      </c>
      <c r="DH246" s="1413" t="str">
        <f t="shared" si="363"/>
        <v>Water</v>
      </c>
      <c r="DI246" s="1426" t="str">
        <f t="shared" si="363"/>
        <v>Fixed</v>
      </c>
      <c r="DJ246" s="1426"/>
      <c r="DK246" s="1427" t="str">
        <f t="shared" si="364"/>
        <v>-</v>
      </c>
      <c r="DL246" s="1417" t="str">
        <f t="shared" si="365"/>
        <v>-</v>
      </c>
      <c r="DM246" s="1417" t="str">
        <f t="shared" si="366"/>
        <v>-</v>
      </c>
      <c r="DN246" s="1418" t="str">
        <f t="shared" si="367"/>
        <v>-</v>
      </c>
      <c r="DO246" s="1417" t="str">
        <f t="shared" si="368"/>
        <v>-</v>
      </c>
      <c r="DP246" s="1417" t="str">
        <f t="shared" si="369"/>
        <v>-</v>
      </c>
      <c r="DQ246" s="1417" t="str">
        <f t="shared" si="370"/>
        <v>-</v>
      </c>
      <c r="DR246" s="1419" t="str">
        <f t="shared" si="371"/>
        <v>-</v>
      </c>
    </row>
    <row r="247" spans="4:122">
      <c r="E247" s="742" t="s">
        <v>45</v>
      </c>
      <c r="F247" s="722" t="str">
        <f>+F246</f>
        <v>Water</v>
      </c>
      <c r="G247" s="723" t="str">
        <f>+G246</f>
        <v>Cat C - Non Potable Fixed Charge 32mm</v>
      </c>
      <c r="H247" s="723">
        <f>+H246</f>
        <v>0</v>
      </c>
      <c r="I247" s="724" t="str">
        <f>+I246</f>
        <v>Fixed</v>
      </c>
      <c r="J247" s="782" t="s">
        <v>323</v>
      </c>
      <c r="K247" s="1540"/>
      <c r="L247" s="1541"/>
      <c r="M247" s="1541"/>
      <c r="N247" s="1542"/>
      <c r="O247" s="2031"/>
      <c r="P247" s="1543"/>
      <c r="Q247" s="1543"/>
      <c r="R247" s="1543"/>
      <c r="S247" s="1543"/>
      <c r="T247" s="1543"/>
      <c r="U247" s="1543"/>
      <c r="V247" s="1543"/>
      <c r="W247" s="1543"/>
      <c r="X247" s="1544"/>
      <c r="Y247" s="1543"/>
      <c r="Z247" s="1543"/>
      <c r="AA247" s="1543"/>
      <c r="AB247" s="1543"/>
      <c r="AC247" s="1544"/>
      <c r="AD247" s="1543"/>
      <c r="AE247" s="1543"/>
      <c r="AF247" s="1543"/>
      <c r="AG247" s="1553"/>
      <c r="AH247" s="697"/>
      <c r="AI247" s="707"/>
      <c r="AJ247" s="709">
        <f t="shared" si="375"/>
        <v>0</v>
      </c>
      <c r="AK247" s="710">
        <f t="shared" si="376"/>
        <v>0</v>
      </c>
      <c r="AL247" s="710">
        <f t="shared" si="377"/>
        <v>0</v>
      </c>
      <c r="AM247" s="710">
        <f t="shared" si="378"/>
        <v>0</v>
      </c>
      <c r="AN247" s="710">
        <f t="shared" si="379"/>
        <v>0</v>
      </c>
      <c r="AO247" s="711">
        <f t="shared" si="380"/>
        <v>0</v>
      </c>
      <c r="AP247" s="707">
        <f t="shared" si="381"/>
        <v>0</v>
      </c>
      <c r="AQ247" s="707">
        <f t="shared" si="382"/>
        <v>0</v>
      </c>
      <c r="AR247" s="707">
        <f t="shared" si="383"/>
        <v>0</v>
      </c>
      <c r="AS247" s="712">
        <f t="shared" si="384"/>
        <v>0</v>
      </c>
      <c r="AV247" s="1559"/>
      <c r="AW247" s="1392" t="str">
        <f t="shared" si="332"/>
        <v>Qty</v>
      </c>
      <c r="AX247" s="1393" t="str">
        <f t="shared" si="332"/>
        <v>Water</v>
      </c>
      <c r="AY247" s="1394" t="str">
        <f t="shared" si="333"/>
        <v>Fixed</v>
      </c>
      <c r="AZ247" s="1395" t="str">
        <f t="shared" si="447"/>
        <v>-</v>
      </c>
      <c r="BA247" s="1395" t="str">
        <f t="shared" si="447"/>
        <v>-</v>
      </c>
      <c r="BB247" s="1395" t="str">
        <f t="shared" si="447"/>
        <v>-</v>
      </c>
      <c r="BC247" s="1395" t="str">
        <f t="shared" si="335"/>
        <v>-</v>
      </c>
      <c r="BD247" s="1395" t="str">
        <f t="shared" si="336"/>
        <v>-</v>
      </c>
      <c r="BE247" s="1395" t="str">
        <f t="shared" si="337"/>
        <v>-</v>
      </c>
      <c r="BF247" s="1395" t="str">
        <f t="shared" si="338"/>
        <v>-</v>
      </c>
      <c r="BG247" s="1396" t="str">
        <f t="shared" si="339"/>
        <v>-</v>
      </c>
      <c r="BH247" s="1395" t="str">
        <f t="shared" si="340"/>
        <v>-</v>
      </c>
      <c r="BI247" s="1395" t="str">
        <f t="shared" si="341"/>
        <v>-</v>
      </c>
      <c r="BJ247" s="1395" t="str">
        <f t="shared" si="342"/>
        <v>-</v>
      </c>
      <c r="BK247" s="1395" t="str">
        <f t="shared" si="343"/>
        <v>-</v>
      </c>
      <c r="BL247" s="1397" t="str">
        <f t="shared" si="344"/>
        <v>-</v>
      </c>
      <c r="BM247" s="1395" t="str">
        <f t="shared" si="345"/>
        <v>-</v>
      </c>
      <c r="BN247" s="1395" t="str">
        <f t="shared" si="346"/>
        <v>-</v>
      </c>
      <c r="BO247" s="1395" t="str">
        <f t="shared" si="347"/>
        <v>-</v>
      </c>
      <c r="BP247" s="1395" t="str">
        <f t="shared" si="348"/>
        <v>-</v>
      </c>
      <c r="BQ247" s="1398" t="str">
        <f t="shared" si="349"/>
        <v>-</v>
      </c>
      <c r="BR247" s="1378"/>
      <c r="BS247" s="1329"/>
      <c r="BT247" s="1399"/>
      <c r="BU247" s="1331"/>
      <c r="BV247" s="1400"/>
      <c r="BW247" s="1378"/>
      <c r="BX247" s="1392" t="str">
        <f t="shared" si="350"/>
        <v>Qty</v>
      </c>
      <c r="BY247" s="1393" t="str">
        <f t="shared" si="351"/>
        <v>Water</v>
      </c>
      <c r="BZ247" s="1394" t="str">
        <f t="shared" si="352"/>
        <v>Fixed</v>
      </c>
      <c r="CA247" s="1401" t="str">
        <f t="shared" ref="CA247:CR247" si="454">IFERROR((P247/O247-1)*(O248/O$13),"-")</f>
        <v>-</v>
      </c>
      <c r="CB247" s="1395" t="str">
        <f t="shared" si="454"/>
        <v>-</v>
      </c>
      <c r="CC247" s="1395" t="str">
        <f t="shared" si="454"/>
        <v>-</v>
      </c>
      <c r="CD247" s="1395" t="str">
        <f t="shared" si="454"/>
        <v>-</v>
      </c>
      <c r="CE247" s="1395" t="str">
        <f t="shared" si="454"/>
        <v>-</v>
      </c>
      <c r="CF247" s="1395" t="str">
        <f t="shared" si="454"/>
        <v>-</v>
      </c>
      <c r="CG247" s="1395" t="str">
        <f t="shared" si="454"/>
        <v>-</v>
      </c>
      <c r="CH247" s="1397" t="str">
        <f t="shared" si="454"/>
        <v>-</v>
      </c>
      <c r="CI247" s="1395" t="str">
        <f t="shared" si="454"/>
        <v>-</v>
      </c>
      <c r="CJ247" s="1395" t="str">
        <f t="shared" si="454"/>
        <v>-</v>
      </c>
      <c r="CK247" s="1395" t="str">
        <f t="shared" si="454"/>
        <v>-</v>
      </c>
      <c r="CL247" s="1395" t="str">
        <f t="shared" si="454"/>
        <v>-</v>
      </c>
      <c r="CM247" s="1397" t="str">
        <f t="shared" si="454"/>
        <v>-</v>
      </c>
      <c r="CN247" s="1395" t="str">
        <f t="shared" si="454"/>
        <v>-</v>
      </c>
      <c r="CO247" s="1395" t="str">
        <f t="shared" si="454"/>
        <v>-</v>
      </c>
      <c r="CP247" s="1395" t="str">
        <f t="shared" si="454"/>
        <v>-</v>
      </c>
      <c r="CQ247" s="1395" t="str">
        <f t="shared" si="454"/>
        <v>-</v>
      </c>
      <c r="CR247" s="1398" t="str">
        <f t="shared" si="454"/>
        <v>-</v>
      </c>
      <c r="CS247" s="1378"/>
      <c r="CT247" s="1392" t="str">
        <f t="shared" si="328"/>
        <v>Qty</v>
      </c>
      <c r="CU247" s="1393" t="str">
        <f t="shared" si="329"/>
        <v>Water</v>
      </c>
      <c r="CV247" s="1393" t="str">
        <f t="shared" si="330"/>
        <v>Fixed</v>
      </c>
      <c r="CW247" s="1401" t="str">
        <f t="shared" si="354"/>
        <v>-</v>
      </c>
      <c r="CX247" s="1395" t="str">
        <f t="shared" si="355"/>
        <v>-</v>
      </c>
      <c r="CY247" s="1395" t="str">
        <f t="shared" si="356"/>
        <v>-</v>
      </c>
      <c r="CZ247" s="1398" t="str">
        <f t="shared" si="357"/>
        <v>-</v>
      </c>
      <c r="DA247" s="1395" t="str">
        <f t="shared" si="358"/>
        <v>-</v>
      </c>
      <c r="DB247" s="1395" t="str">
        <f t="shared" si="359"/>
        <v>-</v>
      </c>
      <c r="DC247" s="1395" t="str">
        <f t="shared" si="360"/>
        <v>-</v>
      </c>
      <c r="DD247" s="1395" t="str">
        <f t="shared" si="361"/>
        <v>-</v>
      </c>
      <c r="DE247" s="1398" t="str">
        <f t="shared" si="362"/>
        <v>-</v>
      </c>
      <c r="DF247" s="1378"/>
      <c r="DG247" s="1392" t="str">
        <f t="shared" si="363"/>
        <v>Qty</v>
      </c>
      <c r="DH247" s="1393" t="str">
        <f t="shared" si="363"/>
        <v>Water</v>
      </c>
      <c r="DI247" s="1393" t="str">
        <f t="shared" si="363"/>
        <v>Fixed</v>
      </c>
      <c r="DJ247" s="1393"/>
      <c r="DK247" s="1401" t="str">
        <f t="shared" si="364"/>
        <v>-</v>
      </c>
      <c r="DL247" s="1395" t="str">
        <f t="shared" si="365"/>
        <v>-</v>
      </c>
      <c r="DM247" s="1395" t="str">
        <f t="shared" si="366"/>
        <v>-</v>
      </c>
      <c r="DN247" s="1397" t="str">
        <f t="shared" si="367"/>
        <v>-</v>
      </c>
      <c r="DO247" s="1395" t="str">
        <f t="shared" si="368"/>
        <v>-</v>
      </c>
      <c r="DP247" s="1395" t="str">
        <f t="shared" si="369"/>
        <v>-</v>
      </c>
      <c r="DQ247" s="1395" t="str">
        <f t="shared" si="370"/>
        <v>-</v>
      </c>
      <c r="DR247" s="1398" t="str">
        <f t="shared" si="371"/>
        <v>-</v>
      </c>
    </row>
    <row r="248" spans="4:122" ht="12.75" thickBot="1">
      <c r="E248" s="743" t="s">
        <v>46</v>
      </c>
      <c r="F248" s="732" t="str">
        <f>+F246</f>
        <v>Water</v>
      </c>
      <c r="G248" s="733" t="str">
        <f>+G246</f>
        <v>Cat C - Non Potable Fixed Charge 32mm</v>
      </c>
      <c r="H248" s="733">
        <f>+H246</f>
        <v>0</v>
      </c>
      <c r="I248" s="734" t="str">
        <f>+I246</f>
        <v>Fixed</v>
      </c>
      <c r="J248" s="735" t="s">
        <v>344</v>
      </c>
      <c r="K248" s="736">
        <f t="shared" ref="K248:AG248" si="455">K246*K247/10^6</f>
        <v>0</v>
      </c>
      <c r="L248" s="737">
        <f t="shared" si="455"/>
        <v>0</v>
      </c>
      <c r="M248" s="737">
        <f t="shared" si="455"/>
        <v>0</v>
      </c>
      <c r="N248" s="738">
        <f t="shared" si="455"/>
        <v>0</v>
      </c>
      <c r="O248" s="1923">
        <f t="shared" si="455"/>
        <v>0</v>
      </c>
      <c r="P248" s="737">
        <f t="shared" si="455"/>
        <v>0</v>
      </c>
      <c r="Q248" s="737">
        <f t="shared" si="455"/>
        <v>0</v>
      </c>
      <c r="R248" s="737">
        <f t="shared" si="455"/>
        <v>0</v>
      </c>
      <c r="S248" s="737">
        <f t="shared" si="455"/>
        <v>0</v>
      </c>
      <c r="T248" s="1531">
        <f t="shared" si="455"/>
        <v>0</v>
      </c>
      <c r="U248" s="737">
        <f t="shared" si="455"/>
        <v>0</v>
      </c>
      <c r="V248" s="737">
        <f t="shared" si="455"/>
        <v>0</v>
      </c>
      <c r="W248" s="737">
        <f t="shared" si="455"/>
        <v>0</v>
      </c>
      <c r="X248" s="738">
        <f t="shared" si="455"/>
        <v>0</v>
      </c>
      <c r="Y248" s="737">
        <f t="shared" si="455"/>
        <v>0</v>
      </c>
      <c r="Z248" s="737">
        <f t="shared" si="455"/>
        <v>0</v>
      </c>
      <c r="AA248" s="737">
        <f t="shared" si="455"/>
        <v>0</v>
      </c>
      <c r="AB248" s="737">
        <f t="shared" si="455"/>
        <v>0</v>
      </c>
      <c r="AC248" s="738">
        <f t="shared" si="455"/>
        <v>0</v>
      </c>
      <c r="AD248" s="737">
        <f t="shared" si="455"/>
        <v>0</v>
      </c>
      <c r="AE248" s="737">
        <f t="shared" si="455"/>
        <v>0</v>
      </c>
      <c r="AF248" s="737">
        <f t="shared" si="455"/>
        <v>0</v>
      </c>
      <c r="AG248" s="739">
        <f t="shared" si="455"/>
        <v>0</v>
      </c>
      <c r="AH248" s="697"/>
      <c r="AI248" s="707"/>
      <c r="AJ248" s="709">
        <f t="shared" si="375"/>
        <v>0</v>
      </c>
      <c r="AK248" s="710">
        <f t="shared" si="376"/>
        <v>0</v>
      </c>
      <c r="AL248" s="710">
        <f t="shared" si="377"/>
        <v>0</v>
      </c>
      <c r="AM248" s="710">
        <f t="shared" si="378"/>
        <v>0</v>
      </c>
      <c r="AN248" s="710">
        <f t="shared" si="379"/>
        <v>0</v>
      </c>
      <c r="AO248" s="711">
        <f t="shared" si="380"/>
        <v>0</v>
      </c>
      <c r="AP248" s="707">
        <f t="shared" si="381"/>
        <v>0</v>
      </c>
      <c r="AQ248" s="707">
        <f t="shared" si="382"/>
        <v>0</v>
      </c>
      <c r="AR248" s="707">
        <f t="shared" si="383"/>
        <v>0</v>
      </c>
      <c r="AS248" s="712">
        <f t="shared" si="384"/>
        <v>0</v>
      </c>
      <c r="AV248" s="1559"/>
      <c r="AW248" s="1428" t="str">
        <f t="shared" si="332"/>
        <v>Rev</v>
      </c>
      <c r="AX248" s="1429" t="str">
        <f t="shared" si="332"/>
        <v>Water</v>
      </c>
      <c r="AY248" s="1430" t="str">
        <f t="shared" si="333"/>
        <v>Fixed</v>
      </c>
      <c r="AZ248" s="1431" t="str">
        <f t="shared" si="447"/>
        <v>-</v>
      </c>
      <c r="BA248" s="1431" t="str">
        <f t="shared" si="447"/>
        <v>-</v>
      </c>
      <c r="BB248" s="1431" t="str">
        <f t="shared" si="447"/>
        <v>-</v>
      </c>
      <c r="BC248" s="1431" t="str">
        <f t="shared" si="335"/>
        <v>-</v>
      </c>
      <c r="BD248" s="1431" t="str">
        <f t="shared" si="336"/>
        <v>-</v>
      </c>
      <c r="BE248" s="1431" t="str">
        <f t="shared" si="337"/>
        <v>-</v>
      </c>
      <c r="BF248" s="1431" t="str">
        <f t="shared" si="338"/>
        <v>-</v>
      </c>
      <c r="BG248" s="1432" t="str">
        <f t="shared" si="339"/>
        <v>-</v>
      </c>
      <c r="BH248" s="1431" t="str">
        <f t="shared" si="340"/>
        <v>-</v>
      </c>
      <c r="BI248" s="1431" t="str">
        <f t="shared" si="341"/>
        <v>-</v>
      </c>
      <c r="BJ248" s="1431" t="str">
        <f t="shared" si="342"/>
        <v>-</v>
      </c>
      <c r="BK248" s="1431" t="str">
        <f t="shared" si="343"/>
        <v>-</v>
      </c>
      <c r="BL248" s="1433" t="str">
        <f t="shared" si="344"/>
        <v>-</v>
      </c>
      <c r="BM248" s="1431" t="str">
        <f t="shared" si="345"/>
        <v>-</v>
      </c>
      <c r="BN248" s="1431" t="str">
        <f t="shared" si="346"/>
        <v>-</v>
      </c>
      <c r="BO248" s="1431" t="str">
        <f t="shared" si="347"/>
        <v>-</v>
      </c>
      <c r="BP248" s="1431" t="str">
        <f t="shared" si="348"/>
        <v>-</v>
      </c>
      <c r="BQ248" s="1434" t="str">
        <f t="shared" si="349"/>
        <v>-</v>
      </c>
      <c r="BR248" s="1378"/>
      <c r="BS248" s="1407"/>
      <c r="BT248" s="1408"/>
      <c r="BU248" s="1409"/>
      <c r="BV248" s="1410"/>
      <c r="BW248" s="1378"/>
      <c r="BX248" s="1428" t="str">
        <f t="shared" si="350"/>
        <v>Rev</v>
      </c>
      <c r="BY248" s="1429" t="str">
        <f t="shared" si="351"/>
        <v>Water</v>
      </c>
      <c r="BZ248" s="1430" t="str">
        <f t="shared" si="352"/>
        <v>Fixed</v>
      </c>
      <c r="CA248" s="1435" t="str">
        <f t="shared" ref="CA248:CR248" si="456">IFERROR((P248/O248-1)*(O248/O$13),"-")</f>
        <v>-</v>
      </c>
      <c r="CB248" s="1431" t="str">
        <f t="shared" si="456"/>
        <v>-</v>
      </c>
      <c r="CC248" s="1431" t="str">
        <f t="shared" si="456"/>
        <v>-</v>
      </c>
      <c r="CD248" s="1431" t="str">
        <f t="shared" si="456"/>
        <v>-</v>
      </c>
      <c r="CE248" s="1431" t="str">
        <f t="shared" si="456"/>
        <v>-</v>
      </c>
      <c r="CF248" s="1431" t="str">
        <f t="shared" si="456"/>
        <v>-</v>
      </c>
      <c r="CG248" s="1431" t="str">
        <f t="shared" si="456"/>
        <v>-</v>
      </c>
      <c r="CH248" s="1433" t="str">
        <f t="shared" si="456"/>
        <v>-</v>
      </c>
      <c r="CI248" s="1431" t="str">
        <f t="shared" si="456"/>
        <v>-</v>
      </c>
      <c r="CJ248" s="1431" t="str">
        <f t="shared" si="456"/>
        <v>-</v>
      </c>
      <c r="CK248" s="1431" t="str">
        <f t="shared" si="456"/>
        <v>-</v>
      </c>
      <c r="CL248" s="1431" t="str">
        <f t="shared" si="456"/>
        <v>-</v>
      </c>
      <c r="CM248" s="1433" t="str">
        <f t="shared" si="456"/>
        <v>-</v>
      </c>
      <c r="CN248" s="1431" t="str">
        <f t="shared" si="456"/>
        <v>-</v>
      </c>
      <c r="CO248" s="1431" t="str">
        <f t="shared" si="456"/>
        <v>-</v>
      </c>
      <c r="CP248" s="1431" t="str">
        <f t="shared" si="456"/>
        <v>-</v>
      </c>
      <c r="CQ248" s="1431" t="str">
        <f t="shared" si="456"/>
        <v>-</v>
      </c>
      <c r="CR248" s="1434" t="str">
        <f t="shared" si="456"/>
        <v>-</v>
      </c>
      <c r="CS248" s="1378"/>
      <c r="CT248" s="1428" t="str">
        <f t="shared" si="328"/>
        <v>Rev</v>
      </c>
      <c r="CU248" s="1429" t="str">
        <f t="shared" si="329"/>
        <v>Water</v>
      </c>
      <c r="CV248" s="1429" t="str">
        <f t="shared" si="330"/>
        <v>Fixed</v>
      </c>
      <c r="CW248" s="1435" t="str">
        <f t="shared" si="354"/>
        <v>-</v>
      </c>
      <c r="CX248" s="1431" t="str">
        <f t="shared" si="355"/>
        <v>-</v>
      </c>
      <c r="CY248" s="1431" t="str">
        <f t="shared" si="356"/>
        <v>-</v>
      </c>
      <c r="CZ248" s="1434" t="str">
        <f t="shared" si="357"/>
        <v>-</v>
      </c>
      <c r="DA248" s="1431" t="str">
        <f t="shared" si="358"/>
        <v>-</v>
      </c>
      <c r="DB248" s="1431" t="str">
        <f t="shared" si="359"/>
        <v>-</v>
      </c>
      <c r="DC248" s="1431" t="str">
        <f t="shared" si="360"/>
        <v>-</v>
      </c>
      <c r="DD248" s="1431" t="str">
        <f t="shared" si="361"/>
        <v>-</v>
      </c>
      <c r="DE248" s="1434" t="str">
        <f t="shared" si="362"/>
        <v>-</v>
      </c>
      <c r="DF248" s="1378"/>
      <c r="DG248" s="1428" t="str">
        <f t="shared" si="363"/>
        <v>Rev</v>
      </c>
      <c r="DH248" s="1429" t="str">
        <f t="shared" si="363"/>
        <v>Water</v>
      </c>
      <c r="DI248" s="1429" t="str">
        <f t="shared" si="363"/>
        <v>Fixed</v>
      </c>
      <c r="DJ248" s="1429"/>
      <c r="DK248" s="1435" t="str">
        <f t="shared" si="364"/>
        <v>-</v>
      </c>
      <c r="DL248" s="1431" t="str">
        <f t="shared" si="365"/>
        <v>-</v>
      </c>
      <c r="DM248" s="1431" t="str">
        <f t="shared" si="366"/>
        <v>-</v>
      </c>
      <c r="DN248" s="1433" t="str">
        <f t="shared" si="367"/>
        <v>-</v>
      </c>
      <c r="DO248" s="1431" t="str">
        <f t="shared" si="368"/>
        <v>-</v>
      </c>
      <c r="DP248" s="1431" t="str">
        <f t="shared" si="369"/>
        <v>-</v>
      </c>
      <c r="DQ248" s="1431" t="str">
        <f t="shared" si="370"/>
        <v>-</v>
      </c>
      <c r="DR248" s="1434" t="str">
        <f t="shared" si="371"/>
        <v>-</v>
      </c>
    </row>
    <row r="249" spans="4:122">
      <c r="D249" s="70">
        <f>D246+1</f>
        <v>62</v>
      </c>
      <c r="E249" s="713" t="s">
        <v>44</v>
      </c>
      <c r="F249" s="1532" t="s">
        <v>20</v>
      </c>
      <c r="G249" s="1532" t="s">
        <v>924</v>
      </c>
      <c r="H249" s="1532"/>
      <c r="I249" s="781" t="s">
        <v>319</v>
      </c>
      <c r="J249" s="781" t="s">
        <v>345</v>
      </c>
      <c r="K249" s="1533"/>
      <c r="L249" s="1534"/>
      <c r="M249" s="1534"/>
      <c r="N249" s="1535"/>
      <c r="O249" s="2071"/>
      <c r="P249" s="1547"/>
      <c r="Q249" s="1547"/>
      <c r="R249" s="1547"/>
      <c r="S249" s="1547"/>
      <c r="T249" s="1547"/>
      <c r="U249" s="1547"/>
      <c r="V249" s="1547"/>
      <c r="W249" s="1547"/>
      <c r="X249" s="1550"/>
      <c r="Y249" s="1551"/>
      <c r="Z249" s="1551"/>
      <c r="AA249" s="1551"/>
      <c r="AB249" s="1551"/>
      <c r="AC249" s="1550"/>
      <c r="AD249" s="1551"/>
      <c r="AE249" s="1551"/>
      <c r="AF249" s="1551"/>
      <c r="AG249" s="1552"/>
      <c r="AH249" s="697"/>
      <c r="AI249" s="707"/>
      <c r="AJ249" s="709">
        <f t="shared" si="375"/>
        <v>0</v>
      </c>
      <c r="AK249" s="710">
        <f t="shared" si="376"/>
        <v>0</v>
      </c>
      <c r="AL249" s="710">
        <f t="shared" si="377"/>
        <v>0</v>
      </c>
      <c r="AM249" s="710">
        <f t="shared" si="378"/>
        <v>0</v>
      </c>
      <c r="AN249" s="710">
        <f t="shared" si="379"/>
        <v>0</v>
      </c>
      <c r="AO249" s="711">
        <f t="shared" si="380"/>
        <v>0</v>
      </c>
      <c r="AP249" s="707">
        <f t="shared" si="381"/>
        <v>0</v>
      </c>
      <c r="AQ249" s="707">
        <f t="shared" si="382"/>
        <v>0</v>
      </c>
      <c r="AR249" s="707">
        <f t="shared" si="383"/>
        <v>0</v>
      </c>
      <c r="AS249" s="712">
        <f t="shared" si="384"/>
        <v>0</v>
      </c>
      <c r="AU249" s="1369"/>
      <c r="AV249" s="1559"/>
      <c r="AW249" s="1412" t="str">
        <f t="shared" si="332"/>
        <v>Price</v>
      </c>
      <c r="AX249" s="1413" t="str">
        <f t="shared" si="332"/>
        <v>Water</v>
      </c>
      <c r="AY249" s="1414" t="str">
        <f t="shared" si="333"/>
        <v>Fixed</v>
      </c>
      <c r="AZ249" s="1415" t="str">
        <f t="shared" si="447"/>
        <v>-</v>
      </c>
      <c r="BA249" s="1415" t="str">
        <f t="shared" si="447"/>
        <v>-</v>
      </c>
      <c r="BB249" s="1415" t="str">
        <f t="shared" si="447"/>
        <v>-</v>
      </c>
      <c r="BC249" s="1415" t="str">
        <f t="shared" si="335"/>
        <v>-</v>
      </c>
      <c r="BD249" s="1415" t="str">
        <f t="shared" si="336"/>
        <v>-</v>
      </c>
      <c r="BE249" s="1415" t="str">
        <f t="shared" si="337"/>
        <v>-</v>
      </c>
      <c r="BF249" s="1415" t="str">
        <f t="shared" si="338"/>
        <v>-</v>
      </c>
      <c r="BG249" s="1416" t="str">
        <f t="shared" si="339"/>
        <v>-</v>
      </c>
      <c r="BH249" s="1417" t="str">
        <f t="shared" si="340"/>
        <v>-</v>
      </c>
      <c r="BI249" s="1417" t="str">
        <f t="shared" si="341"/>
        <v>-</v>
      </c>
      <c r="BJ249" s="1417" t="str">
        <f t="shared" si="342"/>
        <v>-</v>
      </c>
      <c r="BK249" s="1417" t="str">
        <f t="shared" si="343"/>
        <v>-</v>
      </c>
      <c r="BL249" s="1418" t="str">
        <f t="shared" si="344"/>
        <v>-</v>
      </c>
      <c r="BM249" s="1417" t="str">
        <f t="shared" si="345"/>
        <v>-</v>
      </c>
      <c r="BN249" s="1417" t="str">
        <f t="shared" si="346"/>
        <v>-</v>
      </c>
      <c r="BO249" s="1417" t="str">
        <f t="shared" si="347"/>
        <v>-</v>
      </c>
      <c r="BP249" s="1417" t="str">
        <f t="shared" si="348"/>
        <v>-</v>
      </c>
      <c r="BQ249" s="1419" t="str">
        <f t="shared" si="349"/>
        <v>-</v>
      </c>
      <c r="BR249" s="1378"/>
      <c r="BS249" s="1420"/>
      <c r="BT249" s="1421"/>
      <c r="BU249" s="1422"/>
      <c r="BV249" s="1423"/>
      <c r="BW249" s="1378"/>
      <c r="BX249" s="1412" t="str">
        <f t="shared" si="350"/>
        <v>Price</v>
      </c>
      <c r="BY249" s="1413" t="str">
        <f t="shared" si="351"/>
        <v>Water</v>
      </c>
      <c r="BZ249" s="1414" t="str">
        <f t="shared" si="352"/>
        <v>Fixed</v>
      </c>
      <c r="CA249" s="1424" t="str">
        <f t="shared" ref="CA249:CR249" si="457">IFERROR((P249/O249-1)*(O251/O$13),"-")</f>
        <v>-</v>
      </c>
      <c r="CB249" s="1415" t="str">
        <f t="shared" si="457"/>
        <v>-</v>
      </c>
      <c r="CC249" s="1415" t="str">
        <f t="shared" si="457"/>
        <v>-</v>
      </c>
      <c r="CD249" s="1415" t="str">
        <f t="shared" si="457"/>
        <v>-</v>
      </c>
      <c r="CE249" s="1415" t="str">
        <f t="shared" si="457"/>
        <v>-</v>
      </c>
      <c r="CF249" s="1415" t="str">
        <f t="shared" si="457"/>
        <v>-</v>
      </c>
      <c r="CG249" s="1415" t="str">
        <f t="shared" si="457"/>
        <v>-</v>
      </c>
      <c r="CH249" s="1425" t="str">
        <f t="shared" si="457"/>
        <v>-</v>
      </c>
      <c r="CI249" s="1417" t="str">
        <f t="shared" si="457"/>
        <v>-</v>
      </c>
      <c r="CJ249" s="1417" t="str">
        <f t="shared" si="457"/>
        <v>-</v>
      </c>
      <c r="CK249" s="1417" t="str">
        <f t="shared" si="457"/>
        <v>-</v>
      </c>
      <c r="CL249" s="1417" t="str">
        <f t="shared" si="457"/>
        <v>-</v>
      </c>
      <c r="CM249" s="1418" t="str">
        <f t="shared" si="457"/>
        <v>-</v>
      </c>
      <c r="CN249" s="1417" t="str">
        <f t="shared" si="457"/>
        <v>-</v>
      </c>
      <c r="CO249" s="1417" t="str">
        <f t="shared" si="457"/>
        <v>-</v>
      </c>
      <c r="CP249" s="1417" t="str">
        <f t="shared" si="457"/>
        <v>-</v>
      </c>
      <c r="CQ249" s="1417" t="str">
        <f t="shared" si="457"/>
        <v>-</v>
      </c>
      <c r="CR249" s="1419" t="str">
        <f t="shared" si="457"/>
        <v>-</v>
      </c>
      <c r="CS249" s="1378"/>
      <c r="CT249" s="1412" t="str">
        <f t="shared" si="328"/>
        <v>Price</v>
      </c>
      <c r="CU249" s="1413" t="str">
        <f t="shared" si="329"/>
        <v>Water</v>
      </c>
      <c r="CV249" s="1426" t="str">
        <f t="shared" si="330"/>
        <v>Fixed</v>
      </c>
      <c r="CW249" s="1427" t="str">
        <f t="shared" si="354"/>
        <v>-</v>
      </c>
      <c r="CX249" s="1417" t="str">
        <f t="shared" si="355"/>
        <v>-</v>
      </c>
      <c r="CY249" s="1417" t="str">
        <f t="shared" si="356"/>
        <v>-</v>
      </c>
      <c r="CZ249" s="1419" t="str">
        <f t="shared" si="357"/>
        <v>-</v>
      </c>
      <c r="DA249" s="1417" t="str">
        <f t="shared" si="358"/>
        <v>-</v>
      </c>
      <c r="DB249" s="1417" t="str">
        <f t="shared" si="359"/>
        <v>-</v>
      </c>
      <c r="DC249" s="1417" t="str">
        <f t="shared" si="360"/>
        <v>-</v>
      </c>
      <c r="DD249" s="1417" t="str">
        <f t="shared" si="361"/>
        <v>-</v>
      </c>
      <c r="DE249" s="1419" t="str">
        <f t="shared" si="362"/>
        <v>-</v>
      </c>
      <c r="DF249" s="1378"/>
      <c r="DG249" s="1412" t="str">
        <f t="shared" si="363"/>
        <v>Price</v>
      </c>
      <c r="DH249" s="1413" t="str">
        <f t="shared" si="363"/>
        <v>Water</v>
      </c>
      <c r="DI249" s="1426" t="str">
        <f t="shared" si="363"/>
        <v>Fixed</v>
      </c>
      <c r="DJ249" s="1426"/>
      <c r="DK249" s="1427" t="str">
        <f t="shared" si="364"/>
        <v>-</v>
      </c>
      <c r="DL249" s="1417" t="str">
        <f t="shared" si="365"/>
        <v>-</v>
      </c>
      <c r="DM249" s="1417" t="str">
        <f t="shared" si="366"/>
        <v>-</v>
      </c>
      <c r="DN249" s="1418" t="str">
        <f t="shared" si="367"/>
        <v>-</v>
      </c>
      <c r="DO249" s="1417" t="str">
        <f t="shared" si="368"/>
        <v>-</v>
      </c>
      <c r="DP249" s="1417" t="str">
        <f t="shared" si="369"/>
        <v>-</v>
      </c>
      <c r="DQ249" s="1417" t="str">
        <f t="shared" si="370"/>
        <v>-</v>
      </c>
      <c r="DR249" s="1419" t="str">
        <f t="shared" si="371"/>
        <v>-</v>
      </c>
    </row>
    <row r="250" spans="4:122">
      <c r="E250" s="742" t="s">
        <v>45</v>
      </c>
      <c r="F250" s="722" t="str">
        <f>+F249</f>
        <v>Water</v>
      </c>
      <c r="G250" s="723" t="str">
        <f>+G249</f>
        <v>Cat C - Non Potable Fixed Charge 50mm</v>
      </c>
      <c r="H250" s="723">
        <f>+H249</f>
        <v>0</v>
      </c>
      <c r="I250" s="724" t="str">
        <f>+I249</f>
        <v>Fixed</v>
      </c>
      <c r="J250" s="782" t="s">
        <v>323</v>
      </c>
      <c r="K250" s="1540"/>
      <c r="L250" s="1541"/>
      <c r="M250" s="1541"/>
      <c r="N250" s="1542"/>
      <c r="O250" s="2031"/>
      <c r="P250" s="1543"/>
      <c r="Q250" s="1543"/>
      <c r="R250" s="1543"/>
      <c r="S250" s="1543"/>
      <c r="T250" s="1543"/>
      <c r="U250" s="1543"/>
      <c r="V250" s="1543"/>
      <c r="W250" s="1543"/>
      <c r="X250" s="1544"/>
      <c r="Y250" s="1543"/>
      <c r="Z250" s="1543"/>
      <c r="AA250" s="1543"/>
      <c r="AB250" s="1543"/>
      <c r="AC250" s="1544"/>
      <c r="AD250" s="1543"/>
      <c r="AE250" s="1543"/>
      <c r="AF250" s="1543"/>
      <c r="AG250" s="1553"/>
      <c r="AH250" s="697"/>
      <c r="AI250" s="707"/>
      <c r="AJ250" s="709">
        <f t="shared" si="375"/>
        <v>0</v>
      </c>
      <c r="AK250" s="710">
        <f t="shared" si="376"/>
        <v>0</v>
      </c>
      <c r="AL250" s="710">
        <f t="shared" si="377"/>
        <v>0</v>
      </c>
      <c r="AM250" s="710">
        <f t="shared" si="378"/>
        <v>0</v>
      </c>
      <c r="AN250" s="710">
        <f t="shared" si="379"/>
        <v>0</v>
      </c>
      <c r="AO250" s="711">
        <f t="shared" si="380"/>
        <v>0</v>
      </c>
      <c r="AP250" s="707">
        <f t="shared" si="381"/>
        <v>0</v>
      </c>
      <c r="AQ250" s="707">
        <f t="shared" si="382"/>
        <v>0</v>
      </c>
      <c r="AR250" s="707">
        <f t="shared" si="383"/>
        <v>0</v>
      </c>
      <c r="AS250" s="712">
        <f t="shared" si="384"/>
        <v>0</v>
      </c>
      <c r="AV250" s="1559"/>
      <c r="AW250" s="1392" t="str">
        <f t="shared" si="332"/>
        <v>Qty</v>
      </c>
      <c r="AX250" s="1393" t="str">
        <f t="shared" si="332"/>
        <v>Water</v>
      </c>
      <c r="AY250" s="1394" t="str">
        <f t="shared" si="333"/>
        <v>Fixed</v>
      </c>
      <c r="AZ250" s="1395" t="str">
        <f t="shared" si="447"/>
        <v>-</v>
      </c>
      <c r="BA250" s="1395" t="str">
        <f t="shared" si="447"/>
        <v>-</v>
      </c>
      <c r="BB250" s="1395" t="str">
        <f t="shared" si="447"/>
        <v>-</v>
      </c>
      <c r="BC250" s="1395" t="str">
        <f t="shared" si="335"/>
        <v>-</v>
      </c>
      <c r="BD250" s="1395" t="str">
        <f t="shared" si="336"/>
        <v>-</v>
      </c>
      <c r="BE250" s="1395" t="str">
        <f t="shared" si="337"/>
        <v>-</v>
      </c>
      <c r="BF250" s="1395" t="str">
        <f t="shared" si="338"/>
        <v>-</v>
      </c>
      <c r="BG250" s="1396" t="str">
        <f t="shared" si="339"/>
        <v>-</v>
      </c>
      <c r="BH250" s="1395" t="str">
        <f t="shared" si="340"/>
        <v>-</v>
      </c>
      <c r="BI250" s="1395" t="str">
        <f t="shared" si="341"/>
        <v>-</v>
      </c>
      <c r="BJ250" s="1395" t="str">
        <f t="shared" si="342"/>
        <v>-</v>
      </c>
      <c r="BK250" s="1395" t="str">
        <f t="shared" si="343"/>
        <v>-</v>
      </c>
      <c r="BL250" s="1397" t="str">
        <f t="shared" si="344"/>
        <v>-</v>
      </c>
      <c r="BM250" s="1395" t="str">
        <f t="shared" si="345"/>
        <v>-</v>
      </c>
      <c r="BN250" s="1395" t="str">
        <f t="shared" si="346"/>
        <v>-</v>
      </c>
      <c r="BO250" s="1395" t="str">
        <f t="shared" si="347"/>
        <v>-</v>
      </c>
      <c r="BP250" s="1395" t="str">
        <f t="shared" si="348"/>
        <v>-</v>
      </c>
      <c r="BQ250" s="1398" t="str">
        <f t="shared" si="349"/>
        <v>-</v>
      </c>
      <c r="BR250" s="1378"/>
      <c r="BS250" s="1329"/>
      <c r="BT250" s="1399"/>
      <c r="BU250" s="1331"/>
      <c r="BV250" s="1400"/>
      <c r="BW250" s="1378"/>
      <c r="BX250" s="1392" t="str">
        <f t="shared" si="350"/>
        <v>Qty</v>
      </c>
      <c r="BY250" s="1393" t="str">
        <f t="shared" si="351"/>
        <v>Water</v>
      </c>
      <c r="BZ250" s="1394" t="str">
        <f t="shared" si="352"/>
        <v>Fixed</v>
      </c>
      <c r="CA250" s="1401" t="str">
        <f t="shared" ref="CA250:CR250" si="458">IFERROR((P250/O250-1)*(O251/O$13),"-")</f>
        <v>-</v>
      </c>
      <c r="CB250" s="1395" t="str">
        <f t="shared" si="458"/>
        <v>-</v>
      </c>
      <c r="CC250" s="1395" t="str">
        <f t="shared" si="458"/>
        <v>-</v>
      </c>
      <c r="CD250" s="1395" t="str">
        <f t="shared" si="458"/>
        <v>-</v>
      </c>
      <c r="CE250" s="1395" t="str">
        <f t="shared" si="458"/>
        <v>-</v>
      </c>
      <c r="CF250" s="1395" t="str">
        <f t="shared" si="458"/>
        <v>-</v>
      </c>
      <c r="CG250" s="1395" t="str">
        <f t="shared" si="458"/>
        <v>-</v>
      </c>
      <c r="CH250" s="1397" t="str">
        <f t="shared" si="458"/>
        <v>-</v>
      </c>
      <c r="CI250" s="1395" t="str">
        <f t="shared" si="458"/>
        <v>-</v>
      </c>
      <c r="CJ250" s="1395" t="str">
        <f t="shared" si="458"/>
        <v>-</v>
      </c>
      <c r="CK250" s="1395" t="str">
        <f t="shared" si="458"/>
        <v>-</v>
      </c>
      <c r="CL250" s="1395" t="str">
        <f t="shared" si="458"/>
        <v>-</v>
      </c>
      <c r="CM250" s="1397" t="str">
        <f t="shared" si="458"/>
        <v>-</v>
      </c>
      <c r="CN250" s="1395" t="str">
        <f t="shared" si="458"/>
        <v>-</v>
      </c>
      <c r="CO250" s="1395" t="str">
        <f t="shared" si="458"/>
        <v>-</v>
      </c>
      <c r="CP250" s="1395" t="str">
        <f t="shared" si="458"/>
        <v>-</v>
      </c>
      <c r="CQ250" s="1395" t="str">
        <f t="shared" si="458"/>
        <v>-</v>
      </c>
      <c r="CR250" s="1398" t="str">
        <f t="shared" si="458"/>
        <v>-</v>
      </c>
      <c r="CS250" s="1378"/>
      <c r="CT250" s="1392" t="str">
        <f t="shared" si="328"/>
        <v>Qty</v>
      </c>
      <c r="CU250" s="1393" t="str">
        <f t="shared" si="329"/>
        <v>Water</v>
      </c>
      <c r="CV250" s="1393" t="str">
        <f t="shared" si="330"/>
        <v>Fixed</v>
      </c>
      <c r="CW250" s="1401" t="str">
        <f t="shared" si="354"/>
        <v>-</v>
      </c>
      <c r="CX250" s="1395" t="str">
        <f t="shared" si="355"/>
        <v>-</v>
      </c>
      <c r="CY250" s="1395" t="str">
        <f t="shared" si="356"/>
        <v>-</v>
      </c>
      <c r="CZ250" s="1398" t="str">
        <f t="shared" si="357"/>
        <v>-</v>
      </c>
      <c r="DA250" s="1395" t="str">
        <f t="shared" si="358"/>
        <v>-</v>
      </c>
      <c r="DB250" s="1395" t="str">
        <f t="shared" si="359"/>
        <v>-</v>
      </c>
      <c r="DC250" s="1395" t="str">
        <f t="shared" si="360"/>
        <v>-</v>
      </c>
      <c r="DD250" s="1395" t="str">
        <f t="shared" si="361"/>
        <v>-</v>
      </c>
      <c r="DE250" s="1398" t="str">
        <f t="shared" si="362"/>
        <v>-</v>
      </c>
      <c r="DF250" s="1378"/>
      <c r="DG250" s="1392" t="str">
        <f t="shared" si="363"/>
        <v>Qty</v>
      </c>
      <c r="DH250" s="1393" t="str">
        <f t="shared" si="363"/>
        <v>Water</v>
      </c>
      <c r="DI250" s="1393" t="str">
        <f t="shared" si="363"/>
        <v>Fixed</v>
      </c>
      <c r="DJ250" s="1393"/>
      <c r="DK250" s="1401" t="str">
        <f t="shared" si="364"/>
        <v>-</v>
      </c>
      <c r="DL250" s="1395" t="str">
        <f t="shared" si="365"/>
        <v>-</v>
      </c>
      <c r="DM250" s="1395" t="str">
        <f t="shared" si="366"/>
        <v>-</v>
      </c>
      <c r="DN250" s="1397" t="str">
        <f t="shared" si="367"/>
        <v>-</v>
      </c>
      <c r="DO250" s="1395" t="str">
        <f t="shared" si="368"/>
        <v>-</v>
      </c>
      <c r="DP250" s="1395" t="str">
        <f t="shared" si="369"/>
        <v>-</v>
      </c>
      <c r="DQ250" s="1395" t="str">
        <f t="shared" si="370"/>
        <v>-</v>
      </c>
      <c r="DR250" s="1398" t="str">
        <f t="shared" si="371"/>
        <v>-</v>
      </c>
    </row>
    <row r="251" spans="4:122" ht="12.75" thickBot="1">
      <c r="E251" s="743" t="s">
        <v>46</v>
      </c>
      <c r="F251" s="732" t="str">
        <f>+F249</f>
        <v>Water</v>
      </c>
      <c r="G251" s="733" t="str">
        <f>+G249</f>
        <v>Cat C - Non Potable Fixed Charge 50mm</v>
      </c>
      <c r="H251" s="733">
        <f>+H249</f>
        <v>0</v>
      </c>
      <c r="I251" s="734" t="str">
        <f>+I249</f>
        <v>Fixed</v>
      </c>
      <c r="J251" s="735" t="s">
        <v>344</v>
      </c>
      <c r="K251" s="736">
        <f t="shared" ref="K251:AG251" si="459">K249*K250/10^6</f>
        <v>0</v>
      </c>
      <c r="L251" s="737">
        <f t="shared" si="459"/>
        <v>0</v>
      </c>
      <c r="M251" s="737">
        <f t="shared" si="459"/>
        <v>0</v>
      </c>
      <c r="N251" s="738">
        <f t="shared" si="459"/>
        <v>0</v>
      </c>
      <c r="O251" s="1923">
        <f t="shared" si="459"/>
        <v>0</v>
      </c>
      <c r="P251" s="737">
        <f t="shared" si="459"/>
        <v>0</v>
      </c>
      <c r="Q251" s="737">
        <f t="shared" si="459"/>
        <v>0</v>
      </c>
      <c r="R251" s="737">
        <f t="shared" si="459"/>
        <v>0</v>
      </c>
      <c r="S251" s="737">
        <f t="shared" si="459"/>
        <v>0</v>
      </c>
      <c r="T251" s="1531">
        <f t="shared" si="459"/>
        <v>0</v>
      </c>
      <c r="U251" s="737">
        <f t="shared" si="459"/>
        <v>0</v>
      </c>
      <c r="V251" s="737">
        <f t="shared" si="459"/>
        <v>0</v>
      </c>
      <c r="W251" s="737">
        <f t="shared" si="459"/>
        <v>0</v>
      </c>
      <c r="X251" s="738">
        <f t="shared" si="459"/>
        <v>0</v>
      </c>
      <c r="Y251" s="737">
        <f t="shared" si="459"/>
        <v>0</v>
      </c>
      <c r="Z251" s="737">
        <f t="shared" si="459"/>
        <v>0</v>
      </c>
      <c r="AA251" s="737">
        <f t="shared" si="459"/>
        <v>0</v>
      </c>
      <c r="AB251" s="737">
        <f t="shared" si="459"/>
        <v>0</v>
      </c>
      <c r="AC251" s="738">
        <f t="shared" si="459"/>
        <v>0</v>
      </c>
      <c r="AD251" s="737">
        <f t="shared" si="459"/>
        <v>0</v>
      </c>
      <c r="AE251" s="737">
        <f t="shared" si="459"/>
        <v>0</v>
      </c>
      <c r="AF251" s="737">
        <f t="shared" si="459"/>
        <v>0</v>
      </c>
      <c r="AG251" s="739">
        <f t="shared" si="459"/>
        <v>0</v>
      </c>
      <c r="AH251" s="697"/>
      <c r="AI251" s="707"/>
      <c r="AJ251" s="709">
        <f t="shared" si="375"/>
        <v>0</v>
      </c>
      <c r="AK251" s="710">
        <f t="shared" si="376"/>
        <v>0</v>
      </c>
      <c r="AL251" s="710">
        <f t="shared" si="377"/>
        <v>0</v>
      </c>
      <c r="AM251" s="710">
        <f t="shared" si="378"/>
        <v>0</v>
      </c>
      <c r="AN251" s="710">
        <f t="shared" si="379"/>
        <v>0</v>
      </c>
      <c r="AO251" s="711">
        <f t="shared" si="380"/>
        <v>0</v>
      </c>
      <c r="AP251" s="707">
        <f t="shared" si="381"/>
        <v>0</v>
      </c>
      <c r="AQ251" s="707">
        <f t="shared" si="382"/>
        <v>0</v>
      </c>
      <c r="AR251" s="707">
        <f t="shared" si="383"/>
        <v>0</v>
      </c>
      <c r="AS251" s="712">
        <f t="shared" si="384"/>
        <v>0</v>
      </c>
      <c r="AV251" s="1559"/>
      <c r="AW251" s="1428" t="str">
        <f t="shared" si="332"/>
        <v>Rev</v>
      </c>
      <c r="AX251" s="1429" t="str">
        <f t="shared" si="332"/>
        <v>Water</v>
      </c>
      <c r="AY251" s="1430" t="str">
        <f t="shared" si="333"/>
        <v>Fixed</v>
      </c>
      <c r="AZ251" s="1431" t="str">
        <f t="shared" si="447"/>
        <v>-</v>
      </c>
      <c r="BA251" s="1431" t="str">
        <f t="shared" si="447"/>
        <v>-</v>
      </c>
      <c r="BB251" s="1431" t="str">
        <f t="shared" si="447"/>
        <v>-</v>
      </c>
      <c r="BC251" s="1431" t="str">
        <f t="shared" si="335"/>
        <v>-</v>
      </c>
      <c r="BD251" s="1431" t="str">
        <f t="shared" si="336"/>
        <v>-</v>
      </c>
      <c r="BE251" s="1431" t="str">
        <f t="shared" si="337"/>
        <v>-</v>
      </c>
      <c r="BF251" s="1431" t="str">
        <f t="shared" si="338"/>
        <v>-</v>
      </c>
      <c r="BG251" s="1432" t="str">
        <f t="shared" si="339"/>
        <v>-</v>
      </c>
      <c r="BH251" s="1431" t="str">
        <f t="shared" si="340"/>
        <v>-</v>
      </c>
      <c r="BI251" s="1431" t="str">
        <f t="shared" si="341"/>
        <v>-</v>
      </c>
      <c r="BJ251" s="1431" t="str">
        <f t="shared" si="342"/>
        <v>-</v>
      </c>
      <c r="BK251" s="1431" t="str">
        <f t="shared" si="343"/>
        <v>-</v>
      </c>
      <c r="BL251" s="1433" t="str">
        <f t="shared" si="344"/>
        <v>-</v>
      </c>
      <c r="BM251" s="1431" t="str">
        <f t="shared" si="345"/>
        <v>-</v>
      </c>
      <c r="BN251" s="1431" t="str">
        <f t="shared" si="346"/>
        <v>-</v>
      </c>
      <c r="BO251" s="1431" t="str">
        <f t="shared" si="347"/>
        <v>-</v>
      </c>
      <c r="BP251" s="1431" t="str">
        <f t="shared" si="348"/>
        <v>-</v>
      </c>
      <c r="BQ251" s="1434" t="str">
        <f t="shared" si="349"/>
        <v>-</v>
      </c>
      <c r="BR251" s="1378"/>
      <c r="BS251" s="1407"/>
      <c r="BT251" s="1408"/>
      <c r="BU251" s="1409"/>
      <c r="BV251" s="1410"/>
      <c r="BW251" s="1378"/>
      <c r="BX251" s="1428" t="str">
        <f t="shared" si="350"/>
        <v>Rev</v>
      </c>
      <c r="BY251" s="1429" t="str">
        <f t="shared" si="351"/>
        <v>Water</v>
      </c>
      <c r="BZ251" s="1430" t="str">
        <f t="shared" si="352"/>
        <v>Fixed</v>
      </c>
      <c r="CA251" s="1435" t="str">
        <f t="shared" ref="CA251:CR251" si="460">IFERROR((P251/O251-1)*(O251/O$13),"-")</f>
        <v>-</v>
      </c>
      <c r="CB251" s="1431" t="str">
        <f t="shared" si="460"/>
        <v>-</v>
      </c>
      <c r="CC251" s="1431" t="str">
        <f t="shared" si="460"/>
        <v>-</v>
      </c>
      <c r="CD251" s="1431" t="str">
        <f t="shared" si="460"/>
        <v>-</v>
      </c>
      <c r="CE251" s="1431" t="str">
        <f t="shared" si="460"/>
        <v>-</v>
      </c>
      <c r="CF251" s="1431" t="str">
        <f t="shared" si="460"/>
        <v>-</v>
      </c>
      <c r="CG251" s="1431" t="str">
        <f t="shared" si="460"/>
        <v>-</v>
      </c>
      <c r="CH251" s="1433" t="str">
        <f t="shared" si="460"/>
        <v>-</v>
      </c>
      <c r="CI251" s="1431" t="str">
        <f t="shared" si="460"/>
        <v>-</v>
      </c>
      <c r="CJ251" s="1431" t="str">
        <f t="shared" si="460"/>
        <v>-</v>
      </c>
      <c r="CK251" s="1431" t="str">
        <f t="shared" si="460"/>
        <v>-</v>
      </c>
      <c r="CL251" s="1431" t="str">
        <f t="shared" si="460"/>
        <v>-</v>
      </c>
      <c r="CM251" s="1433" t="str">
        <f t="shared" si="460"/>
        <v>-</v>
      </c>
      <c r="CN251" s="1431" t="str">
        <f t="shared" si="460"/>
        <v>-</v>
      </c>
      <c r="CO251" s="1431" t="str">
        <f t="shared" si="460"/>
        <v>-</v>
      </c>
      <c r="CP251" s="1431" t="str">
        <f t="shared" si="460"/>
        <v>-</v>
      </c>
      <c r="CQ251" s="1431" t="str">
        <f t="shared" si="460"/>
        <v>-</v>
      </c>
      <c r="CR251" s="1434" t="str">
        <f t="shared" si="460"/>
        <v>-</v>
      </c>
      <c r="CS251" s="1378"/>
      <c r="CT251" s="1428" t="str">
        <f t="shared" si="328"/>
        <v>Rev</v>
      </c>
      <c r="CU251" s="1429" t="str">
        <f t="shared" si="329"/>
        <v>Water</v>
      </c>
      <c r="CV251" s="1429" t="str">
        <f t="shared" si="330"/>
        <v>Fixed</v>
      </c>
      <c r="CW251" s="1435" t="str">
        <f t="shared" si="354"/>
        <v>-</v>
      </c>
      <c r="CX251" s="1431" t="str">
        <f t="shared" si="355"/>
        <v>-</v>
      </c>
      <c r="CY251" s="1431" t="str">
        <f t="shared" si="356"/>
        <v>-</v>
      </c>
      <c r="CZ251" s="1434" t="str">
        <f t="shared" si="357"/>
        <v>-</v>
      </c>
      <c r="DA251" s="1431" t="str">
        <f t="shared" si="358"/>
        <v>-</v>
      </c>
      <c r="DB251" s="1431" t="str">
        <f t="shared" si="359"/>
        <v>-</v>
      </c>
      <c r="DC251" s="1431" t="str">
        <f t="shared" si="360"/>
        <v>-</v>
      </c>
      <c r="DD251" s="1431" t="str">
        <f t="shared" si="361"/>
        <v>-</v>
      </c>
      <c r="DE251" s="1434" t="str">
        <f t="shared" si="362"/>
        <v>-</v>
      </c>
      <c r="DF251" s="1378"/>
      <c r="DG251" s="1428" t="str">
        <f t="shared" si="363"/>
        <v>Rev</v>
      </c>
      <c r="DH251" s="1429" t="str">
        <f t="shared" si="363"/>
        <v>Water</v>
      </c>
      <c r="DI251" s="1429" t="str">
        <f t="shared" si="363"/>
        <v>Fixed</v>
      </c>
      <c r="DJ251" s="1429"/>
      <c r="DK251" s="1435" t="str">
        <f t="shared" si="364"/>
        <v>-</v>
      </c>
      <c r="DL251" s="1431" t="str">
        <f t="shared" si="365"/>
        <v>-</v>
      </c>
      <c r="DM251" s="1431" t="str">
        <f t="shared" si="366"/>
        <v>-</v>
      </c>
      <c r="DN251" s="1433" t="str">
        <f t="shared" si="367"/>
        <v>-</v>
      </c>
      <c r="DO251" s="1431" t="str">
        <f t="shared" si="368"/>
        <v>-</v>
      </c>
      <c r="DP251" s="1431" t="str">
        <f t="shared" si="369"/>
        <v>-</v>
      </c>
      <c r="DQ251" s="1431" t="str">
        <f t="shared" si="370"/>
        <v>-</v>
      </c>
      <c r="DR251" s="1434" t="str">
        <f t="shared" si="371"/>
        <v>-</v>
      </c>
    </row>
    <row r="252" spans="4:122">
      <c r="D252" s="70">
        <f>D249+1</f>
        <v>63</v>
      </c>
      <c r="E252" s="713" t="s">
        <v>44</v>
      </c>
      <c r="F252" s="1532" t="s">
        <v>316</v>
      </c>
      <c r="G252" s="1532" t="s">
        <v>925</v>
      </c>
      <c r="H252" s="1532"/>
      <c r="I252" s="781" t="s">
        <v>319</v>
      </c>
      <c r="J252" s="781" t="s">
        <v>345</v>
      </c>
      <c r="K252" s="1533"/>
      <c r="L252" s="1534"/>
      <c r="M252" s="1534"/>
      <c r="N252" s="1535"/>
      <c r="O252" s="2071">
        <v>590.2396832579185</v>
      </c>
      <c r="P252" s="1547">
        <v>592.88930728241564</v>
      </c>
      <c r="Q252" s="1547">
        <v>595.55190184049081</v>
      </c>
      <c r="R252" s="1547">
        <v>598.22840480274431</v>
      </c>
      <c r="S252" s="1547">
        <v>600.91669211195926</v>
      </c>
      <c r="T252" s="1547">
        <v>603.61322033898296</v>
      </c>
      <c r="U252" s="1547">
        <v>606.32574660633475</v>
      </c>
      <c r="V252" s="1547">
        <v>609.04462882096061</v>
      </c>
      <c r="W252" s="1547">
        <v>611.78</v>
      </c>
      <c r="X252" s="1550">
        <v>643.89844999999991</v>
      </c>
      <c r="Y252" s="1551">
        <v>677.70311862499989</v>
      </c>
      <c r="Z252" s="1551">
        <v>713.28253235281238</v>
      </c>
      <c r="AA252" s="1551">
        <v>750.72986530133505</v>
      </c>
      <c r="AB252" s="1551">
        <v>790.14318322965516</v>
      </c>
      <c r="AC252" s="1550">
        <v>802.7854741613296</v>
      </c>
      <c r="AD252" s="1551">
        <v>815.63004174791092</v>
      </c>
      <c r="AE252" s="1551">
        <v>828.68012241587746</v>
      </c>
      <c r="AF252" s="1551">
        <v>841.93900437453146</v>
      </c>
      <c r="AG252" s="1552">
        <v>855.41002844452396</v>
      </c>
      <c r="AH252" s="697"/>
      <c r="AI252" s="707"/>
      <c r="AJ252" s="709">
        <f t="shared" si="375"/>
        <v>643.89844999999991</v>
      </c>
      <c r="AK252" s="710">
        <f t="shared" si="376"/>
        <v>677.70311862499989</v>
      </c>
      <c r="AL252" s="710">
        <f t="shared" si="377"/>
        <v>713.28253235281238</v>
      </c>
      <c r="AM252" s="710">
        <f t="shared" si="378"/>
        <v>750.72986530133505</v>
      </c>
      <c r="AN252" s="710">
        <f t="shared" si="379"/>
        <v>790.14318322965516</v>
      </c>
      <c r="AO252" s="711">
        <f t="shared" si="380"/>
        <v>802.7854741613296</v>
      </c>
      <c r="AP252" s="707">
        <f t="shared" si="381"/>
        <v>815.63004174791092</v>
      </c>
      <c r="AQ252" s="707">
        <f t="shared" si="382"/>
        <v>828.68012241587746</v>
      </c>
      <c r="AR252" s="707">
        <f t="shared" si="383"/>
        <v>841.93900437453146</v>
      </c>
      <c r="AS252" s="712">
        <f t="shared" si="384"/>
        <v>855.41002844452396</v>
      </c>
      <c r="AU252" s="1369"/>
      <c r="AV252" s="1559"/>
      <c r="AW252" s="1412" t="str">
        <f t="shared" si="332"/>
        <v>Price</v>
      </c>
      <c r="AX252" s="1413" t="str">
        <f t="shared" si="332"/>
        <v>Trade Waste</v>
      </c>
      <c r="AY252" s="1414" t="str">
        <f t="shared" si="333"/>
        <v>Fixed</v>
      </c>
      <c r="AZ252" s="1415">
        <f t="shared" si="447"/>
        <v>4.4890645269259899E-3</v>
      </c>
      <c r="BA252" s="1415">
        <f t="shared" si="447"/>
        <v>4.490879706162243E-3</v>
      </c>
      <c r="BB252" s="1415">
        <f t="shared" si="447"/>
        <v>4.49415567976863E-3</v>
      </c>
      <c r="BC252" s="1415">
        <f t="shared" si="335"/>
        <v>4.4937473507320469E-3</v>
      </c>
      <c r="BD252" s="1415">
        <f t="shared" si="336"/>
        <v>4.4873578358199939E-3</v>
      </c>
      <c r="BE252" s="1415">
        <f t="shared" si="337"/>
        <v>4.4938152047571123E-3</v>
      </c>
      <c r="BF252" s="1415">
        <f t="shared" si="338"/>
        <v>4.4841939004631737E-3</v>
      </c>
      <c r="BG252" s="1416">
        <f t="shared" si="339"/>
        <v>4.4912491623720907E-3</v>
      </c>
      <c r="BH252" s="1417">
        <f t="shared" si="340"/>
        <v>5.2499999999999991E-2</v>
      </c>
      <c r="BI252" s="1417">
        <f t="shared" si="341"/>
        <v>5.2499999999999991E-2</v>
      </c>
      <c r="BJ252" s="1417">
        <f t="shared" si="342"/>
        <v>5.2499999999999991E-2</v>
      </c>
      <c r="BK252" s="1417">
        <f t="shared" si="343"/>
        <v>5.2499999999999991E-2</v>
      </c>
      <c r="BL252" s="1418">
        <f t="shared" si="344"/>
        <v>5.2499999999999991E-2</v>
      </c>
      <c r="BM252" s="1417">
        <f t="shared" si="345"/>
        <v>1.6000000000000014E-2</v>
      </c>
      <c r="BN252" s="1417">
        <f t="shared" si="346"/>
        <v>1.6000000000000014E-2</v>
      </c>
      <c r="BO252" s="1417">
        <f t="shared" si="347"/>
        <v>1.6000000000000014E-2</v>
      </c>
      <c r="BP252" s="1417">
        <f t="shared" si="348"/>
        <v>1.6000000000000014E-2</v>
      </c>
      <c r="BQ252" s="1419">
        <f t="shared" si="349"/>
        <v>1.6000000000000014E-2</v>
      </c>
      <c r="BR252" s="1378"/>
      <c r="BS252" s="1420"/>
      <c r="BT252" s="1421"/>
      <c r="BU252" s="1422"/>
      <c r="BV252" s="1423"/>
      <c r="BW252" s="1378"/>
      <c r="BX252" s="1412" t="str">
        <f t="shared" si="350"/>
        <v>Price</v>
      </c>
      <c r="BY252" s="1413" t="str">
        <f t="shared" si="351"/>
        <v>Trade Waste</v>
      </c>
      <c r="BZ252" s="1414" t="str">
        <f t="shared" si="352"/>
        <v>Fixed</v>
      </c>
      <c r="CA252" s="1424">
        <f t="shared" ref="CA252:CR252" si="461">IFERROR((P252/O252-1)*(O254/O$13),"-")</f>
        <v>7.7448222590045735E-6</v>
      </c>
      <c r="CB252" s="1415">
        <f t="shared" si="461"/>
        <v>8.09164994699234E-6</v>
      </c>
      <c r="CC252" s="1415">
        <f t="shared" si="461"/>
        <v>8.4815454684321945E-6</v>
      </c>
      <c r="CD252" s="1415">
        <f t="shared" si="461"/>
        <v>8.9534810998358361E-6</v>
      </c>
      <c r="CE252" s="1415">
        <f t="shared" si="461"/>
        <v>9.6563426009321569E-6</v>
      </c>
      <c r="CF252" s="1415">
        <f t="shared" si="461"/>
        <v>8.6858562861636088E-6</v>
      </c>
      <c r="CG252" s="1415">
        <f t="shared" si="461"/>
        <v>9.1882638896657607E-6</v>
      </c>
      <c r="CH252" s="1425">
        <f t="shared" si="461"/>
        <v>9.4569409842383022E-6</v>
      </c>
      <c r="CI252" s="1417">
        <f t="shared" si="461"/>
        <v>1.1533080921064612E-4</v>
      </c>
      <c r="CJ252" s="1417">
        <f t="shared" si="461"/>
        <v>1.1509635912449438E-4</v>
      </c>
      <c r="CK252" s="1417">
        <f t="shared" si="461"/>
        <v>1.1614467840149114E-4</v>
      </c>
      <c r="CL252" s="1417">
        <f t="shared" si="461"/>
        <v>1.1719754094898493E-4</v>
      </c>
      <c r="CM252" s="1418">
        <f t="shared" si="461"/>
        <v>1.182337268490925E-4</v>
      </c>
      <c r="CN252" s="1417">
        <f t="shared" si="461"/>
        <v>3.6357011988785525E-5</v>
      </c>
      <c r="CO252" s="1417">
        <f t="shared" si="461"/>
        <v>3.6662961662740002E-5</v>
      </c>
      <c r="CP252" s="1417">
        <f t="shared" si="461"/>
        <v>3.6961987498254664E-5</v>
      </c>
      <c r="CQ252" s="1417">
        <f t="shared" si="461"/>
        <v>3.7267745527134142E-5</v>
      </c>
      <c r="CR252" s="1419">
        <f t="shared" si="461"/>
        <v>3.7557643236801083E-5</v>
      </c>
      <c r="CS252" s="1378"/>
      <c r="CT252" s="1412" t="str">
        <f t="shared" si="328"/>
        <v>Price</v>
      </c>
      <c r="CU252" s="1413" t="str">
        <f t="shared" si="329"/>
        <v>Trade Waste</v>
      </c>
      <c r="CV252" s="1426" t="str">
        <f t="shared" si="330"/>
        <v>Fixed</v>
      </c>
      <c r="CW252" s="1427">
        <f t="shared" si="354"/>
        <v>5.2499999999999991E-2</v>
      </c>
      <c r="CX252" s="1417">
        <f t="shared" si="355"/>
        <v>5.2499999999999991E-2</v>
      </c>
      <c r="CY252" s="1417">
        <f t="shared" si="356"/>
        <v>5.2499999999999991E-2</v>
      </c>
      <c r="CZ252" s="1419">
        <f t="shared" si="357"/>
        <v>5.2499999999999991E-2</v>
      </c>
      <c r="DA252" s="1417">
        <f t="shared" si="358"/>
        <v>4.6326854261736994E-2</v>
      </c>
      <c r="DB252" s="1417">
        <f t="shared" si="359"/>
        <v>4.1939644324732628E-2</v>
      </c>
      <c r="DC252" s="1417">
        <f t="shared" si="360"/>
        <v>3.8661313083165672E-2</v>
      </c>
      <c r="DD252" s="1417">
        <f t="shared" si="361"/>
        <v>3.6118632816290797E-2</v>
      </c>
      <c r="DE252" s="1419">
        <f t="shared" si="362"/>
        <v>3.4088971027154802E-2</v>
      </c>
      <c r="DF252" s="1378"/>
      <c r="DG252" s="1412" t="str">
        <f t="shared" si="363"/>
        <v>Price</v>
      </c>
      <c r="DH252" s="1413" t="str">
        <f t="shared" si="363"/>
        <v>Trade Waste</v>
      </c>
      <c r="DI252" s="1426" t="str">
        <f t="shared" si="363"/>
        <v>Fixed</v>
      </c>
      <c r="DJ252" s="1426"/>
      <c r="DK252" s="1427">
        <f t="shared" si="364"/>
        <v>5.2499999999999991E-2</v>
      </c>
      <c r="DL252" s="1417">
        <f t="shared" si="365"/>
        <v>5.2499999999999991E-2</v>
      </c>
      <c r="DM252" s="1417">
        <f t="shared" si="366"/>
        <v>5.2499999999999991E-2</v>
      </c>
      <c r="DN252" s="1418">
        <f t="shared" si="367"/>
        <v>4.5096576751770812E-2</v>
      </c>
      <c r="DO252" s="1417">
        <f t="shared" si="368"/>
        <v>4.0189915391222852E-2</v>
      </c>
      <c r="DP252" s="1417">
        <f t="shared" si="369"/>
        <v>3.6699267547711134E-2</v>
      </c>
      <c r="DQ252" s="1417">
        <f t="shared" si="370"/>
        <v>3.4088971027154802E-2</v>
      </c>
      <c r="DR252" s="1419">
        <f t="shared" si="371"/>
        <v>3.2063285160126576E-2</v>
      </c>
    </row>
    <row r="253" spans="4:122">
      <c r="E253" s="742" t="s">
        <v>45</v>
      </c>
      <c r="F253" s="722" t="str">
        <f>+F252</f>
        <v>Trade Waste</v>
      </c>
      <c r="G253" s="723" t="str">
        <f>+G252</f>
        <v>Commercial  Tradewaste Category 2</v>
      </c>
      <c r="H253" s="723">
        <f>+H252</f>
        <v>0</v>
      </c>
      <c r="I253" s="724" t="str">
        <f>+I252</f>
        <v>Fixed</v>
      </c>
      <c r="J253" s="782" t="s">
        <v>323</v>
      </c>
      <c r="K253" s="1540"/>
      <c r="L253" s="1541"/>
      <c r="M253" s="1541"/>
      <c r="N253" s="1542"/>
      <c r="O253" s="2031">
        <v>220.40154440154441</v>
      </c>
      <c r="P253" s="1543">
        <v>235.09498069498071</v>
      </c>
      <c r="Q253" s="1543">
        <v>240.7969111969112</v>
      </c>
      <c r="R253" s="1543">
        <v>248.47258687258687</v>
      </c>
      <c r="S253" s="1543">
        <v>258.12200772200771</v>
      </c>
      <c r="T253" s="1543">
        <v>239</v>
      </c>
      <c r="U253" s="1543">
        <v>265</v>
      </c>
      <c r="V253" s="1543">
        <v>284</v>
      </c>
      <c r="W253" s="1543">
        <v>289.68</v>
      </c>
      <c r="X253" s="1544">
        <v>295.47360000000003</v>
      </c>
      <c r="Y253" s="1543">
        <v>301.38307200000003</v>
      </c>
      <c r="Z253" s="1543">
        <v>307.41073344000006</v>
      </c>
      <c r="AA253" s="1543">
        <v>313.55894810880005</v>
      </c>
      <c r="AB253" s="1543">
        <v>319.83012707097606</v>
      </c>
      <c r="AC253" s="1544">
        <v>326.22672961239562</v>
      </c>
      <c r="AD253" s="1543">
        <v>332.75126420464352</v>
      </c>
      <c r="AE253" s="1543">
        <v>339.40628948873638</v>
      </c>
      <c r="AF253" s="1543">
        <v>346.19441527851109</v>
      </c>
      <c r="AG253" s="1553">
        <v>353.11830358408133</v>
      </c>
      <c r="AH253" s="697"/>
      <c r="AI253" s="707"/>
      <c r="AJ253" s="709">
        <f t="shared" si="375"/>
        <v>295.47360000000003</v>
      </c>
      <c r="AK253" s="710">
        <f t="shared" si="376"/>
        <v>301.38307200000003</v>
      </c>
      <c r="AL253" s="710">
        <f t="shared" si="377"/>
        <v>307.41073344000006</v>
      </c>
      <c r="AM253" s="710">
        <f t="shared" si="378"/>
        <v>313.55894810880005</v>
      </c>
      <c r="AN253" s="710">
        <f t="shared" si="379"/>
        <v>319.83012707097606</v>
      </c>
      <c r="AO253" s="711">
        <f t="shared" si="380"/>
        <v>326.22672961239562</v>
      </c>
      <c r="AP253" s="707">
        <f t="shared" si="381"/>
        <v>332.75126420464352</v>
      </c>
      <c r="AQ253" s="707">
        <f t="shared" si="382"/>
        <v>339.40628948873638</v>
      </c>
      <c r="AR253" s="707">
        <f t="shared" si="383"/>
        <v>346.19441527851109</v>
      </c>
      <c r="AS253" s="712">
        <f t="shared" si="384"/>
        <v>353.11830358408133</v>
      </c>
      <c r="AV253" s="1559"/>
      <c r="AW253" s="1392" t="str">
        <f t="shared" si="332"/>
        <v>Qty</v>
      </c>
      <c r="AX253" s="1393" t="str">
        <f t="shared" si="332"/>
        <v>Trade Waste</v>
      </c>
      <c r="AY253" s="1394" t="str">
        <f t="shared" si="333"/>
        <v>Fixed</v>
      </c>
      <c r="AZ253" s="1395">
        <f t="shared" si="447"/>
        <v>6.6666666666666652E-2</v>
      </c>
      <c r="BA253" s="1395">
        <f t="shared" si="447"/>
        <v>2.4253731343283569E-2</v>
      </c>
      <c r="BB253" s="1395">
        <f t="shared" si="447"/>
        <v>3.1876138433515555E-2</v>
      </c>
      <c r="BC253" s="1395">
        <f t="shared" si="335"/>
        <v>3.8834951456310662E-2</v>
      </c>
      <c r="BD253" s="1395">
        <f t="shared" si="336"/>
        <v>-7.4081276101810478E-2</v>
      </c>
      <c r="BE253" s="1395">
        <f t="shared" si="337"/>
        <v>0.10878661087866104</v>
      </c>
      <c r="BF253" s="1395">
        <f t="shared" si="338"/>
        <v>7.1698113207547154E-2</v>
      </c>
      <c r="BG253" s="1396">
        <f t="shared" si="339"/>
        <v>2.0000000000000018E-2</v>
      </c>
      <c r="BH253" s="1395">
        <f t="shared" si="340"/>
        <v>2.0000000000000018E-2</v>
      </c>
      <c r="BI253" s="1395">
        <f t="shared" si="341"/>
        <v>2.0000000000000018E-2</v>
      </c>
      <c r="BJ253" s="1395">
        <f t="shared" si="342"/>
        <v>2.0000000000000018E-2</v>
      </c>
      <c r="BK253" s="1395">
        <f t="shared" si="343"/>
        <v>2.0000000000000018E-2</v>
      </c>
      <c r="BL253" s="1397">
        <f t="shared" si="344"/>
        <v>2.0000000000000018E-2</v>
      </c>
      <c r="BM253" s="1395">
        <f t="shared" si="345"/>
        <v>2.0000000000000018E-2</v>
      </c>
      <c r="BN253" s="1395">
        <f t="shared" si="346"/>
        <v>2.0000000000000018E-2</v>
      </c>
      <c r="BO253" s="1395">
        <f t="shared" si="347"/>
        <v>2.0000000000000018E-2</v>
      </c>
      <c r="BP253" s="1395">
        <f t="shared" si="348"/>
        <v>2.0000000000000018E-2</v>
      </c>
      <c r="BQ253" s="1398">
        <f t="shared" si="349"/>
        <v>2.0000000000000018E-2</v>
      </c>
      <c r="BR253" s="1378"/>
      <c r="BS253" s="1329"/>
      <c r="BT253" s="1399"/>
      <c r="BU253" s="1331"/>
      <c r="BV253" s="1400"/>
      <c r="BW253" s="1378"/>
      <c r="BX253" s="1392" t="str">
        <f t="shared" si="350"/>
        <v>Qty</v>
      </c>
      <c r="BY253" s="1393" t="str">
        <f t="shared" si="351"/>
        <v>Trade Waste</v>
      </c>
      <c r="BZ253" s="1394" t="str">
        <f t="shared" si="352"/>
        <v>Fixed</v>
      </c>
      <c r="CA253" s="1401">
        <f t="shared" ref="CA253:CR253" si="462">IFERROR((P253/O253-1)*(O254/O$13),"-")</f>
        <v>1.1501761243053538E-4</v>
      </c>
      <c r="CB253" s="1395">
        <f t="shared" si="462"/>
        <v>4.3700280742090509E-5</v>
      </c>
      <c r="CC253" s="1395">
        <f t="shared" si="462"/>
        <v>6.0157888766287671E-5</v>
      </c>
      <c r="CD253" s="1395">
        <f t="shared" si="462"/>
        <v>7.7375957466873795E-5</v>
      </c>
      <c r="CE253" s="1395">
        <f t="shared" si="462"/>
        <v>-1.5941545304077809E-4</v>
      </c>
      <c r="CF253" s="1395">
        <f t="shared" si="462"/>
        <v>2.1026785145739516E-4</v>
      </c>
      <c r="CG253" s="1395">
        <f t="shared" si="462"/>
        <v>1.4691184171898266E-4</v>
      </c>
      <c r="CH253" s="1397">
        <f t="shared" si="462"/>
        <v>4.2112742545967096E-5</v>
      </c>
      <c r="CI253" s="1395">
        <f t="shared" si="462"/>
        <v>4.3935546365960469E-5</v>
      </c>
      <c r="CJ253" s="1395">
        <f t="shared" si="462"/>
        <v>4.3846232047426474E-5</v>
      </c>
      <c r="CK253" s="1395">
        <f t="shared" si="462"/>
        <v>4.4245591771996674E-5</v>
      </c>
      <c r="CL253" s="1395">
        <f t="shared" si="462"/>
        <v>4.4646682266280024E-5</v>
      </c>
      <c r="CM253" s="1397">
        <f t="shared" si="462"/>
        <v>4.5041419752035286E-5</v>
      </c>
      <c r="CN253" s="1395">
        <f t="shared" si="462"/>
        <v>4.5446264985981906E-5</v>
      </c>
      <c r="CO253" s="1395">
        <f t="shared" si="462"/>
        <v>4.5828702078425001E-5</v>
      </c>
      <c r="CP253" s="1395">
        <f t="shared" si="462"/>
        <v>4.6202484372818333E-5</v>
      </c>
      <c r="CQ253" s="1395">
        <f t="shared" si="462"/>
        <v>4.6584681908917672E-5</v>
      </c>
      <c r="CR253" s="1398">
        <f t="shared" si="462"/>
        <v>4.6947054046001361E-5</v>
      </c>
      <c r="CS253" s="1378"/>
      <c r="CT253" s="1392" t="str">
        <f t="shared" si="328"/>
        <v>Qty</v>
      </c>
      <c r="CU253" s="1393" t="str">
        <f t="shared" si="329"/>
        <v>Trade Waste</v>
      </c>
      <c r="CV253" s="1393" t="str">
        <f t="shared" si="330"/>
        <v>Fixed</v>
      </c>
      <c r="CW253" s="1401">
        <f t="shared" si="354"/>
        <v>2.0000000000000018E-2</v>
      </c>
      <c r="CX253" s="1395">
        <f t="shared" si="355"/>
        <v>2.0000000000000018E-2</v>
      </c>
      <c r="CY253" s="1395">
        <f t="shared" si="356"/>
        <v>2.0000000000000018E-2</v>
      </c>
      <c r="CZ253" s="1398">
        <f t="shared" si="357"/>
        <v>2.0000000000000018E-2</v>
      </c>
      <c r="DA253" s="1395">
        <f t="shared" si="358"/>
        <v>2.0000000000000018E-2</v>
      </c>
      <c r="DB253" s="1395">
        <f t="shared" si="359"/>
        <v>2.0000000000000018E-2</v>
      </c>
      <c r="DC253" s="1395">
        <f t="shared" si="360"/>
        <v>2.0000000000000018E-2</v>
      </c>
      <c r="DD253" s="1395">
        <f t="shared" si="361"/>
        <v>2.0000000000000018E-2</v>
      </c>
      <c r="DE253" s="1398">
        <f t="shared" si="362"/>
        <v>2.0000000000000018E-2</v>
      </c>
      <c r="DF253" s="1378"/>
      <c r="DG253" s="1392" t="str">
        <f t="shared" si="363"/>
        <v>Qty</v>
      </c>
      <c r="DH253" s="1393" t="str">
        <f t="shared" si="363"/>
        <v>Trade Waste</v>
      </c>
      <c r="DI253" s="1393" t="str">
        <f t="shared" si="363"/>
        <v>Fixed</v>
      </c>
      <c r="DJ253" s="1393"/>
      <c r="DK253" s="1401">
        <f t="shared" si="364"/>
        <v>2.0000000000000018E-2</v>
      </c>
      <c r="DL253" s="1395">
        <f t="shared" si="365"/>
        <v>2.0000000000000018E-2</v>
      </c>
      <c r="DM253" s="1395">
        <f t="shared" si="366"/>
        <v>2.0000000000000018E-2</v>
      </c>
      <c r="DN253" s="1397">
        <f t="shared" si="367"/>
        <v>2.0000000000000018E-2</v>
      </c>
      <c r="DO253" s="1395">
        <f t="shared" si="368"/>
        <v>2.0000000000000018E-2</v>
      </c>
      <c r="DP253" s="1395">
        <f t="shared" si="369"/>
        <v>2.0000000000000018E-2</v>
      </c>
      <c r="DQ253" s="1395">
        <f t="shared" si="370"/>
        <v>2.0000000000000018E-2</v>
      </c>
      <c r="DR253" s="1398">
        <f t="shared" si="371"/>
        <v>2.0000000000000018E-2</v>
      </c>
    </row>
    <row r="254" spans="4:122" ht="12.75" thickBot="1">
      <c r="E254" s="743" t="s">
        <v>46</v>
      </c>
      <c r="F254" s="732" t="str">
        <f>+F252</f>
        <v>Trade Waste</v>
      </c>
      <c r="G254" s="733" t="str">
        <f>+G252</f>
        <v>Commercial  Tradewaste Category 2</v>
      </c>
      <c r="H254" s="733">
        <f>+H252</f>
        <v>0</v>
      </c>
      <c r="I254" s="734" t="str">
        <f>+I252</f>
        <v>Fixed</v>
      </c>
      <c r="J254" s="735" t="s">
        <v>344</v>
      </c>
      <c r="K254" s="736">
        <f t="shared" ref="K254:AG254" si="463">K252*K253/10^6</f>
        <v>0</v>
      </c>
      <c r="L254" s="737">
        <f t="shared" si="463"/>
        <v>0</v>
      </c>
      <c r="M254" s="737">
        <f t="shared" si="463"/>
        <v>0</v>
      </c>
      <c r="N254" s="738">
        <f t="shared" si="463"/>
        <v>0</v>
      </c>
      <c r="O254" s="1923">
        <f t="shared" si="463"/>
        <v>0.13008973775712362</v>
      </c>
      <c r="P254" s="737">
        <f t="shared" si="463"/>
        <v>0.13938530024981999</v>
      </c>
      <c r="Q254" s="737">
        <f t="shared" si="463"/>
        <v>0.14340705842063625</v>
      </c>
      <c r="R254" s="737">
        <f t="shared" si="463"/>
        <v>0.14864335928199895</v>
      </c>
      <c r="S254" s="737">
        <f t="shared" si="463"/>
        <v>0.1551098230416065</v>
      </c>
      <c r="T254" s="1531">
        <f t="shared" si="463"/>
        <v>0.14426355966101692</v>
      </c>
      <c r="U254" s="737">
        <f t="shared" si="463"/>
        <v>0.1606763228506787</v>
      </c>
      <c r="V254" s="737">
        <f t="shared" si="463"/>
        <v>0.17296867458515283</v>
      </c>
      <c r="W254" s="737">
        <f t="shared" si="463"/>
        <v>0.17722043039999999</v>
      </c>
      <c r="X254" s="738">
        <f t="shared" si="463"/>
        <v>0.19025499305592</v>
      </c>
      <c r="Y254" s="737">
        <f t="shared" si="463"/>
        <v>0.20424824779518289</v>
      </c>
      <c r="Z254" s="737">
        <f t="shared" si="463"/>
        <v>0.21927070642051863</v>
      </c>
      <c r="AA254" s="737">
        <f t="shared" si="463"/>
        <v>0.23539806687774778</v>
      </c>
      <c r="AB254" s="737">
        <f t="shared" si="463"/>
        <v>0.25271159469660615</v>
      </c>
      <c r="AC254" s="738">
        <f t="shared" si="463"/>
        <v>0.26189007981598689</v>
      </c>
      <c r="AD254" s="737">
        <f t="shared" si="463"/>
        <v>0.27140192751490355</v>
      </c>
      <c r="AE254" s="737">
        <f t="shared" si="463"/>
        <v>0.28125924552224485</v>
      </c>
      <c r="AF254" s="737">
        <f t="shared" si="463"/>
        <v>0.29147458131961268</v>
      </c>
      <c r="AG254" s="739">
        <f t="shared" si="463"/>
        <v>0.30206093811314105</v>
      </c>
      <c r="AH254" s="697"/>
      <c r="AI254" s="707"/>
      <c r="AJ254" s="709">
        <f t="shared" si="375"/>
        <v>0.19025499305592</v>
      </c>
      <c r="AK254" s="710">
        <f t="shared" si="376"/>
        <v>0.20424824779518289</v>
      </c>
      <c r="AL254" s="710">
        <f t="shared" si="377"/>
        <v>0.21927070642051863</v>
      </c>
      <c r="AM254" s="710">
        <f t="shared" si="378"/>
        <v>0.23539806687774778</v>
      </c>
      <c r="AN254" s="710">
        <f t="shared" si="379"/>
        <v>0.25271159469660615</v>
      </c>
      <c r="AO254" s="711">
        <f t="shared" si="380"/>
        <v>0.26189007981598689</v>
      </c>
      <c r="AP254" s="707">
        <f t="shared" si="381"/>
        <v>0.27140192751490355</v>
      </c>
      <c r="AQ254" s="707">
        <f t="shared" si="382"/>
        <v>0.28125924552224485</v>
      </c>
      <c r="AR254" s="707">
        <f t="shared" si="383"/>
        <v>0.29147458131961268</v>
      </c>
      <c r="AS254" s="712">
        <f t="shared" si="384"/>
        <v>0.30206093811314105</v>
      </c>
      <c r="AV254" s="1559"/>
      <c r="AW254" s="1428" t="str">
        <f t="shared" si="332"/>
        <v>Rev</v>
      </c>
      <c r="AX254" s="1429" t="str">
        <f t="shared" si="332"/>
        <v>Trade Waste</v>
      </c>
      <c r="AY254" s="1430" t="str">
        <f t="shared" si="333"/>
        <v>Fixed</v>
      </c>
      <c r="AZ254" s="1431">
        <f t="shared" si="447"/>
        <v>7.145500216205436E-2</v>
      </c>
      <c r="BA254" s="1431">
        <f t="shared" si="447"/>
        <v>2.8853531639334129E-2</v>
      </c>
      <c r="BB254" s="1431">
        <f t="shared" si="447"/>
        <v>3.6513550441874099E-2</v>
      </c>
      <c r="BC254" s="1431">
        <f t="shared" si="335"/>
        <v>4.3503213267265473E-2</v>
      </c>
      <c r="BD254" s="1431">
        <f t="shared" si="336"/>
        <v>-6.9926347460793625E-2</v>
      </c>
      <c r="BE254" s="1431">
        <f t="shared" si="337"/>
        <v>0.11376929300945893</v>
      </c>
      <c r="BF254" s="1431">
        <f t="shared" si="338"/>
        <v>7.6503815349930449E-2</v>
      </c>
      <c r="BG254" s="1432">
        <f t="shared" si="339"/>
        <v>2.4581074145619386E-2</v>
      </c>
      <c r="BH254" s="1431">
        <f t="shared" si="340"/>
        <v>7.3550000000000004E-2</v>
      </c>
      <c r="BI254" s="1431">
        <f t="shared" si="341"/>
        <v>7.3549999999999782E-2</v>
      </c>
      <c r="BJ254" s="1431">
        <f t="shared" si="342"/>
        <v>7.3550000000000226E-2</v>
      </c>
      <c r="BK254" s="1431">
        <f t="shared" si="343"/>
        <v>7.3550000000000004E-2</v>
      </c>
      <c r="BL254" s="1433">
        <f t="shared" si="344"/>
        <v>7.3550000000000004E-2</v>
      </c>
      <c r="BM254" s="1431">
        <f t="shared" si="345"/>
        <v>3.632000000000013E-2</v>
      </c>
      <c r="BN254" s="1431">
        <f t="shared" si="346"/>
        <v>3.632000000000013E-2</v>
      </c>
      <c r="BO254" s="1431">
        <f t="shared" si="347"/>
        <v>3.6319999999999908E-2</v>
      </c>
      <c r="BP254" s="1431">
        <f t="shared" si="348"/>
        <v>3.6319999999999686E-2</v>
      </c>
      <c r="BQ254" s="1434">
        <f t="shared" si="349"/>
        <v>3.632000000000013E-2</v>
      </c>
      <c r="BR254" s="1378"/>
      <c r="BS254" s="1407"/>
      <c r="BT254" s="1408"/>
      <c r="BU254" s="1409"/>
      <c r="BV254" s="1410"/>
      <c r="BW254" s="1378"/>
      <c r="BX254" s="1428" t="str">
        <f t="shared" si="350"/>
        <v>Rev</v>
      </c>
      <c r="BY254" s="1429" t="str">
        <f t="shared" si="351"/>
        <v>Trade Waste</v>
      </c>
      <c r="BZ254" s="1430" t="str">
        <f t="shared" si="352"/>
        <v>Fixed</v>
      </c>
      <c r="CA254" s="1435">
        <f t="shared" ref="CA254:CR254" si="464">IFERROR((P254/O254-1)*(O254/O$13),"-")</f>
        <v>1.2327875617347358E-4</v>
      </c>
      <c r="CB254" s="1431">
        <f t="shared" si="464"/>
        <v>5.1988183393021199E-5</v>
      </c>
      <c r="CC254" s="1431">
        <f t="shared" si="464"/>
        <v>6.8909793152201456E-5</v>
      </c>
      <c r="CD254" s="1431">
        <f t="shared" si="464"/>
        <v>8.6677146570587072E-5</v>
      </c>
      <c r="CE254" s="1431">
        <f t="shared" si="464"/>
        <v>-1.5047446462219957E-4</v>
      </c>
      <c r="CF254" s="1431">
        <f t="shared" si="464"/>
        <v>2.1989861261151013E-4</v>
      </c>
      <c r="CG254" s="1431">
        <f t="shared" si="464"/>
        <v>1.5675888679319075E-4</v>
      </c>
      <c r="CH254" s="1433">
        <f t="shared" si="464"/>
        <v>5.1758822349889819E-5</v>
      </c>
      <c r="CI254" s="1431">
        <f t="shared" si="464"/>
        <v>1.6157297176081951E-4</v>
      </c>
      <c r="CJ254" s="1431">
        <f t="shared" si="464"/>
        <v>1.6124451835441023E-4</v>
      </c>
      <c r="CK254" s="1431">
        <f t="shared" si="464"/>
        <v>1.6271316374151813E-4</v>
      </c>
      <c r="CL254" s="1431">
        <f t="shared" si="464"/>
        <v>1.6418817403424465E-4</v>
      </c>
      <c r="CM254" s="1433">
        <f t="shared" si="464"/>
        <v>1.6563982113810961E-4</v>
      </c>
      <c r="CN254" s="1431">
        <f t="shared" si="464"/>
        <v>8.2530417214543361E-5</v>
      </c>
      <c r="CO254" s="1431">
        <f t="shared" si="464"/>
        <v>8.3224922974420025E-5</v>
      </c>
      <c r="CP254" s="1431">
        <f t="shared" si="464"/>
        <v>8.3903711621037812E-5</v>
      </c>
      <c r="CQ254" s="1431">
        <f t="shared" si="464"/>
        <v>8.459778234659368E-5</v>
      </c>
      <c r="CR254" s="1434">
        <f t="shared" si="464"/>
        <v>8.5255850147538694E-5</v>
      </c>
      <c r="CS254" s="1378"/>
      <c r="CT254" s="1428" t="str">
        <f t="shared" si="328"/>
        <v>Rev</v>
      </c>
      <c r="CU254" s="1429" t="str">
        <f t="shared" si="329"/>
        <v>Trade Waste</v>
      </c>
      <c r="CV254" s="1429" t="str">
        <f t="shared" si="330"/>
        <v>Fixed</v>
      </c>
      <c r="CW254" s="1435">
        <f t="shared" si="354"/>
        <v>7.3550000000000004E-2</v>
      </c>
      <c r="CX254" s="1431">
        <f t="shared" si="355"/>
        <v>7.3550000000000004E-2</v>
      </c>
      <c r="CY254" s="1431">
        <f t="shared" si="356"/>
        <v>7.3550000000000004E-2</v>
      </c>
      <c r="CZ254" s="1434">
        <f t="shared" si="357"/>
        <v>7.3550000000000004E-2</v>
      </c>
      <c r="DA254" s="1431">
        <f t="shared" si="358"/>
        <v>6.7253391346971725E-2</v>
      </c>
      <c r="DB254" s="1431">
        <f t="shared" si="359"/>
        <v>6.2778437211227223E-2</v>
      </c>
      <c r="DC254" s="1431">
        <f t="shared" si="360"/>
        <v>5.9434539344829007E-2</v>
      </c>
      <c r="DD254" s="1431">
        <f t="shared" si="361"/>
        <v>5.6841005472616501E-2</v>
      </c>
      <c r="DE254" s="1434">
        <f t="shared" si="362"/>
        <v>5.4770750447697969E-2</v>
      </c>
      <c r="DF254" s="1378"/>
      <c r="DG254" s="1428" t="str">
        <f t="shared" si="363"/>
        <v>Rev</v>
      </c>
      <c r="DH254" s="1429" t="str">
        <f t="shared" si="363"/>
        <v>Trade Waste</v>
      </c>
      <c r="DI254" s="1429" t="str">
        <f t="shared" si="363"/>
        <v>Fixed</v>
      </c>
      <c r="DJ254" s="1429"/>
      <c r="DK254" s="1435">
        <f t="shared" si="364"/>
        <v>7.3550000000000004E-2</v>
      </c>
      <c r="DL254" s="1431">
        <f t="shared" si="365"/>
        <v>7.3550000000000004E-2</v>
      </c>
      <c r="DM254" s="1431">
        <f t="shared" si="366"/>
        <v>7.3550000000000004E-2</v>
      </c>
      <c r="DN254" s="1433">
        <f t="shared" si="367"/>
        <v>6.5998508286806423E-2</v>
      </c>
      <c r="DO254" s="1431">
        <f t="shared" si="368"/>
        <v>6.0993713699047269E-2</v>
      </c>
      <c r="DP254" s="1431">
        <f t="shared" si="369"/>
        <v>5.7433252898665188E-2</v>
      </c>
      <c r="DQ254" s="1431">
        <f t="shared" si="370"/>
        <v>5.4770750447697969E-2</v>
      </c>
      <c r="DR254" s="1434">
        <f t="shared" si="371"/>
        <v>5.2704550863329036E-2</v>
      </c>
    </row>
    <row r="255" spans="4:122">
      <c r="D255" s="70">
        <f>D252+1</f>
        <v>64</v>
      </c>
      <c r="E255" s="713" t="s">
        <v>44</v>
      </c>
      <c r="F255" s="1532" t="s">
        <v>316</v>
      </c>
      <c r="G255" s="1532" t="s">
        <v>926</v>
      </c>
      <c r="H255" s="1532"/>
      <c r="I255" s="781" t="s">
        <v>319</v>
      </c>
      <c r="J255" s="781" t="s">
        <v>345</v>
      </c>
      <c r="K255" s="1533"/>
      <c r="L255" s="1534"/>
      <c r="M255" s="1534"/>
      <c r="N255" s="1535"/>
      <c r="O255" s="2071">
        <v>388.67579185520361</v>
      </c>
      <c r="P255" s="1547">
        <v>390.42375666074594</v>
      </c>
      <c r="Q255" s="1547">
        <v>392.17196319018399</v>
      </c>
      <c r="R255" s="1547">
        <v>393.93586620926237</v>
      </c>
      <c r="S255" s="1547">
        <v>395.7023409669211</v>
      </c>
      <c r="T255" s="1547">
        <v>397.48033898305079</v>
      </c>
      <c r="U255" s="1547">
        <v>399.26542986425335</v>
      </c>
      <c r="V255" s="1547">
        <v>401.05644104803486</v>
      </c>
      <c r="W255" s="1547">
        <v>402.86</v>
      </c>
      <c r="X255" s="1550">
        <v>424.01015000000001</v>
      </c>
      <c r="Y255" s="1551">
        <v>446.27068287500003</v>
      </c>
      <c r="Z255" s="1551">
        <v>469.69989372593756</v>
      </c>
      <c r="AA255" s="1551">
        <v>494.3591381465493</v>
      </c>
      <c r="AB255" s="1551">
        <v>520.31299289924311</v>
      </c>
      <c r="AC255" s="1550">
        <v>528.63800078563099</v>
      </c>
      <c r="AD255" s="1551">
        <v>537.09620879820113</v>
      </c>
      <c r="AE255" s="1551">
        <v>545.68974813897239</v>
      </c>
      <c r="AF255" s="1551">
        <v>554.42078410919601</v>
      </c>
      <c r="AG255" s="1552">
        <v>563.29151665494317</v>
      </c>
      <c r="AH255" s="697"/>
      <c r="AI255" s="707"/>
      <c r="AJ255" s="709">
        <f t="shared" si="375"/>
        <v>424.01015000000001</v>
      </c>
      <c r="AK255" s="710">
        <f t="shared" si="376"/>
        <v>446.27068287500003</v>
      </c>
      <c r="AL255" s="710">
        <f t="shared" si="377"/>
        <v>469.69989372593756</v>
      </c>
      <c r="AM255" s="710">
        <f t="shared" si="378"/>
        <v>494.3591381465493</v>
      </c>
      <c r="AN255" s="710">
        <f t="shared" si="379"/>
        <v>520.31299289924311</v>
      </c>
      <c r="AO255" s="711">
        <f t="shared" si="380"/>
        <v>528.63800078563099</v>
      </c>
      <c r="AP255" s="707">
        <f t="shared" si="381"/>
        <v>537.09620879820113</v>
      </c>
      <c r="AQ255" s="707">
        <f t="shared" si="382"/>
        <v>545.68974813897239</v>
      </c>
      <c r="AR255" s="707">
        <f t="shared" si="383"/>
        <v>554.42078410919601</v>
      </c>
      <c r="AS255" s="712">
        <f t="shared" si="384"/>
        <v>563.29151665494317</v>
      </c>
      <c r="AU255" s="1369"/>
      <c r="AV255" s="1559"/>
      <c r="AW255" s="1412" t="str">
        <f t="shared" si="332"/>
        <v>Price</v>
      </c>
      <c r="AX255" s="1413" t="str">
        <f t="shared" si="332"/>
        <v>Trade Waste</v>
      </c>
      <c r="AY255" s="1414" t="str">
        <f t="shared" si="333"/>
        <v>Fixed</v>
      </c>
      <c r="AZ255" s="1415">
        <f t="shared" si="447"/>
        <v>4.4972309625950224E-3</v>
      </c>
      <c r="BA255" s="1415">
        <f t="shared" si="447"/>
        <v>4.4777155580650874E-3</v>
      </c>
      <c r="BB255" s="1415">
        <f t="shared" si="447"/>
        <v>4.4977795065450632E-3</v>
      </c>
      <c r="BC255" s="1415">
        <f t="shared" si="335"/>
        <v>4.4841683867402615E-3</v>
      </c>
      <c r="BD255" s="1415">
        <f t="shared" si="336"/>
        <v>4.4932714114984673E-3</v>
      </c>
      <c r="BE255" s="1415">
        <f t="shared" si="337"/>
        <v>4.4910168029184128E-3</v>
      </c>
      <c r="BF255" s="1415">
        <f t="shared" si="338"/>
        <v>4.4857657333128298E-3</v>
      </c>
      <c r="BG255" s="1416">
        <f t="shared" si="339"/>
        <v>4.4970202878480414E-3</v>
      </c>
      <c r="BH255" s="1417">
        <f t="shared" si="340"/>
        <v>5.2499999999999991E-2</v>
      </c>
      <c r="BI255" s="1417">
        <f t="shared" si="341"/>
        <v>5.2499999999999991E-2</v>
      </c>
      <c r="BJ255" s="1417">
        <f t="shared" si="342"/>
        <v>5.2499999999999991E-2</v>
      </c>
      <c r="BK255" s="1417">
        <f t="shared" si="343"/>
        <v>5.2499999999999991E-2</v>
      </c>
      <c r="BL255" s="1418">
        <f t="shared" si="344"/>
        <v>5.2499999999999991E-2</v>
      </c>
      <c r="BM255" s="1417">
        <f t="shared" si="345"/>
        <v>1.6000000000000014E-2</v>
      </c>
      <c r="BN255" s="1417">
        <f t="shared" si="346"/>
        <v>1.6000000000000014E-2</v>
      </c>
      <c r="BO255" s="1417">
        <f t="shared" si="347"/>
        <v>1.6000000000000014E-2</v>
      </c>
      <c r="BP255" s="1417">
        <f t="shared" si="348"/>
        <v>1.6000000000000014E-2</v>
      </c>
      <c r="BQ255" s="1419">
        <f t="shared" si="349"/>
        <v>1.6000000000000014E-2</v>
      </c>
      <c r="BR255" s="1378"/>
      <c r="BS255" s="1420"/>
      <c r="BT255" s="1421"/>
      <c r="BU255" s="1422"/>
      <c r="BV255" s="1423"/>
      <c r="BW255" s="1378"/>
      <c r="BX255" s="1412" t="str">
        <f t="shared" si="350"/>
        <v>Price</v>
      </c>
      <c r="BY255" s="1413" t="str">
        <f t="shared" si="351"/>
        <v>Trade Waste</v>
      </c>
      <c r="BZ255" s="1414" t="str">
        <f t="shared" si="352"/>
        <v>Fixed</v>
      </c>
      <c r="CA255" s="1424">
        <f t="shared" ref="CA255:CR255" si="465">IFERROR((P255/O255-1)*(O257/O$13),"-")</f>
        <v>2.0329186021388355E-6</v>
      </c>
      <c r="CB255" s="1415">
        <f t="shared" si="465"/>
        <v>2.1139021859155744E-6</v>
      </c>
      <c r="CC255" s="1415">
        <f t="shared" si="465"/>
        <v>2.2240373337322189E-6</v>
      </c>
      <c r="CD255" s="1415">
        <f t="shared" si="465"/>
        <v>2.3409049429132292E-6</v>
      </c>
      <c r="CE255" s="1415">
        <f t="shared" si="465"/>
        <v>2.5333726085627178E-6</v>
      </c>
      <c r="CF255" s="1415">
        <f t="shared" si="465"/>
        <v>2.3916692370798524E-6</v>
      </c>
      <c r="CG255" s="1415">
        <f t="shared" si="465"/>
        <v>2.3753566647544443E-6</v>
      </c>
      <c r="CH255" s="1425">
        <f t="shared" si="465"/>
        <v>2.4809891100745344E-6</v>
      </c>
      <c r="CI255" s="1417">
        <f t="shared" si="465"/>
        <v>3.0217902523425653E-5</v>
      </c>
      <c r="CJ255" s="1417">
        <f t="shared" si="465"/>
        <v>3.0156474099412751E-5</v>
      </c>
      <c r="CK255" s="1417">
        <f t="shared" si="465"/>
        <v>3.0431144934920884E-5</v>
      </c>
      <c r="CL255" s="1417">
        <f t="shared" si="465"/>
        <v>3.0707006155773187E-5</v>
      </c>
      <c r="CM255" s="1418">
        <f t="shared" si="465"/>
        <v>3.0978497917080526E-5</v>
      </c>
      <c r="CN255" s="1417">
        <f t="shared" si="465"/>
        <v>9.5259250484711315E-6</v>
      </c>
      <c r="CO255" s="1417">
        <f t="shared" si="465"/>
        <v>9.6060871273458611E-6</v>
      </c>
      <c r="CP255" s="1417">
        <f t="shared" si="465"/>
        <v>9.6844350866761741E-6</v>
      </c>
      <c r="CQ255" s="1417">
        <f t="shared" si="465"/>
        <v>9.7645469524965184E-6</v>
      </c>
      <c r="CR255" s="1419">
        <f t="shared" si="465"/>
        <v>9.8405032454631312E-6</v>
      </c>
      <c r="CS255" s="1378"/>
      <c r="CT255" s="1412" t="str">
        <f t="shared" si="328"/>
        <v>Price</v>
      </c>
      <c r="CU255" s="1413" t="str">
        <f t="shared" si="329"/>
        <v>Trade Waste</v>
      </c>
      <c r="CV255" s="1426" t="str">
        <f t="shared" si="330"/>
        <v>Fixed</v>
      </c>
      <c r="CW255" s="1427">
        <f t="shared" si="354"/>
        <v>5.2499999999999991E-2</v>
      </c>
      <c r="CX255" s="1417">
        <f t="shared" si="355"/>
        <v>5.2499999999999991E-2</v>
      </c>
      <c r="CY255" s="1417">
        <f t="shared" si="356"/>
        <v>5.2499999999999991E-2</v>
      </c>
      <c r="CZ255" s="1419">
        <f t="shared" si="357"/>
        <v>5.2499999999999991E-2</v>
      </c>
      <c r="DA255" s="1417">
        <f t="shared" si="358"/>
        <v>4.6326854261736994E-2</v>
      </c>
      <c r="DB255" s="1417">
        <f t="shared" si="359"/>
        <v>4.1939644324732628E-2</v>
      </c>
      <c r="DC255" s="1417">
        <f t="shared" si="360"/>
        <v>3.8661313083165672E-2</v>
      </c>
      <c r="DD255" s="1417">
        <f t="shared" si="361"/>
        <v>3.6118632816290797E-2</v>
      </c>
      <c r="DE255" s="1419">
        <f t="shared" si="362"/>
        <v>3.4088971027155024E-2</v>
      </c>
      <c r="DF255" s="1378"/>
      <c r="DG255" s="1412" t="str">
        <f t="shared" si="363"/>
        <v>Price</v>
      </c>
      <c r="DH255" s="1413" t="str">
        <f t="shared" si="363"/>
        <v>Trade Waste</v>
      </c>
      <c r="DI255" s="1426" t="str">
        <f t="shared" si="363"/>
        <v>Fixed</v>
      </c>
      <c r="DJ255" s="1426"/>
      <c r="DK255" s="1427">
        <f t="shared" si="364"/>
        <v>5.2499999999999991E-2</v>
      </c>
      <c r="DL255" s="1417">
        <f t="shared" si="365"/>
        <v>5.2499999999999991E-2</v>
      </c>
      <c r="DM255" s="1417">
        <f t="shared" si="366"/>
        <v>5.2499999999999991E-2</v>
      </c>
      <c r="DN255" s="1418">
        <f t="shared" si="367"/>
        <v>4.5096576751770812E-2</v>
      </c>
      <c r="DO255" s="1417">
        <f t="shared" si="368"/>
        <v>4.0189915391222852E-2</v>
      </c>
      <c r="DP255" s="1417">
        <f t="shared" si="369"/>
        <v>3.6699267547711134E-2</v>
      </c>
      <c r="DQ255" s="1417">
        <f t="shared" si="370"/>
        <v>3.4088971027155024E-2</v>
      </c>
      <c r="DR255" s="1419">
        <f t="shared" si="371"/>
        <v>3.2063285160126576E-2</v>
      </c>
    </row>
    <row r="256" spans="4:122">
      <c r="E256" s="742" t="s">
        <v>45</v>
      </c>
      <c r="F256" s="722" t="str">
        <f>+F255</f>
        <v>Trade Waste</v>
      </c>
      <c r="G256" s="723" t="str">
        <f>+G255</f>
        <v>Commercial  Tradewaste Category 3</v>
      </c>
      <c r="H256" s="723">
        <f>+H255</f>
        <v>0</v>
      </c>
      <c r="I256" s="724" t="str">
        <f>+I255</f>
        <v>Fixed</v>
      </c>
      <c r="J256" s="782" t="s">
        <v>323</v>
      </c>
      <c r="K256" s="1540"/>
      <c r="L256" s="1541"/>
      <c r="M256" s="1541"/>
      <c r="N256" s="1542"/>
      <c r="O256" s="2031">
        <v>87.694980694980686</v>
      </c>
      <c r="P256" s="1543">
        <v>93.541312741312737</v>
      </c>
      <c r="Q256" s="1543">
        <v>95.810038610038603</v>
      </c>
      <c r="R256" s="1543">
        <v>98.864092664092652</v>
      </c>
      <c r="S256" s="1543">
        <v>102.7034749034749</v>
      </c>
      <c r="T256" s="1543">
        <v>100</v>
      </c>
      <c r="U256" s="1543">
        <v>104</v>
      </c>
      <c r="V256" s="1543">
        <v>113</v>
      </c>
      <c r="W256" s="1543">
        <v>115.26</v>
      </c>
      <c r="X256" s="1544">
        <v>117.5652</v>
      </c>
      <c r="Y256" s="1543">
        <v>119.916504</v>
      </c>
      <c r="Z256" s="1543">
        <v>122.31483408000001</v>
      </c>
      <c r="AA256" s="1543">
        <v>124.76113076160001</v>
      </c>
      <c r="AB256" s="1543">
        <v>127.25635337683202</v>
      </c>
      <c r="AC256" s="1544">
        <v>129.80148044436868</v>
      </c>
      <c r="AD256" s="1543">
        <v>132.39751005325604</v>
      </c>
      <c r="AE256" s="1543">
        <v>135.04546025432117</v>
      </c>
      <c r="AF256" s="1543">
        <v>137.74636945940759</v>
      </c>
      <c r="AG256" s="1553">
        <v>140.50129684859576</v>
      </c>
      <c r="AH256" s="697"/>
      <c r="AI256" s="707"/>
      <c r="AJ256" s="709">
        <f t="shared" si="375"/>
        <v>117.5652</v>
      </c>
      <c r="AK256" s="710">
        <f t="shared" si="376"/>
        <v>119.916504</v>
      </c>
      <c r="AL256" s="710">
        <f t="shared" si="377"/>
        <v>122.31483408000001</v>
      </c>
      <c r="AM256" s="710">
        <f t="shared" si="378"/>
        <v>124.76113076160001</v>
      </c>
      <c r="AN256" s="710">
        <f t="shared" si="379"/>
        <v>127.25635337683202</v>
      </c>
      <c r="AO256" s="711">
        <f t="shared" si="380"/>
        <v>129.80148044436868</v>
      </c>
      <c r="AP256" s="707">
        <f t="shared" si="381"/>
        <v>132.39751005325604</v>
      </c>
      <c r="AQ256" s="707">
        <f t="shared" si="382"/>
        <v>135.04546025432117</v>
      </c>
      <c r="AR256" s="707">
        <f t="shared" si="383"/>
        <v>137.74636945940759</v>
      </c>
      <c r="AS256" s="712">
        <f t="shared" si="384"/>
        <v>140.50129684859576</v>
      </c>
      <c r="AV256" s="1559"/>
      <c r="AW256" s="1392" t="str">
        <f t="shared" si="332"/>
        <v>Qty</v>
      </c>
      <c r="AX256" s="1393" t="str">
        <f t="shared" si="332"/>
        <v>Trade Waste</v>
      </c>
      <c r="AY256" s="1394" t="str">
        <f t="shared" si="333"/>
        <v>Fixed</v>
      </c>
      <c r="AZ256" s="1395">
        <f t="shared" si="447"/>
        <v>6.6666666666666652E-2</v>
      </c>
      <c r="BA256" s="1395">
        <f t="shared" si="447"/>
        <v>2.4253731343283569E-2</v>
      </c>
      <c r="BB256" s="1395">
        <f t="shared" si="447"/>
        <v>3.1876138433515333E-2</v>
      </c>
      <c r="BC256" s="1395">
        <f t="shared" si="335"/>
        <v>3.8834951456310662E-2</v>
      </c>
      <c r="BD256" s="1395">
        <f t="shared" si="336"/>
        <v>-2.6323110352553747E-2</v>
      </c>
      <c r="BE256" s="1395">
        <f t="shared" si="337"/>
        <v>4.0000000000000036E-2</v>
      </c>
      <c r="BF256" s="1395">
        <f t="shared" si="338"/>
        <v>8.6538461538461453E-2</v>
      </c>
      <c r="BG256" s="1396">
        <f t="shared" si="339"/>
        <v>2.0000000000000018E-2</v>
      </c>
      <c r="BH256" s="1395">
        <f t="shared" si="340"/>
        <v>2.0000000000000018E-2</v>
      </c>
      <c r="BI256" s="1395">
        <f t="shared" si="341"/>
        <v>2.0000000000000018E-2</v>
      </c>
      <c r="BJ256" s="1395">
        <f t="shared" si="342"/>
        <v>2.0000000000000018E-2</v>
      </c>
      <c r="BK256" s="1395">
        <f t="shared" si="343"/>
        <v>2.0000000000000018E-2</v>
      </c>
      <c r="BL256" s="1397">
        <f t="shared" si="344"/>
        <v>2.0000000000000018E-2</v>
      </c>
      <c r="BM256" s="1395">
        <f t="shared" si="345"/>
        <v>2.0000000000000018E-2</v>
      </c>
      <c r="BN256" s="1395">
        <f t="shared" si="346"/>
        <v>2.0000000000000018E-2</v>
      </c>
      <c r="BO256" s="1395">
        <f t="shared" si="347"/>
        <v>2.0000000000000018E-2</v>
      </c>
      <c r="BP256" s="1395">
        <f t="shared" si="348"/>
        <v>2.0000000000000018E-2</v>
      </c>
      <c r="BQ256" s="1398">
        <f t="shared" si="349"/>
        <v>2.0000000000000018E-2</v>
      </c>
      <c r="BR256" s="1378"/>
      <c r="BS256" s="1329"/>
      <c r="BT256" s="1399"/>
      <c r="BU256" s="1331"/>
      <c r="BV256" s="1400"/>
      <c r="BW256" s="1378"/>
      <c r="BX256" s="1392" t="str">
        <f t="shared" si="350"/>
        <v>Qty</v>
      </c>
      <c r="BY256" s="1393" t="str">
        <f t="shared" si="351"/>
        <v>Trade Waste</v>
      </c>
      <c r="BZ256" s="1394" t="str">
        <f t="shared" si="352"/>
        <v>Fixed</v>
      </c>
      <c r="CA256" s="1401">
        <f t="shared" ref="CA256:CR256" si="466">IFERROR((P256/O256-1)*(O257/O$13),"-")</f>
        <v>3.013585647179046E-5</v>
      </c>
      <c r="CB256" s="1395">
        <f t="shared" si="466"/>
        <v>1.145003853825209E-5</v>
      </c>
      <c r="CC256" s="1395">
        <f t="shared" si="466"/>
        <v>1.5761938047027801E-5</v>
      </c>
      <c r="CD256" s="1395">
        <f t="shared" si="466"/>
        <v>2.0273308667598592E-5</v>
      </c>
      <c r="CE256" s="1395">
        <f t="shared" si="466"/>
        <v>-1.4841357361293712E-5</v>
      </c>
      <c r="CF256" s="1395">
        <f t="shared" si="466"/>
        <v>2.1301806179176779E-5</v>
      </c>
      <c r="CG256" s="1395">
        <f t="shared" si="466"/>
        <v>4.5824887788148152E-5</v>
      </c>
      <c r="CH256" s="1397">
        <f t="shared" si="466"/>
        <v>1.1033924471182513E-5</v>
      </c>
      <c r="CI256" s="1395">
        <f t="shared" si="466"/>
        <v>1.1511581913685976E-5</v>
      </c>
      <c r="CJ256" s="1395">
        <f t="shared" si="466"/>
        <v>1.1488180609300108E-5</v>
      </c>
      <c r="CK256" s="1395">
        <f t="shared" si="466"/>
        <v>1.159281711806511E-5</v>
      </c>
      <c r="CL256" s="1395">
        <f t="shared" si="466"/>
        <v>1.1697907106961226E-5</v>
      </c>
      <c r="CM256" s="1397">
        <f t="shared" si="466"/>
        <v>1.1801332539840212E-5</v>
      </c>
      <c r="CN256" s="1395">
        <f t="shared" si="466"/>
        <v>1.1907406310588913E-5</v>
      </c>
      <c r="CO256" s="1395">
        <f t="shared" si="466"/>
        <v>1.2007608909182325E-5</v>
      </c>
      <c r="CP256" s="1395">
        <f t="shared" si="466"/>
        <v>1.2105543858345218E-5</v>
      </c>
      <c r="CQ256" s="1395">
        <f t="shared" si="466"/>
        <v>1.2205683690620647E-5</v>
      </c>
      <c r="CR256" s="1398">
        <f t="shared" si="466"/>
        <v>1.2300629056828914E-5</v>
      </c>
      <c r="CS256" s="1378"/>
      <c r="CT256" s="1392" t="str">
        <f t="shared" si="328"/>
        <v>Qty</v>
      </c>
      <c r="CU256" s="1393" t="str">
        <f t="shared" si="329"/>
        <v>Trade Waste</v>
      </c>
      <c r="CV256" s="1393" t="str">
        <f t="shared" si="330"/>
        <v>Fixed</v>
      </c>
      <c r="CW256" s="1401">
        <f t="shared" si="354"/>
        <v>2.0000000000000018E-2</v>
      </c>
      <c r="CX256" s="1395">
        <f t="shared" si="355"/>
        <v>2.0000000000000018E-2</v>
      </c>
      <c r="CY256" s="1395">
        <f t="shared" si="356"/>
        <v>2.0000000000000018E-2</v>
      </c>
      <c r="CZ256" s="1398">
        <f t="shared" si="357"/>
        <v>2.0000000000000018E-2</v>
      </c>
      <c r="DA256" s="1395">
        <f t="shared" si="358"/>
        <v>2.0000000000000018E-2</v>
      </c>
      <c r="DB256" s="1395">
        <f t="shared" si="359"/>
        <v>2.0000000000000018E-2</v>
      </c>
      <c r="DC256" s="1395">
        <f t="shared" si="360"/>
        <v>2.0000000000000018E-2</v>
      </c>
      <c r="DD256" s="1395">
        <f t="shared" si="361"/>
        <v>2.0000000000000018E-2</v>
      </c>
      <c r="DE256" s="1398">
        <f t="shared" si="362"/>
        <v>2.0000000000000018E-2</v>
      </c>
      <c r="DF256" s="1378"/>
      <c r="DG256" s="1392" t="str">
        <f t="shared" si="363"/>
        <v>Qty</v>
      </c>
      <c r="DH256" s="1393" t="str">
        <f t="shared" si="363"/>
        <v>Trade Waste</v>
      </c>
      <c r="DI256" s="1393" t="str">
        <f t="shared" si="363"/>
        <v>Fixed</v>
      </c>
      <c r="DJ256" s="1393"/>
      <c r="DK256" s="1401">
        <f t="shared" si="364"/>
        <v>2.0000000000000018E-2</v>
      </c>
      <c r="DL256" s="1395">
        <f t="shared" si="365"/>
        <v>2.0000000000000018E-2</v>
      </c>
      <c r="DM256" s="1395">
        <f t="shared" si="366"/>
        <v>2.0000000000000018E-2</v>
      </c>
      <c r="DN256" s="1397">
        <f t="shared" si="367"/>
        <v>2.0000000000000018E-2</v>
      </c>
      <c r="DO256" s="1395">
        <f t="shared" si="368"/>
        <v>2.0000000000000018E-2</v>
      </c>
      <c r="DP256" s="1395">
        <f t="shared" si="369"/>
        <v>2.0000000000000018E-2</v>
      </c>
      <c r="DQ256" s="1395">
        <f t="shared" si="370"/>
        <v>2.0000000000000018E-2</v>
      </c>
      <c r="DR256" s="1398">
        <f t="shared" si="371"/>
        <v>2.0000000000000018E-2</v>
      </c>
    </row>
    <row r="257" spans="4:122" ht="12.75" thickBot="1">
      <c r="E257" s="743" t="s">
        <v>46</v>
      </c>
      <c r="F257" s="732" t="str">
        <f>+F255</f>
        <v>Trade Waste</v>
      </c>
      <c r="G257" s="733" t="str">
        <f>+G255</f>
        <v>Commercial  Tradewaste Category 3</v>
      </c>
      <c r="H257" s="733">
        <f>+H255</f>
        <v>0</v>
      </c>
      <c r="I257" s="734" t="str">
        <f>+I255</f>
        <v>Fixed</v>
      </c>
      <c r="J257" s="735" t="s">
        <v>344</v>
      </c>
      <c r="K257" s="736">
        <f t="shared" ref="K257:AG257" si="467">K255*K256/10^6</f>
        <v>0</v>
      </c>
      <c r="L257" s="737">
        <f t="shared" si="467"/>
        <v>0</v>
      </c>
      <c r="M257" s="737">
        <f t="shared" si="467"/>
        <v>0</v>
      </c>
      <c r="N257" s="738">
        <f t="shared" si="467"/>
        <v>0</v>
      </c>
      <c r="O257" s="1923">
        <f t="shared" si="467"/>
        <v>3.4084916063348417E-2</v>
      </c>
      <c r="P257" s="737">
        <f t="shared" si="467"/>
        <v>3.6520750723441013E-2</v>
      </c>
      <c r="Q257" s="737">
        <f t="shared" si="467"/>
        <v>3.7574010935026166E-2</v>
      </c>
      <c r="R257" s="737">
        <f t="shared" si="467"/>
        <v>3.8946111980622117E-2</v>
      </c>
      <c r="S257" s="737">
        <f t="shared" si="467"/>
        <v>4.0640005444742451E-2</v>
      </c>
      <c r="T257" s="1531">
        <f t="shared" si="467"/>
        <v>3.9748033898305078E-2</v>
      </c>
      <c r="U257" s="737">
        <f t="shared" si="467"/>
        <v>4.1523604705882344E-2</v>
      </c>
      <c r="V257" s="737">
        <f t="shared" si="467"/>
        <v>4.5319377838427939E-2</v>
      </c>
      <c r="W257" s="737">
        <f t="shared" si="467"/>
        <v>4.6433643600000005E-2</v>
      </c>
      <c r="X257" s="738">
        <f t="shared" si="467"/>
        <v>4.9848838086779999E-2</v>
      </c>
      <c r="Y257" s="737">
        <f t="shared" si="467"/>
        <v>5.3515220128062674E-2</v>
      </c>
      <c r="Z257" s="737">
        <f t="shared" si="467"/>
        <v>5.7451264568481687E-2</v>
      </c>
      <c r="AA257" s="737">
        <f t="shared" si="467"/>
        <v>6.1676805077493527E-2</v>
      </c>
      <c r="AB257" s="737">
        <f t="shared" si="467"/>
        <v>6.6213134090943176E-2</v>
      </c>
      <c r="AC257" s="738">
        <f t="shared" si="467"/>
        <v>6.8617995121126235E-2</v>
      </c>
      <c r="AD257" s="737">
        <f t="shared" si="467"/>
        <v>7.1110200703925541E-2</v>
      </c>
      <c r="AE257" s="737">
        <f t="shared" si="467"/>
        <v>7.3692923193492132E-2</v>
      </c>
      <c r="AF257" s="737">
        <f t="shared" si="467"/>
        <v>7.6369450163879762E-2</v>
      </c>
      <c r="AG257" s="739">
        <f t="shared" si="467"/>
        <v>7.914318859383189E-2</v>
      </c>
      <c r="AH257" s="697"/>
      <c r="AI257" s="707"/>
      <c r="AJ257" s="709">
        <f t="shared" si="375"/>
        <v>4.9848838086779999E-2</v>
      </c>
      <c r="AK257" s="710">
        <f t="shared" si="376"/>
        <v>5.3515220128062674E-2</v>
      </c>
      <c r="AL257" s="710">
        <f t="shared" si="377"/>
        <v>5.7451264568481687E-2</v>
      </c>
      <c r="AM257" s="710">
        <f t="shared" si="378"/>
        <v>6.1676805077493527E-2</v>
      </c>
      <c r="AN257" s="710">
        <f t="shared" si="379"/>
        <v>6.6213134090943176E-2</v>
      </c>
      <c r="AO257" s="711">
        <f t="shared" si="380"/>
        <v>6.8617995121126235E-2</v>
      </c>
      <c r="AP257" s="707">
        <f t="shared" si="381"/>
        <v>7.1110200703925541E-2</v>
      </c>
      <c r="AQ257" s="707">
        <f t="shared" si="382"/>
        <v>7.3692923193492132E-2</v>
      </c>
      <c r="AR257" s="707">
        <f t="shared" si="383"/>
        <v>7.6369450163879762E-2</v>
      </c>
      <c r="AS257" s="712">
        <f t="shared" si="384"/>
        <v>7.914318859383189E-2</v>
      </c>
      <c r="AV257" s="1559"/>
      <c r="AW257" s="1428" t="str">
        <f t="shared" si="332"/>
        <v>Rev</v>
      </c>
      <c r="AX257" s="1429" t="str">
        <f t="shared" si="332"/>
        <v>Trade Waste</v>
      </c>
      <c r="AY257" s="1430" t="str">
        <f t="shared" si="333"/>
        <v>Fixed</v>
      </c>
      <c r="AZ257" s="1431">
        <f t="shared" si="447"/>
        <v>7.1463713026767683E-2</v>
      </c>
      <c r="BA257" s="1431">
        <f t="shared" si="447"/>
        <v>2.8840048211525637E-2</v>
      </c>
      <c r="BB257" s="1431">
        <f t="shared" si="447"/>
        <v>3.6517289782254547E-2</v>
      </c>
      <c r="BC257" s="1431">
        <f t="shared" si="335"/>
        <v>4.3493262304672209E-2</v>
      </c>
      <c r="BD257" s="1431">
        <f t="shared" si="336"/>
        <v>-2.1948115820264125E-2</v>
      </c>
      <c r="BE257" s="1431">
        <f t="shared" si="337"/>
        <v>4.4670657475035069E-2</v>
      </c>
      <c r="BF257" s="1431">
        <f t="shared" si="338"/>
        <v>9.1412418537157425E-2</v>
      </c>
      <c r="BG257" s="1432">
        <f t="shared" si="339"/>
        <v>2.4586960693605109E-2</v>
      </c>
      <c r="BH257" s="1431">
        <f t="shared" si="340"/>
        <v>7.3549999999999782E-2</v>
      </c>
      <c r="BI257" s="1431">
        <f t="shared" si="341"/>
        <v>7.3550000000000004E-2</v>
      </c>
      <c r="BJ257" s="1431">
        <f t="shared" si="342"/>
        <v>7.3550000000000004E-2</v>
      </c>
      <c r="BK257" s="1431">
        <f t="shared" si="343"/>
        <v>7.3550000000000226E-2</v>
      </c>
      <c r="BL257" s="1433">
        <f t="shared" si="344"/>
        <v>7.3550000000000004E-2</v>
      </c>
      <c r="BM257" s="1431">
        <f t="shared" si="345"/>
        <v>3.632000000000013E-2</v>
      </c>
      <c r="BN257" s="1431">
        <f t="shared" si="346"/>
        <v>3.6319999999999908E-2</v>
      </c>
      <c r="BO257" s="1431">
        <f t="shared" si="347"/>
        <v>3.632000000000013E-2</v>
      </c>
      <c r="BP257" s="1431">
        <f t="shared" si="348"/>
        <v>3.6319999999999908E-2</v>
      </c>
      <c r="BQ257" s="1434">
        <f t="shared" si="349"/>
        <v>3.632000000000013E-2</v>
      </c>
      <c r="BR257" s="1378"/>
      <c r="BS257" s="1407"/>
      <c r="BT257" s="1408"/>
      <c r="BU257" s="1409"/>
      <c r="BV257" s="1410"/>
      <c r="BW257" s="1378"/>
      <c r="BX257" s="1428" t="str">
        <f t="shared" si="350"/>
        <v>Rev</v>
      </c>
      <c r="BY257" s="1429" t="str">
        <f t="shared" si="351"/>
        <v>Trade Waste</v>
      </c>
      <c r="BZ257" s="1430" t="str">
        <f t="shared" si="352"/>
        <v>Fixed</v>
      </c>
      <c r="CA257" s="1435">
        <f t="shared" ref="CA257:CR257" si="468">IFERROR((P257/O257-1)*(O257/O$13),"-")</f>
        <v>3.2304302980738406E-5</v>
      </c>
      <c r="CB257" s="1431">
        <f t="shared" si="468"/>
        <v>1.3615210739870854E-5</v>
      </c>
      <c r="CC257" s="1431">
        <f t="shared" si="468"/>
        <v>1.805686910269142E-5</v>
      </c>
      <c r="CD257" s="1431">
        <f t="shared" si="468"/>
        <v>2.2705122540333851E-5</v>
      </c>
      <c r="CE257" s="1431">
        <f t="shared" si="468"/>
        <v>-1.2374670999470326E-5</v>
      </c>
      <c r="CF257" s="1431">
        <f t="shared" si="468"/>
        <v>2.3789142185739764E-5</v>
      </c>
      <c r="CG257" s="1431">
        <f t="shared" si="468"/>
        <v>4.8405804164275739E-5</v>
      </c>
      <c r="CH257" s="1433">
        <f t="shared" si="468"/>
        <v>1.3564533363458587E-5</v>
      </c>
      <c r="CI257" s="1431">
        <f t="shared" si="468"/>
        <v>4.2333842487580014E-5</v>
      </c>
      <c r="CJ257" s="1431">
        <f t="shared" si="468"/>
        <v>4.2247784190701108E-5</v>
      </c>
      <c r="CK257" s="1431">
        <f t="shared" si="468"/>
        <v>4.2632584951684409E-5</v>
      </c>
      <c r="CL257" s="1431">
        <f t="shared" si="468"/>
        <v>4.3019053385850004E-5</v>
      </c>
      <c r="CM257" s="1433">
        <f t="shared" si="468"/>
        <v>4.3399400415262344E-5</v>
      </c>
      <c r="CN257" s="1431">
        <f t="shared" si="468"/>
        <v>2.1623849860029525E-5</v>
      </c>
      <c r="CO257" s="1431">
        <f t="shared" si="468"/>
        <v>2.180581777907503E-5</v>
      </c>
      <c r="CP257" s="1431">
        <f t="shared" si="468"/>
        <v>2.1983667646754976E-5</v>
      </c>
      <c r="CQ257" s="1431">
        <f t="shared" si="468"/>
        <v>2.2165521582167019E-5</v>
      </c>
      <c r="CR257" s="1434">
        <f t="shared" si="468"/>
        <v>2.2337942367201369E-5</v>
      </c>
      <c r="CS257" s="1378"/>
      <c r="CT257" s="1428" t="str">
        <f t="shared" ref="CT257:CT320" si="469">AW257</f>
        <v>Rev</v>
      </c>
      <c r="CU257" s="1429" t="str">
        <f t="shared" ref="CU257:CU320" si="470">AX257</f>
        <v>Trade Waste</v>
      </c>
      <c r="CV257" s="1429" t="str">
        <f t="shared" ref="CV257:CV320" si="471">AY257</f>
        <v>Fixed</v>
      </c>
      <c r="CW257" s="1435">
        <f t="shared" si="354"/>
        <v>7.3550000000000004E-2</v>
      </c>
      <c r="CX257" s="1431">
        <f t="shared" si="355"/>
        <v>7.3550000000000004E-2</v>
      </c>
      <c r="CY257" s="1431">
        <f t="shared" si="356"/>
        <v>7.3550000000000004E-2</v>
      </c>
      <c r="CZ257" s="1434">
        <f t="shared" si="357"/>
        <v>7.3550000000000004E-2</v>
      </c>
      <c r="DA257" s="1431">
        <f t="shared" si="358"/>
        <v>6.7253391346971725E-2</v>
      </c>
      <c r="DB257" s="1431">
        <f t="shared" si="359"/>
        <v>6.2778437211227223E-2</v>
      </c>
      <c r="DC257" s="1431">
        <f t="shared" si="360"/>
        <v>5.9434539344829007E-2</v>
      </c>
      <c r="DD257" s="1431">
        <f t="shared" si="361"/>
        <v>5.6841005472616724E-2</v>
      </c>
      <c r="DE257" s="1434">
        <f t="shared" si="362"/>
        <v>5.4770750447697969E-2</v>
      </c>
      <c r="DF257" s="1378"/>
      <c r="DG257" s="1428" t="str">
        <f t="shared" si="363"/>
        <v>Rev</v>
      </c>
      <c r="DH257" s="1429" t="str">
        <f t="shared" si="363"/>
        <v>Trade Waste</v>
      </c>
      <c r="DI257" s="1429" t="str">
        <f t="shared" si="363"/>
        <v>Fixed</v>
      </c>
      <c r="DJ257" s="1429"/>
      <c r="DK257" s="1435">
        <f t="shared" si="364"/>
        <v>7.3550000000000004E-2</v>
      </c>
      <c r="DL257" s="1431">
        <f t="shared" si="365"/>
        <v>7.3550000000000004E-2</v>
      </c>
      <c r="DM257" s="1431">
        <f t="shared" si="366"/>
        <v>7.3550000000000004E-2</v>
      </c>
      <c r="DN257" s="1433">
        <f t="shared" si="367"/>
        <v>6.5998508286806423E-2</v>
      </c>
      <c r="DO257" s="1431">
        <f t="shared" si="368"/>
        <v>6.0993713699047492E-2</v>
      </c>
      <c r="DP257" s="1431">
        <f t="shared" si="369"/>
        <v>5.743325289866541E-2</v>
      </c>
      <c r="DQ257" s="1431">
        <f t="shared" si="370"/>
        <v>5.4770750447697969E-2</v>
      </c>
      <c r="DR257" s="1434">
        <f t="shared" si="371"/>
        <v>5.2704550863329258E-2</v>
      </c>
    </row>
    <row r="258" spans="4:122">
      <c r="D258" s="70">
        <f>D255+1</f>
        <v>65</v>
      </c>
      <c r="E258" s="713" t="s">
        <v>44</v>
      </c>
      <c r="F258" s="1532" t="s">
        <v>20</v>
      </c>
      <c r="G258" s="1532" t="s">
        <v>1281</v>
      </c>
      <c r="H258" s="1532"/>
      <c r="I258" s="781" t="s">
        <v>320</v>
      </c>
      <c r="J258" s="781" t="s">
        <v>345</v>
      </c>
      <c r="K258" s="1533"/>
      <c r="L258" s="1534"/>
      <c r="M258" s="1534"/>
      <c r="N258" s="1535"/>
      <c r="O258" s="2071"/>
      <c r="P258" s="1547">
        <v>40000</v>
      </c>
      <c r="Q258" s="1547">
        <v>-560000</v>
      </c>
      <c r="R258" s="1547">
        <v>240000</v>
      </c>
      <c r="S258" s="1547">
        <v>140000</v>
      </c>
      <c r="T258" s="1547">
        <v>580000</v>
      </c>
      <c r="U258" s="1547">
        <v>840000</v>
      </c>
      <c r="V258" s="1547">
        <v>370000</v>
      </c>
      <c r="W258" s="1547">
        <v>0</v>
      </c>
      <c r="X258" s="1548"/>
      <c r="Y258" s="1547"/>
      <c r="Z258" s="1547"/>
      <c r="AA258" s="1547"/>
      <c r="AB258" s="1547"/>
      <c r="AC258" s="1548"/>
      <c r="AD258" s="1547"/>
      <c r="AE258" s="1547"/>
      <c r="AF258" s="1547"/>
      <c r="AG258" s="785"/>
      <c r="AH258" s="697"/>
      <c r="AI258" s="707"/>
      <c r="AJ258" s="709">
        <f t="shared" si="375"/>
        <v>0</v>
      </c>
      <c r="AK258" s="710">
        <f t="shared" si="376"/>
        <v>0</v>
      </c>
      <c r="AL258" s="710">
        <f t="shared" si="377"/>
        <v>0</v>
      </c>
      <c r="AM258" s="710">
        <f t="shared" si="378"/>
        <v>0</v>
      </c>
      <c r="AN258" s="710">
        <f t="shared" si="379"/>
        <v>0</v>
      </c>
      <c r="AO258" s="711">
        <f t="shared" si="380"/>
        <v>0</v>
      </c>
      <c r="AP258" s="707">
        <f t="shared" si="381"/>
        <v>0</v>
      </c>
      <c r="AQ258" s="707">
        <f t="shared" si="382"/>
        <v>0</v>
      </c>
      <c r="AR258" s="707">
        <f t="shared" si="383"/>
        <v>0</v>
      </c>
      <c r="AS258" s="712">
        <f t="shared" si="384"/>
        <v>0</v>
      </c>
      <c r="AU258" s="1369"/>
      <c r="AV258" s="1559"/>
      <c r="AW258" s="1412" t="str">
        <f t="shared" ref="AW258:AX321" si="472">E258</f>
        <v>Price</v>
      </c>
      <c r="AX258" s="1413" t="str">
        <f t="shared" si="472"/>
        <v>Water</v>
      </c>
      <c r="AY258" s="1414" t="str">
        <f t="shared" ref="AY258:AY321" si="473">I258</f>
        <v>Variable</v>
      </c>
      <c r="AZ258" s="1415" t="str">
        <f t="shared" ref="AZ258:BB273" si="474">IFERROR(P258/O258-1,"-")</f>
        <v>-</v>
      </c>
      <c r="BA258" s="1415">
        <f t="shared" si="474"/>
        <v>-15</v>
      </c>
      <c r="BB258" s="1415">
        <f t="shared" si="474"/>
        <v>-1.4285714285714286</v>
      </c>
      <c r="BC258" s="1415">
        <f t="shared" ref="BC258:BC321" si="475">IFERROR(S258/R258-1,"-")</f>
        <v>-0.41666666666666663</v>
      </c>
      <c r="BD258" s="1415">
        <f t="shared" ref="BD258:BD321" si="476">IFERROR(T258/S258-1,"-")</f>
        <v>3.1428571428571432</v>
      </c>
      <c r="BE258" s="1415">
        <f t="shared" ref="BE258:BE321" si="477">IFERROR(U258/T258-1,"-")</f>
        <v>0.44827586206896552</v>
      </c>
      <c r="BF258" s="1415">
        <f t="shared" ref="BF258:BF321" si="478">IFERROR(V258/U258-1,"-")</f>
        <v>-0.55952380952380953</v>
      </c>
      <c r="BG258" s="1416">
        <f t="shared" ref="BG258:BG321" si="479">IFERROR(W258/V258-1,"-")</f>
        <v>-1</v>
      </c>
      <c r="BH258" s="1417" t="str">
        <f t="shared" ref="BH258:BH321" si="480">IFERROR(X258/W258-1,"-")</f>
        <v>-</v>
      </c>
      <c r="BI258" s="1417" t="str">
        <f t="shared" ref="BI258:BI321" si="481">IFERROR(Y258/X258-1,"-")</f>
        <v>-</v>
      </c>
      <c r="BJ258" s="1417" t="str">
        <f t="shared" ref="BJ258:BJ321" si="482">IFERROR(Z258/Y258-1,"-")</f>
        <v>-</v>
      </c>
      <c r="BK258" s="1417" t="str">
        <f t="shared" ref="BK258:BK321" si="483">IFERROR(AA258/Z258-1,"-")</f>
        <v>-</v>
      </c>
      <c r="BL258" s="1418" t="str">
        <f t="shared" ref="BL258:BL321" si="484">IFERROR(AB258/AA258-1,"-")</f>
        <v>-</v>
      </c>
      <c r="BM258" s="1417" t="str">
        <f t="shared" ref="BM258:BM321" si="485">IFERROR(AC258/AB258-1,"-")</f>
        <v>-</v>
      </c>
      <c r="BN258" s="1417" t="str">
        <f t="shared" ref="BN258:BN321" si="486">IFERROR(AD258/AC258-1,"-")</f>
        <v>-</v>
      </c>
      <c r="BO258" s="1417" t="str">
        <f t="shared" ref="BO258:BO321" si="487">IFERROR(AE258/AD258-1,"-")</f>
        <v>-</v>
      </c>
      <c r="BP258" s="1417" t="str">
        <f t="shared" ref="BP258:BP321" si="488">IFERROR(AF258/AE258-1,"-")</f>
        <v>-</v>
      </c>
      <c r="BQ258" s="1419" t="str">
        <f t="shared" ref="BQ258:BQ321" si="489">IFERROR(AG258/AF258-1,"-")</f>
        <v>-</v>
      </c>
      <c r="BR258" s="1378"/>
      <c r="BS258" s="1420"/>
      <c r="BT258" s="1421"/>
      <c r="BU258" s="1422"/>
      <c r="BV258" s="1423"/>
      <c r="BW258" s="1378"/>
      <c r="BX258" s="1412" t="str">
        <f t="shared" ref="BX258:BX321" si="490">AW258</f>
        <v>Price</v>
      </c>
      <c r="BY258" s="1413" t="str">
        <f t="shared" ref="BY258:BY321" si="491">AX258</f>
        <v>Water</v>
      </c>
      <c r="BZ258" s="1414" t="str">
        <f t="shared" ref="BZ258:BZ321" si="492">AY258</f>
        <v>Variable</v>
      </c>
      <c r="CA258" s="1424" t="str">
        <f t="shared" ref="CA258:CR258" si="493">IFERROR((P258/O258-1)*(O260/O$13),"-")</f>
        <v>-</v>
      </c>
      <c r="CB258" s="1415">
        <f t="shared" si="493"/>
        <v>-7.7560382079068938E-3</v>
      </c>
      <c r="CC258" s="1415">
        <f t="shared" si="493"/>
        <v>1.0528011277681777E-2</v>
      </c>
      <c r="CD258" s="1415">
        <f t="shared" si="493"/>
        <v>-1.3404103045007599E-3</v>
      </c>
      <c r="CE258" s="1415">
        <f t="shared" si="493"/>
        <v>6.1042925208929233E-3</v>
      </c>
      <c r="CF258" s="1415">
        <f t="shared" si="493"/>
        <v>3.4834865170665251E-3</v>
      </c>
      <c r="CG258" s="1415">
        <f t="shared" si="493"/>
        <v>-5.9937006672345708E-3</v>
      </c>
      <c r="CH258" s="1425">
        <f t="shared" si="493"/>
        <v>-4.5042013472609754E-3</v>
      </c>
      <c r="CI258" s="1417" t="str">
        <f t="shared" si="493"/>
        <v>-</v>
      </c>
      <c r="CJ258" s="1417" t="str">
        <f t="shared" si="493"/>
        <v>-</v>
      </c>
      <c r="CK258" s="1417" t="str">
        <f t="shared" si="493"/>
        <v>-</v>
      </c>
      <c r="CL258" s="1417" t="str">
        <f t="shared" si="493"/>
        <v>-</v>
      </c>
      <c r="CM258" s="1418" t="str">
        <f t="shared" si="493"/>
        <v>-</v>
      </c>
      <c r="CN258" s="1417" t="str">
        <f t="shared" si="493"/>
        <v>-</v>
      </c>
      <c r="CO258" s="1417" t="str">
        <f t="shared" si="493"/>
        <v>-</v>
      </c>
      <c r="CP258" s="1417" t="str">
        <f t="shared" si="493"/>
        <v>-</v>
      </c>
      <c r="CQ258" s="1417" t="str">
        <f t="shared" si="493"/>
        <v>-</v>
      </c>
      <c r="CR258" s="1419" t="str">
        <f t="shared" si="493"/>
        <v>-</v>
      </c>
      <c r="CS258" s="1378"/>
      <c r="CT258" s="1412" t="str">
        <f t="shared" si="469"/>
        <v>Price</v>
      </c>
      <c r="CU258" s="1413" t="str">
        <f t="shared" si="470"/>
        <v>Water</v>
      </c>
      <c r="CV258" s="1426" t="str">
        <f t="shared" si="471"/>
        <v>Variable</v>
      </c>
      <c r="CW258" s="1427" t="str">
        <f t="shared" ref="CW258:CW321" si="494">IFERROR((Y258/$W258)^(1/CW$61)-1,"-")</f>
        <v>-</v>
      </c>
      <c r="CX258" s="1417" t="str">
        <f t="shared" ref="CX258:CX321" si="495">IFERROR((Z258/$W258)^(1/CX$61)-1,"-")</f>
        <v>-</v>
      </c>
      <c r="CY258" s="1417" t="str">
        <f t="shared" ref="CY258:CY321" si="496">IFERROR((AA258/$W258)^(1/CY$61)-1,"-")</f>
        <v>-</v>
      </c>
      <c r="CZ258" s="1419" t="str">
        <f t="shared" ref="CZ258:CZ321" si="497">IFERROR((AB258/$W258)^(1/CZ$61)-1,"-")</f>
        <v>-</v>
      </c>
      <c r="DA258" s="1417" t="str">
        <f t="shared" ref="DA258:DA321" si="498">IFERROR((AC258/$W258)^(1/DA$61)-1,"-")</f>
        <v>-</v>
      </c>
      <c r="DB258" s="1417" t="str">
        <f t="shared" ref="DB258:DB321" si="499">IFERROR((AD258/$W258)^(1/DB$61)-1,"-")</f>
        <v>-</v>
      </c>
      <c r="DC258" s="1417" t="str">
        <f t="shared" ref="DC258:DC321" si="500">IFERROR((AE258/$W258)^(1/DC$61)-1,"-")</f>
        <v>-</v>
      </c>
      <c r="DD258" s="1417" t="str">
        <f t="shared" ref="DD258:DD321" si="501">IFERROR((AF258/$W258)^(1/DD$61)-1,"-")</f>
        <v>-</v>
      </c>
      <c r="DE258" s="1419" t="str">
        <f t="shared" ref="DE258:DE321" si="502">IFERROR((AG258/$W258)^(1/DE$61)-1,"-")</f>
        <v>-</v>
      </c>
      <c r="DF258" s="1378"/>
      <c r="DG258" s="1412" t="str">
        <f t="shared" ref="DG258:DI321" si="503">CT258</f>
        <v>Price</v>
      </c>
      <c r="DH258" s="1413" t="str">
        <f t="shared" si="503"/>
        <v>Water</v>
      </c>
      <c r="DI258" s="1426" t="str">
        <f t="shared" si="503"/>
        <v>Variable</v>
      </c>
      <c r="DJ258" s="1426"/>
      <c r="DK258" s="1427" t="str">
        <f t="shared" ref="DK258:DK321" si="504">IFERROR((Z258/$X258)^(1/DK$61)-1,"-")</f>
        <v>-</v>
      </c>
      <c r="DL258" s="1417" t="str">
        <f t="shared" ref="DL258:DL321" si="505">IFERROR((AA258/$X258)^(1/DL$61)-1,"-")</f>
        <v>-</v>
      </c>
      <c r="DM258" s="1417" t="str">
        <f t="shared" ref="DM258:DM321" si="506">IFERROR((AB258/$X258)^(1/DM$61)-1,"-")</f>
        <v>-</v>
      </c>
      <c r="DN258" s="1418" t="str">
        <f t="shared" ref="DN258:DN321" si="507">IFERROR((AC258/$X258)^(1/DN$61)-1,"-")</f>
        <v>-</v>
      </c>
      <c r="DO258" s="1417" t="str">
        <f t="shared" ref="DO258:DO321" si="508">IFERROR((AD258/$X258)^(1/DO$61)-1,"-")</f>
        <v>-</v>
      </c>
      <c r="DP258" s="1417" t="str">
        <f t="shared" ref="DP258:DP321" si="509">IFERROR((AE258/$X258)^(1/DP$61)-1,"-")</f>
        <v>-</v>
      </c>
      <c r="DQ258" s="1417" t="str">
        <f t="shared" ref="DQ258:DQ321" si="510">IFERROR((AF258/$X258)^(1/DQ$61)-1,"-")</f>
        <v>-</v>
      </c>
      <c r="DR258" s="1419" t="str">
        <f t="shared" ref="DR258:DR321" si="511">IFERROR((AG258/$X258)^(1/DR$61)-1,"-")</f>
        <v>-</v>
      </c>
    </row>
    <row r="259" spans="4:122">
      <c r="E259" s="742" t="s">
        <v>45</v>
      </c>
      <c r="F259" s="722" t="str">
        <f>+F258</f>
        <v>Water</v>
      </c>
      <c r="G259" s="723" t="str">
        <f>+G258</f>
        <v>Water Volume Balancing Item</v>
      </c>
      <c r="H259" s="723">
        <f>+H258</f>
        <v>0</v>
      </c>
      <c r="I259" s="724" t="str">
        <f>+I258</f>
        <v>Variable</v>
      </c>
      <c r="J259" s="782" t="s">
        <v>323</v>
      </c>
      <c r="K259" s="1540"/>
      <c r="L259" s="1541"/>
      <c r="M259" s="1541"/>
      <c r="N259" s="1542"/>
      <c r="O259" s="2031"/>
      <c r="P259" s="1543">
        <v>1</v>
      </c>
      <c r="Q259" s="1543">
        <v>1</v>
      </c>
      <c r="R259" s="1543">
        <v>1</v>
      </c>
      <c r="S259" s="1543">
        <v>1</v>
      </c>
      <c r="T259" s="1543">
        <v>1</v>
      </c>
      <c r="U259" s="1543">
        <v>1</v>
      </c>
      <c r="V259" s="1543">
        <v>1</v>
      </c>
      <c r="W259" s="1543">
        <v>1</v>
      </c>
      <c r="X259" s="1544"/>
      <c r="Y259" s="1543"/>
      <c r="Z259" s="1543"/>
      <c r="AA259" s="1543"/>
      <c r="AB259" s="1543"/>
      <c r="AC259" s="1544"/>
      <c r="AD259" s="1543"/>
      <c r="AE259" s="1543"/>
      <c r="AF259" s="1543"/>
      <c r="AG259" s="788"/>
      <c r="AH259" s="697"/>
      <c r="AI259" s="707"/>
      <c r="AJ259" s="709">
        <f t="shared" si="375"/>
        <v>0</v>
      </c>
      <c r="AK259" s="710">
        <f t="shared" si="376"/>
        <v>0</v>
      </c>
      <c r="AL259" s="710">
        <f t="shared" si="377"/>
        <v>0</v>
      </c>
      <c r="AM259" s="710">
        <f t="shared" si="378"/>
        <v>0</v>
      </c>
      <c r="AN259" s="710">
        <f t="shared" si="379"/>
        <v>0</v>
      </c>
      <c r="AO259" s="711">
        <f t="shared" si="380"/>
        <v>0</v>
      </c>
      <c r="AP259" s="707">
        <f t="shared" si="381"/>
        <v>0</v>
      </c>
      <c r="AQ259" s="707">
        <f t="shared" si="382"/>
        <v>0</v>
      </c>
      <c r="AR259" s="707">
        <f t="shared" si="383"/>
        <v>0</v>
      </c>
      <c r="AS259" s="712">
        <f t="shared" si="384"/>
        <v>0</v>
      </c>
      <c r="AV259" s="1559"/>
      <c r="AW259" s="1392" t="str">
        <f t="shared" si="472"/>
        <v>Qty</v>
      </c>
      <c r="AX259" s="1393" t="str">
        <f t="shared" si="472"/>
        <v>Water</v>
      </c>
      <c r="AY259" s="1394" t="str">
        <f t="shared" si="473"/>
        <v>Variable</v>
      </c>
      <c r="AZ259" s="1395" t="str">
        <f t="shared" si="474"/>
        <v>-</v>
      </c>
      <c r="BA259" s="1395">
        <f t="shared" si="474"/>
        <v>0</v>
      </c>
      <c r="BB259" s="1395">
        <f t="shared" si="474"/>
        <v>0</v>
      </c>
      <c r="BC259" s="1395">
        <f t="shared" si="475"/>
        <v>0</v>
      </c>
      <c r="BD259" s="1395">
        <f t="shared" si="476"/>
        <v>0</v>
      </c>
      <c r="BE259" s="1395">
        <f t="shared" si="477"/>
        <v>0</v>
      </c>
      <c r="BF259" s="1395">
        <f t="shared" si="478"/>
        <v>0</v>
      </c>
      <c r="BG259" s="1396">
        <f t="shared" si="479"/>
        <v>0</v>
      </c>
      <c r="BH259" s="1395">
        <f t="shared" si="480"/>
        <v>-1</v>
      </c>
      <c r="BI259" s="1395" t="str">
        <f t="shared" si="481"/>
        <v>-</v>
      </c>
      <c r="BJ259" s="1395" t="str">
        <f t="shared" si="482"/>
        <v>-</v>
      </c>
      <c r="BK259" s="1395" t="str">
        <f t="shared" si="483"/>
        <v>-</v>
      </c>
      <c r="BL259" s="1397" t="str">
        <f t="shared" si="484"/>
        <v>-</v>
      </c>
      <c r="BM259" s="1395" t="str">
        <f t="shared" si="485"/>
        <v>-</v>
      </c>
      <c r="BN259" s="1395" t="str">
        <f t="shared" si="486"/>
        <v>-</v>
      </c>
      <c r="BO259" s="1395" t="str">
        <f t="shared" si="487"/>
        <v>-</v>
      </c>
      <c r="BP259" s="1395" t="str">
        <f t="shared" si="488"/>
        <v>-</v>
      </c>
      <c r="BQ259" s="1398" t="str">
        <f t="shared" si="489"/>
        <v>-</v>
      </c>
      <c r="BR259" s="1378"/>
      <c r="BS259" s="1329"/>
      <c r="BT259" s="1399"/>
      <c r="BU259" s="1331"/>
      <c r="BV259" s="1400"/>
      <c r="BW259" s="1378"/>
      <c r="BX259" s="1392" t="str">
        <f t="shared" si="490"/>
        <v>Qty</v>
      </c>
      <c r="BY259" s="1393" t="str">
        <f t="shared" si="491"/>
        <v>Water</v>
      </c>
      <c r="BZ259" s="1394" t="str">
        <f t="shared" si="492"/>
        <v>Variable</v>
      </c>
      <c r="CA259" s="1401" t="str">
        <f t="shared" ref="CA259:CR259" si="512">IFERROR((P259/O259-1)*(O260/O$13),"-")</f>
        <v>-</v>
      </c>
      <c r="CB259" s="1395">
        <f t="shared" si="512"/>
        <v>0</v>
      </c>
      <c r="CC259" s="1395">
        <f t="shared" si="512"/>
        <v>0</v>
      </c>
      <c r="CD259" s="1395">
        <f t="shared" si="512"/>
        <v>0</v>
      </c>
      <c r="CE259" s="1395">
        <f t="shared" si="512"/>
        <v>0</v>
      </c>
      <c r="CF259" s="1395">
        <f t="shared" si="512"/>
        <v>0</v>
      </c>
      <c r="CG259" s="1395">
        <f t="shared" si="512"/>
        <v>0</v>
      </c>
      <c r="CH259" s="1397">
        <f t="shared" si="512"/>
        <v>0</v>
      </c>
      <c r="CI259" s="1395">
        <f t="shared" si="512"/>
        <v>0</v>
      </c>
      <c r="CJ259" s="1395" t="str">
        <f t="shared" si="512"/>
        <v>-</v>
      </c>
      <c r="CK259" s="1395" t="str">
        <f t="shared" si="512"/>
        <v>-</v>
      </c>
      <c r="CL259" s="1395" t="str">
        <f t="shared" si="512"/>
        <v>-</v>
      </c>
      <c r="CM259" s="1397" t="str">
        <f t="shared" si="512"/>
        <v>-</v>
      </c>
      <c r="CN259" s="1395" t="str">
        <f t="shared" si="512"/>
        <v>-</v>
      </c>
      <c r="CO259" s="1395" t="str">
        <f t="shared" si="512"/>
        <v>-</v>
      </c>
      <c r="CP259" s="1395" t="str">
        <f t="shared" si="512"/>
        <v>-</v>
      </c>
      <c r="CQ259" s="1395" t="str">
        <f t="shared" si="512"/>
        <v>-</v>
      </c>
      <c r="CR259" s="1398" t="str">
        <f t="shared" si="512"/>
        <v>-</v>
      </c>
      <c r="CS259" s="1378"/>
      <c r="CT259" s="1392" t="str">
        <f t="shared" si="469"/>
        <v>Qty</v>
      </c>
      <c r="CU259" s="1393" t="str">
        <f t="shared" si="470"/>
        <v>Water</v>
      </c>
      <c r="CV259" s="1393" t="str">
        <f t="shared" si="471"/>
        <v>Variable</v>
      </c>
      <c r="CW259" s="1401">
        <f t="shared" si="494"/>
        <v>-1</v>
      </c>
      <c r="CX259" s="1395">
        <f t="shared" si="495"/>
        <v>-1</v>
      </c>
      <c r="CY259" s="1395">
        <f t="shared" si="496"/>
        <v>-1</v>
      </c>
      <c r="CZ259" s="1398">
        <f t="shared" si="497"/>
        <v>-1</v>
      </c>
      <c r="DA259" s="1395">
        <f t="shared" si="498"/>
        <v>-1</v>
      </c>
      <c r="DB259" s="1395">
        <f t="shared" si="499"/>
        <v>-1</v>
      </c>
      <c r="DC259" s="1395">
        <f t="shared" si="500"/>
        <v>-1</v>
      </c>
      <c r="DD259" s="1395">
        <f t="shared" si="501"/>
        <v>-1</v>
      </c>
      <c r="DE259" s="1398">
        <f t="shared" si="502"/>
        <v>-1</v>
      </c>
      <c r="DF259" s="1378"/>
      <c r="DG259" s="1392" t="str">
        <f t="shared" si="503"/>
        <v>Qty</v>
      </c>
      <c r="DH259" s="1393" t="str">
        <f t="shared" si="503"/>
        <v>Water</v>
      </c>
      <c r="DI259" s="1393" t="str">
        <f t="shared" si="503"/>
        <v>Variable</v>
      </c>
      <c r="DJ259" s="1393"/>
      <c r="DK259" s="1401" t="str">
        <f t="shared" si="504"/>
        <v>-</v>
      </c>
      <c r="DL259" s="1395" t="str">
        <f t="shared" si="505"/>
        <v>-</v>
      </c>
      <c r="DM259" s="1395" t="str">
        <f t="shared" si="506"/>
        <v>-</v>
      </c>
      <c r="DN259" s="1397" t="str">
        <f t="shared" si="507"/>
        <v>-</v>
      </c>
      <c r="DO259" s="1395" t="str">
        <f t="shared" si="508"/>
        <v>-</v>
      </c>
      <c r="DP259" s="1395" t="str">
        <f t="shared" si="509"/>
        <v>-</v>
      </c>
      <c r="DQ259" s="1395" t="str">
        <f t="shared" si="510"/>
        <v>-</v>
      </c>
      <c r="DR259" s="1398" t="str">
        <f t="shared" si="511"/>
        <v>-</v>
      </c>
    </row>
    <row r="260" spans="4:122" ht="12.75" thickBot="1">
      <c r="E260" s="743" t="s">
        <v>46</v>
      </c>
      <c r="F260" s="732" t="str">
        <f>+F258</f>
        <v>Water</v>
      </c>
      <c r="G260" s="733" t="str">
        <f>+G258</f>
        <v>Water Volume Balancing Item</v>
      </c>
      <c r="H260" s="733">
        <f>+H258</f>
        <v>0</v>
      </c>
      <c r="I260" s="734" t="str">
        <f>+I258</f>
        <v>Variable</v>
      </c>
      <c r="J260" s="735" t="s">
        <v>344</v>
      </c>
      <c r="K260" s="736">
        <f t="shared" ref="K260:AG260" si="513">K258*K259/10^6</f>
        <v>0</v>
      </c>
      <c r="L260" s="737">
        <f t="shared" si="513"/>
        <v>0</v>
      </c>
      <c r="M260" s="737">
        <f t="shared" si="513"/>
        <v>0</v>
      </c>
      <c r="N260" s="738">
        <f t="shared" si="513"/>
        <v>0</v>
      </c>
      <c r="O260" s="1923">
        <f t="shared" si="513"/>
        <v>0</v>
      </c>
      <c r="P260" s="737">
        <f>P258*P259/10^6</f>
        <v>0.04</v>
      </c>
      <c r="Q260" s="737">
        <f t="shared" si="513"/>
        <v>-0.56000000000000005</v>
      </c>
      <c r="R260" s="737">
        <f t="shared" si="513"/>
        <v>0.24</v>
      </c>
      <c r="S260" s="737">
        <f t="shared" si="513"/>
        <v>0.14000000000000001</v>
      </c>
      <c r="T260" s="1531">
        <f t="shared" si="513"/>
        <v>0.57999999999999996</v>
      </c>
      <c r="U260" s="737">
        <f t="shared" si="513"/>
        <v>0.84</v>
      </c>
      <c r="V260" s="737">
        <f t="shared" si="513"/>
        <v>0.37</v>
      </c>
      <c r="W260" s="737">
        <f t="shared" si="513"/>
        <v>0</v>
      </c>
      <c r="X260" s="738">
        <f t="shared" si="513"/>
        <v>0</v>
      </c>
      <c r="Y260" s="737">
        <f t="shared" si="513"/>
        <v>0</v>
      </c>
      <c r="Z260" s="737">
        <f t="shared" si="513"/>
        <v>0</v>
      </c>
      <c r="AA260" s="737">
        <f t="shared" si="513"/>
        <v>0</v>
      </c>
      <c r="AB260" s="737">
        <f t="shared" si="513"/>
        <v>0</v>
      </c>
      <c r="AC260" s="738">
        <f t="shared" si="513"/>
        <v>0</v>
      </c>
      <c r="AD260" s="737">
        <f t="shared" si="513"/>
        <v>0</v>
      </c>
      <c r="AE260" s="737">
        <f t="shared" si="513"/>
        <v>0</v>
      </c>
      <c r="AF260" s="737">
        <f t="shared" si="513"/>
        <v>0</v>
      </c>
      <c r="AG260" s="739">
        <f t="shared" si="513"/>
        <v>0</v>
      </c>
      <c r="AH260" s="697"/>
      <c r="AI260" s="707"/>
      <c r="AJ260" s="709">
        <f t="shared" si="375"/>
        <v>0</v>
      </c>
      <c r="AK260" s="710">
        <f t="shared" si="376"/>
        <v>0</v>
      </c>
      <c r="AL260" s="710">
        <f t="shared" si="377"/>
        <v>0</v>
      </c>
      <c r="AM260" s="710">
        <f t="shared" si="378"/>
        <v>0</v>
      </c>
      <c r="AN260" s="710">
        <f t="shared" si="379"/>
        <v>0</v>
      </c>
      <c r="AO260" s="711">
        <f t="shared" si="380"/>
        <v>0</v>
      </c>
      <c r="AP260" s="707">
        <f t="shared" si="381"/>
        <v>0</v>
      </c>
      <c r="AQ260" s="707">
        <f t="shared" si="382"/>
        <v>0</v>
      </c>
      <c r="AR260" s="707">
        <f t="shared" si="383"/>
        <v>0</v>
      </c>
      <c r="AS260" s="712">
        <f t="shared" si="384"/>
        <v>0</v>
      </c>
      <c r="AV260" s="1559"/>
      <c r="AW260" s="1428" t="str">
        <f t="shared" si="472"/>
        <v>Rev</v>
      </c>
      <c r="AX260" s="1429" t="str">
        <f t="shared" si="472"/>
        <v>Water</v>
      </c>
      <c r="AY260" s="1430" t="str">
        <f t="shared" si="473"/>
        <v>Variable</v>
      </c>
      <c r="AZ260" s="1431" t="str">
        <f t="shared" si="474"/>
        <v>-</v>
      </c>
      <c r="BA260" s="1431">
        <f t="shared" si="474"/>
        <v>-15.000000000000002</v>
      </c>
      <c r="BB260" s="1431">
        <f t="shared" si="474"/>
        <v>-1.4285714285714284</v>
      </c>
      <c r="BC260" s="1431">
        <f t="shared" si="475"/>
        <v>-0.41666666666666663</v>
      </c>
      <c r="BD260" s="1431">
        <f t="shared" si="476"/>
        <v>3.1428571428571423</v>
      </c>
      <c r="BE260" s="1431">
        <f t="shared" si="477"/>
        <v>0.44827586206896552</v>
      </c>
      <c r="BF260" s="1431">
        <f t="shared" si="478"/>
        <v>-0.55952380952380953</v>
      </c>
      <c r="BG260" s="1432">
        <f t="shared" si="479"/>
        <v>-1</v>
      </c>
      <c r="BH260" s="1431" t="str">
        <f t="shared" si="480"/>
        <v>-</v>
      </c>
      <c r="BI260" s="1431" t="str">
        <f t="shared" si="481"/>
        <v>-</v>
      </c>
      <c r="BJ260" s="1431" t="str">
        <f t="shared" si="482"/>
        <v>-</v>
      </c>
      <c r="BK260" s="1431" t="str">
        <f t="shared" si="483"/>
        <v>-</v>
      </c>
      <c r="BL260" s="1433" t="str">
        <f t="shared" si="484"/>
        <v>-</v>
      </c>
      <c r="BM260" s="1431" t="str">
        <f t="shared" si="485"/>
        <v>-</v>
      </c>
      <c r="BN260" s="1431" t="str">
        <f t="shared" si="486"/>
        <v>-</v>
      </c>
      <c r="BO260" s="1431" t="str">
        <f t="shared" si="487"/>
        <v>-</v>
      </c>
      <c r="BP260" s="1431" t="str">
        <f t="shared" si="488"/>
        <v>-</v>
      </c>
      <c r="BQ260" s="1434" t="str">
        <f t="shared" si="489"/>
        <v>-</v>
      </c>
      <c r="BR260" s="1378"/>
      <c r="BS260" s="1407"/>
      <c r="BT260" s="1408"/>
      <c r="BU260" s="1409"/>
      <c r="BV260" s="1410"/>
      <c r="BW260" s="1378"/>
      <c r="BX260" s="1428" t="str">
        <f t="shared" si="490"/>
        <v>Rev</v>
      </c>
      <c r="BY260" s="1429" t="str">
        <f t="shared" si="491"/>
        <v>Water</v>
      </c>
      <c r="BZ260" s="1430" t="str">
        <f t="shared" si="492"/>
        <v>Variable</v>
      </c>
      <c r="CA260" s="1435" t="str">
        <f t="shared" ref="CA260:CR260" si="514">IFERROR((P260/O260-1)*(O260/O$13),"-")</f>
        <v>-</v>
      </c>
      <c r="CB260" s="1431">
        <f t="shared" si="514"/>
        <v>-7.7560382079068946E-3</v>
      </c>
      <c r="CC260" s="1431">
        <f t="shared" si="514"/>
        <v>1.0528011277681775E-2</v>
      </c>
      <c r="CD260" s="1431">
        <f t="shared" si="514"/>
        <v>-1.3404103045007599E-3</v>
      </c>
      <c r="CE260" s="1431">
        <f t="shared" si="514"/>
        <v>6.1042925208929216E-3</v>
      </c>
      <c r="CF260" s="1431">
        <f t="shared" si="514"/>
        <v>3.4834865170665251E-3</v>
      </c>
      <c r="CG260" s="1431">
        <f t="shared" si="514"/>
        <v>-5.9937006672345708E-3</v>
      </c>
      <c r="CH260" s="1433">
        <f t="shared" si="514"/>
        <v>-4.5042013472609754E-3</v>
      </c>
      <c r="CI260" s="1431" t="str">
        <f t="shared" si="514"/>
        <v>-</v>
      </c>
      <c r="CJ260" s="1431" t="str">
        <f t="shared" si="514"/>
        <v>-</v>
      </c>
      <c r="CK260" s="1431" t="str">
        <f t="shared" si="514"/>
        <v>-</v>
      </c>
      <c r="CL260" s="1431" t="str">
        <f t="shared" si="514"/>
        <v>-</v>
      </c>
      <c r="CM260" s="1433" t="str">
        <f t="shared" si="514"/>
        <v>-</v>
      </c>
      <c r="CN260" s="1431" t="str">
        <f t="shared" si="514"/>
        <v>-</v>
      </c>
      <c r="CO260" s="1431" t="str">
        <f t="shared" si="514"/>
        <v>-</v>
      </c>
      <c r="CP260" s="1431" t="str">
        <f t="shared" si="514"/>
        <v>-</v>
      </c>
      <c r="CQ260" s="1431" t="str">
        <f t="shared" si="514"/>
        <v>-</v>
      </c>
      <c r="CR260" s="1434" t="str">
        <f t="shared" si="514"/>
        <v>-</v>
      </c>
      <c r="CS260" s="1378"/>
      <c r="CT260" s="1428" t="str">
        <f t="shared" si="469"/>
        <v>Rev</v>
      </c>
      <c r="CU260" s="1429" t="str">
        <f t="shared" si="470"/>
        <v>Water</v>
      </c>
      <c r="CV260" s="1429" t="str">
        <f t="shared" si="471"/>
        <v>Variable</v>
      </c>
      <c r="CW260" s="1435" t="str">
        <f t="shared" si="494"/>
        <v>-</v>
      </c>
      <c r="CX260" s="1431" t="str">
        <f t="shared" si="495"/>
        <v>-</v>
      </c>
      <c r="CY260" s="1431" t="str">
        <f t="shared" si="496"/>
        <v>-</v>
      </c>
      <c r="CZ260" s="1434" t="str">
        <f t="shared" si="497"/>
        <v>-</v>
      </c>
      <c r="DA260" s="1431" t="str">
        <f t="shared" si="498"/>
        <v>-</v>
      </c>
      <c r="DB260" s="1431" t="str">
        <f t="shared" si="499"/>
        <v>-</v>
      </c>
      <c r="DC260" s="1431" t="str">
        <f t="shared" si="500"/>
        <v>-</v>
      </c>
      <c r="DD260" s="1431" t="str">
        <f t="shared" si="501"/>
        <v>-</v>
      </c>
      <c r="DE260" s="1434" t="str">
        <f t="shared" si="502"/>
        <v>-</v>
      </c>
      <c r="DF260" s="1378"/>
      <c r="DG260" s="1428" t="str">
        <f t="shared" si="503"/>
        <v>Rev</v>
      </c>
      <c r="DH260" s="1429" t="str">
        <f t="shared" si="503"/>
        <v>Water</v>
      </c>
      <c r="DI260" s="1429" t="str">
        <f t="shared" si="503"/>
        <v>Variable</v>
      </c>
      <c r="DJ260" s="1429"/>
      <c r="DK260" s="1435" t="str">
        <f t="shared" si="504"/>
        <v>-</v>
      </c>
      <c r="DL260" s="1431" t="str">
        <f t="shared" si="505"/>
        <v>-</v>
      </c>
      <c r="DM260" s="1431" t="str">
        <f t="shared" si="506"/>
        <v>-</v>
      </c>
      <c r="DN260" s="1433" t="str">
        <f t="shared" si="507"/>
        <v>-</v>
      </c>
      <c r="DO260" s="1431" t="str">
        <f t="shared" si="508"/>
        <v>-</v>
      </c>
      <c r="DP260" s="1431" t="str">
        <f t="shared" si="509"/>
        <v>-</v>
      </c>
      <c r="DQ260" s="1431" t="str">
        <f t="shared" si="510"/>
        <v>-</v>
      </c>
      <c r="DR260" s="1434" t="str">
        <f t="shared" si="511"/>
        <v>-</v>
      </c>
    </row>
    <row r="261" spans="4:122">
      <c r="D261" s="70">
        <f>D258+1</f>
        <v>66</v>
      </c>
      <c r="E261" s="713" t="s">
        <v>44</v>
      </c>
      <c r="F261" s="1532" t="s">
        <v>20</v>
      </c>
      <c r="G261" s="1532" t="s">
        <v>1282</v>
      </c>
      <c r="H261" s="1532"/>
      <c r="I261" s="781" t="s">
        <v>319</v>
      </c>
      <c r="J261" s="781" t="s">
        <v>345</v>
      </c>
      <c r="K261" s="1533"/>
      <c r="L261" s="1534"/>
      <c r="M261" s="1534"/>
      <c r="N261" s="1535"/>
      <c r="O261" s="2071"/>
      <c r="P261" s="1547">
        <v>-320000</v>
      </c>
      <c r="Q261" s="1547">
        <v>-370000</v>
      </c>
      <c r="R261" s="1547">
        <v>-290000</v>
      </c>
      <c r="S261" s="1547">
        <v>-380000</v>
      </c>
      <c r="T261" s="1547">
        <v>-140000</v>
      </c>
      <c r="U261" s="1547">
        <v>10000</v>
      </c>
      <c r="V261" s="1547">
        <v>-270000</v>
      </c>
      <c r="W261" s="1547">
        <v>0</v>
      </c>
      <c r="X261" s="1548"/>
      <c r="Y261" s="1547"/>
      <c r="Z261" s="1547"/>
      <c r="AA261" s="1547"/>
      <c r="AB261" s="1547"/>
      <c r="AC261" s="1548"/>
      <c r="AD261" s="1547"/>
      <c r="AE261" s="1547"/>
      <c r="AF261" s="1547"/>
      <c r="AG261" s="785"/>
      <c r="AH261" s="697"/>
      <c r="AI261" s="707"/>
      <c r="AJ261" s="709">
        <f t="shared" ref="AJ261:AJ324" si="515">+X261</f>
        <v>0</v>
      </c>
      <c r="AK261" s="710">
        <f t="shared" ref="AK261:AK324" si="516">+Y261</f>
        <v>0</v>
      </c>
      <c r="AL261" s="710">
        <f t="shared" ref="AL261:AL324" si="517">+Z261</f>
        <v>0</v>
      </c>
      <c r="AM261" s="710">
        <f t="shared" ref="AM261:AM324" si="518">+AA261</f>
        <v>0</v>
      </c>
      <c r="AN261" s="710">
        <f t="shared" ref="AN261:AN324" si="519">+AB261</f>
        <v>0</v>
      </c>
      <c r="AO261" s="711">
        <f t="shared" ref="AO261:AO324" si="520">+AC261</f>
        <v>0</v>
      </c>
      <c r="AP261" s="707">
        <f t="shared" ref="AP261:AP324" si="521">+AD261</f>
        <v>0</v>
      </c>
      <c r="AQ261" s="707">
        <f t="shared" ref="AQ261:AQ324" si="522">+AE261</f>
        <v>0</v>
      </c>
      <c r="AR261" s="707">
        <f t="shared" ref="AR261:AR324" si="523">+AF261</f>
        <v>0</v>
      </c>
      <c r="AS261" s="712">
        <f t="shared" ref="AS261:AS324" si="524">+AG261</f>
        <v>0</v>
      </c>
      <c r="AU261" s="1369"/>
      <c r="AV261" s="1559"/>
      <c r="AW261" s="1412" t="str">
        <f t="shared" si="472"/>
        <v>Price</v>
      </c>
      <c r="AX261" s="1413" t="str">
        <f t="shared" si="472"/>
        <v>Water</v>
      </c>
      <c r="AY261" s="1414" t="str">
        <f t="shared" si="473"/>
        <v>Fixed</v>
      </c>
      <c r="AZ261" s="1415" t="str">
        <f t="shared" si="474"/>
        <v>-</v>
      </c>
      <c r="BA261" s="1415">
        <f t="shared" si="474"/>
        <v>0.15625</v>
      </c>
      <c r="BB261" s="1415">
        <f t="shared" si="474"/>
        <v>-0.21621621621621623</v>
      </c>
      <c r="BC261" s="1415">
        <f t="shared" si="475"/>
        <v>0.31034482758620685</v>
      </c>
      <c r="BD261" s="1415">
        <f t="shared" si="476"/>
        <v>-0.63157894736842102</v>
      </c>
      <c r="BE261" s="1415">
        <f t="shared" si="477"/>
        <v>-1.0714285714285714</v>
      </c>
      <c r="BF261" s="1415">
        <f t="shared" si="478"/>
        <v>-28</v>
      </c>
      <c r="BG261" s="1416">
        <f t="shared" si="479"/>
        <v>-1</v>
      </c>
      <c r="BH261" s="1417" t="str">
        <f t="shared" si="480"/>
        <v>-</v>
      </c>
      <c r="BI261" s="1417" t="str">
        <f t="shared" si="481"/>
        <v>-</v>
      </c>
      <c r="BJ261" s="1417" t="str">
        <f t="shared" si="482"/>
        <v>-</v>
      </c>
      <c r="BK261" s="1417" t="str">
        <f t="shared" si="483"/>
        <v>-</v>
      </c>
      <c r="BL261" s="1418" t="str">
        <f t="shared" si="484"/>
        <v>-</v>
      </c>
      <c r="BM261" s="1417" t="str">
        <f t="shared" si="485"/>
        <v>-</v>
      </c>
      <c r="BN261" s="1417" t="str">
        <f t="shared" si="486"/>
        <v>-</v>
      </c>
      <c r="BO261" s="1417" t="str">
        <f t="shared" si="487"/>
        <v>-</v>
      </c>
      <c r="BP261" s="1417" t="str">
        <f t="shared" si="488"/>
        <v>-</v>
      </c>
      <c r="BQ261" s="1419" t="str">
        <f t="shared" si="489"/>
        <v>-</v>
      </c>
      <c r="BR261" s="1378"/>
      <c r="BS261" s="1420"/>
      <c r="BT261" s="1421"/>
      <c r="BU261" s="1422"/>
      <c r="BV261" s="1423"/>
      <c r="BW261" s="1378"/>
      <c r="BX261" s="1412" t="str">
        <f t="shared" si="490"/>
        <v>Price</v>
      </c>
      <c r="BY261" s="1413" t="str">
        <f t="shared" si="491"/>
        <v>Water</v>
      </c>
      <c r="BZ261" s="1414" t="str">
        <f t="shared" si="492"/>
        <v>Fixed</v>
      </c>
      <c r="CA261" s="1424" t="str">
        <f t="shared" ref="CA261:CR261" si="525">IFERROR((P261/O261-1)*(O263/O$13),"-")</f>
        <v>-</v>
      </c>
      <c r="CB261" s="1415">
        <f t="shared" si="525"/>
        <v>-6.4633651732557448E-4</v>
      </c>
      <c r="CC261" s="1415">
        <f t="shared" si="525"/>
        <v>1.0528011277681775E-3</v>
      </c>
      <c r="CD261" s="1415">
        <f t="shared" si="525"/>
        <v>-1.2063692740506837E-3</v>
      </c>
      <c r="CE261" s="1415">
        <f t="shared" si="525"/>
        <v>3.3296141023052301E-3</v>
      </c>
      <c r="CF261" s="1415">
        <f t="shared" si="525"/>
        <v>2.0097037598460722E-3</v>
      </c>
      <c r="CG261" s="1415">
        <f t="shared" si="525"/>
        <v>-3.5707152911184674E-3</v>
      </c>
      <c r="CH261" s="1425">
        <f t="shared" si="525"/>
        <v>3.2868496317850363E-3</v>
      </c>
      <c r="CI261" s="1417" t="str">
        <f t="shared" si="525"/>
        <v>-</v>
      </c>
      <c r="CJ261" s="1417" t="str">
        <f t="shared" si="525"/>
        <v>-</v>
      </c>
      <c r="CK261" s="1417" t="str">
        <f t="shared" si="525"/>
        <v>-</v>
      </c>
      <c r="CL261" s="1417" t="str">
        <f t="shared" si="525"/>
        <v>-</v>
      </c>
      <c r="CM261" s="1418" t="str">
        <f t="shared" si="525"/>
        <v>-</v>
      </c>
      <c r="CN261" s="1417" t="str">
        <f t="shared" si="525"/>
        <v>-</v>
      </c>
      <c r="CO261" s="1417" t="str">
        <f t="shared" si="525"/>
        <v>-</v>
      </c>
      <c r="CP261" s="1417" t="str">
        <f t="shared" si="525"/>
        <v>-</v>
      </c>
      <c r="CQ261" s="1417" t="str">
        <f t="shared" si="525"/>
        <v>-</v>
      </c>
      <c r="CR261" s="1419" t="str">
        <f t="shared" si="525"/>
        <v>-</v>
      </c>
      <c r="CS261" s="1378"/>
      <c r="CT261" s="1412" t="str">
        <f t="shared" si="469"/>
        <v>Price</v>
      </c>
      <c r="CU261" s="1413" t="str">
        <f t="shared" si="470"/>
        <v>Water</v>
      </c>
      <c r="CV261" s="1426" t="str">
        <f t="shared" si="471"/>
        <v>Fixed</v>
      </c>
      <c r="CW261" s="1427" t="str">
        <f t="shared" si="494"/>
        <v>-</v>
      </c>
      <c r="CX261" s="1417" t="str">
        <f t="shared" si="495"/>
        <v>-</v>
      </c>
      <c r="CY261" s="1417" t="str">
        <f t="shared" si="496"/>
        <v>-</v>
      </c>
      <c r="CZ261" s="1419" t="str">
        <f t="shared" si="497"/>
        <v>-</v>
      </c>
      <c r="DA261" s="1417" t="str">
        <f t="shared" si="498"/>
        <v>-</v>
      </c>
      <c r="DB261" s="1417" t="str">
        <f t="shared" si="499"/>
        <v>-</v>
      </c>
      <c r="DC261" s="1417" t="str">
        <f t="shared" si="500"/>
        <v>-</v>
      </c>
      <c r="DD261" s="1417" t="str">
        <f t="shared" si="501"/>
        <v>-</v>
      </c>
      <c r="DE261" s="1419" t="str">
        <f t="shared" si="502"/>
        <v>-</v>
      </c>
      <c r="DF261" s="1378"/>
      <c r="DG261" s="1412" t="str">
        <f t="shared" si="503"/>
        <v>Price</v>
      </c>
      <c r="DH261" s="1413" t="str">
        <f t="shared" si="503"/>
        <v>Water</v>
      </c>
      <c r="DI261" s="1426" t="str">
        <f t="shared" si="503"/>
        <v>Fixed</v>
      </c>
      <c r="DJ261" s="1426"/>
      <c r="DK261" s="1427" t="str">
        <f t="shared" si="504"/>
        <v>-</v>
      </c>
      <c r="DL261" s="1417" t="str">
        <f t="shared" si="505"/>
        <v>-</v>
      </c>
      <c r="DM261" s="1417" t="str">
        <f t="shared" si="506"/>
        <v>-</v>
      </c>
      <c r="DN261" s="1418" t="str">
        <f t="shared" si="507"/>
        <v>-</v>
      </c>
      <c r="DO261" s="1417" t="str">
        <f t="shared" si="508"/>
        <v>-</v>
      </c>
      <c r="DP261" s="1417" t="str">
        <f t="shared" si="509"/>
        <v>-</v>
      </c>
      <c r="DQ261" s="1417" t="str">
        <f t="shared" si="510"/>
        <v>-</v>
      </c>
      <c r="DR261" s="1419" t="str">
        <f t="shared" si="511"/>
        <v>-</v>
      </c>
    </row>
    <row r="262" spans="4:122">
      <c r="E262" s="742" t="s">
        <v>45</v>
      </c>
      <c r="F262" s="722" t="str">
        <f>+F261</f>
        <v>Water</v>
      </c>
      <c r="G262" s="723" t="str">
        <f>+G261</f>
        <v>Water Fixed Balancing Item</v>
      </c>
      <c r="H262" s="723">
        <f>+H261</f>
        <v>0</v>
      </c>
      <c r="I262" s="724" t="str">
        <f>+I261</f>
        <v>Fixed</v>
      </c>
      <c r="J262" s="782" t="s">
        <v>323</v>
      </c>
      <c r="K262" s="1540"/>
      <c r="L262" s="1541"/>
      <c r="M262" s="1541"/>
      <c r="N262" s="1542"/>
      <c r="O262" s="2031"/>
      <c r="P262" s="1543">
        <v>1</v>
      </c>
      <c r="Q262" s="1543">
        <v>1</v>
      </c>
      <c r="R262" s="1543">
        <v>1</v>
      </c>
      <c r="S262" s="1543">
        <v>1</v>
      </c>
      <c r="T262" s="1543">
        <v>1</v>
      </c>
      <c r="U262" s="1543">
        <v>1</v>
      </c>
      <c r="V262" s="1543">
        <v>1</v>
      </c>
      <c r="W262" s="1543">
        <v>1</v>
      </c>
      <c r="X262" s="1544"/>
      <c r="Y262" s="1543"/>
      <c r="Z262" s="1543"/>
      <c r="AA262" s="1543"/>
      <c r="AB262" s="1543"/>
      <c r="AC262" s="1544"/>
      <c r="AD262" s="1543"/>
      <c r="AE262" s="1543"/>
      <c r="AF262" s="1543"/>
      <c r="AG262" s="788"/>
      <c r="AH262" s="697"/>
      <c r="AI262" s="707"/>
      <c r="AJ262" s="709">
        <f t="shared" si="515"/>
        <v>0</v>
      </c>
      <c r="AK262" s="710">
        <f t="shared" si="516"/>
        <v>0</v>
      </c>
      <c r="AL262" s="710">
        <f t="shared" si="517"/>
        <v>0</v>
      </c>
      <c r="AM262" s="710">
        <f t="shared" si="518"/>
        <v>0</v>
      </c>
      <c r="AN262" s="710">
        <f t="shared" si="519"/>
        <v>0</v>
      </c>
      <c r="AO262" s="711">
        <f t="shared" si="520"/>
        <v>0</v>
      </c>
      <c r="AP262" s="707">
        <f t="shared" si="521"/>
        <v>0</v>
      </c>
      <c r="AQ262" s="707">
        <f t="shared" si="522"/>
        <v>0</v>
      </c>
      <c r="AR262" s="707">
        <f t="shared" si="523"/>
        <v>0</v>
      </c>
      <c r="AS262" s="712">
        <f t="shared" si="524"/>
        <v>0</v>
      </c>
      <c r="AV262" s="1559"/>
      <c r="AW262" s="1392" t="str">
        <f t="shared" si="472"/>
        <v>Qty</v>
      </c>
      <c r="AX262" s="1393" t="str">
        <f t="shared" si="472"/>
        <v>Water</v>
      </c>
      <c r="AY262" s="1394" t="str">
        <f t="shared" si="473"/>
        <v>Fixed</v>
      </c>
      <c r="AZ262" s="1395" t="str">
        <f t="shared" si="474"/>
        <v>-</v>
      </c>
      <c r="BA262" s="1395">
        <f t="shared" si="474"/>
        <v>0</v>
      </c>
      <c r="BB262" s="1395">
        <f t="shared" si="474"/>
        <v>0</v>
      </c>
      <c r="BC262" s="1395">
        <f t="shared" si="475"/>
        <v>0</v>
      </c>
      <c r="BD262" s="1395">
        <f t="shared" si="476"/>
        <v>0</v>
      </c>
      <c r="BE262" s="1395">
        <f t="shared" si="477"/>
        <v>0</v>
      </c>
      <c r="BF262" s="1395">
        <f t="shared" si="478"/>
        <v>0</v>
      </c>
      <c r="BG262" s="1396">
        <f t="shared" si="479"/>
        <v>0</v>
      </c>
      <c r="BH262" s="1395">
        <f t="shared" si="480"/>
        <v>-1</v>
      </c>
      <c r="BI262" s="1395" t="str">
        <f t="shared" si="481"/>
        <v>-</v>
      </c>
      <c r="BJ262" s="1395" t="str">
        <f t="shared" si="482"/>
        <v>-</v>
      </c>
      <c r="BK262" s="1395" t="str">
        <f t="shared" si="483"/>
        <v>-</v>
      </c>
      <c r="BL262" s="1397" t="str">
        <f t="shared" si="484"/>
        <v>-</v>
      </c>
      <c r="BM262" s="1395" t="str">
        <f t="shared" si="485"/>
        <v>-</v>
      </c>
      <c r="BN262" s="1395" t="str">
        <f t="shared" si="486"/>
        <v>-</v>
      </c>
      <c r="BO262" s="1395" t="str">
        <f t="shared" si="487"/>
        <v>-</v>
      </c>
      <c r="BP262" s="1395" t="str">
        <f t="shared" si="488"/>
        <v>-</v>
      </c>
      <c r="BQ262" s="1398" t="str">
        <f t="shared" si="489"/>
        <v>-</v>
      </c>
      <c r="BR262" s="1378"/>
      <c r="BS262" s="1329"/>
      <c r="BT262" s="1399"/>
      <c r="BU262" s="1331"/>
      <c r="BV262" s="1400"/>
      <c r="BW262" s="1378"/>
      <c r="BX262" s="1392" t="str">
        <f t="shared" si="490"/>
        <v>Qty</v>
      </c>
      <c r="BY262" s="1393" t="str">
        <f t="shared" si="491"/>
        <v>Water</v>
      </c>
      <c r="BZ262" s="1394" t="str">
        <f t="shared" si="492"/>
        <v>Fixed</v>
      </c>
      <c r="CA262" s="1401" t="str">
        <f t="shared" ref="CA262:CR262" si="526">IFERROR((P262/O262-1)*(O263/O$13),"-")</f>
        <v>-</v>
      </c>
      <c r="CB262" s="1395">
        <f t="shared" si="526"/>
        <v>0</v>
      </c>
      <c r="CC262" s="1395">
        <f t="shared" si="526"/>
        <v>0</v>
      </c>
      <c r="CD262" s="1395">
        <f t="shared" si="526"/>
        <v>0</v>
      </c>
      <c r="CE262" s="1395">
        <f t="shared" si="526"/>
        <v>0</v>
      </c>
      <c r="CF262" s="1395">
        <f t="shared" si="526"/>
        <v>0</v>
      </c>
      <c r="CG262" s="1395">
        <f t="shared" si="526"/>
        <v>0</v>
      </c>
      <c r="CH262" s="1397">
        <f t="shared" si="526"/>
        <v>0</v>
      </c>
      <c r="CI262" s="1395">
        <f t="shared" si="526"/>
        <v>0</v>
      </c>
      <c r="CJ262" s="1395" t="str">
        <f t="shared" si="526"/>
        <v>-</v>
      </c>
      <c r="CK262" s="1395" t="str">
        <f t="shared" si="526"/>
        <v>-</v>
      </c>
      <c r="CL262" s="1395" t="str">
        <f t="shared" si="526"/>
        <v>-</v>
      </c>
      <c r="CM262" s="1397" t="str">
        <f t="shared" si="526"/>
        <v>-</v>
      </c>
      <c r="CN262" s="1395" t="str">
        <f t="shared" si="526"/>
        <v>-</v>
      </c>
      <c r="CO262" s="1395" t="str">
        <f t="shared" si="526"/>
        <v>-</v>
      </c>
      <c r="CP262" s="1395" t="str">
        <f t="shared" si="526"/>
        <v>-</v>
      </c>
      <c r="CQ262" s="1395" t="str">
        <f t="shared" si="526"/>
        <v>-</v>
      </c>
      <c r="CR262" s="1398" t="str">
        <f t="shared" si="526"/>
        <v>-</v>
      </c>
      <c r="CS262" s="1378"/>
      <c r="CT262" s="1392" t="str">
        <f t="shared" si="469"/>
        <v>Qty</v>
      </c>
      <c r="CU262" s="1393" t="str">
        <f t="shared" si="470"/>
        <v>Water</v>
      </c>
      <c r="CV262" s="1393" t="str">
        <f t="shared" si="471"/>
        <v>Fixed</v>
      </c>
      <c r="CW262" s="1401">
        <f t="shared" si="494"/>
        <v>-1</v>
      </c>
      <c r="CX262" s="1395">
        <f t="shared" si="495"/>
        <v>-1</v>
      </c>
      <c r="CY262" s="1395">
        <f t="shared" si="496"/>
        <v>-1</v>
      </c>
      <c r="CZ262" s="1398">
        <f t="shared" si="497"/>
        <v>-1</v>
      </c>
      <c r="DA262" s="1395">
        <f t="shared" si="498"/>
        <v>-1</v>
      </c>
      <c r="DB262" s="1395">
        <f t="shared" si="499"/>
        <v>-1</v>
      </c>
      <c r="DC262" s="1395">
        <f t="shared" si="500"/>
        <v>-1</v>
      </c>
      <c r="DD262" s="1395">
        <f t="shared" si="501"/>
        <v>-1</v>
      </c>
      <c r="DE262" s="1398">
        <f t="shared" si="502"/>
        <v>-1</v>
      </c>
      <c r="DF262" s="1378"/>
      <c r="DG262" s="1392" t="str">
        <f t="shared" si="503"/>
        <v>Qty</v>
      </c>
      <c r="DH262" s="1393" t="str">
        <f t="shared" si="503"/>
        <v>Water</v>
      </c>
      <c r="DI262" s="1393" t="str">
        <f t="shared" si="503"/>
        <v>Fixed</v>
      </c>
      <c r="DJ262" s="1393"/>
      <c r="DK262" s="1401" t="str">
        <f t="shared" si="504"/>
        <v>-</v>
      </c>
      <c r="DL262" s="1395" t="str">
        <f t="shared" si="505"/>
        <v>-</v>
      </c>
      <c r="DM262" s="1395" t="str">
        <f t="shared" si="506"/>
        <v>-</v>
      </c>
      <c r="DN262" s="1397" t="str">
        <f t="shared" si="507"/>
        <v>-</v>
      </c>
      <c r="DO262" s="1395" t="str">
        <f t="shared" si="508"/>
        <v>-</v>
      </c>
      <c r="DP262" s="1395" t="str">
        <f t="shared" si="509"/>
        <v>-</v>
      </c>
      <c r="DQ262" s="1395" t="str">
        <f t="shared" si="510"/>
        <v>-</v>
      </c>
      <c r="DR262" s="1398" t="str">
        <f t="shared" si="511"/>
        <v>-</v>
      </c>
    </row>
    <row r="263" spans="4:122" ht="12.75" thickBot="1">
      <c r="E263" s="743" t="s">
        <v>46</v>
      </c>
      <c r="F263" s="732" t="str">
        <f>+F261</f>
        <v>Water</v>
      </c>
      <c r="G263" s="733" t="str">
        <f>+G261</f>
        <v>Water Fixed Balancing Item</v>
      </c>
      <c r="H263" s="733">
        <f>+H261</f>
        <v>0</v>
      </c>
      <c r="I263" s="734" t="str">
        <f>+I261</f>
        <v>Fixed</v>
      </c>
      <c r="J263" s="735" t="s">
        <v>344</v>
      </c>
      <c r="K263" s="736">
        <f t="shared" ref="K263:AG263" si="527">K261*K262/10^6</f>
        <v>0</v>
      </c>
      <c r="L263" s="737">
        <f t="shared" si="527"/>
        <v>0</v>
      </c>
      <c r="M263" s="737">
        <f t="shared" si="527"/>
        <v>0</v>
      </c>
      <c r="N263" s="738">
        <f t="shared" si="527"/>
        <v>0</v>
      </c>
      <c r="O263" s="1923">
        <f t="shared" si="527"/>
        <v>0</v>
      </c>
      <c r="P263" s="737">
        <f t="shared" si="527"/>
        <v>-0.32</v>
      </c>
      <c r="Q263" s="737">
        <f t="shared" si="527"/>
        <v>-0.37</v>
      </c>
      <c r="R263" s="737">
        <f t="shared" si="527"/>
        <v>-0.28999999999999998</v>
      </c>
      <c r="S263" s="737">
        <f t="shared" si="527"/>
        <v>-0.38</v>
      </c>
      <c r="T263" s="1531">
        <f t="shared" si="527"/>
        <v>-0.14000000000000001</v>
      </c>
      <c r="U263" s="737">
        <f t="shared" si="527"/>
        <v>0.01</v>
      </c>
      <c r="V263" s="737">
        <f t="shared" si="527"/>
        <v>-0.27</v>
      </c>
      <c r="W263" s="737">
        <f t="shared" si="527"/>
        <v>0</v>
      </c>
      <c r="X263" s="738">
        <f t="shared" si="527"/>
        <v>0</v>
      </c>
      <c r="Y263" s="737">
        <f t="shared" si="527"/>
        <v>0</v>
      </c>
      <c r="Z263" s="737">
        <f t="shared" si="527"/>
        <v>0</v>
      </c>
      <c r="AA263" s="737">
        <f t="shared" si="527"/>
        <v>0</v>
      </c>
      <c r="AB263" s="737">
        <f t="shared" si="527"/>
        <v>0</v>
      </c>
      <c r="AC263" s="738">
        <f t="shared" si="527"/>
        <v>0</v>
      </c>
      <c r="AD263" s="737">
        <f t="shared" si="527"/>
        <v>0</v>
      </c>
      <c r="AE263" s="737">
        <f t="shared" si="527"/>
        <v>0</v>
      </c>
      <c r="AF263" s="737">
        <f t="shared" si="527"/>
        <v>0</v>
      </c>
      <c r="AG263" s="739">
        <f t="shared" si="527"/>
        <v>0</v>
      </c>
      <c r="AH263" s="697"/>
      <c r="AI263" s="707"/>
      <c r="AJ263" s="709">
        <f t="shared" si="515"/>
        <v>0</v>
      </c>
      <c r="AK263" s="710">
        <f t="shared" si="516"/>
        <v>0</v>
      </c>
      <c r="AL263" s="710">
        <f t="shared" si="517"/>
        <v>0</v>
      </c>
      <c r="AM263" s="710">
        <f t="shared" si="518"/>
        <v>0</v>
      </c>
      <c r="AN263" s="710">
        <f t="shared" si="519"/>
        <v>0</v>
      </c>
      <c r="AO263" s="711">
        <f t="shared" si="520"/>
        <v>0</v>
      </c>
      <c r="AP263" s="707">
        <f t="shared" si="521"/>
        <v>0</v>
      </c>
      <c r="AQ263" s="707">
        <f t="shared" si="522"/>
        <v>0</v>
      </c>
      <c r="AR263" s="707">
        <f t="shared" si="523"/>
        <v>0</v>
      </c>
      <c r="AS263" s="712">
        <f t="shared" si="524"/>
        <v>0</v>
      </c>
      <c r="AV263" s="1559"/>
      <c r="AW263" s="1428" t="str">
        <f t="shared" si="472"/>
        <v>Rev</v>
      </c>
      <c r="AX263" s="1429" t="str">
        <f t="shared" si="472"/>
        <v>Water</v>
      </c>
      <c r="AY263" s="1430" t="str">
        <f t="shared" si="473"/>
        <v>Fixed</v>
      </c>
      <c r="AZ263" s="1431" t="str">
        <f t="shared" si="474"/>
        <v>-</v>
      </c>
      <c r="BA263" s="1431">
        <f t="shared" si="474"/>
        <v>0.15625</v>
      </c>
      <c r="BB263" s="1431">
        <f t="shared" si="474"/>
        <v>-0.21621621621621623</v>
      </c>
      <c r="BC263" s="1431">
        <f t="shared" si="475"/>
        <v>0.31034482758620707</v>
      </c>
      <c r="BD263" s="1431">
        <f t="shared" si="476"/>
        <v>-0.63157894736842102</v>
      </c>
      <c r="BE263" s="1431">
        <f t="shared" si="477"/>
        <v>-1.0714285714285714</v>
      </c>
      <c r="BF263" s="1431">
        <f t="shared" si="478"/>
        <v>-28</v>
      </c>
      <c r="BG263" s="1432">
        <f t="shared" si="479"/>
        <v>-1</v>
      </c>
      <c r="BH263" s="1431" t="str">
        <f t="shared" si="480"/>
        <v>-</v>
      </c>
      <c r="BI263" s="1431" t="str">
        <f t="shared" si="481"/>
        <v>-</v>
      </c>
      <c r="BJ263" s="1431" t="str">
        <f t="shared" si="482"/>
        <v>-</v>
      </c>
      <c r="BK263" s="1431" t="str">
        <f t="shared" si="483"/>
        <v>-</v>
      </c>
      <c r="BL263" s="1433" t="str">
        <f t="shared" si="484"/>
        <v>-</v>
      </c>
      <c r="BM263" s="1431" t="str">
        <f t="shared" si="485"/>
        <v>-</v>
      </c>
      <c r="BN263" s="1431" t="str">
        <f t="shared" si="486"/>
        <v>-</v>
      </c>
      <c r="BO263" s="1431" t="str">
        <f t="shared" si="487"/>
        <v>-</v>
      </c>
      <c r="BP263" s="1431" t="str">
        <f t="shared" si="488"/>
        <v>-</v>
      </c>
      <c r="BQ263" s="1434" t="str">
        <f t="shared" si="489"/>
        <v>-</v>
      </c>
      <c r="BR263" s="1378"/>
      <c r="BS263" s="1407"/>
      <c r="BT263" s="1408"/>
      <c r="BU263" s="1409"/>
      <c r="BV263" s="1410"/>
      <c r="BW263" s="1378"/>
      <c r="BX263" s="1428" t="str">
        <f t="shared" si="490"/>
        <v>Rev</v>
      </c>
      <c r="BY263" s="1429" t="str">
        <f t="shared" si="491"/>
        <v>Water</v>
      </c>
      <c r="BZ263" s="1430" t="str">
        <f t="shared" si="492"/>
        <v>Fixed</v>
      </c>
      <c r="CA263" s="1435" t="str">
        <f t="shared" ref="CA263:CR263" si="528">IFERROR((P263/O263-1)*(O263/O$13),"-")</f>
        <v>-</v>
      </c>
      <c r="CB263" s="1431">
        <f t="shared" si="528"/>
        <v>-6.4633651732557448E-4</v>
      </c>
      <c r="CC263" s="1431">
        <f t="shared" si="528"/>
        <v>1.0528011277681775E-3</v>
      </c>
      <c r="CD263" s="1431">
        <f t="shared" si="528"/>
        <v>-1.2063692740506846E-3</v>
      </c>
      <c r="CE263" s="1431">
        <f t="shared" si="528"/>
        <v>3.3296141023052301E-3</v>
      </c>
      <c r="CF263" s="1431">
        <f t="shared" si="528"/>
        <v>2.0097037598460722E-3</v>
      </c>
      <c r="CG263" s="1431">
        <f t="shared" si="528"/>
        <v>-3.5707152911184674E-3</v>
      </c>
      <c r="CH263" s="1433">
        <f t="shared" si="528"/>
        <v>3.2868496317850363E-3</v>
      </c>
      <c r="CI263" s="1431" t="str">
        <f t="shared" si="528"/>
        <v>-</v>
      </c>
      <c r="CJ263" s="1431" t="str">
        <f t="shared" si="528"/>
        <v>-</v>
      </c>
      <c r="CK263" s="1431" t="str">
        <f t="shared" si="528"/>
        <v>-</v>
      </c>
      <c r="CL263" s="1431" t="str">
        <f t="shared" si="528"/>
        <v>-</v>
      </c>
      <c r="CM263" s="1433" t="str">
        <f t="shared" si="528"/>
        <v>-</v>
      </c>
      <c r="CN263" s="1431" t="str">
        <f t="shared" si="528"/>
        <v>-</v>
      </c>
      <c r="CO263" s="1431" t="str">
        <f t="shared" si="528"/>
        <v>-</v>
      </c>
      <c r="CP263" s="1431" t="str">
        <f t="shared" si="528"/>
        <v>-</v>
      </c>
      <c r="CQ263" s="1431" t="str">
        <f t="shared" si="528"/>
        <v>-</v>
      </c>
      <c r="CR263" s="1434" t="str">
        <f t="shared" si="528"/>
        <v>-</v>
      </c>
      <c r="CS263" s="1378"/>
      <c r="CT263" s="1428" t="str">
        <f t="shared" si="469"/>
        <v>Rev</v>
      </c>
      <c r="CU263" s="1429" t="str">
        <f t="shared" si="470"/>
        <v>Water</v>
      </c>
      <c r="CV263" s="1429" t="str">
        <f t="shared" si="471"/>
        <v>Fixed</v>
      </c>
      <c r="CW263" s="1435" t="str">
        <f t="shared" si="494"/>
        <v>-</v>
      </c>
      <c r="CX263" s="1431" t="str">
        <f t="shared" si="495"/>
        <v>-</v>
      </c>
      <c r="CY263" s="1431" t="str">
        <f t="shared" si="496"/>
        <v>-</v>
      </c>
      <c r="CZ263" s="1434" t="str">
        <f t="shared" si="497"/>
        <v>-</v>
      </c>
      <c r="DA263" s="1431" t="str">
        <f t="shared" si="498"/>
        <v>-</v>
      </c>
      <c r="DB263" s="1431" t="str">
        <f t="shared" si="499"/>
        <v>-</v>
      </c>
      <c r="DC263" s="1431" t="str">
        <f t="shared" si="500"/>
        <v>-</v>
      </c>
      <c r="DD263" s="1431" t="str">
        <f t="shared" si="501"/>
        <v>-</v>
      </c>
      <c r="DE263" s="1434" t="str">
        <f t="shared" si="502"/>
        <v>-</v>
      </c>
      <c r="DF263" s="1378"/>
      <c r="DG263" s="1428" t="str">
        <f t="shared" si="503"/>
        <v>Rev</v>
      </c>
      <c r="DH263" s="1429" t="str">
        <f t="shared" si="503"/>
        <v>Water</v>
      </c>
      <c r="DI263" s="1429" t="str">
        <f t="shared" si="503"/>
        <v>Fixed</v>
      </c>
      <c r="DJ263" s="1429"/>
      <c r="DK263" s="1435" t="str">
        <f t="shared" si="504"/>
        <v>-</v>
      </c>
      <c r="DL263" s="1431" t="str">
        <f t="shared" si="505"/>
        <v>-</v>
      </c>
      <c r="DM263" s="1431" t="str">
        <f t="shared" si="506"/>
        <v>-</v>
      </c>
      <c r="DN263" s="1433" t="str">
        <f t="shared" si="507"/>
        <v>-</v>
      </c>
      <c r="DO263" s="1431" t="str">
        <f t="shared" si="508"/>
        <v>-</v>
      </c>
      <c r="DP263" s="1431" t="str">
        <f t="shared" si="509"/>
        <v>-</v>
      </c>
      <c r="DQ263" s="1431" t="str">
        <f t="shared" si="510"/>
        <v>-</v>
      </c>
      <c r="DR263" s="1434" t="str">
        <f t="shared" si="511"/>
        <v>-</v>
      </c>
    </row>
    <row r="264" spans="4:122">
      <c r="D264" s="70">
        <f>D261+1</f>
        <v>67</v>
      </c>
      <c r="E264" s="713" t="s">
        <v>44</v>
      </c>
      <c r="F264" s="1532" t="s">
        <v>21</v>
      </c>
      <c r="G264" s="1532" t="s">
        <v>1283</v>
      </c>
      <c r="H264" s="1532"/>
      <c r="I264" s="781" t="s">
        <v>319</v>
      </c>
      <c r="J264" s="781" t="s">
        <v>345</v>
      </c>
      <c r="K264" s="1533"/>
      <c r="L264" s="1534"/>
      <c r="M264" s="1534"/>
      <c r="N264" s="1535"/>
      <c r="O264" s="2071"/>
      <c r="P264" s="1547">
        <v>-240000</v>
      </c>
      <c r="Q264" s="1547">
        <v>-260000</v>
      </c>
      <c r="R264" s="1547">
        <v>-290000</v>
      </c>
      <c r="S264" s="1547">
        <v>-220000</v>
      </c>
      <c r="T264" s="1547">
        <v>-170000</v>
      </c>
      <c r="U264" s="1547">
        <v>-240000</v>
      </c>
      <c r="V264" s="1547">
        <v>-290000</v>
      </c>
      <c r="W264" s="1547">
        <v>0</v>
      </c>
      <c r="X264" s="1548"/>
      <c r="Y264" s="1547"/>
      <c r="Z264" s="1547"/>
      <c r="AA264" s="1547"/>
      <c r="AB264" s="1547"/>
      <c r="AC264" s="1548"/>
      <c r="AD264" s="1547"/>
      <c r="AE264" s="1547"/>
      <c r="AF264" s="1547"/>
      <c r="AG264" s="785"/>
      <c r="AH264" s="697"/>
      <c r="AI264" s="707"/>
      <c r="AJ264" s="709">
        <f t="shared" si="515"/>
        <v>0</v>
      </c>
      <c r="AK264" s="710">
        <f t="shared" si="516"/>
        <v>0</v>
      </c>
      <c r="AL264" s="710">
        <f t="shared" si="517"/>
        <v>0</v>
      </c>
      <c r="AM264" s="710">
        <f t="shared" si="518"/>
        <v>0</v>
      </c>
      <c r="AN264" s="710">
        <f t="shared" si="519"/>
        <v>0</v>
      </c>
      <c r="AO264" s="711">
        <f t="shared" si="520"/>
        <v>0</v>
      </c>
      <c r="AP264" s="707">
        <f t="shared" si="521"/>
        <v>0</v>
      </c>
      <c r="AQ264" s="707">
        <f t="shared" si="522"/>
        <v>0</v>
      </c>
      <c r="AR264" s="707">
        <f t="shared" si="523"/>
        <v>0</v>
      </c>
      <c r="AS264" s="712">
        <f t="shared" si="524"/>
        <v>0</v>
      </c>
      <c r="AU264" s="1369"/>
      <c r="AV264" s="1559"/>
      <c r="AW264" s="1412" t="str">
        <f t="shared" si="472"/>
        <v>Price</v>
      </c>
      <c r="AX264" s="1413" t="str">
        <f t="shared" si="472"/>
        <v>Sewerage</v>
      </c>
      <c r="AY264" s="1414" t="str">
        <f t="shared" si="473"/>
        <v>Fixed</v>
      </c>
      <c r="AZ264" s="1415" t="str">
        <f t="shared" si="474"/>
        <v>-</v>
      </c>
      <c r="BA264" s="1415">
        <f t="shared" si="474"/>
        <v>8.3333333333333259E-2</v>
      </c>
      <c r="BB264" s="1415">
        <f t="shared" si="474"/>
        <v>0.11538461538461542</v>
      </c>
      <c r="BC264" s="1415">
        <f t="shared" si="475"/>
        <v>-0.24137931034482762</v>
      </c>
      <c r="BD264" s="1415">
        <f t="shared" si="476"/>
        <v>-0.22727272727272729</v>
      </c>
      <c r="BE264" s="1415">
        <f t="shared" si="477"/>
        <v>0.41176470588235303</v>
      </c>
      <c r="BF264" s="1415">
        <f t="shared" si="478"/>
        <v>0.20833333333333326</v>
      </c>
      <c r="BG264" s="1416">
        <f t="shared" si="479"/>
        <v>-1</v>
      </c>
      <c r="BH264" s="1417" t="str">
        <f t="shared" si="480"/>
        <v>-</v>
      </c>
      <c r="BI264" s="1417" t="str">
        <f t="shared" si="481"/>
        <v>-</v>
      </c>
      <c r="BJ264" s="1417" t="str">
        <f t="shared" si="482"/>
        <v>-</v>
      </c>
      <c r="BK264" s="1417" t="str">
        <f t="shared" si="483"/>
        <v>-</v>
      </c>
      <c r="BL264" s="1418" t="str">
        <f t="shared" si="484"/>
        <v>-</v>
      </c>
      <c r="BM264" s="1417" t="str">
        <f t="shared" si="485"/>
        <v>-</v>
      </c>
      <c r="BN264" s="1417" t="str">
        <f t="shared" si="486"/>
        <v>-</v>
      </c>
      <c r="BO264" s="1417" t="str">
        <f t="shared" si="487"/>
        <v>-</v>
      </c>
      <c r="BP264" s="1417" t="str">
        <f t="shared" si="488"/>
        <v>-</v>
      </c>
      <c r="BQ264" s="1419" t="str">
        <f t="shared" si="489"/>
        <v>-</v>
      </c>
      <c r="BR264" s="1378"/>
      <c r="BS264" s="1420"/>
      <c r="BT264" s="1421"/>
      <c r="BU264" s="1422"/>
      <c r="BV264" s="1423"/>
      <c r="BW264" s="1378"/>
      <c r="BX264" s="1412" t="str">
        <f t="shared" si="490"/>
        <v>Price</v>
      </c>
      <c r="BY264" s="1413" t="str">
        <f t="shared" si="491"/>
        <v>Sewerage</v>
      </c>
      <c r="BZ264" s="1414" t="str">
        <f t="shared" si="492"/>
        <v>Fixed</v>
      </c>
      <c r="CA264" s="1424" t="str">
        <f t="shared" ref="CA264:CR264" si="529">IFERROR((P264/O264-1)*(O266/O$13),"-")</f>
        <v>-</v>
      </c>
      <c r="CB264" s="1415">
        <f t="shared" si="529"/>
        <v>-2.5853460693022953E-4</v>
      </c>
      <c r="CC264" s="1415">
        <f t="shared" si="529"/>
        <v>-3.9480042291306671E-4</v>
      </c>
      <c r="CD264" s="1415">
        <f t="shared" si="529"/>
        <v>9.3828721315053216E-4</v>
      </c>
      <c r="CE264" s="1415">
        <f t="shared" si="529"/>
        <v>6.9366960464692297E-4</v>
      </c>
      <c r="CF264" s="1415">
        <f t="shared" si="529"/>
        <v>-9.378617545948339E-4</v>
      </c>
      <c r="CG264" s="1415">
        <f t="shared" si="529"/>
        <v>-6.3762773055686889E-4</v>
      </c>
      <c r="CH264" s="1425">
        <f t="shared" si="529"/>
        <v>3.5303199748802239E-3</v>
      </c>
      <c r="CI264" s="1417" t="str">
        <f t="shared" si="529"/>
        <v>-</v>
      </c>
      <c r="CJ264" s="1417" t="str">
        <f t="shared" si="529"/>
        <v>-</v>
      </c>
      <c r="CK264" s="1417" t="str">
        <f t="shared" si="529"/>
        <v>-</v>
      </c>
      <c r="CL264" s="1417" t="str">
        <f t="shared" si="529"/>
        <v>-</v>
      </c>
      <c r="CM264" s="1418" t="str">
        <f t="shared" si="529"/>
        <v>-</v>
      </c>
      <c r="CN264" s="1417" t="str">
        <f t="shared" si="529"/>
        <v>-</v>
      </c>
      <c r="CO264" s="1417" t="str">
        <f t="shared" si="529"/>
        <v>-</v>
      </c>
      <c r="CP264" s="1417" t="str">
        <f t="shared" si="529"/>
        <v>-</v>
      </c>
      <c r="CQ264" s="1417" t="str">
        <f t="shared" si="529"/>
        <v>-</v>
      </c>
      <c r="CR264" s="1419" t="str">
        <f t="shared" si="529"/>
        <v>-</v>
      </c>
      <c r="CS264" s="1378"/>
      <c r="CT264" s="1412" t="str">
        <f t="shared" si="469"/>
        <v>Price</v>
      </c>
      <c r="CU264" s="1413" t="str">
        <f t="shared" si="470"/>
        <v>Sewerage</v>
      </c>
      <c r="CV264" s="1426" t="str">
        <f t="shared" si="471"/>
        <v>Fixed</v>
      </c>
      <c r="CW264" s="1427" t="str">
        <f t="shared" si="494"/>
        <v>-</v>
      </c>
      <c r="CX264" s="1417" t="str">
        <f t="shared" si="495"/>
        <v>-</v>
      </c>
      <c r="CY264" s="1417" t="str">
        <f t="shared" si="496"/>
        <v>-</v>
      </c>
      <c r="CZ264" s="1419" t="str">
        <f t="shared" si="497"/>
        <v>-</v>
      </c>
      <c r="DA264" s="1417" t="str">
        <f t="shared" si="498"/>
        <v>-</v>
      </c>
      <c r="DB264" s="1417" t="str">
        <f t="shared" si="499"/>
        <v>-</v>
      </c>
      <c r="DC264" s="1417" t="str">
        <f t="shared" si="500"/>
        <v>-</v>
      </c>
      <c r="DD264" s="1417" t="str">
        <f t="shared" si="501"/>
        <v>-</v>
      </c>
      <c r="DE264" s="1419" t="str">
        <f t="shared" si="502"/>
        <v>-</v>
      </c>
      <c r="DF264" s="1378"/>
      <c r="DG264" s="1412" t="str">
        <f t="shared" si="503"/>
        <v>Price</v>
      </c>
      <c r="DH264" s="1413" t="str">
        <f t="shared" si="503"/>
        <v>Sewerage</v>
      </c>
      <c r="DI264" s="1426" t="str">
        <f t="shared" si="503"/>
        <v>Fixed</v>
      </c>
      <c r="DJ264" s="1426"/>
      <c r="DK264" s="1427" t="str">
        <f t="shared" si="504"/>
        <v>-</v>
      </c>
      <c r="DL264" s="1417" t="str">
        <f t="shared" si="505"/>
        <v>-</v>
      </c>
      <c r="DM264" s="1417" t="str">
        <f t="shared" si="506"/>
        <v>-</v>
      </c>
      <c r="DN264" s="1418" t="str">
        <f t="shared" si="507"/>
        <v>-</v>
      </c>
      <c r="DO264" s="1417" t="str">
        <f t="shared" si="508"/>
        <v>-</v>
      </c>
      <c r="DP264" s="1417" t="str">
        <f t="shared" si="509"/>
        <v>-</v>
      </c>
      <c r="DQ264" s="1417" t="str">
        <f t="shared" si="510"/>
        <v>-</v>
      </c>
      <c r="DR264" s="1419" t="str">
        <f t="shared" si="511"/>
        <v>-</v>
      </c>
    </row>
    <row r="265" spans="4:122">
      <c r="E265" s="742" t="s">
        <v>45</v>
      </c>
      <c r="F265" s="722" t="str">
        <f>+F264</f>
        <v>Sewerage</v>
      </c>
      <c r="G265" s="723" t="str">
        <f>+G264</f>
        <v>Wastewater Fixed Balancing Item</v>
      </c>
      <c r="H265" s="723">
        <f>+H264</f>
        <v>0</v>
      </c>
      <c r="I265" s="724" t="str">
        <f>+I264</f>
        <v>Fixed</v>
      </c>
      <c r="J265" s="782" t="s">
        <v>323</v>
      </c>
      <c r="K265" s="1540"/>
      <c r="L265" s="1541"/>
      <c r="M265" s="1541"/>
      <c r="N265" s="1542"/>
      <c r="O265" s="2031"/>
      <c r="P265" s="1543">
        <v>1</v>
      </c>
      <c r="Q265" s="1543">
        <v>1</v>
      </c>
      <c r="R265" s="1543">
        <v>1</v>
      </c>
      <c r="S265" s="1543">
        <v>1</v>
      </c>
      <c r="T265" s="1543">
        <v>1</v>
      </c>
      <c r="U265" s="1543">
        <v>1</v>
      </c>
      <c r="V265" s="1543">
        <v>1</v>
      </c>
      <c r="W265" s="1543">
        <v>1</v>
      </c>
      <c r="X265" s="1544"/>
      <c r="Y265" s="1543"/>
      <c r="Z265" s="1543"/>
      <c r="AA265" s="1543"/>
      <c r="AB265" s="1543"/>
      <c r="AC265" s="1544"/>
      <c r="AD265" s="1543"/>
      <c r="AE265" s="1543"/>
      <c r="AF265" s="1543"/>
      <c r="AG265" s="788"/>
      <c r="AH265" s="697"/>
      <c r="AI265" s="707"/>
      <c r="AJ265" s="709">
        <f t="shared" si="515"/>
        <v>0</v>
      </c>
      <c r="AK265" s="710">
        <f t="shared" si="516"/>
        <v>0</v>
      </c>
      <c r="AL265" s="710">
        <f t="shared" si="517"/>
        <v>0</v>
      </c>
      <c r="AM265" s="710">
        <f t="shared" si="518"/>
        <v>0</v>
      </c>
      <c r="AN265" s="710">
        <f t="shared" si="519"/>
        <v>0</v>
      </c>
      <c r="AO265" s="711">
        <f t="shared" si="520"/>
        <v>0</v>
      </c>
      <c r="AP265" s="707">
        <f t="shared" si="521"/>
        <v>0</v>
      </c>
      <c r="AQ265" s="707">
        <f t="shared" si="522"/>
        <v>0</v>
      </c>
      <c r="AR265" s="707">
        <f t="shared" si="523"/>
        <v>0</v>
      </c>
      <c r="AS265" s="712">
        <f t="shared" si="524"/>
        <v>0</v>
      </c>
      <c r="AV265" s="1559"/>
      <c r="AW265" s="1392" t="str">
        <f t="shared" si="472"/>
        <v>Qty</v>
      </c>
      <c r="AX265" s="1393" t="str">
        <f t="shared" si="472"/>
        <v>Sewerage</v>
      </c>
      <c r="AY265" s="1394" t="str">
        <f t="shared" si="473"/>
        <v>Fixed</v>
      </c>
      <c r="AZ265" s="1395" t="str">
        <f t="shared" si="474"/>
        <v>-</v>
      </c>
      <c r="BA265" s="1395">
        <f t="shared" si="474"/>
        <v>0</v>
      </c>
      <c r="BB265" s="1395">
        <f t="shared" si="474"/>
        <v>0</v>
      </c>
      <c r="BC265" s="1395">
        <f t="shared" si="475"/>
        <v>0</v>
      </c>
      <c r="BD265" s="1395">
        <f t="shared" si="476"/>
        <v>0</v>
      </c>
      <c r="BE265" s="1395">
        <f t="shared" si="477"/>
        <v>0</v>
      </c>
      <c r="BF265" s="1395">
        <f t="shared" si="478"/>
        <v>0</v>
      </c>
      <c r="BG265" s="1396">
        <f t="shared" si="479"/>
        <v>0</v>
      </c>
      <c r="BH265" s="1395">
        <f t="shared" si="480"/>
        <v>-1</v>
      </c>
      <c r="BI265" s="1395" t="str">
        <f t="shared" si="481"/>
        <v>-</v>
      </c>
      <c r="BJ265" s="1395" t="str">
        <f t="shared" si="482"/>
        <v>-</v>
      </c>
      <c r="BK265" s="1395" t="str">
        <f t="shared" si="483"/>
        <v>-</v>
      </c>
      <c r="BL265" s="1397" t="str">
        <f t="shared" si="484"/>
        <v>-</v>
      </c>
      <c r="BM265" s="1395" t="str">
        <f t="shared" si="485"/>
        <v>-</v>
      </c>
      <c r="BN265" s="1395" t="str">
        <f t="shared" si="486"/>
        <v>-</v>
      </c>
      <c r="BO265" s="1395" t="str">
        <f t="shared" si="487"/>
        <v>-</v>
      </c>
      <c r="BP265" s="1395" t="str">
        <f t="shared" si="488"/>
        <v>-</v>
      </c>
      <c r="BQ265" s="1398" t="str">
        <f t="shared" si="489"/>
        <v>-</v>
      </c>
      <c r="BR265" s="1378"/>
      <c r="BS265" s="1329"/>
      <c r="BT265" s="1399"/>
      <c r="BU265" s="1331"/>
      <c r="BV265" s="1400"/>
      <c r="BW265" s="1378"/>
      <c r="BX265" s="1392" t="str">
        <f t="shared" si="490"/>
        <v>Qty</v>
      </c>
      <c r="BY265" s="1393" t="str">
        <f t="shared" si="491"/>
        <v>Sewerage</v>
      </c>
      <c r="BZ265" s="1394" t="str">
        <f t="shared" si="492"/>
        <v>Fixed</v>
      </c>
      <c r="CA265" s="1401" t="str">
        <f t="shared" ref="CA265:CR265" si="530">IFERROR((P265/O265-1)*(O266/O$13),"-")</f>
        <v>-</v>
      </c>
      <c r="CB265" s="1395">
        <f t="shared" si="530"/>
        <v>0</v>
      </c>
      <c r="CC265" s="1395">
        <f t="shared" si="530"/>
        <v>0</v>
      </c>
      <c r="CD265" s="1395">
        <f t="shared" si="530"/>
        <v>0</v>
      </c>
      <c r="CE265" s="1395">
        <f t="shared" si="530"/>
        <v>0</v>
      </c>
      <c r="CF265" s="1395">
        <f t="shared" si="530"/>
        <v>0</v>
      </c>
      <c r="CG265" s="1395">
        <f t="shared" si="530"/>
        <v>0</v>
      </c>
      <c r="CH265" s="1397">
        <f t="shared" si="530"/>
        <v>0</v>
      </c>
      <c r="CI265" s="1395">
        <f t="shared" si="530"/>
        <v>0</v>
      </c>
      <c r="CJ265" s="1395" t="str">
        <f t="shared" si="530"/>
        <v>-</v>
      </c>
      <c r="CK265" s="1395" t="str">
        <f t="shared" si="530"/>
        <v>-</v>
      </c>
      <c r="CL265" s="1395" t="str">
        <f t="shared" si="530"/>
        <v>-</v>
      </c>
      <c r="CM265" s="1397" t="str">
        <f t="shared" si="530"/>
        <v>-</v>
      </c>
      <c r="CN265" s="1395" t="str">
        <f t="shared" si="530"/>
        <v>-</v>
      </c>
      <c r="CO265" s="1395" t="str">
        <f t="shared" si="530"/>
        <v>-</v>
      </c>
      <c r="CP265" s="1395" t="str">
        <f t="shared" si="530"/>
        <v>-</v>
      </c>
      <c r="CQ265" s="1395" t="str">
        <f t="shared" si="530"/>
        <v>-</v>
      </c>
      <c r="CR265" s="1398" t="str">
        <f t="shared" si="530"/>
        <v>-</v>
      </c>
      <c r="CS265" s="1378"/>
      <c r="CT265" s="1392" t="str">
        <f t="shared" si="469"/>
        <v>Qty</v>
      </c>
      <c r="CU265" s="1393" t="str">
        <f t="shared" si="470"/>
        <v>Sewerage</v>
      </c>
      <c r="CV265" s="1393" t="str">
        <f t="shared" si="471"/>
        <v>Fixed</v>
      </c>
      <c r="CW265" s="1401">
        <f t="shared" si="494"/>
        <v>-1</v>
      </c>
      <c r="CX265" s="1395">
        <f t="shared" si="495"/>
        <v>-1</v>
      </c>
      <c r="CY265" s="1395">
        <f t="shared" si="496"/>
        <v>-1</v>
      </c>
      <c r="CZ265" s="1398">
        <f t="shared" si="497"/>
        <v>-1</v>
      </c>
      <c r="DA265" s="1395">
        <f t="shared" si="498"/>
        <v>-1</v>
      </c>
      <c r="DB265" s="1395">
        <f t="shared" si="499"/>
        <v>-1</v>
      </c>
      <c r="DC265" s="1395">
        <f t="shared" si="500"/>
        <v>-1</v>
      </c>
      <c r="DD265" s="1395">
        <f t="shared" si="501"/>
        <v>-1</v>
      </c>
      <c r="DE265" s="1398">
        <f t="shared" si="502"/>
        <v>-1</v>
      </c>
      <c r="DF265" s="1378"/>
      <c r="DG265" s="1392" t="str">
        <f t="shared" si="503"/>
        <v>Qty</v>
      </c>
      <c r="DH265" s="1393" t="str">
        <f t="shared" si="503"/>
        <v>Sewerage</v>
      </c>
      <c r="DI265" s="1393" t="str">
        <f t="shared" si="503"/>
        <v>Fixed</v>
      </c>
      <c r="DJ265" s="1393"/>
      <c r="DK265" s="1401" t="str">
        <f t="shared" si="504"/>
        <v>-</v>
      </c>
      <c r="DL265" s="1395" t="str">
        <f t="shared" si="505"/>
        <v>-</v>
      </c>
      <c r="DM265" s="1395" t="str">
        <f t="shared" si="506"/>
        <v>-</v>
      </c>
      <c r="DN265" s="1397" t="str">
        <f t="shared" si="507"/>
        <v>-</v>
      </c>
      <c r="DO265" s="1395" t="str">
        <f t="shared" si="508"/>
        <v>-</v>
      </c>
      <c r="DP265" s="1395" t="str">
        <f t="shared" si="509"/>
        <v>-</v>
      </c>
      <c r="DQ265" s="1395" t="str">
        <f t="shared" si="510"/>
        <v>-</v>
      </c>
      <c r="DR265" s="1398" t="str">
        <f t="shared" si="511"/>
        <v>-</v>
      </c>
    </row>
    <row r="266" spans="4:122" ht="12.75" thickBot="1">
      <c r="E266" s="743" t="s">
        <v>46</v>
      </c>
      <c r="F266" s="732" t="str">
        <f>+F264</f>
        <v>Sewerage</v>
      </c>
      <c r="G266" s="733" t="str">
        <f>+G264</f>
        <v>Wastewater Fixed Balancing Item</v>
      </c>
      <c r="H266" s="733">
        <f>+H264</f>
        <v>0</v>
      </c>
      <c r="I266" s="734" t="str">
        <f>+I264</f>
        <v>Fixed</v>
      </c>
      <c r="J266" s="735" t="s">
        <v>344</v>
      </c>
      <c r="K266" s="736">
        <f t="shared" ref="K266:AG266" si="531">K264*K265/10^6</f>
        <v>0</v>
      </c>
      <c r="L266" s="737">
        <f t="shared" si="531"/>
        <v>0</v>
      </c>
      <c r="M266" s="737">
        <f t="shared" si="531"/>
        <v>0</v>
      </c>
      <c r="N266" s="738">
        <f t="shared" si="531"/>
        <v>0</v>
      </c>
      <c r="O266" s="1923">
        <f t="shared" si="531"/>
        <v>0</v>
      </c>
      <c r="P266" s="737">
        <f t="shared" si="531"/>
        <v>-0.24</v>
      </c>
      <c r="Q266" s="737">
        <f t="shared" si="531"/>
        <v>-0.26</v>
      </c>
      <c r="R266" s="737">
        <f t="shared" si="531"/>
        <v>-0.28999999999999998</v>
      </c>
      <c r="S266" s="737">
        <f t="shared" si="531"/>
        <v>-0.22</v>
      </c>
      <c r="T266" s="1531">
        <f t="shared" si="531"/>
        <v>-0.17</v>
      </c>
      <c r="U266" s="737">
        <f t="shared" si="531"/>
        <v>-0.24</v>
      </c>
      <c r="V266" s="737">
        <f t="shared" si="531"/>
        <v>-0.28999999999999998</v>
      </c>
      <c r="W266" s="737">
        <f t="shared" si="531"/>
        <v>0</v>
      </c>
      <c r="X266" s="738">
        <f t="shared" si="531"/>
        <v>0</v>
      </c>
      <c r="Y266" s="737">
        <f t="shared" si="531"/>
        <v>0</v>
      </c>
      <c r="Z266" s="737">
        <f t="shared" si="531"/>
        <v>0</v>
      </c>
      <c r="AA266" s="737">
        <f t="shared" si="531"/>
        <v>0</v>
      </c>
      <c r="AB266" s="737">
        <f t="shared" si="531"/>
        <v>0</v>
      </c>
      <c r="AC266" s="738">
        <f t="shared" si="531"/>
        <v>0</v>
      </c>
      <c r="AD266" s="737">
        <f t="shared" si="531"/>
        <v>0</v>
      </c>
      <c r="AE266" s="737">
        <f t="shared" si="531"/>
        <v>0</v>
      </c>
      <c r="AF266" s="737">
        <f t="shared" si="531"/>
        <v>0</v>
      </c>
      <c r="AG266" s="739">
        <f t="shared" si="531"/>
        <v>0</v>
      </c>
      <c r="AH266" s="697"/>
      <c r="AI266" s="707"/>
      <c r="AJ266" s="709">
        <f t="shared" si="515"/>
        <v>0</v>
      </c>
      <c r="AK266" s="710">
        <f t="shared" si="516"/>
        <v>0</v>
      </c>
      <c r="AL266" s="710">
        <f t="shared" si="517"/>
        <v>0</v>
      </c>
      <c r="AM266" s="710">
        <f t="shared" si="518"/>
        <v>0</v>
      </c>
      <c r="AN266" s="710">
        <f t="shared" si="519"/>
        <v>0</v>
      </c>
      <c r="AO266" s="711">
        <f t="shared" si="520"/>
        <v>0</v>
      </c>
      <c r="AP266" s="707">
        <f t="shared" si="521"/>
        <v>0</v>
      </c>
      <c r="AQ266" s="707">
        <f t="shared" si="522"/>
        <v>0</v>
      </c>
      <c r="AR266" s="707">
        <f t="shared" si="523"/>
        <v>0</v>
      </c>
      <c r="AS266" s="712">
        <f t="shared" si="524"/>
        <v>0</v>
      </c>
      <c r="AV266" s="1559"/>
      <c r="AW266" s="1428" t="str">
        <f t="shared" si="472"/>
        <v>Rev</v>
      </c>
      <c r="AX266" s="1429" t="str">
        <f t="shared" si="472"/>
        <v>Sewerage</v>
      </c>
      <c r="AY266" s="1430" t="str">
        <f t="shared" si="473"/>
        <v>Fixed</v>
      </c>
      <c r="AZ266" s="1431" t="str">
        <f t="shared" si="474"/>
        <v>-</v>
      </c>
      <c r="BA266" s="1431">
        <f t="shared" si="474"/>
        <v>8.3333333333333481E-2</v>
      </c>
      <c r="BB266" s="1431">
        <f t="shared" si="474"/>
        <v>0.1153846153846152</v>
      </c>
      <c r="BC266" s="1431">
        <f t="shared" si="475"/>
        <v>-0.24137931034482751</v>
      </c>
      <c r="BD266" s="1431">
        <f t="shared" si="476"/>
        <v>-0.22727272727272718</v>
      </c>
      <c r="BE266" s="1431">
        <f t="shared" si="477"/>
        <v>0.41176470588235281</v>
      </c>
      <c r="BF266" s="1431">
        <f t="shared" si="478"/>
        <v>0.20833333333333326</v>
      </c>
      <c r="BG266" s="1432">
        <f t="shared" si="479"/>
        <v>-1</v>
      </c>
      <c r="BH266" s="1431" t="str">
        <f t="shared" si="480"/>
        <v>-</v>
      </c>
      <c r="BI266" s="1431" t="str">
        <f t="shared" si="481"/>
        <v>-</v>
      </c>
      <c r="BJ266" s="1431" t="str">
        <f t="shared" si="482"/>
        <v>-</v>
      </c>
      <c r="BK266" s="1431" t="str">
        <f t="shared" si="483"/>
        <v>-</v>
      </c>
      <c r="BL266" s="1433" t="str">
        <f t="shared" si="484"/>
        <v>-</v>
      </c>
      <c r="BM266" s="1431" t="str">
        <f t="shared" si="485"/>
        <v>-</v>
      </c>
      <c r="BN266" s="1431" t="str">
        <f t="shared" si="486"/>
        <v>-</v>
      </c>
      <c r="BO266" s="1431" t="str">
        <f t="shared" si="487"/>
        <v>-</v>
      </c>
      <c r="BP266" s="1431" t="str">
        <f t="shared" si="488"/>
        <v>-</v>
      </c>
      <c r="BQ266" s="1434" t="str">
        <f t="shared" si="489"/>
        <v>-</v>
      </c>
      <c r="BR266" s="1378"/>
      <c r="BS266" s="1407"/>
      <c r="BT266" s="1408"/>
      <c r="BU266" s="1409"/>
      <c r="BV266" s="1410"/>
      <c r="BW266" s="1378"/>
      <c r="BX266" s="1428" t="str">
        <f t="shared" si="490"/>
        <v>Rev</v>
      </c>
      <c r="BY266" s="1429" t="str">
        <f t="shared" si="491"/>
        <v>Sewerage</v>
      </c>
      <c r="BZ266" s="1430" t="str">
        <f t="shared" si="492"/>
        <v>Fixed</v>
      </c>
      <c r="CA266" s="1435" t="str">
        <f t="shared" ref="CA266:CR266" si="532">IFERROR((P266/O266-1)*(O266/O$13),"-")</f>
        <v>-</v>
      </c>
      <c r="CB266" s="1431">
        <f t="shared" si="532"/>
        <v>-2.5853460693023024E-4</v>
      </c>
      <c r="CC266" s="1431">
        <f t="shared" si="532"/>
        <v>-3.9480042291306595E-4</v>
      </c>
      <c r="CD266" s="1431">
        <f t="shared" si="532"/>
        <v>9.3828721315053173E-4</v>
      </c>
      <c r="CE266" s="1431">
        <f t="shared" si="532"/>
        <v>6.9366960464692265E-4</v>
      </c>
      <c r="CF266" s="1431">
        <f t="shared" si="532"/>
        <v>-9.3786175459483335E-4</v>
      </c>
      <c r="CG266" s="1431">
        <f t="shared" si="532"/>
        <v>-6.3762773055686889E-4</v>
      </c>
      <c r="CH266" s="1433">
        <f t="shared" si="532"/>
        <v>3.5303199748802239E-3</v>
      </c>
      <c r="CI266" s="1431" t="str">
        <f t="shared" si="532"/>
        <v>-</v>
      </c>
      <c r="CJ266" s="1431" t="str">
        <f t="shared" si="532"/>
        <v>-</v>
      </c>
      <c r="CK266" s="1431" t="str">
        <f t="shared" si="532"/>
        <v>-</v>
      </c>
      <c r="CL266" s="1431" t="str">
        <f t="shared" si="532"/>
        <v>-</v>
      </c>
      <c r="CM266" s="1433" t="str">
        <f t="shared" si="532"/>
        <v>-</v>
      </c>
      <c r="CN266" s="1431" t="str">
        <f t="shared" si="532"/>
        <v>-</v>
      </c>
      <c r="CO266" s="1431" t="str">
        <f t="shared" si="532"/>
        <v>-</v>
      </c>
      <c r="CP266" s="1431" t="str">
        <f t="shared" si="532"/>
        <v>-</v>
      </c>
      <c r="CQ266" s="1431" t="str">
        <f t="shared" si="532"/>
        <v>-</v>
      </c>
      <c r="CR266" s="1434" t="str">
        <f t="shared" si="532"/>
        <v>-</v>
      </c>
      <c r="CS266" s="1378"/>
      <c r="CT266" s="1428" t="str">
        <f t="shared" si="469"/>
        <v>Rev</v>
      </c>
      <c r="CU266" s="1429" t="str">
        <f t="shared" si="470"/>
        <v>Sewerage</v>
      </c>
      <c r="CV266" s="1429" t="str">
        <f t="shared" si="471"/>
        <v>Fixed</v>
      </c>
      <c r="CW266" s="1435" t="str">
        <f t="shared" si="494"/>
        <v>-</v>
      </c>
      <c r="CX266" s="1431" t="str">
        <f t="shared" si="495"/>
        <v>-</v>
      </c>
      <c r="CY266" s="1431" t="str">
        <f t="shared" si="496"/>
        <v>-</v>
      </c>
      <c r="CZ266" s="1434" t="str">
        <f t="shared" si="497"/>
        <v>-</v>
      </c>
      <c r="DA266" s="1431" t="str">
        <f t="shared" si="498"/>
        <v>-</v>
      </c>
      <c r="DB266" s="1431" t="str">
        <f t="shared" si="499"/>
        <v>-</v>
      </c>
      <c r="DC266" s="1431" t="str">
        <f t="shared" si="500"/>
        <v>-</v>
      </c>
      <c r="DD266" s="1431" t="str">
        <f t="shared" si="501"/>
        <v>-</v>
      </c>
      <c r="DE266" s="1434" t="str">
        <f t="shared" si="502"/>
        <v>-</v>
      </c>
      <c r="DF266" s="1378"/>
      <c r="DG266" s="1428" t="str">
        <f t="shared" si="503"/>
        <v>Rev</v>
      </c>
      <c r="DH266" s="1429" t="str">
        <f t="shared" si="503"/>
        <v>Sewerage</v>
      </c>
      <c r="DI266" s="1429" t="str">
        <f t="shared" si="503"/>
        <v>Fixed</v>
      </c>
      <c r="DJ266" s="1429"/>
      <c r="DK266" s="1435" t="str">
        <f t="shared" si="504"/>
        <v>-</v>
      </c>
      <c r="DL266" s="1431" t="str">
        <f t="shared" si="505"/>
        <v>-</v>
      </c>
      <c r="DM266" s="1431" t="str">
        <f t="shared" si="506"/>
        <v>-</v>
      </c>
      <c r="DN266" s="1433" t="str">
        <f t="shared" si="507"/>
        <v>-</v>
      </c>
      <c r="DO266" s="1431" t="str">
        <f t="shared" si="508"/>
        <v>-</v>
      </c>
      <c r="DP266" s="1431" t="str">
        <f t="shared" si="509"/>
        <v>-</v>
      </c>
      <c r="DQ266" s="1431" t="str">
        <f t="shared" si="510"/>
        <v>-</v>
      </c>
      <c r="DR266" s="1434" t="str">
        <f t="shared" si="511"/>
        <v>-</v>
      </c>
    </row>
    <row r="267" spans="4:122">
      <c r="D267" s="70">
        <f>D264+1</f>
        <v>68</v>
      </c>
      <c r="E267" s="713" t="s">
        <v>44</v>
      </c>
      <c r="F267" s="1532" t="s">
        <v>316</v>
      </c>
      <c r="G267" s="1532" t="s">
        <v>1284</v>
      </c>
      <c r="H267" s="1532"/>
      <c r="I267" s="781" t="s">
        <v>320</v>
      </c>
      <c r="J267" s="781" t="s">
        <v>345</v>
      </c>
      <c r="K267" s="1533"/>
      <c r="L267" s="1534"/>
      <c r="M267" s="1534"/>
      <c r="N267" s="1535"/>
      <c r="O267" s="2071"/>
      <c r="P267" s="1547">
        <v>80000</v>
      </c>
      <c r="Q267" s="1547">
        <v>80000</v>
      </c>
      <c r="R267" s="1547">
        <v>70000</v>
      </c>
      <c r="S267" s="1547">
        <v>60000</v>
      </c>
      <c r="T267" s="1547">
        <v>580000</v>
      </c>
      <c r="U267" s="1547">
        <v>240000</v>
      </c>
      <c r="V267" s="1547">
        <v>200000</v>
      </c>
      <c r="W267" s="1547">
        <v>0</v>
      </c>
      <c r="X267" s="1548"/>
      <c r="Y267" s="1547"/>
      <c r="Z267" s="1547"/>
      <c r="AA267" s="1547"/>
      <c r="AB267" s="1547"/>
      <c r="AC267" s="1548"/>
      <c r="AD267" s="1547"/>
      <c r="AE267" s="1547"/>
      <c r="AF267" s="1547"/>
      <c r="AG267" s="785"/>
      <c r="AH267" s="697"/>
      <c r="AI267" s="707"/>
      <c r="AJ267" s="709">
        <f t="shared" si="515"/>
        <v>0</v>
      </c>
      <c r="AK267" s="710">
        <f t="shared" si="516"/>
        <v>0</v>
      </c>
      <c r="AL267" s="710">
        <f t="shared" si="517"/>
        <v>0</v>
      </c>
      <c r="AM267" s="710">
        <f t="shared" si="518"/>
        <v>0</v>
      </c>
      <c r="AN267" s="710">
        <f t="shared" si="519"/>
        <v>0</v>
      </c>
      <c r="AO267" s="711">
        <f t="shared" si="520"/>
        <v>0</v>
      </c>
      <c r="AP267" s="707">
        <f t="shared" si="521"/>
        <v>0</v>
      </c>
      <c r="AQ267" s="707">
        <f t="shared" si="522"/>
        <v>0</v>
      </c>
      <c r="AR267" s="707">
        <f t="shared" si="523"/>
        <v>0</v>
      </c>
      <c r="AS267" s="712">
        <f t="shared" si="524"/>
        <v>0</v>
      </c>
      <c r="AU267" s="1369"/>
      <c r="AV267" s="1559"/>
      <c r="AW267" s="1412" t="str">
        <f t="shared" si="472"/>
        <v>Price</v>
      </c>
      <c r="AX267" s="1413" t="str">
        <f t="shared" si="472"/>
        <v>Trade Waste</v>
      </c>
      <c r="AY267" s="1414" t="str">
        <f t="shared" si="473"/>
        <v>Variable</v>
      </c>
      <c r="AZ267" s="1415" t="str">
        <f t="shared" si="474"/>
        <v>-</v>
      </c>
      <c r="BA267" s="1415">
        <f t="shared" si="474"/>
        <v>0</v>
      </c>
      <c r="BB267" s="1415">
        <f t="shared" si="474"/>
        <v>-0.125</v>
      </c>
      <c r="BC267" s="1415">
        <f t="shared" si="475"/>
        <v>-0.1428571428571429</v>
      </c>
      <c r="BD267" s="1415">
        <f t="shared" si="476"/>
        <v>8.6666666666666661</v>
      </c>
      <c r="BE267" s="1415">
        <f t="shared" si="477"/>
        <v>-0.5862068965517242</v>
      </c>
      <c r="BF267" s="1415">
        <f t="shared" si="478"/>
        <v>-0.16666666666666663</v>
      </c>
      <c r="BG267" s="1416">
        <f t="shared" si="479"/>
        <v>-1</v>
      </c>
      <c r="BH267" s="1417" t="str">
        <f t="shared" si="480"/>
        <v>-</v>
      </c>
      <c r="BI267" s="1417" t="str">
        <f t="shared" si="481"/>
        <v>-</v>
      </c>
      <c r="BJ267" s="1417" t="str">
        <f t="shared" si="482"/>
        <v>-</v>
      </c>
      <c r="BK267" s="1417" t="str">
        <f t="shared" si="483"/>
        <v>-</v>
      </c>
      <c r="BL267" s="1418" t="str">
        <f t="shared" si="484"/>
        <v>-</v>
      </c>
      <c r="BM267" s="1417" t="str">
        <f t="shared" si="485"/>
        <v>-</v>
      </c>
      <c r="BN267" s="1417" t="str">
        <f t="shared" si="486"/>
        <v>-</v>
      </c>
      <c r="BO267" s="1417" t="str">
        <f t="shared" si="487"/>
        <v>-</v>
      </c>
      <c r="BP267" s="1417" t="str">
        <f t="shared" si="488"/>
        <v>-</v>
      </c>
      <c r="BQ267" s="1419" t="str">
        <f t="shared" si="489"/>
        <v>-</v>
      </c>
      <c r="BR267" s="1378"/>
      <c r="BS267" s="1420"/>
      <c r="BT267" s="1421"/>
      <c r="BU267" s="1422"/>
      <c r="BV267" s="1423"/>
      <c r="BW267" s="1378"/>
      <c r="BX267" s="1412" t="str">
        <f t="shared" si="490"/>
        <v>Price</v>
      </c>
      <c r="BY267" s="1413" t="str">
        <f t="shared" si="491"/>
        <v>Trade Waste</v>
      </c>
      <c r="BZ267" s="1414" t="str">
        <f t="shared" si="492"/>
        <v>Variable</v>
      </c>
      <c r="CA267" s="1424" t="str">
        <f t="shared" ref="CA267:CR267" si="533">IFERROR((P267/O267-1)*(O269/O$13),"-")</f>
        <v>-</v>
      </c>
      <c r="CB267" s="1415">
        <f t="shared" si="533"/>
        <v>0</v>
      </c>
      <c r="CC267" s="1415">
        <f t="shared" si="533"/>
        <v>-1.3160014097102218E-4</v>
      </c>
      <c r="CD267" s="1415">
        <f t="shared" si="533"/>
        <v>-1.3404103045007608E-4</v>
      </c>
      <c r="CE267" s="1415">
        <f t="shared" si="533"/>
        <v>7.214163888327998E-3</v>
      </c>
      <c r="CF267" s="1415">
        <f t="shared" si="533"/>
        <v>-4.5553285223177637E-3</v>
      </c>
      <c r="CG267" s="1415">
        <f t="shared" si="533"/>
        <v>-5.1010218444549524E-4</v>
      </c>
      <c r="CH267" s="1425">
        <f t="shared" si="533"/>
        <v>-2.4347034309518787E-3</v>
      </c>
      <c r="CI267" s="1417" t="str">
        <f t="shared" si="533"/>
        <v>-</v>
      </c>
      <c r="CJ267" s="1417" t="str">
        <f t="shared" si="533"/>
        <v>-</v>
      </c>
      <c r="CK267" s="1417" t="str">
        <f t="shared" si="533"/>
        <v>-</v>
      </c>
      <c r="CL267" s="1417" t="str">
        <f t="shared" si="533"/>
        <v>-</v>
      </c>
      <c r="CM267" s="1418" t="str">
        <f t="shared" si="533"/>
        <v>-</v>
      </c>
      <c r="CN267" s="1417" t="str">
        <f t="shared" si="533"/>
        <v>-</v>
      </c>
      <c r="CO267" s="1417" t="str">
        <f t="shared" si="533"/>
        <v>-</v>
      </c>
      <c r="CP267" s="1417" t="str">
        <f t="shared" si="533"/>
        <v>-</v>
      </c>
      <c r="CQ267" s="1417" t="str">
        <f t="shared" si="533"/>
        <v>-</v>
      </c>
      <c r="CR267" s="1419" t="str">
        <f t="shared" si="533"/>
        <v>-</v>
      </c>
      <c r="CS267" s="1378"/>
      <c r="CT267" s="1412" t="str">
        <f t="shared" si="469"/>
        <v>Price</v>
      </c>
      <c r="CU267" s="1413" t="str">
        <f t="shared" si="470"/>
        <v>Trade Waste</v>
      </c>
      <c r="CV267" s="1426" t="str">
        <f t="shared" si="471"/>
        <v>Variable</v>
      </c>
      <c r="CW267" s="1427" t="str">
        <f t="shared" si="494"/>
        <v>-</v>
      </c>
      <c r="CX267" s="1417" t="str">
        <f t="shared" si="495"/>
        <v>-</v>
      </c>
      <c r="CY267" s="1417" t="str">
        <f t="shared" si="496"/>
        <v>-</v>
      </c>
      <c r="CZ267" s="1419" t="str">
        <f t="shared" si="497"/>
        <v>-</v>
      </c>
      <c r="DA267" s="1417" t="str">
        <f t="shared" si="498"/>
        <v>-</v>
      </c>
      <c r="DB267" s="1417" t="str">
        <f t="shared" si="499"/>
        <v>-</v>
      </c>
      <c r="DC267" s="1417" t="str">
        <f t="shared" si="500"/>
        <v>-</v>
      </c>
      <c r="DD267" s="1417" t="str">
        <f t="shared" si="501"/>
        <v>-</v>
      </c>
      <c r="DE267" s="1419" t="str">
        <f t="shared" si="502"/>
        <v>-</v>
      </c>
      <c r="DF267" s="1378"/>
      <c r="DG267" s="1412" t="str">
        <f t="shared" si="503"/>
        <v>Price</v>
      </c>
      <c r="DH267" s="1413" t="str">
        <f t="shared" si="503"/>
        <v>Trade Waste</v>
      </c>
      <c r="DI267" s="1426" t="str">
        <f t="shared" si="503"/>
        <v>Variable</v>
      </c>
      <c r="DJ267" s="1426"/>
      <c r="DK267" s="1427" t="str">
        <f t="shared" si="504"/>
        <v>-</v>
      </c>
      <c r="DL267" s="1417" t="str">
        <f t="shared" si="505"/>
        <v>-</v>
      </c>
      <c r="DM267" s="1417" t="str">
        <f t="shared" si="506"/>
        <v>-</v>
      </c>
      <c r="DN267" s="1418" t="str">
        <f t="shared" si="507"/>
        <v>-</v>
      </c>
      <c r="DO267" s="1417" t="str">
        <f t="shared" si="508"/>
        <v>-</v>
      </c>
      <c r="DP267" s="1417" t="str">
        <f t="shared" si="509"/>
        <v>-</v>
      </c>
      <c r="DQ267" s="1417" t="str">
        <f t="shared" si="510"/>
        <v>-</v>
      </c>
      <c r="DR267" s="1419" t="str">
        <f t="shared" si="511"/>
        <v>-</v>
      </c>
    </row>
    <row r="268" spans="4:122">
      <c r="E268" s="742" t="s">
        <v>45</v>
      </c>
      <c r="F268" s="722" t="str">
        <f>+F267</f>
        <v>Trade Waste</v>
      </c>
      <c r="G268" s="723" t="str">
        <f>+G267</f>
        <v>Trade Waste Balancing Item</v>
      </c>
      <c r="H268" s="723">
        <f>+H267</f>
        <v>0</v>
      </c>
      <c r="I268" s="724" t="str">
        <f>+I267</f>
        <v>Variable</v>
      </c>
      <c r="J268" s="782" t="s">
        <v>323</v>
      </c>
      <c r="K268" s="1540"/>
      <c r="L268" s="1541"/>
      <c r="M268" s="1541"/>
      <c r="N268" s="1542"/>
      <c r="O268" s="2031"/>
      <c r="P268" s="1543">
        <v>1</v>
      </c>
      <c r="Q268" s="1543">
        <v>1</v>
      </c>
      <c r="R268" s="1543">
        <v>1</v>
      </c>
      <c r="S268" s="1543">
        <v>1</v>
      </c>
      <c r="T268" s="1543">
        <v>1</v>
      </c>
      <c r="U268" s="1543">
        <v>1</v>
      </c>
      <c r="V268" s="1543">
        <v>1</v>
      </c>
      <c r="W268" s="1543">
        <v>1</v>
      </c>
      <c r="X268" s="1544"/>
      <c r="Y268" s="1543"/>
      <c r="Z268" s="1543"/>
      <c r="AA268" s="1543"/>
      <c r="AB268" s="1543"/>
      <c r="AC268" s="1544"/>
      <c r="AD268" s="1543"/>
      <c r="AE268" s="1543"/>
      <c r="AF268" s="1543"/>
      <c r="AG268" s="788"/>
      <c r="AH268" s="697"/>
      <c r="AI268" s="707"/>
      <c r="AJ268" s="709">
        <f t="shared" si="515"/>
        <v>0</v>
      </c>
      <c r="AK268" s="710">
        <f t="shared" si="516"/>
        <v>0</v>
      </c>
      <c r="AL268" s="710">
        <f t="shared" si="517"/>
        <v>0</v>
      </c>
      <c r="AM268" s="710">
        <f t="shared" si="518"/>
        <v>0</v>
      </c>
      <c r="AN268" s="710">
        <f t="shared" si="519"/>
        <v>0</v>
      </c>
      <c r="AO268" s="711">
        <f t="shared" si="520"/>
        <v>0</v>
      </c>
      <c r="AP268" s="707">
        <f t="shared" si="521"/>
        <v>0</v>
      </c>
      <c r="AQ268" s="707">
        <f t="shared" si="522"/>
        <v>0</v>
      </c>
      <c r="AR268" s="707">
        <f t="shared" si="523"/>
        <v>0</v>
      </c>
      <c r="AS268" s="712">
        <f t="shared" si="524"/>
        <v>0</v>
      </c>
      <c r="AV268" s="1559"/>
      <c r="AW268" s="1392" t="str">
        <f t="shared" si="472"/>
        <v>Qty</v>
      </c>
      <c r="AX268" s="1393" t="str">
        <f t="shared" si="472"/>
        <v>Trade Waste</v>
      </c>
      <c r="AY268" s="1394" t="str">
        <f t="shared" si="473"/>
        <v>Variable</v>
      </c>
      <c r="AZ268" s="1395" t="str">
        <f t="shared" si="474"/>
        <v>-</v>
      </c>
      <c r="BA268" s="1395">
        <f t="shared" si="474"/>
        <v>0</v>
      </c>
      <c r="BB268" s="1395">
        <f t="shared" si="474"/>
        <v>0</v>
      </c>
      <c r="BC268" s="1395">
        <f t="shared" si="475"/>
        <v>0</v>
      </c>
      <c r="BD268" s="1395">
        <f t="shared" si="476"/>
        <v>0</v>
      </c>
      <c r="BE268" s="1395">
        <f t="shared" si="477"/>
        <v>0</v>
      </c>
      <c r="BF268" s="1395">
        <f t="shared" si="478"/>
        <v>0</v>
      </c>
      <c r="BG268" s="1396">
        <f t="shared" si="479"/>
        <v>0</v>
      </c>
      <c r="BH268" s="1395">
        <f t="shared" si="480"/>
        <v>-1</v>
      </c>
      <c r="BI268" s="1395" t="str">
        <f t="shared" si="481"/>
        <v>-</v>
      </c>
      <c r="BJ268" s="1395" t="str">
        <f t="shared" si="482"/>
        <v>-</v>
      </c>
      <c r="BK268" s="1395" t="str">
        <f t="shared" si="483"/>
        <v>-</v>
      </c>
      <c r="BL268" s="1397" t="str">
        <f t="shared" si="484"/>
        <v>-</v>
      </c>
      <c r="BM268" s="1395" t="str">
        <f t="shared" si="485"/>
        <v>-</v>
      </c>
      <c r="BN268" s="1395" t="str">
        <f t="shared" si="486"/>
        <v>-</v>
      </c>
      <c r="BO268" s="1395" t="str">
        <f t="shared" si="487"/>
        <v>-</v>
      </c>
      <c r="BP268" s="1395" t="str">
        <f t="shared" si="488"/>
        <v>-</v>
      </c>
      <c r="BQ268" s="1398" t="str">
        <f t="shared" si="489"/>
        <v>-</v>
      </c>
      <c r="BR268" s="1378"/>
      <c r="BS268" s="1329"/>
      <c r="BT268" s="1399"/>
      <c r="BU268" s="1331"/>
      <c r="BV268" s="1400"/>
      <c r="BW268" s="1378"/>
      <c r="BX268" s="1392" t="str">
        <f t="shared" si="490"/>
        <v>Qty</v>
      </c>
      <c r="BY268" s="1393" t="str">
        <f t="shared" si="491"/>
        <v>Trade Waste</v>
      </c>
      <c r="BZ268" s="1394" t="str">
        <f t="shared" si="492"/>
        <v>Variable</v>
      </c>
      <c r="CA268" s="1401" t="str">
        <f t="shared" ref="CA268:CR268" si="534">IFERROR((P268/O268-1)*(O269/O$13),"-")</f>
        <v>-</v>
      </c>
      <c r="CB268" s="1395">
        <f t="shared" si="534"/>
        <v>0</v>
      </c>
      <c r="CC268" s="1395">
        <f t="shared" si="534"/>
        <v>0</v>
      </c>
      <c r="CD268" s="1395">
        <f t="shared" si="534"/>
        <v>0</v>
      </c>
      <c r="CE268" s="1395">
        <f t="shared" si="534"/>
        <v>0</v>
      </c>
      <c r="CF268" s="1395">
        <f t="shared" si="534"/>
        <v>0</v>
      </c>
      <c r="CG268" s="1395">
        <f t="shared" si="534"/>
        <v>0</v>
      </c>
      <c r="CH268" s="1397">
        <f t="shared" si="534"/>
        <v>0</v>
      </c>
      <c r="CI268" s="1395">
        <f t="shared" si="534"/>
        <v>0</v>
      </c>
      <c r="CJ268" s="1395" t="str">
        <f t="shared" si="534"/>
        <v>-</v>
      </c>
      <c r="CK268" s="1395" t="str">
        <f t="shared" si="534"/>
        <v>-</v>
      </c>
      <c r="CL268" s="1395" t="str">
        <f t="shared" si="534"/>
        <v>-</v>
      </c>
      <c r="CM268" s="1397" t="str">
        <f t="shared" si="534"/>
        <v>-</v>
      </c>
      <c r="CN268" s="1395" t="str">
        <f t="shared" si="534"/>
        <v>-</v>
      </c>
      <c r="CO268" s="1395" t="str">
        <f t="shared" si="534"/>
        <v>-</v>
      </c>
      <c r="CP268" s="1395" t="str">
        <f t="shared" si="534"/>
        <v>-</v>
      </c>
      <c r="CQ268" s="1395" t="str">
        <f t="shared" si="534"/>
        <v>-</v>
      </c>
      <c r="CR268" s="1398" t="str">
        <f t="shared" si="534"/>
        <v>-</v>
      </c>
      <c r="CS268" s="1378"/>
      <c r="CT268" s="1392" t="str">
        <f t="shared" si="469"/>
        <v>Qty</v>
      </c>
      <c r="CU268" s="1393" t="str">
        <f t="shared" si="470"/>
        <v>Trade Waste</v>
      </c>
      <c r="CV268" s="1393" t="str">
        <f t="shared" si="471"/>
        <v>Variable</v>
      </c>
      <c r="CW268" s="1401">
        <f t="shared" si="494"/>
        <v>-1</v>
      </c>
      <c r="CX268" s="1395">
        <f t="shared" si="495"/>
        <v>-1</v>
      </c>
      <c r="CY268" s="1395">
        <f t="shared" si="496"/>
        <v>-1</v>
      </c>
      <c r="CZ268" s="1398">
        <f t="shared" si="497"/>
        <v>-1</v>
      </c>
      <c r="DA268" s="1395">
        <f t="shared" si="498"/>
        <v>-1</v>
      </c>
      <c r="DB268" s="1395">
        <f t="shared" si="499"/>
        <v>-1</v>
      </c>
      <c r="DC268" s="1395">
        <f t="shared" si="500"/>
        <v>-1</v>
      </c>
      <c r="DD268" s="1395">
        <f t="shared" si="501"/>
        <v>-1</v>
      </c>
      <c r="DE268" s="1398">
        <f t="shared" si="502"/>
        <v>-1</v>
      </c>
      <c r="DF268" s="1378"/>
      <c r="DG268" s="1392" t="str">
        <f t="shared" si="503"/>
        <v>Qty</v>
      </c>
      <c r="DH268" s="1393" t="str">
        <f t="shared" si="503"/>
        <v>Trade Waste</v>
      </c>
      <c r="DI268" s="1393" t="str">
        <f t="shared" si="503"/>
        <v>Variable</v>
      </c>
      <c r="DJ268" s="1393"/>
      <c r="DK268" s="1401" t="str">
        <f t="shared" si="504"/>
        <v>-</v>
      </c>
      <c r="DL268" s="1395" t="str">
        <f t="shared" si="505"/>
        <v>-</v>
      </c>
      <c r="DM268" s="1395" t="str">
        <f t="shared" si="506"/>
        <v>-</v>
      </c>
      <c r="DN268" s="1397" t="str">
        <f t="shared" si="507"/>
        <v>-</v>
      </c>
      <c r="DO268" s="1395" t="str">
        <f t="shared" si="508"/>
        <v>-</v>
      </c>
      <c r="DP268" s="1395" t="str">
        <f t="shared" si="509"/>
        <v>-</v>
      </c>
      <c r="DQ268" s="1395" t="str">
        <f t="shared" si="510"/>
        <v>-</v>
      </c>
      <c r="DR268" s="1398" t="str">
        <f t="shared" si="511"/>
        <v>-</v>
      </c>
    </row>
    <row r="269" spans="4:122" ht="12.75" thickBot="1">
      <c r="E269" s="743" t="s">
        <v>46</v>
      </c>
      <c r="F269" s="732" t="str">
        <f>+F267</f>
        <v>Trade Waste</v>
      </c>
      <c r="G269" s="733" t="str">
        <f>+G267</f>
        <v>Trade Waste Balancing Item</v>
      </c>
      <c r="H269" s="733">
        <f>+H267</f>
        <v>0</v>
      </c>
      <c r="I269" s="734" t="str">
        <f>+I267</f>
        <v>Variable</v>
      </c>
      <c r="J269" s="735" t="s">
        <v>344</v>
      </c>
      <c r="K269" s="736">
        <f t="shared" ref="K269:AG269" si="535">K267*K268/10^6</f>
        <v>0</v>
      </c>
      <c r="L269" s="737">
        <f t="shared" si="535"/>
        <v>0</v>
      </c>
      <c r="M269" s="737">
        <f t="shared" si="535"/>
        <v>0</v>
      </c>
      <c r="N269" s="738">
        <f t="shared" si="535"/>
        <v>0</v>
      </c>
      <c r="O269" s="1923">
        <f t="shared" si="535"/>
        <v>0</v>
      </c>
      <c r="P269" s="737">
        <f t="shared" si="535"/>
        <v>0.08</v>
      </c>
      <c r="Q269" s="737">
        <f t="shared" si="535"/>
        <v>0.08</v>
      </c>
      <c r="R269" s="737">
        <f t="shared" si="535"/>
        <v>7.0000000000000007E-2</v>
      </c>
      <c r="S269" s="737">
        <f t="shared" si="535"/>
        <v>0.06</v>
      </c>
      <c r="T269" s="1531">
        <f t="shared" si="535"/>
        <v>0.57999999999999996</v>
      </c>
      <c r="U269" s="737">
        <f t="shared" si="535"/>
        <v>0.24</v>
      </c>
      <c r="V269" s="737">
        <f t="shared" si="535"/>
        <v>0.2</v>
      </c>
      <c r="W269" s="737">
        <f t="shared" si="535"/>
        <v>0</v>
      </c>
      <c r="X269" s="738">
        <f t="shared" si="535"/>
        <v>0</v>
      </c>
      <c r="Y269" s="737">
        <f t="shared" si="535"/>
        <v>0</v>
      </c>
      <c r="Z269" s="737">
        <f t="shared" si="535"/>
        <v>0</v>
      </c>
      <c r="AA269" s="737">
        <f t="shared" si="535"/>
        <v>0</v>
      </c>
      <c r="AB269" s="737">
        <f t="shared" si="535"/>
        <v>0</v>
      </c>
      <c r="AC269" s="738">
        <f t="shared" si="535"/>
        <v>0</v>
      </c>
      <c r="AD269" s="737">
        <f t="shared" si="535"/>
        <v>0</v>
      </c>
      <c r="AE269" s="737">
        <f t="shared" si="535"/>
        <v>0</v>
      </c>
      <c r="AF269" s="737">
        <f t="shared" si="535"/>
        <v>0</v>
      </c>
      <c r="AG269" s="739">
        <f t="shared" si="535"/>
        <v>0</v>
      </c>
      <c r="AH269" s="697"/>
      <c r="AI269" s="707"/>
      <c r="AJ269" s="709">
        <f t="shared" si="515"/>
        <v>0</v>
      </c>
      <c r="AK269" s="710">
        <f t="shared" si="516"/>
        <v>0</v>
      </c>
      <c r="AL269" s="710">
        <f t="shared" si="517"/>
        <v>0</v>
      </c>
      <c r="AM269" s="710">
        <f t="shared" si="518"/>
        <v>0</v>
      </c>
      <c r="AN269" s="710">
        <f t="shared" si="519"/>
        <v>0</v>
      </c>
      <c r="AO269" s="711">
        <f t="shared" si="520"/>
        <v>0</v>
      </c>
      <c r="AP269" s="707">
        <f t="shared" si="521"/>
        <v>0</v>
      </c>
      <c r="AQ269" s="707">
        <f t="shared" si="522"/>
        <v>0</v>
      </c>
      <c r="AR269" s="707">
        <f t="shared" si="523"/>
        <v>0</v>
      </c>
      <c r="AS269" s="712">
        <f t="shared" si="524"/>
        <v>0</v>
      </c>
      <c r="AV269" s="1559"/>
      <c r="AW269" s="1428" t="str">
        <f t="shared" si="472"/>
        <v>Rev</v>
      </c>
      <c r="AX269" s="1429" t="str">
        <f t="shared" si="472"/>
        <v>Trade Waste</v>
      </c>
      <c r="AY269" s="1430" t="str">
        <f t="shared" si="473"/>
        <v>Variable</v>
      </c>
      <c r="AZ269" s="1431" t="str">
        <f t="shared" si="474"/>
        <v>-</v>
      </c>
      <c r="BA269" s="1431">
        <f t="shared" si="474"/>
        <v>0</v>
      </c>
      <c r="BB269" s="1431">
        <f t="shared" si="474"/>
        <v>-0.12499999999999989</v>
      </c>
      <c r="BC269" s="1431">
        <f t="shared" si="475"/>
        <v>-0.14285714285714302</v>
      </c>
      <c r="BD269" s="1431">
        <f t="shared" si="476"/>
        <v>8.6666666666666661</v>
      </c>
      <c r="BE269" s="1431">
        <f t="shared" si="477"/>
        <v>-0.5862068965517242</v>
      </c>
      <c r="BF269" s="1431">
        <f t="shared" si="478"/>
        <v>-0.16666666666666663</v>
      </c>
      <c r="BG269" s="1432">
        <f t="shared" si="479"/>
        <v>-1</v>
      </c>
      <c r="BH269" s="1431" t="str">
        <f t="shared" si="480"/>
        <v>-</v>
      </c>
      <c r="BI269" s="1431" t="str">
        <f t="shared" si="481"/>
        <v>-</v>
      </c>
      <c r="BJ269" s="1431" t="str">
        <f t="shared" si="482"/>
        <v>-</v>
      </c>
      <c r="BK269" s="1431" t="str">
        <f t="shared" si="483"/>
        <v>-</v>
      </c>
      <c r="BL269" s="1433" t="str">
        <f t="shared" si="484"/>
        <v>-</v>
      </c>
      <c r="BM269" s="1431" t="str">
        <f t="shared" si="485"/>
        <v>-</v>
      </c>
      <c r="BN269" s="1431" t="str">
        <f t="shared" si="486"/>
        <v>-</v>
      </c>
      <c r="BO269" s="1431" t="str">
        <f t="shared" si="487"/>
        <v>-</v>
      </c>
      <c r="BP269" s="1431" t="str">
        <f t="shared" si="488"/>
        <v>-</v>
      </c>
      <c r="BQ269" s="1434" t="str">
        <f t="shared" si="489"/>
        <v>-</v>
      </c>
      <c r="BR269" s="1378"/>
      <c r="BS269" s="1407"/>
      <c r="BT269" s="1408"/>
      <c r="BU269" s="1409"/>
      <c r="BV269" s="1410"/>
      <c r="BW269" s="1378"/>
      <c r="BX269" s="1428" t="str">
        <f t="shared" si="490"/>
        <v>Rev</v>
      </c>
      <c r="BY269" s="1429" t="str">
        <f t="shared" si="491"/>
        <v>Trade Waste</v>
      </c>
      <c r="BZ269" s="1430" t="str">
        <f t="shared" si="492"/>
        <v>Variable</v>
      </c>
      <c r="CA269" s="1435" t="str">
        <f t="shared" ref="CA269:CR269" si="536">IFERROR((P269/O269-1)*(O269/O$13),"-")</f>
        <v>-</v>
      </c>
      <c r="CB269" s="1431">
        <f t="shared" si="536"/>
        <v>0</v>
      </c>
      <c r="CC269" s="1431">
        <f t="shared" si="536"/>
        <v>-1.3160014097102207E-4</v>
      </c>
      <c r="CD269" s="1431">
        <f t="shared" si="536"/>
        <v>-1.3404103045007616E-4</v>
      </c>
      <c r="CE269" s="1431">
        <f t="shared" si="536"/>
        <v>7.214163888327998E-3</v>
      </c>
      <c r="CF269" s="1431">
        <f t="shared" si="536"/>
        <v>-4.5553285223177637E-3</v>
      </c>
      <c r="CG269" s="1431">
        <f t="shared" si="536"/>
        <v>-5.1010218444549524E-4</v>
      </c>
      <c r="CH269" s="1433">
        <f t="shared" si="536"/>
        <v>-2.4347034309518787E-3</v>
      </c>
      <c r="CI269" s="1431" t="str">
        <f t="shared" si="536"/>
        <v>-</v>
      </c>
      <c r="CJ269" s="1431" t="str">
        <f t="shared" si="536"/>
        <v>-</v>
      </c>
      <c r="CK269" s="1431" t="str">
        <f t="shared" si="536"/>
        <v>-</v>
      </c>
      <c r="CL269" s="1431" t="str">
        <f t="shared" si="536"/>
        <v>-</v>
      </c>
      <c r="CM269" s="1433" t="str">
        <f t="shared" si="536"/>
        <v>-</v>
      </c>
      <c r="CN269" s="1431" t="str">
        <f t="shared" si="536"/>
        <v>-</v>
      </c>
      <c r="CO269" s="1431" t="str">
        <f t="shared" si="536"/>
        <v>-</v>
      </c>
      <c r="CP269" s="1431" t="str">
        <f t="shared" si="536"/>
        <v>-</v>
      </c>
      <c r="CQ269" s="1431" t="str">
        <f t="shared" si="536"/>
        <v>-</v>
      </c>
      <c r="CR269" s="1434" t="str">
        <f t="shared" si="536"/>
        <v>-</v>
      </c>
      <c r="CS269" s="1378"/>
      <c r="CT269" s="1428" t="str">
        <f t="shared" si="469"/>
        <v>Rev</v>
      </c>
      <c r="CU269" s="1429" t="str">
        <f t="shared" si="470"/>
        <v>Trade Waste</v>
      </c>
      <c r="CV269" s="1429" t="str">
        <f t="shared" si="471"/>
        <v>Variable</v>
      </c>
      <c r="CW269" s="1435" t="str">
        <f t="shared" si="494"/>
        <v>-</v>
      </c>
      <c r="CX269" s="1431" t="str">
        <f t="shared" si="495"/>
        <v>-</v>
      </c>
      <c r="CY269" s="1431" t="str">
        <f t="shared" si="496"/>
        <v>-</v>
      </c>
      <c r="CZ269" s="1434" t="str">
        <f t="shared" si="497"/>
        <v>-</v>
      </c>
      <c r="DA269" s="1431" t="str">
        <f t="shared" si="498"/>
        <v>-</v>
      </c>
      <c r="DB269" s="1431" t="str">
        <f t="shared" si="499"/>
        <v>-</v>
      </c>
      <c r="DC269" s="1431" t="str">
        <f t="shared" si="500"/>
        <v>-</v>
      </c>
      <c r="DD269" s="1431" t="str">
        <f t="shared" si="501"/>
        <v>-</v>
      </c>
      <c r="DE269" s="1434" t="str">
        <f t="shared" si="502"/>
        <v>-</v>
      </c>
      <c r="DF269" s="1378"/>
      <c r="DG269" s="1428" t="str">
        <f t="shared" si="503"/>
        <v>Rev</v>
      </c>
      <c r="DH269" s="1429" t="str">
        <f t="shared" si="503"/>
        <v>Trade Waste</v>
      </c>
      <c r="DI269" s="1429" t="str">
        <f t="shared" si="503"/>
        <v>Variable</v>
      </c>
      <c r="DJ269" s="1429"/>
      <c r="DK269" s="1435" t="str">
        <f t="shared" si="504"/>
        <v>-</v>
      </c>
      <c r="DL269" s="1431" t="str">
        <f t="shared" si="505"/>
        <v>-</v>
      </c>
      <c r="DM269" s="1431" t="str">
        <f t="shared" si="506"/>
        <v>-</v>
      </c>
      <c r="DN269" s="1433" t="str">
        <f t="shared" si="507"/>
        <v>-</v>
      </c>
      <c r="DO269" s="1431" t="str">
        <f t="shared" si="508"/>
        <v>-</v>
      </c>
      <c r="DP269" s="1431" t="str">
        <f t="shared" si="509"/>
        <v>-</v>
      </c>
      <c r="DQ269" s="1431" t="str">
        <f t="shared" si="510"/>
        <v>-</v>
      </c>
      <c r="DR269" s="1434" t="str">
        <f t="shared" si="511"/>
        <v>-</v>
      </c>
    </row>
    <row r="270" spans="4:122">
      <c r="D270" s="70">
        <f>D267+1</f>
        <v>69</v>
      </c>
      <c r="E270" s="713" t="s">
        <v>44</v>
      </c>
      <c r="F270" s="1532" t="s">
        <v>20</v>
      </c>
      <c r="G270" s="1532" t="s">
        <v>927</v>
      </c>
      <c r="H270" s="1532"/>
      <c r="I270" s="781" t="s">
        <v>319</v>
      </c>
      <c r="J270" s="781" t="s">
        <v>345</v>
      </c>
      <c r="K270" s="1533"/>
      <c r="L270" s="1534"/>
      <c r="M270" s="1534"/>
      <c r="N270" s="1535"/>
      <c r="O270" s="2071"/>
      <c r="P270" s="1547"/>
      <c r="Q270" s="1547"/>
      <c r="R270" s="1547"/>
      <c r="S270" s="1547"/>
      <c r="T270" s="1547"/>
      <c r="U270" s="1547"/>
      <c r="V270" s="1547"/>
      <c r="W270" s="1547"/>
      <c r="X270" s="1548"/>
      <c r="Y270" s="1547"/>
      <c r="Z270" s="1547"/>
      <c r="AA270" s="1547"/>
      <c r="AB270" s="1547"/>
      <c r="AC270" s="1548"/>
      <c r="AD270" s="1547"/>
      <c r="AE270" s="1547"/>
      <c r="AF270" s="1547"/>
      <c r="AG270" s="785"/>
      <c r="AH270" s="697"/>
      <c r="AI270" s="707"/>
      <c r="AJ270" s="709">
        <f t="shared" si="515"/>
        <v>0</v>
      </c>
      <c r="AK270" s="710">
        <f t="shared" si="516"/>
        <v>0</v>
      </c>
      <c r="AL270" s="710">
        <f t="shared" si="517"/>
        <v>0</v>
      </c>
      <c r="AM270" s="710">
        <f t="shared" si="518"/>
        <v>0</v>
      </c>
      <c r="AN270" s="710">
        <f t="shared" si="519"/>
        <v>0</v>
      </c>
      <c r="AO270" s="711">
        <f t="shared" si="520"/>
        <v>0</v>
      </c>
      <c r="AP270" s="707">
        <f t="shared" si="521"/>
        <v>0</v>
      </c>
      <c r="AQ270" s="707">
        <f t="shared" si="522"/>
        <v>0</v>
      </c>
      <c r="AR270" s="707">
        <f t="shared" si="523"/>
        <v>0</v>
      </c>
      <c r="AS270" s="712">
        <f t="shared" si="524"/>
        <v>0</v>
      </c>
      <c r="AU270" s="1369"/>
      <c r="AV270" s="1559"/>
      <c r="AW270" s="1412" t="str">
        <f t="shared" si="472"/>
        <v>Price</v>
      </c>
      <c r="AX270" s="1413" t="str">
        <f t="shared" si="472"/>
        <v>Water</v>
      </c>
      <c r="AY270" s="1414" t="str">
        <f t="shared" si="473"/>
        <v>Fixed</v>
      </c>
      <c r="AZ270" s="1415" t="str">
        <f t="shared" si="474"/>
        <v>-</v>
      </c>
      <c r="BA270" s="1415" t="str">
        <f t="shared" si="474"/>
        <v>-</v>
      </c>
      <c r="BB270" s="1415" t="str">
        <f t="shared" si="474"/>
        <v>-</v>
      </c>
      <c r="BC270" s="1415" t="str">
        <f t="shared" si="475"/>
        <v>-</v>
      </c>
      <c r="BD270" s="1415" t="str">
        <f t="shared" si="476"/>
        <v>-</v>
      </c>
      <c r="BE270" s="1415" t="str">
        <f t="shared" si="477"/>
        <v>-</v>
      </c>
      <c r="BF270" s="1415" t="str">
        <f t="shared" si="478"/>
        <v>-</v>
      </c>
      <c r="BG270" s="1416" t="str">
        <f t="shared" si="479"/>
        <v>-</v>
      </c>
      <c r="BH270" s="1417" t="str">
        <f t="shared" si="480"/>
        <v>-</v>
      </c>
      <c r="BI270" s="1417" t="str">
        <f t="shared" si="481"/>
        <v>-</v>
      </c>
      <c r="BJ270" s="1417" t="str">
        <f t="shared" si="482"/>
        <v>-</v>
      </c>
      <c r="BK270" s="1417" t="str">
        <f t="shared" si="483"/>
        <v>-</v>
      </c>
      <c r="BL270" s="1418" t="str">
        <f t="shared" si="484"/>
        <v>-</v>
      </c>
      <c r="BM270" s="1417" t="str">
        <f t="shared" si="485"/>
        <v>-</v>
      </c>
      <c r="BN270" s="1417" t="str">
        <f t="shared" si="486"/>
        <v>-</v>
      </c>
      <c r="BO270" s="1417" t="str">
        <f t="shared" si="487"/>
        <v>-</v>
      </c>
      <c r="BP270" s="1417" t="str">
        <f t="shared" si="488"/>
        <v>-</v>
      </c>
      <c r="BQ270" s="1419" t="str">
        <f t="shared" si="489"/>
        <v>-</v>
      </c>
      <c r="BR270" s="1378"/>
      <c r="BS270" s="1420"/>
      <c r="BT270" s="1421"/>
      <c r="BU270" s="1422"/>
      <c r="BV270" s="1423"/>
      <c r="BW270" s="1378"/>
      <c r="BX270" s="1412" t="str">
        <f t="shared" si="490"/>
        <v>Price</v>
      </c>
      <c r="BY270" s="1413" t="str">
        <f t="shared" si="491"/>
        <v>Water</v>
      </c>
      <c r="BZ270" s="1414" t="str">
        <f t="shared" si="492"/>
        <v>Fixed</v>
      </c>
      <c r="CA270" s="1424" t="str">
        <f t="shared" ref="CA270:CR270" si="537">IFERROR((P270/O270-1)*(O272/O$13),"-")</f>
        <v>-</v>
      </c>
      <c r="CB270" s="1415" t="str">
        <f t="shared" si="537"/>
        <v>-</v>
      </c>
      <c r="CC270" s="1415" t="str">
        <f t="shared" si="537"/>
        <v>-</v>
      </c>
      <c r="CD270" s="1415" t="str">
        <f t="shared" si="537"/>
        <v>-</v>
      </c>
      <c r="CE270" s="1415" t="str">
        <f t="shared" si="537"/>
        <v>-</v>
      </c>
      <c r="CF270" s="1415" t="str">
        <f t="shared" si="537"/>
        <v>-</v>
      </c>
      <c r="CG270" s="1415" t="str">
        <f t="shared" si="537"/>
        <v>-</v>
      </c>
      <c r="CH270" s="1425" t="str">
        <f t="shared" si="537"/>
        <v>-</v>
      </c>
      <c r="CI270" s="1417" t="str">
        <f t="shared" si="537"/>
        <v>-</v>
      </c>
      <c r="CJ270" s="1417" t="str">
        <f t="shared" si="537"/>
        <v>-</v>
      </c>
      <c r="CK270" s="1417" t="str">
        <f t="shared" si="537"/>
        <v>-</v>
      </c>
      <c r="CL270" s="1417" t="str">
        <f t="shared" si="537"/>
        <v>-</v>
      </c>
      <c r="CM270" s="1418" t="str">
        <f t="shared" si="537"/>
        <v>-</v>
      </c>
      <c r="CN270" s="1417" t="str">
        <f t="shared" si="537"/>
        <v>-</v>
      </c>
      <c r="CO270" s="1417" t="str">
        <f t="shared" si="537"/>
        <v>-</v>
      </c>
      <c r="CP270" s="1417" t="str">
        <f t="shared" si="537"/>
        <v>-</v>
      </c>
      <c r="CQ270" s="1417" t="str">
        <f t="shared" si="537"/>
        <v>-</v>
      </c>
      <c r="CR270" s="1419" t="str">
        <f t="shared" si="537"/>
        <v>-</v>
      </c>
      <c r="CS270" s="1378"/>
      <c r="CT270" s="1412" t="str">
        <f t="shared" si="469"/>
        <v>Price</v>
      </c>
      <c r="CU270" s="1413" t="str">
        <f t="shared" si="470"/>
        <v>Water</v>
      </c>
      <c r="CV270" s="1426" t="str">
        <f t="shared" si="471"/>
        <v>Fixed</v>
      </c>
      <c r="CW270" s="1427" t="str">
        <f t="shared" si="494"/>
        <v>-</v>
      </c>
      <c r="CX270" s="1417" t="str">
        <f t="shared" si="495"/>
        <v>-</v>
      </c>
      <c r="CY270" s="1417" t="str">
        <f t="shared" si="496"/>
        <v>-</v>
      </c>
      <c r="CZ270" s="1419" t="str">
        <f t="shared" si="497"/>
        <v>-</v>
      </c>
      <c r="DA270" s="1417" t="str">
        <f t="shared" si="498"/>
        <v>-</v>
      </c>
      <c r="DB270" s="1417" t="str">
        <f t="shared" si="499"/>
        <v>-</v>
      </c>
      <c r="DC270" s="1417" t="str">
        <f t="shared" si="500"/>
        <v>-</v>
      </c>
      <c r="DD270" s="1417" t="str">
        <f t="shared" si="501"/>
        <v>-</v>
      </c>
      <c r="DE270" s="1419" t="str">
        <f t="shared" si="502"/>
        <v>-</v>
      </c>
      <c r="DF270" s="1378"/>
      <c r="DG270" s="1412" t="str">
        <f t="shared" si="503"/>
        <v>Price</v>
      </c>
      <c r="DH270" s="1413" t="str">
        <f t="shared" si="503"/>
        <v>Water</v>
      </c>
      <c r="DI270" s="1426" t="str">
        <f t="shared" si="503"/>
        <v>Fixed</v>
      </c>
      <c r="DJ270" s="1426"/>
      <c r="DK270" s="1427" t="str">
        <f t="shared" si="504"/>
        <v>-</v>
      </c>
      <c r="DL270" s="1417" t="str">
        <f t="shared" si="505"/>
        <v>-</v>
      </c>
      <c r="DM270" s="1417" t="str">
        <f t="shared" si="506"/>
        <v>-</v>
      </c>
      <c r="DN270" s="1418" t="str">
        <f t="shared" si="507"/>
        <v>-</v>
      </c>
      <c r="DO270" s="1417" t="str">
        <f t="shared" si="508"/>
        <v>-</v>
      </c>
      <c r="DP270" s="1417" t="str">
        <f t="shared" si="509"/>
        <v>-</v>
      </c>
      <c r="DQ270" s="1417" t="str">
        <f t="shared" si="510"/>
        <v>-</v>
      </c>
      <c r="DR270" s="1419" t="str">
        <f t="shared" si="511"/>
        <v>-</v>
      </c>
    </row>
    <row r="271" spans="4:122">
      <c r="E271" s="742" t="s">
        <v>45</v>
      </c>
      <c r="F271" s="722" t="str">
        <f>+F270</f>
        <v>Water</v>
      </c>
      <c r="G271" s="723" t="str">
        <f>+G270</f>
        <v>Fixed Charges 2012-13 50mm</v>
      </c>
      <c r="H271" s="723">
        <f>+H270</f>
        <v>0</v>
      </c>
      <c r="I271" s="724" t="str">
        <f>+I270</f>
        <v>Fixed</v>
      </c>
      <c r="J271" s="782" t="s">
        <v>323</v>
      </c>
      <c r="K271" s="1540"/>
      <c r="L271" s="1541"/>
      <c r="M271" s="1541"/>
      <c r="N271" s="1542"/>
      <c r="O271" s="2031"/>
      <c r="P271" s="1543"/>
      <c r="Q271" s="1543"/>
      <c r="R271" s="1543"/>
      <c r="S271" s="1543"/>
      <c r="T271" s="1543"/>
      <c r="U271" s="1543"/>
      <c r="V271" s="1543"/>
      <c r="W271" s="1543"/>
      <c r="X271" s="1544"/>
      <c r="Y271" s="1543"/>
      <c r="Z271" s="1543"/>
      <c r="AA271" s="1543"/>
      <c r="AB271" s="1543"/>
      <c r="AC271" s="1544"/>
      <c r="AD271" s="1543"/>
      <c r="AE271" s="1543"/>
      <c r="AF271" s="1543"/>
      <c r="AG271" s="788"/>
      <c r="AH271" s="697"/>
      <c r="AI271" s="707"/>
      <c r="AJ271" s="709">
        <f t="shared" si="515"/>
        <v>0</v>
      </c>
      <c r="AK271" s="710">
        <f t="shared" si="516"/>
        <v>0</v>
      </c>
      <c r="AL271" s="710">
        <f t="shared" si="517"/>
        <v>0</v>
      </c>
      <c r="AM271" s="710">
        <f t="shared" si="518"/>
        <v>0</v>
      </c>
      <c r="AN271" s="710">
        <f t="shared" si="519"/>
        <v>0</v>
      </c>
      <c r="AO271" s="711">
        <f t="shared" si="520"/>
        <v>0</v>
      </c>
      <c r="AP271" s="707">
        <f t="shared" si="521"/>
        <v>0</v>
      </c>
      <c r="AQ271" s="707">
        <f t="shared" si="522"/>
        <v>0</v>
      </c>
      <c r="AR271" s="707">
        <f t="shared" si="523"/>
        <v>0</v>
      </c>
      <c r="AS271" s="712">
        <f t="shared" si="524"/>
        <v>0</v>
      </c>
      <c r="AV271" s="1559"/>
      <c r="AW271" s="1392" t="str">
        <f t="shared" si="472"/>
        <v>Qty</v>
      </c>
      <c r="AX271" s="1393" t="str">
        <f t="shared" si="472"/>
        <v>Water</v>
      </c>
      <c r="AY271" s="1394" t="str">
        <f t="shared" si="473"/>
        <v>Fixed</v>
      </c>
      <c r="AZ271" s="1395" t="str">
        <f t="shared" si="474"/>
        <v>-</v>
      </c>
      <c r="BA271" s="1395" t="str">
        <f t="shared" si="474"/>
        <v>-</v>
      </c>
      <c r="BB271" s="1395" t="str">
        <f t="shared" si="474"/>
        <v>-</v>
      </c>
      <c r="BC271" s="1395" t="str">
        <f t="shared" si="475"/>
        <v>-</v>
      </c>
      <c r="BD271" s="1395" t="str">
        <f t="shared" si="476"/>
        <v>-</v>
      </c>
      <c r="BE271" s="1395" t="str">
        <f t="shared" si="477"/>
        <v>-</v>
      </c>
      <c r="BF271" s="1395" t="str">
        <f t="shared" si="478"/>
        <v>-</v>
      </c>
      <c r="BG271" s="1396" t="str">
        <f t="shared" si="479"/>
        <v>-</v>
      </c>
      <c r="BH271" s="1395" t="str">
        <f t="shared" si="480"/>
        <v>-</v>
      </c>
      <c r="BI271" s="1395" t="str">
        <f t="shared" si="481"/>
        <v>-</v>
      </c>
      <c r="BJ271" s="1395" t="str">
        <f t="shared" si="482"/>
        <v>-</v>
      </c>
      <c r="BK271" s="1395" t="str">
        <f t="shared" si="483"/>
        <v>-</v>
      </c>
      <c r="BL271" s="1397" t="str">
        <f t="shared" si="484"/>
        <v>-</v>
      </c>
      <c r="BM271" s="1395" t="str">
        <f t="shared" si="485"/>
        <v>-</v>
      </c>
      <c r="BN271" s="1395" t="str">
        <f t="shared" si="486"/>
        <v>-</v>
      </c>
      <c r="BO271" s="1395" t="str">
        <f t="shared" si="487"/>
        <v>-</v>
      </c>
      <c r="BP271" s="1395" t="str">
        <f t="shared" si="488"/>
        <v>-</v>
      </c>
      <c r="BQ271" s="1398" t="str">
        <f t="shared" si="489"/>
        <v>-</v>
      </c>
      <c r="BR271" s="1378"/>
      <c r="BS271" s="1329"/>
      <c r="BT271" s="1399"/>
      <c r="BU271" s="1331"/>
      <c r="BV271" s="1400"/>
      <c r="BW271" s="1378"/>
      <c r="BX271" s="1392" t="str">
        <f t="shared" si="490"/>
        <v>Qty</v>
      </c>
      <c r="BY271" s="1393" t="str">
        <f t="shared" si="491"/>
        <v>Water</v>
      </c>
      <c r="BZ271" s="1394" t="str">
        <f t="shared" si="492"/>
        <v>Fixed</v>
      </c>
      <c r="CA271" s="1401" t="str">
        <f t="shared" ref="CA271:CR271" si="538">IFERROR((P271/O271-1)*(O272/O$13),"-")</f>
        <v>-</v>
      </c>
      <c r="CB271" s="1395" t="str">
        <f t="shared" si="538"/>
        <v>-</v>
      </c>
      <c r="CC271" s="1395" t="str">
        <f t="shared" si="538"/>
        <v>-</v>
      </c>
      <c r="CD271" s="1395" t="str">
        <f t="shared" si="538"/>
        <v>-</v>
      </c>
      <c r="CE271" s="1395" t="str">
        <f t="shared" si="538"/>
        <v>-</v>
      </c>
      <c r="CF271" s="1395" t="str">
        <f t="shared" si="538"/>
        <v>-</v>
      </c>
      <c r="CG271" s="1395" t="str">
        <f t="shared" si="538"/>
        <v>-</v>
      </c>
      <c r="CH271" s="1397" t="str">
        <f t="shared" si="538"/>
        <v>-</v>
      </c>
      <c r="CI271" s="1395" t="str">
        <f t="shared" si="538"/>
        <v>-</v>
      </c>
      <c r="CJ271" s="1395" t="str">
        <f t="shared" si="538"/>
        <v>-</v>
      </c>
      <c r="CK271" s="1395" t="str">
        <f t="shared" si="538"/>
        <v>-</v>
      </c>
      <c r="CL271" s="1395" t="str">
        <f t="shared" si="538"/>
        <v>-</v>
      </c>
      <c r="CM271" s="1397" t="str">
        <f t="shared" si="538"/>
        <v>-</v>
      </c>
      <c r="CN271" s="1395" t="str">
        <f t="shared" si="538"/>
        <v>-</v>
      </c>
      <c r="CO271" s="1395" t="str">
        <f t="shared" si="538"/>
        <v>-</v>
      </c>
      <c r="CP271" s="1395" t="str">
        <f t="shared" si="538"/>
        <v>-</v>
      </c>
      <c r="CQ271" s="1395" t="str">
        <f t="shared" si="538"/>
        <v>-</v>
      </c>
      <c r="CR271" s="1398" t="str">
        <f t="shared" si="538"/>
        <v>-</v>
      </c>
      <c r="CS271" s="1378"/>
      <c r="CT271" s="1392" t="str">
        <f t="shared" si="469"/>
        <v>Qty</v>
      </c>
      <c r="CU271" s="1393" t="str">
        <f t="shared" si="470"/>
        <v>Water</v>
      </c>
      <c r="CV271" s="1393" t="str">
        <f t="shared" si="471"/>
        <v>Fixed</v>
      </c>
      <c r="CW271" s="1401" t="str">
        <f t="shared" si="494"/>
        <v>-</v>
      </c>
      <c r="CX271" s="1395" t="str">
        <f t="shared" si="495"/>
        <v>-</v>
      </c>
      <c r="CY271" s="1395" t="str">
        <f t="shared" si="496"/>
        <v>-</v>
      </c>
      <c r="CZ271" s="1398" t="str">
        <f t="shared" si="497"/>
        <v>-</v>
      </c>
      <c r="DA271" s="1395" t="str">
        <f t="shared" si="498"/>
        <v>-</v>
      </c>
      <c r="DB271" s="1395" t="str">
        <f t="shared" si="499"/>
        <v>-</v>
      </c>
      <c r="DC271" s="1395" t="str">
        <f t="shared" si="500"/>
        <v>-</v>
      </c>
      <c r="DD271" s="1395" t="str">
        <f t="shared" si="501"/>
        <v>-</v>
      </c>
      <c r="DE271" s="1398" t="str">
        <f t="shared" si="502"/>
        <v>-</v>
      </c>
      <c r="DF271" s="1378"/>
      <c r="DG271" s="1392" t="str">
        <f t="shared" si="503"/>
        <v>Qty</v>
      </c>
      <c r="DH271" s="1393" t="str">
        <f t="shared" si="503"/>
        <v>Water</v>
      </c>
      <c r="DI271" s="1393" t="str">
        <f t="shared" si="503"/>
        <v>Fixed</v>
      </c>
      <c r="DJ271" s="1393"/>
      <c r="DK271" s="1401" t="str">
        <f t="shared" si="504"/>
        <v>-</v>
      </c>
      <c r="DL271" s="1395" t="str">
        <f t="shared" si="505"/>
        <v>-</v>
      </c>
      <c r="DM271" s="1395" t="str">
        <f t="shared" si="506"/>
        <v>-</v>
      </c>
      <c r="DN271" s="1397" t="str">
        <f t="shared" si="507"/>
        <v>-</v>
      </c>
      <c r="DO271" s="1395" t="str">
        <f t="shared" si="508"/>
        <v>-</v>
      </c>
      <c r="DP271" s="1395" t="str">
        <f t="shared" si="509"/>
        <v>-</v>
      </c>
      <c r="DQ271" s="1395" t="str">
        <f t="shared" si="510"/>
        <v>-</v>
      </c>
      <c r="DR271" s="1398" t="str">
        <f t="shared" si="511"/>
        <v>-</v>
      </c>
    </row>
    <row r="272" spans="4:122" ht="12.75" thickBot="1">
      <c r="E272" s="743" t="s">
        <v>46</v>
      </c>
      <c r="F272" s="732" t="str">
        <f>+F270</f>
        <v>Water</v>
      </c>
      <c r="G272" s="733" t="str">
        <f>+G270</f>
        <v>Fixed Charges 2012-13 50mm</v>
      </c>
      <c r="H272" s="733">
        <f>+H270</f>
        <v>0</v>
      </c>
      <c r="I272" s="734" t="str">
        <f>+I270</f>
        <v>Fixed</v>
      </c>
      <c r="J272" s="735" t="s">
        <v>344</v>
      </c>
      <c r="K272" s="736">
        <f t="shared" ref="K272:AG272" si="539">K270*K271/10^6</f>
        <v>0</v>
      </c>
      <c r="L272" s="737">
        <f t="shared" si="539"/>
        <v>0</v>
      </c>
      <c r="M272" s="737">
        <f t="shared" si="539"/>
        <v>0</v>
      </c>
      <c r="N272" s="738">
        <f t="shared" si="539"/>
        <v>0</v>
      </c>
      <c r="O272" s="1923">
        <f t="shared" si="539"/>
        <v>0</v>
      </c>
      <c r="P272" s="737">
        <f t="shared" si="539"/>
        <v>0</v>
      </c>
      <c r="Q272" s="737">
        <f t="shared" si="539"/>
        <v>0</v>
      </c>
      <c r="R272" s="737">
        <f t="shared" si="539"/>
        <v>0</v>
      </c>
      <c r="S272" s="737">
        <f t="shared" si="539"/>
        <v>0</v>
      </c>
      <c r="T272" s="1531">
        <f t="shared" si="539"/>
        <v>0</v>
      </c>
      <c r="U272" s="737">
        <f t="shared" si="539"/>
        <v>0</v>
      </c>
      <c r="V272" s="737">
        <f t="shared" si="539"/>
        <v>0</v>
      </c>
      <c r="W272" s="737">
        <f t="shared" si="539"/>
        <v>0</v>
      </c>
      <c r="X272" s="738">
        <f t="shared" si="539"/>
        <v>0</v>
      </c>
      <c r="Y272" s="737">
        <f t="shared" si="539"/>
        <v>0</v>
      </c>
      <c r="Z272" s="737">
        <f t="shared" si="539"/>
        <v>0</v>
      </c>
      <c r="AA272" s="737">
        <f t="shared" si="539"/>
        <v>0</v>
      </c>
      <c r="AB272" s="737">
        <f t="shared" si="539"/>
        <v>0</v>
      </c>
      <c r="AC272" s="738">
        <f t="shared" si="539"/>
        <v>0</v>
      </c>
      <c r="AD272" s="737">
        <f t="shared" si="539"/>
        <v>0</v>
      </c>
      <c r="AE272" s="737">
        <f t="shared" si="539"/>
        <v>0</v>
      </c>
      <c r="AF272" s="737">
        <f t="shared" si="539"/>
        <v>0</v>
      </c>
      <c r="AG272" s="739">
        <f t="shared" si="539"/>
        <v>0</v>
      </c>
      <c r="AH272" s="697"/>
      <c r="AI272" s="707"/>
      <c r="AJ272" s="709">
        <f t="shared" si="515"/>
        <v>0</v>
      </c>
      <c r="AK272" s="710">
        <f t="shared" si="516"/>
        <v>0</v>
      </c>
      <c r="AL272" s="710">
        <f t="shared" si="517"/>
        <v>0</v>
      </c>
      <c r="AM272" s="710">
        <f t="shared" si="518"/>
        <v>0</v>
      </c>
      <c r="AN272" s="710">
        <f t="shared" si="519"/>
        <v>0</v>
      </c>
      <c r="AO272" s="711">
        <f t="shared" si="520"/>
        <v>0</v>
      </c>
      <c r="AP272" s="707">
        <f t="shared" si="521"/>
        <v>0</v>
      </c>
      <c r="AQ272" s="707">
        <f t="shared" si="522"/>
        <v>0</v>
      </c>
      <c r="AR272" s="707">
        <f t="shared" si="523"/>
        <v>0</v>
      </c>
      <c r="AS272" s="712">
        <f t="shared" si="524"/>
        <v>0</v>
      </c>
      <c r="AV272" s="1559"/>
      <c r="AW272" s="1428" t="str">
        <f t="shared" si="472"/>
        <v>Rev</v>
      </c>
      <c r="AX272" s="1429" t="str">
        <f t="shared" si="472"/>
        <v>Water</v>
      </c>
      <c r="AY272" s="1430" t="str">
        <f t="shared" si="473"/>
        <v>Fixed</v>
      </c>
      <c r="AZ272" s="1431" t="str">
        <f t="shared" si="474"/>
        <v>-</v>
      </c>
      <c r="BA272" s="1431" t="str">
        <f t="shared" si="474"/>
        <v>-</v>
      </c>
      <c r="BB272" s="1431" t="str">
        <f t="shared" si="474"/>
        <v>-</v>
      </c>
      <c r="BC272" s="1431" t="str">
        <f t="shared" si="475"/>
        <v>-</v>
      </c>
      <c r="BD272" s="1431" t="str">
        <f t="shared" si="476"/>
        <v>-</v>
      </c>
      <c r="BE272" s="1431" t="str">
        <f t="shared" si="477"/>
        <v>-</v>
      </c>
      <c r="BF272" s="1431" t="str">
        <f t="shared" si="478"/>
        <v>-</v>
      </c>
      <c r="BG272" s="1432" t="str">
        <f t="shared" si="479"/>
        <v>-</v>
      </c>
      <c r="BH272" s="1431" t="str">
        <f t="shared" si="480"/>
        <v>-</v>
      </c>
      <c r="BI272" s="1431" t="str">
        <f t="shared" si="481"/>
        <v>-</v>
      </c>
      <c r="BJ272" s="1431" t="str">
        <f t="shared" si="482"/>
        <v>-</v>
      </c>
      <c r="BK272" s="1431" t="str">
        <f t="shared" si="483"/>
        <v>-</v>
      </c>
      <c r="BL272" s="1433" t="str">
        <f t="shared" si="484"/>
        <v>-</v>
      </c>
      <c r="BM272" s="1431" t="str">
        <f t="shared" si="485"/>
        <v>-</v>
      </c>
      <c r="BN272" s="1431" t="str">
        <f t="shared" si="486"/>
        <v>-</v>
      </c>
      <c r="BO272" s="1431" t="str">
        <f t="shared" si="487"/>
        <v>-</v>
      </c>
      <c r="BP272" s="1431" t="str">
        <f t="shared" si="488"/>
        <v>-</v>
      </c>
      <c r="BQ272" s="1434" t="str">
        <f t="shared" si="489"/>
        <v>-</v>
      </c>
      <c r="BR272" s="1378"/>
      <c r="BS272" s="1407"/>
      <c r="BT272" s="1408"/>
      <c r="BU272" s="1409"/>
      <c r="BV272" s="1410"/>
      <c r="BW272" s="1378"/>
      <c r="BX272" s="1428" t="str">
        <f t="shared" si="490"/>
        <v>Rev</v>
      </c>
      <c r="BY272" s="1429" t="str">
        <f t="shared" si="491"/>
        <v>Water</v>
      </c>
      <c r="BZ272" s="1430" t="str">
        <f t="shared" si="492"/>
        <v>Fixed</v>
      </c>
      <c r="CA272" s="1435" t="str">
        <f t="shared" ref="CA272:CR272" si="540">IFERROR((P272/O272-1)*(O272/O$13),"-")</f>
        <v>-</v>
      </c>
      <c r="CB272" s="1431" t="str">
        <f t="shared" si="540"/>
        <v>-</v>
      </c>
      <c r="CC272" s="1431" t="str">
        <f t="shared" si="540"/>
        <v>-</v>
      </c>
      <c r="CD272" s="1431" t="str">
        <f t="shared" si="540"/>
        <v>-</v>
      </c>
      <c r="CE272" s="1431" t="str">
        <f t="shared" si="540"/>
        <v>-</v>
      </c>
      <c r="CF272" s="1431" t="str">
        <f t="shared" si="540"/>
        <v>-</v>
      </c>
      <c r="CG272" s="1431" t="str">
        <f t="shared" si="540"/>
        <v>-</v>
      </c>
      <c r="CH272" s="1433" t="str">
        <f t="shared" si="540"/>
        <v>-</v>
      </c>
      <c r="CI272" s="1431" t="str">
        <f t="shared" si="540"/>
        <v>-</v>
      </c>
      <c r="CJ272" s="1431" t="str">
        <f t="shared" si="540"/>
        <v>-</v>
      </c>
      <c r="CK272" s="1431" t="str">
        <f t="shared" si="540"/>
        <v>-</v>
      </c>
      <c r="CL272" s="1431" t="str">
        <f t="shared" si="540"/>
        <v>-</v>
      </c>
      <c r="CM272" s="1433" t="str">
        <f t="shared" si="540"/>
        <v>-</v>
      </c>
      <c r="CN272" s="1431" t="str">
        <f t="shared" si="540"/>
        <v>-</v>
      </c>
      <c r="CO272" s="1431" t="str">
        <f t="shared" si="540"/>
        <v>-</v>
      </c>
      <c r="CP272" s="1431" t="str">
        <f t="shared" si="540"/>
        <v>-</v>
      </c>
      <c r="CQ272" s="1431" t="str">
        <f t="shared" si="540"/>
        <v>-</v>
      </c>
      <c r="CR272" s="1434" t="str">
        <f t="shared" si="540"/>
        <v>-</v>
      </c>
      <c r="CS272" s="1378"/>
      <c r="CT272" s="1428" t="str">
        <f t="shared" si="469"/>
        <v>Rev</v>
      </c>
      <c r="CU272" s="1429" t="str">
        <f t="shared" si="470"/>
        <v>Water</v>
      </c>
      <c r="CV272" s="1429" t="str">
        <f t="shared" si="471"/>
        <v>Fixed</v>
      </c>
      <c r="CW272" s="1435" t="str">
        <f t="shared" si="494"/>
        <v>-</v>
      </c>
      <c r="CX272" s="1431" t="str">
        <f t="shared" si="495"/>
        <v>-</v>
      </c>
      <c r="CY272" s="1431" t="str">
        <f t="shared" si="496"/>
        <v>-</v>
      </c>
      <c r="CZ272" s="1434" t="str">
        <f t="shared" si="497"/>
        <v>-</v>
      </c>
      <c r="DA272" s="1431" t="str">
        <f t="shared" si="498"/>
        <v>-</v>
      </c>
      <c r="DB272" s="1431" t="str">
        <f t="shared" si="499"/>
        <v>-</v>
      </c>
      <c r="DC272" s="1431" t="str">
        <f t="shared" si="500"/>
        <v>-</v>
      </c>
      <c r="DD272" s="1431" t="str">
        <f t="shared" si="501"/>
        <v>-</v>
      </c>
      <c r="DE272" s="1434" t="str">
        <f t="shared" si="502"/>
        <v>-</v>
      </c>
      <c r="DF272" s="1378"/>
      <c r="DG272" s="1428" t="str">
        <f t="shared" si="503"/>
        <v>Rev</v>
      </c>
      <c r="DH272" s="1429" t="str">
        <f t="shared" si="503"/>
        <v>Water</v>
      </c>
      <c r="DI272" s="1429" t="str">
        <f t="shared" si="503"/>
        <v>Fixed</v>
      </c>
      <c r="DJ272" s="1429"/>
      <c r="DK272" s="1435" t="str">
        <f t="shared" si="504"/>
        <v>-</v>
      </c>
      <c r="DL272" s="1431" t="str">
        <f t="shared" si="505"/>
        <v>-</v>
      </c>
      <c r="DM272" s="1431" t="str">
        <f t="shared" si="506"/>
        <v>-</v>
      </c>
      <c r="DN272" s="1433" t="str">
        <f t="shared" si="507"/>
        <v>-</v>
      </c>
      <c r="DO272" s="1431" t="str">
        <f t="shared" si="508"/>
        <v>-</v>
      </c>
      <c r="DP272" s="1431" t="str">
        <f t="shared" si="509"/>
        <v>-</v>
      </c>
      <c r="DQ272" s="1431" t="str">
        <f t="shared" si="510"/>
        <v>-</v>
      </c>
      <c r="DR272" s="1434" t="str">
        <f t="shared" si="511"/>
        <v>-</v>
      </c>
    </row>
    <row r="273" spans="4:122">
      <c r="D273" s="70">
        <f>D270+1</f>
        <v>70</v>
      </c>
      <c r="E273" s="713" t="s">
        <v>44</v>
      </c>
      <c r="F273" s="1532" t="s">
        <v>20</v>
      </c>
      <c r="G273" s="1532" t="s">
        <v>928</v>
      </c>
      <c r="H273" s="1532"/>
      <c r="I273" s="781" t="s">
        <v>319</v>
      </c>
      <c r="J273" s="781" t="s">
        <v>345</v>
      </c>
      <c r="K273" s="1533"/>
      <c r="L273" s="1534"/>
      <c r="M273" s="1534"/>
      <c r="N273" s="1535"/>
      <c r="O273" s="2071"/>
      <c r="P273" s="1547"/>
      <c r="Q273" s="1547"/>
      <c r="R273" s="1547"/>
      <c r="S273" s="1547"/>
      <c r="T273" s="1547"/>
      <c r="U273" s="1547"/>
      <c r="V273" s="1547"/>
      <c r="W273" s="1547"/>
      <c r="X273" s="1548"/>
      <c r="Y273" s="1547"/>
      <c r="Z273" s="1547"/>
      <c r="AA273" s="1547"/>
      <c r="AB273" s="1547"/>
      <c r="AC273" s="1548"/>
      <c r="AD273" s="1547"/>
      <c r="AE273" s="1547"/>
      <c r="AF273" s="1547"/>
      <c r="AG273" s="785"/>
      <c r="AH273" s="697"/>
      <c r="AI273" s="707"/>
      <c r="AJ273" s="709">
        <f t="shared" si="515"/>
        <v>0</v>
      </c>
      <c r="AK273" s="710">
        <f t="shared" si="516"/>
        <v>0</v>
      </c>
      <c r="AL273" s="710">
        <f t="shared" si="517"/>
        <v>0</v>
      </c>
      <c r="AM273" s="710">
        <f t="shared" si="518"/>
        <v>0</v>
      </c>
      <c r="AN273" s="710">
        <f t="shared" si="519"/>
        <v>0</v>
      </c>
      <c r="AO273" s="711">
        <f t="shared" si="520"/>
        <v>0</v>
      </c>
      <c r="AP273" s="707">
        <f t="shared" si="521"/>
        <v>0</v>
      </c>
      <c r="AQ273" s="707">
        <f t="shared" si="522"/>
        <v>0</v>
      </c>
      <c r="AR273" s="707">
        <f t="shared" si="523"/>
        <v>0</v>
      </c>
      <c r="AS273" s="712">
        <f t="shared" si="524"/>
        <v>0</v>
      </c>
      <c r="AU273" s="1369"/>
      <c r="AV273" s="1559"/>
      <c r="AW273" s="1412" t="str">
        <f t="shared" si="472"/>
        <v>Price</v>
      </c>
      <c r="AX273" s="1413" t="str">
        <f t="shared" si="472"/>
        <v>Water</v>
      </c>
      <c r="AY273" s="1414" t="str">
        <f t="shared" si="473"/>
        <v>Fixed</v>
      </c>
      <c r="AZ273" s="1415" t="str">
        <f t="shared" si="474"/>
        <v>-</v>
      </c>
      <c r="BA273" s="1415" t="str">
        <f t="shared" si="474"/>
        <v>-</v>
      </c>
      <c r="BB273" s="1415" t="str">
        <f t="shared" si="474"/>
        <v>-</v>
      </c>
      <c r="BC273" s="1415" t="str">
        <f t="shared" si="475"/>
        <v>-</v>
      </c>
      <c r="BD273" s="1415" t="str">
        <f t="shared" si="476"/>
        <v>-</v>
      </c>
      <c r="BE273" s="1415" t="str">
        <f t="shared" si="477"/>
        <v>-</v>
      </c>
      <c r="BF273" s="1415" t="str">
        <f t="shared" si="478"/>
        <v>-</v>
      </c>
      <c r="BG273" s="1416" t="str">
        <f t="shared" si="479"/>
        <v>-</v>
      </c>
      <c r="BH273" s="1417" t="str">
        <f t="shared" si="480"/>
        <v>-</v>
      </c>
      <c r="BI273" s="1417" t="str">
        <f t="shared" si="481"/>
        <v>-</v>
      </c>
      <c r="BJ273" s="1417" t="str">
        <f t="shared" si="482"/>
        <v>-</v>
      </c>
      <c r="BK273" s="1417" t="str">
        <f t="shared" si="483"/>
        <v>-</v>
      </c>
      <c r="BL273" s="1418" t="str">
        <f t="shared" si="484"/>
        <v>-</v>
      </c>
      <c r="BM273" s="1417" t="str">
        <f t="shared" si="485"/>
        <v>-</v>
      </c>
      <c r="BN273" s="1417" t="str">
        <f t="shared" si="486"/>
        <v>-</v>
      </c>
      <c r="BO273" s="1417" t="str">
        <f t="shared" si="487"/>
        <v>-</v>
      </c>
      <c r="BP273" s="1417" t="str">
        <f t="shared" si="488"/>
        <v>-</v>
      </c>
      <c r="BQ273" s="1419" t="str">
        <f t="shared" si="489"/>
        <v>-</v>
      </c>
      <c r="BR273" s="1378"/>
      <c r="BS273" s="1420"/>
      <c r="BT273" s="1421"/>
      <c r="BU273" s="1422"/>
      <c r="BV273" s="1423"/>
      <c r="BW273" s="1378"/>
      <c r="BX273" s="1412" t="str">
        <f t="shared" si="490"/>
        <v>Price</v>
      </c>
      <c r="BY273" s="1413" t="str">
        <f t="shared" si="491"/>
        <v>Water</v>
      </c>
      <c r="BZ273" s="1414" t="str">
        <f t="shared" si="492"/>
        <v>Fixed</v>
      </c>
      <c r="CA273" s="1424" t="str">
        <f t="shared" ref="CA273:CR273" si="541">IFERROR((P273/O273-1)*(O275/O$13),"-")</f>
        <v>-</v>
      </c>
      <c r="CB273" s="1415" t="str">
        <f t="shared" si="541"/>
        <v>-</v>
      </c>
      <c r="CC273" s="1415" t="str">
        <f t="shared" si="541"/>
        <v>-</v>
      </c>
      <c r="CD273" s="1415" t="str">
        <f t="shared" si="541"/>
        <v>-</v>
      </c>
      <c r="CE273" s="1415" t="str">
        <f t="shared" si="541"/>
        <v>-</v>
      </c>
      <c r="CF273" s="1415" t="str">
        <f t="shared" si="541"/>
        <v>-</v>
      </c>
      <c r="CG273" s="1415" t="str">
        <f t="shared" si="541"/>
        <v>-</v>
      </c>
      <c r="CH273" s="1425" t="str">
        <f t="shared" si="541"/>
        <v>-</v>
      </c>
      <c r="CI273" s="1417" t="str">
        <f t="shared" si="541"/>
        <v>-</v>
      </c>
      <c r="CJ273" s="1417" t="str">
        <f t="shared" si="541"/>
        <v>-</v>
      </c>
      <c r="CK273" s="1417" t="str">
        <f t="shared" si="541"/>
        <v>-</v>
      </c>
      <c r="CL273" s="1417" t="str">
        <f t="shared" si="541"/>
        <v>-</v>
      </c>
      <c r="CM273" s="1418" t="str">
        <f t="shared" si="541"/>
        <v>-</v>
      </c>
      <c r="CN273" s="1417" t="str">
        <f t="shared" si="541"/>
        <v>-</v>
      </c>
      <c r="CO273" s="1417" t="str">
        <f t="shared" si="541"/>
        <v>-</v>
      </c>
      <c r="CP273" s="1417" t="str">
        <f t="shared" si="541"/>
        <v>-</v>
      </c>
      <c r="CQ273" s="1417" t="str">
        <f t="shared" si="541"/>
        <v>-</v>
      </c>
      <c r="CR273" s="1419" t="str">
        <f t="shared" si="541"/>
        <v>-</v>
      </c>
      <c r="CS273" s="1378"/>
      <c r="CT273" s="1412" t="str">
        <f t="shared" si="469"/>
        <v>Price</v>
      </c>
      <c r="CU273" s="1413" t="str">
        <f t="shared" si="470"/>
        <v>Water</v>
      </c>
      <c r="CV273" s="1426" t="str">
        <f t="shared" si="471"/>
        <v>Fixed</v>
      </c>
      <c r="CW273" s="1427" t="str">
        <f t="shared" si="494"/>
        <v>-</v>
      </c>
      <c r="CX273" s="1417" t="str">
        <f t="shared" si="495"/>
        <v>-</v>
      </c>
      <c r="CY273" s="1417" t="str">
        <f t="shared" si="496"/>
        <v>-</v>
      </c>
      <c r="CZ273" s="1419" t="str">
        <f t="shared" si="497"/>
        <v>-</v>
      </c>
      <c r="DA273" s="1417" t="str">
        <f t="shared" si="498"/>
        <v>-</v>
      </c>
      <c r="DB273" s="1417" t="str">
        <f t="shared" si="499"/>
        <v>-</v>
      </c>
      <c r="DC273" s="1417" t="str">
        <f t="shared" si="500"/>
        <v>-</v>
      </c>
      <c r="DD273" s="1417" t="str">
        <f t="shared" si="501"/>
        <v>-</v>
      </c>
      <c r="DE273" s="1419" t="str">
        <f t="shared" si="502"/>
        <v>-</v>
      </c>
      <c r="DF273" s="1378"/>
      <c r="DG273" s="1412" t="str">
        <f t="shared" si="503"/>
        <v>Price</v>
      </c>
      <c r="DH273" s="1413" t="str">
        <f t="shared" si="503"/>
        <v>Water</v>
      </c>
      <c r="DI273" s="1426" t="str">
        <f t="shared" si="503"/>
        <v>Fixed</v>
      </c>
      <c r="DJ273" s="1426"/>
      <c r="DK273" s="1427" t="str">
        <f t="shared" si="504"/>
        <v>-</v>
      </c>
      <c r="DL273" s="1417" t="str">
        <f t="shared" si="505"/>
        <v>-</v>
      </c>
      <c r="DM273" s="1417" t="str">
        <f t="shared" si="506"/>
        <v>-</v>
      </c>
      <c r="DN273" s="1418" t="str">
        <f t="shared" si="507"/>
        <v>-</v>
      </c>
      <c r="DO273" s="1417" t="str">
        <f t="shared" si="508"/>
        <v>-</v>
      </c>
      <c r="DP273" s="1417" t="str">
        <f t="shared" si="509"/>
        <v>-</v>
      </c>
      <c r="DQ273" s="1417" t="str">
        <f t="shared" si="510"/>
        <v>-</v>
      </c>
      <c r="DR273" s="1419" t="str">
        <f t="shared" si="511"/>
        <v>-</v>
      </c>
    </row>
    <row r="274" spans="4:122">
      <c r="E274" s="742" t="s">
        <v>45</v>
      </c>
      <c r="F274" s="722" t="str">
        <f>+F273</f>
        <v>Water</v>
      </c>
      <c r="G274" s="723" t="str">
        <f>+G273</f>
        <v>Fixed Charges 2012-13 80mm</v>
      </c>
      <c r="H274" s="723">
        <f>+H273</f>
        <v>0</v>
      </c>
      <c r="I274" s="724" t="str">
        <f>+I273</f>
        <v>Fixed</v>
      </c>
      <c r="J274" s="782" t="s">
        <v>323</v>
      </c>
      <c r="K274" s="1540"/>
      <c r="L274" s="1541"/>
      <c r="M274" s="1541"/>
      <c r="N274" s="1542"/>
      <c r="O274" s="2031"/>
      <c r="P274" s="1543"/>
      <c r="Q274" s="1543"/>
      <c r="R274" s="1543"/>
      <c r="S274" s="1543"/>
      <c r="T274" s="1543"/>
      <c r="U274" s="1543"/>
      <c r="V274" s="1543"/>
      <c r="W274" s="1543"/>
      <c r="X274" s="1544"/>
      <c r="Y274" s="1543"/>
      <c r="Z274" s="1543"/>
      <c r="AA274" s="1543"/>
      <c r="AB274" s="1543"/>
      <c r="AC274" s="1544"/>
      <c r="AD274" s="1543"/>
      <c r="AE274" s="1543"/>
      <c r="AF274" s="1543"/>
      <c r="AG274" s="788"/>
      <c r="AH274" s="697"/>
      <c r="AI274" s="707"/>
      <c r="AJ274" s="709">
        <f t="shared" si="515"/>
        <v>0</v>
      </c>
      <c r="AK274" s="710">
        <f t="shared" si="516"/>
        <v>0</v>
      </c>
      <c r="AL274" s="710">
        <f t="shared" si="517"/>
        <v>0</v>
      </c>
      <c r="AM274" s="710">
        <f t="shared" si="518"/>
        <v>0</v>
      </c>
      <c r="AN274" s="710">
        <f t="shared" si="519"/>
        <v>0</v>
      </c>
      <c r="AO274" s="711">
        <f t="shared" si="520"/>
        <v>0</v>
      </c>
      <c r="AP274" s="707">
        <f t="shared" si="521"/>
        <v>0</v>
      </c>
      <c r="AQ274" s="707">
        <f t="shared" si="522"/>
        <v>0</v>
      </c>
      <c r="AR274" s="707">
        <f t="shared" si="523"/>
        <v>0</v>
      </c>
      <c r="AS274" s="712">
        <f t="shared" si="524"/>
        <v>0</v>
      </c>
      <c r="AV274" s="1559"/>
      <c r="AW274" s="1392" t="str">
        <f t="shared" si="472"/>
        <v>Qty</v>
      </c>
      <c r="AX274" s="1393" t="str">
        <f t="shared" si="472"/>
        <v>Water</v>
      </c>
      <c r="AY274" s="1394" t="str">
        <f t="shared" si="473"/>
        <v>Fixed</v>
      </c>
      <c r="AZ274" s="1395" t="str">
        <f t="shared" ref="AZ274:BB289" si="542">IFERROR(P274/O274-1,"-")</f>
        <v>-</v>
      </c>
      <c r="BA274" s="1395" t="str">
        <f t="shared" si="542"/>
        <v>-</v>
      </c>
      <c r="BB274" s="1395" t="str">
        <f t="shared" si="542"/>
        <v>-</v>
      </c>
      <c r="BC274" s="1395" t="str">
        <f t="shared" si="475"/>
        <v>-</v>
      </c>
      <c r="BD274" s="1395" t="str">
        <f t="shared" si="476"/>
        <v>-</v>
      </c>
      <c r="BE274" s="1395" t="str">
        <f t="shared" si="477"/>
        <v>-</v>
      </c>
      <c r="BF274" s="1395" t="str">
        <f t="shared" si="478"/>
        <v>-</v>
      </c>
      <c r="BG274" s="1396" t="str">
        <f t="shared" si="479"/>
        <v>-</v>
      </c>
      <c r="BH274" s="1395" t="str">
        <f t="shared" si="480"/>
        <v>-</v>
      </c>
      <c r="BI274" s="1395" t="str">
        <f t="shared" si="481"/>
        <v>-</v>
      </c>
      <c r="BJ274" s="1395" t="str">
        <f t="shared" si="482"/>
        <v>-</v>
      </c>
      <c r="BK274" s="1395" t="str">
        <f t="shared" si="483"/>
        <v>-</v>
      </c>
      <c r="BL274" s="1397" t="str">
        <f t="shared" si="484"/>
        <v>-</v>
      </c>
      <c r="BM274" s="1395" t="str">
        <f t="shared" si="485"/>
        <v>-</v>
      </c>
      <c r="BN274" s="1395" t="str">
        <f t="shared" si="486"/>
        <v>-</v>
      </c>
      <c r="BO274" s="1395" t="str">
        <f t="shared" si="487"/>
        <v>-</v>
      </c>
      <c r="BP274" s="1395" t="str">
        <f t="shared" si="488"/>
        <v>-</v>
      </c>
      <c r="BQ274" s="1398" t="str">
        <f t="shared" si="489"/>
        <v>-</v>
      </c>
      <c r="BR274" s="1378"/>
      <c r="BS274" s="1329"/>
      <c r="BT274" s="1399"/>
      <c r="BU274" s="1331"/>
      <c r="BV274" s="1400"/>
      <c r="BW274" s="1378"/>
      <c r="BX274" s="1392" t="str">
        <f t="shared" si="490"/>
        <v>Qty</v>
      </c>
      <c r="BY274" s="1393" t="str">
        <f t="shared" si="491"/>
        <v>Water</v>
      </c>
      <c r="BZ274" s="1394" t="str">
        <f t="shared" si="492"/>
        <v>Fixed</v>
      </c>
      <c r="CA274" s="1401" t="str">
        <f t="shared" ref="CA274:CR274" si="543">IFERROR((P274/O274-1)*(O275/O$13),"-")</f>
        <v>-</v>
      </c>
      <c r="CB274" s="1395" t="str">
        <f t="shared" si="543"/>
        <v>-</v>
      </c>
      <c r="CC274" s="1395" t="str">
        <f t="shared" si="543"/>
        <v>-</v>
      </c>
      <c r="CD274" s="1395" t="str">
        <f t="shared" si="543"/>
        <v>-</v>
      </c>
      <c r="CE274" s="1395" t="str">
        <f t="shared" si="543"/>
        <v>-</v>
      </c>
      <c r="CF274" s="1395" t="str">
        <f t="shared" si="543"/>
        <v>-</v>
      </c>
      <c r="CG274" s="1395" t="str">
        <f t="shared" si="543"/>
        <v>-</v>
      </c>
      <c r="CH274" s="1397" t="str">
        <f t="shared" si="543"/>
        <v>-</v>
      </c>
      <c r="CI274" s="1395" t="str">
        <f t="shared" si="543"/>
        <v>-</v>
      </c>
      <c r="CJ274" s="1395" t="str">
        <f t="shared" si="543"/>
        <v>-</v>
      </c>
      <c r="CK274" s="1395" t="str">
        <f t="shared" si="543"/>
        <v>-</v>
      </c>
      <c r="CL274" s="1395" t="str">
        <f t="shared" si="543"/>
        <v>-</v>
      </c>
      <c r="CM274" s="1397" t="str">
        <f t="shared" si="543"/>
        <v>-</v>
      </c>
      <c r="CN274" s="1395" t="str">
        <f t="shared" si="543"/>
        <v>-</v>
      </c>
      <c r="CO274" s="1395" t="str">
        <f t="shared" si="543"/>
        <v>-</v>
      </c>
      <c r="CP274" s="1395" t="str">
        <f t="shared" si="543"/>
        <v>-</v>
      </c>
      <c r="CQ274" s="1395" t="str">
        <f t="shared" si="543"/>
        <v>-</v>
      </c>
      <c r="CR274" s="1398" t="str">
        <f t="shared" si="543"/>
        <v>-</v>
      </c>
      <c r="CS274" s="1378"/>
      <c r="CT274" s="1392" t="str">
        <f t="shared" si="469"/>
        <v>Qty</v>
      </c>
      <c r="CU274" s="1393" t="str">
        <f t="shared" si="470"/>
        <v>Water</v>
      </c>
      <c r="CV274" s="1393" t="str">
        <f t="shared" si="471"/>
        <v>Fixed</v>
      </c>
      <c r="CW274" s="1401" t="str">
        <f t="shared" si="494"/>
        <v>-</v>
      </c>
      <c r="CX274" s="1395" t="str">
        <f t="shared" si="495"/>
        <v>-</v>
      </c>
      <c r="CY274" s="1395" t="str">
        <f t="shared" si="496"/>
        <v>-</v>
      </c>
      <c r="CZ274" s="1398" t="str">
        <f t="shared" si="497"/>
        <v>-</v>
      </c>
      <c r="DA274" s="1395" t="str">
        <f t="shared" si="498"/>
        <v>-</v>
      </c>
      <c r="DB274" s="1395" t="str">
        <f t="shared" si="499"/>
        <v>-</v>
      </c>
      <c r="DC274" s="1395" t="str">
        <f t="shared" si="500"/>
        <v>-</v>
      </c>
      <c r="DD274" s="1395" t="str">
        <f t="shared" si="501"/>
        <v>-</v>
      </c>
      <c r="DE274" s="1398" t="str">
        <f t="shared" si="502"/>
        <v>-</v>
      </c>
      <c r="DF274" s="1378"/>
      <c r="DG274" s="1392" t="str">
        <f t="shared" si="503"/>
        <v>Qty</v>
      </c>
      <c r="DH274" s="1393" t="str">
        <f t="shared" si="503"/>
        <v>Water</v>
      </c>
      <c r="DI274" s="1393" t="str">
        <f t="shared" si="503"/>
        <v>Fixed</v>
      </c>
      <c r="DJ274" s="1393"/>
      <c r="DK274" s="1401" t="str">
        <f t="shared" si="504"/>
        <v>-</v>
      </c>
      <c r="DL274" s="1395" t="str">
        <f t="shared" si="505"/>
        <v>-</v>
      </c>
      <c r="DM274" s="1395" t="str">
        <f t="shared" si="506"/>
        <v>-</v>
      </c>
      <c r="DN274" s="1397" t="str">
        <f t="shared" si="507"/>
        <v>-</v>
      </c>
      <c r="DO274" s="1395" t="str">
        <f t="shared" si="508"/>
        <v>-</v>
      </c>
      <c r="DP274" s="1395" t="str">
        <f t="shared" si="509"/>
        <v>-</v>
      </c>
      <c r="DQ274" s="1395" t="str">
        <f t="shared" si="510"/>
        <v>-</v>
      </c>
      <c r="DR274" s="1398" t="str">
        <f t="shared" si="511"/>
        <v>-</v>
      </c>
    </row>
    <row r="275" spans="4:122" ht="12.75" thickBot="1">
      <c r="E275" s="743" t="s">
        <v>46</v>
      </c>
      <c r="F275" s="732" t="str">
        <f>+F273</f>
        <v>Water</v>
      </c>
      <c r="G275" s="733" t="str">
        <f>+G273</f>
        <v>Fixed Charges 2012-13 80mm</v>
      </c>
      <c r="H275" s="733">
        <f>+H273</f>
        <v>0</v>
      </c>
      <c r="I275" s="734" t="str">
        <f>+I273</f>
        <v>Fixed</v>
      </c>
      <c r="J275" s="735" t="s">
        <v>344</v>
      </c>
      <c r="K275" s="736">
        <f t="shared" ref="K275:AG275" si="544">K273*K274/10^6</f>
        <v>0</v>
      </c>
      <c r="L275" s="737">
        <f t="shared" si="544"/>
        <v>0</v>
      </c>
      <c r="M275" s="737">
        <f t="shared" si="544"/>
        <v>0</v>
      </c>
      <c r="N275" s="738">
        <f t="shared" si="544"/>
        <v>0</v>
      </c>
      <c r="O275" s="1923">
        <f t="shared" si="544"/>
        <v>0</v>
      </c>
      <c r="P275" s="737">
        <f t="shared" si="544"/>
        <v>0</v>
      </c>
      <c r="Q275" s="737">
        <f t="shared" si="544"/>
        <v>0</v>
      </c>
      <c r="R275" s="737">
        <f t="shared" si="544"/>
        <v>0</v>
      </c>
      <c r="S275" s="737">
        <f t="shared" si="544"/>
        <v>0</v>
      </c>
      <c r="T275" s="1531">
        <f t="shared" si="544"/>
        <v>0</v>
      </c>
      <c r="U275" s="737">
        <f t="shared" si="544"/>
        <v>0</v>
      </c>
      <c r="V275" s="737">
        <f t="shared" si="544"/>
        <v>0</v>
      </c>
      <c r="W275" s="737">
        <f t="shared" si="544"/>
        <v>0</v>
      </c>
      <c r="X275" s="738">
        <f t="shared" si="544"/>
        <v>0</v>
      </c>
      <c r="Y275" s="737">
        <f t="shared" si="544"/>
        <v>0</v>
      </c>
      <c r="Z275" s="737">
        <f t="shared" si="544"/>
        <v>0</v>
      </c>
      <c r="AA275" s="737">
        <f t="shared" si="544"/>
        <v>0</v>
      </c>
      <c r="AB275" s="737">
        <f t="shared" si="544"/>
        <v>0</v>
      </c>
      <c r="AC275" s="738">
        <f t="shared" si="544"/>
        <v>0</v>
      </c>
      <c r="AD275" s="737">
        <f t="shared" si="544"/>
        <v>0</v>
      </c>
      <c r="AE275" s="737">
        <f t="shared" si="544"/>
        <v>0</v>
      </c>
      <c r="AF275" s="737">
        <f t="shared" si="544"/>
        <v>0</v>
      </c>
      <c r="AG275" s="739">
        <f t="shared" si="544"/>
        <v>0</v>
      </c>
      <c r="AH275" s="697"/>
      <c r="AI275" s="707"/>
      <c r="AJ275" s="709">
        <f t="shared" si="515"/>
        <v>0</v>
      </c>
      <c r="AK275" s="710">
        <f t="shared" si="516"/>
        <v>0</v>
      </c>
      <c r="AL275" s="710">
        <f t="shared" si="517"/>
        <v>0</v>
      </c>
      <c r="AM275" s="710">
        <f t="shared" si="518"/>
        <v>0</v>
      </c>
      <c r="AN275" s="710">
        <f t="shared" si="519"/>
        <v>0</v>
      </c>
      <c r="AO275" s="711">
        <f t="shared" si="520"/>
        <v>0</v>
      </c>
      <c r="AP275" s="707">
        <f t="shared" si="521"/>
        <v>0</v>
      </c>
      <c r="AQ275" s="707">
        <f t="shared" si="522"/>
        <v>0</v>
      </c>
      <c r="AR275" s="707">
        <f t="shared" si="523"/>
        <v>0</v>
      </c>
      <c r="AS275" s="712">
        <f t="shared" si="524"/>
        <v>0</v>
      </c>
      <c r="AV275" s="1559"/>
      <c r="AW275" s="1428" t="str">
        <f t="shared" si="472"/>
        <v>Rev</v>
      </c>
      <c r="AX275" s="1429" t="str">
        <f t="shared" si="472"/>
        <v>Water</v>
      </c>
      <c r="AY275" s="1430" t="str">
        <f t="shared" si="473"/>
        <v>Fixed</v>
      </c>
      <c r="AZ275" s="1431" t="str">
        <f t="shared" si="542"/>
        <v>-</v>
      </c>
      <c r="BA275" s="1431" t="str">
        <f t="shared" si="542"/>
        <v>-</v>
      </c>
      <c r="BB275" s="1431" t="str">
        <f t="shared" si="542"/>
        <v>-</v>
      </c>
      <c r="BC275" s="1431" t="str">
        <f t="shared" si="475"/>
        <v>-</v>
      </c>
      <c r="BD275" s="1431" t="str">
        <f t="shared" si="476"/>
        <v>-</v>
      </c>
      <c r="BE275" s="1431" t="str">
        <f t="shared" si="477"/>
        <v>-</v>
      </c>
      <c r="BF275" s="1431" t="str">
        <f t="shared" si="478"/>
        <v>-</v>
      </c>
      <c r="BG275" s="1432" t="str">
        <f t="shared" si="479"/>
        <v>-</v>
      </c>
      <c r="BH275" s="1431" t="str">
        <f t="shared" si="480"/>
        <v>-</v>
      </c>
      <c r="BI275" s="1431" t="str">
        <f t="shared" si="481"/>
        <v>-</v>
      </c>
      <c r="BJ275" s="1431" t="str">
        <f t="shared" si="482"/>
        <v>-</v>
      </c>
      <c r="BK275" s="1431" t="str">
        <f t="shared" si="483"/>
        <v>-</v>
      </c>
      <c r="BL275" s="1433" t="str">
        <f t="shared" si="484"/>
        <v>-</v>
      </c>
      <c r="BM275" s="1431" t="str">
        <f t="shared" si="485"/>
        <v>-</v>
      </c>
      <c r="BN275" s="1431" t="str">
        <f t="shared" si="486"/>
        <v>-</v>
      </c>
      <c r="BO275" s="1431" t="str">
        <f t="shared" si="487"/>
        <v>-</v>
      </c>
      <c r="BP275" s="1431" t="str">
        <f t="shared" si="488"/>
        <v>-</v>
      </c>
      <c r="BQ275" s="1434" t="str">
        <f t="shared" si="489"/>
        <v>-</v>
      </c>
      <c r="BR275" s="1378"/>
      <c r="BS275" s="1407"/>
      <c r="BT275" s="1408"/>
      <c r="BU275" s="1409"/>
      <c r="BV275" s="1410"/>
      <c r="BW275" s="1378"/>
      <c r="BX275" s="1428" t="str">
        <f t="shared" si="490"/>
        <v>Rev</v>
      </c>
      <c r="BY275" s="1429" t="str">
        <f t="shared" si="491"/>
        <v>Water</v>
      </c>
      <c r="BZ275" s="1430" t="str">
        <f t="shared" si="492"/>
        <v>Fixed</v>
      </c>
      <c r="CA275" s="1435" t="str">
        <f t="shared" ref="CA275:CR275" si="545">IFERROR((P275/O275-1)*(O275/O$13),"-")</f>
        <v>-</v>
      </c>
      <c r="CB275" s="1431" t="str">
        <f t="shared" si="545"/>
        <v>-</v>
      </c>
      <c r="CC275" s="1431" t="str">
        <f t="shared" si="545"/>
        <v>-</v>
      </c>
      <c r="CD275" s="1431" t="str">
        <f t="shared" si="545"/>
        <v>-</v>
      </c>
      <c r="CE275" s="1431" t="str">
        <f t="shared" si="545"/>
        <v>-</v>
      </c>
      <c r="CF275" s="1431" t="str">
        <f t="shared" si="545"/>
        <v>-</v>
      </c>
      <c r="CG275" s="1431" t="str">
        <f t="shared" si="545"/>
        <v>-</v>
      </c>
      <c r="CH275" s="1433" t="str">
        <f t="shared" si="545"/>
        <v>-</v>
      </c>
      <c r="CI275" s="1431" t="str">
        <f t="shared" si="545"/>
        <v>-</v>
      </c>
      <c r="CJ275" s="1431" t="str">
        <f t="shared" si="545"/>
        <v>-</v>
      </c>
      <c r="CK275" s="1431" t="str">
        <f t="shared" si="545"/>
        <v>-</v>
      </c>
      <c r="CL275" s="1431" t="str">
        <f t="shared" si="545"/>
        <v>-</v>
      </c>
      <c r="CM275" s="1433" t="str">
        <f t="shared" si="545"/>
        <v>-</v>
      </c>
      <c r="CN275" s="1431" t="str">
        <f t="shared" si="545"/>
        <v>-</v>
      </c>
      <c r="CO275" s="1431" t="str">
        <f t="shared" si="545"/>
        <v>-</v>
      </c>
      <c r="CP275" s="1431" t="str">
        <f t="shared" si="545"/>
        <v>-</v>
      </c>
      <c r="CQ275" s="1431" t="str">
        <f t="shared" si="545"/>
        <v>-</v>
      </c>
      <c r="CR275" s="1434" t="str">
        <f t="shared" si="545"/>
        <v>-</v>
      </c>
      <c r="CS275" s="1378"/>
      <c r="CT275" s="1428" t="str">
        <f t="shared" si="469"/>
        <v>Rev</v>
      </c>
      <c r="CU275" s="1429" t="str">
        <f t="shared" si="470"/>
        <v>Water</v>
      </c>
      <c r="CV275" s="1429" t="str">
        <f t="shared" si="471"/>
        <v>Fixed</v>
      </c>
      <c r="CW275" s="1435" t="str">
        <f t="shared" si="494"/>
        <v>-</v>
      </c>
      <c r="CX275" s="1431" t="str">
        <f t="shared" si="495"/>
        <v>-</v>
      </c>
      <c r="CY275" s="1431" t="str">
        <f t="shared" si="496"/>
        <v>-</v>
      </c>
      <c r="CZ275" s="1434" t="str">
        <f t="shared" si="497"/>
        <v>-</v>
      </c>
      <c r="DA275" s="1431" t="str">
        <f t="shared" si="498"/>
        <v>-</v>
      </c>
      <c r="DB275" s="1431" t="str">
        <f t="shared" si="499"/>
        <v>-</v>
      </c>
      <c r="DC275" s="1431" t="str">
        <f t="shared" si="500"/>
        <v>-</v>
      </c>
      <c r="DD275" s="1431" t="str">
        <f t="shared" si="501"/>
        <v>-</v>
      </c>
      <c r="DE275" s="1434" t="str">
        <f t="shared" si="502"/>
        <v>-</v>
      </c>
      <c r="DF275" s="1378"/>
      <c r="DG275" s="1428" t="str">
        <f t="shared" si="503"/>
        <v>Rev</v>
      </c>
      <c r="DH275" s="1429" t="str">
        <f t="shared" si="503"/>
        <v>Water</v>
      </c>
      <c r="DI275" s="1429" t="str">
        <f t="shared" si="503"/>
        <v>Fixed</v>
      </c>
      <c r="DJ275" s="1429"/>
      <c r="DK275" s="1435" t="str">
        <f t="shared" si="504"/>
        <v>-</v>
      </c>
      <c r="DL275" s="1431" t="str">
        <f t="shared" si="505"/>
        <v>-</v>
      </c>
      <c r="DM275" s="1431" t="str">
        <f t="shared" si="506"/>
        <v>-</v>
      </c>
      <c r="DN275" s="1433" t="str">
        <f t="shared" si="507"/>
        <v>-</v>
      </c>
      <c r="DO275" s="1431" t="str">
        <f t="shared" si="508"/>
        <v>-</v>
      </c>
      <c r="DP275" s="1431" t="str">
        <f t="shared" si="509"/>
        <v>-</v>
      </c>
      <c r="DQ275" s="1431" t="str">
        <f t="shared" si="510"/>
        <v>-</v>
      </c>
      <c r="DR275" s="1434" t="str">
        <f t="shared" si="511"/>
        <v>-</v>
      </c>
    </row>
    <row r="276" spans="4:122">
      <c r="D276" s="70">
        <f>D273+1</f>
        <v>71</v>
      </c>
      <c r="E276" s="713" t="s">
        <v>44</v>
      </c>
      <c r="F276" s="1532" t="s">
        <v>20</v>
      </c>
      <c r="G276" s="1532" t="s">
        <v>929</v>
      </c>
      <c r="H276" s="1532"/>
      <c r="I276" s="781" t="s">
        <v>319</v>
      </c>
      <c r="J276" s="781" t="s">
        <v>345</v>
      </c>
      <c r="K276" s="1533"/>
      <c r="L276" s="1534"/>
      <c r="M276" s="1534"/>
      <c r="N276" s="1535"/>
      <c r="O276" s="2071"/>
      <c r="P276" s="1547"/>
      <c r="Q276" s="1547"/>
      <c r="R276" s="1547"/>
      <c r="S276" s="1547"/>
      <c r="T276" s="1547"/>
      <c r="U276" s="1547"/>
      <c r="V276" s="1547"/>
      <c r="W276" s="1547"/>
      <c r="X276" s="1548"/>
      <c r="Y276" s="1547"/>
      <c r="Z276" s="1547"/>
      <c r="AA276" s="1547"/>
      <c r="AB276" s="1547"/>
      <c r="AC276" s="1548"/>
      <c r="AD276" s="1547"/>
      <c r="AE276" s="1547"/>
      <c r="AF276" s="1547"/>
      <c r="AG276" s="785"/>
      <c r="AH276" s="697"/>
      <c r="AI276" s="707"/>
      <c r="AJ276" s="709">
        <f t="shared" si="515"/>
        <v>0</v>
      </c>
      <c r="AK276" s="710">
        <f t="shared" si="516"/>
        <v>0</v>
      </c>
      <c r="AL276" s="710">
        <f t="shared" si="517"/>
        <v>0</v>
      </c>
      <c r="AM276" s="710">
        <f t="shared" si="518"/>
        <v>0</v>
      </c>
      <c r="AN276" s="710">
        <f t="shared" si="519"/>
        <v>0</v>
      </c>
      <c r="AO276" s="711">
        <f t="shared" si="520"/>
        <v>0</v>
      </c>
      <c r="AP276" s="707">
        <f t="shared" si="521"/>
        <v>0</v>
      </c>
      <c r="AQ276" s="707">
        <f t="shared" si="522"/>
        <v>0</v>
      </c>
      <c r="AR276" s="707">
        <f t="shared" si="523"/>
        <v>0</v>
      </c>
      <c r="AS276" s="712">
        <f t="shared" si="524"/>
        <v>0</v>
      </c>
      <c r="AU276" s="1369"/>
      <c r="AV276" s="1559"/>
      <c r="AW276" s="1412" t="str">
        <f t="shared" si="472"/>
        <v>Price</v>
      </c>
      <c r="AX276" s="1413" t="str">
        <f t="shared" si="472"/>
        <v>Water</v>
      </c>
      <c r="AY276" s="1414" t="str">
        <f t="shared" si="473"/>
        <v>Fixed</v>
      </c>
      <c r="AZ276" s="1415" t="str">
        <f t="shared" si="542"/>
        <v>-</v>
      </c>
      <c r="BA276" s="1415" t="str">
        <f t="shared" si="542"/>
        <v>-</v>
      </c>
      <c r="BB276" s="1415" t="str">
        <f t="shared" si="542"/>
        <v>-</v>
      </c>
      <c r="BC276" s="1415" t="str">
        <f t="shared" si="475"/>
        <v>-</v>
      </c>
      <c r="BD276" s="1415" t="str">
        <f t="shared" si="476"/>
        <v>-</v>
      </c>
      <c r="BE276" s="1415" t="str">
        <f t="shared" si="477"/>
        <v>-</v>
      </c>
      <c r="BF276" s="1415" t="str">
        <f t="shared" si="478"/>
        <v>-</v>
      </c>
      <c r="BG276" s="1416" t="str">
        <f t="shared" si="479"/>
        <v>-</v>
      </c>
      <c r="BH276" s="1417" t="str">
        <f t="shared" si="480"/>
        <v>-</v>
      </c>
      <c r="BI276" s="1417" t="str">
        <f t="shared" si="481"/>
        <v>-</v>
      </c>
      <c r="BJ276" s="1417" t="str">
        <f t="shared" si="482"/>
        <v>-</v>
      </c>
      <c r="BK276" s="1417" t="str">
        <f t="shared" si="483"/>
        <v>-</v>
      </c>
      <c r="BL276" s="1418" t="str">
        <f t="shared" si="484"/>
        <v>-</v>
      </c>
      <c r="BM276" s="1417" t="str">
        <f t="shared" si="485"/>
        <v>-</v>
      </c>
      <c r="BN276" s="1417" t="str">
        <f t="shared" si="486"/>
        <v>-</v>
      </c>
      <c r="BO276" s="1417" t="str">
        <f t="shared" si="487"/>
        <v>-</v>
      </c>
      <c r="BP276" s="1417" t="str">
        <f t="shared" si="488"/>
        <v>-</v>
      </c>
      <c r="BQ276" s="1419" t="str">
        <f t="shared" si="489"/>
        <v>-</v>
      </c>
      <c r="BR276" s="1378"/>
      <c r="BS276" s="1420"/>
      <c r="BT276" s="1421"/>
      <c r="BU276" s="1422"/>
      <c r="BV276" s="1423"/>
      <c r="BW276" s="1378"/>
      <c r="BX276" s="1412" t="str">
        <f t="shared" si="490"/>
        <v>Price</v>
      </c>
      <c r="BY276" s="1413" t="str">
        <f t="shared" si="491"/>
        <v>Water</v>
      </c>
      <c r="BZ276" s="1414" t="str">
        <f t="shared" si="492"/>
        <v>Fixed</v>
      </c>
      <c r="CA276" s="1424" t="str">
        <f t="shared" ref="CA276:CR276" si="546">IFERROR((P276/O276-1)*(O278/O$13),"-")</f>
        <v>-</v>
      </c>
      <c r="CB276" s="1415" t="str">
        <f t="shared" si="546"/>
        <v>-</v>
      </c>
      <c r="CC276" s="1415" t="str">
        <f t="shared" si="546"/>
        <v>-</v>
      </c>
      <c r="CD276" s="1415" t="str">
        <f t="shared" si="546"/>
        <v>-</v>
      </c>
      <c r="CE276" s="1415" t="str">
        <f t="shared" si="546"/>
        <v>-</v>
      </c>
      <c r="CF276" s="1415" t="str">
        <f t="shared" si="546"/>
        <v>-</v>
      </c>
      <c r="CG276" s="1415" t="str">
        <f t="shared" si="546"/>
        <v>-</v>
      </c>
      <c r="CH276" s="1425" t="str">
        <f t="shared" si="546"/>
        <v>-</v>
      </c>
      <c r="CI276" s="1417" t="str">
        <f t="shared" si="546"/>
        <v>-</v>
      </c>
      <c r="CJ276" s="1417" t="str">
        <f t="shared" si="546"/>
        <v>-</v>
      </c>
      <c r="CK276" s="1417" t="str">
        <f t="shared" si="546"/>
        <v>-</v>
      </c>
      <c r="CL276" s="1417" t="str">
        <f t="shared" si="546"/>
        <v>-</v>
      </c>
      <c r="CM276" s="1418" t="str">
        <f t="shared" si="546"/>
        <v>-</v>
      </c>
      <c r="CN276" s="1417" t="str">
        <f t="shared" si="546"/>
        <v>-</v>
      </c>
      <c r="CO276" s="1417" t="str">
        <f t="shared" si="546"/>
        <v>-</v>
      </c>
      <c r="CP276" s="1417" t="str">
        <f t="shared" si="546"/>
        <v>-</v>
      </c>
      <c r="CQ276" s="1417" t="str">
        <f t="shared" si="546"/>
        <v>-</v>
      </c>
      <c r="CR276" s="1419" t="str">
        <f t="shared" si="546"/>
        <v>-</v>
      </c>
      <c r="CS276" s="1378"/>
      <c r="CT276" s="1412" t="str">
        <f t="shared" si="469"/>
        <v>Price</v>
      </c>
      <c r="CU276" s="1413" t="str">
        <f t="shared" si="470"/>
        <v>Water</v>
      </c>
      <c r="CV276" s="1426" t="str">
        <f t="shared" si="471"/>
        <v>Fixed</v>
      </c>
      <c r="CW276" s="1427" t="str">
        <f t="shared" si="494"/>
        <v>-</v>
      </c>
      <c r="CX276" s="1417" t="str">
        <f t="shared" si="495"/>
        <v>-</v>
      </c>
      <c r="CY276" s="1417" t="str">
        <f t="shared" si="496"/>
        <v>-</v>
      </c>
      <c r="CZ276" s="1419" t="str">
        <f t="shared" si="497"/>
        <v>-</v>
      </c>
      <c r="DA276" s="1417" t="str">
        <f t="shared" si="498"/>
        <v>-</v>
      </c>
      <c r="DB276" s="1417" t="str">
        <f t="shared" si="499"/>
        <v>-</v>
      </c>
      <c r="DC276" s="1417" t="str">
        <f t="shared" si="500"/>
        <v>-</v>
      </c>
      <c r="DD276" s="1417" t="str">
        <f t="shared" si="501"/>
        <v>-</v>
      </c>
      <c r="DE276" s="1419" t="str">
        <f t="shared" si="502"/>
        <v>-</v>
      </c>
      <c r="DF276" s="1378"/>
      <c r="DG276" s="1412" t="str">
        <f t="shared" si="503"/>
        <v>Price</v>
      </c>
      <c r="DH276" s="1413" t="str">
        <f t="shared" si="503"/>
        <v>Water</v>
      </c>
      <c r="DI276" s="1426" t="str">
        <f t="shared" si="503"/>
        <v>Fixed</v>
      </c>
      <c r="DJ276" s="1426"/>
      <c r="DK276" s="1427" t="str">
        <f t="shared" si="504"/>
        <v>-</v>
      </c>
      <c r="DL276" s="1417" t="str">
        <f t="shared" si="505"/>
        <v>-</v>
      </c>
      <c r="DM276" s="1417" t="str">
        <f t="shared" si="506"/>
        <v>-</v>
      </c>
      <c r="DN276" s="1418" t="str">
        <f t="shared" si="507"/>
        <v>-</v>
      </c>
      <c r="DO276" s="1417" t="str">
        <f t="shared" si="508"/>
        <v>-</v>
      </c>
      <c r="DP276" s="1417" t="str">
        <f t="shared" si="509"/>
        <v>-</v>
      </c>
      <c r="DQ276" s="1417" t="str">
        <f t="shared" si="510"/>
        <v>-</v>
      </c>
      <c r="DR276" s="1419" t="str">
        <f t="shared" si="511"/>
        <v>-</v>
      </c>
    </row>
    <row r="277" spans="4:122">
      <c r="E277" s="742" t="s">
        <v>45</v>
      </c>
      <c r="F277" s="722" t="str">
        <f>+F276</f>
        <v>Water</v>
      </c>
      <c r="G277" s="723" t="str">
        <f>+G276</f>
        <v>Fixed Charges 2012-13 100mm</v>
      </c>
      <c r="H277" s="723">
        <f>+H276</f>
        <v>0</v>
      </c>
      <c r="I277" s="724" t="str">
        <f>+I276</f>
        <v>Fixed</v>
      </c>
      <c r="J277" s="782" t="s">
        <v>323</v>
      </c>
      <c r="K277" s="1540"/>
      <c r="L277" s="1541"/>
      <c r="M277" s="1541"/>
      <c r="N277" s="1542"/>
      <c r="O277" s="2031"/>
      <c r="P277" s="1543"/>
      <c r="Q277" s="1543"/>
      <c r="R277" s="1543"/>
      <c r="S277" s="1543"/>
      <c r="T277" s="1543"/>
      <c r="U277" s="1543"/>
      <c r="V277" s="1543"/>
      <c r="W277" s="1543"/>
      <c r="X277" s="1544"/>
      <c r="Y277" s="1543"/>
      <c r="Z277" s="1543"/>
      <c r="AA277" s="1543"/>
      <c r="AB277" s="1543"/>
      <c r="AC277" s="1544"/>
      <c r="AD277" s="1543"/>
      <c r="AE277" s="1543"/>
      <c r="AF277" s="1543"/>
      <c r="AG277" s="788"/>
      <c r="AH277" s="697"/>
      <c r="AI277" s="707"/>
      <c r="AJ277" s="709">
        <f t="shared" si="515"/>
        <v>0</v>
      </c>
      <c r="AK277" s="710">
        <f t="shared" si="516"/>
        <v>0</v>
      </c>
      <c r="AL277" s="710">
        <f t="shared" si="517"/>
        <v>0</v>
      </c>
      <c r="AM277" s="710">
        <f t="shared" si="518"/>
        <v>0</v>
      </c>
      <c r="AN277" s="710">
        <f t="shared" si="519"/>
        <v>0</v>
      </c>
      <c r="AO277" s="711">
        <f t="shared" si="520"/>
        <v>0</v>
      </c>
      <c r="AP277" s="707">
        <f t="shared" si="521"/>
        <v>0</v>
      </c>
      <c r="AQ277" s="707">
        <f t="shared" si="522"/>
        <v>0</v>
      </c>
      <c r="AR277" s="707">
        <f t="shared" si="523"/>
        <v>0</v>
      </c>
      <c r="AS277" s="712">
        <f t="shared" si="524"/>
        <v>0</v>
      </c>
      <c r="AV277" s="1559"/>
      <c r="AW277" s="1392" t="str">
        <f t="shared" si="472"/>
        <v>Qty</v>
      </c>
      <c r="AX277" s="1393" t="str">
        <f t="shared" si="472"/>
        <v>Water</v>
      </c>
      <c r="AY277" s="1394" t="str">
        <f t="shared" si="473"/>
        <v>Fixed</v>
      </c>
      <c r="AZ277" s="1395" t="str">
        <f t="shared" si="542"/>
        <v>-</v>
      </c>
      <c r="BA277" s="1395" t="str">
        <f t="shared" si="542"/>
        <v>-</v>
      </c>
      <c r="BB277" s="1395" t="str">
        <f t="shared" si="542"/>
        <v>-</v>
      </c>
      <c r="BC277" s="1395" t="str">
        <f t="shared" si="475"/>
        <v>-</v>
      </c>
      <c r="BD277" s="1395" t="str">
        <f t="shared" si="476"/>
        <v>-</v>
      </c>
      <c r="BE277" s="1395" t="str">
        <f t="shared" si="477"/>
        <v>-</v>
      </c>
      <c r="BF277" s="1395" t="str">
        <f t="shared" si="478"/>
        <v>-</v>
      </c>
      <c r="BG277" s="1396" t="str">
        <f t="shared" si="479"/>
        <v>-</v>
      </c>
      <c r="BH277" s="1395" t="str">
        <f t="shared" si="480"/>
        <v>-</v>
      </c>
      <c r="BI277" s="1395" t="str">
        <f t="shared" si="481"/>
        <v>-</v>
      </c>
      <c r="BJ277" s="1395" t="str">
        <f t="shared" si="482"/>
        <v>-</v>
      </c>
      <c r="BK277" s="1395" t="str">
        <f t="shared" si="483"/>
        <v>-</v>
      </c>
      <c r="BL277" s="1397" t="str">
        <f t="shared" si="484"/>
        <v>-</v>
      </c>
      <c r="BM277" s="1395" t="str">
        <f t="shared" si="485"/>
        <v>-</v>
      </c>
      <c r="BN277" s="1395" t="str">
        <f t="shared" si="486"/>
        <v>-</v>
      </c>
      <c r="BO277" s="1395" t="str">
        <f t="shared" si="487"/>
        <v>-</v>
      </c>
      <c r="BP277" s="1395" t="str">
        <f t="shared" si="488"/>
        <v>-</v>
      </c>
      <c r="BQ277" s="1398" t="str">
        <f t="shared" si="489"/>
        <v>-</v>
      </c>
      <c r="BR277" s="1378"/>
      <c r="BS277" s="1329"/>
      <c r="BT277" s="1399"/>
      <c r="BU277" s="1331"/>
      <c r="BV277" s="1400"/>
      <c r="BW277" s="1378"/>
      <c r="BX277" s="1392" t="str">
        <f t="shared" si="490"/>
        <v>Qty</v>
      </c>
      <c r="BY277" s="1393" t="str">
        <f t="shared" si="491"/>
        <v>Water</v>
      </c>
      <c r="BZ277" s="1394" t="str">
        <f t="shared" si="492"/>
        <v>Fixed</v>
      </c>
      <c r="CA277" s="1401" t="str">
        <f t="shared" ref="CA277:CR277" si="547">IFERROR((P277/O277-1)*(O278/O$13),"-")</f>
        <v>-</v>
      </c>
      <c r="CB277" s="1395" t="str">
        <f t="shared" si="547"/>
        <v>-</v>
      </c>
      <c r="CC277" s="1395" t="str">
        <f t="shared" si="547"/>
        <v>-</v>
      </c>
      <c r="CD277" s="1395" t="str">
        <f t="shared" si="547"/>
        <v>-</v>
      </c>
      <c r="CE277" s="1395" t="str">
        <f t="shared" si="547"/>
        <v>-</v>
      </c>
      <c r="CF277" s="1395" t="str">
        <f t="shared" si="547"/>
        <v>-</v>
      </c>
      <c r="CG277" s="1395" t="str">
        <f t="shared" si="547"/>
        <v>-</v>
      </c>
      <c r="CH277" s="1397" t="str">
        <f t="shared" si="547"/>
        <v>-</v>
      </c>
      <c r="CI277" s="1395" t="str">
        <f t="shared" si="547"/>
        <v>-</v>
      </c>
      <c r="CJ277" s="1395" t="str">
        <f t="shared" si="547"/>
        <v>-</v>
      </c>
      <c r="CK277" s="1395" t="str">
        <f t="shared" si="547"/>
        <v>-</v>
      </c>
      <c r="CL277" s="1395" t="str">
        <f t="shared" si="547"/>
        <v>-</v>
      </c>
      <c r="CM277" s="1397" t="str">
        <f t="shared" si="547"/>
        <v>-</v>
      </c>
      <c r="CN277" s="1395" t="str">
        <f t="shared" si="547"/>
        <v>-</v>
      </c>
      <c r="CO277" s="1395" t="str">
        <f t="shared" si="547"/>
        <v>-</v>
      </c>
      <c r="CP277" s="1395" t="str">
        <f t="shared" si="547"/>
        <v>-</v>
      </c>
      <c r="CQ277" s="1395" t="str">
        <f t="shared" si="547"/>
        <v>-</v>
      </c>
      <c r="CR277" s="1398" t="str">
        <f t="shared" si="547"/>
        <v>-</v>
      </c>
      <c r="CS277" s="1378"/>
      <c r="CT277" s="1392" t="str">
        <f t="shared" si="469"/>
        <v>Qty</v>
      </c>
      <c r="CU277" s="1393" t="str">
        <f t="shared" si="470"/>
        <v>Water</v>
      </c>
      <c r="CV277" s="1393" t="str">
        <f t="shared" si="471"/>
        <v>Fixed</v>
      </c>
      <c r="CW277" s="1401" t="str">
        <f t="shared" si="494"/>
        <v>-</v>
      </c>
      <c r="CX277" s="1395" t="str">
        <f t="shared" si="495"/>
        <v>-</v>
      </c>
      <c r="CY277" s="1395" t="str">
        <f t="shared" si="496"/>
        <v>-</v>
      </c>
      <c r="CZ277" s="1398" t="str">
        <f t="shared" si="497"/>
        <v>-</v>
      </c>
      <c r="DA277" s="1395" t="str">
        <f t="shared" si="498"/>
        <v>-</v>
      </c>
      <c r="DB277" s="1395" t="str">
        <f t="shared" si="499"/>
        <v>-</v>
      </c>
      <c r="DC277" s="1395" t="str">
        <f t="shared" si="500"/>
        <v>-</v>
      </c>
      <c r="DD277" s="1395" t="str">
        <f t="shared" si="501"/>
        <v>-</v>
      </c>
      <c r="DE277" s="1398" t="str">
        <f t="shared" si="502"/>
        <v>-</v>
      </c>
      <c r="DF277" s="1378"/>
      <c r="DG277" s="1392" t="str">
        <f t="shared" si="503"/>
        <v>Qty</v>
      </c>
      <c r="DH277" s="1393" t="str">
        <f t="shared" si="503"/>
        <v>Water</v>
      </c>
      <c r="DI277" s="1393" t="str">
        <f t="shared" si="503"/>
        <v>Fixed</v>
      </c>
      <c r="DJ277" s="1393"/>
      <c r="DK277" s="1401" t="str">
        <f t="shared" si="504"/>
        <v>-</v>
      </c>
      <c r="DL277" s="1395" t="str">
        <f t="shared" si="505"/>
        <v>-</v>
      </c>
      <c r="DM277" s="1395" t="str">
        <f t="shared" si="506"/>
        <v>-</v>
      </c>
      <c r="DN277" s="1397" t="str">
        <f t="shared" si="507"/>
        <v>-</v>
      </c>
      <c r="DO277" s="1395" t="str">
        <f t="shared" si="508"/>
        <v>-</v>
      </c>
      <c r="DP277" s="1395" t="str">
        <f t="shared" si="509"/>
        <v>-</v>
      </c>
      <c r="DQ277" s="1395" t="str">
        <f t="shared" si="510"/>
        <v>-</v>
      </c>
      <c r="DR277" s="1398" t="str">
        <f t="shared" si="511"/>
        <v>-</v>
      </c>
    </row>
    <row r="278" spans="4:122" ht="12.75" thickBot="1">
      <c r="E278" s="743" t="s">
        <v>46</v>
      </c>
      <c r="F278" s="732" t="str">
        <f>+F276</f>
        <v>Water</v>
      </c>
      <c r="G278" s="733" t="str">
        <f>+G276</f>
        <v>Fixed Charges 2012-13 100mm</v>
      </c>
      <c r="H278" s="733">
        <f>+H276</f>
        <v>0</v>
      </c>
      <c r="I278" s="734" t="str">
        <f>+I276</f>
        <v>Fixed</v>
      </c>
      <c r="J278" s="735" t="s">
        <v>344</v>
      </c>
      <c r="K278" s="736">
        <f t="shared" ref="K278:AG278" si="548">K276*K277/10^6</f>
        <v>0</v>
      </c>
      <c r="L278" s="737">
        <f t="shared" si="548"/>
        <v>0</v>
      </c>
      <c r="M278" s="737">
        <f t="shared" si="548"/>
        <v>0</v>
      </c>
      <c r="N278" s="738">
        <f t="shared" si="548"/>
        <v>0</v>
      </c>
      <c r="O278" s="1923">
        <f t="shared" si="548"/>
        <v>0</v>
      </c>
      <c r="P278" s="737">
        <f t="shared" si="548"/>
        <v>0</v>
      </c>
      <c r="Q278" s="737">
        <f t="shared" si="548"/>
        <v>0</v>
      </c>
      <c r="R278" s="737">
        <f t="shared" si="548"/>
        <v>0</v>
      </c>
      <c r="S278" s="737">
        <f t="shared" si="548"/>
        <v>0</v>
      </c>
      <c r="T278" s="1531">
        <f t="shared" si="548"/>
        <v>0</v>
      </c>
      <c r="U278" s="737">
        <f t="shared" si="548"/>
        <v>0</v>
      </c>
      <c r="V278" s="737">
        <f t="shared" si="548"/>
        <v>0</v>
      </c>
      <c r="W278" s="737">
        <f t="shared" si="548"/>
        <v>0</v>
      </c>
      <c r="X278" s="738">
        <f t="shared" si="548"/>
        <v>0</v>
      </c>
      <c r="Y278" s="737">
        <f t="shared" si="548"/>
        <v>0</v>
      </c>
      <c r="Z278" s="737">
        <f t="shared" si="548"/>
        <v>0</v>
      </c>
      <c r="AA278" s="737">
        <f t="shared" si="548"/>
        <v>0</v>
      </c>
      <c r="AB278" s="737">
        <f t="shared" si="548"/>
        <v>0</v>
      </c>
      <c r="AC278" s="738">
        <f t="shared" si="548"/>
        <v>0</v>
      </c>
      <c r="AD278" s="737">
        <f t="shared" si="548"/>
        <v>0</v>
      </c>
      <c r="AE278" s="737">
        <f t="shared" si="548"/>
        <v>0</v>
      </c>
      <c r="AF278" s="737">
        <f t="shared" si="548"/>
        <v>0</v>
      </c>
      <c r="AG278" s="739">
        <f t="shared" si="548"/>
        <v>0</v>
      </c>
      <c r="AH278" s="697"/>
      <c r="AI278" s="707"/>
      <c r="AJ278" s="709">
        <f t="shared" si="515"/>
        <v>0</v>
      </c>
      <c r="AK278" s="710">
        <f t="shared" si="516"/>
        <v>0</v>
      </c>
      <c r="AL278" s="710">
        <f t="shared" si="517"/>
        <v>0</v>
      </c>
      <c r="AM278" s="710">
        <f t="shared" si="518"/>
        <v>0</v>
      </c>
      <c r="AN278" s="710">
        <f t="shared" si="519"/>
        <v>0</v>
      </c>
      <c r="AO278" s="711">
        <f t="shared" si="520"/>
        <v>0</v>
      </c>
      <c r="AP278" s="707">
        <f t="shared" si="521"/>
        <v>0</v>
      </c>
      <c r="AQ278" s="707">
        <f t="shared" si="522"/>
        <v>0</v>
      </c>
      <c r="AR278" s="707">
        <f t="shared" si="523"/>
        <v>0</v>
      </c>
      <c r="AS278" s="712">
        <f t="shared" si="524"/>
        <v>0</v>
      </c>
      <c r="AV278" s="1559"/>
      <c r="AW278" s="1428" t="str">
        <f t="shared" si="472"/>
        <v>Rev</v>
      </c>
      <c r="AX278" s="1429" t="str">
        <f t="shared" si="472"/>
        <v>Water</v>
      </c>
      <c r="AY278" s="1430" t="str">
        <f t="shared" si="473"/>
        <v>Fixed</v>
      </c>
      <c r="AZ278" s="1431" t="str">
        <f t="shared" si="542"/>
        <v>-</v>
      </c>
      <c r="BA278" s="1431" t="str">
        <f t="shared" si="542"/>
        <v>-</v>
      </c>
      <c r="BB278" s="1431" t="str">
        <f t="shared" si="542"/>
        <v>-</v>
      </c>
      <c r="BC278" s="1431" t="str">
        <f t="shared" si="475"/>
        <v>-</v>
      </c>
      <c r="BD278" s="1431" t="str">
        <f t="shared" si="476"/>
        <v>-</v>
      </c>
      <c r="BE278" s="1431" t="str">
        <f t="shared" si="477"/>
        <v>-</v>
      </c>
      <c r="BF278" s="1431" t="str">
        <f t="shared" si="478"/>
        <v>-</v>
      </c>
      <c r="BG278" s="1432" t="str">
        <f t="shared" si="479"/>
        <v>-</v>
      </c>
      <c r="BH278" s="1431" t="str">
        <f t="shared" si="480"/>
        <v>-</v>
      </c>
      <c r="BI278" s="1431" t="str">
        <f t="shared" si="481"/>
        <v>-</v>
      </c>
      <c r="BJ278" s="1431" t="str">
        <f t="shared" si="482"/>
        <v>-</v>
      </c>
      <c r="BK278" s="1431" t="str">
        <f t="shared" si="483"/>
        <v>-</v>
      </c>
      <c r="BL278" s="1433" t="str">
        <f t="shared" si="484"/>
        <v>-</v>
      </c>
      <c r="BM278" s="1431" t="str">
        <f t="shared" si="485"/>
        <v>-</v>
      </c>
      <c r="BN278" s="1431" t="str">
        <f t="shared" si="486"/>
        <v>-</v>
      </c>
      <c r="BO278" s="1431" t="str">
        <f t="shared" si="487"/>
        <v>-</v>
      </c>
      <c r="BP278" s="1431" t="str">
        <f t="shared" si="488"/>
        <v>-</v>
      </c>
      <c r="BQ278" s="1434" t="str">
        <f t="shared" si="489"/>
        <v>-</v>
      </c>
      <c r="BR278" s="1378"/>
      <c r="BS278" s="1407"/>
      <c r="BT278" s="1408"/>
      <c r="BU278" s="1409"/>
      <c r="BV278" s="1410"/>
      <c r="BW278" s="1378"/>
      <c r="BX278" s="1428" t="str">
        <f t="shared" si="490"/>
        <v>Rev</v>
      </c>
      <c r="BY278" s="1429" t="str">
        <f t="shared" si="491"/>
        <v>Water</v>
      </c>
      <c r="BZ278" s="1430" t="str">
        <f t="shared" si="492"/>
        <v>Fixed</v>
      </c>
      <c r="CA278" s="1435" t="str">
        <f t="shared" ref="CA278:CR278" si="549">IFERROR((P278/O278-1)*(O278/O$13),"-")</f>
        <v>-</v>
      </c>
      <c r="CB278" s="1431" t="str">
        <f t="shared" si="549"/>
        <v>-</v>
      </c>
      <c r="CC278" s="1431" t="str">
        <f t="shared" si="549"/>
        <v>-</v>
      </c>
      <c r="CD278" s="1431" t="str">
        <f t="shared" si="549"/>
        <v>-</v>
      </c>
      <c r="CE278" s="1431" t="str">
        <f t="shared" si="549"/>
        <v>-</v>
      </c>
      <c r="CF278" s="1431" t="str">
        <f t="shared" si="549"/>
        <v>-</v>
      </c>
      <c r="CG278" s="1431" t="str">
        <f t="shared" si="549"/>
        <v>-</v>
      </c>
      <c r="CH278" s="1433" t="str">
        <f t="shared" si="549"/>
        <v>-</v>
      </c>
      <c r="CI278" s="1431" t="str">
        <f t="shared" si="549"/>
        <v>-</v>
      </c>
      <c r="CJ278" s="1431" t="str">
        <f t="shared" si="549"/>
        <v>-</v>
      </c>
      <c r="CK278" s="1431" t="str">
        <f t="shared" si="549"/>
        <v>-</v>
      </c>
      <c r="CL278" s="1431" t="str">
        <f t="shared" si="549"/>
        <v>-</v>
      </c>
      <c r="CM278" s="1433" t="str">
        <f t="shared" si="549"/>
        <v>-</v>
      </c>
      <c r="CN278" s="1431" t="str">
        <f t="shared" si="549"/>
        <v>-</v>
      </c>
      <c r="CO278" s="1431" t="str">
        <f t="shared" si="549"/>
        <v>-</v>
      </c>
      <c r="CP278" s="1431" t="str">
        <f t="shared" si="549"/>
        <v>-</v>
      </c>
      <c r="CQ278" s="1431" t="str">
        <f t="shared" si="549"/>
        <v>-</v>
      </c>
      <c r="CR278" s="1434" t="str">
        <f t="shared" si="549"/>
        <v>-</v>
      </c>
      <c r="CS278" s="1378"/>
      <c r="CT278" s="1428" t="str">
        <f t="shared" si="469"/>
        <v>Rev</v>
      </c>
      <c r="CU278" s="1429" t="str">
        <f t="shared" si="470"/>
        <v>Water</v>
      </c>
      <c r="CV278" s="1429" t="str">
        <f t="shared" si="471"/>
        <v>Fixed</v>
      </c>
      <c r="CW278" s="1435" t="str">
        <f t="shared" si="494"/>
        <v>-</v>
      </c>
      <c r="CX278" s="1431" t="str">
        <f t="shared" si="495"/>
        <v>-</v>
      </c>
      <c r="CY278" s="1431" t="str">
        <f t="shared" si="496"/>
        <v>-</v>
      </c>
      <c r="CZ278" s="1434" t="str">
        <f t="shared" si="497"/>
        <v>-</v>
      </c>
      <c r="DA278" s="1431" t="str">
        <f t="shared" si="498"/>
        <v>-</v>
      </c>
      <c r="DB278" s="1431" t="str">
        <f t="shared" si="499"/>
        <v>-</v>
      </c>
      <c r="DC278" s="1431" t="str">
        <f t="shared" si="500"/>
        <v>-</v>
      </c>
      <c r="DD278" s="1431" t="str">
        <f t="shared" si="501"/>
        <v>-</v>
      </c>
      <c r="DE278" s="1434" t="str">
        <f t="shared" si="502"/>
        <v>-</v>
      </c>
      <c r="DF278" s="1378"/>
      <c r="DG278" s="1428" t="str">
        <f t="shared" si="503"/>
        <v>Rev</v>
      </c>
      <c r="DH278" s="1429" t="str">
        <f t="shared" si="503"/>
        <v>Water</v>
      </c>
      <c r="DI278" s="1429" t="str">
        <f t="shared" si="503"/>
        <v>Fixed</v>
      </c>
      <c r="DJ278" s="1429"/>
      <c r="DK278" s="1435" t="str">
        <f t="shared" si="504"/>
        <v>-</v>
      </c>
      <c r="DL278" s="1431" t="str">
        <f t="shared" si="505"/>
        <v>-</v>
      </c>
      <c r="DM278" s="1431" t="str">
        <f t="shared" si="506"/>
        <v>-</v>
      </c>
      <c r="DN278" s="1433" t="str">
        <f t="shared" si="507"/>
        <v>-</v>
      </c>
      <c r="DO278" s="1431" t="str">
        <f t="shared" si="508"/>
        <v>-</v>
      </c>
      <c r="DP278" s="1431" t="str">
        <f t="shared" si="509"/>
        <v>-</v>
      </c>
      <c r="DQ278" s="1431" t="str">
        <f t="shared" si="510"/>
        <v>-</v>
      </c>
      <c r="DR278" s="1434" t="str">
        <f t="shared" si="511"/>
        <v>-</v>
      </c>
    </row>
    <row r="279" spans="4:122">
      <c r="D279" s="70">
        <f>D276+1</f>
        <v>72</v>
      </c>
      <c r="E279" s="713" t="s">
        <v>44</v>
      </c>
      <c r="F279" s="1532" t="s">
        <v>20</v>
      </c>
      <c r="G279" s="1532" t="s">
        <v>930</v>
      </c>
      <c r="H279" s="1532"/>
      <c r="I279" s="781" t="s">
        <v>319</v>
      </c>
      <c r="J279" s="781" t="s">
        <v>345</v>
      </c>
      <c r="K279" s="1533"/>
      <c r="L279" s="1534"/>
      <c r="M279" s="1534"/>
      <c r="N279" s="1535"/>
      <c r="O279" s="2071"/>
      <c r="P279" s="1547"/>
      <c r="Q279" s="1547"/>
      <c r="R279" s="1547"/>
      <c r="S279" s="1547"/>
      <c r="T279" s="1547"/>
      <c r="U279" s="1547"/>
      <c r="V279" s="1547"/>
      <c r="W279" s="1547"/>
      <c r="X279" s="1548"/>
      <c r="Y279" s="1547"/>
      <c r="Z279" s="1547"/>
      <c r="AA279" s="1547"/>
      <c r="AB279" s="1547"/>
      <c r="AC279" s="1548"/>
      <c r="AD279" s="1547"/>
      <c r="AE279" s="1547"/>
      <c r="AF279" s="1547"/>
      <c r="AG279" s="785"/>
      <c r="AH279" s="697"/>
      <c r="AI279" s="707"/>
      <c r="AJ279" s="709">
        <f t="shared" si="515"/>
        <v>0</v>
      </c>
      <c r="AK279" s="710">
        <f t="shared" si="516"/>
        <v>0</v>
      </c>
      <c r="AL279" s="710">
        <f t="shared" si="517"/>
        <v>0</v>
      </c>
      <c r="AM279" s="710">
        <f t="shared" si="518"/>
        <v>0</v>
      </c>
      <c r="AN279" s="710">
        <f t="shared" si="519"/>
        <v>0</v>
      </c>
      <c r="AO279" s="711">
        <f t="shared" si="520"/>
        <v>0</v>
      </c>
      <c r="AP279" s="707">
        <f t="shared" si="521"/>
        <v>0</v>
      </c>
      <c r="AQ279" s="707">
        <f t="shared" si="522"/>
        <v>0</v>
      </c>
      <c r="AR279" s="707">
        <f t="shared" si="523"/>
        <v>0</v>
      </c>
      <c r="AS279" s="712">
        <f t="shared" si="524"/>
        <v>0</v>
      </c>
      <c r="AU279" s="1369"/>
      <c r="AV279" s="1559"/>
      <c r="AW279" s="1412" t="str">
        <f t="shared" si="472"/>
        <v>Price</v>
      </c>
      <c r="AX279" s="1413" t="str">
        <f t="shared" si="472"/>
        <v>Water</v>
      </c>
      <c r="AY279" s="1414" t="str">
        <f t="shared" si="473"/>
        <v>Fixed</v>
      </c>
      <c r="AZ279" s="1415" t="str">
        <f t="shared" si="542"/>
        <v>-</v>
      </c>
      <c r="BA279" s="1415" t="str">
        <f t="shared" si="542"/>
        <v>-</v>
      </c>
      <c r="BB279" s="1415" t="str">
        <f t="shared" si="542"/>
        <v>-</v>
      </c>
      <c r="BC279" s="1415" t="str">
        <f t="shared" si="475"/>
        <v>-</v>
      </c>
      <c r="BD279" s="1415" t="str">
        <f t="shared" si="476"/>
        <v>-</v>
      </c>
      <c r="BE279" s="1415" t="str">
        <f t="shared" si="477"/>
        <v>-</v>
      </c>
      <c r="BF279" s="1415" t="str">
        <f t="shared" si="478"/>
        <v>-</v>
      </c>
      <c r="BG279" s="1416" t="str">
        <f t="shared" si="479"/>
        <v>-</v>
      </c>
      <c r="BH279" s="1417" t="str">
        <f t="shared" si="480"/>
        <v>-</v>
      </c>
      <c r="BI279" s="1417" t="str">
        <f t="shared" si="481"/>
        <v>-</v>
      </c>
      <c r="BJ279" s="1417" t="str">
        <f t="shared" si="482"/>
        <v>-</v>
      </c>
      <c r="BK279" s="1417" t="str">
        <f t="shared" si="483"/>
        <v>-</v>
      </c>
      <c r="BL279" s="1418" t="str">
        <f t="shared" si="484"/>
        <v>-</v>
      </c>
      <c r="BM279" s="1417" t="str">
        <f t="shared" si="485"/>
        <v>-</v>
      </c>
      <c r="BN279" s="1417" t="str">
        <f t="shared" si="486"/>
        <v>-</v>
      </c>
      <c r="BO279" s="1417" t="str">
        <f t="shared" si="487"/>
        <v>-</v>
      </c>
      <c r="BP279" s="1417" t="str">
        <f t="shared" si="488"/>
        <v>-</v>
      </c>
      <c r="BQ279" s="1419" t="str">
        <f t="shared" si="489"/>
        <v>-</v>
      </c>
      <c r="BR279" s="1378"/>
      <c r="BS279" s="1420"/>
      <c r="BT279" s="1421"/>
      <c r="BU279" s="1422"/>
      <c r="BV279" s="1423"/>
      <c r="BW279" s="1378"/>
      <c r="BX279" s="1412" t="str">
        <f t="shared" si="490"/>
        <v>Price</v>
      </c>
      <c r="BY279" s="1413" t="str">
        <f t="shared" si="491"/>
        <v>Water</v>
      </c>
      <c r="BZ279" s="1414" t="str">
        <f t="shared" si="492"/>
        <v>Fixed</v>
      </c>
      <c r="CA279" s="1424" t="str">
        <f t="shared" ref="CA279:CR279" si="550">IFERROR((P279/O279-1)*(O281/O$13),"-")</f>
        <v>-</v>
      </c>
      <c r="CB279" s="1415" t="str">
        <f t="shared" si="550"/>
        <v>-</v>
      </c>
      <c r="CC279" s="1415" t="str">
        <f t="shared" si="550"/>
        <v>-</v>
      </c>
      <c r="CD279" s="1415" t="str">
        <f t="shared" si="550"/>
        <v>-</v>
      </c>
      <c r="CE279" s="1415" t="str">
        <f t="shared" si="550"/>
        <v>-</v>
      </c>
      <c r="CF279" s="1415" t="str">
        <f t="shared" si="550"/>
        <v>-</v>
      </c>
      <c r="CG279" s="1415" t="str">
        <f t="shared" si="550"/>
        <v>-</v>
      </c>
      <c r="CH279" s="1425" t="str">
        <f t="shared" si="550"/>
        <v>-</v>
      </c>
      <c r="CI279" s="1417" t="str">
        <f t="shared" si="550"/>
        <v>-</v>
      </c>
      <c r="CJ279" s="1417" t="str">
        <f t="shared" si="550"/>
        <v>-</v>
      </c>
      <c r="CK279" s="1417" t="str">
        <f t="shared" si="550"/>
        <v>-</v>
      </c>
      <c r="CL279" s="1417" t="str">
        <f t="shared" si="550"/>
        <v>-</v>
      </c>
      <c r="CM279" s="1418" t="str">
        <f t="shared" si="550"/>
        <v>-</v>
      </c>
      <c r="CN279" s="1417" t="str">
        <f t="shared" si="550"/>
        <v>-</v>
      </c>
      <c r="CO279" s="1417" t="str">
        <f t="shared" si="550"/>
        <v>-</v>
      </c>
      <c r="CP279" s="1417" t="str">
        <f t="shared" si="550"/>
        <v>-</v>
      </c>
      <c r="CQ279" s="1417" t="str">
        <f t="shared" si="550"/>
        <v>-</v>
      </c>
      <c r="CR279" s="1419" t="str">
        <f t="shared" si="550"/>
        <v>-</v>
      </c>
      <c r="CS279" s="1378"/>
      <c r="CT279" s="1412" t="str">
        <f t="shared" si="469"/>
        <v>Price</v>
      </c>
      <c r="CU279" s="1413" t="str">
        <f t="shared" si="470"/>
        <v>Water</v>
      </c>
      <c r="CV279" s="1426" t="str">
        <f t="shared" si="471"/>
        <v>Fixed</v>
      </c>
      <c r="CW279" s="1427" t="str">
        <f t="shared" si="494"/>
        <v>-</v>
      </c>
      <c r="CX279" s="1417" t="str">
        <f t="shared" si="495"/>
        <v>-</v>
      </c>
      <c r="CY279" s="1417" t="str">
        <f t="shared" si="496"/>
        <v>-</v>
      </c>
      <c r="CZ279" s="1419" t="str">
        <f t="shared" si="497"/>
        <v>-</v>
      </c>
      <c r="DA279" s="1417" t="str">
        <f t="shared" si="498"/>
        <v>-</v>
      </c>
      <c r="DB279" s="1417" t="str">
        <f t="shared" si="499"/>
        <v>-</v>
      </c>
      <c r="DC279" s="1417" t="str">
        <f t="shared" si="500"/>
        <v>-</v>
      </c>
      <c r="DD279" s="1417" t="str">
        <f t="shared" si="501"/>
        <v>-</v>
      </c>
      <c r="DE279" s="1419" t="str">
        <f t="shared" si="502"/>
        <v>-</v>
      </c>
      <c r="DF279" s="1378"/>
      <c r="DG279" s="1412" t="str">
        <f t="shared" si="503"/>
        <v>Price</v>
      </c>
      <c r="DH279" s="1413" t="str">
        <f t="shared" si="503"/>
        <v>Water</v>
      </c>
      <c r="DI279" s="1426" t="str">
        <f t="shared" si="503"/>
        <v>Fixed</v>
      </c>
      <c r="DJ279" s="1426"/>
      <c r="DK279" s="1427" t="str">
        <f t="shared" si="504"/>
        <v>-</v>
      </c>
      <c r="DL279" s="1417" t="str">
        <f t="shared" si="505"/>
        <v>-</v>
      </c>
      <c r="DM279" s="1417" t="str">
        <f t="shared" si="506"/>
        <v>-</v>
      </c>
      <c r="DN279" s="1418" t="str">
        <f t="shared" si="507"/>
        <v>-</v>
      </c>
      <c r="DO279" s="1417" t="str">
        <f t="shared" si="508"/>
        <v>-</v>
      </c>
      <c r="DP279" s="1417" t="str">
        <f t="shared" si="509"/>
        <v>-</v>
      </c>
      <c r="DQ279" s="1417" t="str">
        <f t="shared" si="510"/>
        <v>-</v>
      </c>
      <c r="DR279" s="1419" t="str">
        <f t="shared" si="511"/>
        <v>-</v>
      </c>
    </row>
    <row r="280" spans="4:122">
      <c r="E280" s="742" t="s">
        <v>45</v>
      </c>
      <c r="F280" s="722" t="str">
        <f>+F279</f>
        <v>Water</v>
      </c>
      <c r="G280" s="723" t="str">
        <f>+G279</f>
        <v>Fixed Charges 2012-13 150mm</v>
      </c>
      <c r="H280" s="723">
        <f>+H279</f>
        <v>0</v>
      </c>
      <c r="I280" s="724" t="str">
        <f>+I279</f>
        <v>Fixed</v>
      </c>
      <c r="J280" s="782" t="s">
        <v>323</v>
      </c>
      <c r="K280" s="1540"/>
      <c r="L280" s="1541"/>
      <c r="M280" s="1541"/>
      <c r="N280" s="1542"/>
      <c r="O280" s="2031"/>
      <c r="P280" s="1543"/>
      <c r="Q280" s="1543"/>
      <c r="R280" s="1543"/>
      <c r="S280" s="1543"/>
      <c r="T280" s="1543"/>
      <c r="U280" s="1543"/>
      <c r="V280" s="1543"/>
      <c r="W280" s="1543"/>
      <c r="X280" s="1544"/>
      <c r="Y280" s="1543"/>
      <c r="Z280" s="1543"/>
      <c r="AA280" s="1543"/>
      <c r="AB280" s="1543"/>
      <c r="AC280" s="1544"/>
      <c r="AD280" s="1543"/>
      <c r="AE280" s="1543"/>
      <c r="AF280" s="1543"/>
      <c r="AG280" s="788"/>
      <c r="AH280" s="697"/>
      <c r="AI280" s="707"/>
      <c r="AJ280" s="709">
        <f t="shared" si="515"/>
        <v>0</v>
      </c>
      <c r="AK280" s="710">
        <f t="shared" si="516"/>
        <v>0</v>
      </c>
      <c r="AL280" s="710">
        <f t="shared" si="517"/>
        <v>0</v>
      </c>
      <c r="AM280" s="710">
        <f t="shared" si="518"/>
        <v>0</v>
      </c>
      <c r="AN280" s="710">
        <f t="shared" si="519"/>
        <v>0</v>
      </c>
      <c r="AO280" s="711">
        <f t="shared" si="520"/>
        <v>0</v>
      </c>
      <c r="AP280" s="707">
        <f t="shared" si="521"/>
        <v>0</v>
      </c>
      <c r="AQ280" s="707">
        <f t="shared" si="522"/>
        <v>0</v>
      </c>
      <c r="AR280" s="707">
        <f t="shared" si="523"/>
        <v>0</v>
      </c>
      <c r="AS280" s="712">
        <f t="shared" si="524"/>
        <v>0</v>
      </c>
      <c r="AV280" s="1559"/>
      <c r="AW280" s="1392" t="str">
        <f t="shared" si="472"/>
        <v>Qty</v>
      </c>
      <c r="AX280" s="1393" t="str">
        <f t="shared" si="472"/>
        <v>Water</v>
      </c>
      <c r="AY280" s="1394" t="str">
        <f t="shared" si="473"/>
        <v>Fixed</v>
      </c>
      <c r="AZ280" s="1395" t="str">
        <f t="shared" si="542"/>
        <v>-</v>
      </c>
      <c r="BA280" s="1395" t="str">
        <f t="shared" si="542"/>
        <v>-</v>
      </c>
      <c r="BB280" s="1395" t="str">
        <f t="shared" si="542"/>
        <v>-</v>
      </c>
      <c r="BC280" s="1395" t="str">
        <f t="shared" si="475"/>
        <v>-</v>
      </c>
      <c r="BD280" s="1395" t="str">
        <f t="shared" si="476"/>
        <v>-</v>
      </c>
      <c r="BE280" s="1395" t="str">
        <f t="shared" si="477"/>
        <v>-</v>
      </c>
      <c r="BF280" s="1395" t="str">
        <f t="shared" si="478"/>
        <v>-</v>
      </c>
      <c r="BG280" s="1396" t="str">
        <f t="shared" si="479"/>
        <v>-</v>
      </c>
      <c r="BH280" s="1395" t="str">
        <f t="shared" si="480"/>
        <v>-</v>
      </c>
      <c r="BI280" s="1395" t="str">
        <f t="shared" si="481"/>
        <v>-</v>
      </c>
      <c r="BJ280" s="1395" t="str">
        <f t="shared" si="482"/>
        <v>-</v>
      </c>
      <c r="BK280" s="1395" t="str">
        <f t="shared" si="483"/>
        <v>-</v>
      </c>
      <c r="BL280" s="1397" t="str">
        <f t="shared" si="484"/>
        <v>-</v>
      </c>
      <c r="BM280" s="1395" t="str">
        <f t="shared" si="485"/>
        <v>-</v>
      </c>
      <c r="BN280" s="1395" t="str">
        <f t="shared" si="486"/>
        <v>-</v>
      </c>
      <c r="BO280" s="1395" t="str">
        <f t="shared" si="487"/>
        <v>-</v>
      </c>
      <c r="BP280" s="1395" t="str">
        <f t="shared" si="488"/>
        <v>-</v>
      </c>
      <c r="BQ280" s="1398" t="str">
        <f t="shared" si="489"/>
        <v>-</v>
      </c>
      <c r="BR280" s="1378"/>
      <c r="BS280" s="1329"/>
      <c r="BT280" s="1399"/>
      <c r="BU280" s="1331"/>
      <c r="BV280" s="1400"/>
      <c r="BW280" s="1378"/>
      <c r="BX280" s="1392" t="str">
        <f t="shared" si="490"/>
        <v>Qty</v>
      </c>
      <c r="BY280" s="1393" t="str">
        <f t="shared" si="491"/>
        <v>Water</v>
      </c>
      <c r="BZ280" s="1394" t="str">
        <f t="shared" si="492"/>
        <v>Fixed</v>
      </c>
      <c r="CA280" s="1401" t="str">
        <f t="shared" ref="CA280:CR280" si="551">IFERROR((P280/O280-1)*(O281/O$13),"-")</f>
        <v>-</v>
      </c>
      <c r="CB280" s="1395" t="str">
        <f t="shared" si="551"/>
        <v>-</v>
      </c>
      <c r="CC280" s="1395" t="str">
        <f t="shared" si="551"/>
        <v>-</v>
      </c>
      <c r="CD280" s="1395" t="str">
        <f t="shared" si="551"/>
        <v>-</v>
      </c>
      <c r="CE280" s="1395" t="str">
        <f t="shared" si="551"/>
        <v>-</v>
      </c>
      <c r="CF280" s="1395" t="str">
        <f t="shared" si="551"/>
        <v>-</v>
      </c>
      <c r="CG280" s="1395" t="str">
        <f t="shared" si="551"/>
        <v>-</v>
      </c>
      <c r="CH280" s="1397" t="str">
        <f t="shared" si="551"/>
        <v>-</v>
      </c>
      <c r="CI280" s="1395" t="str">
        <f t="shared" si="551"/>
        <v>-</v>
      </c>
      <c r="CJ280" s="1395" t="str">
        <f t="shared" si="551"/>
        <v>-</v>
      </c>
      <c r="CK280" s="1395" t="str">
        <f t="shared" si="551"/>
        <v>-</v>
      </c>
      <c r="CL280" s="1395" t="str">
        <f t="shared" si="551"/>
        <v>-</v>
      </c>
      <c r="CM280" s="1397" t="str">
        <f t="shared" si="551"/>
        <v>-</v>
      </c>
      <c r="CN280" s="1395" t="str">
        <f t="shared" si="551"/>
        <v>-</v>
      </c>
      <c r="CO280" s="1395" t="str">
        <f t="shared" si="551"/>
        <v>-</v>
      </c>
      <c r="CP280" s="1395" t="str">
        <f t="shared" si="551"/>
        <v>-</v>
      </c>
      <c r="CQ280" s="1395" t="str">
        <f t="shared" si="551"/>
        <v>-</v>
      </c>
      <c r="CR280" s="1398" t="str">
        <f t="shared" si="551"/>
        <v>-</v>
      </c>
      <c r="CS280" s="1378"/>
      <c r="CT280" s="1392" t="str">
        <f t="shared" si="469"/>
        <v>Qty</v>
      </c>
      <c r="CU280" s="1393" t="str">
        <f t="shared" si="470"/>
        <v>Water</v>
      </c>
      <c r="CV280" s="1393" t="str">
        <f t="shared" si="471"/>
        <v>Fixed</v>
      </c>
      <c r="CW280" s="1401" t="str">
        <f t="shared" si="494"/>
        <v>-</v>
      </c>
      <c r="CX280" s="1395" t="str">
        <f t="shared" si="495"/>
        <v>-</v>
      </c>
      <c r="CY280" s="1395" t="str">
        <f t="shared" si="496"/>
        <v>-</v>
      </c>
      <c r="CZ280" s="1398" t="str">
        <f t="shared" si="497"/>
        <v>-</v>
      </c>
      <c r="DA280" s="1395" t="str">
        <f t="shared" si="498"/>
        <v>-</v>
      </c>
      <c r="DB280" s="1395" t="str">
        <f t="shared" si="499"/>
        <v>-</v>
      </c>
      <c r="DC280" s="1395" t="str">
        <f t="shared" si="500"/>
        <v>-</v>
      </c>
      <c r="DD280" s="1395" t="str">
        <f t="shared" si="501"/>
        <v>-</v>
      </c>
      <c r="DE280" s="1398" t="str">
        <f t="shared" si="502"/>
        <v>-</v>
      </c>
      <c r="DF280" s="1378"/>
      <c r="DG280" s="1392" t="str">
        <f t="shared" si="503"/>
        <v>Qty</v>
      </c>
      <c r="DH280" s="1393" t="str">
        <f t="shared" si="503"/>
        <v>Water</v>
      </c>
      <c r="DI280" s="1393" t="str">
        <f t="shared" si="503"/>
        <v>Fixed</v>
      </c>
      <c r="DJ280" s="1393"/>
      <c r="DK280" s="1401" t="str">
        <f t="shared" si="504"/>
        <v>-</v>
      </c>
      <c r="DL280" s="1395" t="str">
        <f t="shared" si="505"/>
        <v>-</v>
      </c>
      <c r="DM280" s="1395" t="str">
        <f t="shared" si="506"/>
        <v>-</v>
      </c>
      <c r="DN280" s="1397" t="str">
        <f t="shared" si="507"/>
        <v>-</v>
      </c>
      <c r="DO280" s="1395" t="str">
        <f t="shared" si="508"/>
        <v>-</v>
      </c>
      <c r="DP280" s="1395" t="str">
        <f t="shared" si="509"/>
        <v>-</v>
      </c>
      <c r="DQ280" s="1395" t="str">
        <f t="shared" si="510"/>
        <v>-</v>
      </c>
      <c r="DR280" s="1398" t="str">
        <f t="shared" si="511"/>
        <v>-</v>
      </c>
    </row>
    <row r="281" spans="4:122" ht="12.75" thickBot="1">
      <c r="E281" s="743" t="s">
        <v>46</v>
      </c>
      <c r="F281" s="732" t="str">
        <f>+F279</f>
        <v>Water</v>
      </c>
      <c r="G281" s="733" t="str">
        <f>+G279</f>
        <v>Fixed Charges 2012-13 150mm</v>
      </c>
      <c r="H281" s="733">
        <f>+H279</f>
        <v>0</v>
      </c>
      <c r="I281" s="734" t="str">
        <f>+I279</f>
        <v>Fixed</v>
      </c>
      <c r="J281" s="735" t="s">
        <v>344</v>
      </c>
      <c r="K281" s="736">
        <f t="shared" ref="K281:AG281" si="552">K279*K280/10^6</f>
        <v>0</v>
      </c>
      <c r="L281" s="737">
        <f t="shared" si="552"/>
        <v>0</v>
      </c>
      <c r="M281" s="737">
        <f t="shared" si="552"/>
        <v>0</v>
      </c>
      <c r="N281" s="738">
        <f t="shared" si="552"/>
        <v>0</v>
      </c>
      <c r="O281" s="1923">
        <f t="shared" si="552"/>
        <v>0</v>
      </c>
      <c r="P281" s="737">
        <f t="shared" si="552"/>
        <v>0</v>
      </c>
      <c r="Q281" s="737">
        <f t="shared" si="552"/>
        <v>0</v>
      </c>
      <c r="R281" s="737">
        <f t="shared" si="552"/>
        <v>0</v>
      </c>
      <c r="S281" s="737">
        <f t="shared" si="552"/>
        <v>0</v>
      </c>
      <c r="T281" s="1531">
        <f t="shared" si="552"/>
        <v>0</v>
      </c>
      <c r="U281" s="737">
        <f t="shared" si="552"/>
        <v>0</v>
      </c>
      <c r="V281" s="737">
        <f t="shared" si="552"/>
        <v>0</v>
      </c>
      <c r="W281" s="737">
        <f t="shared" si="552"/>
        <v>0</v>
      </c>
      <c r="X281" s="738">
        <f t="shared" si="552"/>
        <v>0</v>
      </c>
      <c r="Y281" s="737">
        <f t="shared" si="552"/>
        <v>0</v>
      </c>
      <c r="Z281" s="737">
        <f t="shared" si="552"/>
        <v>0</v>
      </c>
      <c r="AA281" s="737">
        <f t="shared" si="552"/>
        <v>0</v>
      </c>
      <c r="AB281" s="737">
        <f t="shared" si="552"/>
        <v>0</v>
      </c>
      <c r="AC281" s="738">
        <f t="shared" si="552"/>
        <v>0</v>
      </c>
      <c r="AD281" s="737">
        <f t="shared" si="552"/>
        <v>0</v>
      </c>
      <c r="AE281" s="737">
        <f t="shared" si="552"/>
        <v>0</v>
      </c>
      <c r="AF281" s="737">
        <f t="shared" si="552"/>
        <v>0</v>
      </c>
      <c r="AG281" s="739">
        <f t="shared" si="552"/>
        <v>0</v>
      </c>
      <c r="AH281" s="697"/>
      <c r="AI281" s="707"/>
      <c r="AJ281" s="709">
        <f t="shared" si="515"/>
        <v>0</v>
      </c>
      <c r="AK281" s="710">
        <f t="shared" si="516"/>
        <v>0</v>
      </c>
      <c r="AL281" s="710">
        <f t="shared" si="517"/>
        <v>0</v>
      </c>
      <c r="AM281" s="710">
        <f t="shared" si="518"/>
        <v>0</v>
      </c>
      <c r="AN281" s="710">
        <f t="shared" si="519"/>
        <v>0</v>
      </c>
      <c r="AO281" s="711">
        <f t="shared" si="520"/>
        <v>0</v>
      </c>
      <c r="AP281" s="707">
        <f t="shared" si="521"/>
        <v>0</v>
      </c>
      <c r="AQ281" s="707">
        <f t="shared" si="522"/>
        <v>0</v>
      </c>
      <c r="AR281" s="707">
        <f t="shared" si="523"/>
        <v>0</v>
      </c>
      <c r="AS281" s="712">
        <f t="shared" si="524"/>
        <v>0</v>
      </c>
      <c r="AV281" s="1559"/>
      <c r="AW281" s="1428" t="str">
        <f t="shared" si="472"/>
        <v>Rev</v>
      </c>
      <c r="AX281" s="1429" t="str">
        <f t="shared" si="472"/>
        <v>Water</v>
      </c>
      <c r="AY281" s="1430" t="str">
        <f t="shared" si="473"/>
        <v>Fixed</v>
      </c>
      <c r="AZ281" s="1431" t="str">
        <f t="shared" si="542"/>
        <v>-</v>
      </c>
      <c r="BA281" s="1431" t="str">
        <f t="shared" si="542"/>
        <v>-</v>
      </c>
      <c r="BB281" s="1431" t="str">
        <f t="shared" si="542"/>
        <v>-</v>
      </c>
      <c r="BC281" s="1431" t="str">
        <f t="shared" si="475"/>
        <v>-</v>
      </c>
      <c r="BD281" s="1431" t="str">
        <f t="shared" si="476"/>
        <v>-</v>
      </c>
      <c r="BE281" s="1431" t="str">
        <f t="shared" si="477"/>
        <v>-</v>
      </c>
      <c r="BF281" s="1431" t="str">
        <f t="shared" si="478"/>
        <v>-</v>
      </c>
      <c r="BG281" s="1432" t="str">
        <f t="shared" si="479"/>
        <v>-</v>
      </c>
      <c r="BH281" s="1431" t="str">
        <f t="shared" si="480"/>
        <v>-</v>
      </c>
      <c r="BI281" s="1431" t="str">
        <f t="shared" si="481"/>
        <v>-</v>
      </c>
      <c r="BJ281" s="1431" t="str">
        <f t="shared" si="482"/>
        <v>-</v>
      </c>
      <c r="BK281" s="1431" t="str">
        <f t="shared" si="483"/>
        <v>-</v>
      </c>
      <c r="BL281" s="1433" t="str">
        <f t="shared" si="484"/>
        <v>-</v>
      </c>
      <c r="BM281" s="1431" t="str">
        <f t="shared" si="485"/>
        <v>-</v>
      </c>
      <c r="BN281" s="1431" t="str">
        <f t="shared" si="486"/>
        <v>-</v>
      </c>
      <c r="BO281" s="1431" t="str">
        <f t="shared" si="487"/>
        <v>-</v>
      </c>
      <c r="BP281" s="1431" t="str">
        <f t="shared" si="488"/>
        <v>-</v>
      </c>
      <c r="BQ281" s="1434" t="str">
        <f t="shared" si="489"/>
        <v>-</v>
      </c>
      <c r="BR281" s="1378"/>
      <c r="BS281" s="1407"/>
      <c r="BT281" s="1408"/>
      <c r="BU281" s="1409"/>
      <c r="BV281" s="1410"/>
      <c r="BW281" s="1378"/>
      <c r="BX281" s="1428" t="str">
        <f t="shared" si="490"/>
        <v>Rev</v>
      </c>
      <c r="BY281" s="1429" t="str">
        <f t="shared" si="491"/>
        <v>Water</v>
      </c>
      <c r="BZ281" s="1430" t="str">
        <f t="shared" si="492"/>
        <v>Fixed</v>
      </c>
      <c r="CA281" s="1435" t="str">
        <f t="shared" ref="CA281:CR281" si="553">IFERROR((P281/O281-1)*(O281/O$13),"-")</f>
        <v>-</v>
      </c>
      <c r="CB281" s="1431" t="str">
        <f t="shared" si="553"/>
        <v>-</v>
      </c>
      <c r="CC281" s="1431" t="str">
        <f t="shared" si="553"/>
        <v>-</v>
      </c>
      <c r="CD281" s="1431" t="str">
        <f t="shared" si="553"/>
        <v>-</v>
      </c>
      <c r="CE281" s="1431" t="str">
        <f t="shared" si="553"/>
        <v>-</v>
      </c>
      <c r="CF281" s="1431" t="str">
        <f t="shared" si="553"/>
        <v>-</v>
      </c>
      <c r="CG281" s="1431" t="str">
        <f t="shared" si="553"/>
        <v>-</v>
      </c>
      <c r="CH281" s="1433" t="str">
        <f t="shared" si="553"/>
        <v>-</v>
      </c>
      <c r="CI281" s="1431" t="str">
        <f t="shared" si="553"/>
        <v>-</v>
      </c>
      <c r="CJ281" s="1431" t="str">
        <f t="shared" si="553"/>
        <v>-</v>
      </c>
      <c r="CK281" s="1431" t="str">
        <f t="shared" si="553"/>
        <v>-</v>
      </c>
      <c r="CL281" s="1431" t="str">
        <f t="shared" si="553"/>
        <v>-</v>
      </c>
      <c r="CM281" s="1433" t="str">
        <f t="shared" si="553"/>
        <v>-</v>
      </c>
      <c r="CN281" s="1431" t="str">
        <f t="shared" si="553"/>
        <v>-</v>
      </c>
      <c r="CO281" s="1431" t="str">
        <f t="shared" si="553"/>
        <v>-</v>
      </c>
      <c r="CP281" s="1431" t="str">
        <f t="shared" si="553"/>
        <v>-</v>
      </c>
      <c r="CQ281" s="1431" t="str">
        <f t="shared" si="553"/>
        <v>-</v>
      </c>
      <c r="CR281" s="1434" t="str">
        <f t="shared" si="553"/>
        <v>-</v>
      </c>
      <c r="CS281" s="1378"/>
      <c r="CT281" s="1428" t="str">
        <f t="shared" si="469"/>
        <v>Rev</v>
      </c>
      <c r="CU281" s="1429" t="str">
        <f t="shared" si="470"/>
        <v>Water</v>
      </c>
      <c r="CV281" s="1429" t="str">
        <f t="shared" si="471"/>
        <v>Fixed</v>
      </c>
      <c r="CW281" s="1435" t="str">
        <f t="shared" si="494"/>
        <v>-</v>
      </c>
      <c r="CX281" s="1431" t="str">
        <f t="shared" si="495"/>
        <v>-</v>
      </c>
      <c r="CY281" s="1431" t="str">
        <f t="shared" si="496"/>
        <v>-</v>
      </c>
      <c r="CZ281" s="1434" t="str">
        <f t="shared" si="497"/>
        <v>-</v>
      </c>
      <c r="DA281" s="1431" t="str">
        <f t="shared" si="498"/>
        <v>-</v>
      </c>
      <c r="DB281" s="1431" t="str">
        <f t="shared" si="499"/>
        <v>-</v>
      </c>
      <c r="DC281" s="1431" t="str">
        <f t="shared" si="500"/>
        <v>-</v>
      </c>
      <c r="DD281" s="1431" t="str">
        <f t="shared" si="501"/>
        <v>-</v>
      </c>
      <c r="DE281" s="1434" t="str">
        <f t="shared" si="502"/>
        <v>-</v>
      </c>
      <c r="DF281" s="1378"/>
      <c r="DG281" s="1428" t="str">
        <f t="shared" si="503"/>
        <v>Rev</v>
      </c>
      <c r="DH281" s="1429" t="str">
        <f t="shared" si="503"/>
        <v>Water</v>
      </c>
      <c r="DI281" s="1429" t="str">
        <f t="shared" si="503"/>
        <v>Fixed</v>
      </c>
      <c r="DJ281" s="1429"/>
      <c r="DK281" s="1435" t="str">
        <f t="shared" si="504"/>
        <v>-</v>
      </c>
      <c r="DL281" s="1431" t="str">
        <f t="shared" si="505"/>
        <v>-</v>
      </c>
      <c r="DM281" s="1431" t="str">
        <f t="shared" si="506"/>
        <v>-</v>
      </c>
      <c r="DN281" s="1433" t="str">
        <f t="shared" si="507"/>
        <v>-</v>
      </c>
      <c r="DO281" s="1431" t="str">
        <f t="shared" si="508"/>
        <v>-</v>
      </c>
      <c r="DP281" s="1431" t="str">
        <f t="shared" si="509"/>
        <v>-</v>
      </c>
      <c r="DQ281" s="1431" t="str">
        <f t="shared" si="510"/>
        <v>-</v>
      </c>
      <c r="DR281" s="1434" t="str">
        <f t="shared" si="511"/>
        <v>-</v>
      </c>
    </row>
    <row r="282" spans="4:122">
      <c r="D282" s="70">
        <f>D279+1</f>
        <v>73</v>
      </c>
      <c r="E282" s="713" t="s">
        <v>44</v>
      </c>
      <c r="F282" s="1532" t="s">
        <v>20</v>
      </c>
      <c r="G282" s="1532" t="s">
        <v>931</v>
      </c>
      <c r="H282" s="1532"/>
      <c r="I282" s="781" t="s">
        <v>319</v>
      </c>
      <c r="J282" s="781" t="s">
        <v>345</v>
      </c>
      <c r="K282" s="1533"/>
      <c r="L282" s="1534"/>
      <c r="M282" s="1534"/>
      <c r="N282" s="1535"/>
      <c r="O282" s="2071"/>
      <c r="P282" s="1547"/>
      <c r="Q282" s="1547"/>
      <c r="R282" s="1547"/>
      <c r="S282" s="1547"/>
      <c r="T282" s="1547"/>
      <c r="U282" s="1547"/>
      <c r="V282" s="1547"/>
      <c r="W282" s="1547"/>
      <c r="X282" s="1548"/>
      <c r="Y282" s="1547"/>
      <c r="Z282" s="1547"/>
      <c r="AA282" s="1547"/>
      <c r="AB282" s="1547"/>
      <c r="AC282" s="1548"/>
      <c r="AD282" s="1547"/>
      <c r="AE282" s="1547"/>
      <c r="AF282" s="1547"/>
      <c r="AG282" s="785"/>
      <c r="AH282" s="697"/>
      <c r="AI282" s="707"/>
      <c r="AJ282" s="709">
        <f t="shared" si="515"/>
        <v>0</v>
      </c>
      <c r="AK282" s="710">
        <f t="shared" si="516"/>
        <v>0</v>
      </c>
      <c r="AL282" s="710">
        <f t="shared" si="517"/>
        <v>0</v>
      </c>
      <c r="AM282" s="710">
        <f t="shared" si="518"/>
        <v>0</v>
      </c>
      <c r="AN282" s="710">
        <f t="shared" si="519"/>
        <v>0</v>
      </c>
      <c r="AO282" s="711">
        <f t="shared" si="520"/>
        <v>0</v>
      </c>
      <c r="AP282" s="707">
        <f t="shared" si="521"/>
        <v>0</v>
      </c>
      <c r="AQ282" s="707">
        <f t="shared" si="522"/>
        <v>0</v>
      </c>
      <c r="AR282" s="707">
        <f t="shared" si="523"/>
        <v>0</v>
      </c>
      <c r="AS282" s="712">
        <f t="shared" si="524"/>
        <v>0</v>
      </c>
      <c r="AU282" s="1369"/>
      <c r="AV282" s="1559"/>
      <c r="AW282" s="1412" t="str">
        <f t="shared" si="472"/>
        <v>Price</v>
      </c>
      <c r="AX282" s="1413" t="str">
        <f t="shared" si="472"/>
        <v>Water</v>
      </c>
      <c r="AY282" s="1414" t="str">
        <f t="shared" si="473"/>
        <v>Fixed</v>
      </c>
      <c r="AZ282" s="1415" t="str">
        <f t="shared" si="542"/>
        <v>-</v>
      </c>
      <c r="BA282" s="1415" t="str">
        <f t="shared" si="542"/>
        <v>-</v>
      </c>
      <c r="BB282" s="1415" t="str">
        <f t="shared" si="542"/>
        <v>-</v>
      </c>
      <c r="BC282" s="1415" t="str">
        <f t="shared" si="475"/>
        <v>-</v>
      </c>
      <c r="BD282" s="1415" t="str">
        <f t="shared" si="476"/>
        <v>-</v>
      </c>
      <c r="BE282" s="1415" t="str">
        <f t="shared" si="477"/>
        <v>-</v>
      </c>
      <c r="BF282" s="1415" t="str">
        <f t="shared" si="478"/>
        <v>-</v>
      </c>
      <c r="BG282" s="1416" t="str">
        <f t="shared" si="479"/>
        <v>-</v>
      </c>
      <c r="BH282" s="1417" t="str">
        <f t="shared" si="480"/>
        <v>-</v>
      </c>
      <c r="BI282" s="1417" t="str">
        <f t="shared" si="481"/>
        <v>-</v>
      </c>
      <c r="BJ282" s="1417" t="str">
        <f t="shared" si="482"/>
        <v>-</v>
      </c>
      <c r="BK282" s="1417" t="str">
        <f t="shared" si="483"/>
        <v>-</v>
      </c>
      <c r="BL282" s="1418" t="str">
        <f t="shared" si="484"/>
        <v>-</v>
      </c>
      <c r="BM282" s="1417" t="str">
        <f t="shared" si="485"/>
        <v>-</v>
      </c>
      <c r="BN282" s="1417" t="str">
        <f t="shared" si="486"/>
        <v>-</v>
      </c>
      <c r="BO282" s="1417" t="str">
        <f t="shared" si="487"/>
        <v>-</v>
      </c>
      <c r="BP282" s="1417" t="str">
        <f t="shared" si="488"/>
        <v>-</v>
      </c>
      <c r="BQ282" s="1419" t="str">
        <f t="shared" si="489"/>
        <v>-</v>
      </c>
      <c r="BR282" s="1378"/>
      <c r="BS282" s="1420"/>
      <c r="BT282" s="1421"/>
      <c r="BU282" s="1422"/>
      <c r="BV282" s="1423"/>
      <c r="BW282" s="1378"/>
      <c r="BX282" s="1412" t="str">
        <f t="shared" si="490"/>
        <v>Price</v>
      </c>
      <c r="BY282" s="1413" t="str">
        <f t="shared" si="491"/>
        <v>Water</v>
      </c>
      <c r="BZ282" s="1414" t="str">
        <f t="shared" si="492"/>
        <v>Fixed</v>
      </c>
      <c r="CA282" s="1424" t="str">
        <f t="shared" ref="CA282:CR282" si="554">IFERROR((P282/O282-1)*(O284/O$13),"-")</f>
        <v>-</v>
      </c>
      <c r="CB282" s="1415" t="str">
        <f t="shared" si="554"/>
        <v>-</v>
      </c>
      <c r="CC282" s="1415" t="str">
        <f t="shared" si="554"/>
        <v>-</v>
      </c>
      <c r="CD282" s="1415" t="str">
        <f t="shared" si="554"/>
        <v>-</v>
      </c>
      <c r="CE282" s="1415" t="str">
        <f t="shared" si="554"/>
        <v>-</v>
      </c>
      <c r="CF282" s="1415" t="str">
        <f t="shared" si="554"/>
        <v>-</v>
      </c>
      <c r="CG282" s="1415" t="str">
        <f t="shared" si="554"/>
        <v>-</v>
      </c>
      <c r="CH282" s="1425" t="str">
        <f t="shared" si="554"/>
        <v>-</v>
      </c>
      <c r="CI282" s="1417" t="str">
        <f t="shared" si="554"/>
        <v>-</v>
      </c>
      <c r="CJ282" s="1417" t="str">
        <f t="shared" si="554"/>
        <v>-</v>
      </c>
      <c r="CK282" s="1417" t="str">
        <f t="shared" si="554"/>
        <v>-</v>
      </c>
      <c r="CL282" s="1417" t="str">
        <f t="shared" si="554"/>
        <v>-</v>
      </c>
      <c r="CM282" s="1418" t="str">
        <f t="shared" si="554"/>
        <v>-</v>
      </c>
      <c r="CN282" s="1417" t="str">
        <f t="shared" si="554"/>
        <v>-</v>
      </c>
      <c r="CO282" s="1417" t="str">
        <f t="shared" si="554"/>
        <v>-</v>
      </c>
      <c r="CP282" s="1417" t="str">
        <f t="shared" si="554"/>
        <v>-</v>
      </c>
      <c r="CQ282" s="1417" t="str">
        <f t="shared" si="554"/>
        <v>-</v>
      </c>
      <c r="CR282" s="1419" t="str">
        <f t="shared" si="554"/>
        <v>-</v>
      </c>
      <c r="CS282" s="1378"/>
      <c r="CT282" s="1412" t="str">
        <f t="shared" si="469"/>
        <v>Price</v>
      </c>
      <c r="CU282" s="1413" t="str">
        <f t="shared" si="470"/>
        <v>Water</v>
      </c>
      <c r="CV282" s="1426" t="str">
        <f t="shared" si="471"/>
        <v>Fixed</v>
      </c>
      <c r="CW282" s="1427" t="str">
        <f t="shared" si="494"/>
        <v>-</v>
      </c>
      <c r="CX282" s="1417" t="str">
        <f t="shared" si="495"/>
        <v>-</v>
      </c>
      <c r="CY282" s="1417" t="str">
        <f t="shared" si="496"/>
        <v>-</v>
      </c>
      <c r="CZ282" s="1419" t="str">
        <f t="shared" si="497"/>
        <v>-</v>
      </c>
      <c r="DA282" s="1417" t="str">
        <f t="shared" si="498"/>
        <v>-</v>
      </c>
      <c r="DB282" s="1417" t="str">
        <f t="shared" si="499"/>
        <v>-</v>
      </c>
      <c r="DC282" s="1417" t="str">
        <f t="shared" si="500"/>
        <v>-</v>
      </c>
      <c r="DD282" s="1417" t="str">
        <f t="shared" si="501"/>
        <v>-</v>
      </c>
      <c r="DE282" s="1419" t="str">
        <f t="shared" si="502"/>
        <v>-</v>
      </c>
      <c r="DF282" s="1378"/>
      <c r="DG282" s="1412" t="str">
        <f t="shared" si="503"/>
        <v>Price</v>
      </c>
      <c r="DH282" s="1413" t="str">
        <f t="shared" si="503"/>
        <v>Water</v>
      </c>
      <c r="DI282" s="1426" t="str">
        <f t="shared" si="503"/>
        <v>Fixed</v>
      </c>
      <c r="DJ282" s="1426"/>
      <c r="DK282" s="1427" t="str">
        <f t="shared" si="504"/>
        <v>-</v>
      </c>
      <c r="DL282" s="1417" t="str">
        <f t="shared" si="505"/>
        <v>-</v>
      </c>
      <c r="DM282" s="1417" t="str">
        <f t="shared" si="506"/>
        <v>-</v>
      </c>
      <c r="DN282" s="1418" t="str">
        <f t="shared" si="507"/>
        <v>-</v>
      </c>
      <c r="DO282" s="1417" t="str">
        <f t="shared" si="508"/>
        <v>-</v>
      </c>
      <c r="DP282" s="1417" t="str">
        <f t="shared" si="509"/>
        <v>-</v>
      </c>
      <c r="DQ282" s="1417" t="str">
        <f t="shared" si="510"/>
        <v>-</v>
      </c>
      <c r="DR282" s="1419" t="str">
        <f t="shared" si="511"/>
        <v>-</v>
      </c>
    </row>
    <row r="283" spans="4:122">
      <c r="E283" s="742" t="s">
        <v>45</v>
      </c>
      <c r="F283" s="722" t="str">
        <f>+F282</f>
        <v>Water</v>
      </c>
      <c r="G283" s="723" t="str">
        <f>+G282</f>
        <v>Fixed Charges 2012-13 200mm</v>
      </c>
      <c r="H283" s="723">
        <f>+H282</f>
        <v>0</v>
      </c>
      <c r="I283" s="724" t="str">
        <f>+I282</f>
        <v>Fixed</v>
      </c>
      <c r="J283" s="782" t="s">
        <v>323</v>
      </c>
      <c r="K283" s="1540"/>
      <c r="L283" s="1541"/>
      <c r="M283" s="1541"/>
      <c r="N283" s="1542"/>
      <c r="O283" s="2031"/>
      <c r="P283" s="1543"/>
      <c r="Q283" s="1543"/>
      <c r="R283" s="1543"/>
      <c r="S283" s="1543"/>
      <c r="T283" s="1543"/>
      <c r="U283" s="1543"/>
      <c r="V283" s="1543"/>
      <c r="W283" s="1543"/>
      <c r="X283" s="1544"/>
      <c r="Y283" s="1543"/>
      <c r="Z283" s="1543"/>
      <c r="AA283" s="1543"/>
      <c r="AB283" s="1543"/>
      <c r="AC283" s="1544"/>
      <c r="AD283" s="1543"/>
      <c r="AE283" s="1543"/>
      <c r="AF283" s="1543"/>
      <c r="AG283" s="788"/>
      <c r="AH283" s="697"/>
      <c r="AI283" s="707"/>
      <c r="AJ283" s="709">
        <f t="shared" si="515"/>
        <v>0</v>
      </c>
      <c r="AK283" s="710">
        <f t="shared" si="516"/>
        <v>0</v>
      </c>
      <c r="AL283" s="710">
        <f t="shared" si="517"/>
        <v>0</v>
      </c>
      <c r="AM283" s="710">
        <f t="shared" si="518"/>
        <v>0</v>
      </c>
      <c r="AN283" s="710">
        <f t="shared" si="519"/>
        <v>0</v>
      </c>
      <c r="AO283" s="711">
        <f t="shared" si="520"/>
        <v>0</v>
      </c>
      <c r="AP283" s="707">
        <f t="shared" si="521"/>
        <v>0</v>
      </c>
      <c r="AQ283" s="707">
        <f t="shared" si="522"/>
        <v>0</v>
      </c>
      <c r="AR283" s="707">
        <f t="shared" si="523"/>
        <v>0</v>
      </c>
      <c r="AS283" s="712">
        <f t="shared" si="524"/>
        <v>0</v>
      </c>
      <c r="AV283" s="1559"/>
      <c r="AW283" s="1392" t="str">
        <f t="shared" si="472"/>
        <v>Qty</v>
      </c>
      <c r="AX283" s="1393" t="str">
        <f t="shared" si="472"/>
        <v>Water</v>
      </c>
      <c r="AY283" s="1394" t="str">
        <f t="shared" si="473"/>
        <v>Fixed</v>
      </c>
      <c r="AZ283" s="1395" t="str">
        <f t="shared" si="542"/>
        <v>-</v>
      </c>
      <c r="BA283" s="1395" t="str">
        <f t="shared" si="542"/>
        <v>-</v>
      </c>
      <c r="BB283" s="1395" t="str">
        <f t="shared" si="542"/>
        <v>-</v>
      </c>
      <c r="BC283" s="1395" t="str">
        <f t="shared" si="475"/>
        <v>-</v>
      </c>
      <c r="BD283" s="1395" t="str">
        <f t="shared" si="476"/>
        <v>-</v>
      </c>
      <c r="BE283" s="1395" t="str">
        <f t="shared" si="477"/>
        <v>-</v>
      </c>
      <c r="BF283" s="1395" t="str">
        <f t="shared" si="478"/>
        <v>-</v>
      </c>
      <c r="BG283" s="1396" t="str">
        <f t="shared" si="479"/>
        <v>-</v>
      </c>
      <c r="BH283" s="1395" t="str">
        <f t="shared" si="480"/>
        <v>-</v>
      </c>
      <c r="BI283" s="1395" t="str">
        <f t="shared" si="481"/>
        <v>-</v>
      </c>
      <c r="BJ283" s="1395" t="str">
        <f t="shared" si="482"/>
        <v>-</v>
      </c>
      <c r="BK283" s="1395" t="str">
        <f t="shared" si="483"/>
        <v>-</v>
      </c>
      <c r="BL283" s="1397" t="str">
        <f t="shared" si="484"/>
        <v>-</v>
      </c>
      <c r="BM283" s="1395" t="str">
        <f t="shared" si="485"/>
        <v>-</v>
      </c>
      <c r="BN283" s="1395" t="str">
        <f t="shared" si="486"/>
        <v>-</v>
      </c>
      <c r="BO283" s="1395" t="str">
        <f t="shared" si="487"/>
        <v>-</v>
      </c>
      <c r="BP283" s="1395" t="str">
        <f t="shared" si="488"/>
        <v>-</v>
      </c>
      <c r="BQ283" s="1398" t="str">
        <f t="shared" si="489"/>
        <v>-</v>
      </c>
      <c r="BR283" s="1378"/>
      <c r="BS283" s="1329"/>
      <c r="BT283" s="1399"/>
      <c r="BU283" s="1331"/>
      <c r="BV283" s="1400"/>
      <c r="BW283" s="1378"/>
      <c r="BX283" s="1392" t="str">
        <f t="shared" si="490"/>
        <v>Qty</v>
      </c>
      <c r="BY283" s="1393" t="str">
        <f t="shared" si="491"/>
        <v>Water</v>
      </c>
      <c r="BZ283" s="1394" t="str">
        <f t="shared" si="492"/>
        <v>Fixed</v>
      </c>
      <c r="CA283" s="1401" t="str">
        <f t="shared" ref="CA283:CR283" si="555">IFERROR((P283/O283-1)*(O284/O$13),"-")</f>
        <v>-</v>
      </c>
      <c r="CB283" s="1395" t="str">
        <f t="shared" si="555"/>
        <v>-</v>
      </c>
      <c r="CC283" s="1395" t="str">
        <f t="shared" si="555"/>
        <v>-</v>
      </c>
      <c r="CD283" s="1395" t="str">
        <f t="shared" si="555"/>
        <v>-</v>
      </c>
      <c r="CE283" s="1395" t="str">
        <f t="shared" si="555"/>
        <v>-</v>
      </c>
      <c r="CF283" s="1395" t="str">
        <f t="shared" si="555"/>
        <v>-</v>
      </c>
      <c r="CG283" s="1395" t="str">
        <f t="shared" si="555"/>
        <v>-</v>
      </c>
      <c r="CH283" s="1397" t="str">
        <f t="shared" si="555"/>
        <v>-</v>
      </c>
      <c r="CI283" s="1395" t="str">
        <f t="shared" si="555"/>
        <v>-</v>
      </c>
      <c r="CJ283" s="1395" t="str">
        <f t="shared" si="555"/>
        <v>-</v>
      </c>
      <c r="CK283" s="1395" t="str">
        <f t="shared" si="555"/>
        <v>-</v>
      </c>
      <c r="CL283" s="1395" t="str">
        <f t="shared" si="555"/>
        <v>-</v>
      </c>
      <c r="CM283" s="1397" t="str">
        <f t="shared" si="555"/>
        <v>-</v>
      </c>
      <c r="CN283" s="1395" t="str">
        <f t="shared" si="555"/>
        <v>-</v>
      </c>
      <c r="CO283" s="1395" t="str">
        <f t="shared" si="555"/>
        <v>-</v>
      </c>
      <c r="CP283" s="1395" t="str">
        <f t="shared" si="555"/>
        <v>-</v>
      </c>
      <c r="CQ283" s="1395" t="str">
        <f t="shared" si="555"/>
        <v>-</v>
      </c>
      <c r="CR283" s="1398" t="str">
        <f t="shared" si="555"/>
        <v>-</v>
      </c>
      <c r="CS283" s="1378"/>
      <c r="CT283" s="1392" t="str">
        <f t="shared" si="469"/>
        <v>Qty</v>
      </c>
      <c r="CU283" s="1393" t="str">
        <f t="shared" si="470"/>
        <v>Water</v>
      </c>
      <c r="CV283" s="1393" t="str">
        <f t="shared" si="471"/>
        <v>Fixed</v>
      </c>
      <c r="CW283" s="1401" t="str">
        <f t="shared" si="494"/>
        <v>-</v>
      </c>
      <c r="CX283" s="1395" t="str">
        <f t="shared" si="495"/>
        <v>-</v>
      </c>
      <c r="CY283" s="1395" t="str">
        <f t="shared" si="496"/>
        <v>-</v>
      </c>
      <c r="CZ283" s="1398" t="str">
        <f t="shared" si="497"/>
        <v>-</v>
      </c>
      <c r="DA283" s="1395" t="str">
        <f t="shared" si="498"/>
        <v>-</v>
      </c>
      <c r="DB283" s="1395" t="str">
        <f t="shared" si="499"/>
        <v>-</v>
      </c>
      <c r="DC283" s="1395" t="str">
        <f t="shared" si="500"/>
        <v>-</v>
      </c>
      <c r="DD283" s="1395" t="str">
        <f t="shared" si="501"/>
        <v>-</v>
      </c>
      <c r="DE283" s="1398" t="str">
        <f t="shared" si="502"/>
        <v>-</v>
      </c>
      <c r="DF283" s="1378"/>
      <c r="DG283" s="1392" t="str">
        <f t="shared" si="503"/>
        <v>Qty</v>
      </c>
      <c r="DH283" s="1393" t="str">
        <f t="shared" si="503"/>
        <v>Water</v>
      </c>
      <c r="DI283" s="1393" t="str">
        <f t="shared" si="503"/>
        <v>Fixed</v>
      </c>
      <c r="DJ283" s="1393"/>
      <c r="DK283" s="1401" t="str">
        <f t="shared" si="504"/>
        <v>-</v>
      </c>
      <c r="DL283" s="1395" t="str">
        <f t="shared" si="505"/>
        <v>-</v>
      </c>
      <c r="DM283" s="1395" t="str">
        <f t="shared" si="506"/>
        <v>-</v>
      </c>
      <c r="DN283" s="1397" t="str">
        <f t="shared" si="507"/>
        <v>-</v>
      </c>
      <c r="DO283" s="1395" t="str">
        <f t="shared" si="508"/>
        <v>-</v>
      </c>
      <c r="DP283" s="1395" t="str">
        <f t="shared" si="509"/>
        <v>-</v>
      </c>
      <c r="DQ283" s="1395" t="str">
        <f t="shared" si="510"/>
        <v>-</v>
      </c>
      <c r="DR283" s="1398" t="str">
        <f t="shared" si="511"/>
        <v>-</v>
      </c>
    </row>
    <row r="284" spans="4:122" ht="12.75" thickBot="1">
      <c r="E284" s="743" t="s">
        <v>46</v>
      </c>
      <c r="F284" s="732" t="str">
        <f>+F282</f>
        <v>Water</v>
      </c>
      <c r="G284" s="733" t="str">
        <f>+G282</f>
        <v>Fixed Charges 2012-13 200mm</v>
      </c>
      <c r="H284" s="733">
        <f>+H282</f>
        <v>0</v>
      </c>
      <c r="I284" s="734" t="str">
        <f>+I282</f>
        <v>Fixed</v>
      </c>
      <c r="J284" s="735" t="s">
        <v>344</v>
      </c>
      <c r="K284" s="736">
        <f t="shared" ref="K284:AG284" si="556">K282*K283/10^6</f>
        <v>0</v>
      </c>
      <c r="L284" s="737">
        <f t="shared" si="556"/>
        <v>0</v>
      </c>
      <c r="M284" s="737">
        <f t="shared" si="556"/>
        <v>0</v>
      </c>
      <c r="N284" s="738">
        <f t="shared" si="556"/>
        <v>0</v>
      </c>
      <c r="O284" s="1923">
        <f t="shared" si="556"/>
        <v>0</v>
      </c>
      <c r="P284" s="737">
        <f t="shared" si="556"/>
        <v>0</v>
      </c>
      <c r="Q284" s="737">
        <f t="shared" si="556"/>
        <v>0</v>
      </c>
      <c r="R284" s="737">
        <f t="shared" si="556"/>
        <v>0</v>
      </c>
      <c r="S284" s="737">
        <f t="shared" si="556"/>
        <v>0</v>
      </c>
      <c r="T284" s="1531">
        <f t="shared" si="556"/>
        <v>0</v>
      </c>
      <c r="U284" s="737">
        <f t="shared" si="556"/>
        <v>0</v>
      </c>
      <c r="V284" s="737">
        <f t="shared" si="556"/>
        <v>0</v>
      </c>
      <c r="W284" s="737">
        <f t="shared" si="556"/>
        <v>0</v>
      </c>
      <c r="X284" s="738">
        <f t="shared" si="556"/>
        <v>0</v>
      </c>
      <c r="Y284" s="737">
        <f t="shared" si="556"/>
        <v>0</v>
      </c>
      <c r="Z284" s="737">
        <f t="shared" si="556"/>
        <v>0</v>
      </c>
      <c r="AA284" s="737">
        <f t="shared" si="556"/>
        <v>0</v>
      </c>
      <c r="AB284" s="737">
        <f t="shared" si="556"/>
        <v>0</v>
      </c>
      <c r="AC284" s="738">
        <f t="shared" si="556"/>
        <v>0</v>
      </c>
      <c r="AD284" s="737">
        <f t="shared" si="556"/>
        <v>0</v>
      </c>
      <c r="AE284" s="737">
        <f t="shared" si="556"/>
        <v>0</v>
      </c>
      <c r="AF284" s="737">
        <f t="shared" si="556"/>
        <v>0</v>
      </c>
      <c r="AG284" s="739">
        <f t="shared" si="556"/>
        <v>0</v>
      </c>
      <c r="AH284" s="697"/>
      <c r="AI284" s="707"/>
      <c r="AJ284" s="709">
        <f t="shared" si="515"/>
        <v>0</v>
      </c>
      <c r="AK284" s="710">
        <f t="shared" si="516"/>
        <v>0</v>
      </c>
      <c r="AL284" s="710">
        <f t="shared" si="517"/>
        <v>0</v>
      </c>
      <c r="AM284" s="710">
        <f t="shared" si="518"/>
        <v>0</v>
      </c>
      <c r="AN284" s="710">
        <f t="shared" si="519"/>
        <v>0</v>
      </c>
      <c r="AO284" s="711">
        <f t="shared" si="520"/>
        <v>0</v>
      </c>
      <c r="AP284" s="707">
        <f t="shared" si="521"/>
        <v>0</v>
      </c>
      <c r="AQ284" s="707">
        <f t="shared" si="522"/>
        <v>0</v>
      </c>
      <c r="AR284" s="707">
        <f t="shared" si="523"/>
        <v>0</v>
      </c>
      <c r="AS284" s="712">
        <f t="shared" si="524"/>
        <v>0</v>
      </c>
      <c r="AV284" s="1559"/>
      <c r="AW284" s="1428" t="str">
        <f t="shared" si="472"/>
        <v>Rev</v>
      </c>
      <c r="AX284" s="1429" t="str">
        <f t="shared" si="472"/>
        <v>Water</v>
      </c>
      <c r="AY284" s="1430" t="str">
        <f t="shared" si="473"/>
        <v>Fixed</v>
      </c>
      <c r="AZ284" s="1431" t="str">
        <f t="shared" si="542"/>
        <v>-</v>
      </c>
      <c r="BA284" s="1431" t="str">
        <f t="shared" si="542"/>
        <v>-</v>
      </c>
      <c r="BB284" s="1431" t="str">
        <f t="shared" si="542"/>
        <v>-</v>
      </c>
      <c r="BC284" s="1431" t="str">
        <f t="shared" si="475"/>
        <v>-</v>
      </c>
      <c r="BD284" s="1431" t="str">
        <f t="shared" si="476"/>
        <v>-</v>
      </c>
      <c r="BE284" s="1431" t="str">
        <f t="shared" si="477"/>
        <v>-</v>
      </c>
      <c r="BF284" s="1431" t="str">
        <f t="shared" si="478"/>
        <v>-</v>
      </c>
      <c r="BG284" s="1432" t="str">
        <f t="shared" si="479"/>
        <v>-</v>
      </c>
      <c r="BH284" s="1431" t="str">
        <f t="shared" si="480"/>
        <v>-</v>
      </c>
      <c r="BI284" s="1431" t="str">
        <f t="shared" si="481"/>
        <v>-</v>
      </c>
      <c r="BJ284" s="1431" t="str">
        <f t="shared" si="482"/>
        <v>-</v>
      </c>
      <c r="BK284" s="1431" t="str">
        <f t="shared" si="483"/>
        <v>-</v>
      </c>
      <c r="BL284" s="1433" t="str">
        <f t="shared" si="484"/>
        <v>-</v>
      </c>
      <c r="BM284" s="1431" t="str">
        <f t="shared" si="485"/>
        <v>-</v>
      </c>
      <c r="BN284" s="1431" t="str">
        <f t="shared" si="486"/>
        <v>-</v>
      </c>
      <c r="BO284" s="1431" t="str">
        <f t="shared" si="487"/>
        <v>-</v>
      </c>
      <c r="BP284" s="1431" t="str">
        <f t="shared" si="488"/>
        <v>-</v>
      </c>
      <c r="BQ284" s="1434" t="str">
        <f t="shared" si="489"/>
        <v>-</v>
      </c>
      <c r="BR284" s="1378"/>
      <c r="BS284" s="1407"/>
      <c r="BT284" s="1408"/>
      <c r="BU284" s="1409"/>
      <c r="BV284" s="1410"/>
      <c r="BW284" s="1378"/>
      <c r="BX284" s="1428" t="str">
        <f t="shared" si="490"/>
        <v>Rev</v>
      </c>
      <c r="BY284" s="1429" t="str">
        <f t="shared" si="491"/>
        <v>Water</v>
      </c>
      <c r="BZ284" s="1430" t="str">
        <f t="shared" si="492"/>
        <v>Fixed</v>
      </c>
      <c r="CA284" s="1435" t="str">
        <f t="shared" ref="CA284:CR284" si="557">IFERROR((P284/O284-1)*(O284/O$13),"-")</f>
        <v>-</v>
      </c>
      <c r="CB284" s="1431" t="str">
        <f t="shared" si="557"/>
        <v>-</v>
      </c>
      <c r="CC284" s="1431" t="str">
        <f t="shared" si="557"/>
        <v>-</v>
      </c>
      <c r="CD284" s="1431" t="str">
        <f t="shared" si="557"/>
        <v>-</v>
      </c>
      <c r="CE284" s="1431" t="str">
        <f t="shared" si="557"/>
        <v>-</v>
      </c>
      <c r="CF284" s="1431" t="str">
        <f t="shared" si="557"/>
        <v>-</v>
      </c>
      <c r="CG284" s="1431" t="str">
        <f t="shared" si="557"/>
        <v>-</v>
      </c>
      <c r="CH284" s="1433" t="str">
        <f t="shared" si="557"/>
        <v>-</v>
      </c>
      <c r="CI284" s="1431" t="str">
        <f t="shared" si="557"/>
        <v>-</v>
      </c>
      <c r="CJ284" s="1431" t="str">
        <f t="shared" si="557"/>
        <v>-</v>
      </c>
      <c r="CK284" s="1431" t="str">
        <f t="shared" si="557"/>
        <v>-</v>
      </c>
      <c r="CL284" s="1431" t="str">
        <f t="shared" si="557"/>
        <v>-</v>
      </c>
      <c r="CM284" s="1433" t="str">
        <f t="shared" si="557"/>
        <v>-</v>
      </c>
      <c r="CN284" s="1431" t="str">
        <f t="shared" si="557"/>
        <v>-</v>
      </c>
      <c r="CO284" s="1431" t="str">
        <f t="shared" si="557"/>
        <v>-</v>
      </c>
      <c r="CP284" s="1431" t="str">
        <f t="shared" si="557"/>
        <v>-</v>
      </c>
      <c r="CQ284" s="1431" t="str">
        <f t="shared" si="557"/>
        <v>-</v>
      </c>
      <c r="CR284" s="1434" t="str">
        <f t="shared" si="557"/>
        <v>-</v>
      </c>
      <c r="CS284" s="1378"/>
      <c r="CT284" s="1428" t="str">
        <f t="shared" si="469"/>
        <v>Rev</v>
      </c>
      <c r="CU284" s="1429" t="str">
        <f t="shared" si="470"/>
        <v>Water</v>
      </c>
      <c r="CV284" s="1429" t="str">
        <f t="shared" si="471"/>
        <v>Fixed</v>
      </c>
      <c r="CW284" s="1435" t="str">
        <f t="shared" si="494"/>
        <v>-</v>
      </c>
      <c r="CX284" s="1431" t="str">
        <f t="shared" si="495"/>
        <v>-</v>
      </c>
      <c r="CY284" s="1431" t="str">
        <f t="shared" si="496"/>
        <v>-</v>
      </c>
      <c r="CZ284" s="1434" t="str">
        <f t="shared" si="497"/>
        <v>-</v>
      </c>
      <c r="DA284" s="1431" t="str">
        <f t="shared" si="498"/>
        <v>-</v>
      </c>
      <c r="DB284" s="1431" t="str">
        <f t="shared" si="499"/>
        <v>-</v>
      </c>
      <c r="DC284" s="1431" t="str">
        <f t="shared" si="500"/>
        <v>-</v>
      </c>
      <c r="DD284" s="1431" t="str">
        <f t="shared" si="501"/>
        <v>-</v>
      </c>
      <c r="DE284" s="1434" t="str">
        <f t="shared" si="502"/>
        <v>-</v>
      </c>
      <c r="DF284" s="1378"/>
      <c r="DG284" s="1428" t="str">
        <f t="shared" si="503"/>
        <v>Rev</v>
      </c>
      <c r="DH284" s="1429" t="str">
        <f t="shared" si="503"/>
        <v>Water</v>
      </c>
      <c r="DI284" s="1429" t="str">
        <f t="shared" si="503"/>
        <v>Fixed</v>
      </c>
      <c r="DJ284" s="1429"/>
      <c r="DK284" s="1435" t="str">
        <f t="shared" si="504"/>
        <v>-</v>
      </c>
      <c r="DL284" s="1431" t="str">
        <f t="shared" si="505"/>
        <v>-</v>
      </c>
      <c r="DM284" s="1431" t="str">
        <f t="shared" si="506"/>
        <v>-</v>
      </c>
      <c r="DN284" s="1433" t="str">
        <f t="shared" si="507"/>
        <v>-</v>
      </c>
      <c r="DO284" s="1431" t="str">
        <f t="shared" si="508"/>
        <v>-</v>
      </c>
      <c r="DP284" s="1431" t="str">
        <f t="shared" si="509"/>
        <v>-</v>
      </c>
      <c r="DQ284" s="1431" t="str">
        <f t="shared" si="510"/>
        <v>-</v>
      </c>
      <c r="DR284" s="1434" t="str">
        <f t="shared" si="511"/>
        <v>-</v>
      </c>
    </row>
    <row r="285" spans="4:122">
      <c r="D285" s="70">
        <f>D282+1</f>
        <v>74</v>
      </c>
      <c r="E285" s="713" t="s">
        <v>44</v>
      </c>
      <c r="F285" s="1532" t="s">
        <v>20</v>
      </c>
      <c r="G285" s="1532" t="s">
        <v>932</v>
      </c>
      <c r="H285" s="1532"/>
      <c r="I285" s="781" t="s">
        <v>319</v>
      </c>
      <c r="J285" s="781" t="s">
        <v>345</v>
      </c>
      <c r="K285" s="1533"/>
      <c r="L285" s="1534"/>
      <c r="M285" s="1534"/>
      <c r="N285" s="1535"/>
      <c r="O285" s="2071"/>
      <c r="P285" s="1547"/>
      <c r="Q285" s="1547"/>
      <c r="R285" s="1547"/>
      <c r="S285" s="1547"/>
      <c r="T285" s="1547"/>
      <c r="U285" s="1547"/>
      <c r="V285" s="1547"/>
      <c r="W285" s="1547"/>
      <c r="X285" s="1548"/>
      <c r="Y285" s="1547"/>
      <c r="Z285" s="1547"/>
      <c r="AA285" s="1547"/>
      <c r="AB285" s="1547"/>
      <c r="AC285" s="1548"/>
      <c r="AD285" s="1547"/>
      <c r="AE285" s="1547"/>
      <c r="AF285" s="1547"/>
      <c r="AG285" s="785"/>
      <c r="AH285" s="697"/>
      <c r="AI285" s="707"/>
      <c r="AJ285" s="709">
        <f t="shared" si="515"/>
        <v>0</v>
      </c>
      <c r="AK285" s="710">
        <f t="shared" si="516"/>
        <v>0</v>
      </c>
      <c r="AL285" s="710">
        <f t="shared" si="517"/>
        <v>0</v>
      </c>
      <c r="AM285" s="710">
        <f t="shared" si="518"/>
        <v>0</v>
      </c>
      <c r="AN285" s="710">
        <f t="shared" si="519"/>
        <v>0</v>
      </c>
      <c r="AO285" s="711">
        <f t="shared" si="520"/>
        <v>0</v>
      </c>
      <c r="AP285" s="707">
        <f t="shared" si="521"/>
        <v>0</v>
      </c>
      <c r="AQ285" s="707">
        <f t="shared" si="522"/>
        <v>0</v>
      </c>
      <c r="AR285" s="707">
        <f t="shared" si="523"/>
        <v>0</v>
      </c>
      <c r="AS285" s="712">
        <f t="shared" si="524"/>
        <v>0</v>
      </c>
      <c r="AU285" s="1369"/>
      <c r="AV285" s="1559"/>
      <c r="AW285" s="1412" t="str">
        <f t="shared" si="472"/>
        <v>Price</v>
      </c>
      <c r="AX285" s="1413" t="str">
        <f t="shared" si="472"/>
        <v>Water</v>
      </c>
      <c r="AY285" s="1414" t="str">
        <f t="shared" si="473"/>
        <v>Fixed</v>
      </c>
      <c r="AZ285" s="1415" t="str">
        <f t="shared" si="542"/>
        <v>-</v>
      </c>
      <c r="BA285" s="1415" t="str">
        <f t="shared" si="542"/>
        <v>-</v>
      </c>
      <c r="BB285" s="1415" t="str">
        <f t="shared" si="542"/>
        <v>-</v>
      </c>
      <c r="BC285" s="1415" t="str">
        <f t="shared" si="475"/>
        <v>-</v>
      </c>
      <c r="BD285" s="1415" t="str">
        <f t="shared" si="476"/>
        <v>-</v>
      </c>
      <c r="BE285" s="1415" t="str">
        <f t="shared" si="477"/>
        <v>-</v>
      </c>
      <c r="BF285" s="1415" t="str">
        <f t="shared" si="478"/>
        <v>-</v>
      </c>
      <c r="BG285" s="1416" t="str">
        <f t="shared" si="479"/>
        <v>-</v>
      </c>
      <c r="BH285" s="1417" t="str">
        <f t="shared" si="480"/>
        <v>-</v>
      </c>
      <c r="BI285" s="1417" t="str">
        <f t="shared" si="481"/>
        <v>-</v>
      </c>
      <c r="BJ285" s="1417" t="str">
        <f t="shared" si="482"/>
        <v>-</v>
      </c>
      <c r="BK285" s="1417" t="str">
        <f t="shared" si="483"/>
        <v>-</v>
      </c>
      <c r="BL285" s="1418" t="str">
        <f t="shared" si="484"/>
        <v>-</v>
      </c>
      <c r="BM285" s="1417" t="str">
        <f t="shared" si="485"/>
        <v>-</v>
      </c>
      <c r="BN285" s="1417" t="str">
        <f t="shared" si="486"/>
        <v>-</v>
      </c>
      <c r="BO285" s="1417" t="str">
        <f t="shared" si="487"/>
        <v>-</v>
      </c>
      <c r="BP285" s="1417" t="str">
        <f t="shared" si="488"/>
        <v>-</v>
      </c>
      <c r="BQ285" s="1419" t="str">
        <f t="shared" si="489"/>
        <v>-</v>
      </c>
      <c r="BR285" s="1378"/>
      <c r="BS285" s="1420"/>
      <c r="BT285" s="1421"/>
      <c r="BU285" s="1422"/>
      <c r="BV285" s="1423"/>
      <c r="BW285" s="1378"/>
      <c r="BX285" s="1412" t="str">
        <f t="shared" si="490"/>
        <v>Price</v>
      </c>
      <c r="BY285" s="1413" t="str">
        <f t="shared" si="491"/>
        <v>Water</v>
      </c>
      <c r="BZ285" s="1414" t="str">
        <f t="shared" si="492"/>
        <v>Fixed</v>
      </c>
      <c r="CA285" s="1424" t="str">
        <f t="shared" ref="CA285:CR285" si="558">IFERROR((P285/O285-1)*(O287/O$13),"-")</f>
        <v>-</v>
      </c>
      <c r="CB285" s="1415" t="str">
        <f t="shared" si="558"/>
        <v>-</v>
      </c>
      <c r="CC285" s="1415" t="str">
        <f t="shared" si="558"/>
        <v>-</v>
      </c>
      <c r="CD285" s="1415" t="str">
        <f t="shared" si="558"/>
        <v>-</v>
      </c>
      <c r="CE285" s="1415" t="str">
        <f t="shared" si="558"/>
        <v>-</v>
      </c>
      <c r="CF285" s="1415" t="str">
        <f t="shared" si="558"/>
        <v>-</v>
      </c>
      <c r="CG285" s="1415" t="str">
        <f t="shared" si="558"/>
        <v>-</v>
      </c>
      <c r="CH285" s="1425" t="str">
        <f t="shared" si="558"/>
        <v>-</v>
      </c>
      <c r="CI285" s="1417" t="str">
        <f t="shared" si="558"/>
        <v>-</v>
      </c>
      <c r="CJ285" s="1417" t="str">
        <f t="shared" si="558"/>
        <v>-</v>
      </c>
      <c r="CK285" s="1417" t="str">
        <f t="shared" si="558"/>
        <v>-</v>
      </c>
      <c r="CL285" s="1417" t="str">
        <f t="shared" si="558"/>
        <v>-</v>
      </c>
      <c r="CM285" s="1418" t="str">
        <f t="shared" si="558"/>
        <v>-</v>
      </c>
      <c r="CN285" s="1417" t="str">
        <f t="shared" si="558"/>
        <v>-</v>
      </c>
      <c r="CO285" s="1417" t="str">
        <f t="shared" si="558"/>
        <v>-</v>
      </c>
      <c r="CP285" s="1417" t="str">
        <f t="shared" si="558"/>
        <v>-</v>
      </c>
      <c r="CQ285" s="1417" t="str">
        <f t="shared" si="558"/>
        <v>-</v>
      </c>
      <c r="CR285" s="1419" t="str">
        <f t="shared" si="558"/>
        <v>-</v>
      </c>
      <c r="CS285" s="1378"/>
      <c r="CT285" s="1412" t="str">
        <f t="shared" si="469"/>
        <v>Price</v>
      </c>
      <c r="CU285" s="1413" t="str">
        <f t="shared" si="470"/>
        <v>Water</v>
      </c>
      <c r="CV285" s="1426" t="str">
        <f t="shared" si="471"/>
        <v>Fixed</v>
      </c>
      <c r="CW285" s="1427" t="str">
        <f t="shared" si="494"/>
        <v>-</v>
      </c>
      <c r="CX285" s="1417" t="str">
        <f t="shared" si="495"/>
        <v>-</v>
      </c>
      <c r="CY285" s="1417" t="str">
        <f t="shared" si="496"/>
        <v>-</v>
      </c>
      <c r="CZ285" s="1419" t="str">
        <f t="shared" si="497"/>
        <v>-</v>
      </c>
      <c r="DA285" s="1417" t="str">
        <f t="shared" si="498"/>
        <v>-</v>
      </c>
      <c r="DB285" s="1417" t="str">
        <f t="shared" si="499"/>
        <v>-</v>
      </c>
      <c r="DC285" s="1417" t="str">
        <f t="shared" si="500"/>
        <v>-</v>
      </c>
      <c r="DD285" s="1417" t="str">
        <f t="shared" si="501"/>
        <v>-</v>
      </c>
      <c r="DE285" s="1419" t="str">
        <f t="shared" si="502"/>
        <v>-</v>
      </c>
      <c r="DF285" s="1378"/>
      <c r="DG285" s="1412" t="str">
        <f t="shared" si="503"/>
        <v>Price</v>
      </c>
      <c r="DH285" s="1413" t="str">
        <f t="shared" si="503"/>
        <v>Water</v>
      </c>
      <c r="DI285" s="1426" t="str">
        <f t="shared" si="503"/>
        <v>Fixed</v>
      </c>
      <c r="DJ285" s="1426"/>
      <c r="DK285" s="1427" t="str">
        <f t="shared" si="504"/>
        <v>-</v>
      </c>
      <c r="DL285" s="1417" t="str">
        <f t="shared" si="505"/>
        <v>-</v>
      </c>
      <c r="DM285" s="1417" t="str">
        <f t="shared" si="506"/>
        <v>-</v>
      </c>
      <c r="DN285" s="1418" t="str">
        <f t="shared" si="507"/>
        <v>-</v>
      </c>
      <c r="DO285" s="1417" t="str">
        <f t="shared" si="508"/>
        <v>-</v>
      </c>
      <c r="DP285" s="1417" t="str">
        <f t="shared" si="509"/>
        <v>-</v>
      </c>
      <c r="DQ285" s="1417" t="str">
        <f t="shared" si="510"/>
        <v>-</v>
      </c>
      <c r="DR285" s="1419" t="str">
        <f t="shared" si="511"/>
        <v>-</v>
      </c>
    </row>
    <row r="286" spans="4:122">
      <c r="E286" s="742" t="s">
        <v>45</v>
      </c>
      <c r="F286" s="722" t="str">
        <f>+F285</f>
        <v>Water</v>
      </c>
      <c r="G286" s="723" t="str">
        <f>+G285</f>
        <v>Fixed Charges 2012-13 250mm</v>
      </c>
      <c r="H286" s="723">
        <f>+H285</f>
        <v>0</v>
      </c>
      <c r="I286" s="724" t="str">
        <f>+I285</f>
        <v>Fixed</v>
      </c>
      <c r="J286" s="782" t="s">
        <v>323</v>
      </c>
      <c r="K286" s="1540"/>
      <c r="L286" s="1541"/>
      <c r="M286" s="1541"/>
      <c r="N286" s="1542"/>
      <c r="O286" s="2031"/>
      <c r="P286" s="1543"/>
      <c r="Q286" s="1543"/>
      <c r="R286" s="1543"/>
      <c r="S286" s="1543"/>
      <c r="T286" s="1543"/>
      <c r="U286" s="1543"/>
      <c r="V286" s="1543"/>
      <c r="W286" s="1543"/>
      <c r="X286" s="1544"/>
      <c r="Y286" s="1543"/>
      <c r="Z286" s="1543"/>
      <c r="AA286" s="1543"/>
      <c r="AB286" s="1543"/>
      <c r="AC286" s="1544"/>
      <c r="AD286" s="1543"/>
      <c r="AE286" s="1543"/>
      <c r="AF286" s="1543"/>
      <c r="AG286" s="788"/>
      <c r="AH286" s="697"/>
      <c r="AI286" s="707"/>
      <c r="AJ286" s="709">
        <f t="shared" si="515"/>
        <v>0</v>
      </c>
      <c r="AK286" s="710">
        <f t="shared" si="516"/>
        <v>0</v>
      </c>
      <c r="AL286" s="710">
        <f t="shared" si="517"/>
        <v>0</v>
      </c>
      <c r="AM286" s="710">
        <f t="shared" si="518"/>
        <v>0</v>
      </c>
      <c r="AN286" s="710">
        <f t="shared" si="519"/>
        <v>0</v>
      </c>
      <c r="AO286" s="711">
        <f t="shared" si="520"/>
        <v>0</v>
      </c>
      <c r="AP286" s="707">
        <f t="shared" si="521"/>
        <v>0</v>
      </c>
      <c r="AQ286" s="707">
        <f t="shared" si="522"/>
        <v>0</v>
      </c>
      <c r="AR286" s="707">
        <f t="shared" si="523"/>
        <v>0</v>
      </c>
      <c r="AS286" s="712">
        <f t="shared" si="524"/>
        <v>0</v>
      </c>
      <c r="AV286" s="1559"/>
      <c r="AW286" s="1392" t="str">
        <f t="shared" si="472"/>
        <v>Qty</v>
      </c>
      <c r="AX286" s="1393" t="str">
        <f t="shared" si="472"/>
        <v>Water</v>
      </c>
      <c r="AY286" s="1394" t="str">
        <f t="shared" si="473"/>
        <v>Fixed</v>
      </c>
      <c r="AZ286" s="1395" t="str">
        <f t="shared" si="542"/>
        <v>-</v>
      </c>
      <c r="BA286" s="1395" t="str">
        <f t="shared" si="542"/>
        <v>-</v>
      </c>
      <c r="BB286" s="1395" t="str">
        <f t="shared" si="542"/>
        <v>-</v>
      </c>
      <c r="BC286" s="1395" t="str">
        <f t="shared" si="475"/>
        <v>-</v>
      </c>
      <c r="BD286" s="1395" t="str">
        <f t="shared" si="476"/>
        <v>-</v>
      </c>
      <c r="BE286" s="1395" t="str">
        <f t="shared" si="477"/>
        <v>-</v>
      </c>
      <c r="BF286" s="1395" t="str">
        <f t="shared" si="478"/>
        <v>-</v>
      </c>
      <c r="BG286" s="1396" t="str">
        <f t="shared" si="479"/>
        <v>-</v>
      </c>
      <c r="BH286" s="1395" t="str">
        <f t="shared" si="480"/>
        <v>-</v>
      </c>
      <c r="BI286" s="1395" t="str">
        <f t="shared" si="481"/>
        <v>-</v>
      </c>
      <c r="BJ286" s="1395" t="str">
        <f t="shared" si="482"/>
        <v>-</v>
      </c>
      <c r="BK286" s="1395" t="str">
        <f t="shared" si="483"/>
        <v>-</v>
      </c>
      <c r="BL286" s="1397" t="str">
        <f t="shared" si="484"/>
        <v>-</v>
      </c>
      <c r="BM286" s="1395" t="str">
        <f t="shared" si="485"/>
        <v>-</v>
      </c>
      <c r="BN286" s="1395" t="str">
        <f t="shared" si="486"/>
        <v>-</v>
      </c>
      <c r="BO286" s="1395" t="str">
        <f t="shared" si="487"/>
        <v>-</v>
      </c>
      <c r="BP286" s="1395" t="str">
        <f t="shared" si="488"/>
        <v>-</v>
      </c>
      <c r="BQ286" s="1398" t="str">
        <f t="shared" si="489"/>
        <v>-</v>
      </c>
      <c r="BR286" s="1378"/>
      <c r="BS286" s="1329"/>
      <c r="BT286" s="1399"/>
      <c r="BU286" s="1331"/>
      <c r="BV286" s="1400"/>
      <c r="BW286" s="1378"/>
      <c r="BX286" s="1392" t="str">
        <f t="shared" si="490"/>
        <v>Qty</v>
      </c>
      <c r="BY286" s="1393" t="str">
        <f t="shared" si="491"/>
        <v>Water</v>
      </c>
      <c r="BZ286" s="1394" t="str">
        <f t="shared" si="492"/>
        <v>Fixed</v>
      </c>
      <c r="CA286" s="1401" t="str">
        <f t="shared" ref="CA286:CR286" si="559">IFERROR((P286/O286-1)*(O287/O$13),"-")</f>
        <v>-</v>
      </c>
      <c r="CB286" s="1395" t="str">
        <f t="shared" si="559"/>
        <v>-</v>
      </c>
      <c r="CC286" s="1395" t="str">
        <f t="shared" si="559"/>
        <v>-</v>
      </c>
      <c r="CD286" s="1395" t="str">
        <f t="shared" si="559"/>
        <v>-</v>
      </c>
      <c r="CE286" s="1395" t="str">
        <f t="shared" si="559"/>
        <v>-</v>
      </c>
      <c r="CF286" s="1395" t="str">
        <f t="shared" si="559"/>
        <v>-</v>
      </c>
      <c r="CG286" s="1395" t="str">
        <f t="shared" si="559"/>
        <v>-</v>
      </c>
      <c r="CH286" s="1397" t="str">
        <f t="shared" si="559"/>
        <v>-</v>
      </c>
      <c r="CI286" s="1395" t="str">
        <f t="shared" si="559"/>
        <v>-</v>
      </c>
      <c r="CJ286" s="1395" t="str">
        <f t="shared" si="559"/>
        <v>-</v>
      </c>
      <c r="CK286" s="1395" t="str">
        <f t="shared" si="559"/>
        <v>-</v>
      </c>
      <c r="CL286" s="1395" t="str">
        <f t="shared" si="559"/>
        <v>-</v>
      </c>
      <c r="CM286" s="1397" t="str">
        <f t="shared" si="559"/>
        <v>-</v>
      </c>
      <c r="CN286" s="1395" t="str">
        <f t="shared" si="559"/>
        <v>-</v>
      </c>
      <c r="CO286" s="1395" t="str">
        <f t="shared" si="559"/>
        <v>-</v>
      </c>
      <c r="CP286" s="1395" t="str">
        <f t="shared" si="559"/>
        <v>-</v>
      </c>
      <c r="CQ286" s="1395" t="str">
        <f t="shared" si="559"/>
        <v>-</v>
      </c>
      <c r="CR286" s="1398" t="str">
        <f t="shared" si="559"/>
        <v>-</v>
      </c>
      <c r="CS286" s="1378"/>
      <c r="CT286" s="1392" t="str">
        <f t="shared" si="469"/>
        <v>Qty</v>
      </c>
      <c r="CU286" s="1393" t="str">
        <f t="shared" si="470"/>
        <v>Water</v>
      </c>
      <c r="CV286" s="1393" t="str">
        <f t="shared" si="471"/>
        <v>Fixed</v>
      </c>
      <c r="CW286" s="1401" t="str">
        <f t="shared" si="494"/>
        <v>-</v>
      </c>
      <c r="CX286" s="1395" t="str">
        <f t="shared" si="495"/>
        <v>-</v>
      </c>
      <c r="CY286" s="1395" t="str">
        <f t="shared" si="496"/>
        <v>-</v>
      </c>
      <c r="CZ286" s="1398" t="str">
        <f t="shared" si="497"/>
        <v>-</v>
      </c>
      <c r="DA286" s="1395" t="str">
        <f t="shared" si="498"/>
        <v>-</v>
      </c>
      <c r="DB286" s="1395" t="str">
        <f t="shared" si="499"/>
        <v>-</v>
      </c>
      <c r="DC286" s="1395" t="str">
        <f t="shared" si="500"/>
        <v>-</v>
      </c>
      <c r="DD286" s="1395" t="str">
        <f t="shared" si="501"/>
        <v>-</v>
      </c>
      <c r="DE286" s="1398" t="str">
        <f t="shared" si="502"/>
        <v>-</v>
      </c>
      <c r="DF286" s="1378"/>
      <c r="DG286" s="1392" t="str">
        <f t="shared" si="503"/>
        <v>Qty</v>
      </c>
      <c r="DH286" s="1393" t="str">
        <f t="shared" si="503"/>
        <v>Water</v>
      </c>
      <c r="DI286" s="1393" t="str">
        <f t="shared" si="503"/>
        <v>Fixed</v>
      </c>
      <c r="DJ286" s="1393"/>
      <c r="DK286" s="1401" t="str">
        <f t="shared" si="504"/>
        <v>-</v>
      </c>
      <c r="DL286" s="1395" t="str">
        <f t="shared" si="505"/>
        <v>-</v>
      </c>
      <c r="DM286" s="1395" t="str">
        <f t="shared" si="506"/>
        <v>-</v>
      </c>
      <c r="DN286" s="1397" t="str">
        <f t="shared" si="507"/>
        <v>-</v>
      </c>
      <c r="DO286" s="1395" t="str">
        <f t="shared" si="508"/>
        <v>-</v>
      </c>
      <c r="DP286" s="1395" t="str">
        <f t="shared" si="509"/>
        <v>-</v>
      </c>
      <c r="DQ286" s="1395" t="str">
        <f t="shared" si="510"/>
        <v>-</v>
      </c>
      <c r="DR286" s="1398" t="str">
        <f t="shared" si="511"/>
        <v>-</v>
      </c>
    </row>
    <row r="287" spans="4:122" ht="12.75" thickBot="1">
      <c r="E287" s="743" t="s">
        <v>46</v>
      </c>
      <c r="F287" s="732" t="str">
        <f>+F285</f>
        <v>Water</v>
      </c>
      <c r="G287" s="733" t="str">
        <f>+G285</f>
        <v>Fixed Charges 2012-13 250mm</v>
      </c>
      <c r="H287" s="733">
        <f>+H285</f>
        <v>0</v>
      </c>
      <c r="I287" s="734" t="str">
        <f>+I285</f>
        <v>Fixed</v>
      </c>
      <c r="J287" s="735" t="s">
        <v>344</v>
      </c>
      <c r="K287" s="736">
        <f t="shared" ref="K287:AG287" si="560">K285*K286/10^6</f>
        <v>0</v>
      </c>
      <c r="L287" s="737">
        <f t="shared" si="560"/>
        <v>0</v>
      </c>
      <c r="M287" s="737">
        <f t="shared" si="560"/>
        <v>0</v>
      </c>
      <c r="N287" s="738">
        <f t="shared" si="560"/>
        <v>0</v>
      </c>
      <c r="O287" s="1923">
        <f t="shared" si="560"/>
        <v>0</v>
      </c>
      <c r="P287" s="737">
        <f t="shared" si="560"/>
        <v>0</v>
      </c>
      <c r="Q287" s="737">
        <f t="shared" si="560"/>
        <v>0</v>
      </c>
      <c r="R287" s="737">
        <f t="shared" si="560"/>
        <v>0</v>
      </c>
      <c r="S287" s="737">
        <f t="shared" si="560"/>
        <v>0</v>
      </c>
      <c r="T287" s="1531">
        <f t="shared" si="560"/>
        <v>0</v>
      </c>
      <c r="U287" s="737">
        <f t="shared" si="560"/>
        <v>0</v>
      </c>
      <c r="V287" s="737">
        <f t="shared" si="560"/>
        <v>0</v>
      </c>
      <c r="W287" s="737">
        <f t="shared" si="560"/>
        <v>0</v>
      </c>
      <c r="X287" s="738">
        <f t="shared" si="560"/>
        <v>0</v>
      </c>
      <c r="Y287" s="737">
        <f t="shared" si="560"/>
        <v>0</v>
      </c>
      <c r="Z287" s="737">
        <f t="shared" si="560"/>
        <v>0</v>
      </c>
      <c r="AA287" s="737">
        <f t="shared" si="560"/>
        <v>0</v>
      </c>
      <c r="AB287" s="737">
        <f t="shared" si="560"/>
        <v>0</v>
      </c>
      <c r="AC287" s="738">
        <f t="shared" si="560"/>
        <v>0</v>
      </c>
      <c r="AD287" s="737">
        <f t="shared" si="560"/>
        <v>0</v>
      </c>
      <c r="AE287" s="737">
        <f t="shared" si="560"/>
        <v>0</v>
      </c>
      <c r="AF287" s="737">
        <f t="shared" si="560"/>
        <v>0</v>
      </c>
      <c r="AG287" s="739">
        <f t="shared" si="560"/>
        <v>0</v>
      </c>
      <c r="AH287" s="697"/>
      <c r="AI287" s="707"/>
      <c r="AJ287" s="709">
        <f t="shared" si="515"/>
        <v>0</v>
      </c>
      <c r="AK287" s="710">
        <f t="shared" si="516"/>
        <v>0</v>
      </c>
      <c r="AL287" s="710">
        <f t="shared" si="517"/>
        <v>0</v>
      </c>
      <c r="AM287" s="710">
        <f t="shared" si="518"/>
        <v>0</v>
      </c>
      <c r="AN287" s="710">
        <f t="shared" si="519"/>
        <v>0</v>
      </c>
      <c r="AO287" s="711">
        <f t="shared" si="520"/>
        <v>0</v>
      </c>
      <c r="AP287" s="707">
        <f t="shared" si="521"/>
        <v>0</v>
      </c>
      <c r="AQ287" s="707">
        <f t="shared" si="522"/>
        <v>0</v>
      </c>
      <c r="AR287" s="707">
        <f t="shared" si="523"/>
        <v>0</v>
      </c>
      <c r="AS287" s="712">
        <f t="shared" si="524"/>
        <v>0</v>
      </c>
      <c r="AV287" s="1559"/>
      <c r="AW287" s="1428" t="str">
        <f t="shared" si="472"/>
        <v>Rev</v>
      </c>
      <c r="AX287" s="1429" t="str">
        <f t="shared" si="472"/>
        <v>Water</v>
      </c>
      <c r="AY287" s="1430" t="str">
        <f t="shared" si="473"/>
        <v>Fixed</v>
      </c>
      <c r="AZ287" s="1431" t="str">
        <f t="shared" si="542"/>
        <v>-</v>
      </c>
      <c r="BA287" s="1431" t="str">
        <f t="shared" si="542"/>
        <v>-</v>
      </c>
      <c r="BB287" s="1431" t="str">
        <f t="shared" si="542"/>
        <v>-</v>
      </c>
      <c r="BC287" s="1431" t="str">
        <f t="shared" si="475"/>
        <v>-</v>
      </c>
      <c r="BD287" s="1431" t="str">
        <f t="shared" si="476"/>
        <v>-</v>
      </c>
      <c r="BE287" s="1431" t="str">
        <f t="shared" si="477"/>
        <v>-</v>
      </c>
      <c r="BF287" s="1431" t="str">
        <f t="shared" si="478"/>
        <v>-</v>
      </c>
      <c r="BG287" s="1432" t="str">
        <f t="shared" si="479"/>
        <v>-</v>
      </c>
      <c r="BH287" s="1431" t="str">
        <f t="shared" si="480"/>
        <v>-</v>
      </c>
      <c r="BI287" s="1431" t="str">
        <f t="shared" si="481"/>
        <v>-</v>
      </c>
      <c r="BJ287" s="1431" t="str">
        <f t="shared" si="482"/>
        <v>-</v>
      </c>
      <c r="BK287" s="1431" t="str">
        <f t="shared" si="483"/>
        <v>-</v>
      </c>
      <c r="BL287" s="1433" t="str">
        <f t="shared" si="484"/>
        <v>-</v>
      </c>
      <c r="BM287" s="1431" t="str">
        <f t="shared" si="485"/>
        <v>-</v>
      </c>
      <c r="BN287" s="1431" t="str">
        <f t="shared" si="486"/>
        <v>-</v>
      </c>
      <c r="BO287" s="1431" t="str">
        <f t="shared" si="487"/>
        <v>-</v>
      </c>
      <c r="BP287" s="1431" t="str">
        <f t="shared" si="488"/>
        <v>-</v>
      </c>
      <c r="BQ287" s="1434" t="str">
        <f t="shared" si="489"/>
        <v>-</v>
      </c>
      <c r="BR287" s="1378"/>
      <c r="BS287" s="1407"/>
      <c r="BT287" s="1408"/>
      <c r="BU287" s="1409"/>
      <c r="BV287" s="1410"/>
      <c r="BW287" s="1378"/>
      <c r="BX287" s="1428" t="str">
        <f t="shared" si="490"/>
        <v>Rev</v>
      </c>
      <c r="BY287" s="1429" t="str">
        <f t="shared" si="491"/>
        <v>Water</v>
      </c>
      <c r="BZ287" s="1430" t="str">
        <f t="shared" si="492"/>
        <v>Fixed</v>
      </c>
      <c r="CA287" s="1435" t="str">
        <f t="shared" ref="CA287:CR287" si="561">IFERROR((P287/O287-1)*(O287/O$13),"-")</f>
        <v>-</v>
      </c>
      <c r="CB287" s="1431" t="str">
        <f t="shared" si="561"/>
        <v>-</v>
      </c>
      <c r="CC287" s="1431" t="str">
        <f t="shared" si="561"/>
        <v>-</v>
      </c>
      <c r="CD287" s="1431" t="str">
        <f t="shared" si="561"/>
        <v>-</v>
      </c>
      <c r="CE287" s="1431" t="str">
        <f t="shared" si="561"/>
        <v>-</v>
      </c>
      <c r="CF287" s="1431" t="str">
        <f t="shared" si="561"/>
        <v>-</v>
      </c>
      <c r="CG287" s="1431" t="str">
        <f t="shared" si="561"/>
        <v>-</v>
      </c>
      <c r="CH287" s="1433" t="str">
        <f t="shared" si="561"/>
        <v>-</v>
      </c>
      <c r="CI287" s="1431" t="str">
        <f t="shared" si="561"/>
        <v>-</v>
      </c>
      <c r="CJ287" s="1431" t="str">
        <f t="shared" si="561"/>
        <v>-</v>
      </c>
      <c r="CK287" s="1431" t="str">
        <f t="shared" si="561"/>
        <v>-</v>
      </c>
      <c r="CL287" s="1431" t="str">
        <f t="shared" si="561"/>
        <v>-</v>
      </c>
      <c r="CM287" s="1433" t="str">
        <f t="shared" si="561"/>
        <v>-</v>
      </c>
      <c r="CN287" s="1431" t="str">
        <f t="shared" si="561"/>
        <v>-</v>
      </c>
      <c r="CO287" s="1431" t="str">
        <f t="shared" si="561"/>
        <v>-</v>
      </c>
      <c r="CP287" s="1431" t="str">
        <f t="shared" si="561"/>
        <v>-</v>
      </c>
      <c r="CQ287" s="1431" t="str">
        <f t="shared" si="561"/>
        <v>-</v>
      </c>
      <c r="CR287" s="1434" t="str">
        <f t="shared" si="561"/>
        <v>-</v>
      </c>
      <c r="CS287" s="1378"/>
      <c r="CT287" s="1428" t="str">
        <f t="shared" si="469"/>
        <v>Rev</v>
      </c>
      <c r="CU287" s="1429" t="str">
        <f t="shared" si="470"/>
        <v>Water</v>
      </c>
      <c r="CV287" s="1429" t="str">
        <f t="shared" si="471"/>
        <v>Fixed</v>
      </c>
      <c r="CW287" s="1435" t="str">
        <f t="shared" si="494"/>
        <v>-</v>
      </c>
      <c r="CX287" s="1431" t="str">
        <f t="shared" si="495"/>
        <v>-</v>
      </c>
      <c r="CY287" s="1431" t="str">
        <f t="shared" si="496"/>
        <v>-</v>
      </c>
      <c r="CZ287" s="1434" t="str">
        <f t="shared" si="497"/>
        <v>-</v>
      </c>
      <c r="DA287" s="1431" t="str">
        <f t="shared" si="498"/>
        <v>-</v>
      </c>
      <c r="DB287" s="1431" t="str">
        <f t="shared" si="499"/>
        <v>-</v>
      </c>
      <c r="DC287" s="1431" t="str">
        <f t="shared" si="500"/>
        <v>-</v>
      </c>
      <c r="DD287" s="1431" t="str">
        <f t="shared" si="501"/>
        <v>-</v>
      </c>
      <c r="DE287" s="1434" t="str">
        <f t="shared" si="502"/>
        <v>-</v>
      </c>
      <c r="DF287" s="1378"/>
      <c r="DG287" s="1428" t="str">
        <f t="shared" si="503"/>
        <v>Rev</v>
      </c>
      <c r="DH287" s="1429" t="str">
        <f t="shared" si="503"/>
        <v>Water</v>
      </c>
      <c r="DI287" s="1429" t="str">
        <f t="shared" si="503"/>
        <v>Fixed</v>
      </c>
      <c r="DJ287" s="1429"/>
      <c r="DK287" s="1435" t="str">
        <f t="shared" si="504"/>
        <v>-</v>
      </c>
      <c r="DL287" s="1431" t="str">
        <f t="shared" si="505"/>
        <v>-</v>
      </c>
      <c r="DM287" s="1431" t="str">
        <f t="shared" si="506"/>
        <v>-</v>
      </c>
      <c r="DN287" s="1433" t="str">
        <f t="shared" si="507"/>
        <v>-</v>
      </c>
      <c r="DO287" s="1431" t="str">
        <f t="shared" si="508"/>
        <v>-</v>
      </c>
      <c r="DP287" s="1431" t="str">
        <f t="shared" si="509"/>
        <v>-</v>
      </c>
      <c r="DQ287" s="1431" t="str">
        <f t="shared" si="510"/>
        <v>-</v>
      </c>
      <c r="DR287" s="1434" t="str">
        <f t="shared" si="511"/>
        <v>-</v>
      </c>
    </row>
    <row r="288" spans="4:122">
      <c r="D288" s="70">
        <f>D285+1</f>
        <v>75</v>
      </c>
      <c r="E288" s="713" t="s">
        <v>44</v>
      </c>
      <c r="F288" s="1532" t="s">
        <v>20</v>
      </c>
      <c r="G288" s="1532" t="s">
        <v>933</v>
      </c>
      <c r="H288" s="1532"/>
      <c r="I288" s="781" t="s">
        <v>319</v>
      </c>
      <c r="J288" s="781" t="s">
        <v>345</v>
      </c>
      <c r="K288" s="1533"/>
      <c r="L288" s="1534"/>
      <c r="M288" s="1534"/>
      <c r="N288" s="1535"/>
      <c r="O288" s="2071"/>
      <c r="P288" s="1547"/>
      <c r="Q288" s="1547"/>
      <c r="R288" s="1547"/>
      <c r="S288" s="1547"/>
      <c r="T288" s="1547"/>
      <c r="U288" s="1547"/>
      <c r="V288" s="1547"/>
      <c r="W288" s="1547"/>
      <c r="X288" s="1548"/>
      <c r="Y288" s="1547"/>
      <c r="Z288" s="1547"/>
      <c r="AA288" s="1547"/>
      <c r="AB288" s="1547"/>
      <c r="AC288" s="1548"/>
      <c r="AD288" s="1547"/>
      <c r="AE288" s="1547"/>
      <c r="AF288" s="1547"/>
      <c r="AG288" s="785"/>
      <c r="AH288" s="697"/>
      <c r="AI288" s="707"/>
      <c r="AJ288" s="709">
        <f t="shared" si="515"/>
        <v>0</v>
      </c>
      <c r="AK288" s="710">
        <f t="shared" si="516"/>
        <v>0</v>
      </c>
      <c r="AL288" s="710">
        <f t="shared" si="517"/>
        <v>0</v>
      </c>
      <c r="AM288" s="710">
        <f t="shared" si="518"/>
        <v>0</v>
      </c>
      <c r="AN288" s="710">
        <f t="shared" si="519"/>
        <v>0</v>
      </c>
      <c r="AO288" s="711">
        <f t="shared" si="520"/>
        <v>0</v>
      </c>
      <c r="AP288" s="707">
        <f t="shared" si="521"/>
        <v>0</v>
      </c>
      <c r="AQ288" s="707">
        <f t="shared" si="522"/>
        <v>0</v>
      </c>
      <c r="AR288" s="707">
        <f t="shared" si="523"/>
        <v>0</v>
      </c>
      <c r="AS288" s="712">
        <f t="shared" si="524"/>
        <v>0</v>
      </c>
      <c r="AU288" s="1369"/>
      <c r="AV288" s="1559"/>
      <c r="AW288" s="1412" t="str">
        <f t="shared" si="472"/>
        <v>Price</v>
      </c>
      <c r="AX288" s="1413" t="str">
        <f t="shared" si="472"/>
        <v>Water</v>
      </c>
      <c r="AY288" s="1414" t="str">
        <f t="shared" si="473"/>
        <v>Fixed</v>
      </c>
      <c r="AZ288" s="1415" t="str">
        <f t="shared" si="542"/>
        <v>-</v>
      </c>
      <c r="BA288" s="1415" t="str">
        <f t="shared" si="542"/>
        <v>-</v>
      </c>
      <c r="BB288" s="1415" t="str">
        <f t="shared" si="542"/>
        <v>-</v>
      </c>
      <c r="BC288" s="1415" t="str">
        <f t="shared" si="475"/>
        <v>-</v>
      </c>
      <c r="BD288" s="1415" t="str">
        <f t="shared" si="476"/>
        <v>-</v>
      </c>
      <c r="BE288" s="1415" t="str">
        <f t="shared" si="477"/>
        <v>-</v>
      </c>
      <c r="BF288" s="1415" t="str">
        <f t="shared" si="478"/>
        <v>-</v>
      </c>
      <c r="BG288" s="1416" t="str">
        <f t="shared" si="479"/>
        <v>-</v>
      </c>
      <c r="BH288" s="1417" t="str">
        <f t="shared" si="480"/>
        <v>-</v>
      </c>
      <c r="BI288" s="1417" t="str">
        <f t="shared" si="481"/>
        <v>-</v>
      </c>
      <c r="BJ288" s="1417" t="str">
        <f t="shared" si="482"/>
        <v>-</v>
      </c>
      <c r="BK288" s="1417" t="str">
        <f t="shared" si="483"/>
        <v>-</v>
      </c>
      <c r="BL288" s="1418" t="str">
        <f t="shared" si="484"/>
        <v>-</v>
      </c>
      <c r="BM288" s="1417" t="str">
        <f t="shared" si="485"/>
        <v>-</v>
      </c>
      <c r="BN288" s="1417" t="str">
        <f t="shared" si="486"/>
        <v>-</v>
      </c>
      <c r="BO288" s="1417" t="str">
        <f t="shared" si="487"/>
        <v>-</v>
      </c>
      <c r="BP288" s="1417" t="str">
        <f t="shared" si="488"/>
        <v>-</v>
      </c>
      <c r="BQ288" s="1419" t="str">
        <f t="shared" si="489"/>
        <v>-</v>
      </c>
      <c r="BR288" s="1378"/>
      <c r="BS288" s="1420"/>
      <c r="BT288" s="1421"/>
      <c r="BU288" s="1422"/>
      <c r="BV288" s="1423"/>
      <c r="BW288" s="1378"/>
      <c r="BX288" s="1412" t="str">
        <f t="shared" si="490"/>
        <v>Price</v>
      </c>
      <c r="BY288" s="1413" t="str">
        <f t="shared" si="491"/>
        <v>Water</v>
      </c>
      <c r="BZ288" s="1414" t="str">
        <f t="shared" si="492"/>
        <v>Fixed</v>
      </c>
      <c r="CA288" s="1424" t="str">
        <f t="shared" ref="CA288:CR288" si="562">IFERROR((P288/O288-1)*(O290/O$13),"-")</f>
        <v>-</v>
      </c>
      <c r="CB288" s="1415" t="str">
        <f t="shared" si="562"/>
        <v>-</v>
      </c>
      <c r="CC288" s="1415" t="str">
        <f t="shared" si="562"/>
        <v>-</v>
      </c>
      <c r="CD288" s="1415" t="str">
        <f t="shared" si="562"/>
        <v>-</v>
      </c>
      <c r="CE288" s="1415" t="str">
        <f t="shared" si="562"/>
        <v>-</v>
      </c>
      <c r="CF288" s="1415" t="str">
        <f t="shared" si="562"/>
        <v>-</v>
      </c>
      <c r="CG288" s="1415" t="str">
        <f t="shared" si="562"/>
        <v>-</v>
      </c>
      <c r="CH288" s="1425" t="str">
        <f t="shared" si="562"/>
        <v>-</v>
      </c>
      <c r="CI288" s="1417" t="str">
        <f t="shared" si="562"/>
        <v>-</v>
      </c>
      <c r="CJ288" s="1417" t="str">
        <f t="shared" si="562"/>
        <v>-</v>
      </c>
      <c r="CK288" s="1417" t="str">
        <f t="shared" si="562"/>
        <v>-</v>
      </c>
      <c r="CL288" s="1417" t="str">
        <f t="shared" si="562"/>
        <v>-</v>
      </c>
      <c r="CM288" s="1418" t="str">
        <f t="shared" si="562"/>
        <v>-</v>
      </c>
      <c r="CN288" s="1417" t="str">
        <f t="shared" si="562"/>
        <v>-</v>
      </c>
      <c r="CO288" s="1417" t="str">
        <f t="shared" si="562"/>
        <v>-</v>
      </c>
      <c r="CP288" s="1417" t="str">
        <f t="shared" si="562"/>
        <v>-</v>
      </c>
      <c r="CQ288" s="1417" t="str">
        <f t="shared" si="562"/>
        <v>-</v>
      </c>
      <c r="CR288" s="1419" t="str">
        <f t="shared" si="562"/>
        <v>-</v>
      </c>
      <c r="CS288" s="1378"/>
      <c r="CT288" s="1412" t="str">
        <f t="shared" si="469"/>
        <v>Price</v>
      </c>
      <c r="CU288" s="1413" t="str">
        <f t="shared" si="470"/>
        <v>Water</v>
      </c>
      <c r="CV288" s="1426" t="str">
        <f t="shared" si="471"/>
        <v>Fixed</v>
      </c>
      <c r="CW288" s="1427" t="str">
        <f t="shared" si="494"/>
        <v>-</v>
      </c>
      <c r="CX288" s="1417" t="str">
        <f t="shared" si="495"/>
        <v>-</v>
      </c>
      <c r="CY288" s="1417" t="str">
        <f t="shared" si="496"/>
        <v>-</v>
      </c>
      <c r="CZ288" s="1419" t="str">
        <f t="shared" si="497"/>
        <v>-</v>
      </c>
      <c r="DA288" s="1417" t="str">
        <f t="shared" si="498"/>
        <v>-</v>
      </c>
      <c r="DB288" s="1417" t="str">
        <f t="shared" si="499"/>
        <v>-</v>
      </c>
      <c r="DC288" s="1417" t="str">
        <f t="shared" si="500"/>
        <v>-</v>
      </c>
      <c r="DD288" s="1417" t="str">
        <f t="shared" si="501"/>
        <v>-</v>
      </c>
      <c r="DE288" s="1419" t="str">
        <f t="shared" si="502"/>
        <v>-</v>
      </c>
      <c r="DF288" s="1378"/>
      <c r="DG288" s="1412" t="str">
        <f t="shared" si="503"/>
        <v>Price</v>
      </c>
      <c r="DH288" s="1413" t="str">
        <f t="shared" si="503"/>
        <v>Water</v>
      </c>
      <c r="DI288" s="1426" t="str">
        <f t="shared" si="503"/>
        <v>Fixed</v>
      </c>
      <c r="DJ288" s="1426"/>
      <c r="DK288" s="1427" t="str">
        <f t="shared" si="504"/>
        <v>-</v>
      </c>
      <c r="DL288" s="1417" t="str">
        <f t="shared" si="505"/>
        <v>-</v>
      </c>
      <c r="DM288" s="1417" t="str">
        <f t="shared" si="506"/>
        <v>-</v>
      </c>
      <c r="DN288" s="1418" t="str">
        <f t="shared" si="507"/>
        <v>-</v>
      </c>
      <c r="DO288" s="1417" t="str">
        <f t="shared" si="508"/>
        <v>-</v>
      </c>
      <c r="DP288" s="1417" t="str">
        <f t="shared" si="509"/>
        <v>-</v>
      </c>
      <c r="DQ288" s="1417" t="str">
        <f t="shared" si="510"/>
        <v>-</v>
      </c>
      <c r="DR288" s="1419" t="str">
        <f t="shared" si="511"/>
        <v>-</v>
      </c>
    </row>
    <row r="289" spans="4:122">
      <c r="E289" s="742" t="s">
        <v>45</v>
      </c>
      <c r="F289" s="722" t="str">
        <f>+F288</f>
        <v>Water</v>
      </c>
      <c r="G289" s="723" t="str">
        <f>+G288</f>
        <v>Fixed Charges 2012-13 300mm</v>
      </c>
      <c r="H289" s="723">
        <f>+H288</f>
        <v>0</v>
      </c>
      <c r="I289" s="724" t="str">
        <f>+I288</f>
        <v>Fixed</v>
      </c>
      <c r="J289" s="782" t="s">
        <v>323</v>
      </c>
      <c r="K289" s="1540"/>
      <c r="L289" s="1541"/>
      <c r="M289" s="1541"/>
      <c r="N289" s="1542"/>
      <c r="O289" s="2031"/>
      <c r="P289" s="1543"/>
      <c r="Q289" s="1543"/>
      <c r="R289" s="1543"/>
      <c r="S289" s="1543"/>
      <c r="T289" s="1543"/>
      <c r="U289" s="1543"/>
      <c r="V289" s="1543"/>
      <c r="W289" s="1543"/>
      <c r="X289" s="1544"/>
      <c r="Y289" s="1543"/>
      <c r="Z289" s="1543"/>
      <c r="AA289" s="1543"/>
      <c r="AB289" s="1543"/>
      <c r="AC289" s="1544"/>
      <c r="AD289" s="1543"/>
      <c r="AE289" s="1543"/>
      <c r="AF289" s="1543"/>
      <c r="AG289" s="788"/>
      <c r="AH289" s="697"/>
      <c r="AI289" s="707"/>
      <c r="AJ289" s="709">
        <f t="shared" si="515"/>
        <v>0</v>
      </c>
      <c r="AK289" s="710">
        <f t="shared" si="516"/>
        <v>0</v>
      </c>
      <c r="AL289" s="710">
        <f t="shared" si="517"/>
        <v>0</v>
      </c>
      <c r="AM289" s="710">
        <f t="shared" si="518"/>
        <v>0</v>
      </c>
      <c r="AN289" s="710">
        <f t="shared" si="519"/>
        <v>0</v>
      </c>
      <c r="AO289" s="711">
        <f t="shared" si="520"/>
        <v>0</v>
      </c>
      <c r="AP289" s="707">
        <f t="shared" si="521"/>
        <v>0</v>
      </c>
      <c r="AQ289" s="707">
        <f t="shared" si="522"/>
        <v>0</v>
      </c>
      <c r="AR289" s="707">
        <f t="shared" si="523"/>
        <v>0</v>
      </c>
      <c r="AS289" s="712">
        <f t="shared" si="524"/>
        <v>0</v>
      </c>
      <c r="AV289" s="1559"/>
      <c r="AW289" s="1392" t="str">
        <f t="shared" si="472"/>
        <v>Qty</v>
      </c>
      <c r="AX289" s="1393" t="str">
        <f t="shared" si="472"/>
        <v>Water</v>
      </c>
      <c r="AY289" s="1394" t="str">
        <f t="shared" si="473"/>
        <v>Fixed</v>
      </c>
      <c r="AZ289" s="1395" t="str">
        <f t="shared" si="542"/>
        <v>-</v>
      </c>
      <c r="BA289" s="1395" t="str">
        <f t="shared" si="542"/>
        <v>-</v>
      </c>
      <c r="BB289" s="1395" t="str">
        <f t="shared" si="542"/>
        <v>-</v>
      </c>
      <c r="BC289" s="1395" t="str">
        <f t="shared" si="475"/>
        <v>-</v>
      </c>
      <c r="BD289" s="1395" t="str">
        <f t="shared" si="476"/>
        <v>-</v>
      </c>
      <c r="BE289" s="1395" t="str">
        <f t="shared" si="477"/>
        <v>-</v>
      </c>
      <c r="BF289" s="1395" t="str">
        <f t="shared" si="478"/>
        <v>-</v>
      </c>
      <c r="BG289" s="1396" t="str">
        <f t="shared" si="479"/>
        <v>-</v>
      </c>
      <c r="BH289" s="1395" t="str">
        <f t="shared" si="480"/>
        <v>-</v>
      </c>
      <c r="BI289" s="1395" t="str">
        <f t="shared" si="481"/>
        <v>-</v>
      </c>
      <c r="BJ289" s="1395" t="str">
        <f t="shared" si="482"/>
        <v>-</v>
      </c>
      <c r="BK289" s="1395" t="str">
        <f t="shared" si="483"/>
        <v>-</v>
      </c>
      <c r="BL289" s="1397" t="str">
        <f t="shared" si="484"/>
        <v>-</v>
      </c>
      <c r="BM289" s="1395" t="str">
        <f t="shared" si="485"/>
        <v>-</v>
      </c>
      <c r="BN289" s="1395" t="str">
        <f t="shared" si="486"/>
        <v>-</v>
      </c>
      <c r="BO289" s="1395" t="str">
        <f t="shared" si="487"/>
        <v>-</v>
      </c>
      <c r="BP289" s="1395" t="str">
        <f t="shared" si="488"/>
        <v>-</v>
      </c>
      <c r="BQ289" s="1398" t="str">
        <f t="shared" si="489"/>
        <v>-</v>
      </c>
      <c r="BR289" s="1378"/>
      <c r="BS289" s="1329"/>
      <c r="BT289" s="1399"/>
      <c r="BU289" s="1331"/>
      <c r="BV289" s="1400"/>
      <c r="BW289" s="1378"/>
      <c r="BX289" s="1392" t="str">
        <f t="shared" si="490"/>
        <v>Qty</v>
      </c>
      <c r="BY289" s="1393" t="str">
        <f t="shared" si="491"/>
        <v>Water</v>
      </c>
      <c r="BZ289" s="1394" t="str">
        <f t="shared" si="492"/>
        <v>Fixed</v>
      </c>
      <c r="CA289" s="1401" t="str">
        <f t="shared" ref="CA289:CR289" si="563">IFERROR((P289/O289-1)*(O290/O$13),"-")</f>
        <v>-</v>
      </c>
      <c r="CB289" s="1395" t="str">
        <f t="shared" si="563"/>
        <v>-</v>
      </c>
      <c r="CC289" s="1395" t="str">
        <f t="shared" si="563"/>
        <v>-</v>
      </c>
      <c r="CD289" s="1395" t="str">
        <f t="shared" si="563"/>
        <v>-</v>
      </c>
      <c r="CE289" s="1395" t="str">
        <f t="shared" si="563"/>
        <v>-</v>
      </c>
      <c r="CF289" s="1395" t="str">
        <f t="shared" si="563"/>
        <v>-</v>
      </c>
      <c r="CG289" s="1395" t="str">
        <f t="shared" si="563"/>
        <v>-</v>
      </c>
      <c r="CH289" s="1397" t="str">
        <f t="shared" si="563"/>
        <v>-</v>
      </c>
      <c r="CI289" s="1395" t="str">
        <f t="shared" si="563"/>
        <v>-</v>
      </c>
      <c r="CJ289" s="1395" t="str">
        <f t="shared" si="563"/>
        <v>-</v>
      </c>
      <c r="CK289" s="1395" t="str">
        <f t="shared" si="563"/>
        <v>-</v>
      </c>
      <c r="CL289" s="1395" t="str">
        <f t="shared" si="563"/>
        <v>-</v>
      </c>
      <c r="CM289" s="1397" t="str">
        <f t="shared" si="563"/>
        <v>-</v>
      </c>
      <c r="CN289" s="1395" t="str">
        <f t="shared" si="563"/>
        <v>-</v>
      </c>
      <c r="CO289" s="1395" t="str">
        <f t="shared" si="563"/>
        <v>-</v>
      </c>
      <c r="CP289" s="1395" t="str">
        <f t="shared" si="563"/>
        <v>-</v>
      </c>
      <c r="CQ289" s="1395" t="str">
        <f t="shared" si="563"/>
        <v>-</v>
      </c>
      <c r="CR289" s="1398" t="str">
        <f t="shared" si="563"/>
        <v>-</v>
      </c>
      <c r="CS289" s="1378"/>
      <c r="CT289" s="1392" t="str">
        <f t="shared" si="469"/>
        <v>Qty</v>
      </c>
      <c r="CU289" s="1393" t="str">
        <f t="shared" si="470"/>
        <v>Water</v>
      </c>
      <c r="CV289" s="1393" t="str">
        <f t="shared" si="471"/>
        <v>Fixed</v>
      </c>
      <c r="CW289" s="1401" t="str">
        <f t="shared" si="494"/>
        <v>-</v>
      </c>
      <c r="CX289" s="1395" t="str">
        <f t="shared" si="495"/>
        <v>-</v>
      </c>
      <c r="CY289" s="1395" t="str">
        <f t="shared" si="496"/>
        <v>-</v>
      </c>
      <c r="CZ289" s="1398" t="str">
        <f t="shared" si="497"/>
        <v>-</v>
      </c>
      <c r="DA289" s="1395" t="str">
        <f t="shared" si="498"/>
        <v>-</v>
      </c>
      <c r="DB289" s="1395" t="str">
        <f t="shared" si="499"/>
        <v>-</v>
      </c>
      <c r="DC289" s="1395" t="str">
        <f t="shared" si="500"/>
        <v>-</v>
      </c>
      <c r="DD289" s="1395" t="str">
        <f t="shared" si="501"/>
        <v>-</v>
      </c>
      <c r="DE289" s="1398" t="str">
        <f t="shared" si="502"/>
        <v>-</v>
      </c>
      <c r="DF289" s="1378"/>
      <c r="DG289" s="1392" t="str">
        <f t="shared" si="503"/>
        <v>Qty</v>
      </c>
      <c r="DH289" s="1393" t="str">
        <f t="shared" si="503"/>
        <v>Water</v>
      </c>
      <c r="DI289" s="1393" t="str">
        <f t="shared" si="503"/>
        <v>Fixed</v>
      </c>
      <c r="DJ289" s="1393"/>
      <c r="DK289" s="1401" t="str">
        <f t="shared" si="504"/>
        <v>-</v>
      </c>
      <c r="DL289" s="1395" t="str">
        <f t="shared" si="505"/>
        <v>-</v>
      </c>
      <c r="DM289" s="1395" t="str">
        <f t="shared" si="506"/>
        <v>-</v>
      </c>
      <c r="DN289" s="1397" t="str">
        <f t="shared" si="507"/>
        <v>-</v>
      </c>
      <c r="DO289" s="1395" t="str">
        <f t="shared" si="508"/>
        <v>-</v>
      </c>
      <c r="DP289" s="1395" t="str">
        <f t="shared" si="509"/>
        <v>-</v>
      </c>
      <c r="DQ289" s="1395" t="str">
        <f t="shared" si="510"/>
        <v>-</v>
      </c>
      <c r="DR289" s="1398" t="str">
        <f t="shared" si="511"/>
        <v>-</v>
      </c>
    </row>
    <row r="290" spans="4:122" ht="12.75" thickBot="1">
      <c r="E290" s="743" t="s">
        <v>46</v>
      </c>
      <c r="F290" s="732" t="str">
        <f>+F288</f>
        <v>Water</v>
      </c>
      <c r="G290" s="733" t="str">
        <f>+G288</f>
        <v>Fixed Charges 2012-13 300mm</v>
      </c>
      <c r="H290" s="733">
        <f>+H288</f>
        <v>0</v>
      </c>
      <c r="I290" s="734" t="str">
        <f>+I288</f>
        <v>Fixed</v>
      </c>
      <c r="J290" s="735" t="s">
        <v>344</v>
      </c>
      <c r="K290" s="736">
        <f t="shared" ref="K290:AG290" si="564">K288*K289/10^6</f>
        <v>0</v>
      </c>
      <c r="L290" s="737">
        <f t="shared" si="564"/>
        <v>0</v>
      </c>
      <c r="M290" s="737">
        <f t="shared" si="564"/>
        <v>0</v>
      </c>
      <c r="N290" s="738">
        <f t="shared" si="564"/>
        <v>0</v>
      </c>
      <c r="O290" s="1923">
        <f t="shared" si="564"/>
        <v>0</v>
      </c>
      <c r="P290" s="737">
        <f t="shared" si="564"/>
        <v>0</v>
      </c>
      <c r="Q290" s="737">
        <f t="shared" si="564"/>
        <v>0</v>
      </c>
      <c r="R290" s="737">
        <f t="shared" si="564"/>
        <v>0</v>
      </c>
      <c r="S290" s="737">
        <f t="shared" si="564"/>
        <v>0</v>
      </c>
      <c r="T290" s="1531">
        <f t="shared" si="564"/>
        <v>0</v>
      </c>
      <c r="U290" s="737">
        <f t="shared" si="564"/>
        <v>0</v>
      </c>
      <c r="V290" s="737">
        <f t="shared" si="564"/>
        <v>0</v>
      </c>
      <c r="W290" s="737">
        <f t="shared" si="564"/>
        <v>0</v>
      </c>
      <c r="X290" s="738">
        <f t="shared" si="564"/>
        <v>0</v>
      </c>
      <c r="Y290" s="737">
        <f t="shared" si="564"/>
        <v>0</v>
      </c>
      <c r="Z290" s="737">
        <f t="shared" si="564"/>
        <v>0</v>
      </c>
      <c r="AA290" s="737">
        <f t="shared" si="564"/>
        <v>0</v>
      </c>
      <c r="AB290" s="737">
        <f t="shared" si="564"/>
        <v>0</v>
      </c>
      <c r="AC290" s="738">
        <f t="shared" si="564"/>
        <v>0</v>
      </c>
      <c r="AD290" s="737">
        <f t="shared" si="564"/>
        <v>0</v>
      </c>
      <c r="AE290" s="737">
        <f t="shared" si="564"/>
        <v>0</v>
      </c>
      <c r="AF290" s="737">
        <f t="shared" si="564"/>
        <v>0</v>
      </c>
      <c r="AG290" s="739">
        <f t="shared" si="564"/>
        <v>0</v>
      </c>
      <c r="AH290" s="697"/>
      <c r="AI290" s="707"/>
      <c r="AJ290" s="709">
        <f t="shared" si="515"/>
        <v>0</v>
      </c>
      <c r="AK290" s="710">
        <f t="shared" si="516"/>
        <v>0</v>
      </c>
      <c r="AL290" s="710">
        <f t="shared" si="517"/>
        <v>0</v>
      </c>
      <c r="AM290" s="710">
        <f t="shared" si="518"/>
        <v>0</v>
      </c>
      <c r="AN290" s="710">
        <f t="shared" si="519"/>
        <v>0</v>
      </c>
      <c r="AO290" s="711">
        <f t="shared" si="520"/>
        <v>0</v>
      </c>
      <c r="AP290" s="707">
        <f t="shared" si="521"/>
        <v>0</v>
      </c>
      <c r="AQ290" s="707">
        <f t="shared" si="522"/>
        <v>0</v>
      </c>
      <c r="AR290" s="707">
        <f t="shared" si="523"/>
        <v>0</v>
      </c>
      <c r="AS290" s="712">
        <f t="shared" si="524"/>
        <v>0</v>
      </c>
      <c r="AV290" s="1559"/>
      <c r="AW290" s="1428" t="str">
        <f t="shared" si="472"/>
        <v>Rev</v>
      </c>
      <c r="AX290" s="1429" t="str">
        <f t="shared" si="472"/>
        <v>Water</v>
      </c>
      <c r="AY290" s="1430" t="str">
        <f t="shared" si="473"/>
        <v>Fixed</v>
      </c>
      <c r="AZ290" s="1431" t="str">
        <f t="shared" ref="AZ290:BB305" si="565">IFERROR(P290/O290-1,"-")</f>
        <v>-</v>
      </c>
      <c r="BA290" s="1431" t="str">
        <f t="shared" si="565"/>
        <v>-</v>
      </c>
      <c r="BB290" s="1431" t="str">
        <f t="shared" si="565"/>
        <v>-</v>
      </c>
      <c r="BC290" s="1431" t="str">
        <f t="shared" si="475"/>
        <v>-</v>
      </c>
      <c r="BD290" s="1431" t="str">
        <f t="shared" si="476"/>
        <v>-</v>
      </c>
      <c r="BE290" s="1431" t="str">
        <f t="shared" si="477"/>
        <v>-</v>
      </c>
      <c r="BF290" s="1431" t="str">
        <f t="shared" si="478"/>
        <v>-</v>
      </c>
      <c r="BG290" s="1432" t="str">
        <f t="shared" si="479"/>
        <v>-</v>
      </c>
      <c r="BH290" s="1431" t="str">
        <f t="shared" si="480"/>
        <v>-</v>
      </c>
      <c r="BI290" s="1431" t="str">
        <f t="shared" si="481"/>
        <v>-</v>
      </c>
      <c r="BJ290" s="1431" t="str">
        <f t="shared" si="482"/>
        <v>-</v>
      </c>
      <c r="BK290" s="1431" t="str">
        <f t="shared" si="483"/>
        <v>-</v>
      </c>
      <c r="BL290" s="1433" t="str">
        <f t="shared" si="484"/>
        <v>-</v>
      </c>
      <c r="BM290" s="1431" t="str">
        <f t="shared" si="485"/>
        <v>-</v>
      </c>
      <c r="BN290" s="1431" t="str">
        <f t="shared" si="486"/>
        <v>-</v>
      </c>
      <c r="BO290" s="1431" t="str">
        <f t="shared" si="487"/>
        <v>-</v>
      </c>
      <c r="BP290" s="1431" t="str">
        <f t="shared" si="488"/>
        <v>-</v>
      </c>
      <c r="BQ290" s="1434" t="str">
        <f t="shared" si="489"/>
        <v>-</v>
      </c>
      <c r="BR290" s="1378"/>
      <c r="BS290" s="1407"/>
      <c r="BT290" s="1408"/>
      <c r="BU290" s="1409"/>
      <c r="BV290" s="1410"/>
      <c r="BW290" s="1378"/>
      <c r="BX290" s="1428" t="str">
        <f t="shared" si="490"/>
        <v>Rev</v>
      </c>
      <c r="BY290" s="1429" t="str">
        <f t="shared" si="491"/>
        <v>Water</v>
      </c>
      <c r="BZ290" s="1430" t="str">
        <f t="shared" si="492"/>
        <v>Fixed</v>
      </c>
      <c r="CA290" s="1435" t="str">
        <f t="shared" ref="CA290:CR290" si="566">IFERROR((P290/O290-1)*(O290/O$13),"-")</f>
        <v>-</v>
      </c>
      <c r="CB290" s="1431" t="str">
        <f t="shared" si="566"/>
        <v>-</v>
      </c>
      <c r="CC290" s="1431" t="str">
        <f t="shared" si="566"/>
        <v>-</v>
      </c>
      <c r="CD290" s="1431" t="str">
        <f t="shared" si="566"/>
        <v>-</v>
      </c>
      <c r="CE290" s="1431" t="str">
        <f t="shared" si="566"/>
        <v>-</v>
      </c>
      <c r="CF290" s="1431" t="str">
        <f t="shared" si="566"/>
        <v>-</v>
      </c>
      <c r="CG290" s="1431" t="str">
        <f t="shared" si="566"/>
        <v>-</v>
      </c>
      <c r="CH290" s="1433" t="str">
        <f t="shared" si="566"/>
        <v>-</v>
      </c>
      <c r="CI290" s="1431" t="str">
        <f t="shared" si="566"/>
        <v>-</v>
      </c>
      <c r="CJ290" s="1431" t="str">
        <f t="shared" si="566"/>
        <v>-</v>
      </c>
      <c r="CK290" s="1431" t="str">
        <f t="shared" si="566"/>
        <v>-</v>
      </c>
      <c r="CL290" s="1431" t="str">
        <f t="shared" si="566"/>
        <v>-</v>
      </c>
      <c r="CM290" s="1433" t="str">
        <f t="shared" si="566"/>
        <v>-</v>
      </c>
      <c r="CN290" s="1431" t="str">
        <f t="shared" si="566"/>
        <v>-</v>
      </c>
      <c r="CO290" s="1431" t="str">
        <f t="shared" si="566"/>
        <v>-</v>
      </c>
      <c r="CP290" s="1431" t="str">
        <f t="shared" si="566"/>
        <v>-</v>
      </c>
      <c r="CQ290" s="1431" t="str">
        <f t="shared" si="566"/>
        <v>-</v>
      </c>
      <c r="CR290" s="1434" t="str">
        <f t="shared" si="566"/>
        <v>-</v>
      </c>
      <c r="CS290" s="1378"/>
      <c r="CT290" s="1428" t="str">
        <f t="shared" si="469"/>
        <v>Rev</v>
      </c>
      <c r="CU290" s="1429" t="str">
        <f t="shared" si="470"/>
        <v>Water</v>
      </c>
      <c r="CV290" s="1429" t="str">
        <f t="shared" si="471"/>
        <v>Fixed</v>
      </c>
      <c r="CW290" s="1435" t="str">
        <f t="shared" si="494"/>
        <v>-</v>
      </c>
      <c r="CX290" s="1431" t="str">
        <f t="shared" si="495"/>
        <v>-</v>
      </c>
      <c r="CY290" s="1431" t="str">
        <f t="shared" si="496"/>
        <v>-</v>
      </c>
      <c r="CZ290" s="1434" t="str">
        <f t="shared" si="497"/>
        <v>-</v>
      </c>
      <c r="DA290" s="1431" t="str">
        <f t="shared" si="498"/>
        <v>-</v>
      </c>
      <c r="DB290" s="1431" t="str">
        <f t="shared" si="499"/>
        <v>-</v>
      </c>
      <c r="DC290" s="1431" t="str">
        <f t="shared" si="500"/>
        <v>-</v>
      </c>
      <c r="DD290" s="1431" t="str">
        <f t="shared" si="501"/>
        <v>-</v>
      </c>
      <c r="DE290" s="1434" t="str">
        <f t="shared" si="502"/>
        <v>-</v>
      </c>
      <c r="DF290" s="1378"/>
      <c r="DG290" s="1428" t="str">
        <f t="shared" si="503"/>
        <v>Rev</v>
      </c>
      <c r="DH290" s="1429" t="str">
        <f t="shared" si="503"/>
        <v>Water</v>
      </c>
      <c r="DI290" s="1429" t="str">
        <f t="shared" si="503"/>
        <v>Fixed</v>
      </c>
      <c r="DJ290" s="1429"/>
      <c r="DK290" s="1435" t="str">
        <f t="shared" si="504"/>
        <v>-</v>
      </c>
      <c r="DL290" s="1431" t="str">
        <f t="shared" si="505"/>
        <v>-</v>
      </c>
      <c r="DM290" s="1431" t="str">
        <f t="shared" si="506"/>
        <v>-</v>
      </c>
      <c r="DN290" s="1433" t="str">
        <f t="shared" si="507"/>
        <v>-</v>
      </c>
      <c r="DO290" s="1431" t="str">
        <f t="shared" si="508"/>
        <v>-</v>
      </c>
      <c r="DP290" s="1431" t="str">
        <f t="shared" si="509"/>
        <v>-</v>
      </c>
      <c r="DQ290" s="1431" t="str">
        <f t="shared" si="510"/>
        <v>-</v>
      </c>
      <c r="DR290" s="1434" t="str">
        <f t="shared" si="511"/>
        <v>-</v>
      </c>
    </row>
    <row r="291" spans="4:122">
      <c r="D291" s="70">
        <f>D288+1</f>
        <v>76</v>
      </c>
      <c r="E291" s="713" t="s">
        <v>44</v>
      </c>
      <c r="F291" s="1532" t="s">
        <v>21</v>
      </c>
      <c r="G291" s="1532" t="s">
        <v>934</v>
      </c>
      <c r="H291" s="1532"/>
      <c r="I291" s="781" t="s">
        <v>319</v>
      </c>
      <c r="J291" s="781" t="s">
        <v>345</v>
      </c>
      <c r="K291" s="1533"/>
      <c r="L291" s="1534"/>
      <c r="M291" s="1534"/>
      <c r="N291" s="1535"/>
      <c r="O291" s="2071"/>
      <c r="P291" s="1547"/>
      <c r="Q291" s="1547"/>
      <c r="R291" s="1547"/>
      <c r="S291" s="1547"/>
      <c r="T291" s="1547"/>
      <c r="U291" s="1547"/>
      <c r="V291" s="1547"/>
      <c r="W291" s="1547"/>
      <c r="X291" s="1548"/>
      <c r="Y291" s="1547"/>
      <c r="Z291" s="1547"/>
      <c r="AA291" s="1547"/>
      <c r="AB291" s="1547"/>
      <c r="AC291" s="1548"/>
      <c r="AD291" s="1547"/>
      <c r="AE291" s="1547"/>
      <c r="AF291" s="1547"/>
      <c r="AG291" s="785"/>
      <c r="AH291" s="697"/>
      <c r="AI291" s="707"/>
      <c r="AJ291" s="709">
        <f t="shared" si="515"/>
        <v>0</v>
      </c>
      <c r="AK291" s="710">
        <f t="shared" si="516"/>
        <v>0</v>
      </c>
      <c r="AL291" s="710">
        <f t="shared" si="517"/>
        <v>0</v>
      </c>
      <c r="AM291" s="710">
        <f t="shared" si="518"/>
        <v>0</v>
      </c>
      <c r="AN291" s="710">
        <f t="shared" si="519"/>
        <v>0</v>
      </c>
      <c r="AO291" s="711">
        <f t="shared" si="520"/>
        <v>0</v>
      </c>
      <c r="AP291" s="707">
        <f t="shared" si="521"/>
        <v>0</v>
      </c>
      <c r="AQ291" s="707">
        <f t="shared" si="522"/>
        <v>0</v>
      </c>
      <c r="AR291" s="707">
        <f t="shared" si="523"/>
        <v>0</v>
      </c>
      <c r="AS291" s="712">
        <f t="shared" si="524"/>
        <v>0</v>
      </c>
      <c r="AU291" s="1369"/>
      <c r="AV291" s="1559"/>
      <c r="AW291" s="1412" t="str">
        <f t="shared" si="472"/>
        <v>Price</v>
      </c>
      <c r="AX291" s="1413" t="str">
        <f t="shared" si="472"/>
        <v>Sewerage</v>
      </c>
      <c r="AY291" s="1414" t="str">
        <f t="shared" si="473"/>
        <v>Fixed</v>
      </c>
      <c r="AZ291" s="1415" t="str">
        <f t="shared" si="565"/>
        <v>-</v>
      </c>
      <c r="BA291" s="1415" t="str">
        <f t="shared" si="565"/>
        <v>-</v>
      </c>
      <c r="BB291" s="1415" t="str">
        <f t="shared" si="565"/>
        <v>-</v>
      </c>
      <c r="BC291" s="1415" t="str">
        <f t="shared" si="475"/>
        <v>-</v>
      </c>
      <c r="BD291" s="1415" t="str">
        <f t="shared" si="476"/>
        <v>-</v>
      </c>
      <c r="BE291" s="1415" t="str">
        <f t="shared" si="477"/>
        <v>-</v>
      </c>
      <c r="BF291" s="1415" t="str">
        <f t="shared" si="478"/>
        <v>-</v>
      </c>
      <c r="BG291" s="1416" t="str">
        <f t="shared" si="479"/>
        <v>-</v>
      </c>
      <c r="BH291" s="1417" t="str">
        <f t="shared" si="480"/>
        <v>-</v>
      </c>
      <c r="BI291" s="1417" t="str">
        <f t="shared" si="481"/>
        <v>-</v>
      </c>
      <c r="BJ291" s="1417" t="str">
        <f t="shared" si="482"/>
        <v>-</v>
      </c>
      <c r="BK291" s="1417" t="str">
        <f t="shared" si="483"/>
        <v>-</v>
      </c>
      <c r="BL291" s="1418" t="str">
        <f t="shared" si="484"/>
        <v>-</v>
      </c>
      <c r="BM291" s="1417" t="str">
        <f t="shared" si="485"/>
        <v>-</v>
      </c>
      <c r="BN291" s="1417" t="str">
        <f t="shared" si="486"/>
        <v>-</v>
      </c>
      <c r="BO291" s="1417" t="str">
        <f t="shared" si="487"/>
        <v>-</v>
      </c>
      <c r="BP291" s="1417" t="str">
        <f t="shared" si="488"/>
        <v>-</v>
      </c>
      <c r="BQ291" s="1419" t="str">
        <f t="shared" si="489"/>
        <v>-</v>
      </c>
      <c r="BR291" s="1378"/>
      <c r="BS291" s="1420"/>
      <c r="BT291" s="1421"/>
      <c r="BU291" s="1422"/>
      <c r="BV291" s="1423"/>
      <c r="BW291" s="1378"/>
      <c r="BX291" s="1412" t="str">
        <f t="shared" si="490"/>
        <v>Price</v>
      </c>
      <c r="BY291" s="1413" t="str">
        <f t="shared" si="491"/>
        <v>Sewerage</v>
      </c>
      <c r="BZ291" s="1414" t="str">
        <f t="shared" si="492"/>
        <v>Fixed</v>
      </c>
      <c r="CA291" s="1424" t="str">
        <f t="shared" ref="CA291:CR291" si="567">IFERROR((P291/O291-1)*(O293/O$13),"-")</f>
        <v>-</v>
      </c>
      <c r="CB291" s="1415" t="str">
        <f t="shared" si="567"/>
        <v>-</v>
      </c>
      <c r="CC291" s="1415" t="str">
        <f t="shared" si="567"/>
        <v>-</v>
      </c>
      <c r="CD291" s="1415" t="str">
        <f t="shared" si="567"/>
        <v>-</v>
      </c>
      <c r="CE291" s="1415" t="str">
        <f t="shared" si="567"/>
        <v>-</v>
      </c>
      <c r="CF291" s="1415" t="str">
        <f t="shared" si="567"/>
        <v>-</v>
      </c>
      <c r="CG291" s="1415" t="str">
        <f t="shared" si="567"/>
        <v>-</v>
      </c>
      <c r="CH291" s="1425" t="str">
        <f t="shared" si="567"/>
        <v>-</v>
      </c>
      <c r="CI291" s="1417" t="str">
        <f t="shared" si="567"/>
        <v>-</v>
      </c>
      <c r="CJ291" s="1417" t="str">
        <f t="shared" si="567"/>
        <v>-</v>
      </c>
      <c r="CK291" s="1417" t="str">
        <f t="shared" si="567"/>
        <v>-</v>
      </c>
      <c r="CL291" s="1417" t="str">
        <f t="shared" si="567"/>
        <v>-</v>
      </c>
      <c r="CM291" s="1418" t="str">
        <f t="shared" si="567"/>
        <v>-</v>
      </c>
      <c r="CN291" s="1417" t="str">
        <f t="shared" si="567"/>
        <v>-</v>
      </c>
      <c r="CO291" s="1417" t="str">
        <f t="shared" si="567"/>
        <v>-</v>
      </c>
      <c r="CP291" s="1417" t="str">
        <f t="shared" si="567"/>
        <v>-</v>
      </c>
      <c r="CQ291" s="1417" t="str">
        <f t="shared" si="567"/>
        <v>-</v>
      </c>
      <c r="CR291" s="1419" t="str">
        <f t="shared" si="567"/>
        <v>-</v>
      </c>
      <c r="CS291" s="1378"/>
      <c r="CT291" s="1412" t="str">
        <f t="shared" si="469"/>
        <v>Price</v>
      </c>
      <c r="CU291" s="1413" t="str">
        <f t="shared" si="470"/>
        <v>Sewerage</v>
      </c>
      <c r="CV291" s="1426" t="str">
        <f t="shared" si="471"/>
        <v>Fixed</v>
      </c>
      <c r="CW291" s="1427" t="str">
        <f t="shared" si="494"/>
        <v>-</v>
      </c>
      <c r="CX291" s="1417" t="str">
        <f t="shared" si="495"/>
        <v>-</v>
      </c>
      <c r="CY291" s="1417" t="str">
        <f t="shared" si="496"/>
        <v>-</v>
      </c>
      <c r="CZ291" s="1419" t="str">
        <f t="shared" si="497"/>
        <v>-</v>
      </c>
      <c r="DA291" s="1417" t="str">
        <f t="shared" si="498"/>
        <v>-</v>
      </c>
      <c r="DB291" s="1417" t="str">
        <f t="shared" si="499"/>
        <v>-</v>
      </c>
      <c r="DC291" s="1417" t="str">
        <f t="shared" si="500"/>
        <v>-</v>
      </c>
      <c r="DD291" s="1417" t="str">
        <f t="shared" si="501"/>
        <v>-</v>
      </c>
      <c r="DE291" s="1419" t="str">
        <f t="shared" si="502"/>
        <v>-</v>
      </c>
      <c r="DF291" s="1378"/>
      <c r="DG291" s="1412" t="str">
        <f t="shared" si="503"/>
        <v>Price</v>
      </c>
      <c r="DH291" s="1413" t="str">
        <f t="shared" si="503"/>
        <v>Sewerage</v>
      </c>
      <c r="DI291" s="1426" t="str">
        <f t="shared" si="503"/>
        <v>Fixed</v>
      </c>
      <c r="DJ291" s="1426"/>
      <c r="DK291" s="1427" t="str">
        <f t="shared" si="504"/>
        <v>-</v>
      </c>
      <c r="DL291" s="1417" t="str">
        <f t="shared" si="505"/>
        <v>-</v>
      </c>
      <c r="DM291" s="1417" t="str">
        <f t="shared" si="506"/>
        <v>-</v>
      </c>
      <c r="DN291" s="1418" t="str">
        <f t="shared" si="507"/>
        <v>-</v>
      </c>
      <c r="DO291" s="1417" t="str">
        <f t="shared" si="508"/>
        <v>-</v>
      </c>
      <c r="DP291" s="1417" t="str">
        <f t="shared" si="509"/>
        <v>-</v>
      </c>
      <c r="DQ291" s="1417" t="str">
        <f t="shared" si="510"/>
        <v>-</v>
      </c>
      <c r="DR291" s="1419" t="str">
        <f t="shared" si="511"/>
        <v>-</v>
      </c>
    </row>
    <row r="292" spans="4:122">
      <c r="E292" s="742" t="s">
        <v>45</v>
      </c>
      <c r="F292" s="722" t="str">
        <f>+F291</f>
        <v>Sewerage</v>
      </c>
      <c r="G292" s="723" t="str">
        <f>+G291</f>
        <v>Fixed Charge Cat 1 - Wangaratta, Yarrawonga, Benalla, wodonga, Baranduda</v>
      </c>
      <c r="H292" s="723">
        <f>+H291</f>
        <v>0</v>
      </c>
      <c r="I292" s="724" t="str">
        <f>+I291</f>
        <v>Fixed</v>
      </c>
      <c r="J292" s="782" t="s">
        <v>323</v>
      </c>
      <c r="K292" s="1540"/>
      <c r="L292" s="1541"/>
      <c r="M292" s="1541"/>
      <c r="N292" s="1542"/>
      <c r="O292" s="2031"/>
      <c r="P292" s="1543"/>
      <c r="Q292" s="1543"/>
      <c r="R292" s="1543"/>
      <c r="S292" s="1543"/>
      <c r="T292" s="1543"/>
      <c r="U292" s="1543"/>
      <c r="V292" s="1543"/>
      <c r="W292" s="1543"/>
      <c r="X292" s="1544"/>
      <c r="Y292" s="1543"/>
      <c r="Z292" s="1543"/>
      <c r="AA292" s="1543"/>
      <c r="AB292" s="1543"/>
      <c r="AC292" s="1544"/>
      <c r="AD292" s="1543"/>
      <c r="AE292" s="1543"/>
      <c r="AF292" s="1543"/>
      <c r="AG292" s="788"/>
      <c r="AH292" s="697"/>
      <c r="AI292" s="707"/>
      <c r="AJ292" s="709">
        <f t="shared" si="515"/>
        <v>0</v>
      </c>
      <c r="AK292" s="710">
        <f t="shared" si="516"/>
        <v>0</v>
      </c>
      <c r="AL292" s="710">
        <f t="shared" si="517"/>
        <v>0</v>
      </c>
      <c r="AM292" s="710">
        <f t="shared" si="518"/>
        <v>0</v>
      </c>
      <c r="AN292" s="710">
        <f t="shared" si="519"/>
        <v>0</v>
      </c>
      <c r="AO292" s="711">
        <f t="shared" si="520"/>
        <v>0</v>
      </c>
      <c r="AP292" s="707">
        <f t="shared" si="521"/>
        <v>0</v>
      </c>
      <c r="AQ292" s="707">
        <f t="shared" si="522"/>
        <v>0</v>
      </c>
      <c r="AR292" s="707">
        <f t="shared" si="523"/>
        <v>0</v>
      </c>
      <c r="AS292" s="712">
        <f t="shared" si="524"/>
        <v>0</v>
      </c>
      <c r="AV292" s="1559"/>
      <c r="AW292" s="1392" t="str">
        <f t="shared" si="472"/>
        <v>Qty</v>
      </c>
      <c r="AX292" s="1393" t="str">
        <f t="shared" si="472"/>
        <v>Sewerage</v>
      </c>
      <c r="AY292" s="1394" t="str">
        <f t="shared" si="473"/>
        <v>Fixed</v>
      </c>
      <c r="AZ292" s="1395" t="str">
        <f t="shared" si="565"/>
        <v>-</v>
      </c>
      <c r="BA292" s="1395" t="str">
        <f t="shared" si="565"/>
        <v>-</v>
      </c>
      <c r="BB292" s="1395" t="str">
        <f t="shared" si="565"/>
        <v>-</v>
      </c>
      <c r="BC292" s="1395" t="str">
        <f t="shared" si="475"/>
        <v>-</v>
      </c>
      <c r="BD292" s="1395" t="str">
        <f t="shared" si="476"/>
        <v>-</v>
      </c>
      <c r="BE292" s="1395" t="str">
        <f t="shared" si="477"/>
        <v>-</v>
      </c>
      <c r="BF292" s="1395" t="str">
        <f t="shared" si="478"/>
        <v>-</v>
      </c>
      <c r="BG292" s="1396" t="str">
        <f t="shared" si="479"/>
        <v>-</v>
      </c>
      <c r="BH292" s="1395" t="str">
        <f t="shared" si="480"/>
        <v>-</v>
      </c>
      <c r="BI292" s="1395" t="str">
        <f t="shared" si="481"/>
        <v>-</v>
      </c>
      <c r="BJ292" s="1395" t="str">
        <f t="shared" si="482"/>
        <v>-</v>
      </c>
      <c r="BK292" s="1395" t="str">
        <f t="shared" si="483"/>
        <v>-</v>
      </c>
      <c r="BL292" s="1397" t="str">
        <f t="shared" si="484"/>
        <v>-</v>
      </c>
      <c r="BM292" s="1395" t="str">
        <f t="shared" si="485"/>
        <v>-</v>
      </c>
      <c r="BN292" s="1395" t="str">
        <f t="shared" si="486"/>
        <v>-</v>
      </c>
      <c r="BO292" s="1395" t="str">
        <f t="shared" si="487"/>
        <v>-</v>
      </c>
      <c r="BP292" s="1395" t="str">
        <f t="shared" si="488"/>
        <v>-</v>
      </c>
      <c r="BQ292" s="1398" t="str">
        <f t="shared" si="489"/>
        <v>-</v>
      </c>
      <c r="BR292" s="1378"/>
      <c r="BS292" s="1329"/>
      <c r="BT292" s="1399"/>
      <c r="BU292" s="1331"/>
      <c r="BV292" s="1400"/>
      <c r="BW292" s="1378"/>
      <c r="BX292" s="1392" t="str">
        <f t="shared" si="490"/>
        <v>Qty</v>
      </c>
      <c r="BY292" s="1393" t="str">
        <f t="shared" si="491"/>
        <v>Sewerage</v>
      </c>
      <c r="BZ292" s="1394" t="str">
        <f t="shared" si="492"/>
        <v>Fixed</v>
      </c>
      <c r="CA292" s="1401" t="str">
        <f t="shared" ref="CA292:CR292" si="568">IFERROR((P292/O292-1)*(O293/O$13),"-")</f>
        <v>-</v>
      </c>
      <c r="CB292" s="1395" t="str">
        <f t="shared" si="568"/>
        <v>-</v>
      </c>
      <c r="CC292" s="1395" t="str">
        <f t="shared" si="568"/>
        <v>-</v>
      </c>
      <c r="CD292" s="1395" t="str">
        <f t="shared" si="568"/>
        <v>-</v>
      </c>
      <c r="CE292" s="1395" t="str">
        <f t="shared" si="568"/>
        <v>-</v>
      </c>
      <c r="CF292" s="1395" t="str">
        <f t="shared" si="568"/>
        <v>-</v>
      </c>
      <c r="CG292" s="1395" t="str">
        <f t="shared" si="568"/>
        <v>-</v>
      </c>
      <c r="CH292" s="1397" t="str">
        <f t="shared" si="568"/>
        <v>-</v>
      </c>
      <c r="CI292" s="1395" t="str">
        <f t="shared" si="568"/>
        <v>-</v>
      </c>
      <c r="CJ292" s="1395" t="str">
        <f t="shared" si="568"/>
        <v>-</v>
      </c>
      <c r="CK292" s="1395" t="str">
        <f t="shared" si="568"/>
        <v>-</v>
      </c>
      <c r="CL292" s="1395" t="str">
        <f t="shared" si="568"/>
        <v>-</v>
      </c>
      <c r="CM292" s="1397" t="str">
        <f t="shared" si="568"/>
        <v>-</v>
      </c>
      <c r="CN292" s="1395" t="str">
        <f t="shared" si="568"/>
        <v>-</v>
      </c>
      <c r="CO292" s="1395" t="str">
        <f t="shared" si="568"/>
        <v>-</v>
      </c>
      <c r="CP292" s="1395" t="str">
        <f t="shared" si="568"/>
        <v>-</v>
      </c>
      <c r="CQ292" s="1395" t="str">
        <f t="shared" si="568"/>
        <v>-</v>
      </c>
      <c r="CR292" s="1398" t="str">
        <f t="shared" si="568"/>
        <v>-</v>
      </c>
      <c r="CS292" s="1378"/>
      <c r="CT292" s="1392" t="str">
        <f t="shared" si="469"/>
        <v>Qty</v>
      </c>
      <c r="CU292" s="1393" t="str">
        <f t="shared" si="470"/>
        <v>Sewerage</v>
      </c>
      <c r="CV292" s="1393" t="str">
        <f t="shared" si="471"/>
        <v>Fixed</v>
      </c>
      <c r="CW292" s="1401" t="str">
        <f t="shared" si="494"/>
        <v>-</v>
      </c>
      <c r="CX292" s="1395" t="str">
        <f t="shared" si="495"/>
        <v>-</v>
      </c>
      <c r="CY292" s="1395" t="str">
        <f t="shared" si="496"/>
        <v>-</v>
      </c>
      <c r="CZ292" s="1398" t="str">
        <f t="shared" si="497"/>
        <v>-</v>
      </c>
      <c r="DA292" s="1395" t="str">
        <f t="shared" si="498"/>
        <v>-</v>
      </c>
      <c r="DB292" s="1395" t="str">
        <f t="shared" si="499"/>
        <v>-</v>
      </c>
      <c r="DC292" s="1395" t="str">
        <f t="shared" si="500"/>
        <v>-</v>
      </c>
      <c r="DD292" s="1395" t="str">
        <f t="shared" si="501"/>
        <v>-</v>
      </c>
      <c r="DE292" s="1398" t="str">
        <f t="shared" si="502"/>
        <v>-</v>
      </c>
      <c r="DF292" s="1378"/>
      <c r="DG292" s="1392" t="str">
        <f t="shared" si="503"/>
        <v>Qty</v>
      </c>
      <c r="DH292" s="1393" t="str">
        <f t="shared" si="503"/>
        <v>Sewerage</v>
      </c>
      <c r="DI292" s="1393" t="str">
        <f t="shared" si="503"/>
        <v>Fixed</v>
      </c>
      <c r="DJ292" s="1393"/>
      <c r="DK292" s="1401" t="str">
        <f t="shared" si="504"/>
        <v>-</v>
      </c>
      <c r="DL292" s="1395" t="str">
        <f t="shared" si="505"/>
        <v>-</v>
      </c>
      <c r="DM292" s="1395" t="str">
        <f t="shared" si="506"/>
        <v>-</v>
      </c>
      <c r="DN292" s="1397" t="str">
        <f t="shared" si="507"/>
        <v>-</v>
      </c>
      <c r="DO292" s="1395" t="str">
        <f t="shared" si="508"/>
        <v>-</v>
      </c>
      <c r="DP292" s="1395" t="str">
        <f t="shared" si="509"/>
        <v>-</v>
      </c>
      <c r="DQ292" s="1395" t="str">
        <f t="shared" si="510"/>
        <v>-</v>
      </c>
      <c r="DR292" s="1398" t="str">
        <f t="shared" si="511"/>
        <v>-</v>
      </c>
    </row>
    <row r="293" spans="4:122" ht="12.75" thickBot="1">
      <c r="E293" s="743" t="s">
        <v>46</v>
      </c>
      <c r="F293" s="732" t="str">
        <f>+F291</f>
        <v>Sewerage</v>
      </c>
      <c r="G293" s="733" t="str">
        <f>+G291</f>
        <v>Fixed Charge Cat 1 - Wangaratta, Yarrawonga, Benalla, wodonga, Baranduda</v>
      </c>
      <c r="H293" s="733">
        <f>+H291</f>
        <v>0</v>
      </c>
      <c r="I293" s="734" t="str">
        <f>+I291</f>
        <v>Fixed</v>
      </c>
      <c r="J293" s="735" t="s">
        <v>344</v>
      </c>
      <c r="K293" s="736">
        <f t="shared" ref="K293:AG293" si="569">K291*K292/10^6</f>
        <v>0</v>
      </c>
      <c r="L293" s="737">
        <f t="shared" si="569"/>
        <v>0</v>
      </c>
      <c r="M293" s="737">
        <f t="shared" si="569"/>
        <v>0</v>
      </c>
      <c r="N293" s="738">
        <f t="shared" si="569"/>
        <v>0</v>
      </c>
      <c r="O293" s="1923">
        <f t="shared" si="569"/>
        <v>0</v>
      </c>
      <c r="P293" s="737">
        <f t="shared" si="569"/>
        <v>0</v>
      </c>
      <c r="Q293" s="737">
        <f t="shared" si="569"/>
        <v>0</v>
      </c>
      <c r="R293" s="737">
        <f t="shared" si="569"/>
        <v>0</v>
      </c>
      <c r="S293" s="737">
        <f t="shared" si="569"/>
        <v>0</v>
      </c>
      <c r="T293" s="1531">
        <f t="shared" si="569"/>
        <v>0</v>
      </c>
      <c r="U293" s="737">
        <f t="shared" si="569"/>
        <v>0</v>
      </c>
      <c r="V293" s="737">
        <f t="shared" si="569"/>
        <v>0</v>
      </c>
      <c r="W293" s="737">
        <f t="shared" si="569"/>
        <v>0</v>
      </c>
      <c r="X293" s="738">
        <f t="shared" si="569"/>
        <v>0</v>
      </c>
      <c r="Y293" s="737">
        <f t="shared" si="569"/>
        <v>0</v>
      </c>
      <c r="Z293" s="737">
        <f t="shared" si="569"/>
        <v>0</v>
      </c>
      <c r="AA293" s="737">
        <f t="shared" si="569"/>
        <v>0</v>
      </c>
      <c r="AB293" s="737">
        <f t="shared" si="569"/>
        <v>0</v>
      </c>
      <c r="AC293" s="738">
        <f t="shared" si="569"/>
        <v>0</v>
      </c>
      <c r="AD293" s="737">
        <f t="shared" si="569"/>
        <v>0</v>
      </c>
      <c r="AE293" s="737">
        <f t="shared" si="569"/>
        <v>0</v>
      </c>
      <c r="AF293" s="737">
        <f t="shared" si="569"/>
        <v>0</v>
      </c>
      <c r="AG293" s="739">
        <f t="shared" si="569"/>
        <v>0</v>
      </c>
      <c r="AH293" s="697"/>
      <c r="AI293" s="707"/>
      <c r="AJ293" s="709">
        <f t="shared" si="515"/>
        <v>0</v>
      </c>
      <c r="AK293" s="710">
        <f t="shared" si="516"/>
        <v>0</v>
      </c>
      <c r="AL293" s="710">
        <f t="shared" si="517"/>
        <v>0</v>
      </c>
      <c r="AM293" s="710">
        <f t="shared" si="518"/>
        <v>0</v>
      </c>
      <c r="AN293" s="710">
        <f t="shared" si="519"/>
        <v>0</v>
      </c>
      <c r="AO293" s="711">
        <f t="shared" si="520"/>
        <v>0</v>
      </c>
      <c r="AP293" s="707">
        <f t="shared" si="521"/>
        <v>0</v>
      </c>
      <c r="AQ293" s="707">
        <f t="shared" si="522"/>
        <v>0</v>
      </c>
      <c r="AR293" s="707">
        <f t="shared" si="523"/>
        <v>0</v>
      </c>
      <c r="AS293" s="712">
        <f t="shared" si="524"/>
        <v>0</v>
      </c>
      <c r="AV293" s="1559"/>
      <c r="AW293" s="1428" t="str">
        <f t="shared" si="472"/>
        <v>Rev</v>
      </c>
      <c r="AX293" s="1429" t="str">
        <f t="shared" si="472"/>
        <v>Sewerage</v>
      </c>
      <c r="AY293" s="1430" t="str">
        <f t="shared" si="473"/>
        <v>Fixed</v>
      </c>
      <c r="AZ293" s="1431" t="str">
        <f t="shared" si="565"/>
        <v>-</v>
      </c>
      <c r="BA293" s="1431" t="str">
        <f t="shared" si="565"/>
        <v>-</v>
      </c>
      <c r="BB293" s="1431" t="str">
        <f t="shared" si="565"/>
        <v>-</v>
      </c>
      <c r="BC293" s="1431" t="str">
        <f t="shared" si="475"/>
        <v>-</v>
      </c>
      <c r="BD293" s="1431" t="str">
        <f t="shared" si="476"/>
        <v>-</v>
      </c>
      <c r="BE293" s="1431" t="str">
        <f t="shared" si="477"/>
        <v>-</v>
      </c>
      <c r="BF293" s="1431" t="str">
        <f t="shared" si="478"/>
        <v>-</v>
      </c>
      <c r="BG293" s="1432" t="str">
        <f t="shared" si="479"/>
        <v>-</v>
      </c>
      <c r="BH293" s="1431" t="str">
        <f t="shared" si="480"/>
        <v>-</v>
      </c>
      <c r="BI293" s="1431" t="str">
        <f t="shared" si="481"/>
        <v>-</v>
      </c>
      <c r="BJ293" s="1431" t="str">
        <f t="shared" si="482"/>
        <v>-</v>
      </c>
      <c r="BK293" s="1431" t="str">
        <f t="shared" si="483"/>
        <v>-</v>
      </c>
      <c r="BL293" s="1433" t="str">
        <f t="shared" si="484"/>
        <v>-</v>
      </c>
      <c r="BM293" s="1431" t="str">
        <f t="shared" si="485"/>
        <v>-</v>
      </c>
      <c r="BN293" s="1431" t="str">
        <f t="shared" si="486"/>
        <v>-</v>
      </c>
      <c r="BO293" s="1431" t="str">
        <f t="shared" si="487"/>
        <v>-</v>
      </c>
      <c r="BP293" s="1431" t="str">
        <f t="shared" si="488"/>
        <v>-</v>
      </c>
      <c r="BQ293" s="1434" t="str">
        <f t="shared" si="489"/>
        <v>-</v>
      </c>
      <c r="BR293" s="1378"/>
      <c r="BS293" s="1407"/>
      <c r="BT293" s="1408"/>
      <c r="BU293" s="1409"/>
      <c r="BV293" s="1410"/>
      <c r="BW293" s="1378"/>
      <c r="BX293" s="1428" t="str">
        <f t="shared" si="490"/>
        <v>Rev</v>
      </c>
      <c r="BY293" s="1429" t="str">
        <f t="shared" si="491"/>
        <v>Sewerage</v>
      </c>
      <c r="BZ293" s="1430" t="str">
        <f t="shared" si="492"/>
        <v>Fixed</v>
      </c>
      <c r="CA293" s="1435" t="str">
        <f t="shared" ref="CA293:CR293" si="570">IFERROR((P293/O293-1)*(O293/O$13),"-")</f>
        <v>-</v>
      </c>
      <c r="CB293" s="1431" t="str">
        <f t="shared" si="570"/>
        <v>-</v>
      </c>
      <c r="CC293" s="1431" t="str">
        <f t="shared" si="570"/>
        <v>-</v>
      </c>
      <c r="CD293" s="1431" t="str">
        <f t="shared" si="570"/>
        <v>-</v>
      </c>
      <c r="CE293" s="1431" t="str">
        <f t="shared" si="570"/>
        <v>-</v>
      </c>
      <c r="CF293" s="1431" t="str">
        <f t="shared" si="570"/>
        <v>-</v>
      </c>
      <c r="CG293" s="1431" t="str">
        <f t="shared" si="570"/>
        <v>-</v>
      </c>
      <c r="CH293" s="1433" t="str">
        <f t="shared" si="570"/>
        <v>-</v>
      </c>
      <c r="CI293" s="1431" t="str">
        <f t="shared" si="570"/>
        <v>-</v>
      </c>
      <c r="CJ293" s="1431" t="str">
        <f t="shared" si="570"/>
        <v>-</v>
      </c>
      <c r="CK293" s="1431" t="str">
        <f t="shared" si="570"/>
        <v>-</v>
      </c>
      <c r="CL293" s="1431" t="str">
        <f t="shared" si="570"/>
        <v>-</v>
      </c>
      <c r="CM293" s="1433" t="str">
        <f t="shared" si="570"/>
        <v>-</v>
      </c>
      <c r="CN293" s="1431" t="str">
        <f t="shared" si="570"/>
        <v>-</v>
      </c>
      <c r="CO293" s="1431" t="str">
        <f t="shared" si="570"/>
        <v>-</v>
      </c>
      <c r="CP293" s="1431" t="str">
        <f t="shared" si="570"/>
        <v>-</v>
      </c>
      <c r="CQ293" s="1431" t="str">
        <f t="shared" si="570"/>
        <v>-</v>
      </c>
      <c r="CR293" s="1434" t="str">
        <f t="shared" si="570"/>
        <v>-</v>
      </c>
      <c r="CS293" s="1378"/>
      <c r="CT293" s="1428" t="str">
        <f t="shared" si="469"/>
        <v>Rev</v>
      </c>
      <c r="CU293" s="1429" t="str">
        <f t="shared" si="470"/>
        <v>Sewerage</v>
      </c>
      <c r="CV293" s="1429" t="str">
        <f t="shared" si="471"/>
        <v>Fixed</v>
      </c>
      <c r="CW293" s="1435" t="str">
        <f t="shared" si="494"/>
        <v>-</v>
      </c>
      <c r="CX293" s="1431" t="str">
        <f t="shared" si="495"/>
        <v>-</v>
      </c>
      <c r="CY293" s="1431" t="str">
        <f t="shared" si="496"/>
        <v>-</v>
      </c>
      <c r="CZ293" s="1434" t="str">
        <f t="shared" si="497"/>
        <v>-</v>
      </c>
      <c r="DA293" s="1431" t="str">
        <f t="shared" si="498"/>
        <v>-</v>
      </c>
      <c r="DB293" s="1431" t="str">
        <f t="shared" si="499"/>
        <v>-</v>
      </c>
      <c r="DC293" s="1431" t="str">
        <f t="shared" si="500"/>
        <v>-</v>
      </c>
      <c r="DD293" s="1431" t="str">
        <f t="shared" si="501"/>
        <v>-</v>
      </c>
      <c r="DE293" s="1434" t="str">
        <f t="shared" si="502"/>
        <v>-</v>
      </c>
      <c r="DF293" s="1378"/>
      <c r="DG293" s="1428" t="str">
        <f t="shared" si="503"/>
        <v>Rev</v>
      </c>
      <c r="DH293" s="1429" t="str">
        <f t="shared" si="503"/>
        <v>Sewerage</v>
      </c>
      <c r="DI293" s="1429" t="str">
        <f t="shared" si="503"/>
        <v>Fixed</v>
      </c>
      <c r="DJ293" s="1429"/>
      <c r="DK293" s="1435" t="str">
        <f t="shared" si="504"/>
        <v>-</v>
      </c>
      <c r="DL293" s="1431" t="str">
        <f t="shared" si="505"/>
        <v>-</v>
      </c>
      <c r="DM293" s="1431" t="str">
        <f t="shared" si="506"/>
        <v>-</v>
      </c>
      <c r="DN293" s="1433" t="str">
        <f t="shared" si="507"/>
        <v>-</v>
      </c>
      <c r="DO293" s="1431" t="str">
        <f t="shared" si="508"/>
        <v>-</v>
      </c>
      <c r="DP293" s="1431" t="str">
        <f t="shared" si="509"/>
        <v>-</v>
      </c>
      <c r="DQ293" s="1431" t="str">
        <f t="shared" si="510"/>
        <v>-</v>
      </c>
      <c r="DR293" s="1434" t="str">
        <f t="shared" si="511"/>
        <v>-</v>
      </c>
    </row>
    <row r="294" spans="4:122">
      <c r="D294" s="70">
        <f>D291+1</f>
        <v>77</v>
      </c>
      <c r="E294" s="713" t="s">
        <v>44</v>
      </c>
      <c r="F294" s="1532" t="s">
        <v>21</v>
      </c>
      <c r="G294" s="1532" t="s">
        <v>935</v>
      </c>
      <c r="H294" s="1532"/>
      <c r="I294" s="781" t="s">
        <v>319</v>
      </c>
      <c r="J294" s="781" t="s">
        <v>345</v>
      </c>
      <c r="K294" s="1533"/>
      <c r="L294" s="1534"/>
      <c r="M294" s="1534"/>
      <c r="N294" s="1535"/>
      <c r="O294" s="2071"/>
      <c r="P294" s="1547"/>
      <c r="Q294" s="1547"/>
      <c r="R294" s="1547"/>
      <c r="S294" s="1547"/>
      <c r="T294" s="1547"/>
      <c r="U294" s="1547"/>
      <c r="V294" s="1547"/>
      <c r="W294" s="1547"/>
      <c r="X294" s="1548"/>
      <c r="Y294" s="1547"/>
      <c r="Z294" s="1547"/>
      <c r="AA294" s="1547"/>
      <c r="AB294" s="1547"/>
      <c r="AC294" s="1548"/>
      <c r="AD294" s="1547"/>
      <c r="AE294" s="1547"/>
      <c r="AF294" s="1547"/>
      <c r="AG294" s="785"/>
      <c r="AH294" s="697"/>
      <c r="AI294" s="707"/>
      <c r="AJ294" s="709">
        <f t="shared" si="515"/>
        <v>0</v>
      </c>
      <c r="AK294" s="710">
        <f t="shared" si="516"/>
        <v>0</v>
      </c>
      <c r="AL294" s="710">
        <f t="shared" si="517"/>
        <v>0</v>
      </c>
      <c r="AM294" s="710">
        <f t="shared" si="518"/>
        <v>0</v>
      </c>
      <c r="AN294" s="710">
        <f t="shared" si="519"/>
        <v>0</v>
      </c>
      <c r="AO294" s="711">
        <f t="shared" si="520"/>
        <v>0</v>
      </c>
      <c r="AP294" s="707">
        <f t="shared" si="521"/>
        <v>0</v>
      </c>
      <c r="AQ294" s="707">
        <f t="shared" si="522"/>
        <v>0</v>
      </c>
      <c r="AR294" s="707">
        <f t="shared" si="523"/>
        <v>0</v>
      </c>
      <c r="AS294" s="712">
        <f t="shared" si="524"/>
        <v>0</v>
      </c>
      <c r="AU294" s="1369"/>
      <c r="AV294" s="1559"/>
      <c r="AW294" s="1412" t="str">
        <f t="shared" si="472"/>
        <v>Price</v>
      </c>
      <c r="AX294" s="1413" t="str">
        <f t="shared" si="472"/>
        <v>Sewerage</v>
      </c>
      <c r="AY294" s="1414" t="str">
        <f t="shared" si="473"/>
        <v>Fixed</v>
      </c>
      <c r="AZ294" s="1415" t="str">
        <f t="shared" si="565"/>
        <v>-</v>
      </c>
      <c r="BA294" s="1415" t="str">
        <f t="shared" si="565"/>
        <v>-</v>
      </c>
      <c r="BB294" s="1415" t="str">
        <f t="shared" si="565"/>
        <v>-</v>
      </c>
      <c r="BC294" s="1415" t="str">
        <f t="shared" si="475"/>
        <v>-</v>
      </c>
      <c r="BD294" s="1415" t="str">
        <f t="shared" si="476"/>
        <v>-</v>
      </c>
      <c r="BE294" s="1415" t="str">
        <f t="shared" si="477"/>
        <v>-</v>
      </c>
      <c r="BF294" s="1415" t="str">
        <f t="shared" si="478"/>
        <v>-</v>
      </c>
      <c r="BG294" s="1416" t="str">
        <f t="shared" si="479"/>
        <v>-</v>
      </c>
      <c r="BH294" s="1417" t="str">
        <f t="shared" si="480"/>
        <v>-</v>
      </c>
      <c r="BI294" s="1417" t="str">
        <f t="shared" si="481"/>
        <v>-</v>
      </c>
      <c r="BJ294" s="1417" t="str">
        <f t="shared" si="482"/>
        <v>-</v>
      </c>
      <c r="BK294" s="1417" t="str">
        <f t="shared" si="483"/>
        <v>-</v>
      </c>
      <c r="BL294" s="1418" t="str">
        <f t="shared" si="484"/>
        <v>-</v>
      </c>
      <c r="BM294" s="1417" t="str">
        <f t="shared" si="485"/>
        <v>-</v>
      </c>
      <c r="BN294" s="1417" t="str">
        <f t="shared" si="486"/>
        <v>-</v>
      </c>
      <c r="BO294" s="1417" t="str">
        <f t="shared" si="487"/>
        <v>-</v>
      </c>
      <c r="BP294" s="1417" t="str">
        <f t="shared" si="488"/>
        <v>-</v>
      </c>
      <c r="BQ294" s="1419" t="str">
        <f t="shared" si="489"/>
        <v>-</v>
      </c>
      <c r="BR294" s="1378"/>
      <c r="BS294" s="1420"/>
      <c r="BT294" s="1421"/>
      <c r="BU294" s="1422"/>
      <c r="BV294" s="1423"/>
      <c r="BW294" s="1378"/>
      <c r="BX294" s="1412" t="str">
        <f t="shared" si="490"/>
        <v>Price</v>
      </c>
      <c r="BY294" s="1413" t="str">
        <f t="shared" si="491"/>
        <v>Sewerage</v>
      </c>
      <c r="BZ294" s="1414" t="str">
        <f t="shared" si="492"/>
        <v>Fixed</v>
      </c>
      <c r="CA294" s="1424" t="str">
        <f t="shared" ref="CA294:CR294" si="571">IFERROR((P294/O294-1)*(O296/O$13),"-")</f>
        <v>-</v>
      </c>
      <c r="CB294" s="1415" t="str">
        <f t="shared" si="571"/>
        <v>-</v>
      </c>
      <c r="CC294" s="1415" t="str">
        <f t="shared" si="571"/>
        <v>-</v>
      </c>
      <c r="CD294" s="1415" t="str">
        <f t="shared" si="571"/>
        <v>-</v>
      </c>
      <c r="CE294" s="1415" t="str">
        <f t="shared" si="571"/>
        <v>-</v>
      </c>
      <c r="CF294" s="1415" t="str">
        <f t="shared" si="571"/>
        <v>-</v>
      </c>
      <c r="CG294" s="1415" t="str">
        <f t="shared" si="571"/>
        <v>-</v>
      </c>
      <c r="CH294" s="1425" t="str">
        <f t="shared" si="571"/>
        <v>-</v>
      </c>
      <c r="CI294" s="1417" t="str">
        <f t="shared" si="571"/>
        <v>-</v>
      </c>
      <c r="CJ294" s="1417" t="str">
        <f t="shared" si="571"/>
        <v>-</v>
      </c>
      <c r="CK294" s="1417" t="str">
        <f t="shared" si="571"/>
        <v>-</v>
      </c>
      <c r="CL294" s="1417" t="str">
        <f t="shared" si="571"/>
        <v>-</v>
      </c>
      <c r="CM294" s="1418" t="str">
        <f t="shared" si="571"/>
        <v>-</v>
      </c>
      <c r="CN294" s="1417" t="str">
        <f t="shared" si="571"/>
        <v>-</v>
      </c>
      <c r="CO294" s="1417" t="str">
        <f t="shared" si="571"/>
        <v>-</v>
      </c>
      <c r="CP294" s="1417" t="str">
        <f t="shared" si="571"/>
        <v>-</v>
      </c>
      <c r="CQ294" s="1417" t="str">
        <f t="shared" si="571"/>
        <v>-</v>
      </c>
      <c r="CR294" s="1419" t="str">
        <f t="shared" si="571"/>
        <v>-</v>
      </c>
      <c r="CS294" s="1378"/>
      <c r="CT294" s="1412" t="str">
        <f t="shared" si="469"/>
        <v>Price</v>
      </c>
      <c r="CU294" s="1413" t="str">
        <f t="shared" si="470"/>
        <v>Sewerage</v>
      </c>
      <c r="CV294" s="1426" t="str">
        <f t="shared" si="471"/>
        <v>Fixed</v>
      </c>
      <c r="CW294" s="1427" t="str">
        <f t="shared" si="494"/>
        <v>-</v>
      </c>
      <c r="CX294" s="1417" t="str">
        <f t="shared" si="495"/>
        <v>-</v>
      </c>
      <c r="CY294" s="1417" t="str">
        <f t="shared" si="496"/>
        <v>-</v>
      </c>
      <c r="CZ294" s="1419" t="str">
        <f t="shared" si="497"/>
        <v>-</v>
      </c>
      <c r="DA294" s="1417" t="str">
        <f t="shared" si="498"/>
        <v>-</v>
      </c>
      <c r="DB294" s="1417" t="str">
        <f t="shared" si="499"/>
        <v>-</v>
      </c>
      <c r="DC294" s="1417" t="str">
        <f t="shared" si="500"/>
        <v>-</v>
      </c>
      <c r="DD294" s="1417" t="str">
        <f t="shared" si="501"/>
        <v>-</v>
      </c>
      <c r="DE294" s="1419" t="str">
        <f t="shared" si="502"/>
        <v>-</v>
      </c>
      <c r="DF294" s="1378"/>
      <c r="DG294" s="1412" t="str">
        <f t="shared" si="503"/>
        <v>Price</v>
      </c>
      <c r="DH294" s="1413" t="str">
        <f t="shared" si="503"/>
        <v>Sewerage</v>
      </c>
      <c r="DI294" s="1426" t="str">
        <f t="shared" si="503"/>
        <v>Fixed</v>
      </c>
      <c r="DJ294" s="1426"/>
      <c r="DK294" s="1427" t="str">
        <f t="shared" si="504"/>
        <v>-</v>
      </c>
      <c r="DL294" s="1417" t="str">
        <f t="shared" si="505"/>
        <v>-</v>
      </c>
      <c r="DM294" s="1417" t="str">
        <f t="shared" si="506"/>
        <v>-</v>
      </c>
      <c r="DN294" s="1418" t="str">
        <f t="shared" si="507"/>
        <v>-</v>
      </c>
      <c r="DO294" s="1417" t="str">
        <f t="shared" si="508"/>
        <v>-</v>
      </c>
      <c r="DP294" s="1417" t="str">
        <f t="shared" si="509"/>
        <v>-</v>
      </c>
      <c r="DQ294" s="1417" t="str">
        <f t="shared" si="510"/>
        <v>-</v>
      </c>
      <c r="DR294" s="1419" t="str">
        <f t="shared" si="511"/>
        <v>-</v>
      </c>
    </row>
    <row r="295" spans="4:122">
      <c r="E295" s="742" t="s">
        <v>45</v>
      </c>
      <c r="F295" s="722" t="str">
        <f>+F294</f>
        <v>Sewerage</v>
      </c>
      <c r="G295" s="723" t="str">
        <f>+G294</f>
        <v>Fixed Charge Cat 2 - Bright, Rutherglen, Wahgunyah, Beechworth, Mt Beauty, Tawonga, Tawonga South, Myrtleford, Porepunkah</v>
      </c>
      <c r="H295" s="723">
        <f>+H294</f>
        <v>0</v>
      </c>
      <c r="I295" s="724" t="str">
        <f>+I294</f>
        <v>Fixed</v>
      </c>
      <c r="J295" s="782" t="s">
        <v>323</v>
      </c>
      <c r="K295" s="1540"/>
      <c r="L295" s="1541"/>
      <c r="M295" s="1541"/>
      <c r="N295" s="1542"/>
      <c r="O295" s="2031"/>
      <c r="P295" s="1543"/>
      <c r="Q295" s="1543"/>
      <c r="R295" s="1543"/>
      <c r="S295" s="1543"/>
      <c r="T295" s="1543"/>
      <c r="U295" s="1543"/>
      <c r="V295" s="1543"/>
      <c r="W295" s="1543"/>
      <c r="X295" s="1544"/>
      <c r="Y295" s="1543"/>
      <c r="Z295" s="1543"/>
      <c r="AA295" s="1543"/>
      <c r="AB295" s="1543"/>
      <c r="AC295" s="1544"/>
      <c r="AD295" s="1543"/>
      <c r="AE295" s="1543"/>
      <c r="AF295" s="1543"/>
      <c r="AG295" s="788"/>
      <c r="AH295" s="697"/>
      <c r="AI295" s="707"/>
      <c r="AJ295" s="709">
        <f t="shared" si="515"/>
        <v>0</v>
      </c>
      <c r="AK295" s="710">
        <f t="shared" si="516"/>
        <v>0</v>
      </c>
      <c r="AL295" s="710">
        <f t="shared" si="517"/>
        <v>0</v>
      </c>
      <c r="AM295" s="710">
        <f t="shared" si="518"/>
        <v>0</v>
      </c>
      <c r="AN295" s="710">
        <f t="shared" si="519"/>
        <v>0</v>
      </c>
      <c r="AO295" s="711">
        <f t="shared" si="520"/>
        <v>0</v>
      </c>
      <c r="AP295" s="707">
        <f t="shared" si="521"/>
        <v>0</v>
      </c>
      <c r="AQ295" s="707">
        <f t="shared" si="522"/>
        <v>0</v>
      </c>
      <c r="AR295" s="707">
        <f t="shared" si="523"/>
        <v>0</v>
      </c>
      <c r="AS295" s="712">
        <f t="shared" si="524"/>
        <v>0</v>
      </c>
      <c r="AV295" s="1559"/>
      <c r="AW295" s="1392" t="str">
        <f t="shared" si="472"/>
        <v>Qty</v>
      </c>
      <c r="AX295" s="1393" t="str">
        <f t="shared" si="472"/>
        <v>Sewerage</v>
      </c>
      <c r="AY295" s="1394" t="str">
        <f t="shared" si="473"/>
        <v>Fixed</v>
      </c>
      <c r="AZ295" s="1395" t="str">
        <f t="shared" si="565"/>
        <v>-</v>
      </c>
      <c r="BA295" s="1395" t="str">
        <f t="shared" si="565"/>
        <v>-</v>
      </c>
      <c r="BB295" s="1395" t="str">
        <f t="shared" si="565"/>
        <v>-</v>
      </c>
      <c r="BC295" s="1395" t="str">
        <f t="shared" si="475"/>
        <v>-</v>
      </c>
      <c r="BD295" s="1395" t="str">
        <f t="shared" si="476"/>
        <v>-</v>
      </c>
      <c r="BE295" s="1395" t="str">
        <f t="shared" si="477"/>
        <v>-</v>
      </c>
      <c r="BF295" s="1395" t="str">
        <f t="shared" si="478"/>
        <v>-</v>
      </c>
      <c r="BG295" s="1396" t="str">
        <f t="shared" si="479"/>
        <v>-</v>
      </c>
      <c r="BH295" s="1395" t="str">
        <f t="shared" si="480"/>
        <v>-</v>
      </c>
      <c r="BI295" s="1395" t="str">
        <f t="shared" si="481"/>
        <v>-</v>
      </c>
      <c r="BJ295" s="1395" t="str">
        <f t="shared" si="482"/>
        <v>-</v>
      </c>
      <c r="BK295" s="1395" t="str">
        <f t="shared" si="483"/>
        <v>-</v>
      </c>
      <c r="BL295" s="1397" t="str">
        <f t="shared" si="484"/>
        <v>-</v>
      </c>
      <c r="BM295" s="1395" t="str">
        <f t="shared" si="485"/>
        <v>-</v>
      </c>
      <c r="BN295" s="1395" t="str">
        <f t="shared" si="486"/>
        <v>-</v>
      </c>
      <c r="BO295" s="1395" t="str">
        <f t="shared" si="487"/>
        <v>-</v>
      </c>
      <c r="BP295" s="1395" t="str">
        <f t="shared" si="488"/>
        <v>-</v>
      </c>
      <c r="BQ295" s="1398" t="str">
        <f t="shared" si="489"/>
        <v>-</v>
      </c>
      <c r="BR295" s="1378"/>
      <c r="BS295" s="1329"/>
      <c r="BT295" s="1399"/>
      <c r="BU295" s="1331"/>
      <c r="BV295" s="1400"/>
      <c r="BW295" s="1378"/>
      <c r="BX295" s="1392" t="str">
        <f t="shared" si="490"/>
        <v>Qty</v>
      </c>
      <c r="BY295" s="1393" t="str">
        <f t="shared" si="491"/>
        <v>Sewerage</v>
      </c>
      <c r="BZ295" s="1394" t="str">
        <f t="shared" si="492"/>
        <v>Fixed</v>
      </c>
      <c r="CA295" s="1401" t="str">
        <f t="shared" ref="CA295:CR295" si="572">IFERROR((P295/O295-1)*(O296/O$13),"-")</f>
        <v>-</v>
      </c>
      <c r="CB295" s="1395" t="str">
        <f t="shared" si="572"/>
        <v>-</v>
      </c>
      <c r="CC295" s="1395" t="str">
        <f t="shared" si="572"/>
        <v>-</v>
      </c>
      <c r="CD295" s="1395" t="str">
        <f t="shared" si="572"/>
        <v>-</v>
      </c>
      <c r="CE295" s="1395" t="str">
        <f t="shared" si="572"/>
        <v>-</v>
      </c>
      <c r="CF295" s="1395" t="str">
        <f t="shared" si="572"/>
        <v>-</v>
      </c>
      <c r="CG295" s="1395" t="str">
        <f t="shared" si="572"/>
        <v>-</v>
      </c>
      <c r="CH295" s="1397" t="str">
        <f t="shared" si="572"/>
        <v>-</v>
      </c>
      <c r="CI295" s="1395" t="str">
        <f t="shared" si="572"/>
        <v>-</v>
      </c>
      <c r="CJ295" s="1395" t="str">
        <f t="shared" si="572"/>
        <v>-</v>
      </c>
      <c r="CK295" s="1395" t="str">
        <f t="shared" si="572"/>
        <v>-</v>
      </c>
      <c r="CL295" s="1395" t="str">
        <f t="shared" si="572"/>
        <v>-</v>
      </c>
      <c r="CM295" s="1397" t="str">
        <f t="shared" si="572"/>
        <v>-</v>
      </c>
      <c r="CN295" s="1395" t="str">
        <f t="shared" si="572"/>
        <v>-</v>
      </c>
      <c r="CO295" s="1395" t="str">
        <f t="shared" si="572"/>
        <v>-</v>
      </c>
      <c r="CP295" s="1395" t="str">
        <f t="shared" si="572"/>
        <v>-</v>
      </c>
      <c r="CQ295" s="1395" t="str">
        <f t="shared" si="572"/>
        <v>-</v>
      </c>
      <c r="CR295" s="1398" t="str">
        <f t="shared" si="572"/>
        <v>-</v>
      </c>
      <c r="CS295" s="1378"/>
      <c r="CT295" s="1392" t="str">
        <f t="shared" si="469"/>
        <v>Qty</v>
      </c>
      <c r="CU295" s="1393" t="str">
        <f t="shared" si="470"/>
        <v>Sewerage</v>
      </c>
      <c r="CV295" s="1393" t="str">
        <f t="shared" si="471"/>
        <v>Fixed</v>
      </c>
      <c r="CW295" s="1401" t="str">
        <f t="shared" si="494"/>
        <v>-</v>
      </c>
      <c r="CX295" s="1395" t="str">
        <f t="shared" si="495"/>
        <v>-</v>
      </c>
      <c r="CY295" s="1395" t="str">
        <f t="shared" si="496"/>
        <v>-</v>
      </c>
      <c r="CZ295" s="1398" t="str">
        <f t="shared" si="497"/>
        <v>-</v>
      </c>
      <c r="DA295" s="1395" t="str">
        <f t="shared" si="498"/>
        <v>-</v>
      </c>
      <c r="DB295" s="1395" t="str">
        <f t="shared" si="499"/>
        <v>-</v>
      </c>
      <c r="DC295" s="1395" t="str">
        <f t="shared" si="500"/>
        <v>-</v>
      </c>
      <c r="DD295" s="1395" t="str">
        <f t="shared" si="501"/>
        <v>-</v>
      </c>
      <c r="DE295" s="1398" t="str">
        <f t="shared" si="502"/>
        <v>-</v>
      </c>
      <c r="DF295" s="1378"/>
      <c r="DG295" s="1392" t="str">
        <f t="shared" si="503"/>
        <v>Qty</v>
      </c>
      <c r="DH295" s="1393" t="str">
        <f t="shared" si="503"/>
        <v>Sewerage</v>
      </c>
      <c r="DI295" s="1393" t="str">
        <f t="shared" si="503"/>
        <v>Fixed</v>
      </c>
      <c r="DJ295" s="1393"/>
      <c r="DK295" s="1401" t="str">
        <f t="shared" si="504"/>
        <v>-</v>
      </c>
      <c r="DL295" s="1395" t="str">
        <f t="shared" si="505"/>
        <v>-</v>
      </c>
      <c r="DM295" s="1395" t="str">
        <f t="shared" si="506"/>
        <v>-</v>
      </c>
      <c r="DN295" s="1397" t="str">
        <f t="shared" si="507"/>
        <v>-</v>
      </c>
      <c r="DO295" s="1395" t="str">
        <f t="shared" si="508"/>
        <v>-</v>
      </c>
      <c r="DP295" s="1395" t="str">
        <f t="shared" si="509"/>
        <v>-</v>
      </c>
      <c r="DQ295" s="1395" t="str">
        <f t="shared" si="510"/>
        <v>-</v>
      </c>
      <c r="DR295" s="1398" t="str">
        <f t="shared" si="511"/>
        <v>-</v>
      </c>
    </row>
    <row r="296" spans="4:122" ht="12.75" thickBot="1">
      <c r="E296" s="743" t="s">
        <v>46</v>
      </c>
      <c r="F296" s="732" t="str">
        <f>+F294</f>
        <v>Sewerage</v>
      </c>
      <c r="G296" s="733" t="str">
        <f>+G294</f>
        <v>Fixed Charge Cat 2 - Bright, Rutherglen, Wahgunyah, Beechworth, Mt Beauty, Tawonga, Tawonga South, Myrtleford, Porepunkah</v>
      </c>
      <c r="H296" s="733">
        <f>+H294</f>
        <v>0</v>
      </c>
      <c r="I296" s="734" t="str">
        <f>+I294</f>
        <v>Fixed</v>
      </c>
      <c r="J296" s="735" t="s">
        <v>344</v>
      </c>
      <c r="K296" s="736">
        <f t="shared" ref="K296:AG296" si="573">K294*K295/10^6</f>
        <v>0</v>
      </c>
      <c r="L296" s="737">
        <f t="shared" si="573"/>
        <v>0</v>
      </c>
      <c r="M296" s="737">
        <f t="shared" si="573"/>
        <v>0</v>
      </c>
      <c r="N296" s="738">
        <f t="shared" si="573"/>
        <v>0</v>
      </c>
      <c r="O296" s="1923">
        <f t="shared" si="573"/>
        <v>0</v>
      </c>
      <c r="P296" s="737">
        <f t="shared" si="573"/>
        <v>0</v>
      </c>
      <c r="Q296" s="737">
        <f t="shared" si="573"/>
        <v>0</v>
      </c>
      <c r="R296" s="737">
        <f t="shared" si="573"/>
        <v>0</v>
      </c>
      <c r="S296" s="737">
        <f t="shared" si="573"/>
        <v>0</v>
      </c>
      <c r="T296" s="1531">
        <f t="shared" si="573"/>
        <v>0</v>
      </c>
      <c r="U296" s="737">
        <f t="shared" si="573"/>
        <v>0</v>
      </c>
      <c r="V296" s="737">
        <f t="shared" si="573"/>
        <v>0</v>
      </c>
      <c r="W296" s="737">
        <f t="shared" si="573"/>
        <v>0</v>
      </c>
      <c r="X296" s="738">
        <f t="shared" si="573"/>
        <v>0</v>
      </c>
      <c r="Y296" s="737">
        <f t="shared" si="573"/>
        <v>0</v>
      </c>
      <c r="Z296" s="737">
        <f t="shared" si="573"/>
        <v>0</v>
      </c>
      <c r="AA296" s="737">
        <f t="shared" si="573"/>
        <v>0</v>
      </c>
      <c r="AB296" s="737">
        <f t="shared" si="573"/>
        <v>0</v>
      </c>
      <c r="AC296" s="738">
        <f t="shared" si="573"/>
        <v>0</v>
      </c>
      <c r="AD296" s="737">
        <f t="shared" si="573"/>
        <v>0</v>
      </c>
      <c r="AE296" s="737">
        <f t="shared" si="573"/>
        <v>0</v>
      </c>
      <c r="AF296" s="737">
        <f t="shared" si="573"/>
        <v>0</v>
      </c>
      <c r="AG296" s="739">
        <f t="shared" si="573"/>
        <v>0</v>
      </c>
      <c r="AH296" s="697"/>
      <c r="AI296" s="707"/>
      <c r="AJ296" s="709">
        <f t="shared" si="515"/>
        <v>0</v>
      </c>
      <c r="AK296" s="710">
        <f t="shared" si="516"/>
        <v>0</v>
      </c>
      <c r="AL296" s="710">
        <f t="shared" si="517"/>
        <v>0</v>
      </c>
      <c r="AM296" s="710">
        <f t="shared" si="518"/>
        <v>0</v>
      </c>
      <c r="AN296" s="710">
        <f t="shared" si="519"/>
        <v>0</v>
      </c>
      <c r="AO296" s="711">
        <f t="shared" si="520"/>
        <v>0</v>
      </c>
      <c r="AP296" s="707">
        <f t="shared" si="521"/>
        <v>0</v>
      </c>
      <c r="AQ296" s="707">
        <f t="shared" si="522"/>
        <v>0</v>
      </c>
      <c r="AR296" s="707">
        <f t="shared" si="523"/>
        <v>0</v>
      </c>
      <c r="AS296" s="712">
        <f t="shared" si="524"/>
        <v>0</v>
      </c>
      <c r="AV296" s="1559"/>
      <c r="AW296" s="1428" t="str">
        <f t="shared" si="472"/>
        <v>Rev</v>
      </c>
      <c r="AX296" s="1429" t="str">
        <f t="shared" si="472"/>
        <v>Sewerage</v>
      </c>
      <c r="AY296" s="1430" t="str">
        <f t="shared" si="473"/>
        <v>Fixed</v>
      </c>
      <c r="AZ296" s="1431" t="str">
        <f t="shared" si="565"/>
        <v>-</v>
      </c>
      <c r="BA296" s="1431" t="str">
        <f t="shared" si="565"/>
        <v>-</v>
      </c>
      <c r="BB296" s="1431" t="str">
        <f t="shared" si="565"/>
        <v>-</v>
      </c>
      <c r="BC296" s="1431" t="str">
        <f t="shared" si="475"/>
        <v>-</v>
      </c>
      <c r="BD296" s="1431" t="str">
        <f t="shared" si="476"/>
        <v>-</v>
      </c>
      <c r="BE296" s="1431" t="str">
        <f t="shared" si="477"/>
        <v>-</v>
      </c>
      <c r="BF296" s="1431" t="str">
        <f t="shared" si="478"/>
        <v>-</v>
      </c>
      <c r="BG296" s="1432" t="str">
        <f t="shared" si="479"/>
        <v>-</v>
      </c>
      <c r="BH296" s="1431" t="str">
        <f t="shared" si="480"/>
        <v>-</v>
      </c>
      <c r="BI296" s="1431" t="str">
        <f t="shared" si="481"/>
        <v>-</v>
      </c>
      <c r="BJ296" s="1431" t="str">
        <f t="shared" si="482"/>
        <v>-</v>
      </c>
      <c r="BK296" s="1431" t="str">
        <f t="shared" si="483"/>
        <v>-</v>
      </c>
      <c r="BL296" s="1433" t="str">
        <f t="shared" si="484"/>
        <v>-</v>
      </c>
      <c r="BM296" s="1431" t="str">
        <f t="shared" si="485"/>
        <v>-</v>
      </c>
      <c r="BN296" s="1431" t="str">
        <f t="shared" si="486"/>
        <v>-</v>
      </c>
      <c r="BO296" s="1431" t="str">
        <f t="shared" si="487"/>
        <v>-</v>
      </c>
      <c r="BP296" s="1431" t="str">
        <f t="shared" si="488"/>
        <v>-</v>
      </c>
      <c r="BQ296" s="1434" t="str">
        <f t="shared" si="489"/>
        <v>-</v>
      </c>
      <c r="BR296" s="1378"/>
      <c r="BS296" s="1407"/>
      <c r="BT296" s="1408"/>
      <c r="BU296" s="1409"/>
      <c r="BV296" s="1410"/>
      <c r="BW296" s="1378"/>
      <c r="BX296" s="1428" t="str">
        <f t="shared" si="490"/>
        <v>Rev</v>
      </c>
      <c r="BY296" s="1429" t="str">
        <f t="shared" si="491"/>
        <v>Sewerage</v>
      </c>
      <c r="BZ296" s="1430" t="str">
        <f t="shared" si="492"/>
        <v>Fixed</v>
      </c>
      <c r="CA296" s="1435" t="str">
        <f t="shared" ref="CA296:CR296" si="574">IFERROR((P296/O296-1)*(O296/O$13),"-")</f>
        <v>-</v>
      </c>
      <c r="CB296" s="1431" t="str">
        <f t="shared" si="574"/>
        <v>-</v>
      </c>
      <c r="CC296" s="1431" t="str">
        <f t="shared" si="574"/>
        <v>-</v>
      </c>
      <c r="CD296" s="1431" t="str">
        <f t="shared" si="574"/>
        <v>-</v>
      </c>
      <c r="CE296" s="1431" t="str">
        <f t="shared" si="574"/>
        <v>-</v>
      </c>
      <c r="CF296" s="1431" t="str">
        <f t="shared" si="574"/>
        <v>-</v>
      </c>
      <c r="CG296" s="1431" t="str">
        <f t="shared" si="574"/>
        <v>-</v>
      </c>
      <c r="CH296" s="1433" t="str">
        <f t="shared" si="574"/>
        <v>-</v>
      </c>
      <c r="CI296" s="1431" t="str">
        <f t="shared" si="574"/>
        <v>-</v>
      </c>
      <c r="CJ296" s="1431" t="str">
        <f t="shared" si="574"/>
        <v>-</v>
      </c>
      <c r="CK296" s="1431" t="str">
        <f t="shared" si="574"/>
        <v>-</v>
      </c>
      <c r="CL296" s="1431" t="str">
        <f t="shared" si="574"/>
        <v>-</v>
      </c>
      <c r="CM296" s="1433" t="str">
        <f t="shared" si="574"/>
        <v>-</v>
      </c>
      <c r="CN296" s="1431" t="str">
        <f t="shared" si="574"/>
        <v>-</v>
      </c>
      <c r="CO296" s="1431" t="str">
        <f t="shared" si="574"/>
        <v>-</v>
      </c>
      <c r="CP296" s="1431" t="str">
        <f t="shared" si="574"/>
        <v>-</v>
      </c>
      <c r="CQ296" s="1431" t="str">
        <f t="shared" si="574"/>
        <v>-</v>
      </c>
      <c r="CR296" s="1434" t="str">
        <f t="shared" si="574"/>
        <v>-</v>
      </c>
      <c r="CS296" s="1378"/>
      <c r="CT296" s="1428" t="str">
        <f t="shared" si="469"/>
        <v>Rev</v>
      </c>
      <c r="CU296" s="1429" t="str">
        <f t="shared" si="470"/>
        <v>Sewerage</v>
      </c>
      <c r="CV296" s="1429" t="str">
        <f t="shared" si="471"/>
        <v>Fixed</v>
      </c>
      <c r="CW296" s="1435" t="str">
        <f t="shared" si="494"/>
        <v>-</v>
      </c>
      <c r="CX296" s="1431" t="str">
        <f t="shared" si="495"/>
        <v>-</v>
      </c>
      <c r="CY296" s="1431" t="str">
        <f t="shared" si="496"/>
        <v>-</v>
      </c>
      <c r="CZ296" s="1434" t="str">
        <f t="shared" si="497"/>
        <v>-</v>
      </c>
      <c r="DA296" s="1431" t="str">
        <f t="shared" si="498"/>
        <v>-</v>
      </c>
      <c r="DB296" s="1431" t="str">
        <f t="shared" si="499"/>
        <v>-</v>
      </c>
      <c r="DC296" s="1431" t="str">
        <f t="shared" si="500"/>
        <v>-</v>
      </c>
      <c r="DD296" s="1431" t="str">
        <f t="shared" si="501"/>
        <v>-</v>
      </c>
      <c r="DE296" s="1434" t="str">
        <f t="shared" si="502"/>
        <v>-</v>
      </c>
      <c r="DF296" s="1378"/>
      <c r="DG296" s="1428" t="str">
        <f t="shared" si="503"/>
        <v>Rev</v>
      </c>
      <c r="DH296" s="1429" t="str">
        <f t="shared" si="503"/>
        <v>Sewerage</v>
      </c>
      <c r="DI296" s="1429" t="str">
        <f t="shared" si="503"/>
        <v>Fixed</v>
      </c>
      <c r="DJ296" s="1429"/>
      <c r="DK296" s="1435" t="str">
        <f t="shared" si="504"/>
        <v>-</v>
      </c>
      <c r="DL296" s="1431" t="str">
        <f t="shared" si="505"/>
        <v>-</v>
      </c>
      <c r="DM296" s="1431" t="str">
        <f t="shared" si="506"/>
        <v>-</v>
      </c>
      <c r="DN296" s="1433" t="str">
        <f t="shared" si="507"/>
        <v>-</v>
      </c>
      <c r="DO296" s="1431" t="str">
        <f t="shared" si="508"/>
        <v>-</v>
      </c>
      <c r="DP296" s="1431" t="str">
        <f t="shared" si="509"/>
        <v>-</v>
      </c>
      <c r="DQ296" s="1431" t="str">
        <f t="shared" si="510"/>
        <v>-</v>
      </c>
      <c r="DR296" s="1434" t="str">
        <f t="shared" si="511"/>
        <v>-</v>
      </c>
    </row>
    <row r="297" spans="4:122">
      <c r="D297" s="70">
        <f>D294+1</f>
        <v>78</v>
      </c>
      <c r="E297" s="713" t="s">
        <v>44</v>
      </c>
      <c r="F297" s="1532" t="s">
        <v>21</v>
      </c>
      <c r="G297" s="1532" t="s">
        <v>936</v>
      </c>
      <c r="H297" s="1532"/>
      <c r="I297" s="781" t="s">
        <v>319</v>
      </c>
      <c r="J297" s="781" t="s">
        <v>345</v>
      </c>
      <c r="K297" s="1533"/>
      <c r="L297" s="1534"/>
      <c r="M297" s="1534"/>
      <c r="N297" s="1535"/>
      <c r="O297" s="2071"/>
      <c r="P297" s="1547"/>
      <c r="Q297" s="1547"/>
      <c r="R297" s="1547"/>
      <c r="S297" s="1547"/>
      <c r="T297" s="1547"/>
      <c r="U297" s="1547"/>
      <c r="V297" s="1547"/>
      <c r="W297" s="1547"/>
      <c r="X297" s="1548"/>
      <c r="Y297" s="1547"/>
      <c r="Z297" s="1547"/>
      <c r="AA297" s="1547"/>
      <c r="AB297" s="1547"/>
      <c r="AC297" s="1548"/>
      <c r="AD297" s="1547"/>
      <c r="AE297" s="1547"/>
      <c r="AF297" s="1547"/>
      <c r="AG297" s="785"/>
      <c r="AH297" s="697"/>
      <c r="AI297" s="707"/>
      <c r="AJ297" s="709">
        <f t="shared" si="515"/>
        <v>0</v>
      </c>
      <c r="AK297" s="710">
        <f t="shared" si="516"/>
        <v>0</v>
      </c>
      <c r="AL297" s="710">
        <f t="shared" si="517"/>
        <v>0</v>
      </c>
      <c r="AM297" s="710">
        <f t="shared" si="518"/>
        <v>0</v>
      </c>
      <c r="AN297" s="710">
        <f t="shared" si="519"/>
        <v>0</v>
      </c>
      <c r="AO297" s="711">
        <f t="shared" si="520"/>
        <v>0</v>
      </c>
      <c r="AP297" s="707">
        <f t="shared" si="521"/>
        <v>0</v>
      </c>
      <c r="AQ297" s="707">
        <f t="shared" si="522"/>
        <v>0</v>
      </c>
      <c r="AR297" s="707">
        <f t="shared" si="523"/>
        <v>0</v>
      </c>
      <c r="AS297" s="712">
        <f t="shared" si="524"/>
        <v>0</v>
      </c>
      <c r="AU297" s="1369"/>
      <c r="AV297" s="1559"/>
      <c r="AW297" s="1412" t="str">
        <f t="shared" si="472"/>
        <v>Price</v>
      </c>
      <c r="AX297" s="1413" t="str">
        <f t="shared" si="472"/>
        <v>Sewerage</v>
      </c>
      <c r="AY297" s="1414" t="str">
        <f t="shared" si="473"/>
        <v>Fixed</v>
      </c>
      <c r="AZ297" s="1415" t="str">
        <f t="shared" si="565"/>
        <v>-</v>
      </c>
      <c r="BA297" s="1415" t="str">
        <f t="shared" si="565"/>
        <v>-</v>
      </c>
      <c r="BB297" s="1415" t="str">
        <f t="shared" si="565"/>
        <v>-</v>
      </c>
      <c r="BC297" s="1415" t="str">
        <f t="shared" si="475"/>
        <v>-</v>
      </c>
      <c r="BD297" s="1415" t="str">
        <f t="shared" si="476"/>
        <v>-</v>
      </c>
      <c r="BE297" s="1415" t="str">
        <f t="shared" si="477"/>
        <v>-</v>
      </c>
      <c r="BF297" s="1415" t="str">
        <f t="shared" si="478"/>
        <v>-</v>
      </c>
      <c r="BG297" s="1416" t="str">
        <f t="shared" si="479"/>
        <v>-</v>
      </c>
      <c r="BH297" s="1417" t="str">
        <f t="shared" si="480"/>
        <v>-</v>
      </c>
      <c r="BI297" s="1417" t="str">
        <f t="shared" si="481"/>
        <v>-</v>
      </c>
      <c r="BJ297" s="1417" t="str">
        <f t="shared" si="482"/>
        <v>-</v>
      </c>
      <c r="BK297" s="1417" t="str">
        <f t="shared" si="483"/>
        <v>-</v>
      </c>
      <c r="BL297" s="1418" t="str">
        <f t="shared" si="484"/>
        <v>-</v>
      </c>
      <c r="BM297" s="1417" t="str">
        <f t="shared" si="485"/>
        <v>-</v>
      </c>
      <c r="BN297" s="1417" t="str">
        <f t="shared" si="486"/>
        <v>-</v>
      </c>
      <c r="BO297" s="1417" t="str">
        <f t="shared" si="487"/>
        <v>-</v>
      </c>
      <c r="BP297" s="1417" t="str">
        <f t="shared" si="488"/>
        <v>-</v>
      </c>
      <c r="BQ297" s="1419" t="str">
        <f t="shared" si="489"/>
        <v>-</v>
      </c>
      <c r="BR297" s="1378"/>
      <c r="BS297" s="1420"/>
      <c r="BT297" s="1421"/>
      <c r="BU297" s="1422"/>
      <c r="BV297" s="1423"/>
      <c r="BW297" s="1378"/>
      <c r="BX297" s="1412" t="str">
        <f t="shared" si="490"/>
        <v>Price</v>
      </c>
      <c r="BY297" s="1413" t="str">
        <f t="shared" si="491"/>
        <v>Sewerage</v>
      </c>
      <c r="BZ297" s="1414" t="str">
        <f t="shared" si="492"/>
        <v>Fixed</v>
      </c>
      <c r="CA297" s="1424" t="str">
        <f t="shared" ref="CA297:CR297" si="575">IFERROR((P297/O297-1)*(O299/O$13),"-")</f>
        <v>-</v>
      </c>
      <c r="CB297" s="1415" t="str">
        <f t="shared" si="575"/>
        <v>-</v>
      </c>
      <c r="CC297" s="1415" t="str">
        <f t="shared" si="575"/>
        <v>-</v>
      </c>
      <c r="CD297" s="1415" t="str">
        <f t="shared" si="575"/>
        <v>-</v>
      </c>
      <c r="CE297" s="1415" t="str">
        <f t="shared" si="575"/>
        <v>-</v>
      </c>
      <c r="CF297" s="1415" t="str">
        <f t="shared" si="575"/>
        <v>-</v>
      </c>
      <c r="CG297" s="1415" t="str">
        <f t="shared" si="575"/>
        <v>-</v>
      </c>
      <c r="CH297" s="1425" t="str">
        <f t="shared" si="575"/>
        <v>-</v>
      </c>
      <c r="CI297" s="1417" t="str">
        <f t="shared" si="575"/>
        <v>-</v>
      </c>
      <c r="CJ297" s="1417" t="str">
        <f t="shared" si="575"/>
        <v>-</v>
      </c>
      <c r="CK297" s="1417" t="str">
        <f t="shared" si="575"/>
        <v>-</v>
      </c>
      <c r="CL297" s="1417" t="str">
        <f t="shared" si="575"/>
        <v>-</v>
      </c>
      <c r="CM297" s="1418" t="str">
        <f t="shared" si="575"/>
        <v>-</v>
      </c>
      <c r="CN297" s="1417" t="str">
        <f t="shared" si="575"/>
        <v>-</v>
      </c>
      <c r="CO297" s="1417" t="str">
        <f t="shared" si="575"/>
        <v>-</v>
      </c>
      <c r="CP297" s="1417" t="str">
        <f t="shared" si="575"/>
        <v>-</v>
      </c>
      <c r="CQ297" s="1417" t="str">
        <f t="shared" si="575"/>
        <v>-</v>
      </c>
      <c r="CR297" s="1419" t="str">
        <f t="shared" si="575"/>
        <v>-</v>
      </c>
      <c r="CS297" s="1378"/>
      <c r="CT297" s="1412" t="str">
        <f t="shared" si="469"/>
        <v>Price</v>
      </c>
      <c r="CU297" s="1413" t="str">
        <f t="shared" si="470"/>
        <v>Sewerage</v>
      </c>
      <c r="CV297" s="1426" t="str">
        <f t="shared" si="471"/>
        <v>Fixed</v>
      </c>
      <c r="CW297" s="1427" t="str">
        <f t="shared" si="494"/>
        <v>-</v>
      </c>
      <c r="CX297" s="1417" t="str">
        <f t="shared" si="495"/>
        <v>-</v>
      </c>
      <c r="CY297" s="1417" t="str">
        <f t="shared" si="496"/>
        <v>-</v>
      </c>
      <c r="CZ297" s="1419" t="str">
        <f t="shared" si="497"/>
        <v>-</v>
      </c>
      <c r="DA297" s="1417" t="str">
        <f t="shared" si="498"/>
        <v>-</v>
      </c>
      <c r="DB297" s="1417" t="str">
        <f t="shared" si="499"/>
        <v>-</v>
      </c>
      <c r="DC297" s="1417" t="str">
        <f t="shared" si="500"/>
        <v>-</v>
      </c>
      <c r="DD297" s="1417" t="str">
        <f t="shared" si="501"/>
        <v>-</v>
      </c>
      <c r="DE297" s="1419" t="str">
        <f t="shared" si="502"/>
        <v>-</v>
      </c>
      <c r="DF297" s="1378"/>
      <c r="DG297" s="1412" t="str">
        <f t="shared" si="503"/>
        <v>Price</v>
      </c>
      <c r="DH297" s="1413" t="str">
        <f t="shared" si="503"/>
        <v>Sewerage</v>
      </c>
      <c r="DI297" s="1426" t="str">
        <f t="shared" si="503"/>
        <v>Fixed</v>
      </c>
      <c r="DJ297" s="1426"/>
      <c r="DK297" s="1427" t="str">
        <f t="shared" si="504"/>
        <v>-</v>
      </c>
      <c r="DL297" s="1417" t="str">
        <f t="shared" si="505"/>
        <v>-</v>
      </c>
      <c r="DM297" s="1417" t="str">
        <f t="shared" si="506"/>
        <v>-</v>
      </c>
      <c r="DN297" s="1418" t="str">
        <f t="shared" si="507"/>
        <v>-</v>
      </c>
      <c r="DO297" s="1417" t="str">
        <f t="shared" si="508"/>
        <v>-</v>
      </c>
      <c r="DP297" s="1417" t="str">
        <f t="shared" si="509"/>
        <v>-</v>
      </c>
      <c r="DQ297" s="1417" t="str">
        <f t="shared" si="510"/>
        <v>-</v>
      </c>
      <c r="DR297" s="1419" t="str">
        <f t="shared" si="511"/>
        <v>-</v>
      </c>
    </row>
    <row r="298" spans="4:122">
      <c r="E298" s="742" t="s">
        <v>45</v>
      </c>
      <c r="F298" s="722" t="str">
        <f>+F297</f>
        <v>Sewerage</v>
      </c>
      <c r="G298" s="723" t="str">
        <f>+G297</f>
        <v xml:space="preserve"> Fixed Charge Cat 3 Chiltern, Tallangatta, Corryong, Yackandandah</v>
      </c>
      <c r="H298" s="723">
        <f>+H297</f>
        <v>0</v>
      </c>
      <c r="I298" s="724" t="str">
        <f>+I297</f>
        <v>Fixed</v>
      </c>
      <c r="J298" s="782" t="s">
        <v>323</v>
      </c>
      <c r="K298" s="1540"/>
      <c r="L298" s="1541"/>
      <c r="M298" s="1541"/>
      <c r="N298" s="1542"/>
      <c r="O298" s="2031"/>
      <c r="P298" s="1543"/>
      <c r="Q298" s="1543"/>
      <c r="R298" s="1543"/>
      <c r="S298" s="1543"/>
      <c r="T298" s="1543"/>
      <c r="U298" s="1543"/>
      <c r="V298" s="1543"/>
      <c r="W298" s="1543"/>
      <c r="X298" s="1544"/>
      <c r="Y298" s="1543"/>
      <c r="Z298" s="1543"/>
      <c r="AA298" s="1543"/>
      <c r="AB298" s="1543"/>
      <c r="AC298" s="1544"/>
      <c r="AD298" s="1543"/>
      <c r="AE298" s="1543"/>
      <c r="AF298" s="1543"/>
      <c r="AG298" s="788"/>
      <c r="AH298" s="697"/>
      <c r="AI298" s="707"/>
      <c r="AJ298" s="709">
        <f t="shared" si="515"/>
        <v>0</v>
      </c>
      <c r="AK298" s="710">
        <f t="shared" si="516"/>
        <v>0</v>
      </c>
      <c r="AL298" s="710">
        <f t="shared" si="517"/>
        <v>0</v>
      </c>
      <c r="AM298" s="710">
        <f t="shared" si="518"/>
        <v>0</v>
      </c>
      <c r="AN298" s="710">
        <f t="shared" si="519"/>
        <v>0</v>
      </c>
      <c r="AO298" s="711">
        <f t="shared" si="520"/>
        <v>0</v>
      </c>
      <c r="AP298" s="707">
        <f t="shared" si="521"/>
        <v>0</v>
      </c>
      <c r="AQ298" s="707">
        <f t="shared" si="522"/>
        <v>0</v>
      </c>
      <c r="AR298" s="707">
        <f t="shared" si="523"/>
        <v>0</v>
      </c>
      <c r="AS298" s="712">
        <f t="shared" si="524"/>
        <v>0</v>
      </c>
      <c r="AV298" s="1559"/>
      <c r="AW298" s="1392" t="str">
        <f t="shared" si="472"/>
        <v>Qty</v>
      </c>
      <c r="AX298" s="1393" t="str">
        <f t="shared" si="472"/>
        <v>Sewerage</v>
      </c>
      <c r="AY298" s="1394" t="str">
        <f t="shared" si="473"/>
        <v>Fixed</v>
      </c>
      <c r="AZ298" s="1395" t="str">
        <f t="shared" si="565"/>
        <v>-</v>
      </c>
      <c r="BA298" s="1395" t="str">
        <f t="shared" si="565"/>
        <v>-</v>
      </c>
      <c r="BB298" s="1395" t="str">
        <f t="shared" si="565"/>
        <v>-</v>
      </c>
      <c r="BC298" s="1395" t="str">
        <f t="shared" si="475"/>
        <v>-</v>
      </c>
      <c r="BD298" s="1395" t="str">
        <f t="shared" si="476"/>
        <v>-</v>
      </c>
      <c r="BE298" s="1395" t="str">
        <f t="shared" si="477"/>
        <v>-</v>
      </c>
      <c r="BF298" s="1395" t="str">
        <f t="shared" si="478"/>
        <v>-</v>
      </c>
      <c r="BG298" s="1396" t="str">
        <f t="shared" si="479"/>
        <v>-</v>
      </c>
      <c r="BH298" s="1395" t="str">
        <f t="shared" si="480"/>
        <v>-</v>
      </c>
      <c r="BI298" s="1395" t="str">
        <f t="shared" si="481"/>
        <v>-</v>
      </c>
      <c r="BJ298" s="1395" t="str">
        <f t="shared" si="482"/>
        <v>-</v>
      </c>
      <c r="BK298" s="1395" t="str">
        <f t="shared" si="483"/>
        <v>-</v>
      </c>
      <c r="BL298" s="1397" t="str">
        <f t="shared" si="484"/>
        <v>-</v>
      </c>
      <c r="BM298" s="1395" t="str">
        <f t="shared" si="485"/>
        <v>-</v>
      </c>
      <c r="BN298" s="1395" t="str">
        <f t="shared" si="486"/>
        <v>-</v>
      </c>
      <c r="BO298" s="1395" t="str">
        <f t="shared" si="487"/>
        <v>-</v>
      </c>
      <c r="BP298" s="1395" t="str">
        <f t="shared" si="488"/>
        <v>-</v>
      </c>
      <c r="BQ298" s="1398" t="str">
        <f t="shared" si="489"/>
        <v>-</v>
      </c>
      <c r="BR298" s="1378"/>
      <c r="BS298" s="1329"/>
      <c r="BT298" s="1399"/>
      <c r="BU298" s="1331"/>
      <c r="BV298" s="1400"/>
      <c r="BW298" s="1378"/>
      <c r="BX298" s="1392" t="str">
        <f t="shared" si="490"/>
        <v>Qty</v>
      </c>
      <c r="BY298" s="1393" t="str">
        <f t="shared" si="491"/>
        <v>Sewerage</v>
      </c>
      <c r="BZ298" s="1394" t="str">
        <f t="shared" si="492"/>
        <v>Fixed</v>
      </c>
      <c r="CA298" s="1401" t="str">
        <f t="shared" ref="CA298:CR298" si="576">IFERROR((P298/O298-1)*(O299/O$13),"-")</f>
        <v>-</v>
      </c>
      <c r="CB298" s="1395" t="str">
        <f t="shared" si="576"/>
        <v>-</v>
      </c>
      <c r="CC298" s="1395" t="str">
        <f t="shared" si="576"/>
        <v>-</v>
      </c>
      <c r="CD298" s="1395" t="str">
        <f t="shared" si="576"/>
        <v>-</v>
      </c>
      <c r="CE298" s="1395" t="str">
        <f t="shared" si="576"/>
        <v>-</v>
      </c>
      <c r="CF298" s="1395" t="str">
        <f t="shared" si="576"/>
        <v>-</v>
      </c>
      <c r="CG298" s="1395" t="str">
        <f t="shared" si="576"/>
        <v>-</v>
      </c>
      <c r="CH298" s="1397" t="str">
        <f t="shared" si="576"/>
        <v>-</v>
      </c>
      <c r="CI298" s="1395" t="str">
        <f t="shared" si="576"/>
        <v>-</v>
      </c>
      <c r="CJ298" s="1395" t="str">
        <f t="shared" si="576"/>
        <v>-</v>
      </c>
      <c r="CK298" s="1395" t="str">
        <f t="shared" si="576"/>
        <v>-</v>
      </c>
      <c r="CL298" s="1395" t="str">
        <f t="shared" si="576"/>
        <v>-</v>
      </c>
      <c r="CM298" s="1397" t="str">
        <f t="shared" si="576"/>
        <v>-</v>
      </c>
      <c r="CN298" s="1395" t="str">
        <f t="shared" si="576"/>
        <v>-</v>
      </c>
      <c r="CO298" s="1395" t="str">
        <f t="shared" si="576"/>
        <v>-</v>
      </c>
      <c r="CP298" s="1395" t="str">
        <f t="shared" si="576"/>
        <v>-</v>
      </c>
      <c r="CQ298" s="1395" t="str">
        <f t="shared" si="576"/>
        <v>-</v>
      </c>
      <c r="CR298" s="1398" t="str">
        <f t="shared" si="576"/>
        <v>-</v>
      </c>
      <c r="CS298" s="1378"/>
      <c r="CT298" s="1392" t="str">
        <f t="shared" si="469"/>
        <v>Qty</v>
      </c>
      <c r="CU298" s="1393" t="str">
        <f t="shared" si="470"/>
        <v>Sewerage</v>
      </c>
      <c r="CV298" s="1393" t="str">
        <f t="shared" si="471"/>
        <v>Fixed</v>
      </c>
      <c r="CW298" s="1401" t="str">
        <f t="shared" si="494"/>
        <v>-</v>
      </c>
      <c r="CX298" s="1395" t="str">
        <f t="shared" si="495"/>
        <v>-</v>
      </c>
      <c r="CY298" s="1395" t="str">
        <f t="shared" si="496"/>
        <v>-</v>
      </c>
      <c r="CZ298" s="1398" t="str">
        <f t="shared" si="497"/>
        <v>-</v>
      </c>
      <c r="DA298" s="1395" t="str">
        <f t="shared" si="498"/>
        <v>-</v>
      </c>
      <c r="DB298" s="1395" t="str">
        <f t="shared" si="499"/>
        <v>-</v>
      </c>
      <c r="DC298" s="1395" t="str">
        <f t="shared" si="500"/>
        <v>-</v>
      </c>
      <c r="DD298" s="1395" t="str">
        <f t="shared" si="501"/>
        <v>-</v>
      </c>
      <c r="DE298" s="1398" t="str">
        <f t="shared" si="502"/>
        <v>-</v>
      </c>
      <c r="DF298" s="1378"/>
      <c r="DG298" s="1392" t="str">
        <f t="shared" si="503"/>
        <v>Qty</v>
      </c>
      <c r="DH298" s="1393" t="str">
        <f t="shared" si="503"/>
        <v>Sewerage</v>
      </c>
      <c r="DI298" s="1393" t="str">
        <f t="shared" si="503"/>
        <v>Fixed</v>
      </c>
      <c r="DJ298" s="1393"/>
      <c r="DK298" s="1401" t="str">
        <f t="shared" si="504"/>
        <v>-</v>
      </c>
      <c r="DL298" s="1395" t="str">
        <f t="shared" si="505"/>
        <v>-</v>
      </c>
      <c r="DM298" s="1395" t="str">
        <f t="shared" si="506"/>
        <v>-</v>
      </c>
      <c r="DN298" s="1397" t="str">
        <f t="shared" si="507"/>
        <v>-</v>
      </c>
      <c r="DO298" s="1395" t="str">
        <f t="shared" si="508"/>
        <v>-</v>
      </c>
      <c r="DP298" s="1395" t="str">
        <f t="shared" si="509"/>
        <v>-</v>
      </c>
      <c r="DQ298" s="1395" t="str">
        <f t="shared" si="510"/>
        <v>-</v>
      </c>
      <c r="DR298" s="1398" t="str">
        <f t="shared" si="511"/>
        <v>-</v>
      </c>
    </row>
    <row r="299" spans="4:122" ht="12.75" thickBot="1">
      <c r="E299" s="743" t="s">
        <v>46</v>
      </c>
      <c r="F299" s="732" t="str">
        <f>+F297</f>
        <v>Sewerage</v>
      </c>
      <c r="G299" s="733" t="str">
        <f>+G297</f>
        <v xml:space="preserve"> Fixed Charge Cat 3 Chiltern, Tallangatta, Corryong, Yackandandah</v>
      </c>
      <c r="H299" s="733">
        <f>+H297</f>
        <v>0</v>
      </c>
      <c r="I299" s="734" t="str">
        <f>+I297</f>
        <v>Fixed</v>
      </c>
      <c r="J299" s="735" t="s">
        <v>344</v>
      </c>
      <c r="K299" s="736">
        <f t="shared" ref="K299:AG299" si="577">K297*K298/10^6</f>
        <v>0</v>
      </c>
      <c r="L299" s="737">
        <f t="shared" si="577"/>
        <v>0</v>
      </c>
      <c r="M299" s="737">
        <f t="shared" si="577"/>
        <v>0</v>
      </c>
      <c r="N299" s="738">
        <f t="shared" si="577"/>
        <v>0</v>
      </c>
      <c r="O299" s="1923">
        <f t="shared" si="577"/>
        <v>0</v>
      </c>
      <c r="P299" s="737">
        <f t="shared" si="577"/>
        <v>0</v>
      </c>
      <c r="Q299" s="737">
        <f t="shared" si="577"/>
        <v>0</v>
      </c>
      <c r="R299" s="737">
        <f t="shared" si="577"/>
        <v>0</v>
      </c>
      <c r="S299" s="737">
        <f t="shared" si="577"/>
        <v>0</v>
      </c>
      <c r="T299" s="1531">
        <f t="shared" si="577"/>
        <v>0</v>
      </c>
      <c r="U299" s="737">
        <f t="shared" si="577"/>
        <v>0</v>
      </c>
      <c r="V299" s="737">
        <f t="shared" si="577"/>
        <v>0</v>
      </c>
      <c r="W299" s="737">
        <f t="shared" si="577"/>
        <v>0</v>
      </c>
      <c r="X299" s="738">
        <f t="shared" si="577"/>
        <v>0</v>
      </c>
      <c r="Y299" s="737">
        <f t="shared" si="577"/>
        <v>0</v>
      </c>
      <c r="Z299" s="737">
        <f t="shared" si="577"/>
        <v>0</v>
      </c>
      <c r="AA299" s="737">
        <f t="shared" si="577"/>
        <v>0</v>
      </c>
      <c r="AB299" s="737">
        <f t="shared" si="577"/>
        <v>0</v>
      </c>
      <c r="AC299" s="738">
        <f t="shared" si="577"/>
        <v>0</v>
      </c>
      <c r="AD299" s="737">
        <f t="shared" si="577"/>
        <v>0</v>
      </c>
      <c r="AE299" s="737">
        <f t="shared" si="577"/>
        <v>0</v>
      </c>
      <c r="AF299" s="737">
        <f t="shared" si="577"/>
        <v>0</v>
      </c>
      <c r="AG299" s="739">
        <f t="shared" si="577"/>
        <v>0</v>
      </c>
      <c r="AH299" s="697"/>
      <c r="AI299" s="707"/>
      <c r="AJ299" s="709">
        <f t="shared" si="515"/>
        <v>0</v>
      </c>
      <c r="AK299" s="710">
        <f t="shared" si="516"/>
        <v>0</v>
      </c>
      <c r="AL299" s="710">
        <f t="shared" si="517"/>
        <v>0</v>
      </c>
      <c r="AM299" s="710">
        <f t="shared" si="518"/>
        <v>0</v>
      </c>
      <c r="AN299" s="710">
        <f t="shared" si="519"/>
        <v>0</v>
      </c>
      <c r="AO299" s="711">
        <f t="shared" si="520"/>
        <v>0</v>
      </c>
      <c r="AP299" s="707">
        <f t="shared" si="521"/>
        <v>0</v>
      </c>
      <c r="AQ299" s="707">
        <f t="shared" si="522"/>
        <v>0</v>
      </c>
      <c r="AR299" s="707">
        <f t="shared" si="523"/>
        <v>0</v>
      </c>
      <c r="AS299" s="712">
        <f t="shared" si="524"/>
        <v>0</v>
      </c>
      <c r="AV299" s="1559"/>
      <c r="AW299" s="1428" t="str">
        <f t="shared" si="472"/>
        <v>Rev</v>
      </c>
      <c r="AX299" s="1429" t="str">
        <f t="shared" si="472"/>
        <v>Sewerage</v>
      </c>
      <c r="AY299" s="1430" t="str">
        <f t="shared" si="473"/>
        <v>Fixed</v>
      </c>
      <c r="AZ299" s="1431" t="str">
        <f t="shared" si="565"/>
        <v>-</v>
      </c>
      <c r="BA299" s="1431" t="str">
        <f t="shared" si="565"/>
        <v>-</v>
      </c>
      <c r="BB299" s="1431" t="str">
        <f t="shared" si="565"/>
        <v>-</v>
      </c>
      <c r="BC299" s="1431" t="str">
        <f t="shared" si="475"/>
        <v>-</v>
      </c>
      <c r="BD299" s="1431" t="str">
        <f t="shared" si="476"/>
        <v>-</v>
      </c>
      <c r="BE299" s="1431" t="str">
        <f t="shared" si="477"/>
        <v>-</v>
      </c>
      <c r="BF299" s="1431" t="str">
        <f t="shared" si="478"/>
        <v>-</v>
      </c>
      <c r="BG299" s="1432" t="str">
        <f t="shared" si="479"/>
        <v>-</v>
      </c>
      <c r="BH299" s="1431" t="str">
        <f t="shared" si="480"/>
        <v>-</v>
      </c>
      <c r="BI299" s="1431" t="str">
        <f t="shared" si="481"/>
        <v>-</v>
      </c>
      <c r="BJ299" s="1431" t="str">
        <f t="shared" si="482"/>
        <v>-</v>
      </c>
      <c r="BK299" s="1431" t="str">
        <f t="shared" si="483"/>
        <v>-</v>
      </c>
      <c r="BL299" s="1433" t="str">
        <f t="shared" si="484"/>
        <v>-</v>
      </c>
      <c r="BM299" s="1431" t="str">
        <f t="shared" si="485"/>
        <v>-</v>
      </c>
      <c r="BN299" s="1431" t="str">
        <f t="shared" si="486"/>
        <v>-</v>
      </c>
      <c r="BO299" s="1431" t="str">
        <f t="shared" si="487"/>
        <v>-</v>
      </c>
      <c r="BP299" s="1431" t="str">
        <f t="shared" si="488"/>
        <v>-</v>
      </c>
      <c r="BQ299" s="1434" t="str">
        <f t="shared" si="489"/>
        <v>-</v>
      </c>
      <c r="BR299" s="1378"/>
      <c r="BS299" s="1407"/>
      <c r="BT299" s="1408"/>
      <c r="BU299" s="1409"/>
      <c r="BV299" s="1410"/>
      <c r="BW299" s="1378"/>
      <c r="BX299" s="1428" t="str">
        <f t="shared" si="490"/>
        <v>Rev</v>
      </c>
      <c r="BY299" s="1429" t="str">
        <f t="shared" si="491"/>
        <v>Sewerage</v>
      </c>
      <c r="BZ299" s="1430" t="str">
        <f t="shared" si="492"/>
        <v>Fixed</v>
      </c>
      <c r="CA299" s="1435" t="str">
        <f t="shared" ref="CA299:CR299" si="578">IFERROR((P299/O299-1)*(O299/O$13),"-")</f>
        <v>-</v>
      </c>
      <c r="CB299" s="1431" t="str">
        <f t="shared" si="578"/>
        <v>-</v>
      </c>
      <c r="CC299" s="1431" t="str">
        <f t="shared" si="578"/>
        <v>-</v>
      </c>
      <c r="CD299" s="1431" t="str">
        <f t="shared" si="578"/>
        <v>-</v>
      </c>
      <c r="CE299" s="1431" t="str">
        <f t="shared" si="578"/>
        <v>-</v>
      </c>
      <c r="CF299" s="1431" t="str">
        <f t="shared" si="578"/>
        <v>-</v>
      </c>
      <c r="CG299" s="1431" t="str">
        <f t="shared" si="578"/>
        <v>-</v>
      </c>
      <c r="CH299" s="1433" t="str">
        <f t="shared" si="578"/>
        <v>-</v>
      </c>
      <c r="CI299" s="1431" t="str">
        <f t="shared" si="578"/>
        <v>-</v>
      </c>
      <c r="CJ299" s="1431" t="str">
        <f t="shared" si="578"/>
        <v>-</v>
      </c>
      <c r="CK299" s="1431" t="str">
        <f t="shared" si="578"/>
        <v>-</v>
      </c>
      <c r="CL299" s="1431" t="str">
        <f t="shared" si="578"/>
        <v>-</v>
      </c>
      <c r="CM299" s="1433" t="str">
        <f t="shared" si="578"/>
        <v>-</v>
      </c>
      <c r="CN299" s="1431" t="str">
        <f t="shared" si="578"/>
        <v>-</v>
      </c>
      <c r="CO299" s="1431" t="str">
        <f t="shared" si="578"/>
        <v>-</v>
      </c>
      <c r="CP299" s="1431" t="str">
        <f t="shared" si="578"/>
        <v>-</v>
      </c>
      <c r="CQ299" s="1431" t="str">
        <f t="shared" si="578"/>
        <v>-</v>
      </c>
      <c r="CR299" s="1434" t="str">
        <f t="shared" si="578"/>
        <v>-</v>
      </c>
      <c r="CS299" s="1378"/>
      <c r="CT299" s="1428" t="str">
        <f t="shared" si="469"/>
        <v>Rev</v>
      </c>
      <c r="CU299" s="1429" t="str">
        <f t="shared" si="470"/>
        <v>Sewerage</v>
      </c>
      <c r="CV299" s="1429" t="str">
        <f t="shared" si="471"/>
        <v>Fixed</v>
      </c>
      <c r="CW299" s="1435" t="str">
        <f t="shared" si="494"/>
        <v>-</v>
      </c>
      <c r="CX299" s="1431" t="str">
        <f t="shared" si="495"/>
        <v>-</v>
      </c>
      <c r="CY299" s="1431" t="str">
        <f t="shared" si="496"/>
        <v>-</v>
      </c>
      <c r="CZ299" s="1434" t="str">
        <f t="shared" si="497"/>
        <v>-</v>
      </c>
      <c r="DA299" s="1431" t="str">
        <f t="shared" si="498"/>
        <v>-</v>
      </c>
      <c r="DB299" s="1431" t="str">
        <f t="shared" si="499"/>
        <v>-</v>
      </c>
      <c r="DC299" s="1431" t="str">
        <f t="shared" si="500"/>
        <v>-</v>
      </c>
      <c r="DD299" s="1431" t="str">
        <f t="shared" si="501"/>
        <v>-</v>
      </c>
      <c r="DE299" s="1434" t="str">
        <f t="shared" si="502"/>
        <v>-</v>
      </c>
      <c r="DF299" s="1378"/>
      <c r="DG299" s="1428" t="str">
        <f t="shared" si="503"/>
        <v>Rev</v>
      </c>
      <c r="DH299" s="1429" t="str">
        <f t="shared" si="503"/>
        <v>Sewerage</v>
      </c>
      <c r="DI299" s="1429" t="str">
        <f t="shared" si="503"/>
        <v>Fixed</v>
      </c>
      <c r="DJ299" s="1429"/>
      <c r="DK299" s="1435" t="str">
        <f t="shared" si="504"/>
        <v>-</v>
      </c>
      <c r="DL299" s="1431" t="str">
        <f t="shared" si="505"/>
        <v>-</v>
      </c>
      <c r="DM299" s="1431" t="str">
        <f t="shared" si="506"/>
        <v>-</v>
      </c>
      <c r="DN299" s="1433" t="str">
        <f t="shared" si="507"/>
        <v>-</v>
      </c>
      <c r="DO299" s="1431" t="str">
        <f t="shared" si="508"/>
        <v>-</v>
      </c>
      <c r="DP299" s="1431" t="str">
        <f t="shared" si="509"/>
        <v>-</v>
      </c>
      <c r="DQ299" s="1431" t="str">
        <f t="shared" si="510"/>
        <v>-</v>
      </c>
      <c r="DR299" s="1434" t="str">
        <f t="shared" si="511"/>
        <v>-</v>
      </c>
    </row>
    <row r="300" spans="4:122">
      <c r="D300" s="70">
        <f>D297+1</f>
        <v>79</v>
      </c>
      <c r="E300" s="713" t="s">
        <v>44</v>
      </c>
      <c r="F300" s="1532" t="s">
        <v>21</v>
      </c>
      <c r="G300" s="1532" t="s">
        <v>937</v>
      </c>
      <c r="H300" s="1532"/>
      <c r="I300" s="781" t="s">
        <v>319</v>
      </c>
      <c r="J300" s="781" t="s">
        <v>345</v>
      </c>
      <c r="K300" s="1533"/>
      <c r="L300" s="1534"/>
      <c r="M300" s="1534"/>
      <c r="N300" s="1535"/>
      <c r="O300" s="2071"/>
      <c r="P300" s="1547"/>
      <c r="Q300" s="1547"/>
      <c r="R300" s="1547"/>
      <c r="S300" s="1547"/>
      <c r="T300" s="1547"/>
      <c r="U300" s="1547"/>
      <c r="V300" s="1547"/>
      <c r="W300" s="1547"/>
      <c r="X300" s="1548"/>
      <c r="Y300" s="1547"/>
      <c r="Z300" s="1547"/>
      <c r="AA300" s="1547"/>
      <c r="AB300" s="1547"/>
      <c r="AC300" s="1548"/>
      <c r="AD300" s="1547"/>
      <c r="AE300" s="1547"/>
      <c r="AF300" s="1547"/>
      <c r="AG300" s="785"/>
      <c r="AH300" s="697"/>
      <c r="AI300" s="707"/>
      <c r="AJ300" s="709">
        <f t="shared" si="515"/>
        <v>0</v>
      </c>
      <c r="AK300" s="710">
        <f t="shared" si="516"/>
        <v>0</v>
      </c>
      <c r="AL300" s="710">
        <f t="shared" si="517"/>
        <v>0</v>
      </c>
      <c r="AM300" s="710">
        <f t="shared" si="518"/>
        <v>0</v>
      </c>
      <c r="AN300" s="710">
        <f t="shared" si="519"/>
        <v>0</v>
      </c>
      <c r="AO300" s="711">
        <f t="shared" si="520"/>
        <v>0</v>
      </c>
      <c r="AP300" s="707">
        <f t="shared" si="521"/>
        <v>0</v>
      </c>
      <c r="AQ300" s="707">
        <f t="shared" si="522"/>
        <v>0</v>
      </c>
      <c r="AR300" s="707">
        <f t="shared" si="523"/>
        <v>0</v>
      </c>
      <c r="AS300" s="712">
        <f t="shared" si="524"/>
        <v>0</v>
      </c>
      <c r="AU300" s="1369"/>
      <c r="AV300" s="1559"/>
      <c r="AW300" s="1412" t="str">
        <f t="shared" si="472"/>
        <v>Price</v>
      </c>
      <c r="AX300" s="1413" t="str">
        <f t="shared" si="472"/>
        <v>Sewerage</v>
      </c>
      <c r="AY300" s="1414" t="str">
        <f t="shared" si="473"/>
        <v>Fixed</v>
      </c>
      <c r="AZ300" s="1415" t="str">
        <f t="shared" si="565"/>
        <v>-</v>
      </c>
      <c r="BA300" s="1415" t="str">
        <f t="shared" si="565"/>
        <v>-</v>
      </c>
      <c r="BB300" s="1415" t="str">
        <f t="shared" si="565"/>
        <v>-</v>
      </c>
      <c r="BC300" s="1415" t="str">
        <f t="shared" si="475"/>
        <v>-</v>
      </c>
      <c r="BD300" s="1415" t="str">
        <f t="shared" si="476"/>
        <v>-</v>
      </c>
      <c r="BE300" s="1415" t="str">
        <f t="shared" si="477"/>
        <v>-</v>
      </c>
      <c r="BF300" s="1415" t="str">
        <f t="shared" si="478"/>
        <v>-</v>
      </c>
      <c r="BG300" s="1416" t="str">
        <f t="shared" si="479"/>
        <v>-</v>
      </c>
      <c r="BH300" s="1417" t="str">
        <f t="shared" si="480"/>
        <v>-</v>
      </c>
      <c r="BI300" s="1417" t="str">
        <f t="shared" si="481"/>
        <v>-</v>
      </c>
      <c r="BJ300" s="1417" t="str">
        <f t="shared" si="482"/>
        <v>-</v>
      </c>
      <c r="BK300" s="1417" t="str">
        <f t="shared" si="483"/>
        <v>-</v>
      </c>
      <c r="BL300" s="1418" t="str">
        <f t="shared" si="484"/>
        <v>-</v>
      </c>
      <c r="BM300" s="1417" t="str">
        <f t="shared" si="485"/>
        <v>-</v>
      </c>
      <c r="BN300" s="1417" t="str">
        <f t="shared" si="486"/>
        <v>-</v>
      </c>
      <c r="BO300" s="1417" t="str">
        <f t="shared" si="487"/>
        <v>-</v>
      </c>
      <c r="BP300" s="1417" t="str">
        <f t="shared" si="488"/>
        <v>-</v>
      </c>
      <c r="BQ300" s="1419" t="str">
        <f t="shared" si="489"/>
        <v>-</v>
      </c>
      <c r="BR300" s="1378"/>
      <c r="BS300" s="1420"/>
      <c r="BT300" s="1421"/>
      <c r="BU300" s="1422"/>
      <c r="BV300" s="1423"/>
      <c r="BW300" s="1378"/>
      <c r="BX300" s="1412" t="str">
        <f t="shared" si="490"/>
        <v>Price</v>
      </c>
      <c r="BY300" s="1413" t="str">
        <f t="shared" si="491"/>
        <v>Sewerage</v>
      </c>
      <c r="BZ300" s="1414" t="str">
        <f t="shared" si="492"/>
        <v>Fixed</v>
      </c>
      <c r="CA300" s="1424" t="str">
        <f t="shared" ref="CA300:CR300" si="579">IFERROR((P300/O300-1)*(O302/O$13),"-")</f>
        <v>-</v>
      </c>
      <c r="CB300" s="1415" t="str">
        <f t="shared" si="579"/>
        <v>-</v>
      </c>
      <c r="CC300" s="1415" t="str">
        <f t="shared" si="579"/>
        <v>-</v>
      </c>
      <c r="CD300" s="1415" t="str">
        <f t="shared" si="579"/>
        <v>-</v>
      </c>
      <c r="CE300" s="1415" t="str">
        <f t="shared" si="579"/>
        <v>-</v>
      </c>
      <c r="CF300" s="1415" t="str">
        <f t="shared" si="579"/>
        <v>-</v>
      </c>
      <c r="CG300" s="1415" t="str">
        <f t="shared" si="579"/>
        <v>-</v>
      </c>
      <c r="CH300" s="1425" t="str">
        <f t="shared" si="579"/>
        <v>-</v>
      </c>
      <c r="CI300" s="1417" t="str">
        <f t="shared" si="579"/>
        <v>-</v>
      </c>
      <c r="CJ300" s="1417" t="str">
        <f t="shared" si="579"/>
        <v>-</v>
      </c>
      <c r="CK300" s="1417" t="str">
        <f t="shared" si="579"/>
        <v>-</v>
      </c>
      <c r="CL300" s="1417" t="str">
        <f t="shared" si="579"/>
        <v>-</v>
      </c>
      <c r="CM300" s="1418" t="str">
        <f t="shared" si="579"/>
        <v>-</v>
      </c>
      <c r="CN300" s="1417" t="str">
        <f t="shared" si="579"/>
        <v>-</v>
      </c>
      <c r="CO300" s="1417" t="str">
        <f t="shared" si="579"/>
        <v>-</v>
      </c>
      <c r="CP300" s="1417" t="str">
        <f t="shared" si="579"/>
        <v>-</v>
      </c>
      <c r="CQ300" s="1417" t="str">
        <f t="shared" si="579"/>
        <v>-</v>
      </c>
      <c r="CR300" s="1419" t="str">
        <f t="shared" si="579"/>
        <v>-</v>
      </c>
      <c r="CS300" s="1378"/>
      <c r="CT300" s="1412" t="str">
        <f t="shared" si="469"/>
        <v>Price</v>
      </c>
      <c r="CU300" s="1413" t="str">
        <f t="shared" si="470"/>
        <v>Sewerage</v>
      </c>
      <c r="CV300" s="1426" t="str">
        <f t="shared" si="471"/>
        <v>Fixed</v>
      </c>
      <c r="CW300" s="1427" t="str">
        <f t="shared" si="494"/>
        <v>-</v>
      </c>
      <c r="CX300" s="1417" t="str">
        <f t="shared" si="495"/>
        <v>-</v>
      </c>
      <c r="CY300" s="1417" t="str">
        <f t="shared" si="496"/>
        <v>-</v>
      </c>
      <c r="CZ300" s="1419" t="str">
        <f t="shared" si="497"/>
        <v>-</v>
      </c>
      <c r="DA300" s="1417" t="str">
        <f t="shared" si="498"/>
        <v>-</v>
      </c>
      <c r="DB300" s="1417" t="str">
        <f t="shared" si="499"/>
        <v>-</v>
      </c>
      <c r="DC300" s="1417" t="str">
        <f t="shared" si="500"/>
        <v>-</v>
      </c>
      <c r="DD300" s="1417" t="str">
        <f t="shared" si="501"/>
        <v>-</v>
      </c>
      <c r="DE300" s="1419" t="str">
        <f t="shared" si="502"/>
        <v>-</v>
      </c>
      <c r="DF300" s="1378"/>
      <c r="DG300" s="1412" t="str">
        <f t="shared" si="503"/>
        <v>Price</v>
      </c>
      <c r="DH300" s="1413" t="str">
        <f t="shared" si="503"/>
        <v>Sewerage</v>
      </c>
      <c r="DI300" s="1426" t="str">
        <f t="shared" si="503"/>
        <v>Fixed</v>
      </c>
      <c r="DJ300" s="1426"/>
      <c r="DK300" s="1427" t="str">
        <f t="shared" si="504"/>
        <v>-</v>
      </c>
      <c r="DL300" s="1417" t="str">
        <f t="shared" si="505"/>
        <v>-</v>
      </c>
      <c r="DM300" s="1417" t="str">
        <f t="shared" si="506"/>
        <v>-</v>
      </c>
      <c r="DN300" s="1418" t="str">
        <f t="shared" si="507"/>
        <v>-</v>
      </c>
      <c r="DO300" s="1417" t="str">
        <f t="shared" si="508"/>
        <v>-</v>
      </c>
      <c r="DP300" s="1417" t="str">
        <f t="shared" si="509"/>
        <v>-</v>
      </c>
      <c r="DQ300" s="1417" t="str">
        <f t="shared" si="510"/>
        <v>-</v>
      </c>
      <c r="DR300" s="1419" t="str">
        <f t="shared" si="511"/>
        <v>-</v>
      </c>
    </row>
    <row r="301" spans="4:122">
      <c r="E301" s="742" t="s">
        <v>45</v>
      </c>
      <c r="F301" s="722" t="str">
        <f>+F300</f>
        <v>Sewerage</v>
      </c>
      <c r="G301" s="723" t="str">
        <f>+G300</f>
        <v>Fixed Charge Cat 4 - Bellbridge</v>
      </c>
      <c r="H301" s="723">
        <f>+H300</f>
        <v>0</v>
      </c>
      <c r="I301" s="724" t="str">
        <f>+I300</f>
        <v>Fixed</v>
      </c>
      <c r="J301" s="782" t="s">
        <v>323</v>
      </c>
      <c r="K301" s="1540"/>
      <c r="L301" s="1541"/>
      <c r="M301" s="1541"/>
      <c r="N301" s="1542"/>
      <c r="O301" s="2031"/>
      <c r="P301" s="1543"/>
      <c r="Q301" s="1543"/>
      <c r="R301" s="1543"/>
      <c r="S301" s="1543"/>
      <c r="T301" s="1543"/>
      <c r="U301" s="1543"/>
      <c r="V301" s="1543"/>
      <c r="W301" s="1543"/>
      <c r="X301" s="1544"/>
      <c r="Y301" s="1543"/>
      <c r="Z301" s="1543"/>
      <c r="AA301" s="1543"/>
      <c r="AB301" s="1543"/>
      <c r="AC301" s="1544"/>
      <c r="AD301" s="1543"/>
      <c r="AE301" s="1543"/>
      <c r="AF301" s="1543"/>
      <c r="AG301" s="788"/>
      <c r="AH301" s="697"/>
      <c r="AI301" s="707"/>
      <c r="AJ301" s="709">
        <f t="shared" si="515"/>
        <v>0</v>
      </c>
      <c r="AK301" s="710">
        <f t="shared" si="516"/>
        <v>0</v>
      </c>
      <c r="AL301" s="710">
        <f t="shared" si="517"/>
        <v>0</v>
      </c>
      <c r="AM301" s="710">
        <f t="shared" si="518"/>
        <v>0</v>
      </c>
      <c r="AN301" s="710">
        <f t="shared" si="519"/>
        <v>0</v>
      </c>
      <c r="AO301" s="711">
        <f t="shared" si="520"/>
        <v>0</v>
      </c>
      <c r="AP301" s="707">
        <f t="shared" si="521"/>
        <v>0</v>
      </c>
      <c r="AQ301" s="707">
        <f t="shared" si="522"/>
        <v>0</v>
      </c>
      <c r="AR301" s="707">
        <f t="shared" si="523"/>
        <v>0</v>
      </c>
      <c r="AS301" s="712">
        <f t="shared" si="524"/>
        <v>0</v>
      </c>
      <c r="AV301" s="1559"/>
      <c r="AW301" s="1392" t="str">
        <f t="shared" si="472"/>
        <v>Qty</v>
      </c>
      <c r="AX301" s="1393" t="str">
        <f t="shared" si="472"/>
        <v>Sewerage</v>
      </c>
      <c r="AY301" s="1394" t="str">
        <f t="shared" si="473"/>
        <v>Fixed</v>
      </c>
      <c r="AZ301" s="1395" t="str">
        <f t="shared" si="565"/>
        <v>-</v>
      </c>
      <c r="BA301" s="1395" t="str">
        <f t="shared" si="565"/>
        <v>-</v>
      </c>
      <c r="BB301" s="1395" t="str">
        <f t="shared" si="565"/>
        <v>-</v>
      </c>
      <c r="BC301" s="1395" t="str">
        <f t="shared" si="475"/>
        <v>-</v>
      </c>
      <c r="BD301" s="1395" t="str">
        <f t="shared" si="476"/>
        <v>-</v>
      </c>
      <c r="BE301" s="1395" t="str">
        <f t="shared" si="477"/>
        <v>-</v>
      </c>
      <c r="BF301" s="1395" t="str">
        <f t="shared" si="478"/>
        <v>-</v>
      </c>
      <c r="BG301" s="1396" t="str">
        <f t="shared" si="479"/>
        <v>-</v>
      </c>
      <c r="BH301" s="1395" t="str">
        <f t="shared" si="480"/>
        <v>-</v>
      </c>
      <c r="BI301" s="1395" t="str">
        <f t="shared" si="481"/>
        <v>-</v>
      </c>
      <c r="BJ301" s="1395" t="str">
        <f t="shared" si="482"/>
        <v>-</v>
      </c>
      <c r="BK301" s="1395" t="str">
        <f t="shared" si="483"/>
        <v>-</v>
      </c>
      <c r="BL301" s="1397" t="str">
        <f t="shared" si="484"/>
        <v>-</v>
      </c>
      <c r="BM301" s="1395" t="str">
        <f t="shared" si="485"/>
        <v>-</v>
      </c>
      <c r="BN301" s="1395" t="str">
        <f t="shared" si="486"/>
        <v>-</v>
      </c>
      <c r="BO301" s="1395" t="str">
        <f t="shared" si="487"/>
        <v>-</v>
      </c>
      <c r="BP301" s="1395" t="str">
        <f t="shared" si="488"/>
        <v>-</v>
      </c>
      <c r="BQ301" s="1398" t="str">
        <f t="shared" si="489"/>
        <v>-</v>
      </c>
      <c r="BR301" s="1378"/>
      <c r="BS301" s="1329"/>
      <c r="BT301" s="1399"/>
      <c r="BU301" s="1331"/>
      <c r="BV301" s="1400"/>
      <c r="BW301" s="1378"/>
      <c r="BX301" s="1392" t="str">
        <f t="shared" si="490"/>
        <v>Qty</v>
      </c>
      <c r="BY301" s="1393" t="str">
        <f t="shared" si="491"/>
        <v>Sewerage</v>
      </c>
      <c r="BZ301" s="1394" t="str">
        <f t="shared" si="492"/>
        <v>Fixed</v>
      </c>
      <c r="CA301" s="1401" t="str">
        <f t="shared" ref="CA301:CR301" si="580">IFERROR((P301/O301-1)*(O302/O$13),"-")</f>
        <v>-</v>
      </c>
      <c r="CB301" s="1395" t="str">
        <f t="shared" si="580"/>
        <v>-</v>
      </c>
      <c r="CC301" s="1395" t="str">
        <f t="shared" si="580"/>
        <v>-</v>
      </c>
      <c r="CD301" s="1395" t="str">
        <f t="shared" si="580"/>
        <v>-</v>
      </c>
      <c r="CE301" s="1395" t="str">
        <f t="shared" si="580"/>
        <v>-</v>
      </c>
      <c r="CF301" s="1395" t="str">
        <f t="shared" si="580"/>
        <v>-</v>
      </c>
      <c r="CG301" s="1395" t="str">
        <f t="shared" si="580"/>
        <v>-</v>
      </c>
      <c r="CH301" s="1397" t="str">
        <f t="shared" si="580"/>
        <v>-</v>
      </c>
      <c r="CI301" s="1395" t="str">
        <f t="shared" si="580"/>
        <v>-</v>
      </c>
      <c r="CJ301" s="1395" t="str">
        <f t="shared" si="580"/>
        <v>-</v>
      </c>
      <c r="CK301" s="1395" t="str">
        <f t="shared" si="580"/>
        <v>-</v>
      </c>
      <c r="CL301" s="1395" t="str">
        <f t="shared" si="580"/>
        <v>-</v>
      </c>
      <c r="CM301" s="1397" t="str">
        <f t="shared" si="580"/>
        <v>-</v>
      </c>
      <c r="CN301" s="1395" t="str">
        <f t="shared" si="580"/>
        <v>-</v>
      </c>
      <c r="CO301" s="1395" t="str">
        <f t="shared" si="580"/>
        <v>-</v>
      </c>
      <c r="CP301" s="1395" t="str">
        <f t="shared" si="580"/>
        <v>-</v>
      </c>
      <c r="CQ301" s="1395" t="str">
        <f t="shared" si="580"/>
        <v>-</v>
      </c>
      <c r="CR301" s="1398" t="str">
        <f t="shared" si="580"/>
        <v>-</v>
      </c>
      <c r="CS301" s="1378"/>
      <c r="CT301" s="1392" t="str">
        <f t="shared" si="469"/>
        <v>Qty</v>
      </c>
      <c r="CU301" s="1393" t="str">
        <f t="shared" si="470"/>
        <v>Sewerage</v>
      </c>
      <c r="CV301" s="1393" t="str">
        <f t="shared" si="471"/>
        <v>Fixed</v>
      </c>
      <c r="CW301" s="1401" t="str">
        <f t="shared" si="494"/>
        <v>-</v>
      </c>
      <c r="CX301" s="1395" t="str">
        <f t="shared" si="495"/>
        <v>-</v>
      </c>
      <c r="CY301" s="1395" t="str">
        <f t="shared" si="496"/>
        <v>-</v>
      </c>
      <c r="CZ301" s="1398" t="str">
        <f t="shared" si="497"/>
        <v>-</v>
      </c>
      <c r="DA301" s="1395" t="str">
        <f t="shared" si="498"/>
        <v>-</v>
      </c>
      <c r="DB301" s="1395" t="str">
        <f t="shared" si="499"/>
        <v>-</v>
      </c>
      <c r="DC301" s="1395" t="str">
        <f t="shared" si="500"/>
        <v>-</v>
      </c>
      <c r="DD301" s="1395" t="str">
        <f t="shared" si="501"/>
        <v>-</v>
      </c>
      <c r="DE301" s="1398" t="str">
        <f t="shared" si="502"/>
        <v>-</v>
      </c>
      <c r="DF301" s="1378"/>
      <c r="DG301" s="1392" t="str">
        <f t="shared" si="503"/>
        <v>Qty</v>
      </c>
      <c r="DH301" s="1393" t="str">
        <f t="shared" si="503"/>
        <v>Sewerage</v>
      </c>
      <c r="DI301" s="1393" t="str">
        <f t="shared" si="503"/>
        <v>Fixed</v>
      </c>
      <c r="DJ301" s="1393"/>
      <c r="DK301" s="1401" t="str">
        <f t="shared" si="504"/>
        <v>-</v>
      </c>
      <c r="DL301" s="1395" t="str">
        <f t="shared" si="505"/>
        <v>-</v>
      </c>
      <c r="DM301" s="1395" t="str">
        <f t="shared" si="506"/>
        <v>-</v>
      </c>
      <c r="DN301" s="1397" t="str">
        <f t="shared" si="507"/>
        <v>-</v>
      </c>
      <c r="DO301" s="1395" t="str">
        <f t="shared" si="508"/>
        <v>-</v>
      </c>
      <c r="DP301" s="1395" t="str">
        <f t="shared" si="509"/>
        <v>-</v>
      </c>
      <c r="DQ301" s="1395" t="str">
        <f t="shared" si="510"/>
        <v>-</v>
      </c>
      <c r="DR301" s="1398" t="str">
        <f t="shared" si="511"/>
        <v>-</v>
      </c>
    </row>
    <row r="302" spans="4:122" ht="12.75" thickBot="1">
      <c r="E302" s="743" t="s">
        <v>46</v>
      </c>
      <c r="F302" s="732" t="str">
        <f>+F300</f>
        <v>Sewerage</v>
      </c>
      <c r="G302" s="733" t="str">
        <f>+G300</f>
        <v>Fixed Charge Cat 4 - Bellbridge</v>
      </c>
      <c r="H302" s="733">
        <f>+H300</f>
        <v>0</v>
      </c>
      <c r="I302" s="734" t="str">
        <f>+I300</f>
        <v>Fixed</v>
      </c>
      <c r="J302" s="735" t="s">
        <v>344</v>
      </c>
      <c r="K302" s="736">
        <f t="shared" ref="K302:AG302" si="581">K300*K301/10^6</f>
        <v>0</v>
      </c>
      <c r="L302" s="737">
        <f t="shared" si="581"/>
        <v>0</v>
      </c>
      <c r="M302" s="737">
        <f t="shared" si="581"/>
        <v>0</v>
      </c>
      <c r="N302" s="738">
        <f t="shared" si="581"/>
        <v>0</v>
      </c>
      <c r="O302" s="1923">
        <f t="shared" si="581"/>
        <v>0</v>
      </c>
      <c r="P302" s="737">
        <f t="shared" si="581"/>
        <v>0</v>
      </c>
      <c r="Q302" s="737">
        <f t="shared" si="581"/>
        <v>0</v>
      </c>
      <c r="R302" s="737">
        <f t="shared" si="581"/>
        <v>0</v>
      </c>
      <c r="S302" s="737">
        <f t="shared" si="581"/>
        <v>0</v>
      </c>
      <c r="T302" s="1531">
        <f t="shared" si="581"/>
        <v>0</v>
      </c>
      <c r="U302" s="737">
        <f t="shared" si="581"/>
        <v>0</v>
      </c>
      <c r="V302" s="737">
        <f t="shared" si="581"/>
        <v>0</v>
      </c>
      <c r="W302" s="737">
        <f t="shared" si="581"/>
        <v>0</v>
      </c>
      <c r="X302" s="738">
        <f t="shared" si="581"/>
        <v>0</v>
      </c>
      <c r="Y302" s="737">
        <f t="shared" si="581"/>
        <v>0</v>
      </c>
      <c r="Z302" s="737">
        <f t="shared" si="581"/>
        <v>0</v>
      </c>
      <c r="AA302" s="737">
        <f t="shared" si="581"/>
        <v>0</v>
      </c>
      <c r="AB302" s="737">
        <f t="shared" si="581"/>
        <v>0</v>
      </c>
      <c r="AC302" s="738">
        <f t="shared" si="581"/>
        <v>0</v>
      </c>
      <c r="AD302" s="737">
        <f t="shared" si="581"/>
        <v>0</v>
      </c>
      <c r="AE302" s="737">
        <f t="shared" si="581"/>
        <v>0</v>
      </c>
      <c r="AF302" s="737">
        <f t="shared" si="581"/>
        <v>0</v>
      </c>
      <c r="AG302" s="739">
        <f t="shared" si="581"/>
        <v>0</v>
      </c>
      <c r="AH302" s="697"/>
      <c r="AI302" s="707"/>
      <c r="AJ302" s="709">
        <f t="shared" si="515"/>
        <v>0</v>
      </c>
      <c r="AK302" s="710">
        <f t="shared" si="516"/>
        <v>0</v>
      </c>
      <c r="AL302" s="710">
        <f t="shared" si="517"/>
        <v>0</v>
      </c>
      <c r="AM302" s="710">
        <f t="shared" si="518"/>
        <v>0</v>
      </c>
      <c r="AN302" s="710">
        <f t="shared" si="519"/>
        <v>0</v>
      </c>
      <c r="AO302" s="711">
        <f t="shared" si="520"/>
        <v>0</v>
      </c>
      <c r="AP302" s="707">
        <f t="shared" si="521"/>
        <v>0</v>
      </c>
      <c r="AQ302" s="707">
        <f t="shared" si="522"/>
        <v>0</v>
      </c>
      <c r="AR302" s="707">
        <f t="shared" si="523"/>
        <v>0</v>
      </c>
      <c r="AS302" s="712">
        <f t="shared" si="524"/>
        <v>0</v>
      </c>
      <c r="AV302" s="1559"/>
      <c r="AW302" s="1428" t="str">
        <f t="shared" si="472"/>
        <v>Rev</v>
      </c>
      <c r="AX302" s="1429" t="str">
        <f t="shared" si="472"/>
        <v>Sewerage</v>
      </c>
      <c r="AY302" s="1430" t="str">
        <f t="shared" si="473"/>
        <v>Fixed</v>
      </c>
      <c r="AZ302" s="1431" t="str">
        <f t="shared" si="565"/>
        <v>-</v>
      </c>
      <c r="BA302" s="1431" t="str">
        <f t="shared" si="565"/>
        <v>-</v>
      </c>
      <c r="BB302" s="1431" t="str">
        <f t="shared" si="565"/>
        <v>-</v>
      </c>
      <c r="BC302" s="1431" t="str">
        <f t="shared" si="475"/>
        <v>-</v>
      </c>
      <c r="BD302" s="1431" t="str">
        <f t="shared" si="476"/>
        <v>-</v>
      </c>
      <c r="BE302" s="1431" t="str">
        <f t="shared" si="477"/>
        <v>-</v>
      </c>
      <c r="BF302" s="1431" t="str">
        <f t="shared" si="478"/>
        <v>-</v>
      </c>
      <c r="BG302" s="1432" t="str">
        <f t="shared" si="479"/>
        <v>-</v>
      </c>
      <c r="BH302" s="1431" t="str">
        <f t="shared" si="480"/>
        <v>-</v>
      </c>
      <c r="BI302" s="1431" t="str">
        <f t="shared" si="481"/>
        <v>-</v>
      </c>
      <c r="BJ302" s="1431" t="str">
        <f t="shared" si="482"/>
        <v>-</v>
      </c>
      <c r="BK302" s="1431" t="str">
        <f t="shared" si="483"/>
        <v>-</v>
      </c>
      <c r="BL302" s="1433" t="str">
        <f t="shared" si="484"/>
        <v>-</v>
      </c>
      <c r="BM302" s="1431" t="str">
        <f t="shared" si="485"/>
        <v>-</v>
      </c>
      <c r="BN302" s="1431" t="str">
        <f t="shared" si="486"/>
        <v>-</v>
      </c>
      <c r="BO302" s="1431" t="str">
        <f t="shared" si="487"/>
        <v>-</v>
      </c>
      <c r="BP302" s="1431" t="str">
        <f t="shared" si="488"/>
        <v>-</v>
      </c>
      <c r="BQ302" s="1434" t="str">
        <f t="shared" si="489"/>
        <v>-</v>
      </c>
      <c r="BR302" s="1378"/>
      <c r="BS302" s="1407"/>
      <c r="BT302" s="1408"/>
      <c r="BU302" s="1409"/>
      <c r="BV302" s="1410"/>
      <c r="BW302" s="1378"/>
      <c r="BX302" s="1428" t="str">
        <f t="shared" si="490"/>
        <v>Rev</v>
      </c>
      <c r="BY302" s="1429" t="str">
        <f t="shared" si="491"/>
        <v>Sewerage</v>
      </c>
      <c r="BZ302" s="1430" t="str">
        <f t="shared" si="492"/>
        <v>Fixed</v>
      </c>
      <c r="CA302" s="1435" t="str">
        <f t="shared" ref="CA302:CR302" si="582">IFERROR((P302/O302-1)*(O302/O$13),"-")</f>
        <v>-</v>
      </c>
      <c r="CB302" s="1431" t="str">
        <f t="shared" si="582"/>
        <v>-</v>
      </c>
      <c r="CC302" s="1431" t="str">
        <f t="shared" si="582"/>
        <v>-</v>
      </c>
      <c r="CD302" s="1431" t="str">
        <f t="shared" si="582"/>
        <v>-</v>
      </c>
      <c r="CE302" s="1431" t="str">
        <f t="shared" si="582"/>
        <v>-</v>
      </c>
      <c r="CF302" s="1431" t="str">
        <f t="shared" si="582"/>
        <v>-</v>
      </c>
      <c r="CG302" s="1431" t="str">
        <f t="shared" si="582"/>
        <v>-</v>
      </c>
      <c r="CH302" s="1433" t="str">
        <f t="shared" si="582"/>
        <v>-</v>
      </c>
      <c r="CI302" s="1431" t="str">
        <f t="shared" si="582"/>
        <v>-</v>
      </c>
      <c r="CJ302" s="1431" t="str">
        <f t="shared" si="582"/>
        <v>-</v>
      </c>
      <c r="CK302" s="1431" t="str">
        <f t="shared" si="582"/>
        <v>-</v>
      </c>
      <c r="CL302" s="1431" t="str">
        <f t="shared" si="582"/>
        <v>-</v>
      </c>
      <c r="CM302" s="1433" t="str">
        <f t="shared" si="582"/>
        <v>-</v>
      </c>
      <c r="CN302" s="1431" t="str">
        <f t="shared" si="582"/>
        <v>-</v>
      </c>
      <c r="CO302" s="1431" t="str">
        <f t="shared" si="582"/>
        <v>-</v>
      </c>
      <c r="CP302" s="1431" t="str">
        <f t="shared" si="582"/>
        <v>-</v>
      </c>
      <c r="CQ302" s="1431" t="str">
        <f t="shared" si="582"/>
        <v>-</v>
      </c>
      <c r="CR302" s="1434" t="str">
        <f t="shared" si="582"/>
        <v>-</v>
      </c>
      <c r="CS302" s="1378"/>
      <c r="CT302" s="1428" t="str">
        <f t="shared" si="469"/>
        <v>Rev</v>
      </c>
      <c r="CU302" s="1429" t="str">
        <f t="shared" si="470"/>
        <v>Sewerage</v>
      </c>
      <c r="CV302" s="1429" t="str">
        <f t="shared" si="471"/>
        <v>Fixed</v>
      </c>
      <c r="CW302" s="1435" t="str">
        <f t="shared" si="494"/>
        <v>-</v>
      </c>
      <c r="CX302" s="1431" t="str">
        <f t="shared" si="495"/>
        <v>-</v>
      </c>
      <c r="CY302" s="1431" t="str">
        <f t="shared" si="496"/>
        <v>-</v>
      </c>
      <c r="CZ302" s="1434" t="str">
        <f t="shared" si="497"/>
        <v>-</v>
      </c>
      <c r="DA302" s="1431" t="str">
        <f t="shared" si="498"/>
        <v>-</v>
      </c>
      <c r="DB302" s="1431" t="str">
        <f t="shared" si="499"/>
        <v>-</v>
      </c>
      <c r="DC302" s="1431" t="str">
        <f t="shared" si="500"/>
        <v>-</v>
      </c>
      <c r="DD302" s="1431" t="str">
        <f t="shared" si="501"/>
        <v>-</v>
      </c>
      <c r="DE302" s="1434" t="str">
        <f t="shared" si="502"/>
        <v>-</v>
      </c>
      <c r="DF302" s="1378"/>
      <c r="DG302" s="1428" t="str">
        <f t="shared" si="503"/>
        <v>Rev</v>
      </c>
      <c r="DH302" s="1429" t="str">
        <f t="shared" si="503"/>
        <v>Sewerage</v>
      </c>
      <c r="DI302" s="1429" t="str">
        <f t="shared" si="503"/>
        <v>Fixed</v>
      </c>
      <c r="DJ302" s="1429"/>
      <c r="DK302" s="1435" t="str">
        <f t="shared" si="504"/>
        <v>-</v>
      </c>
      <c r="DL302" s="1431" t="str">
        <f t="shared" si="505"/>
        <v>-</v>
      </c>
      <c r="DM302" s="1431" t="str">
        <f t="shared" si="506"/>
        <v>-</v>
      </c>
      <c r="DN302" s="1433" t="str">
        <f t="shared" si="507"/>
        <v>-</v>
      </c>
      <c r="DO302" s="1431" t="str">
        <f t="shared" si="508"/>
        <v>-</v>
      </c>
      <c r="DP302" s="1431" t="str">
        <f t="shared" si="509"/>
        <v>-</v>
      </c>
      <c r="DQ302" s="1431" t="str">
        <f t="shared" si="510"/>
        <v>-</v>
      </c>
      <c r="DR302" s="1434" t="str">
        <f t="shared" si="511"/>
        <v>-</v>
      </c>
    </row>
    <row r="303" spans="4:122">
      <c r="D303" s="70">
        <f>D300+1</f>
        <v>80</v>
      </c>
      <c r="E303" s="713" t="s">
        <v>44</v>
      </c>
      <c r="F303" s="1532" t="s">
        <v>21</v>
      </c>
      <c r="G303" s="1532" t="s">
        <v>938</v>
      </c>
      <c r="H303" s="1532"/>
      <c r="I303" s="781" t="s">
        <v>319</v>
      </c>
      <c r="J303" s="781" t="s">
        <v>345</v>
      </c>
      <c r="K303" s="1533"/>
      <c r="L303" s="1534"/>
      <c r="M303" s="1534"/>
      <c r="N303" s="1535"/>
      <c r="O303" s="2071"/>
      <c r="P303" s="1547"/>
      <c r="Q303" s="1547"/>
      <c r="R303" s="1547"/>
      <c r="S303" s="1547"/>
      <c r="T303" s="1547"/>
      <c r="U303" s="1547"/>
      <c r="V303" s="1547"/>
      <c r="W303" s="1547"/>
      <c r="X303" s="1548"/>
      <c r="Y303" s="1547"/>
      <c r="Z303" s="1547"/>
      <c r="AA303" s="1547"/>
      <c r="AB303" s="1547"/>
      <c r="AC303" s="1548"/>
      <c r="AD303" s="1547"/>
      <c r="AE303" s="1547"/>
      <c r="AF303" s="1547"/>
      <c r="AG303" s="785"/>
      <c r="AH303" s="697"/>
      <c r="AI303" s="707"/>
      <c r="AJ303" s="709">
        <f t="shared" si="515"/>
        <v>0</v>
      </c>
      <c r="AK303" s="710">
        <f t="shared" si="516"/>
        <v>0</v>
      </c>
      <c r="AL303" s="710">
        <f t="shared" si="517"/>
        <v>0</v>
      </c>
      <c r="AM303" s="710">
        <f t="shared" si="518"/>
        <v>0</v>
      </c>
      <c r="AN303" s="710">
        <f t="shared" si="519"/>
        <v>0</v>
      </c>
      <c r="AO303" s="711">
        <f t="shared" si="520"/>
        <v>0</v>
      </c>
      <c r="AP303" s="707">
        <f t="shared" si="521"/>
        <v>0</v>
      </c>
      <c r="AQ303" s="707">
        <f t="shared" si="522"/>
        <v>0</v>
      </c>
      <c r="AR303" s="707">
        <f t="shared" si="523"/>
        <v>0</v>
      </c>
      <c r="AS303" s="712">
        <f t="shared" si="524"/>
        <v>0</v>
      </c>
      <c r="AU303" s="1369"/>
      <c r="AV303" s="1559"/>
      <c r="AW303" s="1412" t="str">
        <f t="shared" si="472"/>
        <v>Price</v>
      </c>
      <c r="AX303" s="1413" t="str">
        <f t="shared" si="472"/>
        <v>Sewerage</v>
      </c>
      <c r="AY303" s="1414" t="str">
        <f t="shared" si="473"/>
        <v>Fixed</v>
      </c>
      <c r="AZ303" s="1415" t="str">
        <f t="shared" si="565"/>
        <v>-</v>
      </c>
      <c r="BA303" s="1415" t="str">
        <f t="shared" si="565"/>
        <v>-</v>
      </c>
      <c r="BB303" s="1415" t="str">
        <f t="shared" si="565"/>
        <v>-</v>
      </c>
      <c r="BC303" s="1415" t="str">
        <f t="shared" si="475"/>
        <v>-</v>
      </c>
      <c r="BD303" s="1415" t="str">
        <f t="shared" si="476"/>
        <v>-</v>
      </c>
      <c r="BE303" s="1415" t="str">
        <f t="shared" si="477"/>
        <v>-</v>
      </c>
      <c r="BF303" s="1415" t="str">
        <f t="shared" si="478"/>
        <v>-</v>
      </c>
      <c r="BG303" s="1416" t="str">
        <f t="shared" si="479"/>
        <v>-</v>
      </c>
      <c r="BH303" s="1417" t="str">
        <f t="shared" si="480"/>
        <v>-</v>
      </c>
      <c r="BI303" s="1417" t="str">
        <f t="shared" si="481"/>
        <v>-</v>
      </c>
      <c r="BJ303" s="1417" t="str">
        <f t="shared" si="482"/>
        <v>-</v>
      </c>
      <c r="BK303" s="1417" t="str">
        <f t="shared" si="483"/>
        <v>-</v>
      </c>
      <c r="BL303" s="1418" t="str">
        <f t="shared" si="484"/>
        <v>-</v>
      </c>
      <c r="BM303" s="1417" t="str">
        <f t="shared" si="485"/>
        <v>-</v>
      </c>
      <c r="BN303" s="1417" t="str">
        <f t="shared" si="486"/>
        <v>-</v>
      </c>
      <c r="BO303" s="1417" t="str">
        <f t="shared" si="487"/>
        <v>-</v>
      </c>
      <c r="BP303" s="1417" t="str">
        <f t="shared" si="488"/>
        <v>-</v>
      </c>
      <c r="BQ303" s="1419" t="str">
        <f t="shared" si="489"/>
        <v>-</v>
      </c>
      <c r="BR303" s="1378"/>
      <c r="BS303" s="1420"/>
      <c r="BT303" s="1421"/>
      <c r="BU303" s="1422"/>
      <c r="BV303" s="1423"/>
      <c r="BW303" s="1378"/>
      <c r="BX303" s="1412" t="str">
        <f t="shared" si="490"/>
        <v>Price</v>
      </c>
      <c r="BY303" s="1413" t="str">
        <f t="shared" si="491"/>
        <v>Sewerage</v>
      </c>
      <c r="BZ303" s="1414" t="str">
        <f t="shared" si="492"/>
        <v>Fixed</v>
      </c>
      <c r="CA303" s="1424" t="str">
        <f t="shared" ref="CA303:CR303" si="583">IFERROR((P303/O303-1)*(O305/O$13),"-")</f>
        <v>-</v>
      </c>
      <c r="CB303" s="1415" t="str">
        <f t="shared" si="583"/>
        <v>-</v>
      </c>
      <c r="CC303" s="1415" t="str">
        <f t="shared" si="583"/>
        <v>-</v>
      </c>
      <c r="CD303" s="1415" t="str">
        <f t="shared" si="583"/>
        <v>-</v>
      </c>
      <c r="CE303" s="1415" t="str">
        <f t="shared" si="583"/>
        <v>-</v>
      </c>
      <c r="CF303" s="1415" t="str">
        <f t="shared" si="583"/>
        <v>-</v>
      </c>
      <c r="CG303" s="1415" t="str">
        <f t="shared" si="583"/>
        <v>-</v>
      </c>
      <c r="CH303" s="1425" t="str">
        <f t="shared" si="583"/>
        <v>-</v>
      </c>
      <c r="CI303" s="1417" t="str">
        <f t="shared" si="583"/>
        <v>-</v>
      </c>
      <c r="CJ303" s="1417" t="str">
        <f t="shared" si="583"/>
        <v>-</v>
      </c>
      <c r="CK303" s="1417" t="str">
        <f t="shared" si="583"/>
        <v>-</v>
      </c>
      <c r="CL303" s="1417" t="str">
        <f t="shared" si="583"/>
        <v>-</v>
      </c>
      <c r="CM303" s="1418" t="str">
        <f t="shared" si="583"/>
        <v>-</v>
      </c>
      <c r="CN303" s="1417" t="str">
        <f t="shared" si="583"/>
        <v>-</v>
      </c>
      <c r="CO303" s="1417" t="str">
        <f t="shared" si="583"/>
        <v>-</v>
      </c>
      <c r="CP303" s="1417" t="str">
        <f t="shared" si="583"/>
        <v>-</v>
      </c>
      <c r="CQ303" s="1417" t="str">
        <f t="shared" si="583"/>
        <v>-</v>
      </c>
      <c r="CR303" s="1419" t="str">
        <f t="shared" si="583"/>
        <v>-</v>
      </c>
      <c r="CS303" s="1378"/>
      <c r="CT303" s="1412" t="str">
        <f t="shared" si="469"/>
        <v>Price</v>
      </c>
      <c r="CU303" s="1413" t="str">
        <f t="shared" si="470"/>
        <v>Sewerage</v>
      </c>
      <c r="CV303" s="1426" t="str">
        <f t="shared" si="471"/>
        <v>Fixed</v>
      </c>
      <c r="CW303" s="1427" t="str">
        <f t="shared" si="494"/>
        <v>-</v>
      </c>
      <c r="CX303" s="1417" t="str">
        <f t="shared" si="495"/>
        <v>-</v>
      </c>
      <c r="CY303" s="1417" t="str">
        <f t="shared" si="496"/>
        <v>-</v>
      </c>
      <c r="CZ303" s="1419" t="str">
        <f t="shared" si="497"/>
        <v>-</v>
      </c>
      <c r="DA303" s="1417" t="str">
        <f t="shared" si="498"/>
        <v>-</v>
      </c>
      <c r="DB303" s="1417" t="str">
        <f t="shared" si="499"/>
        <v>-</v>
      </c>
      <c r="DC303" s="1417" t="str">
        <f t="shared" si="500"/>
        <v>-</v>
      </c>
      <c r="DD303" s="1417" t="str">
        <f t="shared" si="501"/>
        <v>-</v>
      </c>
      <c r="DE303" s="1419" t="str">
        <f t="shared" si="502"/>
        <v>-</v>
      </c>
      <c r="DF303" s="1378"/>
      <c r="DG303" s="1412" t="str">
        <f t="shared" si="503"/>
        <v>Price</v>
      </c>
      <c r="DH303" s="1413" t="str">
        <f t="shared" si="503"/>
        <v>Sewerage</v>
      </c>
      <c r="DI303" s="1426" t="str">
        <f t="shared" si="503"/>
        <v>Fixed</v>
      </c>
      <c r="DJ303" s="1426"/>
      <c r="DK303" s="1427" t="str">
        <f t="shared" si="504"/>
        <v>-</v>
      </c>
      <c r="DL303" s="1417" t="str">
        <f t="shared" si="505"/>
        <v>-</v>
      </c>
      <c r="DM303" s="1417" t="str">
        <f t="shared" si="506"/>
        <v>-</v>
      </c>
      <c r="DN303" s="1418" t="str">
        <f t="shared" si="507"/>
        <v>-</v>
      </c>
      <c r="DO303" s="1417" t="str">
        <f t="shared" si="508"/>
        <v>-</v>
      </c>
      <c r="DP303" s="1417" t="str">
        <f t="shared" si="509"/>
        <v>-</v>
      </c>
      <c r="DQ303" s="1417" t="str">
        <f t="shared" si="510"/>
        <v>-</v>
      </c>
      <c r="DR303" s="1419" t="str">
        <f t="shared" si="511"/>
        <v>-</v>
      </c>
    </row>
    <row r="304" spans="4:122">
      <c r="E304" s="742" t="s">
        <v>45</v>
      </c>
      <c r="F304" s="722" t="str">
        <f>+F303</f>
        <v>Sewerage</v>
      </c>
      <c r="G304" s="723" t="str">
        <f>+G303</f>
        <v>Fixed Charge Cat 5 - Dartmouth</v>
      </c>
      <c r="H304" s="723">
        <f>+H303</f>
        <v>0</v>
      </c>
      <c r="I304" s="724" t="str">
        <f>+I303</f>
        <v>Fixed</v>
      </c>
      <c r="J304" s="782" t="s">
        <v>323</v>
      </c>
      <c r="K304" s="1540"/>
      <c r="L304" s="1541"/>
      <c r="M304" s="1541"/>
      <c r="N304" s="1542"/>
      <c r="O304" s="1922"/>
      <c r="P304" s="1541"/>
      <c r="Q304" s="1541"/>
      <c r="R304" s="1543"/>
      <c r="S304" s="1543"/>
      <c r="T304" s="1543"/>
      <c r="U304" s="1543"/>
      <c r="V304" s="1543"/>
      <c r="W304" s="1543"/>
      <c r="X304" s="1544"/>
      <c r="Y304" s="1543"/>
      <c r="Z304" s="1543"/>
      <c r="AA304" s="1543"/>
      <c r="AB304" s="1543"/>
      <c r="AC304" s="1544"/>
      <c r="AD304" s="1543"/>
      <c r="AE304" s="1543"/>
      <c r="AF304" s="1543"/>
      <c r="AG304" s="788"/>
      <c r="AH304" s="697"/>
      <c r="AI304" s="707"/>
      <c r="AJ304" s="709">
        <f t="shared" si="515"/>
        <v>0</v>
      </c>
      <c r="AK304" s="710">
        <f t="shared" si="516"/>
        <v>0</v>
      </c>
      <c r="AL304" s="710">
        <f t="shared" si="517"/>
        <v>0</v>
      </c>
      <c r="AM304" s="710">
        <f t="shared" si="518"/>
        <v>0</v>
      </c>
      <c r="AN304" s="710">
        <f t="shared" si="519"/>
        <v>0</v>
      </c>
      <c r="AO304" s="711">
        <f t="shared" si="520"/>
        <v>0</v>
      </c>
      <c r="AP304" s="707">
        <f t="shared" si="521"/>
        <v>0</v>
      </c>
      <c r="AQ304" s="707">
        <f t="shared" si="522"/>
        <v>0</v>
      </c>
      <c r="AR304" s="707">
        <f t="shared" si="523"/>
        <v>0</v>
      </c>
      <c r="AS304" s="712">
        <f t="shared" si="524"/>
        <v>0</v>
      </c>
      <c r="AV304" s="1559"/>
      <c r="AW304" s="1392" t="str">
        <f t="shared" si="472"/>
        <v>Qty</v>
      </c>
      <c r="AX304" s="1393" t="str">
        <f t="shared" si="472"/>
        <v>Sewerage</v>
      </c>
      <c r="AY304" s="1394" t="str">
        <f t="shared" si="473"/>
        <v>Fixed</v>
      </c>
      <c r="AZ304" s="1395" t="str">
        <f t="shared" si="565"/>
        <v>-</v>
      </c>
      <c r="BA304" s="1395" t="str">
        <f t="shared" si="565"/>
        <v>-</v>
      </c>
      <c r="BB304" s="1395" t="str">
        <f t="shared" si="565"/>
        <v>-</v>
      </c>
      <c r="BC304" s="1395" t="str">
        <f t="shared" si="475"/>
        <v>-</v>
      </c>
      <c r="BD304" s="1395" t="str">
        <f t="shared" si="476"/>
        <v>-</v>
      </c>
      <c r="BE304" s="1395" t="str">
        <f t="shared" si="477"/>
        <v>-</v>
      </c>
      <c r="BF304" s="1395" t="str">
        <f t="shared" si="478"/>
        <v>-</v>
      </c>
      <c r="BG304" s="1396" t="str">
        <f t="shared" si="479"/>
        <v>-</v>
      </c>
      <c r="BH304" s="1395" t="str">
        <f t="shared" si="480"/>
        <v>-</v>
      </c>
      <c r="BI304" s="1395" t="str">
        <f t="shared" si="481"/>
        <v>-</v>
      </c>
      <c r="BJ304" s="1395" t="str">
        <f t="shared" si="482"/>
        <v>-</v>
      </c>
      <c r="BK304" s="1395" t="str">
        <f t="shared" si="483"/>
        <v>-</v>
      </c>
      <c r="BL304" s="1397" t="str">
        <f t="shared" si="484"/>
        <v>-</v>
      </c>
      <c r="BM304" s="1395" t="str">
        <f t="shared" si="485"/>
        <v>-</v>
      </c>
      <c r="BN304" s="1395" t="str">
        <f t="shared" si="486"/>
        <v>-</v>
      </c>
      <c r="BO304" s="1395" t="str">
        <f t="shared" si="487"/>
        <v>-</v>
      </c>
      <c r="BP304" s="1395" t="str">
        <f t="shared" si="488"/>
        <v>-</v>
      </c>
      <c r="BQ304" s="1398" t="str">
        <f t="shared" si="489"/>
        <v>-</v>
      </c>
      <c r="BR304" s="1378"/>
      <c r="BS304" s="1329"/>
      <c r="BT304" s="1399"/>
      <c r="BU304" s="1331"/>
      <c r="BV304" s="1400"/>
      <c r="BW304" s="1378"/>
      <c r="BX304" s="1392" t="str">
        <f t="shared" si="490"/>
        <v>Qty</v>
      </c>
      <c r="BY304" s="1393" t="str">
        <f t="shared" si="491"/>
        <v>Sewerage</v>
      </c>
      <c r="BZ304" s="1394" t="str">
        <f t="shared" si="492"/>
        <v>Fixed</v>
      </c>
      <c r="CA304" s="1401" t="str">
        <f t="shared" ref="CA304:CR304" si="584">IFERROR((P304/O304-1)*(O305/O$13),"-")</f>
        <v>-</v>
      </c>
      <c r="CB304" s="1395" t="str">
        <f t="shared" si="584"/>
        <v>-</v>
      </c>
      <c r="CC304" s="1395" t="str">
        <f t="shared" si="584"/>
        <v>-</v>
      </c>
      <c r="CD304" s="1395" t="str">
        <f t="shared" si="584"/>
        <v>-</v>
      </c>
      <c r="CE304" s="1395" t="str">
        <f t="shared" si="584"/>
        <v>-</v>
      </c>
      <c r="CF304" s="1395" t="str">
        <f t="shared" si="584"/>
        <v>-</v>
      </c>
      <c r="CG304" s="1395" t="str">
        <f t="shared" si="584"/>
        <v>-</v>
      </c>
      <c r="CH304" s="1397" t="str">
        <f t="shared" si="584"/>
        <v>-</v>
      </c>
      <c r="CI304" s="1395" t="str">
        <f t="shared" si="584"/>
        <v>-</v>
      </c>
      <c r="CJ304" s="1395" t="str">
        <f t="shared" si="584"/>
        <v>-</v>
      </c>
      <c r="CK304" s="1395" t="str">
        <f t="shared" si="584"/>
        <v>-</v>
      </c>
      <c r="CL304" s="1395" t="str">
        <f t="shared" si="584"/>
        <v>-</v>
      </c>
      <c r="CM304" s="1397" t="str">
        <f t="shared" si="584"/>
        <v>-</v>
      </c>
      <c r="CN304" s="1395" t="str">
        <f t="shared" si="584"/>
        <v>-</v>
      </c>
      <c r="CO304" s="1395" t="str">
        <f t="shared" si="584"/>
        <v>-</v>
      </c>
      <c r="CP304" s="1395" t="str">
        <f t="shared" si="584"/>
        <v>-</v>
      </c>
      <c r="CQ304" s="1395" t="str">
        <f t="shared" si="584"/>
        <v>-</v>
      </c>
      <c r="CR304" s="1398" t="str">
        <f t="shared" si="584"/>
        <v>-</v>
      </c>
      <c r="CS304" s="1378"/>
      <c r="CT304" s="1392" t="str">
        <f t="shared" si="469"/>
        <v>Qty</v>
      </c>
      <c r="CU304" s="1393" t="str">
        <f t="shared" si="470"/>
        <v>Sewerage</v>
      </c>
      <c r="CV304" s="1393" t="str">
        <f t="shared" si="471"/>
        <v>Fixed</v>
      </c>
      <c r="CW304" s="1401" t="str">
        <f t="shared" si="494"/>
        <v>-</v>
      </c>
      <c r="CX304" s="1395" t="str">
        <f t="shared" si="495"/>
        <v>-</v>
      </c>
      <c r="CY304" s="1395" t="str">
        <f t="shared" si="496"/>
        <v>-</v>
      </c>
      <c r="CZ304" s="1398" t="str">
        <f t="shared" si="497"/>
        <v>-</v>
      </c>
      <c r="DA304" s="1395" t="str">
        <f t="shared" si="498"/>
        <v>-</v>
      </c>
      <c r="DB304" s="1395" t="str">
        <f t="shared" si="499"/>
        <v>-</v>
      </c>
      <c r="DC304" s="1395" t="str">
        <f t="shared" si="500"/>
        <v>-</v>
      </c>
      <c r="DD304" s="1395" t="str">
        <f t="shared" si="501"/>
        <v>-</v>
      </c>
      <c r="DE304" s="1398" t="str">
        <f t="shared" si="502"/>
        <v>-</v>
      </c>
      <c r="DF304" s="1378"/>
      <c r="DG304" s="1392" t="str">
        <f t="shared" si="503"/>
        <v>Qty</v>
      </c>
      <c r="DH304" s="1393" t="str">
        <f t="shared" si="503"/>
        <v>Sewerage</v>
      </c>
      <c r="DI304" s="1393" t="str">
        <f t="shared" si="503"/>
        <v>Fixed</v>
      </c>
      <c r="DJ304" s="1393"/>
      <c r="DK304" s="1401" t="str">
        <f t="shared" si="504"/>
        <v>-</v>
      </c>
      <c r="DL304" s="1395" t="str">
        <f t="shared" si="505"/>
        <v>-</v>
      </c>
      <c r="DM304" s="1395" t="str">
        <f t="shared" si="506"/>
        <v>-</v>
      </c>
      <c r="DN304" s="1397" t="str">
        <f t="shared" si="507"/>
        <v>-</v>
      </c>
      <c r="DO304" s="1395" t="str">
        <f t="shared" si="508"/>
        <v>-</v>
      </c>
      <c r="DP304" s="1395" t="str">
        <f t="shared" si="509"/>
        <v>-</v>
      </c>
      <c r="DQ304" s="1395" t="str">
        <f t="shared" si="510"/>
        <v>-</v>
      </c>
      <c r="DR304" s="1398" t="str">
        <f t="shared" si="511"/>
        <v>-</v>
      </c>
    </row>
    <row r="305" spans="4:122" ht="12.75" thickBot="1">
      <c r="E305" s="743" t="s">
        <v>46</v>
      </c>
      <c r="F305" s="732" t="str">
        <f>+F303</f>
        <v>Sewerage</v>
      </c>
      <c r="G305" s="733" t="str">
        <f>+G303</f>
        <v>Fixed Charge Cat 5 - Dartmouth</v>
      </c>
      <c r="H305" s="733">
        <f>+H303</f>
        <v>0</v>
      </c>
      <c r="I305" s="734" t="str">
        <f>+I303</f>
        <v>Fixed</v>
      </c>
      <c r="J305" s="735" t="s">
        <v>344</v>
      </c>
      <c r="K305" s="736">
        <f t="shared" ref="K305:AG305" si="585">K303*K304/10^6</f>
        <v>0</v>
      </c>
      <c r="L305" s="737">
        <f t="shared" si="585"/>
        <v>0</v>
      </c>
      <c r="M305" s="737">
        <f t="shared" si="585"/>
        <v>0</v>
      </c>
      <c r="N305" s="738">
        <f t="shared" si="585"/>
        <v>0</v>
      </c>
      <c r="O305" s="1923">
        <f t="shared" si="585"/>
        <v>0</v>
      </c>
      <c r="P305" s="737">
        <f t="shared" si="585"/>
        <v>0</v>
      </c>
      <c r="Q305" s="737">
        <f t="shared" si="585"/>
        <v>0</v>
      </c>
      <c r="R305" s="737">
        <f t="shared" si="585"/>
        <v>0</v>
      </c>
      <c r="S305" s="737">
        <f t="shared" si="585"/>
        <v>0</v>
      </c>
      <c r="T305" s="1531">
        <f t="shared" si="585"/>
        <v>0</v>
      </c>
      <c r="U305" s="737">
        <f t="shared" si="585"/>
        <v>0</v>
      </c>
      <c r="V305" s="737">
        <f t="shared" si="585"/>
        <v>0</v>
      </c>
      <c r="W305" s="737">
        <f t="shared" si="585"/>
        <v>0</v>
      </c>
      <c r="X305" s="738">
        <f t="shared" si="585"/>
        <v>0</v>
      </c>
      <c r="Y305" s="737">
        <f t="shared" si="585"/>
        <v>0</v>
      </c>
      <c r="Z305" s="737">
        <f t="shared" si="585"/>
        <v>0</v>
      </c>
      <c r="AA305" s="737">
        <f t="shared" si="585"/>
        <v>0</v>
      </c>
      <c r="AB305" s="737">
        <f t="shared" si="585"/>
        <v>0</v>
      </c>
      <c r="AC305" s="738">
        <f t="shared" si="585"/>
        <v>0</v>
      </c>
      <c r="AD305" s="737">
        <f t="shared" si="585"/>
        <v>0</v>
      </c>
      <c r="AE305" s="737">
        <f t="shared" si="585"/>
        <v>0</v>
      </c>
      <c r="AF305" s="737">
        <f t="shared" si="585"/>
        <v>0</v>
      </c>
      <c r="AG305" s="739">
        <f t="shared" si="585"/>
        <v>0</v>
      </c>
      <c r="AH305" s="697"/>
      <c r="AI305" s="707"/>
      <c r="AJ305" s="709">
        <f t="shared" si="515"/>
        <v>0</v>
      </c>
      <c r="AK305" s="710">
        <f t="shared" si="516"/>
        <v>0</v>
      </c>
      <c r="AL305" s="710">
        <f t="shared" si="517"/>
        <v>0</v>
      </c>
      <c r="AM305" s="710">
        <f t="shared" si="518"/>
        <v>0</v>
      </c>
      <c r="AN305" s="710">
        <f t="shared" si="519"/>
        <v>0</v>
      </c>
      <c r="AO305" s="711">
        <f t="shared" si="520"/>
        <v>0</v>
      </c>
      <c r="AP305" s="707">
        <f t="shared" si="521"/>
        <v>0</v>
      </c>
      <c r="AQ305" s="707">
        <f t="shared" si="522"/>
        <v>0</v>
      </c>
      <c r="AR305" s="707">
        <f t="shared" si="523"/>
        <v>0</v>
      </c>
      <c r="AS305" s="712">
        <f t="shared" si="524"/>
        <v>0</v>
      </c>
      <c r="AV305" s="1559"/>
      <c r="AW305" s="1428" t="str">
        <f t="shared" si="472"/>
        <v>Rev</v>
      </c>
      <c r="AX305" s="1429" t="str">
        <f t="shared" si="472"/>
        <v>Sewerage</v>
      </c>
      <c r="AY305" s="1430" t="str">
        <f t="shared" si="473"/>
        <v>Fixed</v>
      </c>
      <c r="AZ305" s="1431" t="str">
        <f t="shared" si="565"/>
        <v>-</v>
      </c>
      <c r="BA305" s="1431" t="str">
        <f t="shared" si="565"/>
        <v>-</v>
      </c>
      <c r="BB305" s="1431" t="str">
        <f t="shared" si="565"/>
        <v>-</v>
      </c>
      <c r="BC305" s="1431" t="str">
        <f t="shared" si="475"/>
        <v>-</v>
      </c>
      <c r="BD305" s="1431" t="str">
        <f t="shared" si="476"/>
        <v>-</v>
      </c>
      <c r="BE305" s="1431" t="str">
        <f t="shared" si="477"/>
        <v>-</v>
      </c>
      <c r="BF305" s="1431" t="str">
        <f t="shared" si="478"/>
        <v>-</v>
      </c>
      <c r="BG305" s="1432" t="str">
        <f t="shared" si="479"/>
        <v>-</v>
      </c>
      <c r="BH305" s="1431" t="str">
        <f t="shared" si="480"/>
        <v>-</v>
      </c>
      <c r="BI305" s="1431" t="str">
        <f t="shared" si="481"/>
        <v>-</v>
      </c>
      <c r="BJ305" s="1431" t="str">
        <f t="shared" si="482"/>
        <v>-</v>
      </c>
      <c r="BK305" s="1431" t="str">
        <f t="shared" si="483"/>
        <v>-</v>
      </c>
      <c r="BL305" s="1433" t="str">
        <f t="shared" si="484"/>
        <v>-</v>
      </c>
      <c r="BM305" s="1431" t="str">
        <f t="shared" si="485"/>
        <v>-</v>
      </c>
      <c r="BN305" s="1431" t="str">
        <f t="shared" si="486"/>
        <v>-</v>
      </c>
      <c r="BO305" s="1431" t="str">
        <f t="shared" si="487"/>
        <v>-</v>
      </c>
      <c r="BP305" s="1431" t="str">
        <f t="shared" si="488"/>
        <v>-</v>
      </c>
      <c r="BQ305" s="1434" t="str">
        <f t="shared" si="489"/>
        <v>-</v>
      </c>
      <c r="BR305" s="1378"/>
      <c r="BS305" s="1407"/>
      <c r="BT305" s="1408"/>
      <c r="BU305" s="1409"/>
      <c r="BV305" s="1410"/>
      <c r="BW305" s="1378"/>
      <c r="BX305" s="1428" t="str">
        <f t="shared" si="490"/>
        <v>Rev</v>
      </c>
      <c r="BY305" s="1429" t="str">
        <f t="shared" si="491"/>
        <v>Sewerage</v>
      </c>
      <c r="BZ305" s="1430" t="str">
        <f t="shared" si="492"/>
        <v>Fixed</v>
      </c>
      <c r="CA305" s="1435" t="str">
        <f t="shared" ref="CA305:CR305" si="586">IFERROR((P305/O305-1)*(O305/O$13),"-")</f>
        <v>-</v>
      </c>
      <c r="CB305" s="1431" t="str">
        <f t="shared" si="586"/>
        <v>-</v>
      </c>
      <c r="CC305" s="1431" t="str">
        <f t="shared" si="586"/>
        <v>-</v>
      </c>
      <c r="CD305" s="1431" t="str">
        <f t="shared" si="586"/>
        <v>-</v>
      </c>
      <c r="CE305" s="1431" t="str">
        <f t="shared" si="586"/>
        <v>-</v>
      </c>
      <c r="CF305" s="1431" t="str">
        <f t="shared" si="586"/>
        <v>-</v>
      </c>
      <c r="CG305" s="1431" t="str">
        <f t="shared" si="586"/>
        <v>-</v>
      </c>
      <c r="CH305" s="1433" t="str">
        <f t="shared" si="586"/>
        <v>-</v>
      </c>
      <c r="CI305" s="1431" t="str">
        <f t="shared" si="586"/>
        <v>-</v>
      </c>
      <c r="CJ305" s="1431" t="str">
        <f t="shared" si="586"/>
        <v>-</v>
      </c>
      <c r="CK305" s="1431" t="str">
        <f t="shared" si="586"/>
        <v>-</v>
      </c>
      <c r="CL305" s="1431" t="str">
        <f t="shared" si="586"/>
        <v>-</v>
      </c>
      <c r="CM305" s="1433" t="str">
        <f t="shared" si="586"/>
        <v>-</v>
      </c>
      <c r="CN305" s="1431" t="str">
        <f t="shared" si="586"/>
        <v>-</v>
      </c>
      <c r="CO305" s="1431" t="str">
        <f t="shared" si="586"/>
        <v>-</v>
      </c>
      <c r="CP305" s="1431" t="str">
        <f t="shared" si="586"/>
        <v>-</v>
      </c>
      <c r="CQ305" s="1431" t="str">
        <f t="shared" si="586"/>
        <v>-</v>
      </c>
      <c r="CR305" s="1434" t="str">
        <f t="shared" si="586"/>
        <v>-</v>
      </c>
      <c r="CS305" s="1378"/>
      <c r="CT305" s="1428" t="str">
        <f t="shared" si="469"/>
        <v>Rev</v>
      </c>
      <c r="CU305" s="1429" t="str">
        <f t="shared" si="470"/>
        <v>Sewerage</v>
      </c>
      <c r="CV305" s="1429" t="str">
        <f t="shared" si="471"/>
        <v>Fixed</v>
      </c>
      <c r="CW305" s="1435" t="str">
        <f t="shared" si="494"/>
        <v>-</v>
      </c>
      <c r="CX305" s="1431" t="str">
        <f t="shared" si="495"/>
        <v>-</v>
      </c>
      <c r="CY305" s="1431" t="str">
        <f t="shared" si="496"/>
        <v>-</v>
      </c>
      <c r="CZ305" s="1434" t="str">
        <f t="shared" si="497"/>
        <v>-</v>
      </c>
      <c r="DA305" s="1431" t="str">
        <f t="shared" si="498"/>
        <v>-</v>
      </c>
      <c r="DB305" s="1431" t="str">
        <f t="shared" si="499"/>
        <v>-</v>
      </c>
      <c r="DC305" s="1431" t="str">
        <f t="shared" si="500"/>
        <v>-</v>
      </c>
      <c r="DD305" s="1431" t="str">
        <f t="shared" si="501"/>
        <v>-</v>
      </c>
      <c r="DE305" s="1434" t="str">
        <f t="shared" si="502"/>
        <v>-</v>
      </c>
      <c r="DF305" s="1378"/>
      <c r="DG305" s="1428" t="str">
        <f t="shared" si="503"/>
        <v>Rev</v>
      </c>
      <c r="DH305" s="1429" t="str">
        <f t="shared" si="503"/>
        <v>Sewerage</v>
      </c>
      <c r="DI305" s="1429" t="str">
        <f t="shared" si="503"/>
        <v>Fixed</v>
      </c>
      <c r="DJ305" s="1429"/>
      <c r="DK305" s="1435" t="str">
        <f t="shared" si="504"/>
        <v>-</v>
      </c>
      <c r="DL305" s="1431" t="str">
        <f t="shared" si="505"/>
        <v>-</v>
      </c>
      <c r="DM305" s="1431" t="str">
        <f t="shared" si="506"/>
        <v>-</v>
      </c>
      <c r="DN305" s="1433" t="str">
        <f t="shared" si="507"/>
        <v>-</v>
      </c>
      <c r="DO305" s="1431" t="str">
        <f t="shared" si="508"/>
        <v>-</v>
      </c>
      <c r="DP305" s="1431" t="str">
        <f t="shared" si="509"/>
        <v>-</v>
      </c>
      <c r="DQ305" s="1431" t="str">
        <f t="shared" si="510"/>
        <v>-</v>
      </c>
      <c r="DR305" s="1434" t="str">
        <f t="shared" si="511"/>
        <v>-</v>
      </c>
    </row>
    <row r="306" spans="4:122">
      <c r="D306" s="70">
        <f>D303+1</f>
        <v>81</v>
      </c>
      <c r="E306" s="713" t="s">
        <v>44</v>
      </c>
      <c r="F306" s="1532" t="s">
        <v>21</v>
      </c>
      <c r="G306" s="1532" t="s">
        <v>939</v>
      </c>
      <c r="H306" s="1532"/>
      <c r="I306" s="781" t="s">
        <v>319</v>
      </c>
      <c r="J306" s="781" t="s">
        <v>345</v>
      </c>
      <c r="K306" s="1533"/>
      <c r="L306" s="1534"/>
      <c r="M306" s="1534"/>
      <c r="N306" s="1535"/>
      <c r="O306" s="2071"/>
      <c r="P306" s="1547"/>
      <c r="Q306" s="1547"/>
      <c r="R306" s="1547"/>
      <c r="S306" s="1547"/>
      <c r="T306" s="1547"/>
      <c r="U306" s="1547"/>
      <c r="V306" s="1547"/>
      <c r="W306" s="1547"/>
      <c r="X306" s="1548"/>
      <c r="Y306" s="1547"/>
      <c r="Z306" s="1547"/>
      <c r="AA306" s="1547"/>
      <c r="AB306" s="1547"/>
      <c r="AC306" s="1548"/>
      <c r="AD306" s="1547"/>
      <c r="AE306" s="1547"/>
      <c r="AF306" s="1547"/>
      <c r="AG306" s="785"/>
      <c r="AH306" s="697"/>
      <c r="AI306" s="707"/>
      <c r="AJ306" s="709">
        <f t="shared" si="515"/>
        <v>0</v>
      </c>
      <c r="AK306" s="710">
        <f t="shared" si="516"/>
        <v>0</v>
      </c>
      <c r="AL306" s="710">
        <f t="shared" si="517"/>
        <v>0</v>
      </c>
      <c r="AM306" s="710">
        <f t="shared" si="518"/>
        <v>0</v>
      </c>
      <c r="AN306" s="710">
        <f t="shared" si="519"/>
        <v>0</v>
      </c>
      <c r="AO306" s="711">
        <f t="shared" si="520"/>
        <v>0</v>
      </c>
      <c r="AP306" s="707">
        <f t="shared" si="521"/>
        <v>0</v>
      </c>
      <c r="AQ306" s="707">
        <f t="shared" si="522"/>
        <v>0</v>
      </c>
      <c r="AR306" s="707">
        <f t="shared" si="523"/>
        <v>0</v>
      </c>
      <c r="AS306" s="712">
        <f t="shared" si="524"/>
        <v>0</v>
      </c>
      <c r="AU306" s="1369"/>
      <c r="AV306" s="1559"/>
      <c r="AW306" s="1412" t="str">
        <f t="shared" si="472"/>
        <v>Price</v>
      </c>
      <c r="AX306" s="1413" t="str">
        <f t="shared" si="472"/>
        <v>Sewerage</v>
      </c>
      <c r="AY306" s="1414" t="str">
        <f t="shared" si="473"/>
        <v>Fixed</v>
      </c>
      <c r="AZ306" s="1415" t="str">
        <f t="shared" ref="AZ306:BB321" si="587">IFERROR(P306/O306-1,"-")</f>
        <v>-</v>
      </c>
      <c r="BA306" s="1415" t="str">
        <f t="shared" si="587"/>
        <v>-</v>
      </c>
      <c r="BB306" s="1415" t="str">
        <f t="shared" si="587"/>
        <v>-</v>
      </c>
      <c r="BC306" s="1415" t="str">
        <f t="shared" si="475"/>
        <v>-</v>
      </c>
      <c r="BD306" s="1415" t="str">
        <f t="shared" si="476"/>
        <v>-</v>
      </c>
      <c r="BE306" s="1415" t="str">
        <f t="shared" si="477"/>
        <v>-</v>
      </c>
      <c r="BF306" s="1415" t="str">
        <f t="shared" si="478"/>
        <v>-</v>
      </c>
      <c r="BG306" s="1416" t="str">
        <f t="shared" si="479"/>
        <v>-</v>
      </c>
      <c r="BH306" s="1417" t="str">
        <f t="shared" si="480"/>
        <v>-</v>
      </c>
      <c r="BI306" s="1417" t="str">
        <f t="shared" si="481"/>
        <v>-</v>
      </c>
      <c r="BJ306" s="1417" t="str">
        <f t="shared" si="482"/>
        <v>-</v>
      </c>
      <c r="BK306" s="1417" t="str">
        <f t="shared" si="483"/>
        <v>-</v>
      </c>
      <c r="BL306" s="1418" t="str">
        <f t="shared" si="484"/>
        <v>-</v>
      </c>
      <c r="BM306" s="1417" t="str">
        <f t="shared" si="485"/>
        <v>-</v>
      </c>
      <c r="BN306" s="1417" t="str">
        <f t="shared" si="486"/>
        <v>-</v>
      </c>
      <c r="BO306" s="1417" t="str">
        <f t="shared" si="487"/>
        <v>-</v>
      </c>
      <c r="BP306" s="1417" t="str">
        <f t="shared" si="488"/>
        <v>-</v>
      </c>
      <c r="BQ306" s="1419" t="str">
        <f t="shared" si="489"/>
        <v>-</v>
      </c>
      <c r="BR306" s="1378"/>
      <c r="BS306" s="1420"/>
      <c r="BT306" s="1421"/>
      <c r="BU306" s="1422"/>
      <c r="BV306" s="1423"/>
      <c r="BW306" s="1378"/>
      <c r="BX306" s="1412" t="str">
        <f t="shared" si="490"/>
        <v>Price</v>
      </c>
      <c r="BY306" s="1413" t="str">
        <f t="shared" si="491"/>
        <v>Sewerage</v>
      </c>
      <c r="BZ306" s="1414" t="str">
        <f t="shared" si="492"/>
        <v>Fixed</v>
      </c>
      <c r="CA306" s="1424" t="str">
        <f t="shared" ref="CA306:CR306" si="588">IFERROR((P306/O306-1)*(O308/O$13),"-")</f>
        <v>-</v>
      </c>
      <c r="CB306" s="1415" t="str">
        <f t="shared" si="588"/>
        <v>-</v>
      </c>
      <c r="CC306" s="1415" t="str">
        <f t="shared" si="588"/>
        <v>-</v>
      </c>
      <c r="CD306" s="1415" t="str">
        <f t="shared" si="588"/>
        <v>-</v>
      </c>
      <c r="CE306" s="1415" t="str">
        <f t="shared" si="588"/>
        <v>-</v>
      </c>
      <c r="CF306" s="1415" t="str">
        <f t="shared" si="588"/>
        <v>-</v>
      </c>
      <c r="CG306" s="1415" t="str">
        <f t="shared" si="588"/>
        <v>-</v>
      </c>
      <c r="CH306" s="1425" t="str">
        <f t="shared" si="588"/>
        <v>-</v>
      </c>
      <c r="CI306" s="1417" t="str">
        <f t="shared" si="588"/>
        <v>-</v>
      </c>
      <c r="CJ306" s="1417" t="str">
        <f t="shared" si="588"/>
        <v>-</v>
      </c>
      <c r="CK306" s="1417" t="str">
        <f t="shared" si="588"/>
        <v>-</v>
      </c>
      <c r="CL306" s="1417" t="str">
        <f t="shared" si="588"/>
        <v>-</v>
      </c>
      <c r="CM306" s="1418" t="str">
        <f t="shared" si="588"/>
        <v>-</v>
      </c>
      <c r="CN306" s="1417" t="str">
        <f t="shared" si="588"/>
        <v>-</v>
      </c>
      <c r="CO306" s="1417" t="str">
        <f t="shared" si="588"/>
        <v>-</v>
      </c>
      <c r="CP306" s="1417" t="str">
        <f t="shared" si="588"/>
        <v>-</v>
      </c>
      <c r="CQ306" s="1417" t="str">
        <f t="shared" si="588"/>
        <v>-</v>
      </c>
      <c r="CR306" s="1419" t="str">
        <f t="shared" si="588"/>
        <v>-</v>
      </c>
      <c r="CS306" s="1378"/>
      <c r="CT306" s="1412" t="str">
        <f t="shared" si="469"/>
        <v>Price</v>
      </c>
      <c r="CU306" s="1413" t="str">
        <f t="shared" si="470"/>
        <v>Sewerage</v>
      </c>
      <c r="CV306" s="1426" t="str">
        <f t="shared" si="471"/>
        <v>Fixed</v>
      </c>
      <c r="CW306" s="1427" t="str">
        <f t="shared" si="494"/>
        <v>-</v>
      </c>
      <c r="CX306" s="1417" t="str">
        <f t="shared" si="495"/>
        <v>-</v>
      </c>
      <c r="CY306" s="1417" t="str">
        <f t="shared" si="496"/>
        <v>-</v>
      </c>
      <c r="CZ306" s="1419" t="str">
        <f t="shared" si="497"/>
        <v>-</v>
      </c>
      <c r="DA306" s="1417" t="str">
        <f t="shared" si="498"/>
        <v>-</v>
      </c>
      <c r="DB306" s="1417" t="str">
        <f t="shared" si="499"/>
        <v>-</v>
      </c>
      <c r="DC306" s="1417" t="str">
        <f t="shared" si="500"/>
        <v>-</v>
      </c>
      <c r="DD306" s="1417" t="str">
        <f t="shared" si="501"/>
        <v>-</v>
      </c>
      <c r="DE306" s="1419" t="str">
        <f t="shared" si="502"/>
        <v>-</v>
      </c>
      <c r="DF306" s="1378"/>
      <c r="DG306" s="1412" t="str">
        <f t="shared" si="503"/>
        <v>Price</v>
      </c>
      <c r="DH306" s="1413" t="str">
        <f t="shared" si="503"/>
        <v>Sewerage</v>
      </c>
      <c r="DI306" s="1426" t="str">
        <f t="shared" si="503"/>
        <v>Fixed</v>
      </c>
      <c r="DJ306" s="1426"/>
      <c r="DK306" s="1427" t="str">
        <f t="shared" si="504"/>
        <v>-</v>
      </c>
      <c r="DL306" s="1417" t="str">
        <f t="shared" si="505"/>
        <v>-</v>
      </c>
      <c r="DM306" s="1417" t="str">
        <f t="shared" si="506"/>
        <v>-</v>
      </c>
      <c r="DN306" s="1418" t="str">
        <f t="shared" si="507"/>
        <v>-</v>
      </c>
      <c r="DO306" s="1417" t="str">
        <f t="shared" si="508"/>
        <v>-</v>
      </c>
      <c r="DP306" s="1417" t="str">
        <f t="shared" si="509"/>
        <v>-</v>
      </c>
      <c r="DQ306" s="1417" t="str">
        <f t="shared" si="510"/>
        <v>-</v>
      </c>
      <c r="DR306" s="1419" t="str">
        <f t="shared" si="511"/>
        <v>-</v>
      </c>
    </row>
    <row r="307" spans="4:122">
      <c r="E307" s="742" t="s">
        <v>45</v>
      </c>
      <c r="F307" s="722" t="str">
        <f>+F306</f>
        <v>Sewerage</v>
      </c>
      <c r="G307" s="723" t="str">
        <f>+G306</f>
        <v>Fixed Charge Cat 6 - Kiewa, Tangam, Barnawartah</v>
      </c>
      <c r="H307" s="723">
        <f>+H306</f>
        <v>0</v>
      </c>
      <c r="I307" s="724" t="str">
        <f>+I306</f>
        <v>Fixed</v>
      </c>
      <c r="J307" s="782" t="s">
        <v>323</v>
      </c>
      <c r="K307" s="1540"/>
      <c r="L307" s="1541"/>
      <c r="M307" s="1541"/>
      <c r="N307" s="1542"/>
      <c r="O307" s="2031"/>
      <c r="P307" s="1543"/>
      <c r="Q307" s="1543"/>
      <c r="R307" s="1543"/>
      <c r="S307" s="1543"/>
      <c r="T307" s="1543"/>
      <c r="U307" s="1543"/>
      <c r="V307" s="1543"/>
      <c r="W307" s="1543"/>
      <c r="X307" s="1544"/>
      <c r="Y307" s="1543"/>
      <c r="Z307" s="1543"/>
      <c r="AA307" s="1543"/>
      <c r="AB307" s="1543"/>
      <c r="AC307" s="1544"/>
      <c r="AD307" s="1543"/>
      <c r="AE307" s="1543"/>
      <c r="AF307" s="1543"/>
      <c r="AG307" s="788"/>
      <c r="AH307" s="697"/>
      <c r="AI307" s="707"/>
      <c r="AJ307" s="709">
        <f t="shared" si="515"/>
        <v>0</v>
      </c>
      <c r="AK307" s="710">
        <f t="shared" si="516"/>
        <v>0</v>
      </c>
      <c r="AL307" s="710">
        <f t="shared" si="517"/>
        <v>0</v>
      </c>
      <c r="AM307" s="710">
        <f t="shared" si="518"/>
        <v>0</v>
      </c>
      <c r="AN307" s="710">
        <f t="shared" si="519"/>
        <v>0</v>
      </c>
      <c r="AO307" s="711">
        <f t="shared" si="520"/>
        <v>0</v>
      </c>
      <c r="AP307" s="707">
        <f t="shared" si="521"/>
        <v>0</v>
      </c>
      <c r="AQ307" s="707">
        <f t="shared" si="522"/>
        <v>0</v>
      </c>
      <c r="AR307" s="707">
        <f t="shared" si="523"/>
        <v>0</v>
      </c>
      <c r="AS307" s="712">
        <f t="shared" si="524"/>
        <v>0</v>
      </c>
      <c r="AV307" s="1559"/>
      <c r="AW307" s="1392" t="str">
        <f t="shared" si="472"/>
        <v>Qty</v>
      </c>
      <c r="AX307" s="1393" t="str">
        <f t="shared" si="472"/>
        <v>Sewerage</v>
      </c>
      <c r="AY307" s="1394" t="str">
        <f t="shared" si="473"/>
        <v>Fixed</v>
      </c>
      <c r="AZ307" s="1395" t="str">
        <f t="shared" si="587"/>
        <v>-</v>
      </c>
      <c r="BA307" s="1395" t="str">
        <f t="shared" si="587"/>
        <v>-</v>
      </c>
      <c r="BB307" s="1395" t="str">
        <f t="shared" si="587"/>
        <v>-</v>
      </c>
      <c r="BC307" s="1395" t="str">
        <f t="shared" si="475"/>
        <v>-</v>
      </c>
      <c r="BD307" s="1395" t="str">
        <f t="shared" si="476"/>
        <v>-</v>
      </c>
      <c r="BE307" s="1395" t="str">
        <f t="shared" si="477"/>
        <v>-</v>
      </c>
      <c r="BF307" s="1395" t="str">
        <f t="shared" si="478"/>
        <v>-</v>
      </c>
      <c r="BG307" s="1396" t="str">
        <f t="shared" si="479"/>
        <v>-</v>
      </c>
      <c r="BH307" s="1395" t="str">
        <f t="shared" si="480"/>
        <v>-</v>
      </c>
      <c r="BI307" s="1395" t="str">
        <f t="shared" si="481"/>
        <v>-</v>
      </c>
      <c r="BJ307" s="1395" t="str">
        <f t="shared" si="482"/>
        <v>-</v>
      </c>
      <c r="BK307" s="1395" t="str">
        <f t="shared" si="483"/>
        <v>-</v>
      </c>
      <c r="BL307" s="1397" t="str">
        <f t="shared" si="484"/>
        <v>-</v>
      </c>
      <c r="BM307" s="1395" t="str">
        <f t="shared" si="485"/>
        <v>-</v>
      </c>
      <c r="BN307" s="1395" t="str">
        <f t="shared" si="486"/>
        <v>-</v>
      </c>
      <c r="BO307" s="1395" t="str">
        <f t="shared" si="487"/>
        <v>-</v>
      </c>
      <c r="BP307" s="1395" t="str">
        <f t="shared" si="488"/>
        <v>-</v>
      </c>
      <c r="BQ307" s="1398" t="str">
        <f t="shared" si="489"/>
        <v>-</v>
      </c>
      <c r="BR307" s="1378"/>
      <c r="BS307" s="1329"/>
      <c r="BT307" s="1399"/>
      <c r="BU307" s="1331"/>
      <c r="BV307" s="1400"/>
      <c r="BW307" s="1378"/>
      <c r="BX307" s="1392" t="str">
        <f t="shared" si="490"/>
        <v>Qty</v>
      </c>
      <c r="BY307" s="1393" t="str">
        <f t="shared" si="491"/>
        <v>Sewerage</v>
      </c>
      <c r="BZ307" s="1394" t="str">
        <f t="shared" si="492"/>
        <v>Fixed</v>
      </c>
      <c r="CA307" s="1401" t="str">
        <f t="shared" ref="CA307:CR307" si="589">IFERROR((P307/O307-1)*(O308/O$13),"-")</f>
        <v>-</v>
      </c>
      <c r="CB307" s="1395" t="str">
        <f t="shared" si="589"/>
        <v>-</v>
      </c>
      <c r="CC307" s="1395" t="str">
        <f t="shared" si="589"/>
        <v>-</v>
      </c>
      <c r="CD307" s="1395" t="str">
        <f t="shared" si="589"/>
        <v>-</v>
      </c>
      <c r="CE307" s="1395" t="str">
        <f t="shared" si="589"/>
        <v>-</v>
      </c>
      <c r="CF307" s="1395" t="str">
        <f t="shared" si="589"/>
        <v>-</v>
      </c>
      <c r="CG307" s="1395" t="str">
        <f t="shared" si="589"/>
        <v>-</v>
      </c>
      <c r="CH307" s="1397" t="str">
        <f t="shared" si="589"/>
        <v>-</v>
      </c>
      <c r="CI307" s="1395" t="str">
        <f t="shared" si="589"/>
        <v>-</v>
      </c>
      <c r="CJ307" s="1395" t="str">
        <f t="shared" si="589"/>
        <v>-</v>
      </c>
      <c r="CK307" s="1395" t="str">
        <f t="shared" si="589"/>
        <v>-</v>
      </c>
      <c r="CL307" s="1395" t="str">
        <f t="shared" si="589"/>
        <v>-</v>
      </c>
      <c r="CM307" s="1397" t="str">
        <f t="shared" si="589"/>
        <v>-</v>
      </c>
      <c r="CN307" s="1395" t="str">
        <f t="shared" si="589"/>
        <v>-</v>
      </c>
      <c r="CO307" s="1395" t="str">
        <f t="shared" si="589"/>
        <v>-</v>
      </c>
      <c r="CP307" s="1395" t="str">
        <f t="shared" si="589"/>
        <v>-</v>
      </c>
      <c r="CQ307" s="1395" t="str">
        <f t="shared" si="589"/>
        <v>-</v>
      </c>
      <c r="CR307" s="1398" t="str">
        <f t="shared" si="589"/>
        <v>-</v>
      </c>
      <c r="CS307" s="1378"/>
      <c r="CT307" s="1392" t="str">
        <f t="shared" si="469"/>
        <v>Qty</v>
      </c>
      <c r="CU307" s="1393" t="str">
        <f t="shared" si="470"/>
        <v>Sewerage</v>
      </c>
      <c r="CV307" s="1393" t="str">
        <f t="shared" si="471"/>
        <v>Fixed</v>
      </c>
      <c r="CW307" s="1401" t="str">
        <f t="shared" si="494"/>
        <v>-</v>
      </c>
      <c r="CX307" s="1395" t="str">
        <f t="shared" si="495"/>
        <v>-</v>
      </c>
      <c r="CY307" s="1395" t="str">
        <f t="shared" si="496"/>
        <v>-</v>
      </c>
      <c r="CZ307" s="1398" t="str">
        <f t="shared" si="497"/>
        <v>-</v>
      </c>
      <c r="DA307" s="1395" t="str">
        <f t="shared" si="498"/>
        <v>-</v>
      </c>
      <c r="DB307" s="1395" t="str">
        <f t="shared" si="499"/>
        <v>-</v>
      </c>
      <c r="DC307" s="1395" t="str">
        <f t="shared" si="500"/>
        <v>-</v>
      </c>
      <c r="DD307" s="1395" t="str">
        <f t="shared" si="501"/>
        <v>-</v>
      </c>
      <c r="DE307" s="1398" t="str">
        <f t="shared" si="502"/>
        <v>-</v>
      </c>
      <c r="DF307" s="1378"/>
      <c r="DG307" s="1392" t="str">
        <f t="shared" si="503"/>
        <v>Qty</v>
      </c>
      <c r="DH307" s="1393" t="str">
        <f t="shared" si="503"/>
        <v>Sewerage</v>
      </c>
      <c r="DI307" s="1393" t="str">
        <f t="shared" si="503"/>
        <v>Fixed</v>
      </c>
      <c r="DJ307" s="1393"/>
      <c r="DK307" s="1401" t="str">
        <f t="shared" si="504"/>
        <v>-</v>
      </c>
      <c r="DL307" s="1395" t="str">
        <f t="shared" si="505"/>
        <v>-</v>
      </c>
      <c r="DM307" s="1395" t="str">
        <f t="shared" si="506"/>
        <v>-</v>
      </c>
      <c r="DN307" s="1397" t="str">
        <f t="shared" si="507"/>
        <v>-</v>
      </c>
      <c r="DO307" s="1395" t="str">
        <f t="shared" si="508"/>
        <v>-</v>
      </c>
      <c r="DP307" s="1395" t="str">
        <f t="shared" si="509"/>
        <v>-</v>
      </c>
      <c r="DQ307" s="1395" t="str">
        <f t="shared" si="510"/>
        <v>-</v>
      </c>
      <c r="DR307" s="1398" t="str">
        <f t="shared" si="511"/>
        <v>-</v>
      </c>
    </row>
    <row r="308" spans="4:122" ht="12.75" thickBot="1">
      <c r="E308" s="743" t="s">
        <v>46</v>
      </c>
      <c r="F308" s="732" t="str">
        <f>+F306</f>
        <v>Sewerage</v>
      </c>
      <c r="G308" s="733" t="str">
        <f>+G306</f>
        <v>Fixed Charge Cat 6 - Kiewa, Tangam, Barnawartah</v>
      </c>
      <c r="H308" s="733">
        <f>+H306</f>
        <v>0</v>
      </c>
      <c r="I308" s="734" t="str">
        <f>+I306</f>
        <v>Fixed</v>
      </c>
      <c r="J308" s="735" t="s">
        <v>344</v>
      </c>
      <c r="K308" s="736">
        <f t="shared" ref="K308:AG308" si="590">K306*K307/10^6</f>
        <v>0</v>
      </c>
      <c r="L308" s="737">
        <f t="shared" si="590"/>
        <v>0</v>
      </c>
      <c r="M308" s="737">
        <f t="shared" si="590"/>
        <v>0</v>
      </c>
      <c r="N308" s="738">
        <f t="shared" si="590"/>
        <v>0</v>
      </c>
      <c r="O308" s="1923">
        <f t="shared" si="590"/>
        <v>0</v>
      </c>
      <c r="P308" s="737">
        <f t="shared" si="590"/>
        <v>0</v>
      </c>
      <c r="Q308" s="737">
        <f t="shared" si="590"/>
        <v>0</v>
      </c>
      <c r="R308" s="737">
        <f t="shared" si="590"/>
        <v>0</v>
      </c>
      <c r="S308" s="737">
        <f t="shared" si="590"/>
        <v>0</v>
      </c>
      <c r="T308" s="1531">
        <f t="shared" si="590"/>
        <v>0</v>
      </c>
      <c r="U308" s="737">
        <f t="shared" si="590"/>
        <v>0</v>
      </c>
      <c r="V308" s="737">
        <f t="shared" si="590"/>
        <v>0</v>
      </c>
      <c r="W308" s="737">
        <f t="shared" si="590"/>
        <v>0</v>
      </c>
      <c r="X308" s="738">
        <f t="shared" si="590"/>
        <v>0</v>
      </c>
      <c r="Y308" s="737">
        <f t="shared" si="590"/>
        <v>0</v>
      </c>
      <c r="Z308" s="737">
        <f t="shared" si="590"/>
        <v>0</v>
      </c>
      <c r="AA308" s="737">
        <f t="shared" si="590"/>
        <v>0</v>
      </c>
      <c r="AB308" s="737">
        <f t="shared" si="590"/>
        <v>0</v>
      </c>
      <c r="AC308" s="738">
        <f t="shared" si="590"/>
        <v>0</v>
      </c>
      <c r="AD308" s="737">
        <f t="shared" si="590"/>
        <v>0</v>
      </c>
      <c r="AE308" s="737">
        <f t="shared" si="590"/>
        <v>0</v>
      </c>
      <c r="AF308" s="737">
        <f t="shared" si="590"/>
        <v>0</v>
      </c>
      <c r="AG308" s="739">
        <f t="shared" si="590"/>
        <v>0</v>
      </c>
      <c r="AH308" s="697"/>
      <c r="AI308" s="707"/>
      <c r="AJ308" s="709">
        <f t="shared" si="515"/>
        <v>0</v>
      </c>
      <c r="AK308" s="710">
        <f t="shared" si="516"/>
        <v>0</v>
      </c>
      <c r="AL308" s="710">
        <f t="shared" si="517"/>
        <v>0</v>
      </c>
      <c r="AM308" s="710">
        <f t="shared" si="518"/>
        <v>0</v>
      </c>
      <c r="AN308" s="710">
        <f t="shared" si="519"/>
        <v>0</v>
      </c>
      <c r="AO308" s="711">
        <f t="shared" si="520"/>
        <v>0</v>
      </c>
      <c r="AP308" s="707">
        <f t="shared" si="521"/>
        <v>0</v>
      </c>
      <c r="AQ308" s="707">
        <f t="shared" si="522"/>
        <v>0</v>
      </c>
      <c r="AR308" s="707">
        <f t="shared" si="523"/>
        <v>0</v>
      </c>
      <c r="AS308" s="712">
        <f t="shared" si="524"/>
        <v>0</v>
      </c>
      <c r="AV308" s="1559"/>
      <c r="AW308" s="1428" t="str">
        <f t="shared" si="472"/>
        <v>Rev</v>
      </c>
      <c r="AX308" s="1429" t="str">
        <f t="shared" si="472"/>
        <v>Sewerage</v>
      </c>
      <c r="AY308" s="1430" t="str">
        <f t="shared" si="473"/>
        <v>Fixed</v>
      </c>
      <c r="AZ308" s="1431" t="str">
        <f t="shared" si="587"/>
        <v>-</v>
      </c>
      <c r="BA308" s="1431" t="str">
        <f t="shared" si="587"/>
        <v>-</v>
      </c>
      <c r="BB308" s="1431" t="str">
        <f t="shared" si="587"/>
        <v>-</v>
      </c>
      <c r="BC308" s="1431" t="str">
        <f t="shared" si="475"/>
        <v>-</v>
      </c>
      <c r="BD308" s="1431" t="str">
        <f t="shared" si="476"/>
        <v>-</v>
      </c>
      <c r="BE308" s="1431" t="str">
        <f t="shared" si="477"/>
        <v>-</v>
      </c>
      <c r="BF308" s="1431" t="str">
        <f t="shared" si="478"/>
        <v>-</v>
      </c>
      <c r="BG308" s="1432" t="str">
        <f t="shared" si="479"/>
        <v>-</v>
      </c>
      <c r="BH308" s="1431" t="str">
        <f t="shared" si="480"/>
        <v>-</v>
      </c>
      <c r="BI308" s="1431" t="str">
        <f t="shared" si="481"/>
        <v>-</v>
      </c>
      <c r="BJ308" s="1431" t="str">
        <f t="shared" si="482"/>
        <v>-</v>
      </c>
      <c r="BK308" s="1431" t="str">
        <f t="shared" si="483"/>
        <v>-</v>
      </c>
      <c r="BL308" s="1433" t="str">
        <f t="shared" si="484"/>
        <v>-</v>
      </c>
      <c r="BM308" s="1431" t="str">
        <f t="shared" si="485"/>
        <v>-</v>
      </c>
      <c r="BN308" s="1431" t="str">
        <f t="shared" si="486"/>
        <v>-</v>
      </c>
      <c r="BO308" s="1431" t="str">
        <f t="shared" si="487"/>
        <v>-</v>
      </c>
      <c r="BP308" s="1431" t="str">
        <f t="shared" si="488"/>
        <v>-</v>
      </c>
      <c r="BQ308" s="1434" t="str">
        <f t="shared" si="489"/>
        <v>-</v>
      </c>
      <c r="BR308" s="1378"/>
      <c r="BS308" s="1407"/>
      <c r="BT308" s="1408"/>
      <c r="BU308" s="1409"/>
      <c r="BV308" s="1410"/>
      <c r="BW308" s="1378"/>
      <c r="BX308" s="1428" t="str">
        <f t="shared" si="490"/>
        <v>Rev</v>
      </c>
      <c r="BY308" s="1429" t="str">
        <f t="shared" si="491"/>
        <v>Sewerage</v>
      </c>
      <c r="BZ308" s="1430" t="str">
        <f t="shared" si="492"/>
        <v>Fixed</v>
      </c>
      <c r="CA308" s="1435" t="str">
        <f t="shared" ref="CA308:CR308" si="591">IFERROR((P308/O308-1)*(O308/O$13),"-")</f>
        <v>-</v>
      </c>
      <c r="CB308" s="1431" t="str">
        <f t="shared" si="591"/>
        <v>-</v>
      </c>
      <c r="CC308" s="1431" t="str">
        <f t="shared" si="591"/>
        <v>-</v>
      </c>
      <c r="CD308" s="1431" t="str">
        <f t="shared" si="591"/>
        <v>-</v>
      </c>
      <c r="CE308" s="1431" t="str">
        <f t="shared" si="591"/>
        <v>-</v>
      </c>
      <c r="CF308" s="1431" t="str">
        <f t="shared" si="591"/>
        <v>-</v>
      </c>
      <c r="CG308" s="1431" t="str">
        <f t="shared" si="591"/>
        <v>-</v>
      </c>
      <c r="CH308" s="1433" t="str">
        <f t="shared" si="591"/>
        <v>-</v>
      </c>
      <c r="CI308" s="1431" t="str">
        <f t="shared" si="591"/>
        <v>-</v>
      </c>
      <c r="CJ308" s="1431" t="str">
        <f t="shared" si="591"/>
        <v>-</v>
      </c>
      <c r="CK308" s="1431" t="str">
        <f t="shared" si="591"/>
        <v>-</v>
      </c>
      <c r="CL308" s="1431" t="str">
        <f t="shared" si="591"/>
        <v>-</v>
      </c>
      <c r="CM308" s="1433" t="str">
        <f t="shared" si="591"/>
        <v>-</v>
      </c>
      <c r="CN308" s="1431" t="str">
        <f t="shared" si="591"/>
        <v>-</v>
      </c>
      <c r="CO308" s="1431" t="str">
        <f t="shared" si="591"/>
        <v>-</v>
      </c>
      <c r="CP308" s="1431" t="str">
        <f t="shared" si="591"/>
        <v>-</v>
      </c>
      <c r="CQ308" s="1431" t="str">
        <f t="shared" si="591"/>
        <v>-</v>
      </c>
      <c r="CR308" s="1434" t="str">
        <f t="shared" si="591"/>
        <v>-</v>
      </c>
      <c r="CS308" s="1378"/>
      <c r="CT308" s="1428" t="str">
        <f t="shared" si="469"/>
        <v>Rev</v>
      </c>
      <c r="CU308" s="1429" t="str">
        <f t="shared" si="470"/>
        <v>Sewerage</v>
      </c>
      <c r="CV308" s="1429" t="str">
        <f t="shared" si="471"/>
        <v>Fixed</v>
      </c>
      <c r="CW308" s="1435" t="str">
        <f t="shared" si="494"/>
        <v>-</v>
      </c>
      <c r="CX308" s="1431" t="str">
        <f t="shared" si="495"/>
        <v>-</v>
      </c>
      <c r="CY308" s="1431" t="str">
        <f t="shared" si="496"/>
        <v>-</v>
      </c>
      <c r="CZ308" s="1434" t="str">
        <f t="shared" si="497"/>
        <v>-</v>
      </c>
      <c r="DA308" s="1431" t="str">
        <f t="shared" si="498"/>
        <v>-</v>
      </c>
      <c r="DB308" s="1431" t="str">
        <f t="shared" si="499"/>
        <v>-</v>
      </c>
      <c r="DC308" s="1431" t="str">
        <f t="shared" si="500"/>
        <v>-</v>
      </c>
      <c r="DD308" s="1431" t="str">
        <f t="shared" si="501"/>
        <v>-</v>
      </c>
      <c r="DE308" s="1434" t="str">
        <f t="shared" si="502"/>
        <v>-</v>
      </c>
      <c r="DF308" s="1378"/>
      <c r="DG308" s="1428" t="str">
        <f t="shared" si="503"/>
        <v>Rev</v>
      </c>
      <c r="DH308" s="1429" t="str">
        <f t="shared" si="503"/>
        <v>Sewerage</v>
      </c>
      <c r="DI308" s="1429" t="str">
        <f t="shared" si="503"/>
        <v>Fixed</v>
      </c>
      <c r="DJ308" s="1429"/>
      <c r="DK308" s="1435" t="str">
        <f t="shared" si="504"/>
        <v>-</v>
      </c>
      <c r="DL308" s="1431" t="str">
        <f t="shared" si="505"/>
        <v>-</v>
      </c>
      <c r="DM308" s="1431" t="str">
        <f t="shared" si="506"/>
        <v>-</v>
      </c>
      <c r="DN308" s="1433" t="str">
        <f t="shared" si="507"/>
        <v>-</v>
      </c>
      <c r="DO308" s="1431" t="str">
        <f t="shared" si="508"/>
        <v>-</v>
      </c>
      <c r="DP308" s="1431" t="str">
        <f t="shared" si="509"/>
        <v>-</v>
      </c>
      <c r="DQ308" s="1431" t="str">
        <f t="shared" si="510"/>
        <v>-</v>
      </c>
      <c r="DR308" s="1434" t="str">
        <f t="shared" si="511"/>
        <v>-</v>
      </c>
    </row>
    <row r="309" spans="4:122">
      <c r="D309" s="70">
        <f>D306+1</f>
        <v>82</v>
      </c>
      <c r="E309" s="713" t="s">
        <v>44</v>
      </c>
      <c r="F309" s="1532" t="s">
        <v>21</v>
      </c>
      <c r="G309" s="1532" t="s">
        <v>940</v>
      </c>
      <c r="H309" s="1532"/>
      <c r="I309" s="781" t="s">
        <v>319</v>
      </c>
      <c r="J309" s="781" t="s">
        <v>345</v>
      </c>
      <c r="K309" s="1533"/>
      <c r="L309" s="1534"/>
      <c r="M309" s="1534"/>
      <c r="N309" s="1535"/>
      <c r="O309" s="2071"/>
      <c r="P309" s="1547"/>
      <c r="Q309" s="1547"/>
      <c r="R309" s="1547"/>
      <c r="S309" s="1547"/>
      <c r="T309" s="1547"/>
      <c r="U309" s="1547"/>
      <c r="V309" s="1547"/>
      <c r="W309" s="1547"/>
      <c r="X309" s="1548"/>
      <c r="Y309" s="1547"/>
      <c r="Z309" s="1547"/>
      <c r="AA309" s="1547"/>
      <c r="AB309" s="1547"/>
      <c r="AC309" s="1548"/>
      <c r="AD309" s="1547"/>
      <c r="AE309" s="1547"/>
      <c r="AF309" s="1547"/>
      <c r="AG309" s="785"/>
      <c r="AH309" s="697"/>
      <c r="AI309" s="707"/>
      <c r="AJ309" s="709">
        <f t="shared" si="515"/>
        <v>0</v>
      </c>
      <c r="AK309" s="710">
        <f t="shared" si="516"/>
        <v>0</v>
      </c>
      <c r="AL309" s="710">
        <f t="shared" si="517"/>
        <v>0</v>
      </c>
      <c r="AM309" s="710">
        <f t="shared" si="518"/>
        <v>0</v>
      </c>
      <c r="AN309" s="710">
        <f t="shared" si="519"/>
        <v>0</v>
      </c>
      <c r="AO309" s="711">
        <f t="shared" si="520"/>
        <v>0</v>
      </c>
      <c r="AP309" s="707">
        <f t="shared" si="521"/>
        <v>0</v>
      </c>
      <c r="AQ309" s="707">
        <f t="shared" si="522"/>
        <v>0</v>
      </c>
      <c r="AR309" s="707">
        <f t="shared" si="523"/>
        <v>0</v>
      </c>
      <c r="AS309" s="712">
        <f t="shared" si="524"/>
        <v>0</v>
      </c>
      <c r="AU309" s="1369"/>
      <c r="AV309" s="1559"/>
      <c r="AW309" s="1412" t="str">
        <f t="shared" si="472"/>
        <v>Price</v>
      </c>
      <c r="AX309" s="1413" t="str">
        <f t="shared" si="472"/>
        <v>Sewerage</v>
      </c>
      <c r="AY309" s="1414" t="str">
        <f t="shared" si="473"/>
        <v>Fixed</v>
      </c>
      <c r="AZ309" s="1415" t="str">
        <f t="shared" si="587"/>
        <v>-</v>
      </c>
      <c r="BA309" s="1415" t="str">
        <f t="shared" si="587"/>
        <v>-</v>
      </c>
      <c r="BB309" s="1415" t="str">
        <f t="shared" si="587"/>
        <v>-</v>
      </c>
      <c r="BC309" s="1415" t="str">
        <f t="shared" si="475"/>
        <v>-</v>
      </c>
      <c r="BD309" s="1415" t="str">
        <f t="shared" si="476"/>
        <v>-</v>
      </c>
      <c r="BE309" s="1415" t="str">
        <f t="shared" si="477"/>
        <v>-</v>
      </c>
      <c r="BF309" s="1415" t="str">
        <f t="shared" si="478"/>
        <v>-</v>
      </c>
      <c r="BG309" s="1416" t="str">
        <f t="shared" si="479"/>
        <v>-</v>
      </c>
      <c r="BH309" s="1417" t="str">
        <f t="shared" si="480"/>
        <v>-</v>
      </c>
      <c r="BI309" s="1417" t="str">
        <f t="shared" si="481"/>
        <v>-</v>
      </c>
      <c r="BJ309" s="1417" t="str">
        <f t="shared" si="482"/>
        <v>-</v>
      </c>
      <c r="BK309" s="1417" t="str">
        <f t="shared" si="483"/>
        <v>-</v>
      </c>
      <c r="BL309" s="1418" t="str">
        <f t="shared" si="484"/>
        <v>-</v>
      </c>
      <c r="BM309" s="1417" t="str">
        <f t="shared" si="485"/>
        <v>-</v>
      </c>
      <c r="BN309" s="1417" t="str">
        <f t="shared" si="486"/>
        <v>-</v>
      </c>
      <c r="BO309" s="1417" t="str">
        <f t="shared" si="487"/>
        <v>-</v>
      </c>
      <c r="BP309" s="1417" t="str">
        <f t="shared" si="488"/>
        <v>-</v>
      </c>
      <c r="BQ309" s="1419" t="str">
        <f t="shared" si="489"/>
        <v>-</v>
      </c>
      <c r="BR309" s="1378"/>
      <c r="BS309" s="1420"/>
      <c r="BT309" s="1421"/>
      <c r="BU309" s="1422"/>
      <c r="BV309" s="1423"/>
      <c r="BW309" s="1378"/>
      <c r="BX309" s="1412" t="str">
        <f t="shared" si="490"/>
        <v>Price</v>
      </c>
      <c r="BY309" s="1413" t="str">
        <f t="shared" si="491"/>
        <v>Sewerage</v>
      </c>
      <c r="BZ309" s="1414" t="str">
        <f t="shared" si="492"/>
        <v>Fixed</v>
      </c>
      <c r="CA309" s="1424" t="str">
        <f t="shared" ref="CA309:CR309" si="592">IFERROR((P309/O309-1)*(O311/O$13),"-")</f>
        <v>-</v>
      </c>
      <c r="CB309" s="1415" t="str">
        <f t="shared" si="592"/>
        <v>-</v>
      </c>
      <c r="CC309" s="1415" t="str">
        <f t="shared" si="592"/>
        <v>-</v>
      </c>
      <c r="CD309" s="1415" t="str">
        <f t="shared" si="592"/>
        <v>-</v>
      </c>
      <c r="CE309" s="1415" t="str">
        <f t="shared" si="592"/>
        <v>-</v>
      </c>
      <c r="CF309" s="1415" t="str">
        <f t="shared" si="592"/>
        <v>-</v>
      </c>
      <c r="CG309" s="1415" t="str">
        <f t="shared" si="592"/>
        <v>-</v>
      </c>
      <c r="CH309" s="1425" t="str">
        <f t="shared" si="592"/>
        <v>-</v>
      </c>
      <c r="CI309" s="1417" t="str">
        <f t="shared" si="592"/>
        <v>-</v>
      </c>
      <c r="CJ309" s="1417" t="str">
        <f t="shared" si="592"/>
        <v>-</v>
      </c>
      <c r="CK309" s="1417" t="str">
        <f t="shared" si="592"/>
        <v>-</v>
      </c>
      <c r="CL309" s="1417" t="str">
        <f t="shared" si="592"/>
        <v>-</v>
      </c>
      <c r="CM309" s="1418" t="str">
        <f t="shared" si="592"/>
        <v>-</v>
      </c>
      <c r="CN309" s="1417" t="str">
        <f t="shared" si="592"/>
        <v>-</v>
      </c>
      <c r="CO309" s="1417" t="str">
        <f t="shared" si="592"/>
        <v>-</v>
      </c>
      <c r="CP309" s="1417" t="str">
        <f t="shared" si="592"/>
        <v>-</v>
      </c>
      <c r="CQ309" s="1417" t="str">
        <f t="shared" si="592"/>
        <v>-</v>
      </c>
      <c r="CR309" s="1419" t="str">
        <f t="shared" si="592"/>
        <v>-</v>
      </c>
      <c r="CS309" s="1378"/>
      <c r="CT309" s="1412" t="str">
        <f t="shared" si="469"/>
        <v>Price</v>
      </c>
      <c r="CU309" s="1413" t="str">
        <f t="shared" si="470"/>
        <v>Sewerage</v>
      </c>
      <c r="CV309" s="1426" t="str">
        <f t="shared" si="471"/>
        <v>Fixed</v>
      </c>
      <c r="CW309" s="1427" t="str">
        <f t="shared" si="494"/>
        <v>-</v>
      </c>
      <c r="CX309" s="1417" t="str">
        <f t="shared" si="495"/>
        <v>-</v>
      </c>
      <c r="CY309" s="1417" t="str">
        <f t="shared" si="496"/>
        <v>-</v>
      </c>
      <c r="CZ309" s="1419" t="str">
        <f t="shared" si="497"/>
        <v>-</v>
      </c>
      <c r="DA309" s="1417" t="str">
        <f t="shared" si="498"/>
        <v>-</v>
      </c>
      <c r="DB309" s="1417" t="str">
        <f t="shared" si="499"/>
        <v>-</v>
      </c>
      <c r="DC309" s="1417" t="str">
        <f t="shared" si="500"/>
        <v>-</v>
      </c>
      <c r="DD309" s="1417" t="str">
        <f t="shared" si="501"/>
        <v>-</v>
      </c>
      <c r="DE309" s="1419" t="str">
        <f t="shared" si="502"/>
        <v>-</v>
      </c>
      <c r="DF309" s="1378"/>
      <c r="DG309" s="1412" t="str">
        <f t="shared" si="503"/>
        <v>Price</v>
      </c>
      <c r="DH309" s="1413" t="str">
        <f t="shared" si="503"/>
        <v>Sewerage</v>
      </c>
      <c r="DI309" s="1426" t="str">
        <f t="shared" si="503"/>
        <v>Fixed</v>
      </c>
      <c r="DJ309" s="1426"/>
      <c r="DK309" s="1427" t="str">
        <f t="shared" si="504"/>
        <v>-</v>
      </c>
      <c r="DL309" s="1417" t="str">
        <f t="shared" si="505"/>
        <v>-</v>
      </c>
      <c r="DM309" s="1417" t="str">
        <f t="shared" si="506"/>
        <v>-</v>
      </c>
      <c r="DN309" s="1418" t="str">
        <f t="shared" si="507"/>
        <v>-</v>
      </c>
      <c r="DO309" s="1417" t="str">
        <f t="shared" si="508"/>
        <v>-</v>
      </c>
      <c r="DP309" s="1417" t="str">
        <f t="shared" si="509"/>
        <v>-</v>
      </c>
      <c r="DQ309" s="1417" t="str">
        <f t="shared" si="510"/>
        <v>-</v>
      </c>
      <c r="DR309" s="1419" t="str">
        <f t="shared" si="511"/>
        <v>-</v>
      </c>
    </row>
    <row r="310" spans="4:122">
      <c r="E310" s="742" t="s">
        <v>45</v>
      </c>
      <c r="F310" s="722" t="str">
        <f>+F309</f>
        <v>Sewerage</v>
      </c>
      <c r="G310" s="723" t="str">
        <f>+G309</f>
        <v>Fixed Charge Cat 7 - Bundalong</v>
      </c>
      <c r="H310" s="723">
        <f>+H309</f>
        <v>0</v>
      </c>
      <c r="I310" s="724" t="str">
        <f>+I309</f>
        <v>Fixed</v>
      </c>
      <c r="J310" s="782" t="s">
        <v>323</v>
      </c>
      <c r="K310" s="1540"/>
      <c r="L310" s="1541"/>
      <c r="M310" s="1541"/>
      <c r="N310" s="1542"/>
      <c r="O310" s="2031"/>
      <c r="P310" s="1543"/>
      <c r="Q310" s="1543"/>
      <c r="R310" s="1543"/>
      <c r="S310" s="1543"/>
      <c r="T310" s="1543"/>
      <c r="U310" s="1543"/>
      <c r="V310" s="1543"/>
      <c r="W310" s="1543"/>
      <c r="X310" s="1544"/>
      <c r="Y310" s="1543"/>
      <c r="Z310" s="1543"/>
      <c r="AA310" s="1543"/>
      <c r="AB310" s="1543"/>
      <c r="AC310" s="1544"/>
      <c r="AD310" s="1543"/>
      <c r="AE310" s="1543"/>
      <c r="AF310" s="1543"/>
      <c r="AG310" s="788"/>
      <c r="AH310" s="697"/>
      <c r="AI310" s="707"/>
      <c r="AJ310" s="709">
        <f t="shared" si="515"/>
        <v>0</v>
      </c>
      <c r="AK310" s="710">
        <f t="shared" si="516"/>
        <v>0</v>
      </c>
      <c r="AL310" s="710">
        <f t="shared" si="517"/>
        <v>0</v>
      </c>
      <c r="AM310" s="710">
        <f t="shared" si="518"/>
        <v>0</v>
      </c>
      <c r="AN310" s="710">
        <f t="shared" si="519"/>
        <v>0</v>
      </c>
      <c r="AO310" s="711">
        <f t="shared" si="520"/>
        <v>0</v>
      </c>
      <c r="AP310" s="707">
        <f t="shared" si="521"/>
        <v>0</v>
      </c>
      <c r="AQ310" s="707">
        <f t="shared" si="522"/>
        <v>0</v>
      </c>
      <c r="AR310" s="707">
        <f t="shared" si="523"/>
        <v>0</v>
      </c>
      <c r="AS310" s="712">
        <f t="shared" si="524"/>
        <v>0</v>
      </c>
      <c r="AV310" s="1559"/>
      <c r="AW310" s="1392" t="str">
        <f t="shared" si="472"/>
        <v>Qty</v>
      </c>
      <c r="AX310" s="1393" t="str">
        <f t="shared" si="472"/>
        <v>Sewerage</v>
      </c>
      <c r="AY310" s="1394" t="str">
        <f t="shared" si="473"/>
        <v>Fixed</v>
      </c>
      <c r="AZ310" s="1395" t="str">
        <f t="shared" si="587"/>
        <v>-</v>
      </c>
      <c r="BA310" s="1395" t="str">
        <f t="shared" si="587"/>
        <v>-</v>
      </c>
      <c r="BB310" s="1395" t="str">
        <f t="shared" si="587"/>
        <v>-</v>
      </c>
      <c r="BC310" s="1395" t="str">
        <f t="shared" si="475"/>
        <v>-</v>
      </c>
      <c r="BD310" s="1395" t="str">
        <f t="shared" si="476"/>
        <v>-</v>
      </c>
      <c r="BE310" s="1395" t="str">
        <f t="shared" si="477"/>
        <v>-</v>
      </c>
      <c r="BF310" s="1395" t="str">
        <f t="shared" si="478"/>
        <v>-</v>
      </c>
      <c r="BG310" s="1396" t="str">
        <f t="shared" si="479"/>
        <v>-</v>
      </c>
      <c r="BH310" s="1395" t="str">
        <f t="shared" si="480"/>
        <v>-</v>
      </c>
      <c r="BI310" s="1395" t="str">
        <f t="shared" si="481"/>
        <v>-</v>
      </c>
      <c r="BJ310" s="1395" t="str">
        <f t="shared" si="482"/>
        <v>-</v>
      </c>
      <c r="BK310" s="1395" t="str">
        <f t="shared" si="483"/>
        <v>-</v>
      </c>
      <c r="BL310" s="1397" t="str">
        <f t="shared" si="484"/>
        <v>-</v>
      </c>
      <c r="BM310" s="1395" t="str">
        <f t="shared" si="485"/>
        <v>-</v>
      </c>
      <c r="BN310" s="1395" t="str">
        <f t="shared" si="486"/>
        <v>-</v>
      </c>
      <c r="BO310" s="1395" t="str">
        <f t="shared" si="487"/>
        <v>-</v>
      </c>
      <c r="BP310" s="1395" t="str">
        <f t="shared" si="488"/>
        <v>-</v>
      </c>
      <c r="BQ310" s="1398" t="str">
        <f t="shared" si="489"/>
        <v>-</v>
      </c>
      <c r="BR310" s="1378"/>
      <c r="BS310" s="1329"/>
      <c r="BT310" s="1399"/>
      <c r="BU310" s="1331"/>
      <c r="BV310" s="1400"/>
      <c r="BW310" s="1378"/>
      <c r="BX310" s="1392" t="str">
        <f t="shared" si="490"/>
        <v>Qty</v>
      </c>
      <c r="BY310" s="1393" t="str">
        <f t="shared" si="491"/>
        <v>Sewerage</v>
      </c>
      <c r="BZ310" s="1394" t="str">
        <f t="shared" si="492"/>
        <v>Fixed</v>
      </c>
      <c r="CA310" s="1401" t="str">
        <f t="shared" ref="CA310:CR310" si="593">IFERROR((P310/O310-1)*(O311/O$13),"-")</f>
        <v>-</v>
      </c>
      <c r="CB310" s="1395" t="str">
        <f t="shared" si="593"/>
        <v>-</v>
      </c>
      <c r="CC310" s="1395" t="str">
        <f t="shared" si="593"/>
        <v>-</v>
      </c>
      <c r="CD310" s="1395" t="str">
        <f t="shared" si="593"/>
        <v>-</v>
      </c>
      <c r="CE310" s="1395" t="str">
        <f t="shared" si="593"/>
        <v>-</v>
      </c>
      <c r="CF310" s="1395" t="str">
        <f t="shared" si="593"/>
        <v>-</v>
      </c>
      <c r="CG310" s="1395" t="str">
        <f t="shared" si="593"/>
        <v>-</v>
      </c>
      <c r="CH310" s="1397" t="str">
        <f t="shared" si="593"/>
        <v>-</v>
      </c>
      <c r="CI310" s="1395" t="str">
        <f t="shared" si="593"/>
        <v>-</v>
      </c>
      <c r="CJ310" s="1395" t="str">
        <f t="shared" si="593"/>
        <v>-</v>
      </c>
      <c r="CK310" s="1395" t="str">
        <f t="shared" si="593"/>
        <v>-</v>
      </c>
      <c r="CL310" s="1395" t="str">
        <f t="shared" si="593"/>
        <v>-</v>
      </c>
      <c r="CM310" s="1397" t="str">
        <f t="shared" si="593"/>
        <v>-</v>
      </c>
      <c r="CN310" s="1395" t="str">
        <f t="shared" si="593"/>
        <v>-</v>
      </c>
      <c r="CO310" s="1395" t="str">
        <f t="shared" si="593"/>
        <v>-</v>
      </c>
      <c r="CP310" s="1395" t="str">
        <f t="shared" si="593"/>
        <v>-</v>
      </c>
      <c r="CQ310" s="1395" t="str">
        <f t="shared" si="593"/>
        <v>-</v>
      </c>
      <c r="CR310" s="1398" t="str">
        <f t="shared" si="593"/>
        <v>-</v>
      </c>
      <c r="CS310" s="1378"/>
      <c r="CT310" s="1392" t="str">
        <f t="shared" si="469"/>
        <v>Qty</v>
      </c>
      <c r="CU310" s="1393" t="str">
        <f t="shared" si="470"/>
        <v>Sewerage</v>
      </c>
      <c r="CV310" s="1393" t="str">
        <f t="shared" si="471"/>
        <v>Fixed</v>
      </c>
      <c r="CW310" s="1401" t="str">
        <f t="shared" si="494"/>
        <v>-</v>
      </c>
      <c r="CX310" s="1395" t="str">
        <f t="shared" si="495"/>
        <v>-</v>
      </c>
      <c r="CY310" s="1395" t="str">
        <f t="shared" si="496"/>
        <v>-</v>
      </c>
      <c r="CZ310" s="1398" t="str">
        <f t="shared" si="497"/>
        <v>-</v>
      </c>
      <c r="DA310" s="1395" t="str">
        <f t="shared" si="498"/>
        <v>-</v>
      </c>
      <c r="DB310" s="1395" t="str">
        <f t="shared" si="499"/>
        <v>-</v>
      </c>
      <c r="DC310" s="1395" t="str">
        <f t="shared" si="500"/>
        <v>-</v>
      </c>
      <c r="DD310" s="1395" t="str">
        <f t="shared" si="501"/>
        <v>-</v>
      </c>
      <c r="DE310" s="1398" t="str">
        <f t="shared" si="502"/>
        <v>-</v>
      </c>
      <c r="DF310" s="1378"/>
      <c r="DG310" s="1392" t="str">
        <f t="shared" si="503"/>
        <v>Qty</v>
      </c>
      <c r="DH310" s="1393" t="str">
        <f t="shared" si="503"/>
        <v>Sewerage</v>
      </c>
      <c r="DI310" s="1393" t="str">
        <f t="shared" si="503"/>
        <v>Fixed</v>
      </c>
      <c r="DJ310" s="1393"/>
      <c r="DK310" s="1401" t="str">
        <f t="shared" si="504"/>
        <v>-</v>
      </c>
      <c r="DL310" s="1395" t="str">
        <f t="shared" si="505"/>
        <v>-</v>
      </c>
      <c r="DM310" s="1395" t="str">
        <f t="shared" si="506"/>
        <v>-</v>
      </c>
      <c r="DN310" s="1397" t="str">
        <f t="shared" si="507"/>
        <v>-</v>
      </c>
      <c r="DO310" s="1395" t="str">
        <f t="shared" si="508"/>
        <v>-</v>
      </c>
      <c r="DP310" s="1395" t="str">
        <f t="shared" si="509"/>
        <v>-</v>
      </c>
      <c r="DQ310" s="1395" t="str">
        <f t="shared" si="510"/>
        <v>-</v>
      </c>
      <c r="DR310" s="1398" t="str">
        <f t="shared" si="511"/>
        <v>-</v>
      </c>
    </row>
    <row r="311" spans="4:122" ht="12.75" thickBot="1">
      <c r="E311" s="743" t="s">
        <v>46</v>
      </c>
      <c r="F311" s="732" t="str">
        <f>+F309</f>
        <v>Sewerage</v>
      </c>
      <c r="G311" s="733" t="str">
        <f>+G309</f>
        <v>Fixed Charge Cat 7 - Bundalong</v>
      </c>
      <c r="H311" s="733">
        <f>+H309</f>
        <v>0</v>
      </c>
      <c r="I311" s="734" t="str">
        <f>+I309</f>
        <v>Fixed</v>
      </c>
      <c r="J311" s="735" t="s">
        <v>344</v>
      </c>
      <c r="K311" s="736">
        <f t="shared" ref="K311:AG311" si="594">K309*K310/10^6</f>
        <v>0</v>
      </c>
      <c r="L311" s="737">
        <f t="shared" si="594"/>
        <v>0</v>
      </c>
      <c r="M311" s="737">
        <f t="shared" si="594"/>
        <v>0</v>
      </c>
      <c r="N311" s="738">
        <f t="shared" si="594"/>
        <v>0</v>
      </c>
      <c r="O311" s="1923">
        <f t="shared" si="594"/>
        <v>0</v>
      </c>
      <c r="P311" s="737">
        <f t="shared" si="594"/>
        <v>0</v>
      </c>
      <c r="Q311" s="737">
        <f t="shared" si="594"/>
        <v>0</v>
      </c>
      <c r="R311" s="737">
        <f t="shared" si="594"/>
        <v>0</v>
      </c>
      <c r="S311" s="737">
        <f t="shared" si="594"/>
        <v>0</v>
      </c>
      <c r="T311" s="1531">
        <f t="shared" si="594"/>
        <v>0</v>
      </c>
      <c r="U311" s="737">
        <f t="shared" si="594"/>
        <v>0</v>
      </c>
      <c r="V311" s="737">
        <f t="shared" si="594"/>
        <v>0</v>
      </c>
      <c r="W311" s="737">
        <f t="shared" si="594"/>
        <v>0</v>
      </c>
      <c r="X311" s="738">
        <f t="shared" si="594"/>
        <v>0</v>
      </c>
      <c r="Y311" s="737">
        <f t="shared" si="594"/>
        <v>0</v>
      </c>
      <c r="Z311" s="737">
        <f t="shared" si="594"/>
        <v>0</v>
      </c>
      <c r="AA311" s="737">
        <f t="shared" si="594"/>
        <v>0</v>
      </c>
      <c r="AB311" s="737">
        <f t="shared" si="594"/>
        <v>0</v>
      </c>
      <c r="AC311" s="738">
        <f t="shared" si="594"/>
        <v>0</v>
      </c>
      <c r="AD311" s="737">
        <f t="shared" si="594"/>
        <v>0</v>
      </c>
      <c r="AE311" s="737">
        <f t="shared" si="594"/>
        <v>0</v>
      </c>
      <c r="AF311" s="737">
        <f t="shared" si="594"/>
        <v>0</v>
      </c>
      <c r="AG311" s="739">
        <f t="shared" si="594"/>
        <v>0</v>
      </c>
      <c r="AH311" s="697"/>
      <c r="AI311" s="707"/>
      <c r="AJ311" s="709">
        <f t="shared" si="515"/>
        <v>0</v>
      </c>
      <c r="AK311" s="710">
        <f t="shared" si="516"/>
        <v>0</v>
      </c>
      <c r="AL311" s="710">
        <f t="shared" si="517"/>
        <v>0</v>
      </c>
      <c r="AM311" s="710">
        <f t="shared" si="518"/>
        <v>0</v>
      </c>
      <c r="AN311" s="710">
        <f t="shared" si="519"/>
        <v>0</v>
      </c>
      <c r="AO311" s="711">
        <f t="shared" si="520"/>
        <v>0</v>
      </c>
      <c r="AP311" s="707">
        <f t="shared" si="521"/>
        <v>0</v>
      </c>
      <c r="AQ311" s="707">
        <f t="shared" si="522"/>
        <v>0</v>
      </c>
      <c r="AR311" s="707">
        <f t="shared" si="523"/>
        <v>0</v>
      </c>
      <c r="AS311" s="712">
        <f t="shared" si="524"/>
        <v>0</v>
      </c>
      <c r="AV311" s="1559"/>
      <c r="AW311" s="1428" t="str">
        <f t="shared" si="472"/>
        <v>Rev</v>
      </c>
      <c r="AX311" s="1429" t="str">
        <f t="shared" si="472"/>
        <v>Sewerage</v>
      </c>
      <c r="AY311" s="1430" t="str">
        <f t="shared" si="473"/>
        <v>Fixed</v>
      </c>
      <c r="AZ311" s="1431" t="str">
        <f t="shared" si="587"/>
        <v>-</v>
      </c>
      <c r="BA311" s="1431" t="str">
        <f t="shared" si="587"/>
        <v>-</v>
      </c>
      <c r="BB311" s="1431" t="str">
        <f t="shared" si="587"/>
        <v>-</v>
      </c>
      <c r="BC311" s="1431" t="str">
        <f t="shared" si="475"/>
        <v>-</v>
      </c>
      <c r="BD311" s="1431" t="str">
        <f t="shared" si="476"/>
        <v>-</v>
      </c>
      <c r="BE311" s="1431" t="str">
        <f t="shared" si="477"/>
        <v>-</v>
      </c>
      <c r="BF311" s="1431" t="str">
        <f t="shared" si="478"/>
        <v>-</v>
      </c>
      <c r="BG311" s="1432" t="str">
        <f t="shared" si="479"/>
        <v>-</v>
      </c>
      <c r="BH311" s="1431" t="str">
        <f t="shared" si="480"/>
        <v>-</v>
      </c>
      <c r="BI311" s="1431" t="str">
        <f t="shared" si="481"/>
        <v>-</v>
      </c>
      <c r="BJ311" s="1431" t="str">
        <f t="shared" si="482"/>
        <v>-</v>
      </c>
      <c r="BK311" s="1431" t="str">
        <f t="shared" si="483"/>
        <v>-</v>
      </c>
      <c r="BL311" s="1433" t="str">
        <f t="shared" si="484"/>
        <v>-</v>
      </c>
      <c r="BM311" s="1431" t="str">
        <f t="shared" si="485"/>
        <v>-</v>
      </c>
      <c r="BN311" s="1431" t="str">
        <f t="shared" si="486"/>
        <v>-</v>
      </c>
      <c r="BO311" s="1431" t="str">
        <f t="shared" si="487"/>
        <v>-</v>
      </c>
      <c r="BP311" s="1431" t="str">
        <f t="shared" si="488"/>
        <v>-</v>
      </c>
      <c r="BQ311" s="1434" t="str">
        <f t="shared" si="489"/>
        <v>-</v>
      </c>
      <c r="BR311" s="1378"/>
      <c r="BS311" s="1407"/>
      <c r="BT311" s="1408"/>
      <c r="BU311" s="1409"/>
      <c r="BV311" s="1410"/>
      <c r="BW311" s="1378"/>
      <c r="BX311" s="1428" t="str">
        <f t="shared" si="490"/>
        <v>Rev</v>
      </c>
      <c r="BY311" s="1429" t="str">
        <f t="shared" si="491"/>
        <v>Sewerage</v>
      </c>
      <c r="BZ311" s="1430" t="str">
        <f t="shared" si="492"/>
        <v>Fixed</v>
      </c>
      <c r="CA311" s="1435" t="str">
        <f t="shared" ref="CA311:CR311" si="595">IFERROR((P311/O311-1)*(O311/O$13),"-")</f>
        <v>-</v>
      </c>
      <c r="CB311" s="1431" t="str">
        <f t="shared" si="595"/>
        <v>-</v>
      </c>
      <c r="CC311" s="1431" t="str">
        <f t="shared" si="595"/>
        <v>-</v>
      </c>
      <c r="CD311" s="1431" t="str">
        <f t="shared" si="595"/>
        <v>-</v>
      </c>
      <c r="CE311" s="1431" t="str">
        <f t="shared" si="595"/>
        <v>-</v>
      </c>
      <c r="CF311" s="1431" t="str">
        <f t="shared" si="595"/>
        <v>-</v>
      </c>
      <c r="CG311" s="1431" t="str">
        <f t="shared" si="595"/>
        <v>-</v>
      </c>
      <c r="CH311" s="1433" t="str">
        <f t="shared" si="595"/>
        <v>-</v>
      </c>
      <c r="CI311" s="1431" t="str">
        <f t="shared" si="595"/>
        <v>-</v>
      </c>
      <c r="CJ311" s="1431" t="str">
        <f t="shared" si="595"/>
        <v>-</v>
      </c>
      <c r="CK311" s="1431" t="str">
        <f t="shared" si="595"/>
        <v>-</v>
      </c>
      <c r="CL311" s="1431" t="str">
        <f t="shared" si="595"/>
        <v>-</v>
      </c>
      <c r="CM311" s="1433" t="str">
        <f t="shared" si="595"/>
        <v>-</v>
      </c>
      <c r="CN311" s="1431" t="str">
        <f t="shared" si="595"/>
        <v>-</v>
      </c>
      <c r="CO311" s="1431" t="str">
        <f t="shared" si="595"/>
        <v>-</v>
      </c>
      <c r="CP311" s="1431" t="str">
        <f t="shared" si="595"/>
        <v>-</v>
      </c>
      <c r="CQ311" s="1431" t="str">
        <f t="shared" si="595"/>
        <v>-</v>
      </c>
      <c r="CR311" s="1434" t="str">
        <f t="shared" si="595"/>
        <v>-</v>
      </c>
      <c r="CS311" s="1378"/>
      <c r="CT311" s="1428" t="str">
        <f t="shared" si="469"/>
        <v>Rev</v>
      </c>
      <c r="CU311" s="1429" t="str">
        <f t="shared" si="470"/>
        <v>Sewerage</v>
      </c>
      <c r="CV311" s="1429" t="str">
        <f t="shared" si="471"/>
        <v>Fixed</v>
      </c>
      <c r="CW311" s="1435" t="str">
        <f t="shared" si="494"/>
        <v>-</v>
      </c>
      <c r="CX311" s="1431" t="str">
        <f t="shared" si="495"/>
        <v>-</v>
      </c>
      <c r="CY311" s="1431" t="str">
        <f t="shared" si="496"/>
        <v>-</v>
      </c>
      <c r="CZ311" s="1434" t="str">
        <f t="shared" si="497"/>
        <v>-</v>
      </c>
      <c r="DA311" s="1431" t="str">
        <f t="shared" si="498"/>
        <v>-</v>
      </c>
      <c r="DB311" s="1431" t="str">
        <f t="shared" si="499"/>
        <v>-</v>
      </c>
      <c r="DC311" s="1431" t="str">
        <f t="shared" si="500"/>
        <v>-</v>
      </c>
      <c r="DD311" s="1431" t="str">
        <f t="shared" si="501"/>
        <v>-</v>
      </c>
      <c r="DE311" s="1434" t="str">
        <f t="shared" si="502"/>
        <v>-</v>
      </c>
      <c r="DF311" s="1378"/>
      <c r="DG311" s="1428" t="str">
        <f t="shared" si="503"/>
        <v>Rev</v>
      </c>
      <c r="DH311" s="1429" t="str">
        <f t="shared" si="503"/>
        <v>Sewerage</v>
      </c>
      <c r="DI311" s="1429" t="str">
        <f t="shared" si="503"/>
        <v>Fixed</v>
      </c>
      <c r="DJ311" s="1429"/>
      <c r="DK311" s="1435" t="str">
        <f t="shared" si="504"/>
        <v>-</v>
      </c>
      <c r="DL311" s="1431" t="str">
        <f t="shared" si="505"/>
        <v>-</v>
      </c>
      <c r="DM311" s="1431" t="str">
        <f t="shared" si="506"/>
        <v>-</v>
      </c>
      <c r="DN311" s="1433" t="str">
        <f t="shared" si="507"/>
        <v>-</v>
      </c>
      <c r="DO311" s="1431" t="str">
        <f t="shared" si="508"/>
        <v>-</v>
      </c>
      <c r="DP311" s="1431" t="str">
        <f t="shared" si="509"/>
        <v>-</v>
      </c>
      <c r="DQ311" s="1431" t="str">
        <f t="shared" si="510"/>
        <v>-</v>
      </c>
      <c r="DR311" s="1434" t="str">
        <f t="shared" si="511"/>
        <v>-</v>
      </c>
    </row>
    <row r="312" spans="4:122">
      <c r="D312" s="70">
        <f>D309+1</f>
        <v>83</v>
      </c>
      <c r="E312" s="713" t="s">
        <v>44</v>
      </c>
      <c r="F312" s="1532" t="s">
        <v>316</v>
      </c>
      <c r="G312" s="1532" t="s">
        <v>941</v>
      </c>
      <c r="H312" s="1532"/>
      <c r="I312" s="781" t="s">
        <v>318</v>
      </c>
      <c r="J312" s="781" t="s">
        <v>345</v>
      </c>
      <c r="K312" s="1533"/>
      <c r="L312" s="1534"/>
      <c r="M312" s="1534"/>
      <c r="N312" s="1535"/>
      <c r="O312" s="2071"/>
      <c r="P312" s="1547"/>
      <c r="Q312" s="1547"/>
      <c r="R312" s="1547"/>
      <c r="S312" s="1547"/>
      <c r="T312" s="1547"/>
      <c r="U312" s="1547"/>
      <c r="V312" s="1547"/>
      <c r="W312" s="1547"/>
      <c r="X312" s="1548"/>
      <c r="Y312" s="1547"/>
      <c r="Z312" s="1547"/>
      <c r="AA312" s="1547"/>
      <c r="AB312" s="1547"/>
      <c r="AC312" s="1548"/>
      <c r="AD312" s="1547"/>
      <c r="AE312" s="1547"/>
      <c r="AF312" s="1547"/>
      <c r="AG312" s="785"/>
      <c r="AH312" s="697"/>
      <c r="AI312" s="707"/>
      <c r="AJ312" s="709">
        <f t="shared" si="515"/>
        <v>0</v>
      </c>
      <c r="AK312" s="710">
        <f t="shared" si="516"/>
        <v>0</v>
      </c>
      <c r="AL312" s="710">
        <f t="shared" si="517"/>
        <v>0</v>
      </c>
      <c r="AM312" s="710">
        <f t="shared" si="518"/>
        <v>0</v>
      </c>
      <c r="AN312" s="710">
        <f t="shared" si="519"/>
        <v>0</v>
      </c>
      <c r="AO312" s="711">
        <f t="shared" si="520"/>
        <v>0</v>
      </c>
      <c r="AP312" s="707">
        <f t="shared" si="521"/>
        <v>0</v>
      </c>
      <c r="AQ312" s="707">
        <f t="shared" si="522"/>
        <v>0</v>
      </c>
      <c r="AR312" s="707">
        <f t="shared" si="523"/>
        <v>0</v>
      </c>
      <c r="AS312" s="712">
        <f t="shared" si="524"/>
        <v>0</v>
      </c>
      <c r="AU312" s="1369"/>
      <c r="AV312" s="1559"/>
      <c r="AW312" s="1412" t="str">
        <f t="shared" si="472"/>
        <v>Price</v>
      </c>
      <c r="AX312" s="1413" t="str">
        <f t="shared" si="472"/>
        <v>Trade Waste</v>
      </c>
      <c r="AY312" s="1414" t="str">
        <f t="shared" si="473"/>
        <v>[Price]</v>
      </c>
      <c r="AZ312" s="1415" t="str">
        <f t="shared" si="587"/>
        <v>-</v>
      </c>
      <c r="BA312" s="1415" t="str">
        <f t="shared" si="587"/>
        <v>-</v>
      </c>
      <c r="BB312" s="1415" t="str">
        <f t="shared" si="587"/>
        <v>-</v>
      </c>
      <c r="BC312" s="1415" t="str">
        <f t="shared" si="475"/>
        <v>-</v>
      </c>
      <c r="BD312" s="1415" t="str">
        <f t="shared" si="476"/>
        <v>-</v>
      </c>
      <c r="BE312" s="1415" t="str">
        <f t="shared" si="477"/>
        <v>-</v>
      </c>
      <c r="BF312" s="1415" t="str">
        <f t="shared" si="478"/>
        <v>-</v>
      </c>
      <c r="BG312" s="1416" t="str">
        <f t="shared" si="479"/>
        <v>-</v>
      </c>
      <c r="BH312" s="1417" t="str">
        <f t="shared" si="480"/>
        <v>-</v>
      </c>
      <c r="BI312" s="1417" t="str">
        <f t="shared" si="481"/>
        <v>-</v>
      </c>
      <c r="BJ312" s="1417" t="str">
        <f t="shared" si="482"/>
        <v>-</v>
      </c>
      <c r="BK312" s="1417" t="str">
        <f t="shared" si="483"/>
        <v>-</v>
      </c>
      <c r="BL312" s="1418" t="str">
        <f t="shared" si="484"/>
        <v>-</v>
      </c>
      <c r="BM312" s="1417" t="str">
        <f t="shared" si="485"/>
        <v>-</v>
      </c>
      <c r="BN312" s="1417" t="str">
        <f t="shared" si="486"/>
        <v>-</v>
      </c>
      <c r="BO312" s="1417" t="str">
        <f t="shared" si="487"/>
        <v>-</v>
      </c>
      <c r="BP312" s="1417" t="str">
        <f t="shared" si="488"/>
        <v>-</v>
      </c>
      <c r="BQ312" s="1419" t="str">
        <f t="shared" si="489"/>
        <v>-</v>
      </c>
      <c r="BR312" s="1378"/>
      <c r="BS312" s="1420"/>
      <c r="BT312" s="1421"/>
      <c r="BU312" s="1422"/>
      <c r="BV312" s="1423"/>
      <c r="BW312" s="1378"/>
      <c r="BX312" s="1412" t="str">
        <f t="shared" si="490"/>
        <v>Price</v>
      </c>
      <c r="BY312" s="1413" t="str">
        <f t="shared" si="491"/>
        <v>Trade Waste</v>
      </c>
      <c r="BZ312" s="1414" t="str">
        <f t="shared" si="492"/>
        <v>[Price]</v>
      </c>
      <c r="CA312" s="1424" t="str">
        <f t="shared" ref="CA312:CR312" si="596">IFERROR((P312/O312-1)*(O314/O$13),"-")</f>
        <v>-</v>
      </c>
      <c r="CB312" s="1415" t="str">
        <f t="shared" si="596"/>
        <v>-</v>
      </c>
      <c r="CC312" s="1415" t="str">
        <f t="shared" si="596"/>
        <v>-</v>
      </c>
      <c r="CD312" s="1415" t="str">
        <f t="shared" si="596"/>
        <v>-</v>
      </c>
      <c r="CE312" s="1415" t="str">
        <f t="shared" si="596"/>
        <v>-</v>
      </c>
      <c r="CF312" s="1415" t="str">
        <f t="shared" si="596"/>
        <v>-</v>
      </c>
      <c r="CG312" s="1415" t="str">
        <f t="shared" si="596"/>
        <v>-</v>
      </c>
      <c r="CH312" s="1425" t="str">
        <f t="shared" si="596"/>
        <v>-</v>
      </c>
      <c r="CI312" s="1417" t="str">
        <f t="shared" si="596"/>
        <v>-</v>
      </c>
      <c r="CJ312" s="1417" t="str">
        <f t="shared" si="596"/>
        <v>-</v>
      </c>
      <c r="CK312" s="1417" t="str">
        <f t="shared" si="596"/>
        <v>-</v>
      </c>
      <c r="CL312" s="1417" t="str">
        <f t="shared" si="596"/>
        <v>-</v>
      </c>
      <c r="CM312" s="1418" t="str">
        <f t="shared" si="596"/>
        <v>-</v>
      </c>
      <c r="CN312" s="1417" t="str">
        <f t="shared" si="596"/>
        <v>-</v>
      </c>
      <c r="CO312" s="1417" t="str">
        <f t="shared" si="596"/>
        <v>-</v>
      </c>
      <c r="CP312" s="1417" t="str">
        <f t="shared" si="596"/>
        <v>-</v>
      </c>
      <c r="CQ312" s="1417" t="str">
        <f t="shared" si="596"/>
        <v>-</v>
      </c>
      <c r="CR312" s="1419" t="str">
        <f t="shared" si="596"/>
        <v>-</v>
      </c>
      <c r="CS312" s="1378"/>
      <c r="CT312" s="1412" t="str">
        <f t="shared" si="469"/>
        <v>Price</v>
      </c>
      <c r="CU312" s="1413" t="str">
        <f t="shared" si="470"/>
        <v>Trade Waste</v>
      </c>
      <c r="CV312" s="1426" t="str">
        <f t="shared" si="471"/>
        <v>[Price]</v>
      </c>
      <c r="CW312" s="1427" t="str">
        <f t="shared" si="494"/>
        <v>-</v>
      </c>
      <c r="CX312" s="1417" t="str">
        <f t="shared" si="495"/>
        <v>-</v>
      </c>
      <c r="CY312" s="1417" t="str">
        <f t="shared" si="496"/>
        <v>-</v>
      </c>
      <c r="CZ312" s="1419" t="str">
        <f t="shared" si="497"/>
        <v>-</v>
      </c>
      <c r="DA312" s="1417" t="str">
        <f t="shared" si="498"/>
        <v>-</v>
      </c>
      <c r="DB312" s="1417" t="str">
        <f t="shared" si="499"/>
        <v>-</v>
      </c>
      <c r="DC312" s="1417" t="str">
        <f t="shared" si="500"/>
        <v>-</v>
      </c>
      <c r="DD312" s="1417" t="str">
        <f t="shared" si="501"/>
        <v>-</v>
      </c>
      <c r="DE312" s="1419" t="str">
        <f t="shared" si="502"/>
        <v>-</v>
      </c>
      <c r="DF312" s="1378"/>
      <c r="DG312" s="1412" t="str">
        <f t="shared" si="503"/>
        <v>Price</v>
      </c>
      <c r="DH312" s="1413" t="str">
        <f t="shared" si="503"/>
        <v>Trade Waste</v>
      </c>
      <c r="DI312" s="1426" t="str">
        <f t="shared" si="503"/>
        <v>[Price]</v>
      </c>
      <c r="DJ312" s="1426"/>
      <c r="DK312" s="1427" t="str">
        <f t="shared" si="504"/>
        <v>-</v>
      </c>
      <c r="DL312" s="1417" t="str">
        <f t="shared" si="505"/>
        <v>-</v>
      </c>
      <c r="DM312" s="1417" t="str">
        <f t="shared" si="506"/>
        <v>-</v>
      </c>
      <c r="DN312" s="1418" t="str">
        <f t="shared" si="507"/>
        <v>-</v>
      </c>
      <c r="DO312" s="1417" t="str">
        <f t="shared" si="508"/>
        <v>-</v>
      </c>
      <c r="DP312" s="1417" t="str">
        <f t="shared" si="509"/>
        <v>-</v>
      </c>
      <c r="DQ312" s="1417" t="str">
        <f t="shared" si="510"/>
        <v>-</v>
      </c>
      <c r="DR312" s="1419" t="str">
        <f t="shared" si="511"/>
        <v>-</v>
      </c>
    </row>
    <row r="313" spans="4:122">
      <c r="E313" s="742" t="s">
        <v>45</v>
      </c>
      <c r="F313" s="722" t="str">
        <f>+F312</f>
        <v>Trade Waste</v>
      </c>
      <c r="G313" s="723" t="str">
        <f>+G312</f>
        <v>Major Trade Waste 2012-13</v>
      </c>
      <c r="H313" s="723">
        <f>+H312</f>
        <v>0</v>
      </c>
      <c r="I313" s="724" t="str">
        <f>+I312</f>
        <v>[Price]</v>
      </c>
      <c r="J313" s="782" t="s">
        <v>322</v>
      </c>
      <c r="K313" s="1540"/>
      <c r="L313" s="1541"/>
      <c r="M313" s="1541"/>
      <c r="N313" s="1542"/>
      <c r="O313" s="2031"/>
      <c r="P313" s="1543"/>
      <c r="Q313" s="1543"/>
      <c r="R313" s="1543"/>
      <c r="S313" s="1543"/>
      <c r="T313" s="1543"/>
      <c r="U313" s="1543"/>
      <c r="V313" s="1543"/>
      <c r="W313" s="1543"/>
      <c r="X313" s="1544"/>
      <c r="Y313" s="1543"/>
      <c r="Z313" s="1543"/>
      <c r="AA313" s="1543"/>
      <c r="AB313" s="1543"/>
      <c r="AC313" s="1544"/>
      <c r="AD313" s="1543"/>
      <c r="AE313" s="1543"/>
      <c r="AF313" s="1543"/>
      <c r="AG313" s="788"/>
      <c r="AH313" s="697"/>
      <c r="AI313" s="707"/>
      <c r="AJ313" s="709">
        <f t="shared" si="515"/>
        <v>0</v>
      </c>
      <c r="AK313" s="710">
        <f t="shared" si="516"/>
        <v>0</v>
      </c>
      <c r="AL313" s="710">
        <f t="shared" si="517"/>
        <v>0</v>
      </c>
      <c r="AM313" s="710">
        <f t="shared" si="518"/>
        <v>0</v>
      </c>
      <c r="AN313" s="710">
        <f t="shared" si="519"/>
        <v>0</v>
      </c>
      <c r="AO313" s="711">
        <f t="shared" si="520"/>
        <v>0</v>
      </c>
      <c r="AP313" s="707">
        <f t="shared" si="521"/>
        <v>0</v>
      </c>
      <c r="AQ313" s="707">
        <f t="shared" si="522"/>
        <v>0</v>
      </c>
      <c r="AR313" s="707">
        <f t="shared" si="523"/>
        <v>0</v>
      </c>
      <c r="AS313" s="712">
        <f t="shared" si="524"/>
        <v>0</v>
      </c>
      <c r="AV313" s="1559"/>
      <c r="AW313" s="1392" t="str">
        <f t="shared" si="472"/>
        <v>Qty</v>
      </c>
      <c r="AX313" s="1393" t="str">
        <f t="shared" si="472"/>
        <v>Trade Waste</v>
      </c>
      <c r="AY313" s="1394" t="str">
        <f t="shared" si="473"/>
        <v>[Price]</v>
      </c>
      <c r="AZ313" s="1395" t="str">
        <f t="shared" si="587"/>
        <v>-</v>
      </c>
      <c r="BA313" s="1395" t="str">
        <f t="shared" si="587"/>
        <v>-</v>
      </c>
      <c r="BB313" s="1395" t="str">
        <f t="shared" si="587"/>
        <v>-</v>
      </c>
      <c r="BC313" s="1395" t="str">
        <f t="shared" si="475"/>
        <v>-</v>
      </c>
      <c r="BD313" s="1395" t="str">
        <f t="shared" si="476"/>
        <v>-</v>
      </c>
      <c r="BE313" s="1395" t="str">
        <f t="shared" si="477"/>
        <v>-</v>
      </c>
      <c r="BF313" s="1395" t="str">
        <f t="shared" si="478"/>
        <v>-</v>
      </c>
      <c r="BG313" s="1396" t="str">
        <f t="shared" si="479"/>
        <v>-</v>
      </c>
      <c r="BH313" s="1395" t="str">
        <f t="shared" si="480"/>
        <v>-</v>
      </c>
      <c r="BI313" s="1395" t="str">
        <f t="shared" si="481"/>
        <v>-</v>
      </c>
      <c r="BJ313" s="1395" t="str">
        <f t="shared" si="482"/>
        <v>-</v>
      </c>
      <c r="BK313" s="1395" t="str">
        <f t="shared" si="483"/>
        <v>-</v>
      </c>
      <c r="BL313" s="1397" t="str">
        <f t="shared" si="484"/>
        <v>-</v>
      </c>
      <c r="BM313" s="1395" t="str">
        <f t="shared" si="485"/>
        <v>-</v>
      </c>
      <c r="BN313" s="1395" t="str">
        <f t="shared" si="486"/>
        <v>-</v>
      </c>
      <c r="BO313" s="1395" t="str">
        <f t="shared" si="487"/>
        <v>-</v>
      </c>
      <c r="BP313" s="1395" t="str">
        <f t="shared" si="488"/>
        <v>-</v>
      </c>
      <c r="BQ313" s="1398" t="str">
        <f t="shared" si="489"/>
        <v>-</v>
      </c>
      <c r="BR313" s="1378"/>
      <c r="BS313" s="1329"/>
      <c r="BT313" s="1399"/>
      <c r="BU313" s="1331"/>
      <c r="BV313" s="1400"/>
      <c r="BW313" s="1378"/>
      <c r="BX313" s="1392" t="str">
        <f t="shared" si="490"/>
        <v>Qty</v>
      </c>
      <c r="BY313" s="1393" t="str">
        <f t="shared" si="491"/>
        <v>Trade Waste</v>
      </c>
      <c r="BZ313" s="1394" t="str">
        <f t="shared" si="492"/>
        <v>[Price]</v>
      </c>
      <c r="CA313" s="1401" t="str">
        <f t="shared" ref="CA313:CR313" si="597">IFERROR((P313/O313-1)*(O314/O$13),"-")</f>
        <v>-</v>
      </c>
      <c r="CB313" s="1395" t="str">
        <f t="shared" si="597"/>
        <v>-</v>
      </c>
      <c r="CC313" s="1395" t="str">
        <f t="shared" si="597"/>
        <v>-</v>
      </c>
      <c r="CD313" s="1395" t="str">
        <f t="shared" si="597"/>
        <v>-</v>
      </c>
      <c r="CE313" s="1395" t="str">
        <f t="shared" si="597"/>
        <v>-</v>
      </c>
      <c r="CF313" s="1395" t="str">
        <f t="shared" si="597"/>
        <v>-</v>
      </c>
      <c r="CG313" s="1395" t="str">
        <f t="shared" si="597"/>
        <v>-</v>
      </c>
      <c r="CH313" s="1397" t="str">
        <f t="shared" si="597"/>
        <v>-</v>
      </c>
      <c r="CI313" s="1395" t="str">
        <f t="shared" si="597"/>
        <v>-</v>
      </c>
      <c r="CJ313" s="1395" t="str">
        <f t="shared" si="597"/>
        <v>-</v>
      </c>
      <c r="CK313" s="1395" t="str">
        <f t="shared" si="597"/>
        <v>-</v>
      </c>
      <c r="CL313" s="1395" t="str">
        <f t="shared" si="597"/>
        <v>-</v>
      </c>
      <c r="CM313" s="1397" t="str">
        <f t="shared" si="597"/>
        <v>-</v>
      </c>
      <c r="CN313" s="1395" t="str">
        <f t="shared" si="597"/>
        <v>-</v>
      </c>
      <c r="CO313" s="1395" t="str">
        <f t="shared" si="597"/>
        <v>-</v>
      </c>
      <c r="CP313" s="1395" t="str">
        <f t="shared" si="597"/>
        <v>-</v>
      </c>
      <c r="CQ313" s="1395" t="str">
        <f t="shared" si="597"/>
        <v>-</v>
      </c>
      <c r="CR313" s="1398" t="str">
        <f t="shared" si="597"/>
        <v>-</v>
      </c>
      <c r="CS313" s="1378"/>
      <c r="CT313" s="1392" t="str">
        <f t="shared" si="469"/>
        <v>Qty</v>
      </c>
      <c r="CU313" s="1393" t="str">
        <f t="shared" si="470"/>
        <v>Trade Waste</v>
      </c>
      <c r="CV313" s="1393" t="str">
        <f t="shared" si="471"/>
        <v>[Price]</v>
      </c>
      <c r="CW313" s="1401" t="str">
        <f t="shared" si="494"/>
        <v>-</v>
      </c>
      <c r="CX313" s="1395" t="str">
        <f t="shared" si="495"/>
        <v>-</v>
      </c>
      <c r="CY313" s="1395" t="str">
        <f t="shared" si="496"/>
        <v>-</v>
      </c>
      <c r="CZ313" s="1398" t="str">
        <f t="shared" si="497"/>
        <v>-</v>
      </c>
      <c r="DA313" s="1395" t="str">
        <f t="shared" si="498"/>
        <v>-</v>
      </c>
      <c r="DB313" s="1395" t="str">
        <f t="shared" si="499"/>
        <v>-</v>
      </c>
      <c r="DC313" s="1395" t="str">
        <f t="shared" si="500"/>
        <v>-</v>
      </c>
      <c r="DD313" s="1395" t="str">
        <f t="shared" si="501"/>
        <v>-</v>
      </c>
      <c r="DE313" s="1398" t="str">
        <f t="shared" si="502"/>
        <v>-</v>
      </c>
      <c r="DF313" s="1378"/>
      <c r="DG313" s="1392" t="str">
        <f t="shared" si="503"/>
        <v>Qty</v>
      </c>
      <c r="DH313" s="1393" t="str">
        <f t="shared" si="503"/>
        <v>Trade Waste</v>
      </c>
      <c r="DI313" s="1393" t="str">
        <f t="shared" si="503"/>
        <v>[Price]</v>
      </c>
      <c r="DJ313" s="1393"/>
      <c r="DK313" s="1401" t="str">
        <f t="shared" si="504"/>
        <v>-</v>
      </c>
      <c r="DL313" s="1395" t="str">
        <f t="shared" si="505"/>
        <v>-</v>
      </c>
      <c r="DM313" s="1395" t="str">
        <f t="shared" si="506"/>
        <v>-</v>
      </c>
      <c r="DN313" s="1397" t="str">
        <f t="shared" si="507"/>
        <v>-</v>
      </c>
      <c r="DO313" s="1395" t="str">
        <f t="shared" si="508"/>
        <v>-</v>
      </c>
      <c r="DP313" s="1395" t="str">
        <f t="shared" si="509"/>
        <v>-</v>
      </c>
      <c r="DQ313" s="1395" t="str">
        <f t="shared" si="510"/>
        <v>-</v>
      </c>
      <c r="DR313" s="1398" t="str">
        <f t="shared" si="511"/>
        <v>-</v>
      </c>
    </row>
    <row r="314" spans="4:122" ht="12.75" thickBot="1">
      <c r="E314" s="743" t="s">
        <v>46</v>
      </c>
      <c r="F314" s="732" t="str">
        <f>+F312</f>
        <v>Trade Waste</v>
      </c>
      <c r="G314" s="733" t="str">
        <f>+G312</f>
        <v>Major Trade Waste 2012-13</v>
      </c>
      <c r="H314" s="733">
        <f>+H312</f>
        <v>0</v>
      </c>
      <c r="I314" s="734" t="str">
        <f>+I312</f>
        <v>[Price]</v>
      </c>
      <c r="J314" s="735" t="s">
        <v>344</v>
      </c>
      <c r="K314" s="736">
        <f t="shared" ref="K314:AG314" si="598">K312*K313/10^6</f>
        <v>0</v>
      </c>
      <c r="L314" s="737">
        <f t="shared" si="598"/>
        <v>0</v>
      </c>
      <c r="M314" s="737">
        <f t="shared" si="598"/>
        <v>0</v>
      </c>
      <c r="N314" s="738">
        <f t="shared" si="598"/>
        <v>0</v>
      </c>
      <c r="O314" s="1923">
        <f t="shared" si="598"/>
        <v>0</v>
      </c>
      <c r="P314" s="737">
        <f t="shared" si="598"/>
        <v>0</v>
      </c>
      <c r="Q314" s="737">
        <f t="shared" si="598"/>
        <v>0</v>
      </c>
      <c r="R314" s="737">
        <f t="shared" si="598"/>
        <v>0</v>
      </c>
      <c r="S314" s="737">
        <f t="shared" si="598"/>
        <v>0</v>
      </c>
      <c r="T314" s="1531">
        <f t="shared" si="598"/>
        <v>0</v>
      </c>
      <c r="U314" s="737">
        <f t="shared" si="598"/>
        <v>0</v>
      </c>
      <c r="V314" s="737">
        <f t="shared" si="598"/>
        <v>0</v>
      </c>
      <c r="W314" s="737">
        <f t="shared" si="598"/>
        <v>0</v>
      </c>
      <c r="X314" s="738">
        <f t="shared" si="598"/>
        <v>0</v>
      </c>
      <c r="Y314" s="737">
        <f t="shared" si="598"/>
        <v>0</v>
      </c>
      <c r="Z314" s="737">
        <f t="shared" si="598"/>
        <v>0</v>
      </c>
      <c r="AA314" s="737">
        <f t="shared" si="598"/>
        <v>0</v>
      </c>
      <c r="AB314" s="737">
        <f t="shared" si="598"/>
        <v>0</v>
      </c>
      <c r="AC314" s="738">
        <f t="shared" si="598"/>
        <v>0</v>
      </c>
      <c r="AD314" s="737">
        <f t="shared" si="598"/>
        <v>0</v>
      </c>
      <c r="AE314" s="737">
        <f t="shared" si="598"/>
        <v>0</v>
      </c>
      <c r="AF314" s="737">
        <f t="shared" si="598"/>
        <v>0</v>
      </c>
      <c r="AG314" s="739">
        <f t="shared" si="598"/>
        <v>0</v>
      </c>
      <c r="AH314" s="697"/>
      <c r="AI314" s="707"/>
      <c r="AJ314" s="709">
        <f t="shared" si="515"/>
        <v>0</v>
      </c>
      <c r="AK314" s="710">
        <f t="shared" si="516"/>
        <v>0</v>
      </c>
      <c r="AL314" s="710">
        <f t="shared" si="517"/>
        <v>0</v>
      </c>
      <c r="AM314" s="710">
        <f t="shared" si="518"/>
        <v>0</v>
      </c>
      <c r="AN314" s="710">
        <f t="shared" si="519"/>
        <v>0</v>
      </c>
      <c r="AO314" s="711">
        <f t="shared" si="520"/>
        <v>0</v>
      </c>
      <c r="AP314" s="707">
        <f t="shared" si="521"/>
        <v>0</v>
      </c>
      <c r="AQ314" s="707">
        <f t="shared" si="522"/>
        <v>0</v>
      </c>
      <c r="AR314" s="707">
        <f t="shared" si="523"/>
        <v>0</v>
      </c>
      <c r="AS314" s="712">
        <f t="shared" si="524"/>
        <v>0</v>
      </c>
      <c r="AV314" s="1559"/>
      <c r="AW314" s="1428" t="str">
        <f t="shared" si="472"/>
        <v>Rev</v>
      </c>
      <c r="AX314" s="1429" t="str">
        <f t="shared" si="472"/>
        <v>Trade Waste</v>
      </c>
      <c r="AY314" s="1430" t="str">
        <f t="shared" si="473"/>
        <v>[Price]</v>
      </c>
      <c r="AZ314" s="1431" t="str">
        <f t="shared" si="587"/>
        <v>-</v>
      </c>
      <c r="BA314" s="1431" t="str">
        <f t="shared" si="587"/>
        <v>-</v>
      </c>
      <c r="BB314" s="1431" t="str">
        <f t="shared" si="587"/>
        <v>-</v>
      </c>
      <c r="BC314" s="1431" t="str">
        <f t="shared" si="475"/>
        <v>-</v>
      </c>
      <c r="BD314" s="1431" t="str">
        <f t="shared" si="476"/>
        <v>-</v>
      </c>
      <c r="BE314" s="1431" t="str">
        <f t="shared" si="477"/>
        <v>-</v>
      </c>
      <c r="BF314" s="1431" t="str">
        <f t="shared" si="478"/>
        <v>-</v>
      </c>
      <c r="BG314" s="1432" t="str">
        <f t="shared" si="479"/>
        <v>-</v>
      </c>
      <c r="BH314" s="1431" t="str">
        <f t="shared" si="480"/>
        <v>-</v>
      </c>
      <c r="BI314" s="1431" t="str">
        <f t="shared" si="481"/>
        <v>-</v>
      </c>
      <c r="BJ314" s="1431" t="str">
        <f t="shared" si="482"/>
        <v>-</v>
      </c>
      <c r="BK314" s="1431" t="str">
        <f t="shared" si="483"/>
        <v>-</v>
      </c>
      <c r="BL314" s="1433" t="str">
        <f t="shared" si="484"/>
        <v>-</v>
      </c>
      <c r="BM314" s="1431" t="str">
        <f t="shared" si="485"/>
        <v>-</v>
      </c>
      <c r="BN314" s="1431" t="str">
        <f t="shared" si="486"/>
        <v>-</v>
      </c>
      <c r="BO314" s="1431" t="str">
        <f t="shared" si="487"/>
        <v>-</v>
      </c>
      <c r="BP314" s="1431" t="str">
        <f t="shared" si="488"/>
        <v>-</v>
      </c>
      <c r="BQ314" s="1434" t="str">
        <f t="shared" si="489"/>
        <v>-</v>
      </c>
      <c r="BR314" s="1378"/>
      <c r="BS314" s="1407"/>
      <c r="BT314" s="1408"/>
      <c r="BU314" s="1409"/>
      <c r="BV314" s="1410"/>
      <c r="BW314" s="1378"/>
      <c r="BX314" s="1428" t="str">
        <f t="shared" si="490"/>
        <v>Rev</v>
      </c>
      <c r="BY314" s="1429" t="str">
        <f t="shared" si="491"/>
        <v>Trade Waste</v>
      </c>
      <c r="BZ314" s="1430" t="str">
        <f t="shared" si="492"/>
        <v>[Price]</v>
      </c>
      <c r="CA314" s="1435" t="str">
        <f t="shared" ref="CA314:CR314" si="599">IFERROR((P314/O314-1)*(O314/O$13),"-")</f>
        <v>-</v>
      </c>
      <c r="CB314" s="1431" t="str">
        <f t="shared" si="599"/>
        <v>-</v>
      </c>
      <c r="CC314" s="1431" t="str">
        <f t="shared" si="599"/>
        <v>-</v>
      </c>
      <c r="CD314" s="1431" t="str">
        <f t="shared" si="599"/>
        <v>-</v>
      </c>
      <c r="CE314" s="1431" t="str">
        <f t="shared" si="599"/>
        <v>-</v>
      </c>
      <c r="CF314" s="1431" t="str">
        <f t="shared" si="599"/>
        <v>-</v>
      </c>
      <c r="CG314" s="1431" t="str">
        <f t="shared" si="599"/>
        <v>-</v>
      </c>
      <c r="CH314" s="1433" t="str">
        <f t="shared" si="599"/>
        <v>-</v>
      </c>
      <c r="CI314" s="1431" t="str">
        <f t="shared" si="599"/>
        <v>-</v>
      </c>
      <c r="CJ314" s="1431" t="str">
        <f t="shared" si="599"/>
        <v>-</v>
      </c>
      <c r="CK314" s="1431" t="str">
        <f t="shared" si="599"/>
        <v>-</v>
      </c>
      <c r="CL314" s="1431" t="str">
        <f t="shared" si="599"/>
        <v>-</v>
      </c>
      <c r="CM314" s="1433" t="str">
        <f t="shared" si="599"/>
        <v>-</v>
      </c>
      <c r="CN314" s="1431" t="str">
        <f t="shared" si="599"/>
        <v>-</v>
      </c>
      <c r="CO314" s="1431" t="str">
        <f t="shared" si="599"/>
        <v>-</v>
      </c>
      <c r="CP314" s="1431" t="str">
        <f t="shared" si="599"/>
        <v>-</v>
      </c>
      <c r="CQ314" s="1431" t="str">
        <f t="shared" si="599"/>
        <v>-</v>
      </c>
      <c r="CR314" s="1434" t="str">
        <f t="shared" si="599"/>
        <v>-</v>
      </c>
      <c r="CS314" s="1378"/>
      <c r="CT314" s="1428" t="str">
        <f t="shared" si="469"/>
        <v>Rev</v>
      </c>
      <c r="CU314" s="1429" t="str">
        <f t="shared" si="470"/>
        <v>Trade Waste</v>
      </c>
      <c r="CV314" s="1429" t="str">
        <f t="shared" si="471"/>
        <v>[Price]</v>
      </c>
      <c r="CW314" s="1435" t="str">
        <f t="shared" si="494"/>
        <v>-</v>
      </c>
      <c r="CX314" s="1431" t="str">
        <f t="shared" si="495"/>
        <v>-</v>
      </c>
      <c r="CY314" s="1431" t="str">
        <f t="shared" si="496"/>
        <v>-</v>
      </c>
      <c r="CZ314" s="1434" t="str">
        <f t="shared" si="497"/>
        <v>-</v>
      </c>
      <c r="DA314" s="1431" t="str">
        <f t="shared" si="498"/>
        <v>-</v>
      </c>
      <c r="DB314" s="1431" t="str">
        <f t="shared" si="499"/>
        <v>-</v>
      </c>
      <c r="DC314" s="1431" t="str">
        <f t="shared" si="500"/>
        <v>-</v>
      </c>
      <c r="DD314" s="1431" t="str">
        <f t="shared" si="501"/>
        <v>-</v>
      </c>
      <c r="DE314" s="1434" t="str">
        <f t="shared" si="502"/>
        <v>-</v>
      </c>
      <c r="DF314" s="1378"/>
      <c r="DG314" s="1428" t="str">
        <f t="shared" si="503"/>
        <v>Rev</v>
      </c>
      <c r="DH314" s="1429" t="str">
        <f t="shared" si="503"/>
        <v>Trade Waste</v>
      </c>
      <c r="DI314" s="1429" t="str">
        <f t="shared" si="503"/>
        <v>[Price]</v>
      </c>
      <c r="DJ314" s="1429"/>
      <c r="DK314" s="1435" t="str">
        <f t="shared" si="504"/>
        <v>-</v>
      </c>
      <c r="DL314" s="1431" t="str">
        <f t="shared" si="505"/>
        <v>-</v>
      </c>
      <c r="DM314" s="1431" t="str">
        <f t="shared" si="506"/>
        <v>-</v>
      </c>
      <c r="DN314" s="1433" t="str">
        <f t="shared" si="507"/>
        <v>-</v>
      </c>
      <c r="DO314" s="1431" t="str">
        <f t="shared" si="508"/>
        <v>-</v>
      </c>
      <c r="DP314" s="1431" t="str">
        <f t="shared" si="509"/>
        <v>-</v>
      </c>
      <c r="DQ314" s="1431" t="str">
        <f t="shared" si="510"/>
        <v>-</v>
      </c>
      <c r="DR314" s="1434" t="str">
        <f t="shared" si="511"/>
        <v>-</v>
      </c>
    </row>
    <row r="315" spans="4:122">
      <c r="D315" s="70">
        <f>D312+1</f>
        <v>84</v>
      </c>
      <c r="E315" s="713" t="s">
        <v>44</v>
      </c>
      <c r="F315" s="1532" t="s">
        <v>27</v>
      </c>
      <c r="G315" s="1532"/>
      <c r="H315" s="1532"/>
      <c r="I315" s="781" t="s">
        <v>318</v>
      </c>
      <c r="J315" s="781" t="s">
        <v>345</v>
      </c>
      <c r="K315" s="1533"/>
      <c r="L315" s="1534"/>
      <c r="M315" s="1534"/>
      <c r="N315" s="1535"/>
      <c r="O315" s="2071"/>
      <c r="P315" s="1547"/>
      <c r="Q315" s="1547"/>
      <c r="R315" s="1547"/>
      <c r="S315" s="1547"/>
      <c r="T315" s="1547"/>
      <c r="U315" s="1547"/>
      <c r="V315" s="1547"/>
      <c r="W315" s="1547"/>
      <c r="X315" s="1548"/>
      <c r="Y315" s="1547"/>
      <c r="Z315" s="1547"/>
      <c r="AA315" s="1547"/>
      <c r="AB315" s="1547"/>
      <c r="AC315" s="1548"/>
      <c r="AD315" s="1547"/>
      <c r="AE315" s="1547"/>
      <c r="AF315" s="1547"/>
      <c r="AG315" s="785"/>
      <c r="AH315" s="697"/>
      <c r="AI315" s="707"/>
      <c r="AJ315" s="709">
        <f t="shared" si="515"/>
        <v>0</v>
      </c>
      <c r="AK315" s="710">
        <f t="shared" si="516"/>
        <v>0</v>
      </c>
      <c r="AL315" s="710">
        <f t="shared" si="517"/>
        <v>0</v>
      </c>
      <c r="AM315" s="710">
        <f t="shared" si="518"/>
        <v>0</v>
      </c>
      <c r="AN315" s="710">
        <f t="shared" si="519"/>
        <v>0</v>
      </c>
      <c r="AO315" s="711">
        <f t="shared" si="520"/>
        <v>0</v>
      </c>
      <c r="AP315" s="707">
        <f t="shared" si="521"/>
        <v>0</v>
      </c>
      <c r="AQ315" s="707">
        <f t="shared" si="522"/>
        <v>0</v>
      </c>
      <c r="AR315" s="707">
        <f t="shared" si="523"/>
        <v>0</v>
      </c>
      <c r="AS315" s="712">
        <f t="shared" si="524"/>
        <v>0</v>
      </c>
      <c r="AU315" s="1369"/>
      <c r="AV315" s="1559"/>
      <c r="AW315" s="1412" t="str">
        <f t="shared" si="472"/>
        <v>Price</v>
      </c>
      <c r="AX315" s="1413" t="str">
        <f t="shared" si="472"/>
        <v>[Service]</v>
      </c>
      <c r="AY315" s="1414" t="str">
        <f t="shared" si="473"/>
        <v>[Price]</v>
      </c>
      <c r="AZ315" s="1415" t="str">
        <f t="shared" si="587"/>
        <v>-</v>
      </c>
      <c r="BA315" s="1415" t="str">
        <f t="shared" si="587"/>
        <v>-</v>
      </c>
      <c r="BB315" s="1415" t="str">
        <f t="shared" si="587"/>
        <v>-</v>
      </c>
      <c r="BC315" s="1415" t="str">
        <f t="shared" si="475"/>
        <v>-</v>
      </c>
      <c r="BD315" s="1415" t="str">
        <f t="shared" si="476"/>
        <v>-</v>
      </c>
      <c r="BE315" s="1415" t="str">
        <f t="shared" si="477"/>
        <v>-</v>
      </c>
      <c r="BF315" s="1415" t="str">
        <f t="shared" si="478"/>
        <v>-</v>
      </c>
      <c r="BG315" s="1416" t="str">
        <f t="shared" si="479"/>
        <v>-</v>
      </c>
      <c r="BH315" s="1417" t="str">
        <f t="shared" si="480"/>
        <v>-</v>
      </c>
      <c r="BI315" s="1417" t="str">
        <f t="shared" si="481"/>
        <v>-</v>
      </c>
      <c r="BJ315" s="1417" t="str">
        <f t="shared" si="482"/>
        <v>-</v>
      </c>
      <c r="BK315" s="1417" t="str">
        <f t="shared" si="483"/>
        <v>-</v>
      </c>
      <c r="BL315" s="1418" t="str">
        <f t="shared" si="484"/>
        <v>-</v>
      </c>
      <c r="BM315" s="1417" t="str">
        <f t="shared" si="485"/>
        <v>-</v>
      </c>
      <c r="BN315" s="1417" t="str">
        <f t="shared" si="486"/>
        <v>-</v>
      </c>
      <c r="BO315" s="1417" t="str">
        <f t="shared" si="487"/>
        <v>-</v>
      </c>
      <c r="BP315" s="1417" t="str">
        <f t="shared" si="488"/>
        <v>-</v>
      </c>
      <c r="BQ315" s="1419" t="str">
        <f t="shared" si="489"/>
        <v>-</v>
      </c>
      <c r="BR315" s="1378"/>
      <c r="BS315" s="1420"/>
      <c r="BT315" s="1421"/>
      <c r="BU315" s="1422"/>
      <c r="BV315" s="1423"/>
      <c r="BW315" s="1378"/>
      <c r="BX315" s="1412" t="str">
        <f t="shared" si="490"/>
        <v>Price</v>
      </c>
      <c r="BY315" s="1413" t="str">
        <f t="shared" si="491"/>
        <v>[Service]</v>
      </c>
      <c r="BZ315" s="1414" t="str">
        <f t="shared" si="492"/>
        <v>[Price]</v>
      </c>
      <c r="CA315" s="1424" t="str">
        <f t="shared" ref="CA315:CR315" si="600">IFERROR((P315/O315-1)*(O317/O$13),"-")</f>
        <v>-</v>
      </c>
      <c r="CB315" s="1415" t="str">
        <f t="shared" si="600"/>
        <v>-</v>
      </c>
      <c r="CC315" s="1415" t="str">
        <f t="shared" si="600"/>
        <v>-</v>
      </c>
      <c r="CD315" s="1415" t="str">
        <f t="shared" si="600"/>
        <v>-</v>
      </c>
      <c r="CE315" s="1415" t="str">
        <f t="shared" si="600"/>
        <v>-</v>
      </c>
      <c r="CF315" s="1415" t="str">
        <f t="shared" si="600"/>
        <v>-</v>
      </c>
      <c r="CG315" s="1415" t="str">
        <f t="shared" si="600"/>
        <v>-</v>
      </c>
      <c r="CH315" s="1425" t="str">
        <f t="shared" si="600"/>
        <v>-</v>
      </c>
      <c r="CI315" s="1417" t="str">
        <f t="shared" si="600"/>
        <v>-</v>
      </c>
      <c r="CJ315" s="1417" t="str">
        <f t="shared" si="600"/>
        <v>-</v>
      </c>
      <c r="CK315" s="1417" t="str">
        <f t="shared" si="600"/>
        <v>-</v>
      </c>
      <c r="CL315" s="1417" t="str">
        <f t="shared" si="600"/>
        <v>-</v>
      </c>
      <c r="CM315" s="1418" t="str">
        <f t="shared" si="600"/>
        <v>-</v>
      </c>
      <c r="CN315" s="1417" t="str">
        <f t="shared" si="600"/>
        <v>-</v>
      </c>
      <c r="CO315" s="1417" t="str">
        <f t="shared" si="600"/>
        <v>-</v>
      </c>
      <c r="CP315" s="1417" t="str">
        <f t="shared" si="600"/>
        <v>-</v>
      </c>
      <c r="CQ315" s="1417" t="str">
        <f t="shared" si="600"/>
        <v>-</v>
      </c>
      <c r="CR315" s="1419" t="str">
        <f t="shared" si="600"/>
        <v>-</v>
      </c>
      <c r="CS315" s="1378"/>
      <c r="CT315" s="1412" t="str">
        <f t="shared" si="469"/>
        <v>Price</v>
      </c>
      <c r="CU315" s="1413" t="str">
        <f t="shared" si="470"/>
        <v>[Service]</v>
      </c>
      <c r="CV315" s="1426" t="str">
        <f t="shared" si="471"/>
        <v>[Price]</v>
      </c>
      <c r="CW315" s="1427" t="str">
        <f t="shared" si="494"/>
        <v>-</v>
      </c>
      <c r="CX315" s="1417" t="str">
        <f t="shared" si="495"/>
        <v>-</v>
      </c>
      <c r="CY315" s="1417" t="str">
        <f t="shared" si="496"/>
        <v>-</v>
      </c>
      <c r="CZ315" s="1419" t="str">
        <f t="shared" si="497"/>
        <v>-</v>
      </c>
      <c r="DA315" s="1417" t="str">
        <f t="shared" si="498"/>
        <v>-</v>
      </c>
      <c r="DB315" s="1417" t="str">
        <f t="shared" si="499"/>
        <v>-</v>
      </c>
      <c r="DC315" s="1417" t="str">
        <f t="shared" si="500"/>
        <v>-</v>
      </c>
      <c r="DD315" s="1417" t="str">
        <f t="shared" si="501"/>
        <v>-</v>
      </c>
      <c r="DE315" s="1419" t="str">
        <f t="shared" si="502"/>
        <v>-</v>
      </c>
      <c r="DF315" s="1378"/>
      <c r="DG315" s="1412" t="str">
        <f t="shared" si="503"/>
        <v>Price</v>
      </c>
      <c r="DH315" s="1413" t="str">
        <f t="shared" si="503"/>
        <v>[Service]</v>
      </c>
      <c r="DI315" s="1426" t="str">
        <f t="shared" si="503"/>
        <v>[Price]</v>
      </c>
      <c r="DJ315" s="1426"/>
      <c r="DK315" s="1427" t="str">
        <f t="shared" si="504"/>
        <v>-</v>
      </c>
      <c r="DL315" s="1417" t="str">
        <f t="shared" si="505"/>
        <v>-</v>
      </c>
      <c r="DM315" s="1417" t="str">
        <f t="shared" si="506"/>
        <v>-</v>
      </c>
      <c r="DN315" s="1418" t="str">
        <f t="shared" si="507"/>
        <v>-</v>
      </c>
      <c r="DO315" s="1417" t="str">
        <f t="shared" si="508"/>
        <v>-</v>
      </c>
      <c r="DP315" s="1417" t="str">
        <f t="shared" si="509"/>
        <v>-</v>
      </c>
      <c r="DQ315" s="1417" t="str">
        <f t="shared" si="510"/>
        <v>-</v>
      </c>
      <c r="DR315" s="1419" t="str">
        <f t="shared" si="511"/>
        <v>-</v>
      </c>
    </row>
    <row r="316" spans="4:122">
      <c r="E316" s="742" t="s">
        <v>45</v>
      </c>
      <c r="F316" s="722" t="str">
        <f>+F315</f>
        <v>[Service]</v>
      </c>
      <c r="G316" s="723">
        <f>+G315</f>
        <v>0</v>
      </c>
      <c r="H316" s="723">
        <f>+H315</f>
        <v>0</v>
      </c>
      <c r="I316" s="724" t="str">
        <f>+I315</f>
        <v>[Price]</v>
      </c>
      <c r="J316" s="782" t="s">
        <v>322</v>
      </c>
      <c r="K316" s="1540"/>
      <c r="L316" s="1541"/>
      <c r="M316" s="1541"/>
      <c r="N316" s="1542"/>
      <c r="O316" s="2031"/>
      <c r="P316" s="1543"/>
      <c r="Q316" s="1543"/>
      <c r="R316" s="1543"/>
      <c r="S316" s="1543"/>
      <c r="T316" s="1543"/>
      <c r="U316" s="1543"/>
      <c r="V316" s="1543"/>
      <c r="W316" s="1543"/>
      <c r="X316" s="1544"/>
      <c r="Y316" s="1543"/>
      <c r="Z316" s="1543"/>
      <c r="AA316" s="1543"/>
      <c r="AB316" s="1543"/>
      <c r="AC316" s="1544"/>
      <c r="AD316" s="1543"/>
      <c r="AE316" s="1543"/>
      <c r="AF316" s="1543"/>
      <c r="AG316" s="788"/>
      <c r="AH316" s="697"/>
      <c r="AI316" s="707"/>
      <c r="AJ316" s="709">
        <f t="shared" si="515"/>
        <v>0</v>
      </c>
      <c r="AK316" s="710">
        <f t="shared" si="516"/>
        <v>0</v>
      </c>
      <c r="AL316" s="710">
        <f t="shared" si="517"/>
        <v>0</v>
      </c>
      <c r="AM316" s="710">
        <f t="shared" si="518"/>
        <v>0</v>
      </c>
      <c r="AN316" s="710">
        <f t="shared" si="519"/>
        <v>0</v>
      </c>
      <c r="AO316" s="711">
        <f t="shared" si="520"/>
        <v>0</v>
      </c>
      <c r="AP316" s="707">
        <f t="shared" si="521"/>
        <v>0</v>
      </c>
      <c r="AQ316" s="707">
        <f t="shared" si="522"/>
        <v>0</v>
      </c>
      <c r="AR316" s="707">
        <f t="shared" si="523"/>
        <v>0</v>
      </c>
      <c r="AS316" s="712">
        <f t="shared" si="524"/>
        <v>0</v>
      </c>
      <c r="AV316" s="1559"/>
      <c r="AW316" s="1392" t="str">
        <f t="shared" si="472"/>
        <v>Qty</v>
      </c>
      <c r="AX316" s="1393" t="str">
        <f t="shared" si="472"/>
        <v>[Service]</v>
      </c>
      <c r="AY316" s="1394" t="str">
        <f t="shared" si="473"/>
        <v>[Price]</v>
      </c>
      <c r="AZ316" s="1395" t="str">
        <f t="shared" si="587"/>
        <v>-</v>
      </c>
      <c r="BA316" s="1395" t="str">
        <f t="shared" si="587"/>
        <v>-</v>
      </c>
      <c r="BB316" s="1395" t="str">
        <f t="shared" si="587"/>
        <v>-</v>
      </c>
      <c r="BC316" s="1395" t="str">
        <f t="shared" si="475"/>
        <v>-</v>
      </c>
      <c r="BD316" s="1395" t="str">
        <f t="shared" si="476"/>
        <v>-</v>
      </c>
      <c r="BE316" s="1395" t="str">
        <f t="shared" si="477"/>
        <v>-</v>
      </c>
      <c r="BF316" s="1395" t="str">
        <f t="shared" si="478"/>
        <v>-</v>
      </c>
      <c r="BG316" s="1396" t="str">
        <f t="shared" si="479"/>
        <v>-</v>
      </c>
      <c r="BH316" s="1395" t="str">
        <f t="shared" si="480"/>
        <v>-</v>
      </c>
      <c r="BI316" s="1395" t="str">
        <f t="shared" si="481"/>
        <v>-</v>
      </c>
      <c r="BJ316" s="1395" t="str">
        <f t="shared" si="482"/>
        <v>-</v>
      </c>
      <c r="BK316" s="1395" t="str">
        <f t="shared" si="483"/>
        <v>-</v>
      </c>
      <c r="BL316" s="1397" t="str">
        <f t="shared" si="484"/>
        <v>-</v>
      </c>
      <c r="BM316" s="1395" t="str">
        <f t="shared" si="485"/>
        <v>-</v>
      </c>
      <c r="BN316" s="1395" t="str">
        <f t="shared" si="486"/>
        <v>-</v>
      </c>
      <c r="BO316" s="1395" t="str">
        <f t="shared" si="487"/>
        <v>-</v>
      </c>
      <c r="BP316" s="1395" t="str">
        <f t="shared" si="488"/>
        <v>-</v>
      </c>
      <c r="BQ316" s="1398" t="str">
        <f t="shared" si="489"/>
        <v>-</v>
      </c>
      <c r="BR316" s="1378"/>
      <c r="BS316" s="1329"/>
      <c r="BT316" s="1399"/>
      <c r="BU316" s="1331"/>
      <c r="BV316" s="1400"/>
      <c r="BW316" s="1378"/>
      <c r="BX316" s="1392" t="str">
        <f t="shared" si="490"/>
        <v>Qty</v>
      </c>
      <c r="BY316" s="1393" t="str">
        <f t="shared" si="491"/>
        <v>[Service]</v>
      </c>
      <c r="BZ316" s="1394" t="str">
        <f t="shared" si="492"/>
        <v>[Price]</v>
      </c>
      <c r="CA316" s="1401" t="str">
        <f t="shared" ref="CA316:CR316" si="601">IFERROR((P316/O316-1)*(O317/O$13),"-")</f>
        <v>-</v>
      </c>
      <c r="CB316" s="1395" t="str">
        <f t="shared" si="601"/>
        <v>-</v>
      </c>
      <c r="CC316" s="1395" t="str">
        <f t="shared" si="601"/>
        <v>-</v>
      </c>
      <c r="CD316" s="1395" t="str">
        <f t="shared" si="601"/>
        <v>-</v>
      </c>
      <c r="CE316" s="1395" t="str">
        <f t="shared" si="601"/>
        <v>-</v>
      </c>
      <c r="CF316" s="1395" t="str">
        <f t="shared" si="601"/>
        <v>-</v>
      </c>
      <c r="CG316" s="1395" t="str">
        <f t="shared" si="601"/>
        <v>-</v>
      </c>
      <c r="CH316" s="1397" t="str">
        <f t="shared" si="601"/>
        <v>-</v>
      </c>
      <c r="CI316" s="1395" t="str">
        <f t="shared" si="601"/>
        <v>-</v>
      </c>
      <c r="CJ316" s="1395" t="str">
        <f t="shared" si="601"/>
        <v>-</v>
      </c>
      <c r="CK316" s="1395" t="str">
        <f t="shared" si="601"/>
        <v>-</v>
      </c>
      <c r="CL316" s="1395" t="str">
        <f t="shared" si="601"/>
        <v>-</v>
      </c>
      <c r="CM316" s="1397" t="str">
        <f t="shared" si="601"/>
        <v>-</v>
      </c>
      <c r="CN316" s="1395" t="str">
        <f t="shared" si="601"/>
        <v>-</v>
      </c>
      <c r="CO316" s="1395" t="str">
        <f t="shared" si="601"/>
        <v>-</v>
      </c>
      <c r="CP316" s="1395" t="str">
        <f t="shared" si="601"/>
        <v>-</v>
      </c>
      <c r="CQ316" s="1395" t="str">
        <f t="shared" si="601"/>
        <v>-</v>
      </c>
      <c r="CR316" s="1398" t="str">
        <f t="shared" si="601"/>
        <v>-</v>
      </c>
      <c r="CS316" s="1378"/>
      <c r="CT316" s="1392" t="str">
        <f t="shared" si="469"/>
        <v>Qty</v>
      </c>
      <c r="CU316" s="1393" t="str">
        <f t="shared" si="470"/>
        <v>[Service]</v>
      </c>
      <c r="CV316" s="1393" t="str">
        <f t="shared" si="471"/>
        <v>[Price]</v>
      </c>
      <c r="CW316" s="1401" t="str">
        <f t="shared" si="494"/>
        <v>-</v>
      </c>
      <c r="CX316" s="1395" t="str">
        <f t="shared" si="495"/>
        <v>-</v>
      </c>
      <c r="CY316" s="1395" t="str">
        <f t="shared" si="496"/>
        <v>-</v>
      </c>
      <c r="CZ316" s="1398" t="str">
        <f t="shared" si="497"/>
        <v>-</v>
      </c>
      <c r="DA316" s="1395" t="str">
        <f t="shared" si="498"/>
        <v>-</v>
      </c>
      <c r="DB316" s="1395" t="str">
        <f t="shared" si="499"/>
        <v>-</v>
      </c>
      <c r="DC316" s="1395" t="str">
        <f t="shared" si="500"/>
        <v>-</v>
      </c>
      <c r="DD316" s="1395" t="str">
        <f t="shared" si="501"/>
        <v>-</v>
      </c>
      <c r="DE316" s="1398" t="str">
        <f t="shared" si="502"/>
        <v>-</v>
      </c>
      <c r="DF316" s="1378"/>
      <c r="DG316" s="1392" t="str">
        <f t="shared" si="503"/>
        <v>Qty</v>
      </c>
      <c r="DH316" s="1393" t="str">
        <f t="shared" si="503"/>
        <v>[Service]</v>
      </c>
      <c r="DI316" s="1393" t="str">
        <f t="shared" si="503"/>
        <v>[Price]</v>
      </c>
      <c r="DJ316" s="1393"/>
      <c r="DK316" s="1401" t="str">
        <f t="shared" si="504"/>
        <v>-</v>
      </c>
      <c r="DL316" s="1395" t="str">
        <f t="shared" si="505"/>
        <v>-</v>
      </c>
      <c r="DM316" s="1395" t="str">
        <f t="shared" si="506"/>
        <v>-</v>
      </c>
      <c r="DN316" s="1397" t="str">
        <f t="shared" si="507"/>
        <v>-</v>
      </c>
      <c r="DO316" s="1395" t="str">
        <f t="shared" si="508"/>
        <v>-</v>
      </c>
      <c r="DP316" s="1395" t="str">
        <f t="shared" si="509"/>
        <v>-</v>
      </c>
      <c r="DQ316" s="1395" t="str">
        <f t="shared" si="510"/>
        <v>-</v>
      </c>
      <c r="DR316" s="1398" t="str">
        <f t="shared" si="511"/>
        <v>-</v>
      </c>
    </row>
    <row r="317" spans="4:122" ht="12.75" thickBot="1">
      <c r="E317" s="743" t="s">
        <v>46</v>
      </c>
      <c r="F317" s="732" t="str">
        <f>+F315</f>
        <v>[Service]</v>
      </c>
      <c r="G317" s="733">
        <f>+G315</f>
        <v>0</v>
      </c>
      <c r="H317" s="733">
        <f>+H315</f>
        <v>0</v>
      </c>
      <c r="I317" s="734" t="str">
        <f>+I315</f>
        <v>[Price]</v>
      </c>
      <c r="J317" s="735" t="s">
        <v>344</v>
      </c>
      <c r="K317" s="736">
        <f t="shared" ref="K317:AG317" si="602">K315*K316/10^6</f>
        <v>0</v>
      </c>
      <c r="L317" s="737">
        <f t="shared" si="602"/>
        <v>0</v>
      </c>
      <c r="M317" s="737">
        <f t="shared" si="602"/>
        <v>0</v>
      </c>
      <c r="N317" s="738">
        <f t="shared" si="602"/>
        <v>0</v>
      </c>
      <c r="O317" s="1923">
        <f t="shared" si="602"/>
        <v>0</v>
      </c>
      <c r="P317" s="737">
        <f t="shared" si="602"/>
        <v>0</v>
      </c>
      <c r="Q317" s="737">
        <f t="shared" si="602"/>
        <v>0</v>
      </c>
      <c r="R317" s="737">
        <f t="shared" si="602"/>
        <v>0</v>
      </c>
      <c r="S317" s="737">
        <f t="shared" si="602"/>
        <v>0</v>
      </c>
      <c r="T317" s="1531">
        <f t="shared" si="602"/>
        <v>0</v>
      </c>
      <c r="U317" s="737">
        <f t="shared" si="602"/>
        <v>0</v>
      </c>
      <c r="V317" s="737">
        <f t="shared" si="602"/>
        <v>0</v>
      </c>
      <c r="W317" s="737">
        <f t="shared" si="602"/>
        <v>0</v>
      </c>
      <c r="X317" s="738">
        <f t="shared" si="602"/>
        <v>0</v>
      </c>
      <c r="Y317" s="737">
        <f t="shared" si="602"/>
        <v>0</v>
      </c>
      <c r="Z317" s="737">
        <f t="shared" si="602"/>
        <v>0</v>
      </c>
      <c r="AA317" s="737">
        <f t="shared" si="602"/>
        <v>0</v>
      </c>
      <c r="AB317" s="737">
        <f t="shared" si="602"/>
        <v>0</v>
      </c>
      <c r="AC317" s="738">
        <f t="shared" si="602"/>
        <v>0</v>
      </c>
      <c r="AD317" s="737">
        <f t="shared" si="602"/>
        <v>0</v>
      </c>
      <c r="AE317" s="737">
        <f t="shared" si="602"/>
        <v>0</v>
      </c>
      <c r="AF317" s="737">
        <f t="shared" si="602"/>
        <v>0</v>
      </c>
      <c r="AG317" s="739">
        <f t="shared" si="602"/>
        <v>0</v>
      </c>
      <c r="AH317" s="697"/>
      <c r="AI317" s="707"/>
      <c r="AJ317" s="709">
        <f t="shared" si="515"/>
        <v>0</v>
      </c>
      <c r="AK317" s="710">
        <f t="shared" si="516"/>
        <v>0</v>
      </c>
      <c r="AL317" s="710">
        <f t="shared" si="517"/>
        <v>0</v>
      </c>
      <c r="AM317" s="710">
        <f t="shared" si="518"/>
        <v>0</v>
      </c>
      <c r="AN317" s="710">
        <f t="shared" si="519"/>
        <v>0</v>
      </c>
      <c r="AO317" s="711">
        <f t="shared" si="520"/>
        <v>0</v>
      </c>
      <c r="AP317" s="707">
        <f t="shared" si="521"/>
        <v>0</v>
      </c>
      <c r="AQ317" s="707">
        <f t="shared" si="522"/>
        <v>0</v>
      </c>
      <c r="AR317" s="707">
        <f t="shared" si="523"/>
        <v>0</v>
      </c>
      <c r="AS317" s="712">
        <f t="shared" si="524"/>
        <v>0</v>
      </c>
      <c r="AV317" s="1559"/>
      <c r="AW317" s="1428" t="str">
        <f t="shared" si="472"/>
        <v>Rev</v>
      </c>
      <c r="AX317" s="1429" t="str">
        <f t="shared" si="472"/>
        <v>[Service]</v>
      </c>
      <c r="AY317" s="1430" t="str">
        <f t="shared" si="473"/>
        <v>[Price]</v>
      </c>
      <c r="AZ317" s="1431" t="str">
        <f t="shared" si="587"/>
        <v>-</v>
      </c>
      <c r="BA317" s="1431" t="str">
        <f t="shared" si="587"/>
        <v>-</v>
      </c>
      <c r="BB317" s="1431" t="str">
        <f t="shared" si="587"/>
        <v>-</v>
      </c>
      <c r="BC317" s="1431" t="str">
        <f t="shared" si="475"/>
        <v>-</v>
      </c>
      <c r="BD317" s="1431" t="str">
        <f t="shared" si="476"/>
        <v>-</v>
      </c>
      <c r="BE317" s="1431" t="str">
        <f t="shared" si="477"/>
        <v>-</v>
      </c>
      <c r="BF317" s="1431" t="str">
        <f t="shared" si="478"/>
        <v>-</v>
      </c>
      <c r="BG317" s="1432" t="str">
        <f t="shared" si="479"/>
        <v>-</v>
      </c>
      <c r="BH317" s="1431" t="str">
        <f t="shared" si="480"/>
        <v>-</v>
      </c>
      <c r="BI317" s="1431" t="str">
        <f t="shared" si="481"/>
        <v>-</v>
      </c>
      <c r="BJ317" s="1431" t="str">
        <f t="shared" si="482"/>
        <v>-</v>
      </c>
      <c r="BK317" s="1431" t="str">
        <f t="shared" si="483"/>
        <v>-</v>
      </c>
      <c r="BL317" s="1433" t="str">
        <f t="shared" si="484"/>
        <v>-</v>
      </c>
      <c r="BM317" s="1431" t="str">
        <f t="shared" si="485"/>
        <v>-</v>
      </c>
      <c r="BN317" s="1431" t="str">
        <f t="shared" si="486"/>
        <v>-</v>
      </c>
      <c r="BO317" s="1431" t="str">
        <f t="shared" si="487"/>
        <v>-</v>
      </c>
      <c r="BP317" s="1431" t="str">
        <f t="shared" si="488"/>
        <v>-</v>
      </c>
      <c r="BQ317" s="1434" t="str">
        <f t="shared" si="489"/>
        <v>-</v>
      </c>
      <c r="BR317" s="1378"/>
      <c r="BS317" s="1407"/>
      <c r="BT317" s="1408"/>
      <c r="BU317" s="1409"/>
      <c r="BV317" s="1410"/>
      <c r="BW317" s="1378"/>
      <c r="BX317" s="1428" t="str">
        <f t="shared" si="490"/>
        <v>Rev</v>
      </c>
      <c r="BY317" s="1429" t="str">
        <f t="shared" si="491"/>
        <v>[Service]</v>
      </c>
      <c r="BZ317" s="1430" t="str">
        <f t="shared" si="492"/>
        <v>[Price]</v>
      </c>
      <c r="CA317" s="1435" t="str">
        <f t="shared" ref="CA317:CR317" si="603">IFERROR((P317/O317-1)*(O317/O$13),"-")</f>
        <v>-</v>
      </c>
      <c r="CB317" s="1431" t="str">
        <f t="shared" si="603"/>
        <v>-</v>
      </c>
      <c r="CC317" s="1431" t="str">
        <f t="shared" si="603"/>
        <v>-</v>
      </c>
      <c r="CD317" s="1431" t="str">
        <f t="shared" si="603"/>
        <v>-</v>
      </c>
      <c r="CE317" s="1431" t="str">
        <f t="shared" si="603"/>
        <v>-</v>
      </c>
      <c r="CF317" s="1431" t="str">
        <f t="shared" si="603"/>
        <v>-</v>
      </c>
      <c r="CG317" s="1431" t="str">
        <f t="shared" si="603"/>
        <v>-</v>
      </c>
      <c r="CH317" s="1433" t="str">
        <f t="shared" si="603"/>
        <v>-</v>
      </c>
      <c r="CI317" s="1431" t="str">
        <f t="shared" si="603"/>
        <v>-</v>
      </c>
      <c r="CJ317" s="1431" t="str">
        <f t="shared" si="603"/>
        <v>-</v>
      </c>
      <c r="CK317" s="1431" t="str">
        <f t="shared" si="603"/>
        <v>-</v>
      </c>
      <c r="CL317" s="1431" t="str">
        <f t="shared" si="603"/>
        <v>-</v>
      </c>
      <c r="CM317" s="1433" t="str">
        <f t="shared" si="603"/>
        <v>-</v>
      </c>
      <c r="CN317" s="1431" t="str">
        <f t="shared" si="603"/>
        <v>-</v>
      </c>
      <c r="CO317" s="1431" t="str">
        <f t="shared" si="603"/>
        <v>-</v>
      </c>
      <c r="CP317" s="1431" t="str">
        <f t="shared" si="603"/>
        <v>-</v>
      </c>
      <c r="CQ317" s="1431" t="str">
        <f t="shared" si="603"/>
        <v>-</v>
      </c>
      <c r="CR317" s="1434" t="str">
        <f t="shared" si="603"/>
        <v>-</v>
      </c>
      <c r="CS317" s="1378"/>
      <c r="CT317" s="1428" t="str">
        <f t="shared" si="469"/>
        <v>Rev</v>
      </c>
      <c r="CU317" s="1429" t="str">
        <f t="shared" si="470"/>
        <v>[Service]</v>
      </c>
      <c r="CV317" s="1429" t="str">
        <f t="shared" si="471"/>
        <v>[Price]</v>
      </c>
      <c r="CW317" s="1435" t="str">
        <f t="shared" si="494"/>
        <v>-</v>
      </c>
      <c r="CX317" s="1431" t="str">
        <f t="shared" si="495"/>
        <v>-</v>
      </c>
      <c r="CY317" s="1431" t="str">
        <f t="shared" si="496"/>
        <v>-</v>
      </c>
      <c r="CZ317" s="1434" t="str">
        <f t="shared" si="497"/>
        <v>-</v>
      </c>
      <c r="DA317" s="1431" t="str">
        <f t="shared" si="498"/>
        <v>-</v>
      </c>
      <c r="DB317" s="1431" t="str">
        <f t="shared" si="499"/>
        <v>-</v>
      </c>
      <c r="DC317" s="1431" t="str">
        <f t="shared" si="500"/>
        <v>-</v>
      </c>
      <c r="DD317" s="1431" t="str">
        <f t="shared" si="501"/>
        <v>-</v>
      </c>
      <c r="DE317" s="1434" t="str">
        <f t="shared" si="502"/>
        <v>-</v>
      </c>
      <c r="DF317" s="1378"/>
      <c r="DG317" s="1428" t="str">
        <f t="shared" si="503"/>
        <v>Rev</v>
      </c>
      <c r="DH317" s="1429" t="str">
        <f t="shared" si="503"/>
        <v>[Service]</v>
      </c>
      <c r="DI317" s="1429" t="str">
        <f t="shared" si="503"/>
        <v>[Price]</v>
      </c>
      <c r="DJ317" s="1429"/>
      <c r="DK317" s="1435" t="str">
        <f t="shared" si="504"/>
        <v>-</v>
      </c>
      <c r="DL317" s="1431" t="str">
        <f t="shared" si="505"/>
        <v>-</v>
      </c>
      <c r="DM317" s="1431" t="str">
        <f t="shared" si="506"/>
        <v>-</v>
      </c>
      <c r="DN317" s="1433" t="str">
        <f t="shared" si="507"/>
        <v>-</v>
      </c>
      <c r="DO317" s="1431" t="str">
        <f t="shared" si="508"/>
        <v>-</v>
      </c>
      <c r="DP317" s="1431" t="str">
        <f t="shared" si="509"/>
        <v>-</v>
      </c>
      <c r="DQ317" s="1431" t="str">
        <f t="shared" si="510"/>
        <v>-</v>
      </c>
      <c r="DR317" s="1434" t="str">
        <f t="shared" si="511"/>
        <v>-</v>
      </c>
    </row>
    <row r="318" spans="4:122">
      <c r="D318" s="70">
        <f>D315+1</f>
        <v>85</v>
      </c>
      <c r="E318" s="713" t="s">
        <v>44</v>
      </c>
      <c r="F318" s="1532" t="s">
        <v>27</v>
      </c>
      <c r="G318" s="1532"/>
      <c r="H318" s="1532"/>
      <c r="I318" s="781" t="s">
        <v>318</v>
      </c>
      <c r="J318" s="781" t="s">
        <v>345</v>
      </c>
      <c r="K318" s="1533"/>
      <c r="L318" s="1534"/>
      <c r="M318" s="1534"/>
      <c r="N318" s="1535"/>
      <c r="O318" s="2071"/>
      <c r="P318" s="1547"/>
      <c r="Q318" s="1547"/>
      <c r="R318" s="1547"/>
      <c r="S318" s="1547"/>
      <c r="T318" s="1547"/>
      <c r="U318" s="1547"/>
      <c r="V318" s="1547"/>
      <c r="W318" s="1547"/>
      <c r="X318" s="1548"/>
      <c r="Y318" s="1547"/>
      <c r="Z318" s="1547"/>
      <c r="AA318" s="1547"/>
      <c r="AB318" s="1547"/>
      <c r="AC318" s="1548"/>
      <c r="AD318" s="1547"/>
      <c r="AE318" s="1547"/>
      <c r="AF318" s="1547"/>
      <c r="AG318" s="785"/>
      <c r="AH318" s="697"/>
      <c r="AI318" s="707"/>
      <c r="AJ318" s="709">
        <f t="shared" si="515"/>
        <v>0</v>
      </c>
      <c r="AK318" s="710">
        <f t="shared" si="516"/>
        <v>0</v>
      </c>
      <c r="AL318" s="710">
        <f t="shared" si="517"/>
        <v>0</v>
      </c>
      <c r="AM318" s="710">
        <f t="shared" si="518"/>
        <v>0</v>
      </c>
      <c r="AN318" s="710">
        <f t="shared" si="519"/>
        <v>0</v>
      </c>
      <c r="AO318" s="711">
        <f t="shared" si="520"/>
        <v>0</v>
      </c>
      <c r="AP318" s="707">
        <f t="shared" si="521"/>
        <v>0</v>
      </c>
      <c r="AQ318" s="707">
        <f t="shared" si="522"/>
        <v>0</v>
      </c>
      <c r="AR318" s="707">
        <f t="shared" si="523"/>
        <v>0</v>
      </c>
      <c r="AS318" s="712">
        <f t="shared" si="524"/>
        <v>0</v>
      </c>
      <c r="AU318" s="1369"/>
      <c r="AV318" s="1559"/>
      <c r="AW318" s="1412" t="str">
        <f t="shared" si="472"/>
        <v>Price</v>
      </c>
      <c r="AX318" s="1413" t="str">
        <f t="shared" si="472"/>
        <v>[Service]</v>
      </c>
      <c r="AY318" s="1414" t="str">
        <f t="shared" si="473"/>
        <v>[Price]</v>
      </c>
      <c r="AZ318" s="1415" t="str">
        <f t="shared" si="587"/>
        <v>-</v>
      </c>
      <c r="BA318" s="1415" t="str">
        <f t="shared" si="587"/>
        <v>-</v>
      </c>
      <c r="BB318" s="1415" t="str">
        <f t="shared" si="587"/>
        <v>-</v>
      </c>
      <c r="BC318" s="1415" t="str">
        <f t="shared" si="475"/>
        <v>-</v>
      </c>
      <c r="BD318" s="1415" t="str">
        <f t="shared" si="476"/>
        <v>-</v>
      </c>
      <c r="BE318" s="1415" t="str">
        <f t="shared" si="477"/>
        <v>-</v>
      </c>
      <c r="BF318" s="1415" t="str">
        <f t="shared" si="478"/>
        <v>-</v>
      </c>
      <c r="BG318" s="1416" t="str">
        <f t="shared" si="479"/>
        <v>-</v>
      </c>
      <c r="BH318" s="1417" t="str">
        <f t="shared" si="480"/>
        <v>-</v>
      </c>
      <c r="BI318" s="1417" t="str">
        <f t="shared" si="481"/>
        <v>-</v>
      </c>
      <c r="BJ318" s="1417" t="str">
        <f t="shared" si="482"/>
        <v>-</v>
      </c>
      <c r="BK318" s="1417" t="str">
        <f t="shared" si="483"/>
        <v>-</v>
      </c>
      <c r="BL318" s="1418" t="str">
        <f t="shared" si="484"/>
        <v>-</v>
      </c>
      <c r="BM318" s="1417" t="str">
        <f t="shared" si="485"/>
        <v>-</v>
      </c>
      <c r="BN318" s="1417" t="str">
        <f t="shared" si="486"/>
        <v>-</v>
      </c>
      <c r="BO318" s="1417" t="str">
        <f t="shared" si="487"/>
        <v>-</v>
      </c>
      <c r="BP318" s="1417" t="str">
        <f t="shared" si="488"/>
        <v>-</v>
      </c>
      <c r="BQ318" s="1419" t="str">
        <f t="shared" si="489"/>
        <v>-</v>
      </c>
      <c r="BR318" s="1378"/>
      <c r="BS318" s="1420"/>
      <c r="BT318" s="1421"/>
      <c r="BU318" s="1422"/>
      <c r="BV318" s="1423"/>
      <c r="BW318" s="1378"/>
      <c r="BX318" s="1412" t="str">
        <f t="shared" si="490"/>
        <v>Price</v>
      </c>
      <c r="BY318" s="1413" t="str">
        <f t="shared" si="491"/>
        <v>[Service]</v>
      </c>
      <c r="BZ318" s="1414" t="str">
        <f t="shared" si="492"/>
        <v>[Price]</v>
      </c>
      <c r="CA318" s="1424" t="str">
        <f t="shared" ref="CA318:CR318" si="604">IFERROR((P318/O318-1)*(O320/O$13),"-")</f>
        <v>-</v>
      </c>
      <c r="CB318" s="1415" t="str">
        <f t="shared" si="604"/>
        <v>-</v>
      </c>
      <c r="CC318" s="1415" t="str">
        <f t="shared" si="604"/>
        <v>-</v>
      </c>
      <c r="CD318" s="1415" t="str">
        <f t="shared" si="604"/>
        <v>-</v>
      </c>
      <c r="CE318" s="1415" t="str">
        <f t="shared" si="604"/>
        <v>-</v>
      </c>
      <c r="CF318" s="1415" t="str">
        <f t="shared" si="604"/>
        <v>-</v>
      </c>
      <c r="CG318" s="1415" t="str">
        <f t="shared" si="604"/>
        <v>-</v>
      </c>
      <c r="CH318" s="1425" t="str">
        <f t="shared" si="604"/>
        <v>-</v>
      </c>
      <c r="CI318" s="1417" t="str">
        <f t="shared" si="604"/>
        <v>-</v>
      </c>
      <c r="CJ318" s="1417" t="str">
        <f t="shared" si="604"/>
        <v>-</v>
      </c>
      <c r="CK318" s="1417" t="str">
        <f t="shared" si="604"/>
        <v>-</v>
      </c>
      <c r="CL318" s="1417" t="str">
        <f t="shared" si="604"/>
        <v>-</v>
      </c>
      <c r="CM318" s="1418" t="str">
        <f t="shared" si="604"/>
        <v>-</v>
      </c>
      <c r="CN318" s="1417" t="str">
        <f t="shared" si="604"/>
        <v>-</v>
      </c>
      <c r="CO318" s="1417" t="str">
        <f t="shared" si="604"/>
        <v>-</v>
      </c>
      <c r="CP318" s="1417" t="str">
        <f t="shared" si="604"/>
        <v>-</v>
      </c>
      <c r="CQ318" s="1417" t="str">
        <f t="shared" si="604"/>
        <v>-</v>
      </c>
      <c r="CR318" s="1419" t="str">
        <f t="shared" si="604"/>
        <v>-</v>
      </c>
      <c r="CS318" s="1378"/>
      <c r="CT318" s="1412" t="str">
        <f t="shared" si="469"/>
        <v>Price</v>
      </c>
      <c r="CU318" s="1413" t="str">
        <f t="shared" si="470"/>
        <v>[Service]</v>
      </c>
      <c r="CV318" s="1426" t="str">
        <f t="shared" si="471"/>
        <v>[Price]</v>
      </c>
      <c r="CW318" s="1427" t="str">
        <f t="shared" si="494"/>
        <v>-</v>
      </c>
      <c r="CX318" s="1417" t="str">
        <f t="shared" si="495"/>
        <v>-</v>
      </c>
      <c r="CY318" s="1417" t="str">
        <f t="shared" si="496"/>
        <v>-</v>
      </c>
      <c r="CZ318" s="1419" t="str">
        <f t="shared" si="497"/>
        <v>-</v>
      </c>
      <c r="DA318" s="1417" t="str">
        <f t="shared" si="498"/>
        <v>-</v>
      </c>
      <c r="DB318" s="1417" t="str">
        <f t="shared" si="499"/>
        <v>-</v>
      </c>
      <c r="DC318" s="1417" t="str">
        <f t="shared" si="500"/>
        <v>-</v>
      </c>
      <c r="DD318" s="1417" t="str">
        <f t="shared" si="501"/>
        <v>-</v>
      </c>
      <c r="DE318" s="1419" t="str">
        <f t="shared" si="502"/>
        <v>-</v>
      </c>
      <c r="DF318" s="1378"/>
      <c r="DG318" s="1412" t="str">
        <f t="shared" si="503"/>
        <v>Price</v>
      </c>
      <c r="DH318" s="1413" t="str">
        <f t="shared" si="503"/>
        <v>[Service]</v>
      </c>
      <c r="DI318" s="1426" t="str">
        <f t="shared" si="503"/>
        <v>[Price]</v>
      </c>
      <c r="DJ318" s="1426"/>
      <c r="DK318" s="1427" t="str">
        <f t="shared" si="504"/>
        <v>-</v>
      </c>
      <c r="DL318" s="1417" t="str">
        <f t="shared" si="505"/>
        <v>-</v>
      </c>
      <c r="DM318" s="1417" t="str">
        <f t="shared" si="506"/>
        <v>-</v>
      </c>
      <c r="DN318" s="1418" t="str">
        <f t="shared" si="507"/>
        <v>-</v>
      </c>
      <c r="DO318" s="1417" t="str">
        <f t="shared" si="508"/>
        <v>-</v>
      </c>
      <c r="DP318" s="1417" t="str">
        <f t="shared" si="509"/>
        <v>-</v>
      </c>
      <c r="DQ318" s="1417" t="str">
        <f t="shared" si="510"/>
        <v>-</v>
      </c>
      <c r="DR318" s="1419" t="str">
        <f t="shared" si="511"/>
        <v>-</v>
      </c>
    </row>
    <row r="319" spans="4:122">
      <c r="E319" s="742" t="s">
        <v>45</v>
      </c>
      <c r="F319" s="722" t="str">
        <f>+F318</f>
        <v>[Service]</v>
      </c>
      <c r="G319" s="723">
        <f>+G318</f>
        <v>0</v>
      </c>
      <c r="H319" s="723">
        <f>+H318</f>
        <v>0</v>
      </c>
      <c r="I319" s="724" t="str">
        <f>+I318</f>
        <v>[Price]</v>
      </c>
      <c r="J319" s="782" t="s">
        <v>322</v>
      </c>
      <c r="K319" s="1540"/>
      <c r="L319" s="1541"/>
      <c r="M319" s="1541"/>
      <c r="N319" s="1542"/>
      <c r="O319" s="2031"/>
      <c r="P319" s="1543"/>
      <c r="Q319" s="1543"/>
      <c r="R319" s="1543"/>
      <c r="S319" s="1543"/>
      <c r="T319" s="1543"/>
      <c r="U319" s="1543"/>
      <c r="V319" s="1543"/>
      <c r="W319" s="1543"/>
      <c r="X319" s="1544"/>
      <c r="Y319" s="1543"/>
      <c r="Z319" s="1543"/>
      <c r="AA319" s="1543"/>
      <c r="AB319" s="1543"/>
      <c r="AC319" s="1544"/>
      <c r="AD319" s="1543"/>
      <c r="AE319" s="1543"/>
      <c r="AF319" s="1543"/>
      <c r="AG319" s="788"/>
      <c r="AH319" s="697"/>
      <c r="AI319" s="707"/>
      <c r="AJ319" s="709">
        <f t="shared" si="515"/>
        <v>0</v>
      </c>
      <c r="AK319" s="710">
        <f t="shared" si="516"/>
        <v>0</v>
      </c>
      <c r="AL319" s="710">
        <f t="shared" si="517"/>
        <v>0</v>
      </c>
      <c r="AM319" s="710">
        <f t="shared" si="518"/>
        <v>0</v>
      </c>
      <c r="AN319" s="710">
        <f t="shared" si="519"/>
        <v>0</v>
      </c>
      <c r="AO319" s="711">
        <f t="shared" si="520"/>
        <v>0</v>
      </c>
      <c r="AP319" s="707">
        <f t="shared" si="521"/>
        <v>0</v>
      </c>
      <c r="AQ319" s="707">
        <f t="shared" si="522"/>
        <v>0</v>
      </c>
      <c r="AR319" s="707">
        <f t="shared" si="523"/>
        <v>0</v>
      </c>
      <c r="AS319" s="712">
        <f t="shared" si="524"/>
        <v>0</v>
      </c>
      <c r="AV319" s="1559"/>
      <c r="AW319" s="1392" t="str">
        <f t="shared" si="472"/>
        <v>Qty</v>
      </c>
      <c r="AX319" s="1393" t="str">
        <f t="shared" si="472"/>
        <v>[Service]</v>
      </c>
      <c r="AY319" s="1394" t="str">
        <f t="shared" si="473"/>
        <v>[Price]</v>
      </c>
      <c r="AZ319" s="1395" t="str">
        <f t="shared" si="587"/>
        <v>-</v>
      </c>
      <c r="BA319" s="1395" t="str">
        <f t="shared" si="587"/>
        <v>-</v>
      </c>
      <c r="BB319" s="1395" t="str">
        <f t="shared" si="587"/>
        <v>-</v>
      </c>
      <c r="BC319" s="1395" t="str">
        <f t="shared" si="475"/>
        <v>-</v>
      </c>
      <c r="BD319" s="1395" t="str">
        <f t="shared" si="476"/>
        <v>-</v>
      </c>
      <c r="BE319" s="1395" t="str">
        <f t="shared" si="477"/>
        <v>-</v>
      </c>
      <c r="BF319" s="1395" t="str">
        <f t="shared" si="478"/>
        <v>-</v>
      </c>
      <c r="BG319" s="1396" t="str">
        <f t="shared" si="479"/>
        <v>-</v>
      </c>
      <c r="BH319" s="1395" t="str">
        <f t="shared" si="480"/>
        <v>-</v>
      </c>
      <c r="BI319" s="1395" t="str">
        <f t="shared" si="481"/>
        <v>-</v>
      </c>
      <c r="BJ319" s="1395" t="str">
        <f t="shared" si="482"/>
        <v>-</v>
      </c>
      <c r="BK319" s="1395" t="str">
        <f t="shared" si="483"/>
        <v>-</v>
      </c>
      <c r="BL319" s="1397" t="str">
        <f t="shared" si="484"/>
        <v>-</v>
      </c>
      <c r="BM319" s="1395" t="str">
        <f t="shared" si="485"/>
        <v>-</v>
      </c>
      <c r="BN319" s="1395" t="str">
        <f t="shared" si="486"/>
        <v>-</v>
      </c>
      <c r="BO319" s="1395" t="str">
        <f t="shared" si="487"/>
        <v>-</v>
      </c>
      <c r="BP319" s="1395" t="str">
        <f t="shared" si="488"/>
        <v>-</v>
      </c>
      <c r="BQ319" s="1398" t="str">
        <f t="shared" si="489"/>
        <v>-</v>
      </c>
      <c r="BR319" s="1378"/>
      <c r="BS319" s="1329"/>
      <c r="BT319" s="1399"/>
      <c r="BU319" s="1331"/>
      <c r="BV319" s="1400"/>
      <c r="BW319" s="1378"/>
      <c r="BX319" s="1392" t="str">
        <f t="shared" si="490"/>
        <v>Qty</v>
      </c>
      <c r="BY319" s="1393" t="str">
        <f t="shared" si="491"/>
        <v>[Service]</v>
      </c>
      <c r="BZ319" s="1394" t="str">
        <f t="shared" si="492"/>
        <v>[Price]</v>
      </c>
      <c r="CA319" s="1401" t="str">
        <f t="shared" ref="CA319:CR319" si="605">IFERROR((P319/O319-1)*(O320/O$13),"-")</f>
        <v>-</v>
      </c>
      <c r="CB319" s="1395" t="str">
        <f t="shared" si="605"/>
        <v>-</v>
      </c>
      <c r="CC319" s="1395" t="str">
        <f t="shared" si="605"/>
        <v>-</v>
      </c>
      <c r="CD319" s="1395" t="str">
        <f t="shared" si="605"/>
        <v>-</v>
      </c>
      <c r="CE319" s="1395" t="str">
        <f t="shared" si="605"/>
        <v>-</v>
      </c>
      <c r="CF319" s="1395" t="str">
        <f t="shared" si="605"/>
        <v>-</v>
      </c>
      <c r="CG319" s="1395" t="str">
        <f t="shared" si="605"/>
        <v>-</v>
      </c>
      <c r="CH319" s="1397" t="str">
        <f t="shared" si="605"/>
        <v>-</v>
      </c>
      <c r="CI319" s="1395" t="str">
        <f t="shared" si="605"/>
        <v>-</v>
      </c>
      <c r="CJ319" s="1395" t="str">
        <f t="shared" si="605"/>
        <v>-</v>
      </c>
      <c r="CK319" s="1395" t="str">
        <f t="shared" si="605"/>
        <v>-</v>
      </c>
      <c r="CL319" s="1395" t="str">
        <f t="shared" si="605"/>
        <v>-</v>
      </c>
      <c r="CM319" s="1397" t="str">
        <f t="shared" si="605"/>
        <v>-</v>
      </c>
      <c r="CN319" s="1395" t="str">
        <f t="shared" si="605"/>
        <v>-</v>
      </c>
      <c r="CO319" s="1395" t="str">
        <f t="shared" si="605"/>
        <v>-</v>
      </c>
      <c r="CP319" s="1395" t="str">
        <f t="shared" si="605"/>
        <v>-</v>
      </c>
      <c r="CQ319" s="1395" t="str">
        <f t="shared" si="605"/>
        <v>-</v>
      </c>
      <c r="CR319" s="1398" t="str">
        <f t="shared" si="605"/>
        <v>-</v>
      </c>
      <c r="CS319" s="1378"/>
      <c r="CT319" s="1392" t="str">
        <f t="shared" si="469"/>
        <v>Qty</v>
      </c>
      <c r="CU319" s="1393" t="str">
        <f t="shared" si="470"/>
        <v>[Service]</v>
      </c>
      <c r="CV319" s="1393" t="str">
        <f t="shared" si="471"/>
        <v>[Price]</v>
      </c>
      <c r="CW319" s="1401" t="str">
        <f t="shared" si="494"/>
        <v>-</v>
      </c>
      <c r="CX319" s="1395" t="str">
        <f t="shared" si="495"/>
        <v>-</v>
      </c>
      <c r="CY319" s="1395" t="str">
        <f t="shared" si="496"/>
        <v>-</v>
      </c>
      <c r="CZ319" s="1398" t="str">
        <f t="shared" si="497"/>
        <v>-</v>
      </c>
      <c r="DA319" s="1395" t="str">
        <f t="shared" si="498"/>
        <v>-</v>
      </c>
      <c r="DB319" s="1395" t="str">
        <f t="shared" si="499"/>
        <v>-</v>
      </c>
      <c r="DC319" s="1395" t="str">
        <f t="shared" si="500"/>
        <v>-</v>
      </c>
      <c r="DD319" s="1395" t="str">
        <f t="shared" si="501"/>
        <v>-</v>
      </c>
      <c r="DE319" s="1398" t="str">
        <f t="shared" si="502"/>
        <v>-</v>
      </c>
      <c r="DF319" s="1378"/>
      <c r="DG319" s="1392" t="str">
        <f t="shared" si="503"/>
        <v>Qty</v>
      </c>
      <c r="DH319" s="1393" t="str">
        <f t="shared" si="503"/>
        <v>[Service]</v>
      </c>
      <c r="DI319" s="1393" t="str">
        <f t="shared" si="503"/>
        <v>[Price]</v>
      </c>
      <c r="DJ319" s="1393"/>
      <c r="DK319" s="1401" t="str">
        <f t="shared" si="504"/>
        <v>-</v>
      </c>
      <c r="DL319" s="1395" t="str">
        <f t="shared" si="505"/>
        <v>-</v>
      </c>
      <c r="DM319" s="1395" t="str">
        <f t="shared" si="506"/>
        <v>-</v>
      </c>
      <c r="DN319" s="1397" t="str">
        <f t="shared" si="507"/>
        <v>-</v>
      </c>
      <c r="DO319" s="1395" t="str">
        <f t="shared" si="508"/>
        <v>-</v>
      </c>
      <c r="DP319" s="1395" t="str">
        <f t="shared" si="509"/>
        <v>-</v>
      </c>
      <c r="DQ319" s="1395" t="str">
        <f t="shared" si="510"/>
        <v>-</v>
      </c>
      <c r="DR319" s="1398" t="str">
        <f t="shared" si="511"/>
        <v>-</v>
      </c>
    </row>
    <row r="320" spans="4:122" ht="12.75" thickBot="1">
      <c r="E320" s="743" t="s">
        <v>46</v>
      </c>
      <c r="F320" s="732" t="str">
        <f>+F318</f>
        <v>[Service]</v>
      </c>
      <c r="G320" s="733">
        <f>+G318</f>
        <v>0</v>
      </c>
      <c r="H320" s="733">
        <f>+H318</f>
        <v>0</v>
      </c>
      <c r="I320" s="734" t="str">
        <f>+I318</f>
        <v>[Price]</v>
      </c>
      <c r="J320" s="735" t="s">
        <v>344</v>
      </c>
      <c r="K320" s="736">
        <f t="shared" ref="K320:AG320" si="606">K318*K319/10^6</f>
        <v>0</v>
      </c>
      <c r="L320" s="737">
        <f t="shared" si="606"/>
        <v>0</v>
      </c>
      <c r="M320" s="737">
        <f t="shared" si="606"/>
        <v>0</v>
      </c>
      <c r="N320" s="738">
        <f t="shared" si="606"/>
        <v>0</v>
      </c>
      <c r="O320" s="1923">
        <f t="shared" si="606"/>
        <v>0</v>
      </c>
      <c r="P320" s="737">
        <f t="shared" si="606"/>
        <v>0</v>
      </c>
      <c r="Q320" s="737">
        <f t="shared" si="606"/>
        <v>0</v>
      </c>
      <c r="R320" s="737">
        <f t="shared" si="606"/>
        <v>0</v>
      </c>
      <c r="S320" s="737">
        <f t="shared" si="606"/>
        <v>0</v>
      </c>
      <c r="T320" s="1531">
        <f t="shared" si="606"/>
        <v>0</v>
      </c>
      <c r="U320" s="737">
        <f t="shared" si="606"/>
        <v>0</v>
      </c>
      <c r="V320" s="737">
        <f t="shared" si="606"/>
        <v>0</v>
      </c>
      <c r="W320" s="737">
        <f t="shared" si="606"/>
        <v>0</v>
      </c>
      <c r="X320" s="738">
        <f t="shared" si="606"/>
        <v>0</v>
      </c>
      <c r="Y320" s="737">
        <f t="shared" si="606"/>
        <v>0</v>
      </c>
      <c r="Z320" s="737">
        <f t="shared" si="606"/>
        <v>0</v>
      </c>
      <c r="AA320" s="737">
        <f t="shared" si="606"/>
        <v>0</v>
      </c>
      <c r="AB320" s="737">
        <f t="shared" si="606"/>
        <v>0</v>
      </c>
      <c r="AC320" s="738">
        <f t="shared" si="606"/>
        <v>0</v>
      </c>
      <c r="AD320" s="737">
        <f t="shared" si="606"/>
        <v>0</v>
      </c>
      <c r="AE320" s="737">
        <f t="shared" si="606"/>
        <v>0</v>
      </c>
      <c r="AF320" s="737">
        <f t="shared" si="606"/>
        <v>0</v>
      </c>
      <c r="AG320" s="739">
        <f t="shared" si="606"/>
        <v>0</v>
      </c>
      <c r="AH320" s="697"/>
      <c r="AI320" s="707"/>
      <c r="AJ320" s="709">
        <f t="shared" si="515"/>
        <v>0</v>
      </c>
      <c r="AK320" s="710">
        <f t="shared" si="516"/>
        <v>0</v>
      </c>
      <c r="AL320" s="710">
        <f t="shared" si="517"/>
        <v>0</v>
      </c>
      <c r="AM320" s="710">
        <f t="shared" si="518"/>
        <v>0</v>
      </c>
      <c r="AN320" s="710">
        <f t="shared" si="519"/>
        <v>0</v>
      </c>
      <c r="AO320" s="711">
        <f t="shared" si="520"/>
        <v>0</v>
      </c>
      <c r="AP320" s="707">
        <f t="shared" si="521"/>
        <v>0</v>
      </c>
      <c r="AQ320" s="707">
        <f t="shared" si="522"/>
        <v>0</v>
      </c>
      <c r="AR320" s="707">
        <f t="shared" si="523"/>
        <v>0</v>
      </c>
      <c r="AS320" s="712">
        <f t="shared" si="524"/>
        <v>0</v>
      </c>
      <c r="AV320" s="1559"/>
      <c r="AW320" s="1428" t="str">
        <f t="shared" si="472"/>
        <v>Rev</v>
      </c>
      <c r="AX320" s="1429" t="str">
        <f t="shared" si="472"/>
        <v>[Service]</v>
      </c>
      <c r="AY320" s="1430" t="str">
        <f t="shared" si="473"/>
        <v>[Price]</v>
      </c>
      <c r="AZ320" s="1431" t="str">
        <f t="shared" si="587"/>
        <v>-</v>
      </c>
      <c r="BA320" s="1431" t="str">
        <f t="shared" si="587"/>
        <v>-</v>
      </c>
      <c r="BB320" s="1431" t="str">
        <f t="shared" si="587"/>
        <v>-</v>
      </c>
      <c r="BC320" s="1431" t="str">
        <f t="shared" si="475"/>
        <v>-</v>
      </c>
      <c r="BD320" s="1431" t="str">
        <f t="shared" si="476"/>
        <v>-</v>
      </c>
      <c r="BE320" s="1431" t="str">
        <f t="shared" si="477"/>
        <v>-</v>
      </c>
      <c r="BF320" s="1431" t="str">
        <f t="shared" si="478"/>
        <v>-</v>
      </c>
      <c r="BG320" s="1432" t="str">
        <f t="shared" si="479"/>
        <v>-</v>
      </c>
      <c r="BH320" s="1431" t="str">
        <f t="shared" si="480"/>
        <v>-</v>
      </c>
      <c r="BI320" s="1431" t="str">
        <f t="shared" si="481"/>
        <v>-</v>
      </c>
      <c r="BJ320" s="1431" t="str">
        <f t="shared" si="482"/>
        <v>-</v>
      </c>
      <c r="BK320" s="1431" t="str">
        <f t="shared" si="483"/>
        <v>-</v>
      </c>
      <c r="BL320" s="1433" t="str">
        <f t="shared" si="484"/>
        <v>-</v>
      </c>
      <c r="BM320" s="1431" t="str">
        <f t="shared" si="485"/>
        <v>-</v>
      </c>
      <c r="BN320" s="1431" t="str">
        <f t="shared" si="486"/>
        <v>-</v>
      </c>
      <c r="BO320" s="1431" t="str">
        <f t="shared" si="487"/>
        <v>-</v>
      </c>
      <c r="BP320" s="1431" t="str">
        <f t="shared" si="488"/>
        <v>-</v>
      </c>
      <c r="BQ320" s="1434" t="str">
        <f t="shared" si="489"/>
        <v>-</v>
      </c>
      <c r="BR320" s="1378"/>
      <c r="BS320" s="1407"/>
      <c r="BT320" s="1408"/>
      <c r="BU320" s="1409"/>
      <c r="BV320" s="1410"/>
      <c r="BW320" s="1378"/>
      <c r="BX320" s="1428" t="str">
        <f t="shared" si="490"/>
        <v>Rev</v>
      </c>
      <c r="BY320" s="1429" t="str">
        <f t="shared" si="491"/>
        <v>[Service]</v>
      </c>
      <c r="BZ320" s="1430" t="str">
        <f t="shared" si="492"/>
        <v>[Price]</v>
      </c>
      <c r="CA320" s="1435" t="str">
        <f t="shared" ref="CA320:CR320" si="607">IFERROR((P320/O320-1)*(O320/O$13),"-")</f>
        <v>-</v>
      </c>
      <c r="CB320" s="1431" t="str">
        <f t="shared" si="607"/>
        <v>-</v>
      </c>
      <c r="CC320" s="1431" t="str">
        <f t="shared" si="607"/>
        <v>-</v>
      </c>
      <c r="CD320" s="1431" t="str">
        <f t="shared" si="607"/>
        <v>-</v>
      </c>
      <c r="CE320" s="1431" t="str">
        <f t="shared" si="607"/>
        <v>-</v>
      </c>
      <c r="CF320" s="1431" t="str">
        <f t="shared" si="607"/>
        <v>-</v>
      </c>
      <c r="CG320" s="1431" t="str">
        <f t="shared" si="607"/>
        <v>-</v>
      </c>
      <c r="CH320" s="1433" t="str">
        <f t="shared" si="607"/>
        <v>-</v>
      </c>
      <c r="CI320" s="1431" t="str">
        <f t="shared" si="607"/>
        <v>-</v>
      </c>
      <c r="CJ320" s="1431" t="str">
        <f t="shared" si="607"/>
        <v>-</v>
      </c>
      <c r="CK320" s="1431" t="str">
        <f t="shared" si="607"/>
        <v>-</v>
      </c>
      <c r="CL320" s="1431" t="str">
        <f t="shared" si="607"/>
        <v>-</v>
      </c>
      <c r="CM320" s="1433" t="str">
        <f t="shared" si="607"/>
        <v>-</v>
      </c>
      <c r="CN320" s="1431" t="str">
        <f t="shared" si="607"/>
        <v>-</v>
      </c>
      <c r="CO320" s="1431" t="str">
        <f t="shared" si="607"/>
        <v>-</v>
      </c>
      <c r="CP320" s="1431" t="str">
        <f t="shared" si="607"/>
        <v>-</v>
      </c>
      <c r="CQ320" s="1431" t="str">
        <f t="shared" si="607"/>
        <v>-</v>
      </c>
      <c r="CR320" s="1434" t="str">
        <f t="shared" si="607"/>
        <v>-</v>
      </c>
      <c r="CS320" s="1378"/>
      <c r="CT320" s="1428" t="str">
        <f t="shared" si="469"/>
        <v>Rev</v>
      </c>
      <c r="CU320" s="1429" t="str">
        <f t="shared" si="470"/>
        <v>[Service]</v>
      </c>
      <c r="CV320" s="1429" t="str">
        <f t="shared" si="471"/>
        <v>[Price]</v>
      </c>
      <c r="CW320" s="1435" t="str">
        <f t="shared" si="494"/>
        <v>-</v>
      </c>
      <c r="CX320" s="1431" t="str">
        <f t="shared" si="495"/>
        <v>-</v>
      </c>
      <c r="CY320" s="1431" t="str">
        <f t="shared" si="496"/>
        <v>-</v>
      </c>
      <c r="CZ320" s="1434" t="str">
        <f t="shared" si="497"/>
        <v>-</v>
      </c>
      <c r="DA320" s="1431" t="str">
        <f t="shared" si="498"/>
        <v>-</v>
      </c>
      <c r="DB320" s="1431" t="str">
        <f t="shared" si="499"/>
        <v>-</v>
      </c>
      <c r="DC320" s="1431" t="str">
        <f t="shared" si="500"/>
        <v>-</v>
      </c>
      <c r="DD320" s="1431" t="str">
        <f t="shared" si="501"/>
        <v>-</v>
      </c>
      <c r="DE320" s="1434" t="str">
        <f t="shared" si="502"/>
        <v>-</v>
      </c>
      <c r="DF320" s="1378"/>
      <c r="DG320" s="1428" t="str">
        <f t="shared" si="503"/>
        <v>Rev</v>
      </c>
      <c r="DH320" s="1429" t="str">
        <f t="shared" si="503"/>
        <v>[Service]</v>
      </c>
      <c r="DI320" s="1429" t="str">
        <f t="shared" si="503"/>
        <v>[Price]</v>
      </c>
      <c r="DJ320" s="1429"/>
      <c r="DK320" s="1435" t="str">
        <f t="shared" si="504"/>
        <v>-</v>
      </c>
      <c r="DL320" s="1431" t="str">
        <f t="shared" si="505"/>
        <v>-</v>
      </c>
      <c r="DM320" s="1431" t="str">
        <f t="shared" si="506"/>
        <v>-</v>
      </c>
      <c r="DN320" s="1433" t="str">
        <f t="shared" si="507"/>
        <v>-</v>
      </c>
      <c r="DO320" s="1431" t="str">
        <f t="shared" si="508"/>
        <v>-</v>
      </c>
      <c r="DP320" s="1431" t="str">
        <f t="shared" si="509"/>
        <v>-</v>
      </c>
      <c r="DQ320" s="1431" t="str">
        <f t="shared" si="510"/>
        <v>-</v>
      </c>
      <c r="DR320" s="1434" t="str">
        <f t="shared" si="511"/>
        <v>-</v>
      </c>
    </row>
    <row r="321" spans="4:122">
      <c r="D321" s="70">
        <f>D318+1</f>
        <v>86</v>
      </c>
      <c r="E321" s="713" t="s">
        <v>44</v>
      </c>
      <c r="F321" s="1532" t="s">
        <v>27</v>
      </c>
      <c r="G321" s="1532"/>
      <c r="H321" s="1532"/>
      <c r="I321" s="781" t="s">
        <v>318</v>
      </c>
      <c r="J321" s="781" t="s">
        <v>345</v>
      </c>
      <c r="K321" s="1533"/>
      <c r="L321" s="1534"/>
      <c r="M321" s="1534"/>
      <c r="N321" s="1535"/>
      <c r="O321" s="2071"/>
      <c r="P321" s="1547"/>
      <c r="Q321" s="1547"/>
      <c r="R321" s="1547"/>
      <c r="S321" s="1547"/>
      <c r="T321" s="1547"/>
      <c r="U321" s="1547"/>
      <c r="V321" s="1547"/>
      <c r="W321" s="1547"/>
      <c r="X321" s="1548"/>
      <c r="Y321" s="1547"/>
      <c r="Z321" s="1547"/>
      <c r="AA321" s="1547"/>
      <c r="AB321" s="1547"/>
      <c r="AC321" s="1548"/>
      <c r="AD321" s="1547"/>
      <c r="AE321" s="1547"/>
      <c r="AF321" s="1547"/>
      <c r="AG321" s="785"/>
      <c r="AH321" s="697"/>
      <c r="AI321" s="707"/>
      <c r="AJ321" s="709">
        <f t="shared" si="515"/>
        <v>0</v>
      </c>
      <c r="AK321" s="710">
        <f t="shared" si="516"/>
        <v>0</v>
      </c>
      <c r="AL321" s="710">
        <f t="shared" si="517"/>
        <v>0</v>
      </c>
      <c r="AM321" s="710">
        <f t="shared" si="518"/>
        <v>0</v>
      </c>
      <c r="AN321" s="710">
        <f t="shared" si="519"/>
        <v>0</v>
      </c>
      <c r="AO321" s="711">
        <f t="shared" si="520"/>
        <v>0</v>
      </c>
      <c r="AP321" s="707">
        <f t="shared" si="521"/>
        <v>0</v>
      </c>
      <c r="AQ321" s="707">
        <f t="shared" si="522"/>
        <v>0</v>
      </c>
      <c r="AR321" s="707">
        <f t="shared" si="523"/>
        <v>0</v>
      </c>
      <c r="AS321" s="712">
        <f t="shared" si="524"/>
        <v>0</v>
      </c>
      <c r="AU321" s="1369"/>
      <c r="AV321" s="1559"/>
      <c r="AW321" s="1412" t="str">
        <f t="shared" si="472"/>
        <v>Price</v>
      </c>
      <c r="AX321" s="1413" t="str">
        <f t="shared" si="472"/>
        <v>[Service]</v>
      </c>
      <c r="AY321" s="1414" t="str">
        <f t="shared" si="473"/>
        <v>[Price]</v>
      </c>
      <c r="AZ321" s="1415" t="str">
        <f t="shared" si="587"/>
        <v>-</v>
      </c>
      <c r="BA321" s="1415" t="str">
        <f t="shared" si="587"/>
        <v>-</v>
      </c>
      <c r="BB321" s="1415" t="str">
        <f t="shared" si="587"/>
        <v>-</v>
      </c>
      <c r="BC321" s="1415" t="str">
        <f t="shared" si="475"/>
        <v>-</v>
      </c>
      <c r="BD321" s="1415" t="str">
        <f t="shared" si="476"/>
        <v>-</v>
      </c>
      <c r="BE321" s="1415" t="str">
        <f t="shared" si="477"/>
        <v>-</v>
      </c>
      <c r="BF321" s="1415" t="str">
        <f t="shared" si="478"/>
        <v>-</v>
      </c>
      <c r="BG321" s="1416" t="str">
        <f t="shared" si="479"/>
        <v>-</v>
      </c>
      <c r="BH321" s="1417" t="str">
        <f t="shared" si="480"/>
        <v>-</v>
      </c>
      <c r="BI321" s="1417" t="str">
        <f t="shared" si="481"/>
        <v>-</v>
      </c>
      <c r="BJ321" s="1417" t="str">
        <f t="shared" si="482"/>
        <v>-</v>
      </c>
      <c r="BK321" s="1417" t="str">
        <f t="shared" si="483"/>
        <v>-</v>
      </c>
      <c r="BL321" s="1418" t="str">
        <f t="shared" si="484"/>
        <v>-</v>
      </c>
      <c r="BM321" s="1417" t="str">
        <f t="shared" si="485"/>
        <v>-</v>
      </c>
      <c r="BN321" s="1417" t="str">
        <f t="shared" si="486"/>
        <v>-</v>
      </c>
      <c r="BO321" s="1417" t="str">
        <f t="shared" si="487"/>
        <v>-</v>
      </c>
      <c r="BP321" s="1417" t="str">
        <f t="shared" si="488"/>
        <v>-</v>
      </c>
      <c r="BQ321" s="1419" t="str">
        <f t="shared" si="489"/>
        <v>-</v>
      </c>
      <c r="BR321" s="1378"/>
      <c r="BS321" s="1420"/>
      <c r="BT321" s="1421"/>
      <c r="BU321" s="1422"/>
      <c r="BV321" s="1423"/>
      <c r="BW321" s="1378"/>
      <c r="BX321" s="1412" t="str">
        <f t="shared" si="490"/>
        <v>Price</v>
      </c>
      <c r="BY321" s="1413" t="str">
        <f t="shared" si="491"/>
        <v>[Service]</v>
      </c>
      <c r="BZ321" s="1414" t="str">
        <f t="shared" si="492"/>
        <v>[Price]</v>
      </c>
      <c r="CA321" s="1424" t="str">
        <f t="shared" ref="CA321:CR321" si="608">IFERROR((P321/O321-1)*(O323/O$13),"-")</f>
        <v>-</v>
      </c>
      <c r="CB321" s="1415" t="str">
        <f t="shared" si="608"/>
        <v>-</v>
      </c>
      <c r="CC321" s="1415" t="str">
        <f t="shared" si="608"/>
        <v>-</v>
      </c>
      <c r="CD321" s="1415" t="str">
        <f t="shared" si="608"/>
        <v>-</v>
      </c>
      <c r="CE321" s="1415" t="str">
        <f t="shared" si="608"/>
        <v>-</v>
      </c>
      <c r="CF321" s="1415" t="str">
        <f t="shared" si="608"/>
        <v>-</v>
      </c>
      <c r="CG321" s="1415" t="str">
        <f t="shared" si="608"/>
        <v>-</v>
      </c>
      <c r="CH321" s="1425" t="str">
        <f t="shared" si="608"/>
        <v>-</v>
      </c>
      <c r="CI321" s="1417" t="str">
        <f t="shared" si="608"/>
        <v>-</v>
      </c>
      <c r="CJ321" s="1417" t="str">
        <f t="shared" si="608"/>
        <v>-</v>
      </c>
      <c r="CK321" s="1417" t="str">
        <f t="shared" si="608"/>
        <v>-</v>
      </c>
      <c r="CL321" s="1417" t="str">
        <f t="shared" si="608"/>
        <v>-</v>
      </c>
      <c r="CM321" s="1418" t="str">
        <f t="shared" si="608"/>
        <v>-</v>
      </c>
      <c r="CN321" s="1417" t="str">
        <f t="shared" si="608"/>
        <v>-</v>
      </c>
      <c r="CO321" s="1417" t="str">
        <f t="shared" si="608"/>
        <v>-</v>
      </c>
      <c r="CP321" s="1417" t="str">
        <f t="shared" si="608"/>
        <v>-</v>
      </c>
      <c r="CQ321" s="1417" t="str">
        <f t="shared" si="608"/>
        <v>-</v>
      </c>
      <c r="CR321" s="1419" t="str">
        <f t="shared" si="608"/>
        <v>-</v>
      </c>
      <c r="CS321" s="1378"/>
      <c r="CT321" s="1412" t="str">
        <f t="shared" ref="CT321:CT384" si="609">AW321</f>
        <v>Price</v>
      </c>
      <c r="CU321" s="1413" t="str">
        <f t="shared" ref="CU321:CU384" si="610">AX321</f>
        <v>[Service]</v>
      </c>
      <c r="CV321" s="1426" t="str">
        <f t="shared" ref="CV321:CV384" si="611">AY321</f>
        <v>[Price]</v>
      </c>
      <c r="CW321" s="1427" t="str">
        <f t="shared" si="494"/>
        <v>-</v>
      </c>
      <c r="CX321" s="1417" t="str">
        <f t="shared" si="495"/>
        <v>-</v>
      </c>
      <c r="CY321" s="1417" t="str">
        <f t="shared" si="496"/>
        <v>-</v>
      </c>
      <c r="CZ321" s="1419" t="str">
        <f t="shared" si="497"/>
        <v>-</v>
      </c>
      <c r="DA321" s="1417" t="str">
        <f t="shared" si="498"/>
        <v>-</v>
      </c>
      <c r="DB321" s="1417" t="str">
        <f t="shared" si="499"/>
        <v>-</v>
      </c>
      <c r="DC321" s="1417" t="str">
        <f t="shared" si="500"/>
        <v>-</v>
      </c>
      <c r="DD321" s="1417" t="str">
        <f t="shared" si="501"/>
        <v>-</v>
      </c>
      <c r="DE321" s="1419" t="str">
        <f t="shared" si="502"/>
        <v>-</v>
      </c>
      <c r="DF321" s="1378"/>
      <c r="DG321" s="1412" t="str">
        <f t="shared" si="503"/>
        <v>Price</v>
      </c>
      <c r="DH321" s="1413" t="str">
        <f t="shared" si="503"/>
        <v>[Service]</v>
      </c>
      <c r="DI321" s="1426" t="str">
        <f t="shared" si="503"/>
        <v>[Price]</v>
      </c>
      <c r="DJ321" s="1426"/>
      <c r="DK321" s="1427" t="str">
        <f t="shared" si="504"/>
        <v>-</v>
      </c>
      <c r="DL321" s="1417" t="str">
        <f t="shared" si="505"/>
        <v>-</v>
      </c>
      <c r="DM321" s="1417" t="str">
        <f t="shared" si="506"/>
        <v>-</v>
      </c>
      <c r="DN321" s="1418" t="str">
        <f t="shared" si="507"/>
        <v>-</v>
      </c>
      <c r="DO321" s="1417" t="str">
        <f t="shared" si="508"/>
        <v>-</v>
      </c>
      <c r="DP321" s="1417" t="str">
        <f t="shared" si="509"/>
        <v>-</v>
      </c>
      <c r="DQ321" s="1417" t="str">
        <f t="shared" si="510"/>
        <v>-</v>
      </c>
      <c r="DR321" s="1419" t="str">
        <f t="shared" si="511"/>
        <v>-</v>
      </c>
    </row>
    <row r="322" spans="4:122">
      <c r="E322" s="742" t="s">
        <v>45</v>
      </c>
      <c r="F322" s="722" t="str">
        <f>+F321</f>
        <v>[Service]</v>
      </c>
      <c r="G322" s="723">
        <f>+G321</f>
        <v>0</v>
      </c>
      <c r="H322" s="723">
        <f>+H321</f>
        <v>0</v>
      </c>
      <c r="I322" s="724" t="str">
        <f>+I321</f>
        <v>[Price]</v>
      </c>
      <c r="J322" s="782" t="s">
        <v>322</v>
      </c>
      <c r="K322" s="1540"/>
      <c r="L322" s="1541"/>
      <c r="M322" s="1541"/>
      <c r="N322" s="1542"/>
      <c r="O322" s="2031"/>
      <c r="P322" s="1543"/>
      <c r="Q322" s="1543"/>
      <c r="R322" s="1543"/>
      <c r="S322" s="1543"/>
      <c r="T322" s="1543"/>
      <c r="U322" s="1543"/>
      <c r="V322" s="1543"/>
      <c r="W322" s="1543"/>
      <c r="X322" s="1544"/>
      <c r="Y322" s="1543"/>
      <c r="Z322" s="1543"/>
      <c r="AA322" s="1543"/>
      <c r="AB322" s="1543"/>
      <c r="AC322" s="1544"/>
      <c r="AD322" s="1543"/>
      <c r="AE322" s="1543"/>
      <c r="AF322" s="1543"/>
      <c r="AG322" s="788"/>
      <c r="AH322" s="697"/>
      <c r="AI322" s="707"/>
      <c r="AJ322" s="709">
        <f t="shared" si="515"/>
        <v>0</v>
      </c>
      <c r="AK322" s="710">
        <f t="shared" si="516"/>
        <v>0</v>
      </c>
      <c r="AL322" s="710">
        <f t="shared" si="517"/>
        <v>0</v>
      </c>
      <c r="AM322" s="710">
        <f t="shared" si="518"/>
        <v>0</v>
      </c>
      <c r="AN322" s="710">
        <f t="shared" si="519"/>
        <v>0</v>
      </c>
      <c r="AO322" s="711">
        <f t="shared" si="520"/>
        <v>0</v>
      </c>
      <c r="AP322" s="707">
        <f t="shared" si="521"/>
        <v>0</v>
      </c>
      <c r="AQ322" s="707">
        <f t="shared" si="522"/>
        <v>0</v>
      </c>
      <c r="AR322" s="707">
        <f t="shared" si="523"/>
        <v>0</v>
      </c>
      <c r="AS322" s="712">
        <f t="shared" si="524"/>
        <v>0</v>
      </c>
      <c r="AV322" s="1559"/>
      <c r="AW322" s="1392" t="str">
        <f t="shared" ref="AW322:AX385" si="612">E322</f>
        <v>Qty</v>
      </c>
      <c r="AX322" s="1393" t="str">
        <f t="shared" si="612"/>
        <v>[Service]</v>
      </c>
      <c r="AY322" s="1394" t="str">
        <f t="shared" ref="AY322:AY385" si="613">I322</f>
        <v>[Price]</v>
      </c>
      <c r="AZ322" s="1395" t="str">
        <f t="shared" ref="AZ322:BB337" si="614">IFERROR(P322/O322-1,"-")</f>
        <v>-</v>
      </c>
      <c r="BA322" s="1395" t="str">
        <f t="shared" si="614"/>
        <v>-</v>
      </c>
      <c r="BB322" s="1395" t="str">
        <f t="shared" si="614"/>
        <v>-</v>
      </c>
      <c r="BC322" s="1395" t="str">
        <f t="shared" ref="BC322:BC385" si="615">IFERROR(S322/R322-1,"-")</f>
        <v>-</v>
      </c>
      <c r="BD322" s="1395" t="str">
        <f t="shared" ref="BD322:BD385" si="616">IFERROR(T322/S322-1,"-")</f>
        <v>-</v>
      </c>
      <c r="BE322" s="1395" t="str">
        <f t="shared" ref="BE322:BE385" si="617">IFERROR(U322/T322-1,"-")</f>
        <v>-</v>
      </c>
      <c r="BF322" s="1395" t="str">
        <f t="shared" ref="BF322:BF385" si="618">IFERROR(V322/U322-1,"-")</f>
        <v>-</v>
      </c>
      <c r="BG322" s="1396" t="str">
        <f t="shared" ref="BG322:BG385" si="619">IFERROR(W322/V322-1,"-")</f>
        <v>-</v>
      </c>
      <c r="BH322" s="1395" t="str">
        <f t="shared" ref="BH322:BH385" si="620">IFERROR(X322/W322-1,"-")</f>
        <v>-</v>
      </c>
      <c r="BI322" s="1395" t="str">
        <f t="shared" ref="BI322:BI385" si="621">IFERROR(Y322/X322-1,"-")</f>
        <v>-</v>
      </c>
      <c r="BJ322" s="1395" t="str">
        <f t="shared" ref="BJ322:BJ385" si="622">IFERROR(Z322/Y322-1,"-")</f>
        <v>-</v>
      </c>
      <c r="BK322" s="1395" t="str">
        <f t="shared" ref="BK322:BK385" si="623">IFERROR(AA322/Z322-1,"-")</f>
        <v>-</v>
      </c>
      <c r="BL322" s="1397" t="str">
        <f t="shared" ref="BL322:BL385" si="624">IFERROR(AB322/AA322-1,"-")</f>
        <v>-</v>
      </c>
      <c r="BM322" s="1395" t="str">
        <f t="shared" ref="BM322:BM385" si="625">IFERROR(AC322/AB322-1,"-")</f>
        <v>-</v>
      </c>
      <c r="BN322" s="1395" t="str">
        <f t="shared" ref="BN322:BN385" si="626">IFERROR(AD322/AC322-1,"-")</f>
        <v>-</v>
      </c>
      <c r="BO322" s="1395" t="str">
        <f t="shared" ref="BO322:BO385" si="627">IFERROR(AE322/AD322-1,"-")</f>
        <v>-</v>
      </c>
      <c r="BP322" s="1395" t="str">
        <f t="shared" ref="BP322:BP385" si="628">IFERROR(AF322/AE322-1,"-")</f>
        <v>-</v>
      </c>
      <c r="BQ322" s="1398" t="str">
        <f t="shared" ref="BQ322:BQ385" si="629">IFERROR(AG322/AF322-1,"-")</f>
        <v>-</v>
      </c>
      <c r="BR322" s="1378"/>
      <c r="BS322" s="1329"/>
      <c r="BT322" s="1399"/>
      <c r="BU322" s="1331"/>
      <c r="BV322" s="1400"/>
      <c r="BW322" s="1378"/>
      <c r="BX322" s="1392" t="str">
        <f t="shared" ref="BX322:BX385" si="630">AW322</f>
        <v>Qty</v>
      </c>
      <c r="BY322" s="1393" t="str">
        <f t="shared" ref="BY322:BY385" si="631">AX322</f>
        <v>[Service]</v>
      </c>
      <c r="BZ322" s="1394" t="str">
        <f t="shared" ref="BZ322:BZ385" si="632">AY322</f>
        <v>[Price]</v>
      </c>
      <c r="CA322" s="1401" t="str">
        <f t="shared" ref="CA322:CR322" si="633">IFERROR((P322/O322-1)*(O323/O$13),"-")</f>
        <v>-</v>
      </c>
      <c r="CB322" s="1395" t="str">
        <f t="shared" si="633"/>
        <v>-</v>
      </c>
      <c r="CC322" s="1395" t="str">
        <f t="shared" si="633"/>
        <v>-</v>
      </c>
      <c r="CD322" s="1395" t="str">
        <f t="shared" si="633"/>
        <v>-</v>
      </c>
      <c r="CE322" s="1395" t="str">
        <f t="shared" si="633"/>
        <v>-</v>
      </c>
      <c r="CF322" s="1395" t="str">
        <f t="shared" si="633"/>
        <v>-</v>
      </c>
      <c r="CG322" s="1395" t="str">
        <f t="shared" si="633"/>
        <v>-</v>
      </c>
      <c r="CH322" s="1397" t="str">
        <f t="shared" si="633"/>
        <v>-</v>
      </c>
      <c r="CI322" s="1395" t="str">
        <f t="shared" si="633"/>
        <v>-</v>
      </c>
      <c r="CJ322" s="1395" t="str">
        <f t="shared" si="633"/>
        <v>-</v>
      </c>
      <c r="CK322" s="1395" t="str">
        <f t="shared" si="633"/>
        <v>-</v>
      </c>
      <c r="CL322" s="1395" t="str">
        <f t="shared" si="633"/>
        <v>-</v>
      </c>
      <c r="CM322" s="1397" t="str">
        <f t="shared" si="633"/>
        <v>-</v>
      </c>
      <c r="CN322" s="1395" t="str">
        <f t="shared" si="633"/>
        <v>-</v>
      </c>
      <c r="CO322" s="1395" t="str">
        <f t="shared" si="633"/>
        <v>-</v>
      </c>
      <c r="CP322" s="1395" t="str">
        <f t="shared" si="633"/>
        <v>-</v>
      </c>
      <c r="CQ322" s="1395" t="str">
        <f t="shared" si="633"/>
        <v>-</v>
      </c>
      <c r="CR322" s="1398" t="str">
        <f t="shared" si="633"/>
        <v>-</v>
      </c>
      <c r="CS322" s="1378"/>
      <c r="CT322" s="1392" t="str">
        <f t="shared" si="609"/>
        <v>Qty</v>
      </c>
      <c r="CU322" s="1393" t="str">
        <f t="shared" si="610"/>
        <v>[Service]</v>
      </c>
      <c r="CV322" s="1393" t="str">
        <f t="shared" si="611"/>
        <v>[Price]</v>
      </c>
      <c r="CW322" s="1401" t="str">
        <f t="shared" ref="CW322:CW385" si="634">IFERROR((Y322/$W322)^(1/CW$61)-1,"-")</f>
        <v>-</v>
      </c>
      <c r="CX322" s="1395" t="str">
        <f t="shared" ref="CX322:CX385" si="635">IFERROR((Z322/$W322)^(1/CX$61)-1,"-")</f>
        <v>-</v>
      </c>
      <c r="CY322" s="1395" t="str">
        <f t="shared" ref="CY322:CY385" si="636">IFERROR((AA322/$W322)^(1/CY$61)-1,"-")</f>
        <v>-</v>
      </c>
      <c r="CZ322" s="1398" t="str">
        <f t="shared" ref="CZ322:CZ385" si="637">IFERROR((AB322/$W322)^(1/CZ$61)-1,"-")</f>
        <v>-</v>
      </c>
      <c r="DA322" s="1395" t="str">
        <f t="shared" ref="DA322:DA385" si="638">IFERROR((AC322/$W322)^(1/DA$61)-1,"-")</f>
        <v>-</v>
      </c>
      <c r="DB322" s="1395" t="str">
        <f t="shared" ref="DB322:DB385" si="639">IFERROR((AD322/$W322)^(1/DB$61)-1,"-")</f>
        <v>-</v>
      </c>
      <c r="DC322" s="1395" t="str">
        <f t="shared" ref="DC322:DC385" si="640">IFERROR((AE322/$W322)^(1/DC$61)-1,"-")</f>
        <v>-</v>
      </c>
      <c r="DD322" s="1395" t="str">
        <f t="shared" ref="DD322:DD385" si="641">IFERROR((AF322/$W322)^(1/DD$61)-1,"-")</f>
        <v>-</v>
      </c>
      <c r="DE322" s="1398" t="str">
        <f t="shared" ref="DE322:DE385" si="642">IFERROR((AG322/$W322)^(1/DE$61)-1,"-")</f>
        <v>-</v>
      </c>
      <c r="DF322" s="1378"/>
      <c r="DG322" s="1392" t="str">
        <f t="shared" ref="DG322:DI385" si="643">CT322</f>
        <v>Qty</v>
      </c>
      <c r="DH322" s="1393" t="str">
        <f t="shared" si="643"/>
        <v>[Service]</v>
      </c>
      <c r="DI322" s="1393" t="str">
        <f t="shared" si="643"/>
        <v>[Price]</v>
      </c>
      <c r="DJ322" s="1393"/>
      <c r="DK322" s="1401" t="str">
        <f t="shared" ref="DK322:DK385" si="644">IFERROR((Z322/$X322)^(1/DK$61)-1,"-")</f>
        <v>-</v>
      </c>
      <c r="DL322" s="1395" t="str">
        <f t="shared" ref="DL322:DL385" si="645">IFERROR((AA322/$X322)^(1/DL$61)-1,"-")</f>
        <v>-</v>
      </c>
      <c r="DM322" s="1395" t="str">
        <f t="shared" ref="DM322:DM385" si="646">IFERROR((AB322/$X322)^(1/DM$61)-1,"-")</f>
        <v>-</v>
      </c>
      <c r="DN322" s="1397" t="str">
        <f t="shared" ref="DN322:DN385" si="647">IFERROR((AC322/$X322)^(1/DN$61)-1,"-")</f>
        <v>-</v>
      </c>
      <c r="DO322" s="1395" t="str">
        <f t="shared" ref="DO322:DO385" si="648">IFERROR((AD322/$X322)^(1/DO$61)-1,"-")</f>
        <v>-</v>
      </c>
      <c r="DP322" s="1395" t="str">
        <f t="shared" ref="DP322:DP385" si="649">IFERROR((AE322/$X322)^(1/DP$61)-1,"-")</f>
        <v>-</v>
      </c>
      <c r="DQ322" s="1395" t="str">
        <f t="shared" ref="DQ322:DQ385" si="650">IFERROR((AF322/$X322)^(1/DQ$61)-1,"-")</f>
        <v>-</v>
      </c>
      <c r="DR322" s="1398" t="str">
        <f t="shared" ref="DR322:DR385" si="651">IFERROR((AG322/$X322)^(1/DR$61)-1,"-")</f>
        <v>-</v>
      </c>
    </row>
    <row r="323" spans="4:122" ht="12.75" thickBot="1">
      <c r="E323" s="743" t="s">
        <v>46</v>
      </c>
      <c r="F323" s="732" t="str">
        <f>+F321</f>
        <v>[Service]</v>
      </c>
      <c r="G323" s="733">
        <f>+G321</f>
        <v>0</v>
      </c>
      <c r="H323" s="733">
        <f>+H321</f>
        <v>0</v>
      </c>
      <c r="I323" s="734" t="str">
        <f>+I321</f>
        <v>[Price]</v>
      </c>
      <c r="J323" s="735" t="s">
        <v>344</v>
      </c>
      <c r="K323" s="736">
        <f t="shared" ref="K323:AG323" si="652">K321*K322/10^6</f>
        <v>0</v>
      </c>
      <c r="L323" s="737">
        <f t="shared" si="652"/>
        <v>0</v>
      </c>
      <c r="M323" s="737">
        <f t="shared" si="652"/>
        <v>0</v>
      </c>
      <c r="N323" s="738">
        <f t="shared" si="652"/>
        <v>0</v>
      </c>
      <c r="O323" s="1923">
        <f t="shared" si="652"/>
        <v>0</v>
      </c>
      <c r="P323" s="737">
        <f t="shared" si="652"/>
        <v>0</v>
      </c>
      <c r="Q323" s="737">
        <f t="shared" si="652"/>
        <v>0</v>
      </c>
      <c r="R323" s="737">
        <f t="shared" si="652"/>
        <v>0</v>
      </c>
      <c r="S323" s="737">
        <f t="shared" si="652"/>
        <v>0</v>
      </c>
      <c r="T323" s="737">
        <f t="shared" si="652"/>
        <v>0</v>
      </c>
      <c r="U323" s="737">
        <f t="shared" si="652"/>
        <v>0</v>
      </c>
      <c r="V323" s="737">
        <f t="shared" si="652"/>
        <v>0</v>
      </c>
      <c r="W323" s="737">
        <f t="shared" si="652"/>
        <v>0</v>
      </c>
      <c r="X323" s="738">
        <f t="shared" si="652"/>
        <v>0</v>
      </c>
      <c r="Y323" s="737">
        <f t="shared" si="652"/>
        <v>0</v>
      </c>
      <c r="Z323" s="737">
        <f t="shared" si="652"/>
        <v>0</v>
      </c>
      <c r="AA323" s="737">
        <f t="shared" si="652"/>
        <v>0</v>
      </c>
      <c r="AB323" s="737">
        <f t="shared" si="652"/>
        <v>0</v>
      </c>
      <c r="AC323" s="738">
        <f t="shared" si="652"/>
        <v>0</v>
      </c>
      <c r="AD323" s="737">
        <f t="shared" si="652"/>
        <v>0</v>
      </c>
      <c r="AE323" s="737">
        <f t="shared" si="652"/>
        <v>0</v>
      </c>
      <c r="AF323" s="737">
        <f t="shared" si="652"/>
        <v>0</v>
      </c>
      <c r="AG323" s="739">
        <f t="shared" si="652"/>
        <v>0</v>
      </c>
      <c r="AH323" s="697"/>
      <c r="AI323" s="707"/>
      <c r="AJ323" s="709">
        <f t="shared" si="515"/>
        <v>0</v>
      </c>
      <c r="AK323" s="710">
        <f t="shared" si="516"/>
        <v>0</v>
      </c>
      <c r="AL323" s="710">
        <f t="shared" si="517"/>
        <v>0</v>
      </c>
      <c r="AM323" s="710">
        <f t="shared" si="518"/>
        <v>0</v>
      </c>
      <c r="AN323" s="710">
        <f t="shared" si="519"/>
        <v>0</v>
      </c>
      <c r="AO323" s="711">
        <f t="shared" si="520"/>
        <v>0</v>
      </c>
      <c r="AP323" s="707">
        <f t="shared" si="521"/>
        <v>0</v>
      </c>
      <c r="AQ323" s="707">
        <f t="shared" si="522"/>
        <v>0</v>
      </c>
      <c r="AR323" s="707">
        <f t="shared" si="523"/>
        <v>0</v>
      </c>
      <c r="AS323" s="712">
        <f t="shared" si="524"/>
        <v>0</v>
      </c>
      <c r="AV323" s="1559"/>
      <c r="AW323" s="1428" t="str">
        <f t="shared" si="612"/>
        <v>Rev</v>
      </c>
      <c r="AX323" s="1429" t="str">
        <f t="shared" si="612"/>
        <v>[Service]</v>
      </c>
      <c r="AY323" s="1430" t="str">
        <f t="shared" si="613"/>
        <v>[Price]</v>
      </c>
      <c r="AZ323" s="1431" t="str">
        <f t="shared" si="614"/>
        <v>-</v>
      </c>
      <c r="BA323" s="1431" t="str">
        <f t="shared" si="614"/>
        <v>-</v>
      </c>
      <c r="BB323" s="1431" t="str">
        <f t="shared" si="614"/>
        <v>-</v>
      </c>
      <c r="BC323" s="1431" t="str">
        <f t="shared" si="615"/>
        <v>-</v>
      </c>
      <c r="BD323" s="1431" t="str">
        <f t="shared" si="616"/>
        <v>-</v>
      </c>
      <c r="BE323" s="1431" t="str">
        <f t="shared" si="617"/>
        <v>-</v>
      </c>
      <c r="BF323" s="1431" t="str">
        <f t="shared" si="618"/>
        <v>-</v>
      </c>
      <c r="BG323" s="1432" t="str">
        <f t="shared" si="619"/>
        <v>-</v>
      </c>
      <c r="BH323" s="1431" t="str">
        <f t="shared" si="620"/>
        <v>-</v>
      </c>
      <c r="BI323" s="1431" t="str">
        <f t="shared" si="621"/>
        <v>-</v>
      </c>
      <c r="BJ323" s="1431" t="str">
        <f t="shared" si="622"/>
        <v>-</v>
      </c>
      <c r="BK323" s="1431" t="str">
        <f t="shared" si="623"/>
        <v>-</v>
      </c>
      <c r="BL323" s="1433" t="str">
        <f t="shared" si="624"/>
        <v>-</v>
      </c>
      <c r="BM323" s="1431" t="str">
        <f t="shared" si="625"/>
        <v>-</v>
      </c>
      <c r="BN323" s="1431" t="str">
        <f t="shared" si="626"/>
        <v>-</v>
      </c>
      <c r="BO323" s="1431" t="str">
        <f t="shared" si="627"/>
        <v>-</v>
      </c>
      <c r="BP323" s="1431" t="str">
        <f t="shared" si="628"/>
        <v>-</v>
      </c>
      <c r="BQ323" s="1434" t="str">
        <f t="shared" si="629"/>
        <v>-</v>
      </c>
      <c r="BR323" s="1378"/>
      <c r="BS323" s="1407"/>
      <c r="BT323" s="1408"/>
      <c r="BU323" s="1409"/>
      <c r="BV323" s="1410"/>
      <c r="BW323" s="1378"/>
      <c r="BX323" s="1428" t="str">
        <f t="shared" si="630"/>
        <v>Rev</v>
      </c>
      <c r="BY323" s="1429" t="str">
        <f t="shared" si="631"/>
        <v>[Service]</v>
      </c>
      <c r="BZ323" s="1430" t="str">
        <f t="shared" si="632"/>
        <v>[Price]</v>
      </c>
      <c r="CA323" s="1435" t="str">
        <f t="shared" ref="CA323:CR323" si="653">IFERROR((P323/O323-1)*(O323/O$13),"-")</f>
        <v>-</v>
      </c>
      <c r="CB323" s="1431" t="str">
        <f t="shared" si="653"/>
        <v>-</v>
      </c>
      <c r="CC323" s="1431" t="str">
        <f t="shared" si="653"/>
        <v>-</v>
      </c>
      <c r="CD323" s="1431" t="str">
        <f t="shared" si="653"/>
        <v>-</v>
      </c>
      <c r="CE323" s="1431" t="str">
        <f t="shared" si="653"/>
        <v>-</v>
      </c>
      <c r="CF323" s="1431" t="str">
        <f t="shared" si="653"/>
        <v>-</v>
      </c>
      <c r="CG323" s="1431" t="str">
        <f t="shared" si="653"/>
        <v>-</v>
      </c>
      <c r="CH323" s="1433" t="str">
        <f t="shared" si="653"/>
        <v>-</v>
      </c>
      <c r="CI323" s="1431" t="str">
        <f t="shared" si="653"/>
        <v>-</v>
      </c>
      <c r="CJ323" s="1431" t="str">
        <f t="shared" si="653"/>
        <v>-</v>
      </c>
      <c r="CK323" s="1431" t="str">
        <f t="shared" si="653"/>
        <v>-</v>
      </c>
      <c r="CL323" s="1431" t="str">
        <f t="shared" si="653"/>
        <v>-</v>
      </c>
      <c r="CM323" s="1433" t="str">
        <f t="shared" si="653"/>
        <v>-</v>
      </c>
      <c r="CN323" s="1431" t="str">
        <f t="shared" si="653"/>
        <v>-</v>
      </c>
      <c r="CO323" s="1431" t="str">
        <f t="shared" si="653"/>
        <v>-</v>
      </c>
      <c r="CP323" s="1431" t="str">
        <f t="shared" si="653"/>
        <v>-</v>
      </c>
      <c r="CQ323" s="1431" t="str">
        <f t="shared" si="653"/>
        <v>-</v>
      </c>
      <c r="CR323" s="1434" t="str">
        <f t="shared" si="653"/>
        <v>-</v>
      </c>
      <c r="CS323" s="1378"/>
      <c r="CT323" s="1428" t="str">
        <f t="shared" si="609"/>
        <v>Rev</v>
      </c>
      <c r="CU323" s="1429" t="str">
        <f t="shared" si="610"/>
        <v>[Service]</v>
      </c>
      <c r="CV323" s="1429" t="str">
        <f t="shared" si="611"/>
        <v>[Price]</v>
      </c>
      <c r="CW323" s="1435" t="str">
        <f t="shared" si="634"/>
        <v>-</v>
      </c>
      <c r="CX323" s="1431" t="str">
        <f t="shared" si="635"/>
        <v>-</v>
      </c>
      <c r="CY323" s="1431" t="str">
        <f t="shared" si="636"/>
        <v>-</v>
      </c>
      <c r="CZ323" s="1434" t="str">
        <f t="shared" si="637"/>
        <v>-</v>
      </c>
      <c r="DA323" s="1431" t="str">
        <f t="shared" si="638"/>
        <v>-</v>
      </c>
      <c r="DB323" s="1431" t="str">
        <f t="shared" si="639"/>
        <v>-</v>
      </c>
      <c r="DC323" s="1431" t="str">
        <f t="shared" si="640"/>
        <v>-</v>
      </c>
      <c r="DD323" s="1431" t="str">
        <f t="shared" si="641"/>
        <v>-</v>
      </c>
      <c r="DE323" s="1434" t="str">
        <f t="shared" si="642"/>
        <v>-</v>
      </c>
      <c r="DF323" s="1378"/>
      <c r="DG323" s="1428" t="str">
        <f t="shared" si="643"/>
        <v>Rev</v>
      </c>
      <c r="DH323" s="1429" t="str">
        <f t="shared" si="643"/>
        <v>[Service]</v>
      </c>
      <c r="DI323" s="1429" t="str">
        <f t="shared" si="643"/>
        <v>[Price]</v>
      </c>
      <c r="DJ323" s="1429"/>
      <c r="DK323" s="1435" t="str">
        <f t="shared" si="644"/>
        <v>-</v>
      </c>
      <c r="DL323" s="1431" t="str">
        <f t="shared" si="645"/>
        <v>-</v>
      </c>
      <c r="DM323" s="1431" t="str">
        <f t="shared" si="646"/>
        <v>-</v>
      </c>
      <c r="DN323" s="1433" t="str">
        <f t="shared" si="647"/>
        <v>-</v>
      </c>
      <c r="DO323" s="1431" t="str">
        <f t="shared" si="648"/>
        <v>-</v>
      </c>
      <c r="DP323" s="1431" t="str">
        <f t="shared" si="649"/>
        <v>-</v>
      </c>
      <c r="DQ323" s="1431" t="str">
        <f t="shared" si="650"/>
        <v>-</v>
      </c>
      <c r="DR323" s="1434" t="str">
        <f t="shared" si="651"/>
        <v>-</v>
      </c>
    </row>
    <row r="324" spans="4:122">
      <c r="D324" s="70">
        <f>D321+1</f>
        <v>87</v>
      </c>
      <c r="E324" s="713" t="s">
        <v>44</v>
      </c>
      <c r="F324" s="1532" t="s">
        <v>27</v>
      </c>
      <c r="G324" s="1532"/>
      <c r="H324" s="1532"/>
      <c r="I324" s="781" t="s">
        <v>318</v>
      </c>
      <c r="J324" s="781" t="s">
        <v>345</v>
      </c>
      <c r="K324" s="1533"/>
      <c r="L324" s="1534"/>
      <c r="M324" s="1534"/>
      <c r="N324" s="1535"/>
      <c r="O324" s="2071"/>
      <c r="P324" s="1547"/>
      <c r="Q324" s="1547"/>
      <c r="R324" s="1547"/>
      <c r="S324" s="1547"/>
      <c r="T324" s="1547"/>
      <c r="U324" s="1547"/>
      <c r="V324" s="1547"/>
      <c r="W324" s="1547"/>
      <c r="X324" s="1548"/>
      <c r="Y324" s="1547"/>
      <c r="Z324" s="1547"/>
      <c r="AA324" s="1547"/>
      <c r="AB324" s="1547"/>
      <c r="AC324" s="1548"/>
      <c r="AD324" s="1547"/>
      <c r="AE324" s="1547"/>
      <c r="AF324" s="1547"/>
      <c r="AG324" s="785"/>
      <c r="AH324" s="697"/>
      <c r="AI324" s="707"/>
      <c r="AJ324" s="709">
        <f t="shared" si="515"/>
        <v>0</v>
      </c>
      <c r="AK324" s="710">
        <f t="shared" si="516"/>
        <v>0</v>
      </c>
      <c r="AL324" s="710">
        <f t="shared" si="517"/>
        <v>0</v>
      </c>
      <c r="AM324" s="710">
        <f t="shared" si="518"/>
        <v>0</v>
      </c>
      <c r="AN324" s="710">
        <f t="shared" si="519"/>
        <v>0</v>
      </c>
      <c r="AO324" s="711">
        <f t="shared" si="520"/>
        <v>0</v>
      </c>
      <c r="AP324" s="707">
        <f t="shared" si="521"/>
        <v>0</v>
      </c>
      <c r="AQ324" s="707">
        <f t="shared" si="522"/>
        <v>0</v>
      </c>
      <c r="AR324" s="707">
        <f t="shared" si="523"/>
        <v>0</v>
      </c>
      <c r="AS324" s="712">
        <f t="shared" si="524"/>
        <v>0</v>
      </c>
      <c r="AU324" s="1369"/>
      <c r="AV324" s="1559"/>
      <c r="AW324" s="1412" t="str">
        <f t="shared" si="612"/>
        <v>Price</v>
      </c>
      <c r="AX324" s="1413" t="str">
        <f t="shared" si="612"/>
        <v>[Service]</v>
      </c>
      <c r="AY324" s="1414" t="str">
        <f t="shared" si="613"/>
        <v>[Price]</v>
      </c>
      <c r="AZ324" s="1415" t="str">
        <f t="shared" si="614"/>
        <v>-</v>
      </c>
      <c r="BA324" s="1415" t="str">
        <f t="shared" si="614"/>
        <v>-</v>
      </c>
      <c r="BB324" s="1415" t="str">
        <f t="shared" si="614"/>
        <v>-</v>
      </c>
      <c r="BC324" s="1415" t="str">
        <f t="shared" si="615"/>
        <v>-</v>
      </c>
      <c r="BD324" s="1415" t="str">
        <f t="shared" si="616"/>
        <v>-</v>
      </c>
      <c r="BE324" s="1415" t="str">
        <f t="shared" si="617"/>
        <v>-</v>
      </c>
      <c r="BF324" s="1415" t="str">
        <f t="shared" si="618"/>
        <v>-</v>
      </c>
      <c r="BG324" s="1416" t="str">
        <f t="shared" si="619"/>
        <v>-</v>
      </c>
      <c r="BH324" s="1417" t="str">
        <f t="shared" si="620"/>
        <v>-</v>
      </c>
      <c r="BI324" s="1417" t="str">
        <f t="shared" si="621"/>
        <v>-</v>
      </c>
      <c r="BJ324" s="1417" t="str">
        <f t="shared" si="622"/>
        <v>-</v>
      </c>
      <c r="BK324" s="1417" t="str">
        <f t="shared" si="623"/>
        <v>-</v>
      </c>
      <c r="BL324" s="1418" t="str">
        <f t="shared" si="624"/>
        <v>-</v>
      </c>
      <c r="BM324" s="1417" t="str">
        <f t="shared" si="625"/>
        <v>-</v>
      </c>
      <c r="BN324" s="1417" t="str">
        <f t="shared" si="626"/>
        <v>-</v>
      </c>
      <c r="BO324" s="1417" t="str">
        <f t="shared" si="627"/>
        <v>-</v>
      </c>
      <c r="BP324" s="1417" t="str">
        <f t="shared" si="628"/>
        <v>-</v>
      </c>
      <c r="BQ324" s="1419" t="str">
        <f t="shared" si="629"/>
        <v>-</v>
      </c>
      <c r="BR324" s="1378"/>
      <c r="BS324" s="1420"/>
      <c r="BT324" s="1421"/>
      <c r="BU324" s="1422"/>
      <c r="BV324" s="1423"/>
      <c r="BW324" s="1378"/>
      <c r="BX324" s="1412" t="str">
        <f t="shared" si="630"/>
        <v>Price</v>
      </c>
      <c r="BY324" s="1413" t="str">
        <f t="shared" si="631"/>
        <v>[Service]</v>
      </c>
      <c r="BZ324" s="1414" t="str">
        <f t="shared" si="632"/>
        <v>[Price]</v>
      </c>
      <c r="CA324" s="1424" t="str">
        <f t="shared" ref="CA324:CR324" si="654">IFERROR((P324/O324-1)*(O326/O$13),"-")</f>
        <v>-</v>
      </c>
      <c r="CB324" s="1415" t="str">
        <f t="shared" si="654"/>
        <v>-</v>
      </c>
      <c r="CC324" s="1415" t="str">
        <f t="shared" si="654"/>
        <v>-</v>
      </c>
      <c r="CD324" s="1415" t="str">
        <f t="shared" si="654"/>
        <v>-</v>
      </c>
      <c r="CE324" s="1415" t="str">
        <f t="shared" si="654"/>
        <v>-</v>
      </c>
      <c r="CF324" s="1415" t="str">
        <f t="shared" si="654"/>
        <v>-</v>
      </c>
      <c r="CG324" s="1415" t="str">
        <f t="shared" si="654"/>
        <v>-</v>
      </c>
      <c r="CH324" s="1425" t="str">
        <f t="shared" si="654"/>
        <v>-</v>
      </c>
      <c r="CI324" s="1417" t="str">
        <f t="shared" si="654"/>
        <v>-</v>
      </c>
      <c r="CJ324" s="1417" t="str">
        <f t="shared" si="654"/>
        <v>-</v>
      </c>
      <c r="CK324" s="1417" t="str">
        <f t="shared" si="654"/>
        <v>-</v>
      </c>
      <c r="CL324" s="1417" t="str">
        <f t="shared" si="654"/>
        <v>-</v>
      </c>
      <c r="CM324" s="1418" t="str">
        <f t="shared" si="654"/>
        <v>-</v>
      </c>
      <c r="CN324" s="1417" t="str">
        <f t="shared" si="654"/>
        <v>-</v>
      </c>
      <c r="CO324" s="1417" t="str">
        <f t="shared" si="654"/>
        <v>-</v>
      </c>
      <c r="CP324" s="1417" t="str">
        <f t="shared" si="654"/>
        <v>-</v>
      </c>
      <c r="CQ324" s="1417" t="str">
        <f t="shared" si="654"/>
        <v>-</v>
      </c>
      <c r="CR324" s="1419" t="str">
        <f t="shared" si="654"/>
        <v>-</v>
      </c>
      <c r="CS324" s="1378"/>
      <c r="CT324" s="1412" t="str">
        <f t="shared" si="609"/>
        <v>Price</v>
      </c>
      <c r="CU324" s="1413" t="str">
        <f t="shared" si="610"/>
        <v>[Service]</v>
      </c>
      <c r="CV324" s="1426" t="str">
        <f t="shared" si="611"/>
        <v>[Price]</v>
      </c>
      <c r="CW324" s="1427" t="str">
        <f t="shared" si="634"/>
        <v>-</v>
      </c>
      <c r="CX324" s="1417" t="str">
        <f t="shared" si="635"/>
        <v>-</v>
      </c>
      <c r="CY324" s="1417" t="str">
        <f t="shared" si="636"/>
        <v>-</v>
      </c>
      <c r="CZ324" s="1419" t="str">
        <f t="shared" si="637"/>
        <v>-</v>
      </c>
      <c r="DA324" s="1417" t="str">
        <f t="shared" si="638"/>
        <v>-</v>
      </c>
      <c r="DB324" s="1417" t="str">
        <f t="shared" si="639"/>
        <v>-</v>
      </c>
      <c r="DC324" s="1417" t="str">
        <f t="shared" si="640"/>
        <v>-</v>
      </c>
      <c r="DD324" s="1417" t="str">
        <f t="shared" si="641"/>
        <v>-</v>
      </c>
      <c r="DE324" s="1419" t="str">
        <f t="shared" si="642"/>
        <v>-</v>
      </c>
      <c r="DF324" s="1378"/>
      <c r="DG324" s="1412" t="str">
        <f t="shared" si="643"/>
        <v>Price</v>
      </c>
      <c r="DH324" s="1413" t="str">
        <f t="shared" si="643"/>
        <v>[Service]</v>
      </c>
      <c r="DI324" s="1426" t="str">
        <f t="shared" si="643"/>
        <v>[Price]</v>
      </c>
      <c r="DJ324" s="1426"/>
      <c r="DK324" s="1427" t="str">
        <f t="shared" si="644"/>
        <v>-</v>
      </c>
      <c r="DL324" s="1417" t="str">
        <f t="shared" si="645"/>
        <v>-</v>
      </c>
      <c r="DM324" s="1417" t="str">
        <f t="shared" si="646"/>
        <v>-</v>
      </c>
      <c r="DN324" s="1418" t="str">
        <f t="shared" si="647"/>
        <v>-</v>
      </c>
      <c r="DO324" s="1417" t="str">
        <f t="shared" si="648"/>
        <v>-</v>
      </c>
      <c r="DP324" s="1417" t="str">
        <f t="shared" si="649"/>
        <v>-</v>
      </c>
      <c r="DQ324" s="1417" t="str">
        <f t="shared" si="650"/>
        <v>-</v>
      </c>
      <c r="DR324" s="1419" t="str">
        <f t="shared" si="651"/>
        <v>-</v>
      </c>
    </row>
    <row r="325" spans="4:122">
      <c r="E325" s="742" t="s">
        <v>45</v>
      </c>
      <c r="F325" s="722" t="str">
        <f>+F324</f>
        <v>[Service]</v>
      </c>
      <c r="G325" s="723">
        <f>+G324</f>
        <v>0</v>
      </c>
      <c r="H325" s="723">
        <f>+H324</f>
        <v>0</v>
      </c>
      <c r="I325" s="724" t="str">
        <f>+I324</f>
        <v>[Price]</v>
      </c>
      <c r="J325" s="782" t="s">
        <v>322</v>
      </c>
      <c r="K325" s="1540"/>
      <c r="L325" s="1541"/>
      <c r="M325" s="1541"/>
      <c r="N325" s="1542"/>
      <c r="O325" s="2031"/>
      <c r="P325" s="1543"/>
      <c r="Q325" s="1543"/>
      <c r="R325" s="1543"/>
      <c r="S325" s="1543"/>
      <c r="T325" s="1543"/>
      <c r="U325" s="1543"/>
      <c r="V325" s="1543"/>
      <c r="W325" s="1543"/>
      <c r="X325" s="1544"/>
      <c r="Y325" s="1543"/>
      <c r="Z325" s="1543"/>
      <c r="AA325" s="1543"/>
      <c r="AB325" s="1543"/>
      <c r="AC325" s="1544"/>
      <c r="AD325" s="1543"/>
      <c r="AE325" s="1543"/>
      <c r="AF325" s="1543"/>
      <c r="AG325" s="788"/>
      <c r="AH325" s="697"/>
      <c r="AI325" s="707"/>
      <c r="AJ325" s="709">
        <f t="shared" ref="AJ325:AJ388" si="655">+X325</f>
        <v>0</v>
      </c>
      <c r="AK325" s="710">
        <f t="shared" ref="AK325:AK388" si="656">+Y325</f>
        <v>0</v>
      </c>
      <c r="AL325" s="710">
        <f t="shared" ref="AL325:AL388" si="657">+Z325</f>
        <v>0</v>
      </c>
      <c r="AM325" s="710">
        <f t="shared" ref="AM325:AM388" si="658">+AA325</f>
        <v>0</v>
      </c>
      <c r="AN325" s="710">
        <f t="shared" ref="AN325:AN388" si="659">+AB325</f>
        <v>0</v>
      </c>
      <c r="AO325" s="711">
        <f t="shared" ref="AO325:AO388" si="660">+AC325</f>
        <v>0</v>
      </c>
      <c r="AP325" s="707">
        <f t="shared" ref="AP325:AP388" si="661">+AD325</f>
        <v>0</v>
      </c>
      <c r="AQ325" s="707">
        <f t="shared" ref="AQ325:AQ388" si="662">+AE325</f>
        <v>0</v>
      </c>
      <c r="AR325" s="707">
        <f t="shared" ref="AR325:AR388" si="663">+AF325</f>
        <v>0</v>
      </c>
      <c r="AS325" s="712">
        <f t="shared" ref="AS325:AS388" si="664">+AG325</f>
        <v>0</v>
      </c>
      <c r="AV325" s="1559"/>
      <c r="AW325" s="1392" t="str">
        <f t="shared" si="612"/>
        <v>Qty</v>
      </c>
      <c r="AX325" s="1393" t="str">
        <f t="shared" si="612"/>
        <v>[Service]</v>
      </c>
      <c r="AY325" s="1394" t="str">
        <f t="shared" si="613"/>
        <v>[Price]</v>
      </c>
      <c r="AZ325" s="1395" t="str">
        <f t="shared" si="614"/>
        <v>-</v>
      </c>
      <c r="BA325" s="1395" t="str">
        <f t="shared" si="614"/>
        <v>-</v>
      </c>
      <c r="BB325" s="1395" t="str">
        <f t="shared" si="614"/>
        <v>-</v>
      </c>
      <c r="BC325" s="1395" t="str">
        <f t="shared" si="615"/>
        <v>-</v>
      </c>
      <c r="BD325" s="1395" t="str">
        <f t="shared" si="616"/>
        <v>-</v>
      </c>
      <c r="BE325" s="1395" t="str">
        <f t="shared" si="617"/>
        <v>-</v>
      </c>
      <c r="BF325" s="1395" t="str">
        <f t="shared" si="618"/>
        <v>-</v>
      </c>
      <c r="BG325" s="1396" t="str">
        <f t="shared" si="619"/>
        <v>-</v>
      </c>
      <c r="BH325" s="1395" t="str">
        <f t="shared" si="620"/>
        <v>-</v>
      </c>
      <c r="BI325" s="1395" t="str">
        <f t="shared" si="621"/>
        <v>-</v>
      </c>
      <c r="BJ325" s="1395" t="str">
        <f t="shared" si="622"/>
        <v>-</v>
      </c>
      <c r="BK325" s="1395" t="str">
        <f t="shared" si="623"/>
        <v>-</v>
      </c>
      <c r="BL325" s="1397" t="str">
        <f t="shared" si="624"/>
        <v>-</v>
      </c>
      <c r="BM325" s="1395" t="str">
        <f t="shared" si="625"/>
        <v>-</v>
      </c>
      <c r="BN325" s="1395" t="str">
        <f t="shared" si="626"/>
        <v>-</v>
      </c>
      <c r="BO325" s="1395" t="str">
        <f t="shared" si="627"/>
        <v>-</v>
      </c>
      <c r="BP325" s="1395" t="str">
        <f t="shared" si="628"/>
        <v>-</v>
      </c>
      <c r="BQ325" s="1398" t="str">
        <f t="shared" si="629"/>
        <v>-</v>
      </c>
      <c r="BR325" s="1378"/>
      <c r="BS325" s="1329"/>
      <c r="BT325" s="1399"/>
      <c r="BU325" s="1331"/>
      <c r="BV325" s="1400"/>
      <c r="BW325" s="1378"/>
      <c r="BX325" s="1392" t="str">
        <f t="shared" si="630"/>
        <v>Qty</v>
      </c>
      <c r="BY325" s="1393" t="str">
        <f t="shared" si="631"/>
        <v>[Service]</v>
      </c>
      <c r="BZ325" s="1394" t="str">
        <f t="shared" si="632"/>
        <v>[Price]</v>
      </c>
      <c r="CA325" s="1401" t="str">
        <f t="shared" ref="CA325:CR325" si="665">IFERROR((P325/O325-1)*(O326/O$13),"-")</f>
        <v>-</v>
      </c>
      <c r="CB325" s="1395" t="str">
        <f t="shared" si="665"/>
        <v>-</v>
      </c>
      <c r="CC325" s="1395" t="str">
        <f t="shared" si="665"/>
        <v>-</v>
      </c>
      <c r="CD325" s="1395" t="str">
        <f t="shared" si="665"/>
        <v>-</v>
      </c>
      <c r="CE325" s="1395" t="str">
        <f t="shared" si="665"/>
        <v>-</v>
      </c>
      <c r="CF325" s="1395" t="str">
        <f t="shared" si="665"/>
        <v>-</v>
      </c>
      <c r="CG325" s="1395" t="str">
        <f t="shared" si="665"/>
        <v>-</v>
      </c>
      <c r="CH325" s="1397" t="str">
        <f t="shared" si="665"/>
        <v>-</v>
      </c>
      <c r="CI325" s="1395" t="str">
        <f t="shared" si="665"/>
        <v>-</v>
      </c>
      <c r="CJ325" s="1395" t="str">
        <f t="shared" si="665"/>
        <v>-</v>
      </c>
      <c r="CK325" s="1395" t="str">
        <f t="shared" si="665"/>
        <v>-</v>
      </c>
      <c r="CL325" s="1395" t="str">
        <f t="shared" si="665"/>
        <v>-</v>
      </c>
      <c r="CM325" s="1397" t="str">
        <f t="shared" si="665"/>
        <v>-</v>
      </c>
      <c r="CN325" s="1395" t="str">
        <f t="shared" si="665"/>
        <v>-</v>
      </c>
      <c r="CO325" s="1395" t="str">
        <f t="shared" si="665"/>
        <v>-</v>
      </c>
      <c r="CP325" s="1395" t="str">
        <f t="shared" si="665"/>
        <v>-</v>
      </c>
      <c r="CQ325" s="1395" t="str">
        <f t="shared" si="665"/>
        <v>-</v>
      </c>
      <c r="CR325" s="1398" t="str">
        <f t="shared" si="665"/>
        <v>-</v>
      </c>
      <c r="CS325" s="1378"/>
      <c r="CT325" s="1392" t="str">
        <f t="shared" si="609"/>
        <v>Qty</v>
      </c>
      <c r="CU325" s="1393" t="str">
        <f t="shared" si="610"/>
        <v>[Service]</v>
      </c>
      <c r="CV325" s="1393" t="str">
        <f t="shared" si="611"/>
        <v>[Price]</v>
      </c>
      <c r="CW325" s="1401" t="str">
        <f t="shared" si="634"/>
        <v>-</v>
      </c>
      <c r="CX325" s="1395" t="str">
        <f t="shared" si="635"/>
        <v>-</v>
      </c>
      <c r="CY325" s="1395" t="str">
        <f t="shared" si="636"/>
        <v>-</v>
      </c>
      <c r="CZ325" s="1398" t="str">
        <f t="shared" si="637"/>
        <v>-</v>
      </c>
      <c r="DA325" s="1395" t="str">
        <f t="shared" si="638"/>
        <v>-</v>
      </c>
      <c r="DB325" s="1395" t="str">
        <f t="shared" si="639"/>
        <v>-</v>
      </c>
      <c r="DC325" s="1395" t="str">
        <f t="shared" si="640"/>
        <v>-</v>
      </c>
      <c r="DD325" s="1395" t="str">
        <f t="shared" si="641"/>
        <v>-</v>
      </c>
      <c r="DE325" s="1398" t="str">
        <f t="shared" si="642"/>
        <v>-</v>
      </c>
      <c r="DF325" s="1378"/>
      <c r="DG325" s="1392" t="str">
        <f t="shared" si="643"/>
        <v>Qty</v>
      </c>
      <c r="DH325" s="1393" t="str">
        <f t="shared" si="643"/>
        <v>[Service]</v>
      </c>
      <c r="DI325" s="1393" t="str">
        <f t="shared" si="643"/>
        <v>[Price]</v>
      </c>
      <c r="DJ325" s="1393"/>
      <c r="DK325" s="1401" t="str">
        <f t="shared" si="644"/>
        <v>-</v>
      </c>
      <c r="DL325" s="1395" t="str">
        <f t="shared" si="645"/>
        <v>-</v>
      </c>
      <c r="DM325" s="1395" t="str">
        <f t="shared" si="646"/>
        <v>-</v>
      </c>
      <c r="DN325" s="1397" t="str">
        <f t="shared" si="647"/>
        <v>-</v>
      </c>
      <c r="DO325" s="1395" t="str">
        <f t="shared" si="648"/>
        <v>-</v>
      </c>
      <c r="DP325" s="1395" t="str">
        <f t="shared" si="649"/>
        <v>-</v>
      </c>
      <c r="DQ325" s="1395" t="str">
        <f t="shared" si="650"/>
        <v>-</v>
      </c>
      <c r="DR325" s="1398" t="str">
        <f t="shared" si="651"/>
        <v>-</v>
      </c>
    </row>
    <row r="326" spans="4:122" ht="12.75" thickBot="1">
      <c r="E326" s="743" t="s">
        <v>46</v>
      </c>
      <c r="F326" s="732" t="str">
        <f>+F324</f>
        <v>[Service]</v>
      </c>
      <c r="G326" s="733">
        <f>+G324</f>
        <v>0</v>
      </c>
      <c r="H326" s="733">
        <f>+H324</f>
        <v>0</v>
      </c>
      <c r="I326" s="734" t="str">
        <f>+I324</f>
        <v>[Price]</v>
      </c>
      <c r="J326" s="735" t="s">
        <v>344</v>
      </c>
      <c r="K326" s="736">
        <f t="shared" ref="K326:AG326" si="666">K324*K325/10^6</f>
        <v>0</v>
      </c>
      <c r="L326" s="737">
        <f t="shared" si="666"/>
        <v>0</v>
      </c>
      <c r="M326" s="737">
        <f t="shared" si="666"/>
        <v>0</v>
      </c>
      <c r="N326" s="738">
        <f t="shared" si="666"/>
        <v>0</v>
      </c>
      <c r="O326" s="1923">
        <f t="shared" si="666"/>
        <v>0</v>
      </c>
      <c r="P326" s="737">
        <f t="shared" si="666"/>
        <v>0</v>
      </c>
      <c r="Q326" s="737">
        <f t="shared" si="666"/>
        <v>0</v>
      </c>
      <c r="R326" s="737">
        <f t="shared" si="666"/>
        <v>0</v>
      </c>
      <c r="S326" s="737">
        <f t="shared" si="666"/>
        <v>0</v>
      </c>
      <c r="T326" s="737">
        <f t="shared" si="666"/>
        <v>0</v>
      </c>
      <c r="U326" s="737">
        <f t="shared" si="666"/>
        <v>0</v>
      </c>
      <c r="V326" s="737">
        <f t="shared" si="666"/>
        <v>0</v>
      </c>
      <c r="W326" s="737">
        <f t="shared" si="666"/>
        <v>0</v>
      </c>
      <c r="X326" s="738">
        <f t="shared" si="666"/>
        <v>0</v>
      </c>
      <c r="Y326" s="737">
        <f t="shared" si="666"/>
        <v>0</v>
      </c>
      <c r="Z326" s="737">
        <f t="shared" si="666"/>
        <v>0</v>
      </c>
      <c r="AA326" s="737">
        <f t="shared" si="666"/>
        <v>0</v>
      </c>
      <c r="AB326" s="737">
        <f t="shared" si="666"/>
        <v>0</v>
      </c>
      <c r="AC326" s="738">
        <f t="shared" si="666"/>
        <v>0</v>
      </c>
      <c r="AD326" s="737">
        <f t="shared" si="666"/>
        <v>0</v>
      </c>
      <c r="AE326" s="737">
        <f t="shared" si="666"/>
        <v>0</v>
      </c>
      <c r="AF326" s="737">
        <f t="shared" si="666"/>
        <v>0</v>
      </c>
      <c r="AG326" s="739">
        <f t="shared" si="666"/>
        <v>0</v>
      </c>
      <c r="AH326" s="697"/>
      <c r="AI326" s="707"/>
      <c r="AJ326" s="709">
        <f t="shared" si="655"/>
        <v>0</v>
      </c>
      <c r="AK326" s="710">
        <f t="shared" si="656"/>
        <v>0</v>
      </c>
      <c r="AL326" s="710">
        <f t="shared" si="657"/>
        <v>0</v>
      </c>
      <c r="AM326" s="710">
        <f t="shared" si="658"/>
        <v>0</v>
      </c>
      <c r="AN326" s="710">
        <f t="shared" si="659"/>
        <v>0</v>
      </c>
      <c r="AO326" s="711">
        <f t="shared" si="660"/>
        <v>0</v>
      </c>
      <c r="AP326" s="707">
        <f t="shared" si="661"/>
        <v>0</v>
      </c>
      <c r="AQ326" s="707">
        <f t="shared" si="662"/>
        <v>0</v>
      </c>
      <c r="AR326" s="707">
        <f t="shared" si="663"/>
        <v>0</v>
      </c>
      <c r="AS326" s="712">
        <f t="shared" si="664"/>
        <v>0</v>
      </c>
      <c r="AV326" s="1559"/>
      <c r="AW326" s="1428" t="str">
        <f t="shared" si="612"/>
        <v>Rev</v>
      </c>
      <c r="AX326" s="1429" t="str">
        <f t="shared" si="612"/>
        <v>[Service]</v>
      </c>
      <c r="AY326" s="1430" t="str">
        <f t="shared" si="613"/>
        <v>[Price]</v>
      </c>
      <c r="AZ326" s="1431" t="str">
        <f t="shared" si="614"/>
        <v>-</v>
      </c>
      <c r="BA326" s="1431" t="str">
        <f t="shared" si="614"/>
        <v>-</v>
      </c>
      <c r="BB326" s="1431" t="str">
        <f t="shared" si="614"/>
        <v>-</v>
      </c>
      <c r="BC326" s="1431" t="str">
        <f t="shared" si="615"/>
        <v>-</v>
      </c>
      <c r="BD326" s="1431" t="str">
        <f t="shared" si="616"/>
        <v>-</v>
      </c>
      <c r="BE326" s="1431" t="str">
        <f t="shared" si="617"/>
        <v>-</v>
      </c>
      <c r="BF326" s="1431" t="str">
        <f t="shared" si="618"/>
        <v>-</v>
      </c>
      <c r="BG326" s="1432" t="str">
        <f t="shared" si="619"/>
        <v>-</v>
      </c>
      <c r="BH326" s="1431" t="str">
        <f t="shared" si="620"/>
        <v>-</v>
      </c>
      <c r="BI326" s="1431" t="str">
        <f t="shared" si="621"/>
        <v>-</v>
      </c>
      <c r="BJ326" s="1431" t="str">
        <f t="shared" si="622"/>
        <v>-</v>
      </c>
      <c r="BK326" s="1431" t="str">
        <f t="shared" si="623"/>
        <v>-</v>
      </c>
      <c r="BL326" s="1433" t="str">
        <f t="shared" si="624"/>
        <v>-</v>
      </c>
      <c r="BM326" s="1431" t="str">
        <f t="shared" si="625"/>
        <v>-</v>
      </c>
      <c r="BN326" s="1431" t="str">
        <f t="shared" si="626"/>
        <v>-</v>
      </c>
      <c r="BO326" s="1431" t="str">
        <f t="shared" si="627"/>
        <v>-</v>
      </c>
      <c r="BP326" s="1431" t="str">
        <f t="shared" si="628"/>
        <v>-</v>
      </c>
      <c r="BQ326" s="1434" t="str">
        <f t="shared" si="629"/>
        <v>-</v>
      </c>
      <c r="BR326" s="1378"/>
      <c r="BS326" s="1407"/>
      <c r="BT326" s="1408"/>
      <c r="BU326" s="1409"/>
      <c r="BV326" s="1410"/>
      <c r="BW326" s="1378"/>
      <c r="BX326" s="1428" t="str">
        <f t="shared" si="630"/>
        <v>Rev</v>
      </c>
      <c r="BY326" s="1429" t="str">
        <f t="shared" si="631"/>
        <v>[Service]</v>
      </c>
      <c r="BZ326" s="1430" t="str">
        <f t="shared" si="632"/>
        <v>[Price]</v>
      </c>
      <c r="CA326" s="1435" t="str">
        <f t="shared" ref="CA326:CR326" si="667">IFERROR((P326/O326-1)*(O326/O$13),"-")</f>
        <v>-</v>
      </c>
      <c r="CB326" s="1431" t="str">
        <f t="shared" si="667"/>
        <v>-</v>
      </c>
      <c r="CC326" s="1431" t="str">
        <f t="shared" si="667"/>
        <v>-</v>
      </c>
      <c r="CD326" s="1431" t="str">
        <f t="shared" si="667"/>
        <v>-</v>
      </c>
      <c r="CE326" s="1431" t="str">
        <f t="shared" si="667"/>
        <v>-</v>
      </c>
      <c r="CF326" s="1431" t="str">
        <f t="shared" si="667"/>
        <v>-</v>
      </c>
      <c r="CG326" s="1431" t="str">
        <f t="shared" si="667"/>
        <v>-</v>
      </c>
      <c r="CH326" s="1433" t="str">
        <f t="shared" si="667"/>
        <v>-</v>
      </c>
      <c r="CI326" s="1431" t="str">
        <f t="shared" si="667"/>
        <v>-</v>
      </c>
      <c r="CJ326" s="1431" t="str">
        <f t="shared" si="667"/>
        <v>-</v>
      </c>
      <c r="CK326" s="1431" t="str">
        <f t="shared" si="667"/>
        <v>-</v>
      </c>
      <c r="CL326" s="1431" t="str">
        <f t="shared" si="667"/>
        <v>-</v>
      </c>
      <c r="CM326" s="1433" t="str">
        <f t="shared" si="667"/>
        <v>-</v>
      </c>
      <c r="CN326" s="1431" t="str">
        <f t="shared" si="667"/>
        <v>-</v>
      </c>
      <c r="CO326" s="1431" t="str">
        <f t="shared" si="667"/>
        <v>-</v>
      </c>
      <c r="CP326" s="1431" t="str">
        <f t="shared" si="667"/>
        <v>-</v>
      </c>
      <c r="CQ326" s="1431" t="str">
        <f t="shared" si="667"/>
        <v>-</v>
      </c>
      <c r="CR326" s="1434" t="str">
        <f t="shared" si="667"/>
        <v>-</v>
      </c>
      <c r="CS326" s="1378"/>
      <c r="CT326" s="1428" t="str">
        <f t="shared" si="609"/>
        <v>Rev</v>
      </c>
      <c r="CU326" s="1429" t="str">
        <f t="shared" si="610"/>
        <v>[Service]</v>
      </c>
      <c r="CV326" s="1429" t="str">
        <f t="shared" si="611"/>
        <v>[Price]</v>
      </c>
      <c r="CW326" s="1435" t="str">
        <f t="shared" si="634"/>
        <v>-</v>
      </c>
      <c r="CX326" s="1431" t="str">
        <f t="shared" si="635"/>
        <v>-</v>
      </c>
      <c r="CY326" s="1431" t="str">
        <f t="shared" si="636"/>
        <v>-</v>
      </c>
      <c r="CZ326" s="1434" t="str">
        <f t="shared" si="637"/>
        <v>-</v>
      </c>
      <c r="DA326" s="1431" t="str">
        <f t="shared" si="638"/>
        <v>-</v>
      </c>
      <c r="DB326" s="1431" t="str">
        <f t="shared" si="639"/>
        <v>-</v>
      </c>
      <c r="DC326" s="1431" t="str">
        <f t="shared" si="640"/>
        <v>-</v>
      </c>
      <c r="DD326" s="1431" t="str">
        <f t="shared" si="641"/>
        <v>-</v>
      </c>
      <c r="DE326" s="1434" t="str">
        <f t="shared" si="642"/>
        <v>-</v>
      </c>
      <c r="DF326" s="1378"/>
      <c r="DG326" s="1428" t="str">
        <f t="shared" si="643"/>
        <v>Rev</v>
      </c>
      <c r="DH326" s="1429" t="str">
        <f t="shared" si="643"/>
        <v>[Service]</v>
      </c>
      <c r="DI326" s="1429" t="str">
        <f t="shared" si="643"/>
        <v>[Price]</v>
      </c>
      <c r="DJ326" s="1429"/>
      <c r="DK326" s="1435" t="str">
        <f t="shared" si="644"/>
        <v>-</v>
      </c>
      <c r="DL326" s="1431" t="str">
        <f t="shared" si="645"/>
        <v>-</v>
      </c>
      <c r="DM326" s="1431" t="str">
        <f t="shared" si="646"/>
        <v>-</v>
      </c>
      <c r="DN326" s="1433" t="str">
        <f t="shared" si="647"/>
        <v>-</v>
      </c>
      <c r="DO326" s="1431" t="str">
        <f t="shared" si="648"/>
        <v>-</v>
      </c>
      <c r="DP326" s="1431" t="str">
        <f t="shared" si="649"/>
        <v>-</v>
      </c>
      <c r="DQ326" s="1431" t="str">
        <f t="shared" si="650"/>
        <v>-</v>
      </c>
      <c r="DR326" s="1434" t="str">
        <f t="shared" si="651"/>
        <v>-</v>
      </c>
    </row>
    <row r="327" spans="4:122">
      <c r="D327" s="70">
        <f>D324+1</f>
        <v>88</v>
      </c>
      <c r="E327" s="713" t="s">
        <v>44</v>
      </c>
      <c r="F327" s="1532" t="s">
        <v>27</v>
      </c>
      <c r="G327" s="1532"/>
      <c r="H327" s="1532"/>
      <c r="I327" s="781" t="s">
        <v>318</v>
      </c>
      <c r="J327" s="781" t="s">
        <v>345</v>
      </c>
      <c r="K327" s="1533"/>
      <c r="L327" s="1534"/>
      <c r="M327" s="1534"/>
      <c r="N327" s="1535"/>
      <c r="O327" s="2071"/>
      <c r="P327" s="1547"/>
      <c r="Q327" s="1547"/>
      <c r="R327" s="1547"/>
      <c r="S327" s="1547"/>
      <c r="T327" s="1547"/>
      <c r="U327" s="1547"/>
      <c r="V327" s="1547"/>
      <c r="W327" s="1547"/>
      <c r="X327" s="1548"/>
      <c r="Y327" s="1547"/>
      <c r="Z327" s="1547"/>
      <c r="AA327" s="1547"/>
      <c r="AB327" s="1547"/>
      <c r="AC327" s="1548"/>
      <c r="AD327" s="1547"/>
      <c r="AE327" s="1547"/>
      <c r="AF327" s="1547"/>
      <c r="AG327" s="785"/>
      <c r="AH327" s="697"/>
      <c r="AI327" s="707"/>
      <c r="AJ327" s="709">
        <f t="shared" si="655"/>
        <v>0</v>
      </c>
      <c r="AK327" s="710">
        <f t="shared" si="656"/>
        <v>0</v>
      </c>
      <c r="AL327" s="710">
        <f t="shared" si="657"/>
        <v>0</v>
      </c>
      <c r="AM327" s="710">
        <f t="shared" si="658"/>
        <v>0</v>
      </c>
      <c r="AN327" s="710">
        <f t="shared" si="659"/>
        <v>0</v>
      </c>
      <c r="AO327" s="711">
        <f t="shared" si="660"/>
        <v>0</v>
      </c>
      <c r="AP327" s="707">
        <f t="shared" si="661"/>
        <v>0</v>
      </c>
      <c r="AQ327" s="707">
        <f t="shared" si="662"/>
        <v>0</v>
      </c>
      <c r="AR327" s="707">
        <f t="shared" si="663"/>
        <v>0</v>
      </c>
      <c r="AS327" s="712">
        <f t="shared" si="664"/>
        <v>0</v>
      </c>
      <c r="AU327" s="1369"/>
      <c r="AV327" s="1559"/>
      <c r="AW327" s="1412" t="str">
        <f t="shared" si="612"/>
        <v>Price</v>
      </c>
      <c r="AX327" s="1413" t="str">
        <f t="shared" si="612"/>
        <v>[Service]</v>
      </c>
      <c r="AY327" s="1414" t="str">
        <f t="shared" si="613"/>
        <v>[Price]</v>
      </c>
      <c r="AZ327" s="1415" t="str">
        <f t="shared" si="614"/>
        <v>-</v>
      </c>
      <c r="BA327" s="1415" t="str">
        <f t="shared" si="614"/>
        <v>-</v>
      </c>
      <c r="BB327" s="1415" t="str">
        <f t="shared" si="614"/>
        <v>-</v>
      </c>
      <c r="BC327" s="1415" t="str">
        <f t="shared" si="615"/>
        <v>-</v>
      </c>
      <c r="BD327" s="1415" t="str">
        <f t="shared" si="616"/>
        <v>-</v>
      </c>
      <c r="BE327" s="1415" t="str">
        <f t="shared" si="617"/>
        <v>-</v>
      </c>
      <c r="BF327" s="1415" t="str">
        <f t="shared" si="618"/>
        <v>-</v>
      </c>
      <c r="BG327" s="1416" t="str">
        <f t="shared" si="619"/>
        <v>-</v>
      </c>
      <c r="BH327" s="1417" t="str">
        <f t="shared" si="620"/>
        <v>-</v>
      </c>
      <c r="BI327" s="1417" t="str">
        <f t="shared" si="621"/>
        <v>-</v>
      </c>
      <c r="BJ327" s="1417" t="str">
        <f t="shared" si="622"/>
        <v>-</v>
      </c>
      <c r="BK327" s="1417" t="str">
        <f t="shared" si="623"/>
        <v>-</v>
      </c>
      <c r="BL327" s="1418" t="str">
        <f t="shared" si="624"/>
        <v>-</v>
      </c>
      <c r="BM327" s="1417" t="str">
        <f t="shared" si="625"/>
        <v>-</v>
      </c>
      <c r="BN327" s="1417" t="str">
        <f t="shared" si="626"/>
        <v>-</v>
      </c>
      <c r="BO327" s="1417" t="str">
        <f t="shared" si="627"/>
        <v>-</v>
      </c>
      <c r="BP327" s="1417" t="str">
        <f t="shared" si="628"/>
        <v>-</v>
      </c>
      <c r="BQ327" s="1419" t="str">
        <f t="shared" si="629"/>
        <v>-</v>
      </c>
      <c r="BR327" s="1378"/>
      <c r="BS327" s="1420"/>
      <c r="BT327" s="1421"/>
      <c r="BU327" s="1422"/>
      <c r="BV327" s="1423"/>
      <c r="BW327" s="1378"/>
      <c r="BX327" s="1412" t="str">
        <f t="shared" si="630"/>
        <v>Price</v>
      </c>
      <c r="BY327" s="1413" t="str">
        <f t="shared" si="631"/>
        <v>[Service]</v>
      </c>
      <c r="BZ327" s="1414" t="str">
        <f t="shared" si="632"/>
        <v>[Price]</v>
      </c>
      <c r="CA327" s="1424" t="str">
        <f t="shared" ref="CA327:CR327" si="668">IFERROR((P327/O327-1)*(O329/O$13),"-")</f>
        <v>-</v>
      </c>
      <c r="CB327" s="1415" t="str">
        <f t="shared" si="668"/>
        <v>-</v>
      </c>
      <c r="CC327" s="1415" t="str">
        <f t="shared" si="668"/>
        <v>-</v>
      </c>
      <c r="CD327" s="1415" t="str">
        <f t="shared" si="668"/>
        <v>-</v>
      </c>
      <c r="CE327" s="1415" t="str">
        <f t="shared" si="668"/>
        <v>-</v>
      </c>
      <c r="CF327" s="1415" t="str">
        <f t="shared" si="668"/>
        <v>-</v>
      </c>
      <c r="CG327" s="1415" t="str">
        <f t="shared" si="668"/>
        <v>-</v>
      </c>
      <c r="CH327" s="1425" t="str">
        <f t="shared" si="668"/>
        <v>-</v>
      </c>
      <c r="CI327" s="1417" t="str">
        <f t="shared" si="668"/>
        <v>-</v>
      </c>
      <c r="CJ327" s="1417" t="str">
        <f t="shared" si="668"/>
        <v>-</v>
      </c>
      <c r="CK327" s="1417" t="str">
        <f t="shared" si="668"/>
        <v>-</v>
      </c>
      <c r="CL327" s="1417" t="str">
        <f t="shared" si="668"/>
        <v>-</v>
      </c>
      <c r="CM327" s="1418" t="str">
        <f t="shared" si="668"/>
        <v>-</v>
      </c>
      <c r="CN327" s="1417" t="str">
        <f t="shared" si="668"/>
        <v>-</v>
      </c>
      <c r="CO327" s="1417" t="str">
        <f t="shared" si="668"/>
        <v>-</v>
      </c>
      <c r="CP327" s="1417" t="str">
        <f t="shared" si="668"/>
        <v>-</v>
      </c>
      <c r="CQ327" s="1417" t="str">
        <f t="shared" si="668"/>
        <v>-</v>
      </c>
      <c r="CR327" s="1419" t="str">
        <f t="shared" si="668"/>
        <v>-</v>
      </c>
      <c r="CS327" s="1378"/>
      <c r="CT327" s="1412" t="str">
        <f t="shared" si="609"/>
        <v>Price</v>
      </c>
      <c r="CU327" s="1413" t="str">
        <f t="shared" si="610"/>
        <v>[Service]</v>
      </c>
      <c r="CV327" s="1426" t="str">
        <f t="shared" si="611"/>
        <v>[Price]</v>
      </c>
      <c r="CW327" s="1427" t="str">
        <f t="shared" si="634"/>
        <v>-</v>
      </c>
      <c r="CX327" s="1417" t="str">
        <f t="shared" si="635"/>
        <v>-</v>
      </c>
      <c r="CY327" s="1417" t="str">
        <f t="shared" si="636"/>
        <v>-</v>
      </c>
      <c r="CZ327" s="1419" t="str">
        <f t="shared" si="637"/>
        <v>-</v>
      </c>
      <c r="DA327" s="1417" t="str">
        <f t="shared" si="638"/>
        <v>-</v>
      </c>
      <c r="DB327" s="1417" t="str">
        <f t="shared" si="639"/>
        <v>-</v>
      </c>
      <c r="DC327" s="1417" t="str">
        <f t="shared" si="640"/>
        <v>-</v>
      </c>
      <c r="DD327" s="1417" t="str">
        <f t="shared" si="641"/>
        <v>-</v>
      </c>
      <c r="DE327" s="1419" t="str">
        <f t="shared" si="642"/>
        <v>-</v>
      </c>
      <c r="DF327" s="1378"/>
      <c r="DG327" s="1412" t="str">
        <f t="shared" si="643"/>
        <v>Price</v>
      </c>
      <c r="DH327" s="1413" t="str">
        <f t="shared" si="643"/>
        <v>[Service]</v>
      </c>
      <c r="DI327" s="1426" t="str">
        <f t="shared" si="643"/>
        <v>[Price]</v>
      </c>
      <c r="DJ327" s="1426"/>
      <c r="DK327" s="1427" t="str">
        <f t="shared" si="644"/>
        <v>-</v>
      </c>
      <c r="DL327" s="1417" t="str">
        <f t="shared" si="645"/>
        <v>-</v>
      </c>
      <c r="DM327" s="1417" t="str">
        <f t="shared" si="646"/>
        <v>-</v>
      </c>
      <c r="DN327" s="1418" t="str">
        <f t="shared" si="647"/>
        <v>-</v>
      </c>
      <c r="DO327" s="1417" t="str">
        <f t="shared" si="648"/>
        <v>-</v>
      </c>
      <c r="DP327" s="1417" t="str">
        <f t="shared" si="649"/>
        <v>-</v>
      </c>
      <c r="DQ327" s="1417" t="str">
        <f t="shared" si="650"/>
        <v>-</v>
      </c>
      <c r="DR327" s="1419" t="str">
        <f t="shared" si="651"/>
        <v>-</v>
      </c>
    </row>
    <row r="328" spans="4:122">
      <c r="E328" s="742" t="s">
        <v>45</v>
      </c>
      <c r="F328" s="722" t="str">
        <f>+F327</f>
        <v>[Service]</v>
      </c>
      <c r="G328" s="723">
        <f>+G327</f>
        <v>0</v>
      </c>
      <c r="H328" s="723">
        <f>+H327</f>
        <v>0</v>
      </c>
      <c r="I328" s="724" t="str">
        <f>+I327</f>
        <v>[Price]</v>
      </c>
      <c r="J328" s="782" t="s">
        <v>322</v>
      </c>
      <c r="K328" s="1540"/>
      <c r="L328" s="1541"/>
      <c r="M328" s="1541"/>
      <c r="N328" s="1542"/>
      <c r="O328" s="1922"/>
      <c r="P328" s="1541"/>
      <c r="Q328" s="1541"/>
      <c r="R328" s="1543"/>
      <c r="S328" s="1543"/>
      <c r="T328" s="1543"/>
      <c r="U328" s="1543"/>
      <c r="V328" s="1543"/>
      <c r="W328" s="1543"/>
      <c r="X328" s="1544"/>
      <c r="Y328" s="1543"/>
      <c r="Z328" s="1543"/>
      <c r="AA328" s="1543"/>
      <c r="AB328" s="1543"/>
      <c r="AC328" s="1544"/>
      <c r="AD328" s="1543"/>
      <c r="AE328" s="1543"/>
      <c r="AF328" s="1543"/>
      <c r="AG328" s="788"/>
      <c r="AH328" s="697"/>
      <c r="AI328" s="707"/>
      <c r="AJ328" s="709">
        <f t="shared" si="655"/>
        <v>0</v>
      </c>
      <c r="AK328" s="710">
        <f t="shared" si="656"/>
        <v>0</v>
      </c>
      <c r="AL328" s="710">
        <f t="shared" si="657"/>
        <v>0</v>
      </c>
      <c r="AM328" s="710">
        <f t="shared" si="658"/>
        <v>0</v>
      </c>
      <c r="AN328" s="710">
        <f t="shared" si="659"/>
        <v>0</v>
      </c>
      <c r="AO328" s="711">
        <f t="shared" si="660"/>
        <v>0</v>
      </c>
      <c r="AP328" s="707">
        <f t="shared" si="661"/>
        <v>0</v>
      </c>
      <c r="AQ328" s="707">
        <f t="shared" si="662"/>
        <v>0</v>
      </c>
      <c r="AR328" s="707">
        <f t="shared" si="663"/>
        <v>0</v>
      </c>
      <c r="AS328" s="712">
        <f t="shared" si="664"/>
        <v>0</v>
      </c>
      <c r="AV328" s="1559"/>
      <c r="AW328" s="1392" t="str">
        <f t="shared" si="612"/>
        <v>Qty</v>
      </c>
      <c r="AX328" s="1393" t="str">
        <f t="shared" si="612"/>
        <v>[Service]</v>
      </c>
      <c r="AY328" s="1394" t="str">
        <f t="shared" si="613"/>
        <v>[Price]</v>
      </c>
      <c r="AZ328" s="1395" t="str">
        <f t="shared" si="614"/>
        <v>-</v>
      </c>
      <c r="BA328" s="1395" t="str">
        <f t="shared" si="614"/>
        <v>-</v>
      </c>
      <c r="BB328" s="1395" t="str">
        <f t="shared" si="614"/>
        <v>-</v>
      </c>
      <c r="BC328" s="1395" t="str">
        <f t="shared" si="615"/>
        <v>-</v>
      </c>
      <c r="BD328" s="1395" t="str">
        <f t="shared" si="616"/>
        <v>-</v>
      </c>
      <c r="BE328" s="1395" t="str">
        <f t="shared" si="617"/>
        <v>-</v>
      </c>
      <c r="BF328" s="1395" t="str">
        <f t="shared" si="618"/>
        <v>-</v>
      </c>
      <c r="BG328" s="1396" t="str">
        <f t="shared" si="619"/>
        <v>-</v>
      </c>
      <c r="BH328" s="1395" t="str">
        <f t="shared" si="620"/>
        <v>-</v>
      </c>
      <c r="BI328" s="1395" t="str">
        <f t="shared" si="621"/>
        <v>-</v>
      </c>
      <c r="BJ328" s="1395" t="str">
        <f t="shared" si="622"/>
        <v>-</v>
      </c>
      <c r="BK328" s="1395" t="str">
        <f t="shared" si="623"/>
        <v>-</v>
      </c>
      <c r="BL328" s="1397" t="str">
        <f t="shared" si="624"/>
        <v>-</v>
      </c>
      <c r="BM328" s="1395" t="str">
        <f t="shared" si="625"/>
        <v>-</v>
      </c>
      <c r="BN328" s="1395" t="str">
        <f t="shared" si="626"/>
        <v>-</v>
      </c>
      <c r="BO328" s="1395" t="str">
        <f t="shared" si="627"/>
        <v>-</v>
      </c>
      <c r="BP328" s="1395" t="str">
        <f t="shared" si="628"/>
        <v>-</v>
      </c>
      <c r="BQ328" s="1398" t="str">
        <f t="shared" si="629"/>
        <v>-</v>
      </c>
      <c r="BR328" s="1378"/>
      <c r="BS328" s="1329"/>
      <c r="BT328" s="1399"/>
      <c r="BU328" s="1331"/>
      <c r="BV328" s="1400"/>
      <c r="BW328" s="1378"/>
      <c r="BX328" s="1392" t="str">
        <f t="shared" si="630"/>
        <v>Qty</v>
      </c>
      <c r="BY328" s="1393" t="str">
        <f t="shared" si="631"/>
        <v>[Service]</v>
      </c>
      <c r="BZ328" s="1394" t="str">
        <f t="shared" si="632"/>
        <v>[Price]</v>
      </c>
      <c r="CA328" s="1401" t="str">
        <f t="shared" ref="CA328:CR328" si="669">IFERROR((P328/O328-1)*(O329/O$13),"-")</f>
        <v>-</v>
      </c>
      <c r="CB328" s="1395" t="str">
        <f t="shared" si="669"/>
        <v>-</v>
      </c>
      <c r="CC328" s="1395" t="str">
        <f t="shared" si="669"/>
        <v>-</v>
      </c>
      <c r="CD328" s="1395" t="str">
        <f t="shared" si="669"/>
        <v>-</v>
      </c>
      <c r="CE328" s="1395" t="str">
        <f t="shared" si="669"/>
        <v>-</v>
      </c>
      <c r="CF328" s="1395" t="str">
        <f t="shared" si="669"/>
        <v>-</v>
      </c>
      <c r="CG328" s="1395" t="str">
        <f t="shared" si="669"/>
        <v>-</v>
      </c>
      <c r="CH328" s="1397" t="str">
        <f t="shared" si="669"/>
        <v>-</v>
      </c>
      <c r="CI328" s="1395" t="str">
        <f t="shared" si="669"/>
        <v>-</v>
      </c>
      <c r="CJ328" s="1395" t="str">
        <f t="shared" si="669"/>
        <v>-</v>
      </c>
      <c r="CK328" s="1395" t="str">
        <f t="shared" si="669"/>
        <v>-</v>
      </c>
      <c r="CL328" s="1395" t="str">
        <f t="shared" si="669"/>
        <v>-</v>
      </c>
      <c r="CM328" s="1397" t="str">
        <f t="shared" si="669"/>
        <v>-</v>
      </c>
      <c r="CN328" s="1395" t="str">
        <f t="shared" si="669"/>
        <v>-</v>
      </c>
      <c r="CO328" s="1395" t="str">
        <f t="shared" si="669"/>
        <v>-</v>
      </c>
      <c r="CP328" s="1395" t="str">
        <f t="shared" si="669"/>
        <v>-</v>
      </c>
      <c r="CQ328" s="1395" t="str">
        <f t="shared" si="669"/>
        <v>-</v>
      </c>
      <c r="CR328" s="1398" t="str">
        <f t="shared" si="669"/>
        <v>-</v>
      </c>
      <c r="CS328" s="1378"/>
      <c r="CT328" s="1392" t="str">
        <f t="shared" si="609"/>
        <v>Qty</v>
      </c>
      <c r="CU328" s="1393" t="str">
        <f t="shared" si="610"/>
        <v>[Service]</v>
      </c>
      <c r="CV328" s="1393" t="str">
        <f t="shared" si="611"/>
        <v>[Price]</v>
      </c>
      <c r="CW328" s="1401" t="str">
        <f t="shared" si="634"/>
        <v>-</v>
      </c>
      <c r="CX328" s="1395" t="str">
        <f t="shared" si="635"/>
        <v>-</v>
      </c>
      <c r="CY328" s="1395" t="str">
        <f t="shared" si="636"/>
        <v>-</v>
      </c>
      <c r="CZ328" s="1398" t="str">
        <f t="shared" si="637"/>
        <v>-</v>
      </c>
      <c r="DA328" s="1395" t="str">
        <f t="shared" si="638"/>
        <v>-</v>
      </c>
      <c r="DB328" s="1395" t="str">
        <f t="shared" si="639"/>
        <v>-</v>
      </c>
      <c r="DC328" s="1395" t="str">
        <f t="shared" si="640"/>
        <v>-</v>
      </c>
      <c r="DD328" s="1395" t="str">
        <f t="shared" si="641"/>
        <v>-</v>
      </c>
      <c r="DE328" s="1398" t="str">
        <f t="shared" si="642"/>
        <v>-</v>
      </c>
      <c r="DF328" s="1378"/>
      <c r="DG328" s="1392" t="str">
        <f t="shared" si="643"/>
        <v>Qty</v>
      </c>
      <c r="DH328" s="1393" t="str">
        <f t="shared" si="643"/>
        <v>[Service]</v>
      </c>
      <c r="DI328" s="1393" t="str">
        <f t="shared" si="643"/>
        <v>[Price]</v>
      </c>
      <c r="DJ328" s="1393"/>
      <c r="DK328" s="1401" t="str">
        <f t="shared" si="644"/>
        <v>-</v>
      </c>
      <c r="DL328" s="1395" t="str">
        <f t="shared" si="645"/>
        <v>-</v>
      </c>
      <c r="DM328" s="1395" t="str">
        <f t="shared" si="646"/>
        <v>-</v>
      </c>
      <c r="DN328" s="1397" t="str">
        <f t="shared" si="647"/>
        <v>-</v>
      </c>
      <c r="DO328" s="1395" t="str">
        <f t="shared" si="648"/>
        <v>-</v>
      </c>
      <c r="DP328" s="1395" t="str">
        <f t="shared" si="649"/>
        <v>-</v>
      </c>
      <c r="DQ328" s="1395" t="str">
        <f t="shared" si="650"/>
        <v>-</v>
      </c>
      <c r="DR328" s="1398" t="str">
        <f t="shared" si="651"/>
        <v>-</v>
      </c>
    </row>
    <row r="329" spans="4:122" ht="12.75" thickBot="1">
      <c r="E329" s="743" t="s">
        <v>46</v>
      </c>
      <c r="F329" s="732" t="str">
        <f>+F327</f>
        <v>[Service]</v>
      </c>
      <c r="G329" s="733">
        <f>+G327</f>
        <v>0</v>
      </c>
      <c r="H329" s="733">
        <f>+H327</f>
        <v>0</v>
      </c>
      <c r="I329" s="734" t="str">
        <f>+I327</f>
        <v>[Price]</v>
      </c>
      <c r="J329" s="735" t="s">
        <v>344</v>
      </c>
      <c r="K329" s="736">
        <f t="shared" ref="K329:AG329" si="670">K327*K328/10^6</f>
        <v>0</v>
      </c>
      <c r="L329" s="737">
        <f t="shared" si="670"/>
        <v>0</v>
      </c>
      <c r="M329" s="737">
        <f t="shared" si="670"/>
        <v>0</v>
      </c>
      <c r="N329" s="738">
        <f t="shared" si="670"/>
        <v>0</v>
      </c>
      <c r="O329" s="1923">
        <f t="shared" si="670"/>
        <v>0</v>
      </c>
      <c r="P329" s="737">
        <f t="shared" si="670"/>
        <v>0</v>
      </c>
      <c r="Q329" s="737">
        <f t="shared" si="670"/>
        <v>0</v>
      </c>
      <c r="R329" s="737">
        <f t="shared" si="670"/>
        <v>0</v>
      </c>
      <c r="S329" s="737">
        <f t="shared" si="670"/>
        <v>0</v>
      </c>
      <c r="T329" s="737">
        <f t="shared" si="670"/>
        <v>0</v>
      </c>
      <c r="U329" s="737">
        <f t="shared" si="670"/>
        <v>0</v>
      </c>
      <c r="V329" s="737">
        <f t="shared" si="670"/>
        <v>0</v>
      </c>
      <c r="W329" s="737">
        <f t="shared" si="670"/>
        <v>0</v>
      </c>
      <c r="X329" s="738">
        <f t="shared" si="670"/>
        <v>0</v>
      </c>
      <c r="Y329" s="737">
        <f t="shared" si="670"/>
        <v>0</v>
      </c>
      <c r="Z329" s="737">
        <f t="shared" si="670"/>
        <v>0</v>
      </c>
      <c r="AA329" s="737">
        <f t="shared" si="670"/>
        <v>0</v>
      </c>
      <c r="AB329" s="737">
        <f t="shared" si="670"/>
        <v>0</v>
      </c>
      <c r="AC329" s="738">
        <f t="shared" si="670"/>
        <v>0</v>
      </c>
      <c r="AD329" s="737">
        <f t="shared" si="670"/>
        <v>0</v>
      </c>
      <c r="AE329" s="737">
        <f t="shared" si="670"/>
        <v>0</v>
      </c>
      <c r="AF329" s="737">
        <f t="shared" si="670"/>
        <v>0</v>
      </c>
      <c r="AG329" s="739">
        <f t="shared" si="670"/>
        <v>0</v>
      </c>
      <c r="AH329" s="697"/>
      <c r="AI329" s="707"/>
      <c r="AJ329" s="709">
        <f t="shared" si="655"/>
        <v>0</v>
      </c>
      <c r="AK329" s="710">
        <f t="shared" si="656"/>
        <v>0</v>
      </c>
      <c r="AL329" s="710">
        <f t="shared" si="657"/>
        <v>0</v>
      </c>
      <c r="AM329" s="710">
        <f t="shared" si="658"/>
        <v>0</v>
      </c>
      <c r="AN329" s="710">
        <f t="shared" si="659"/>
        <v>0</v>
      </c>
      <c r="AO329" s="711">
        <f t="shared" si="660"/>
        <v>0</v>
      </c>
      <c r="AP329" s="707">
        <f t="shared" si="661"/>
        <v>0</v>
      </c>
      <c r="AQ329" s="707">
        <f t="shared" si="662"/>
        <v>0</v>
      </c>
      <c r="AR329" s="707">
        <f t="shared" si="663"/>
        <v>0</v>
      </c>
      <c r="AS329" s="712">
        <f t="shared" si="664"/>
        <v>0</v>
      </c>
      <c r="AV329" s="1559"/>
      <c r="AW329" s="1428" t="str">
        <f t="shared" si="612"/>
        <v>Rev</v>
      </c>
      <c r="AX329" s="1429" t="str">
        <f t="shared" si="612"/>
        <v>[Service]</v>
      </c>
      <c r="AY329" s="1430" t="str">
        <f t="shared" si="613"/>
        <v>[Price]</v>
      </c>
      <c r="AZ329" s="1431" t="str">
        <f t="shared" si="614"/>
        <v>-</v>
      </c>
      <c r="BA329" s="1431" t="str">
        <f t="shared" si="614"/>
        <v>-</v>
      </c>
      <c r="BB329" s="1431" t="str">
        <f t="shared" si="614"/>
        <v>-</v>
      </c>
      <c r="BC329" s="1431" t="str">
        <f t="shared" si="615"/>
        <v>-</v>
      </c>
      <c r="BD329" s="1431" t="str">
        <f t="shared" si="616"/>
        <v>-</v>
      </c>
      <c r="BE329" s="1431" t="str">
        <f t="shared" si="617"/>
        <v>-</v>
      </c>
      <c r="BF329" s="1431" t="str">
        <f t="shared" si="618"/>
        <v>-</v>
      </c>
      <c r="BG329" s="1432" t="str">
        <f t="shared" si="619"/>
        <v>-</v>
      </c>
      <c r="BH329" s="1431" t="str">
        <f t="shared" si="620"/>
        <v>-</v>
      </c>
      <c r="BI329" s="1431" t="str">
        <f t="shared" si="621"/>
        <v>-</v>
      </c>
      <c r="BJ329" s="1431" t="str">
        <f t="shared" si="622"/>
        <v>-</v>
      </c>
      <c r="BK329" s="1431" t="str">
        <f t="shared" si="623"/>
        <v>-</v>
      </c>
      <c r="BL329" s="1433" t="str">
        <f t="shared" si="624"/>
        <v>-</v>
      </c>
      <c r="BM329" s="1431" t="str">
        <f t="shared" si="625"/>
        <v>-</v>
      </c>
      <c r="BN329" s="1431" t="str">
        <f t="shared" si="626"/>
        <v>-</v>
      </c>
      <c r="BO329" s="1431" t="str">
        <f t="shared" si="627"/>
        <v>-</v>
      </c>
      <c r="BP329" s="1431" t="str">
        <f t="shared" si="628"/>
        <v>-</v>
      </c>
      <c r="BQ329" s="1434" t="str">
        <f t="shared" si="629"/>
        <v>-</v>
      </c>
      <c r="BR329" s="1378"/>
      <c r="BS329" s="1407"/>
      <c r="BT329" s="1408"/>
      <c r="BU329" s="1409"/>
      <c r="BV329" s="1410"/>
      <c r="BW329" s="1378"/>
      <c r="BX329" s="1428" t="str">
        <f t="shared" si="630"/>
        <v>Rev</v>
      </c>
      <c r="BY329" s="1429" t="str">
        <f t="shared" si="631"/>
        <v>[Service]</v>
      </c>
      <c r="BZ329" s="1430" t="str">
        <f t="shared" si="632"/>
        <v>[Price]</v>
      </c>
      <c r="CA329" s="1435" t="str">
        <f t="shared" ref="CA329:CR329" si="671">IFERROR((P329/O329-1)*(O329/O$13),"-")</f>
        <v>-</v>
      </c>
      <c r="CB329" s="1431" t="str">
        <f t="shared" si="671"/>
        <v>-</v>
      </c>
      <c r="CC329" s="1431" t="str">
        <f t="shared" si="671"/>
        <v>-</v>
      </c>
      <c r="CD329" s="1431" t="str">
        <f t="shared" si="671"/>
        <v>-</v>
      </c>
      <c r="CE329" s="1431" t="str">
        <f t="shared" si="671"/>
        <v>-</v>
      </c>
      <c r="CF329" s="1431" t="str">
        <f t="shared" si="671"/>
        <v>-</v>
      </c>
      <c r="CG329" s="1431" t="str">
        <f t="shared" si="671"/>
        <v>-</v>
      </c>
      <c r="CH329" s="1433" t="str">
        <f t="shared" si="671"/>
        <v>-</v>
      </c>
      <c r="CI329" s="1431" t="str">
        <f t="shared" si="671"/>
        <v>-</v>
      </c>
      <c r="CJ329" s="1431" t="str">
        <f t="shared" si="671"/>
        <v>-</v>
      </c>
      <c r="CK329" s="1431" t="str">
        <f t="shared" si="671"/>
        <v>-</v>
      </c>
      <c r="CL329" s="1431" t="str">
        <f t="shared" si="671"/>
        <v>-</v>
      </c>
      <c r="CM329" s="1433" t="str">
        <f t="shared" si="671"/>
        <v>-</v>
      </c>
      <c r="CN329" s="1431" t="str">
        <f t="shared" si="671"/>
        <v>-</v>
      </c>
      <c r="CO329" s="1431" t="str">
        <f t="shared" si="671"/>
        <v>-</v>
      </c>
      <c r="CP329" s="1431" t="str">
        <f t="shared" si="671"/>
        <v>-</v>
      </c>
      <c r="CQ329" s="1431" t="str">
        <f t="shared" si="671"/>
        <v>-</v>
      </c>
      <c r="CR329" s="1434" t="str">
        <f t="shared" si="671"/>
        <v>-</v>
      </c>
      <c r="CS329" s="1378"/>
      <c r="CT329" s="1428" t="str">
        <f t="shared" si="609"/>
        <v>Rev</v>
      </c>
      <c r="CU329" s="1429" t="str">
        <f t="shared" si="610"/>
        <v>[Service]</v>
      </c>
      <c r="CV329" s="1429" t="str">
        <f t="shared" si="611"/>
        <v>[Price]</v>
      </c>
      <c r="CW329" s="1435" t="str">
        <f t="shared" si="634"/>
        <v>-</v>
      </c>
      <c r="CX329" s="1431" t="str">
        <f t="shared" si="635"/>
        <v>-</v>
      </c>
      <c r="CY329" s="1431" t="str">
        <f t="shared" si="636"/>
        <v>-</v>
      </c>
      <c r="CZ329" s="1434" t="str">
        <f t="shared" si="637"/>
        <v>-</v>
      </c>
      <c r="DA329" s="1431" t="str">
        <f t="shared" si="638"/>
        <v>-</v>
      </c>
      <c r="DB329" s="1431" t="str">
        <f t="shared" si="639"/>
        <v>-</v>
      </c>
      <c r="DC329" s="1431" t="str">
        <f t="shared" si="640"/>
        <v>-</v>
      </c>
      <c r="DD329" s="1431" t="str">
        <f t="shared" si="641"/>
        <v>-</v>
      </c>
      <c r="DE329" s="1434" t="str">
        <f t="shared" si="642"/>
        <v>-</v>
      </c>
      <c r="DF329" s="1378"/>
      <c r="DG329" s="1428" t="str">
        <f t="shared" si="643"/>
        <v>Rev</v>
      </c>
      <c r="DH329" s="1429" t="str">
        <f t="shared" si="643"/>
        <v>[Service]</v>
      </c>
      <c r="DI329" s="1429" t="str">
        <f t="shared" si="643"/>
        <v>[Price]</v>
      </c>
      <c r="DJ329" s="1429"/>
      <c r="DK329" s="1435" t="str">
        <f t="shared" si="644"/>
        <v>-</v>
      </c>
      <c r="DL329" s="1431" t="str">
        <f t="shared" si="645"/>
        <v>-</v>
      </c>
      <c r="DM329" s="1431" t="str">
        <f t="shared" si="646"/>
        <v>-</v>
      </c>
      <c r="DN329" s="1433" t="str">
        <f t="shared" si="647"/>
        <v>-</v>
      </c>
      <c r="DO329" s="1431" t="str">
        <f t="shared" si="648"/>
        <v>-</v>
      </c>
      <c r="DP329" s="1431" t="str">
        <f t="shared" si="649"/>
        <v>-</v>
      </c>
      <c r="DQ329" s="1431" t="str">
        <f t="shared" si="650"/>
        <v>-</v>
      </c>
      <c r="DR329" s="1434" t="str">
        <f t="shared" si="651"/>
        <v>-</v>
      </c>
    </row>
    <row r="330" spans="4:122">
      <c r="D330" s="70">
        <f>D327+1</f>
        <v>89</v>
      </c>
      <c r="E330" s="713" t="s">
        <v>44</v>
      </c>
      <c r="F330" s="1532" t="s">
        <v>27</v>
      </c>
      <c r="G330" s="1532"/>
      <c r="H330" s="1532"/>
      <c r="I330" s="781" t="s">
        <v>318</v>
      </c>
      <c r="J330" s="781" t="s">
        <v>345</v>
      </c>
      <c r="K330" s="1533"/>
      <c r="L330" s="1534"/>
      <c r="M330" s="1534"/>
      <c r="N330" s="1535"/>
      <c r="O330" s="2071"/>
      <c r="P330" s="1547"/>
      <c r="Q330" s="1547"/>
      <c r="R330" s="1547"/>
      <c r="S330" s="1547"/>
      <c r="T330" s="1547"/>
      <c r="U330" s="1547"/>
      <c r="V330" s="1547"/>
      <c r="W330" s="1547"/>
      <c r="X330" s="1548"/>
      <c r="Y330" s="1547"/>
      <c r="Z330" s="1547"/>
      <c r="AA330" s="1547"/>
      <c r="AB330" s="1547"/>
      <c r="AC330" s="1548"/>
      <c r="AD330" s="1547"/>
      <c r="AE330" s="1547"/>
      <c r="AF330" s="1547"/>
      <c r="AG330" s="785"/>
      <c r="AH330" s="697"/>
      <c r="AI330" s="707"/>
      <c r="AJ330" s="709">
        <f t="shared" si="655"/>
        <v>0</v>
      </c>
      <c r="AK330" s="710">
        <f t="shared" si="656"/>
        <v>0</v>
      </c>
      <c r="AL330" s="710">
        <f t="shared" si="657"/>
        <v>0</v>
      </c>
      <c r="AM330" s="710">
        <f t="shared" si="658"/>
        <v>0</v>
      </c>
      <c r="AN330" s="710">
        <f t="shared" si="659"/>
        <v>0</v>
      </c>
      <c r="AO330" s="711">
        <f t="shared" si="660"/>
        <v>0</v>
      </c>
      <c r="AP330" s="707">
        <f t="shared" si="661"/>
        <v>0</v>
      </c>
      <c r="AQ330" s="707">
        <f t="shared" si="662"/>
        <v>0</v>
      </c>
      <c r="AR330" s="707">
        <f t="shared" si="663"/>
        <v>0</v>
      </c>
      <c r="AS330" s="712">
        <f t="shared" si="664"/>
        <v>0</v>
      </c>
      <c r="AU330" s="1369"/>
      <c r="AV330" s="1559"/>
      <c r="AW330" s="1412" t="str">
        <f t="shared" si="612"/>
        <v>Price</v>
      </c>
      <c r="AX330" s="1413" t="str">
        <f t="shared" si="612"/>
        <v>[Service]</v>
      </c>
      <c r="AY330" s="1414" t="str">
        <f t="shared" si="613"/>
        <v>[Price]</v>
      </c>
      <c r="AZ330" s="1415" t="str">
        <f t="shared" si="614"/>
        <v>-</v>
      </c>
      <c r="BA330" s="1415" t="str">
        <f t="shared" si="614"/>
        <v>-</v>
      </c>
      <c r="BB330" s="1415" t="str">
        <f t="shared" si="614"/>
        <v>-</v>
      </c>
      <c r="BC330" s="1415" t="str">
        <f t="shared" si="615"/>
        <v>-</v>
      </c>
      <c r="BD330" s="1415" t="str">
        <f t="shared" si="616"/>
        <v>-</v>
      </c>
      <c r="BE330" s="1415" t="str">
        <f t="shared" si="617"/>
        <v>-</v>
      </c>
      <c r="BF330" s="1415" t="str">
        <f t="shared" si="618"/>
        <v>-</v>
      </c>
      <c r="BG330" s="1416" t="str">
        <f t="shared" si="619"/>
        <v>-</v>
      </c>
      <c r="BH330" s="1417" t="str">
        <f t="shared" si="620"/>
        <v>-</v>
      </c>
      <c r="BI330" s="1417" t="str">
        <f t="shared" si="621"/>
        <v>-</v>
      </c>
      <c r="BJ330" s="1417" t="str">
        <f t="shared" si="622"/>
        <v>-</v>
      </c>
      <c r="BK330" s="1417" t="str">
        <f t="shared" si="623"/>
        <v>-</v>
      </c>
      <c r="BL330" s="1418" t="str">
        <f t="shared" si="624"/>
        <v>-</v>
      </c>
      <c r="BM330" s="1417" t="str">
        <f t="shared" si="625"/>
        <v>-</v>
      </c>
      <c r="BN330" s="1417" t="str">
        <f t="shared" si="626"/>
        <v>-</v>
      </c>
      <c r="BO330" s="1417" t="str">
        <f t="shared" si="627"/>
        <v>-</v>
      </c>
      <c r="BP330" s="1417" t="str">
        <f t="shared" si="628"/>
        <v>-</v>
      </c>
      <c r="BQ330" s="1419" t="str">
        <f t="shared" si="629"/>
        <v>-</v>
      </c>
      <c r="BR330" s="1378"/>
      <c r="BS330" s="1420"/>
      <c r="BT330" s="1421"/>
      <c r="BU330" s="1422"/>
      <c r="BV330" s="1423"/>
      <c r="BW330" s="1378"/>
      <c r="BX330" s="1412" t="str">
        <f t="shared" si="630"/>
        <v>Price</v>
      </c>
      <c r="BY330" s="1413" t="str">
        <f t="shared" si="631"/>
        <v>[Service]</v>
      </c>
      <c r="BZ330" s="1414" t="str">
        <f t="shared" si="632"/>
        <v>[Price]</v>
      </c>
      <c r="CA330" s="1424" t="str">
        <f t="shared" ref="CA330:CR330" si="672">IFERROR((P330/O330-1)*(O332/O$13),"-")</f>
        <v>-</v>
      </c>
      <c r="CB330" s="1415" t="str">
        <f t="shared" si="672"/>
        <v>-</v>
      </c>
      <c r="CC330" s="1415" t="str">
        <f t="shared" si="672"/>
        <v>-</v>
      </c>
      <c r="CD330" s="1415" t="str">
        <f t="shared" si="672"/>
        <v>-</v>
      </c>
      <c r="CE330" s="1415" t="str">
        <f t="shared" si="672"/>
        <v>-</v>
      </c>
      <c r="CF330" s="1415" t="str">
        <f t="shared" si="672"/>
        <v>-</v>
      </c>
      <c r="CG330" s="1415" t="str">
        <f t="shared" si="672"/>
        <v>-</v>
      </c>
      <c r="CH330" s="1425" t="str">
        <f t="shared" si="672"/>
        <v>-</v>
      </c>
      <c r="CI330" s="1417" t="str">
        <f t="shared" si="672"/>
        <v>-</v>
      </c>
      <c r="CJ330" s="1417" t="str">
        <f t="shared" si="672"/>
        <v>-</v>
      </c>
      <c r="CK330" s="1417" t="str">
        <f t="shared" si="672"/>
        <v>-</v>
      </c>
      <c r="CL330" s="1417" t="str">
        <f t="shared" si="672"/>
        <v>-</v>
      </c>
      <c r="CM330" s="1418" t="str">
        <f t="shared" si="672"/>
        <v>-</v>
      </c>
      <c r="CN330" s="1417" t="str">
        <f t="shared" si="672"/>
        <v>-</v>
      </c>
      <c r="CO330" s="1417" t="str">
        <f t="shared" si="672"/>
        <v>-</v>
      </c>
      <c r="CP330" s="1417" t="str">
        <f t="shared" si="672"/>
        <v>-</v>
      </c>
      <c r="CQ330" s="1417" t="str">
        <f t="shared" si="672"/>
        <v>-</v>
      </c>
      <c r="CR330" s="1419" t="str">
        <f t="shared" si="672"/>
        <v>-</v>
      </c>
      <c r="CS330" s="1378"/>
      <c r="CT330" s="1412" t="str">
        <f t="shared" si="609"/>
        <v>Price</v>
      </c>
      <c r="CU330" s="1413" t="str">
        <f t="shared" si="610"/>
        <v>[Service]</v>
      </c>
      <c r="CV330" s="1426" t="str">
        <f t="shared" si="611"/>
        <v>[Price]</v>
      </c>
      <c r="CW330" s="1427" t="str">
        <f t="shared" si="634"/>
        <v>-</v>
      </c>
      <c r="CX330" s="1417" t="str">
        <f t="shared" si="635"/>
        <v>-</v>
      </c>
      <c r="CY330" s="1417" t="str">
        <f t="shared" si="636"/>
        <v>-</v>
      </c>
      <c r="CZ330" s="1419" t="str">
        <f t="shared" si="637"/>
        <v>-</v>
      </c>
      <c r="DA330" s="1417" t="str">
        <f t="shared" si="638"/>
        <v>-</v>
      </c>
      <c r="DB330" s="1417" t="str">
        <f t="shared" si="639"/>
        <v>-</v>
      </c>
      <c r="DC330" s="1417" t="str">
        <f t="shared" si="640"/>
        <v>-</v>
      </c>
      <c r="DD330" s="1417" t="str">
        <f t="shared" si="641"/>
        <v>-</v>
      </c>
      <c r="DE330" s="1419" t="str">
        <f t="shared" si="642"/>
        <v>-</v>
      </c>
      <c r="DF330" s="1378"/>
      <c r="DG330" s="1412" t="str">
        <f t="shared" si="643"/>
        <v>Price</v>
      </c>
      <c r="DH330" s="1413" t="str">
        <f t="shared" si="643"/>
        <v>[Service]</v>
      </c>
      <c r="DI330" s="1426" t="str">
        <f t="shared" si="643"/>
        <v>[Price]</v>
      </c>
      <c r="DJ330" s="1426"/>
      <c r="DK330" s="1427" t="str">
        <f t="shared" si="644"/>
        <v>-</v>
      </c>
      <c r="DL330" s="1417" t="str">
        <f t="shared" si="645"/>
        <v>-</v>
      </c>
      <c r="DM330" s="1417" t="str">
        <f t="shared" si="646"/>
        <v>-</v>
      </c>
      <c r="DN330" s="1418" t="str">
        <f t="shared" si="647"/>
        <v>-</v>
      </c>
      <c r="DO330" s="1417" t="str">
        <f t="shared" si="648"/>
        <v>-</v>
      </c>
      <c r="DP330" s="1417" t="str">
        <f t="shared" si="649"/>
        <v>-</v>
      </c>
      <c r="DQ330" s="1417" t="str">
        <f t="shared" si="650"/>
        <v>-</v>
      </c>
      <c r="DR330" s="1419" t="str">
        <f t="shared" si="651"/>
        <v>-</v>
      </c>
    </row>
    <row r="331" spans="4:122">
      <c r="E331" s="742" t="s">
        <v>45</v>
      </c>
      <c r="F331" s="722" t="str">
        <f>+F330</f>
        <v>[Service]</v>
      </c>
      <c r="G331" s="723">
        <f>+G330</f>
        <v>0</v>
      </c>
      <c r="H331" s="723">
        <f>+H330</f>
        <v>0</v>
      </c>
      <c r="I331" s="724" t="str">
        <f>+I330</f>
        <v>[Price]</v>
      </c>
      <c r="J331" s="782" t="s">
        <v>322</v>
      </c>
      <c r="K331" s="1540"/>
      <c r="L331" s="1541"/>
      <c r="M331" s="1541"/>
      <c r="N331" s="1542"/>
      <c r="O331" s="2031"/>
      <c r="P331" s="1543"/>
      <c r="Q331" s="1543"/>
      <c r="R331" s="1543"/>
      <c r="S331" s="1543"/>
      <c r="T331" s="1543"/>
      <c r="U331" s="1543"/>
      <c r="V331" s="1543"/>
      <c r="W331" s="1543"/>
      <c r="X331" s="1544"/>
      <c r="Y331" s="1543"/>
      <c r="Z331" s="1543"/>
      <c r="AA331" s="1543"/>
      <c r="AB331" s="1543"/>
      <c r="AC331" s="1544"/>
      <c r="AD331" s="1543"/>
      <c r="AE331" s="1543"/>
      <c r="AF331" s="1543"/>
      <c r="AG331" s="788"/>
      <c r="AH331" s="697"/>
      <c r="AI331" s="707"/>
      <c r="AJ331" s="709">
        <f t="shared" si="655"/>
        <v>0</v>
      </c>
      <c r="AK331" s="710">
        <f t="shared" si="656"/>
        <v>0</v>
      </c>
      <c r="AL331" s="710">
        <f t="shared" si="657"/>
        <v>0</v>
      </c>
      <c r="AM331" s="710">
        <f t="shared" si="658"/>
        <v>0</v>
      </c>
      <c r="AN331" s="710">
        <f t="shared" si="659"/>
        <v>0</v>
      </c>
      <c r="AO331" s="711">
        <f t="shared" si="660"/>
        <v>0</v>
      </c>
      <c r="AP331" s="707">
        <f t="shared" si="661"/>
        <v>0</v>
      </c>
      <c r="AQ331" s="707">
        <f t="shared" si="662"/>
        <v>0</v>
      </c>
      <c r="AR331" s="707">
        <f t="shared" si="663"/>
        <v>0</v>
      </c>
      <c r="AS331" s="712">
        <f t="shared" si="664"/>
        <v>0</v>
      </c>
      <c r="AV331" s="1559"/>
      <c r="AW331" s="1392" t="str">
        <f t="shared" si="612"/>
        <v>Qty</v>
      </c>
      <c r="AX331" s="1393" t="str">
        <f t="shared" si="612"/>
        <v>[Service]</v>
      </c>
      <c r="AY331" s="1394" t="str">
        <f t="shared" si="613"/>
        <v>[Price]</v>
      </c>
      <c r="AZ331" s="1395" t="str">
        <f t="shared" si="614"/>
        <v>-</v>
      </c>
      <c r="BA331" s="1395" t="str">
        <f t="shared" si="614"/>
        <v>-</v>
      </c>
      <c r="BB331" s="1395" t="str">
        <f t="shared" si="614"/>
        <v>-</v>
      </c>
      <c r="BC331" s="1395" t="str">
        <f t="shared" si="615"/>
        <v>-</v>
      </c>
      <c r="BD331" s="1395" t="str">
        <f t="shared" si="616"/>
        <v>-</v>
      </c>
      <c r="BE331" s="1395" t="str">
        <f t="shared" si="617"/>
        <v>-</v>
      </c>
      <c r="BF331" s="1395" t="str">
        <f t="shared" si="618"/>
        <v>-</v>
      </c>
      <c r="BG331" s="1396" t="str">
        <f t="shared" si="619"/>
        <v>-</v>
      </c>
      <c r="BH331" s="1395" t="str">
        <f t="shared" si="620"/>
        <v>-</v>
      </c>
      <c r="BI331" s="1395" t="str">
        <f t="shared" si="621"/>
        <v>-</v>
      </c>
      <c r="BJ331" s="1395" t="str">
        <f t="shared" si="622"/>
        <v>-</v>
      </c>
      <c r="BK331" s="1395" t="str">
        <f t="shared" si="623"/>
        <v>-</v>
      </c>
      <c r="BL331" s="1397" t="str">
        <f t="shared" si="624"/>
        <v>-</v>
      </c>
      <c r="BM331" s="1395" t="str">
        <f t="shared" si="625"/>
        <v>-</v>
      </c>
      <c r="BN331" s="1395" t="str">
        <f t="shared" si="626"/>
        <v>-</v>
      </c>
      <c r="BO331" s="1395" t="str">
        <f t="shared" si="627"/>
        <v>-</v>
      </c>
      <c r="BP331" s="1395" t="str">
        <f t="shared" si="628"/>
        <v>-</v>
      </c>
      <c r="BQ331" s="1398" t="str">
        <f t="shared" si="629"/>
        <v>-</v>
      </c>
      <c r="BR331" s="1378"/>
      <c r="BS331" s="1329"/>
      <c r="BT331" s="1399"/>
      <c r="BU331" s="1331"/>
      <c r="BV331" s="1400"/>
      <c r="BW331" s="1378"/>
      <c r="BX331" s="1392" t="str">
        <f t="shared" si="630"/>
        <v>Qty</v>
      </c>
      <c r="BY331" s="1393" t="str">
        <f t="shared" si="631"/>
        <v>[Service]</v>
      </c>
      <c r="BZ331" s="1394" t="str">
        <f t="shared" si="632"/>
        <v>[Price]</v>
      </c>
      <c r="CA331" s="1401" t="str">
        <f t="shared" ref="CA331:CR331" si="673">IFERROR((P331/O331-1)*(O332/O$13),"-")</f>
        <v>-</v>
      </c>
      <c r="CB331" s="1395" t="str">
        <f t="shared" si="673"/>
        <v>-</v>
      </c>
      <c r="CC331" s="1395" t="str">
        <f t="shared" si="673"/>
        <v>-</v>
      </c>
      <c r="CD331" s="1395" t="str">
        <f t="shared" si="673"/>
        <v>-</v>
      </c>
      <c r="CE331" s="1395" t="str">
        <f t="shared" si="673"/>
        <v>-</v>
      </c>
      <c r="CF331" s="1395" t="str">
        <f t="shared" si="673"/>
        <v>-</v>
      </c>
      <c r="CG331" s="1395" t="str">
        <f t="shared" si="673"/>
        <v>-</v>
      </c>
      <c r="CH331" s="1397" t="str">
        <f t="shared" si="673"/>
        <v>-</v>
      </c>
      <c r="CI331" s="1395" t="str">
        <f t="shared" si="673"/>
        <v>-</v>
      </c>
      <c r="CJ331" s="1395" t="str">
        <f t="shared" si="673"/>
        <v>-</v>
      </c>
      <c r="CK331" s="1395" t="str">
        <f t="shared" si="673"/>
        <v>-</v>
      </c>
      <c r="CL331" s="1395" t="str">
        <f t="shared" si="673"/>
        <v>-</v>
      </c>
      <c r="CM331" s="1397" t="str">
        <f t="shared" si="673"/>
        <v>-</v>
      </c>
      <c r="CN331" s="1395" t="str">
        <f t="shared" si="673"/>
        <v>-</v>
      </c>
      <c r="CO331" s="1395" t="str">
        <f t="shared" si="673"/>
        <v>-</v>
      </c>
      <c r="CP331" s="1395" t="str">
        <f t="shared" si="673"/>
        <v>-</v>
      </c>
      <c r="CQ331" s="1395" t="str">
        <f t="shared" si="673"/>
        <v>-</v>
      </c>
      <c r="CR331" s="1398" t="str">
        <f t="shared" si="673"/>
        <v>-</v>
      </c>
      <c r="CS331" s="1378"/>
      <c r="CT331" s="1392" t="str">
        <f t="shared" si="609"/>
        <v>Qty</v>
      </c>
      <c r="CU331" s="1393" t="str">
        <f t="shared" si="610"/>
        <v>[Service]</v>
      </c>
      <c r="CV331" s="1393" t="str">
        <f t="shared" si="611"/>
        <v>[Price]</v>
      </c>
      <c r="CW331" s="1401" t="str">
        <f t="shared" si="634"/>
        <v>-</v>
      </c>
      <c r="CX331" s="1395" t="str">
        <f t="shared" si="635"/>
        <v>-</v>
      </c>
      <c r="CY331" s="1395" t="str">
        <f t="shared" si="636"/>
        <v>-</v>
      </c>
      <c r="CZ331" s="1398" t="str">
        <f t="shared" si="637"/>
        <v>-</v>
      </c>
      <c r="DA331" s="1395" t="str">
        <f t="shared" si="638"/>
        <v>-</v>
      </c>
      <c r="DB331" s="1395" t="str">
        <f t="shared" si="639"/>
        <v>-</v>
      </c>
      <c r="DC331" s="1395" t="str">
        <f t="shared" si="640"/>
        <v>-</v>
      </c>
      <c r="DD331" s="1395" t="str">
        <f t="shared" si="641"/>
        <v>-</v>
      </c>
      <c r="DE331" s="1398" t="str">
        <f t="shared" si="642"/>
        <v>-</v>
      </c>
      <c r="DF331" s="1378"/>
      <c r="DG331" s="1392" t="str">
        <f t="shared" si="643"/>
        <v>Qty</v>
      </c>
      <c r="DH331" s="1393" t="str">
        <f t="shared" si="643"/>
        <v>[Service]</v>
      </c>
      <c r="DI331" s="1393" t="str">
        <f t="shared" si="643"/>
        <v>[Price]</v>
      </c>
      <c r="DJ331" s="1393"/>
      <c r="DK331" s="1401" t="str">
        <f t="shared" si="644"/>
        <v>-</v>
      </c>
      <c r="DL331" s="1395" t="str">
        <f t="shared" si="645"/>
        <v>-</v>
      </c>
      <c r="DM331" s="1395" t="str">
        <f t="shared" si="646"/>
        <v>-</v>
      </c>
      <c r="DN331" s="1397" t="str">
        <f t="shared" si="647"/>
        <v>-</v>
      </c>
      <c r="DO331" s="1395" t="str">
        <f t="shared" si="648"/>
        <v>-</v>
      </c>
      <c r="DP331" s="1395" t="str">
        <f t="shared" si="649"/>
        <v>-</v>
      </c>
      <c r="DQ331" s="1395" t="str">
        <f t="shared" si="650"/>
        <v>-</v>
      </c>
      <c r="DR331" s="1398" t="str">
        <f t="shared" si="651"/>
        <v>-</v>
      </c>
    </row>
    <row r="332" spans="4:122" ht="12.75" thickBot="1">
      <c r="E332" s="743" t="s">
        <v>46</v>
      </c>
      <c r="F332" s="732" t="str">
        <f>+F330</f>
        <v>[Service]</v>
      </c>
      <c r="G332" s="733">
        <f>+G330</f>
        <v>0</v>
      </c>
      <c r="H332" s="733">
        <f>+H330</f>
        <v>0</v>
      </c>
      <c r="I332" s="734" t="str">
        <f>+I330</f>
        <v>[Price]</v>
      </c>
      <c r="J332" s="735" t="s">
        <v>344</v>
      </c>
      <c r="K332" s="736">
        <f t="shared" ref="K332:AG332" si="674">K330*K331/10^6</f>
        <v>0</v>
      </c>
      <c r="L332" s="737">
        <f t="shared" si="674"/>
        <v>0</v>
      </c>
      <c r="M332" s="737">
        <f t="shared" si="674"/>
        <v>0</v>
      </c>
      <c r="N332" s="738">
        <f t="shared" si="674"/>
        <v>0</v>
      </c>
      <c r="O332" s="1923">
        <f t="shared" si="674"/>
        <v>0</v>
      </c>
      <c r="P332" s="737">
        <f t="shared" si="674"/>
        <v>0</v>
      </c>
      <c r="Q332" s="737">
        <f t="shared" si="674"/>
        <v>0</v>
      </c>
      <c r="R332" s="737">
        <f t="shared" si="674"/>
        <v>0</v>
      </c>
      <c r="S332" s="737">
        <f t="shared" si="674"/>
        <v>0</v>
      </c>
      <c r="T332" s="737">
        <f t="shared" si="674"/>
        <v>0</v>
      </c>
      <c r="U332" s="737">
        <f t="shared" si="674"/>
        <v>0</v>
      </c>
      <c r="V332" s="737">
        <f t="shared" si="674"/>
        <v>0</v>
      </c>
      <c r="W332" s="737">
        <f t="shared" si="674"/>
        <v>0</v>
      </c>
      <c r="X332" s="738">
        <f t="shared" si="674"/>
        <v>0</v>
      </c>
      <c r="Y332" s="737">
        <f t="shared" si="674"/>
        <v>0</v>
      </c>
      <c r="Z332" s="737">
        <f t="shared" si="674"/>
        <v>0</v>
      </c>
      <c r="AA332" s="737">
        <f t="shared" si="674"/>
        <v>0</v>
      </c>
      <c r="AB332" s="737">
        <f t="shared" si="674"/>
        <v>0</v>
      </c>
      <c r="AC332" s="738">
        <f t="shared" si="674"/>
        <v>0</v>
      </c>
      <c r="AD332" s="737">
        <f t="shared" si="674"/>
        <v>0</v>
      </c>
      <c r="AE332" s="737">
        <f t="shared" si="674"/>
        <v>0</v>
      </c>
      <c r="AF332" s="737">
        <f t="shared" si="674"/>
        <v>0</v>
      </c>
      <c r="AG332" s="739">
        <f t="shared" si="674"/>
        <v>0</v>
      </c>
      <c r="AH332" s="697"/>
      <c r="AI332" s="707"/>
      <c r="AJ332" s="709">
        <f t="shared" si="655"/>
        <v>0</v>
      </c>
      <c r="AK332" s="710">
        <f t="shared" si="656"/>
        <v>0</v>
      </c>
      <c r="AL332" s="710">
        <f t="shared" si="657"/>
        <v>0</v>
      </c>
      <c r="AM332" s="710">
        <f t="shared" si="658"/>
        <v>0</v>
      </c>
      <c r="AN332" s="710">
        <f t="shared" si="659"/>
        <v>0</v>
      </c>
      <c r="AO332" s="711">
        <f t="shared" si="660"/>
        <v>0</v>
      </c>
      <c r="AP332" s="707">
        <f t="shared" si="661"/>
        <v>0</v>
      </c>
      <c r="AQ332" s="707">
        <f t="shared" si="662"/>
        <v>0</v>
      </c>
      <c r="AR332" s="707">
        <f t="shared" si="663"/>
        <v>0</v>
      </c>
      <c r="AS332" s="712">
        <f t="shared" si="664"/>
        <v>0</v>
      </c>
      <c r="AV332" s="1559"/>
      <c r="AW332" s="1428" t="str">
        <f t="shared" si="612"/>
        <v>Rev</v>
      </c>
      <c r="AX332" s="1429" t="str">
        <f t="shared" si="612"/>
        <v>[Service]</v>
      </c>
      <c r="AY332" s="1430" t="str">
        <f t="shared" si="613"/>
        <v>[Price]</v>
      </c>
      <c r="AZ332" s="1431" t="str">
        <f t="shared" si="614"/>
        <v>-</v>
      </c>
      <c r="BA332" s="1431" t="str">
        <f t="shared" si="614"/>
        <v>-</v>
      </c>
      <c r="BB332" s="1431" t="str">
        <f t="shared" si="614"/>
        <v>-</v>
      </c>
      <c r="BC332" s="1431" t="str">
        <f t="shared" si="615"/>
        <v>-</v>
      </c>
      <c r="BD332" s="1431" t="str">
        <f t="shared" si="616"/>
        <v>-</v>
      </c>
      <c r="BE332" s="1431" t="str">
        <f t="shared" si="617"/>
        <v>-</v>
      </c>
      <c r="BF332" s="1431" t="str">
        <f t="shared" si="618"/>
        <v>-</v>
      </c>
      <c r="BG332" s="1432" t="str">
        <f t="shared" si="619"/>
        <v>-</v>
      </c>
      <c r="BH332" s="1431" t="str">
        <f t="shared" si="620"/>
        <v>-</v>
      </c>
      <c r="BI332" s="1431" t="str">
        <f t="shared" si="621"/>
        <v>-</v>
      </c>
      <c r="BJ332" s="1431" t="str">
        <f t="shared" si="622"/>
        <v>-</v>
      </c>
      <c r="BK332" s="1431" t="str">
        <f t="shared" si="623"/>
        <v>-</v>
      </c>
      <c r="BL332" s="1433" t="str">
        <f t="shared" si="624"/>
        <v>-</v>
      </c>
      <c r="BM332" s="1431" t="str">
        <f t="shared" si="625"/>
        <v>-</v>
      </c>
      <c r="BN332" s="1431" t="str">
        <f t="shared" si="626"/>
        <v>-</v>
      </c>
      <c r="BO332" s="1431" t="str">
        <f t="shared" si="627"/>
        <v>-</v>
      </c>
      <c r="BP332" s="1431" t="str">
        <f t="shared" si="628"/>
        <v>-</v>
      </c>
      <c r="BQ332" s="1434" t="str">
        <f t="shared" si="629"/>
        <v>-</v>
      </c>
      <c r="BR332" s="1378"/>
      <c r="BS332" s="1407"/>
      <c r="BT332" s="1408"/>
      <c r="BU332" s="1409"/>
      <c r="BV332" s="1410"/>
      <c r="BW332" s="1378"/>
      <c r="BX332" s="1428" t="str">
        <f t="shared" si="630"/>
        <v>Rev</v>
      </c>
      <c r="BY332" s="1429" t="str">
        <f t="shared" si="631"/>
        <v>[Service]</v>
      </c>
      <c r="BZ332" s="1430" t="str">
        <f t="shared" si="632"/>
        <v>[Price]</v>
      </c>
      <c r="CA332" s="1435" t="str">
        <f t="shared" ref="CA332:CR332" si="675">IFERROR((P332/O332-1)*(O332/O$13),"-")</f>
        <v>-</v>
      </c>
      <c r="CB332" s="1431" t="str">
        <f t="shared" si="675"/>
        <v>-</v>
      </c>
      <c r="CC332" s="1431" t="str">
        <f t="shared" si="675"/>
        <v>-</v>
      </c>
      <c r="CD332" s="1431" t="str">
        <f t="shared" si="675"/>
        <v>-</v>
      </c>
      <c r="CE332" s="1431" t="str">
        <f t="shared" si="675"/>
        <v>-</v>
      </c>
      <c r="CF332" s="1431" t="str">
        <f t="shared" si="675"/>
        <v>-</v>
      </c>
      <c r="CG332" s="1431" t="str">
        <f t="shared" si="675"/>
        <v>-</v>
      </c>
      <c r="CH332" s="1433" t="str">
        <f t="shared" si="675"/>
        <v>-</v>
      </c>
      <c r="CI332" s="1431" t="str">
        <f t="shared" si="675"/>
        <v>-</v>
      </c>
      <c r="CJ332" s="1431" t="str">
        <f t="shared" si="675"/>
        <v>-</v>
      </c>
      <c r="CK332" s="1431" t="str">
        <f t="shared" si="675"/>
        <v>-</v>
      </c>
      <c r="CL332" s="1431" t="str">
        <f t="shared" si="675"/>
        <v>-</v>
      </c>
      <c r="CM332" s="1433" t="str">
        <f t="shared" si="675"/>
        <v>-</v>
      </c>
      <c r="CN332" s="1431" t="str">
        <f t="shared" si="675"/>
        <v>-</v>
      </c>
      <c r="CO332" s="1431" t="str">
        <f t="shared" si="675"/>
        <v>-</v>
      </c>
      <c r="CP332" s="1431" t="str">
        <f t="shared" si="675"/>
        <v>-</v>
      </c>
      <c r="CQ332" s="1431" t="str">
        <f t="shared" si="675"/>
        <v>-</v>
      </c>
      <c r="CR332" s="1434" t="str">
        <f t="shared" si="675"/>
        <v>-</v>
      </c>
      <c r="CS332" s="1378"/>
      <c r="CT332" s="1428" t="str">
        <f t="shared" si="609"/>
        <v>Rev</v>
      </c>
      <c r="CU332" s="1429" t="str">
        <f t="shared" si="610"/>
        <v>[Service]</v>
      </c>
      <c r="CV332" s="1429" t="str">
        <f t="shared" si="611"/>
        <v>[Price]</v>
      </c>
      <c r="CW332" s="1435" t="str">
        <f t="shared" si="634"/>
        <v>-</v>
      </c>
      <c r="CX332" s="1431" t="str">
        <f t="shared" si="635"/>
        <v>-</v>
      </c>
      <c r="CY332" s="1431" t="str">
        <f t="shared" si="636"/>
        <v>-</v>
      </c>
      <c r="CZ332" s="1434" t="str">
        <f t="shared" si="637"/>
        <v>-</v>
      </c>
      <c r="DA332" s="1431" t="str">
        <f t="shared" si="638"/>
        <v>-</v>
      </c>
      <c r="DB332" s="1431" t="str">
        <f t="shared" si="639"/>
        <v>-</v>
      </c>
      <c r="DC332" s="1431" t="str">
        <f t="shared" si="640"/>
        <v>-</v>
      </c>
      <c r="DD332" s="1431" t="str">
        <f t="shared" si="641"/>
        <v>-</v>
      </c>
      <c r="DE332" s="1434" t="str">
        <f t="shared" si="642"/>
        <v>-</v>
      </c>
      <c r="DF332" s="1378"/>
      <c r="DG332" s="1428" t="str">
        <f t="shared" si="643"/>
        <v>Rev</v>
      </c>
      <c r="DH332" s="1429" t="str">
        <f t="shared" si="643"/>
        <v>[Service]</v>
      </c>
      <c r="DI332" s="1429" t="str">
        <f t="shared" si="643"/>
        <v>[Price]</v>
      </c>
      <c r="DJ332" s="1429"/>
      <c r="DK332" s="1435" t="str">
        <f t="shared" si="644"/>
        <v>-</v>
      </c>
      <c r="DL332" s="1431" t="str">
        <f t="shared" si="645"/>
        <v>-</v>
      </c>
      <c r="DM332" s="1431" t="str">
        <f t="shared" si="646"/>
        <v>-</v>
      </c>
      <c r="DN332" s="1433" t="str">
        <f t="shared" si="647"/>
        <v>-</v>
      </c>
      <c r="DO332" s="1431" t="str">
        <f t="shared" si="648"/>
        <v>-</v>
      </c>
      <c r="DP332" s="1431" t="str">
        <f t="shared" si="649"/>
        <v>-</v>
      </c>
      <c r="DQ332" s="1431" t="str">
        <f t="shared" si="650"/>
        <v>-</v>
      </c>
      <c r="DR332" s="1434" t="str">
        <f t="shared" si="651"/>
        <v>-</v>
      </c>
    </row>
    <row r="333" spans="4:122">
      <c r="D333" s="70">
        <f>D330+1</f>
        <v>90</v>
      </c>
      <c r="E333" s="713" t="s">
        <v>44</v>
      </c>
      <c r="F333" s="1532" t="s">
        <v>27</v>
      </c>
      <c r="G333" s="1532"/>
      <c r="H333" s="1532"/>
      <c r="I333" s="781" t="s">
        <v>318</v>
      </c>
      <c r="J333" s="781" t="s">
        <v>345</v>
      </c>
      <c r="K333" s="1533"/>
      <c r="L333" s="1534"/>
      <c r="M333" s="1534"/>
      <c r="N333" s="1535"/>
      <c r="O333" s="2071"/>
      <c r="P333" s="1547"/>
      <c r="Q333" s="1547"/>
      <c r="R333" s="1547"/>
      <c r="S333" s="1547"/>
      <c r="T333" s="1547"/>
      <c r="U333" s="1547"/>
      <c r="V333" s="1547"/>
      <c r="W333" s="1547"/>
      <c r="X333" s="1548"/>
      <c r="Y333" s="1547"/>
      <c r="Z333" s="1547"/>
      <c r="AA333" s="1547"/>
      <c r="AB333" s="1547"/>
      <c r="AC333" s="1548"/>
      <c r="AD333" s="1547"/>
      <c r="AE333" s="1547"/>
      <c r="AF333" s="1547"/>
      <c r="AG333" s="785"/>
      <c r="AH333" s="697"/>
      <c r="AI333" s="707"/>
      <c r="AJ333" s="709">
        <f t="shared" si="655"/>
        <v>0</v>
      </c>
      <c r="AK333" s="710">
        <f t="shared" si="656"/>
        <v>0</v>
      </c>
      <c r="AL333" s="710">
        <f t="shared" si="657"/>
        <v>0</v>
      </c>
      <c r="AM333" s="710">
        <f t="shared" si="658"/>
        <v>0</v>
      </c>
      <c r="AN333" s="710">
        <f t="shared" si="659"/>
        <v>0</v>
      </c>
      <c r="AO333" s="711">
        <f t="shared" si="660"/>
        <v>0</v>
      </c>
      <c r="AP333" s="707">
        <f t="shared" si="661"/>
        <v>0</v>
      </c>
      <c r="AQ333" s="707">
        <f t="shared" si="662"/>
        <v>0</v>
      </c>
      <c r="AR333" s="707">
        <f t="shared" si="663"/>
        <v>0</v>
      </c>
      <c r="AS333" s="712">
        <f t="shared" si="664"/>
        <v>0</v>
      </c>
      <c r="AU333" s="1369"/>
      <c r="AV333" s="1559"/>
      <c r="AW333" s="1412" t="str">
        <f t="shared" si="612"/>
        <v>Price</v>
      </c>
      <c r="AX333" s="1413" t="str">
        <f t="shared" si="612"/>
        <v>[Service]</v>
      </c>
      <c r="AY333" s="1414" t="str">
        <f t="shared" si="613"/>
        <v>[Price]</v>
      </c>
      <c r="AZ333" s="1415" t="str">
        <f t="shared" si="614"/>
        <v>-</v>
      </c>
      <c r="BA333" s="1415" t="str">
        <f t="shared" si="614"/>
        <v>-</v>
      </c>
      <c r="BB333" s="1415" t="str">
        <f t="shared" si="614"/>
        <v>-</v>
      </c>
      <c r="BC333" s="1415" t="str">
        <f t="shared" si="615"/>
        <v>-</v>
      </c>
      <c r="BD333" s="1415" t="str">
        <f t="shared" si="616"/>
        <v>-</v>
      </c>
      <c r="BE333" s="1415" t="str">
        <f t="shared" si="617"/>
        <v>-</v>
      </c>
      <c r="BF333" s="1415" t="str">
        <f t="shared" si="618"/>
        <v>-</v>
      </c>
      <c r="BG333" s="1416" t="str">
        <f t="shared" si="619"/>
        <v>-</v>
      </c>
      <c r="BH333" s="1417" t="str">
        <f t="shared" si="620"/>
        <v>-</v>
      </c>
      <c r="BI333" s="1417" t="str">
        <f t="shared" si="621"/>
        <v>-</v>
      </c>
      <c r="BJ333" s="1417" t="str">
        <f t="shared" si="622"/>
        <v>-</v>
      </c>
      <c r="BK333" s="1417" t="str">
        <f t="shared" si="623"/>
        <v>-</v>
      </c>
      <c r="BL333" s="1418" t="str">
        <f t="shared" si="624"/>
        <v>-</v>
      </c>
      <c r="BM333" s="1417" t="str">
        <f t="shared" si="625"/>
        <v>-</v>
      </c>
      <c r="BN333" s="1417" t="str">
        <f t="shared" si="626"/>
        <v>-</v>
      </c>
      <c r="BO333" s="1417" t="str">
        <f t="shared" si="627"/>
        <v>-</v>
      </c>
      <c r="BP333" s="1417" t="str">
        <f t="shared" si="628"/>
        <v>-</v>
      </c>
      <c r="BQ333" s="1419" t="str">
        <f t="shared" si="629"/>
        <v>-</v>
      </c>
      <c r="BR333" s="1378"/>
      <c r="BS333" s="1420"/>
      <c r="BT333" s="1421"/>
      <c r="BU333" s="1422"/>
      <c r="BV333" s="1423"/>
      <c r="BW333" s="1378"/>
      <c r="BX333" s="1412" t="str">
        <f t="shared" si="630"/>
        <v>Price</v>
      </c>
      <c r="BY333" s="1413" t="str">
        <f t="shared" si="631"/>
        <v>[Service]</v>
      </c>
      <c r="BZ333" s="1414" t="str">
        <f t="shared" si="632"/>
        <v>[Price]</v>
      </c>
      <c r="CA333" s="1424" t="str">
        <f t="shared" ref="CA333:CR333" si="676">IFERROR((P333/O333-1)*(O335/O$13),"-")</f>
        <v>-</v>
      </c>
      <c r="CB333" s="1415" t="str">
        <f t="shared" si="676"/>
        <v>-</v>
      </c>
      <c r="CC333" s="1415" t="str">
        <f t="shared" si="676"/>
        <v>-</v>
      </c>
      <c r="CD333" s="1415" t="str">
        <f t="shared" si="676"/>
        <v>-</v>
      </c>
      <c r="CE333" s="1415" t="str">
        <f t="shared" si="676"/>
        <v>-</v>
      </c>
      <c r="CF333" s="1415" t="str">
        <f t="shared" si="676"/>
        <v>-</v>
      </c>
      <c r="CG333" s="1415" t="str">
        <f t="shared" si="676"/>
        <v>-</v>
      </c>
      <c r="CH333" s="1425" t="str">
        <f t="shared" si="676"/>
        <v>-</v>
      </c>
      <c r="CI333" s="1417" t="str">
        <f t="shared" si="676"/>
        <v>-</v>
      </c>
      <c r="CJ333" s="1417" t="str">
        <f t="shared" si="676"/>
        <v>-</v>
      </c>
      <c r="CK333" s="1417" t="str">
        <f t="shared" si="676"/>
        <v>-</v>
      </c>
      <c r="CL333" s="1417" t="str">
        <f t="shared" si="676"/>
        <v>-</v>
      </c>
      <c r="CM333" s="1418" t="str">
        <f t="shared" si="676"/>
        <v>-</v>
      </c>
      <c r="CN333" s="1417" t="str">
        <f t="shared" si="676"/>
        <v>-</v>
      </c>
      <c r="CO333" s="1417" t="str">
        <f t="shared" si="676"/>
        <v>-</v>
      </c>
      <c r="CP333" s="1417" t="str">
        <f t="shared" si="676"/>
        <v>-</v>
      </c>
      <c r="CQ333" s="1417" t="str">
        <f t="shared" si="676"/>
        <v>-</v>
      </c>
      <c r="CR333" s="1419" t="str">
        <f t="shared" si="676"/>
        <v>-</v>
      </c>
      <c r="CS333" s="1378"/>
      <c r="CT333" s="1412" t="str">
        <f t="shared" si="609"/>
        <v>Price</v>
      </c>
      <c r="CU333" s="1413" t="str">
        <f t="shared" si="610"/>
        <v>[Service]</v>
      </c>
      <c r="CV333" s="1426" t="str">
        <f t="shared" si="611"/>
        <v>[Price]</v>
      </c>
      <c r="CW333" s="1427" t="str">
        <f t="shared" si="634"/>
        <v>-</v>
      </c>
      <c r="CX333" s="1417" t="str">
        <f t="shared" si="635"/>
        <v>-</v>
      </c>
      <c r="CY333" s="1417" t="str">
        <f t="shared" si="636"/>
        <v>-</v>
      </c>
      <c r="CZ333" s="1419" t="str">
        <f t="shared" si="637"/>
        <v>-</v>
      </c>
      <c r="DA333" s="1417" t="str">
        <f t="shared" si="638"/>
        <v>-</v>
      </c>
      <c r="DB333" s="1417" t="str">
        <f t="shared" si="639"/>
        <v>-</v>
      </c>
      <c r="DC333" s="1417" t="str">
        <f t="shared" si="640"/>
        <v>-</v>
      </c>
      <c r="DD333" s="1417" t="str">
        <f t="shared" si="641"/>
        <v>-</v>
      </c>
      <c r="DE333" s="1419" t="str">
        <f t="shared" si="642"/>
        <v>-</v>
      </c>
      <c r="DF333" s="1378"/>
      <c r="DG333" s="1412" t="str">
        <f t="shared" si="643"/>
        <v>Price</v>
      </c>
      <c r="DH333" s="1413" t="str">
        <f t="shared" si="643"/>
        <v>[Service]</v>
      </c>
      <c r="DI333" s="1426" t="str">
        <f t="shared" si="643"/>
        <v>[Price]</v>
      </c>
      <c r="DJ333" s="1426"/>
      <c r="DK333" s="1427" t="str">
        <f t="shared" si="644"/>
        <v>-</v>
      </c>
      <c r="DL333" s="1417" t="str">
        <f t="shared" si="645"/>
        <v>-</v>
      </c>
      <c r="DM333" s="1417" t="str">
        <f t="shared" si="646"/>
        <v>-</v>
      </c>
      <c r="DN333" s="1418" t="str">
        <f t="shared" si="647"/>
        <v>-</v>
      </c>
      <c r="DO333" s="1417" t="str">
        <f t="shared" si="648"/>
        <v>-</v>
      </c>
      <c r="DP333" s="1417" t="str">
        <f t="shared" si="649"/>
        <v>-</v>
      </c>
      <c r="DQ333" s="1417" t="str">
        <f t="shared" si="650"/>
        <v>-</v>
      </c>
      <c r="DR333" s="1419" t="str">
        <f t="shared" si="651"/>
        <v>-</v>
      </c>
    </row>
    <row r="334" spans="4:122">
      <c r="E334" s="742" t="s">
        <v>45</v>
      </c>
      <c r="F334" s="722" t="str">
        <f>+F333</f>
        <v>[Service]</v>
      </c>
      <c r="G334" s="723">
        <f>+G333</f>
        <v>0</v>
      </c>
      <c r="H334" s="723">
        <f>+H333</f>
        <v>0</v>
      </c>
      <c r="I334" s="724" t="str">
        <f>+I333</f>
        <v>[Price]</v>
      </c>
      <c r="J334" s="782" t="s">
        <v>322</v>
      </c>
      <c r="K334" s="1540"/>
      <c r="L334" s="1541"/>
      <c r="M334" s="1541"/>
      <c r="N334" s="1542"/>
      <c r="O334" s="2031"/>
      <c r="P334" s="1543"/>
      <c r="Q334" s="1543"/>
      <c r="R334" s="1543"/>
      <c r="S334" s="1543"/>
      <c r="T334" s="1543"/>
      <c r="U334" s="1543"/>
      <c r="V334" s="1543"/>
      <c r="W334" s="1543"/>
      <c r="X334" s="1544"/>
      <c r="Y334" s="1543"/>
      <c r="Z334" s="1543"/>
      <c r="AA334" s="1543"/>
      <c r="AB334" s="1543"/>
      <c r="AC334" s="1544"/>
      <c r="AD334" s="1543"/>
      <c r="AE334" s="1543"/>
      <c r="AF334" s="1543"/>
      <c r="AG334" s="788"/>
      <c r="AH334" s="697"/>
      <c r="AI334" s="707"/>
      <c r="AJ334" s="709">
        <f t="shared" si="655"/>
        <v>0</v>
      </c>
      <c r="AK334" s="710">
        <f t="shared" si="656"/>
        <v>0</v>
      </c>
      <c r="AL334" s="710">
        <f t="shared" si="657"/>
        <v>0</v>
      </c>
      <c r="AM334" s="710">
        <f t="shared" si="658"/>
        <v>0</v>
      </c>
      <c r="AN334" s="710">
        <f t="shared" si="659"/>
        <v>0</v>
      </c>
      <c r="AO334" s="711">
        <f t="shared" si="660"/>
        <v>0</v>
      </c>
      <c r="AP334" s="707">
        <f t="shared" si="661"/>
        <v>0</v>
      </c>
      <c r="AQ334" s="707">
        <f t="shared" si="662"/>
        <v>0</v>
      </c>
      <c r="AR334" s="707">
        <f t="shared" si="663"/>
        <v>0</v>
      </c>
      <c r="AS334" s="712">
        <f t="shared" si="664"/>
        <v>0</v>
      </c>
      <c r="AV334" s="1559"/>
      <c r="AW334" s="1392" t="str">
        <f t="shared" si="612"/>
        <v>Qty</v>
      </c>
      <c r="AX334" s="1393" t="str">
        <f t="shared" si="612"/>
        <v>[Service]</v>
      </c>
      <c r="AY334" s="1394" t="str">
        <f t="shared" si="613"/>
        <v>[Price]</v>
      </c>
      <c r="AZ334" s="1395" t="str">
        <f t="shared" si="614"/>
        <v>-</v>
      </c>
      <c r="BA334" s="1395" t="str">
        <f t="shared" si="614"/>
        <v>-</v>
      </c>
      <c r="BB334" s="1395" t="str">
        <f t="shared" si="614"/>
        <v>-</v>
      </c>
      <c r="BC334" s="1395" t="str">
        <f t="shared" si="615"/>
        <v>-</v>
      </c>
      <c r="BD334" s="1395" t="str">
        <f t="shared" si="616"/>
        <v>-</v>
      </c>
      <c r="BE334" s="1395" t="str">
        <f t="shared" si="617"/>
        <v>-</v>
      </c>
      <c r="BF334" s="1395" t="str">
        <f t="shared" si="618"/>
        <v>-</v>
      </c>
      <c r="BG334" s="1396" t="str">
        <f t="shared" si="619"/>
        <v>-</v>
      </c>
      <c r="BH334" s="1395" t="str">
        <f t="shared" si="620"/>
        <v>-</v>
      </c>
      <c r="BI334" s="1395" t="str">
        <f t="shared" si="621"/>
        <v>-</v>
      </c>
      <c r="BJ334" s="1395" t="str">
        <f t="shared" si="622"/>
        <v>-</v>
      </c>
      <c r="BK334" s="1395" t="str">
        <f t="shared" si="623"/>
        <v>-</v>
      </c>
      <c r="BL334" s="1397" t="str">
        <f t="shared" si="624"/>
        <v>-</v>
      </c>
      <c r="BM334" s="1395" t="str">
        <f t="shared" si="625"/>
        <v>-</v>
      </c>
      <c r="BN334" s="1395" t="str">
        <f t="shared" si="626"/>
        <v>-</v>
      </c>
      <c r="BO334" s="1395" t="str">
        <f t="shared" si="627"/>
        <v>-</v>
      </c>
      <c r="BP334" s="1395" t="str">
        <f t="shared" si="628"/>
        <v>-</v>
      </c>
      <c r="BQ334" s="1398" t="str">
        <f t="shared" si="629"/>
        <v>-</v>
      </c>
      <c r="BR334" s="1378"/>
      <c r="BS334" s="1329"/>
      <c r="BT334" s="1399"/>
      <c r="BU334" s="1331"/>
      <c r="BV334" s="1400"/>
      <c r="BW334" s="1378"/>
      <c r="BX334" s="1392" t="str">
        <f t="shared" si="630"/>
        <v>Qty</v>
      </c>
      <c r="BY334" s="1393" t="str">
        <f t="shared" si="631"/>
        <v>[Service]</v>
      </c>
      <c r="BZ334" s="1394" t="str">
        <f t="shared" si="632"/>
        <v>[Price]</v>
      </c>
      <c r="CA334" s="1401" t="str">
        <f t="shared" ref="CA334:CR334" si="677">IFERROR((P334/O334-1)*(O335/O$13),"-")</f>
        <v>-</v>
      </c>
      <c r="CB334" s="1395" t="str">
        <f t="shared" si="677"/>
        <v>-</v>
      </c>
      <c r="CC334" s="1395" t="str">
        <f t="shared" si="677"/>
        <v>-</v>
      </c>
      <c r="CD334" s="1395" t="str">
        <f t="shared" si="677"/>
        <v>-</v>
      </c>
      <c r="CE334" s="1395" t="str">
        <f t="shared" si="677"/>
        <v>-</v>
      </c>
      <c r="CF334" s="1395" t="str">
        <f t="shared" si="677"/>
        <v>-</v>
      </c>
      <c r="CG334" s="1395" t="str">
        <f t="shared" si="677"/>
        <v>-</v>
      </c>
      <c r="CH334" s="1397" t="str">
        <f t="shared" si="677"/>
        <v>-</v>
      </c>
      <c r="CI334" s="1395" t="str">
        <f t="shared" si="677"/>
        <v>-</v>
      </c>
      <c r="CJ334" s="1395" t="str">
        <f t="shared" si="677"/>
        <v>-</v>
      </c>
      <c r="CK334" s="1395" t="str">
        <f t="shared" si="677"/>
        <v>-</v>
      </c>
      <c r="CL334" s="1395" t="str">
        <f t="shared" si="677"/>
        <v>-</v>
      </c>
      <c r="CM334" s="1397" t="str">
        <f t="shared" si="677"/>
        <v>-</v>
      </c>
      <c r="CN334" s="1395" t="str">
        <f t="shared" si="677"/>
        <v>-</v>
      </c>
      <c r="CO334" s="1395" t="str">
        <f t="shared" si="677"/>
        <v>-</v>
      </c>
      <c r="CP334" s="1395" t="str">
        <f t="shared" si="677"/>
        <v>-</v>
      </c>
      <c r="CQ334" s="1395" t="str">
        <f t="shared" si="677"/>
        <v>-</v>
      </c>
      <c r="CR334" s="1398" t="str">
        <f t="shared" si="677"/>
        <v>-</v>
      </c>
      <c r="CS334" s="1378"/>
      <c r="CT334" s="1392" t="str">
        <f t="shared" si="609"/>
        <v>Qty</v>
      </c>
      <c r="CU334" s="1393" t="str">
        <f t="shared" si="610"/>
        <v>[Service]</v>
      </c>
      <c r="CV334" s="1393" t="str">
        <f t="shared" si="611"/>
        <v>[Price]</v>
      </c>
      <c r="CW334" s="1401" t="str">
        <f t="shared" si="634"/>
        <v>-</v>
      </c>
      <c r="CX334" s="1395" t="str">
        <f t="shared" si="635"/>
        <v>-</v>
      </c>
      <c r="CY334" s="1395" t="str">
        <f t="shared" si="636"/>
        <v>-</v>
      </c>
      <c r="CZ334" s="1398" t="str">
        <f t="shared" si="637"/>
        <v>-</v>
      </c>
      <c r="DA334" s="1395" t="str">
        <f t="shared" si="638"/>
        <v>-</v>
      </c>
      <c r="DB334" s="1395" t="str">
        <f t="shared" si="639"/>
        <v>-</v>
      </c>
      <c r="DC334" s="1395" t="str">
        <f t="shared" si="640"/>
        <v>-</v>
      </c>
      <c r="DD334" s="1395" t="str">
        <f t="shared" si="641"/>
        <v>-</v>
      </c>
      <c r="DE334" s="1398" t="str">
        <f t="shared" si="642"/>
        <v>-</v>
      </c>
      <c r="DF334" s="1378"/>
      <c r="DG334" s="1392" t="str">
        <f t="shared" si="643"/>
        <v>Qty</v>
      </c>
      <c r="DH334" s="1393" t="str">
        <f t="shared" si="643"/>
        <v>[Service]</v>
      </c>
      <c r="DI334" s="1393" t="str">
        <f t="shared" si="643"/>
        <v>[Price]</v>
      </c>
      <c r="DJ334" s="1393"/>
      <c r="DK334" s="1401" t="str">
        <f t="shared" si="644"/>
        <v>-</v>
      </c>
      <c r="DL334" s="1395" t="str">
        <f t="shared" si="645"/>
        <v>-</v>
      </c>
      <c r="DM334" s="1395" t="str">
        <f t="shared" si="646"/>
        <v>-</v>
      </c>
      <c r="DN334" s="1397" t="str">
        <f t="shared" si="647"/>
        <v>-</v>
      </c>
      <c r="DO334" s="1395" t="str">
        <f t="shared" si="648"/>
        <v>-</v>
      </c>
      <c r="DP334" s="1395" t="str">
        <f t="shared" si="649"/>
        <v>-</v>
      </c>
      <c r="DQ334" s="1395" t="str">
        <f t="shared" si="650"/>
        <v>-</v>
      </c>
      <c r="DR334" s="1398" t="str">
        <f t="shared" si="651"/>
        <v>-</v>
      </c>
    </row>
    <row r="335" spans="4:122" ht="12.75" thickBot="1">
      <c r="E335" s="743" t="s">
        <v>46</v>
      </c>
      <c r="F335" s="732" t="str">
        <f>+F333</f>
        <v>[Service]</v>
      </c>
      <c r="G335" s="733">
        <f>+G333</f>
        <v>0</v>
      </c>
      <c r="H335" s="733">
        <f>+H333</f>
        <v>0</v>
      </c>
      <c r="I335" s="734" t="str">
        <f>+I333</f>
        <v>[Price]</v>
      </c>
      <c r="J335" s="735" t="s">
        <v>344</v>
      </c>
      <c r="K335" s="736">
        <f t="shared" ref="K335:AG335" si="678">K333*K334/10^6</f>
        <v>0</v>
      </c>
      <c r="L335" s="737">
        <f t="shared" si="678"/>
        <v>0</v>
      </c>
      <c r="M335" s="737">
        <f t="shared" si="678"/>
        <v>0</v>
      </c>
      <c r="N335" s="738">
        <f t="shared" si="678"/>
        <v>0</v>
      </c>
      <c r="O335" s="1923">
        <f t="shared" si="678"/>
        <v>0</v>
      </c>
      <c r="P335" s="737">
        <f t="shared" si="678"/>
        <v>0</v>
      </c>
      <c r="Q335" s="737">
        <f t="shared" si="678"/>
        <v>0</v>
      </c>
      <c r="R335" s="737">
        <f t="shared" si="678"/>
        <v>0</v>
      </c>
      <c r="S335" s="737">
        <f t="shared" si="678"/>
        <v>0</v>
      </c>
      <c r="T335" s="737">
        <f t="shared" si="678"/>
        <v>0</v>
      </c>
      <c r="U335" s="737">
        <f t="shared" si="678"/>
        <v>0</v>
      </c>
      <c r="V335" s="737">
        <f t="shared" si="678"/>
        <v>0</v>
      </c>
      <c r="W335" s="737">
        <f t="shared" si="678"/>
        <v>0</v>
      </c>
      <c r="X335" s="738">
        <f t="shared" si="678"/>
        <v>0</v>
      </c>
      <c r="Y335" s="737">
        <f t="shared" si="678"/>
        <v>0</v>
      </c>
      <c r="Z335" s="737">
        <f t="shared" si="678"/>
        <v>0</v>
      </c>
      <c r="AA335" s="737">
        <f t="shared" si="678"/>
        <v>0</v>
      </c>
      <c r="AB335" s="737">
        <f t="shared" si="678"/>
        <v>0</v>
      </c>
      <c r="AC335" s="738">
        <f t="shared" si="678"/>
        <v>0</v>
      </c>
      <c r="AD335" s="737">
        <f t="shared" si="678"/>
        <v>0</v>
      </c>
      <c r="AE335" s="737">
        <f t="shared" si="678"/>
        <v>0</v>
      </c>
      <c r="AF335" s="737">
        <f t="shared" si="678"/>
        <v>0</v>
      </c>
      <c r="AG335" s="739">
        <f t="shared" si="678"/>
        <v>0</v>
      </c>
      <c r="AH335" s="697"/>
      <c r="AI335" s="707"/>
      <c r="AJ335" s="709">
        <f t="shared" si="655"/>
        <v>0</v>
      </c>
      <c r="AK335" s="710">
        <f t="shared" si="656"/>
        <v>0</v>
      </c>
      <c r="AL335" s="710">
        <f t="shared" si="657"/>
        <v>0</v>
      </c>
      <c r="AM335" s="710">
        <f t="shared" si="658"/>
        <v>0</v>
      </c>
      <c r="AN335" s="710">
        <f t="shared" si="659"/>
        <v>0</v>
      </c>
      <c r="AO335" s="711">
        <f t="shared" si="660"/>
        <v>0</v>
      </c>
      <c r="AP335" s="707">
        <f t="shared" si="661"/>
        <v>0</v>
      </c>
      <c r="AQ335" s="707">
        <f t="shared" si="662"/>
        <v>0</v>
      </c>
      <c r="AR335" s="707">
        <f t="shared" si="663"/>
        <v>0</v>
      </c>
      <c r="AS335" s="712">
        <f t="shared" si="664"/>
        <v>0</v>
      </c>
      <c r="AV335" s="1559"/>
      <c r="AW335" s="1428" t="str">
        <f t="shared" si="612"/>
        <v>Rev</v>
      </c>
      <c r="AX335" s="1429" t="str">
        <f t="shared" si="612"/>
        <v>[Service]</v>
      </c>
      <c r="AY335" s="1430" t="str">
        <f t="shared" si="613"/>
        <v>[Price]</v>
      </c>
      <c r="AZ335" s="1431" t="str">
        <f t="shared" si="614"/>
        <v>-</v>
      </c>
      <c r="BA335" s="1431" t="str">
        <f t="shared" si="614"/>
        <v>-</v>
      </c>
      <c r="BB335" s="1431" t="str">
        <f t="shared" si="614"/>
        <v>-</v>
      </c>
      <c r="BC335" s="1431" t="str">
        <f t="shared" si="615"/>
        <v>-</v>
      </c>
      <c r="BD335" s="1431" t="str">
        <f t="shared" si="616"/>
        <v>-</v>
      </c>
      <c r="BE335" s="1431" t="str">
        <f t="shared" si="617"/>
        <v>-</v>
      </c>
      <c r="BF335" s="1431" t="str">
        <f t="shared" si="618"/>
        <v>-</v>
      </c>
      <c r="BG335" s="1432" t="str">
        <f t="shared" si="619"/>
        <v>-</v>
      </c>
      <c r="BH335" s="1431" t="str">
        <f t="shared" si="620"/>
        <v>-</v>
      </c>
      <c r="BI335" s="1431" t="str">
        <f t="shared" si="621"/>
        <v>-</v>
      </c>
      <c r="BJ335" s="1431" t="str">
        <f t="shared" si="622"/>
        <v>-</v>
      </c>
      <c r="BK335" s="1431" t="str">
        <f t="shared" si="623"/>
        <v>-</v>
      </c>
      <c r="BL335" s="1433" t="str">
        <f t="shared" si="624"/>
        <v>-</v>
      </c>
      <c r="BM335" s="1431" t="str">
        <f t="shared" si="625"/>
        <v>-</v>
      </c>
      <c r="BN335" s="1431" t="str">
        <f t="shared" si="626"/>
        <v>-</v>
      </c>
      <c r="BO335" s="1431" t="str">
        <f t="shared" si="627"/>
        <v>-</v>
      </c>
      <c r="BP335" s="1431" t="str">
        <f t="shared" si="628"/>
        <v>-</v>
      </c>
      <c r="BQ335" s="1434" t="str">
        <f t="shared" si="629"/>
        <v>-</v>
      </c>
      <c r="BR335" s="1378"/>
      <c r="BS335" s="1407"/>
      <c r="BT335" s="1408"/>
      <c r="BU335" s="1409"/>
      <c r="BV335" s="1410"/>
      <c r="BW335" s="1378"/>
      <c r="BX335" s="1428" t="str">
        <f t="shared" si="630"/>
        <v>Rev</v>
      </c>
      <c r="BY335" s="1429" t="str">
        <f t="shared" si="631"/>
        <v>[Service]</v>
      </c>
      <c r="BZ335" s="1430" t="str">
        <f t="shared" si="632"/>
        <v>[Price]</v>
      </c>
      <c r="CA335" s="1435" t="str">
        <f t="shared" ref="CA335:CR335" si="679">IFERROR((P335/O335-1)*(O335/O$13),"-")</f>
        <v>-</v>
      </c>
      <c r="CB335" s="1431" t="str">
        <f t="shared" si="679"/>
        <v>-</v>
      </c>
      <c r="CC335" s="1431" t="str">
        <f t="shared" si="679"/>
        <v>-</v>
      </c>
      <c r="CD335" s="1431" t="str">
        <f t="shared" si="679"/>
        <v>-</v>
      </c>
      <c r="CE335" s="1431" t="str">
        <f t="shared" si="679"/>
        <v>-</v>
      </c>
      <c r="CF335" s="1431" t="str">
        <f t="shared" si="679"/>
        <v>-</v>
      </c>
      <c r="CG335" s="1431" t="str">
        <f t="shared" si="679"/>
        <v>-</v>
      </c>
      <c r="CH335" s="1433" t="str">
        <f t="shared" si="679"/>
        <v>-</v>
      </c>
      <c r="CI335" s="1431" t="str">
        <f t="shared" si="679"/>
        <v>-</v>
      </c>
      <c r="CJ335" s="1431" t="str">
        <f t="shared" si="679"/>
        <v>-</v>
      </c>
      <c r="CK335" s="1431" t="str">
        <f t="shared" si="679"/>
        <v>-</v>
      </c>
      <c r="CL335" s="1431" t="str">
        <f t="shared" si="679"/>
        <v>-</v>
      </c>
      <c r="CM335" s="1433" t="str">
        <f t="shared" si="679"/>
        <v>-</v>
      </c>
      <c r="CN335" s="1431" t="str">
        <f t="shared" si="679"/>
        <v>-</v>
      </c>
      <c r="CO335" s="1431" t="str">
        <f t="shared" si="679"/>
        <v>-</v>
      </c>
      <c r="CP335" s="1431" t="str">
        <f t="shared" si="679"/>
        <v>-</v>
      </c>
      <c r="CQ335" s="1431" t="str">
        <f t="shared" si="679"/>
        <v>-</v>
      </c>
      <c r="CR335" s="1434" t="str">
        <f t="shared" si="679"/>
        <v>-</v>
      </c>
      <c r="CS335" s="1378"/>
      <c r="CT335" s="1428" t="str">
        <f t="shared" si="609"/>
        <v>Rev</v>
      </c>
      <c r="CU335" s="1429" t="str">
        <f t="shared" si="610"/>
        <v>[Service]</v>
      </c>
      <c r="CV335" s="1429" t="str">
        <f t="shared" si="611"/>
        <v>[Price]</v>
      </c>
      <c r="CW335" s="1435" t="str">
        <f t="shared" si="634"/>
        <v>-</v>
      </c>
      <c r="CX335" s="1431" t="str">
        <f t="shared" si="635"/>
        <v>-</v>
      </c>
      <c r="CY335" s="1431" t="str">
        <f t="shared" si="636"/>
        <v>-</v>
      </c>
      <c r="CZ335" s="1434" t="str">
        <f t="shared" si="637"/>
        <v>-</v>
      </c>
      <c r="DA335" s="1431" t="str">
        <f t="shared" si="638"/>
        <v>-</v>
      </c>
      <c r="DB335" s="1431" t="str">
        <f t="shared" si="639"/>
        <v>-</v>
      </c>
      <c r="DC335" s="1431" t="str">
        <f t="shared" si="640"/>
        <v>-</v>
      </c>
      <c r="DD335" s="1431" t="str">
        <f t="shared" si="641"/>
        <v>-</v>
      </c>
      <c r="DE335" s="1434" t="str">
        <f t="shared" si="642"/>
        <v>-</v>
      </c>
      <c r="DF335" s="1378"/>
      <c r="DG335" s="1428" t="str">
        <f t="shared" si="643"/>
        <v>Rev</v>
      </c>
      <c r="DH335" s="1429" t="str">
        <f t="shared" si="643"/>
        <v>[Service]</v>
      </c>
      <c r="DI335" s="1429" t="str">
        <f t="shared" si="643"/>
        <v>[Price]</v>
      </c>
      <c r="DJ335" s="1429"/>
      <c r="DK335" s="1435" t="str">
        <f t="shared" si="644"/>
        <v>-</v>
      </c>
      <c r="DL335" s="1431" t="str">
        <f t="shared" si="645"/>
        <v>-</v>
      </c>
      <c r="DM335" s="1431" t="str">
        <f t="shared" si="646"/>
        <v>-</v>
      </c>
      <c r="DN335" s="1433" t="str">
        <f t="shared" si="647"/>
        <v>-</v>
      </c>
      <c r="DO335" s="1431" t="str">
        <f t="shared" si="648"/>
        <v>-</v>
      </c>
      <c r="DP335" s="1431" t="str">
        <f t="shared" si="649"/>
        <v>-</v>
      </c>
      <c r="DQ335" s="1431" t="str">
        <f t="shared" si="650"/>
        <v>-</v>
      </c>
      <c r="DR335" s="1434" t="str">
        <f t="shared" si="651"/>
        <v>-</v>
      </c>
    </row>
    <row r="336" spans="4:122">
      <c r="D336" s="70">
        <f>D333+1</f>
        <v>91</v>
      </c>
      <c r="E336" s="713" t="s">
        <v>44</v>
      </c>
      <c r="F336" s="1532" t="s">
        <v>27</v>
      </c>
      <c r="G336" s="1532"/>
      <c r="H336" s="1532"/>
      <c r="I336" s="781" t="s">
        <v>318</v>
      </c>
      <c r="J336" s="781" t="s">
        <v>345</v>
      </c>
      <c r="K336" s="1533"/>
      <c r="L336" s="1534"/>
      <c r="M336" s="1534"/>
      <c r="N336" s="1535"/>
      <c r="O336" s="2071"/>
      <c r="P336" s="1547"/>
      <c r="Q336" s="1547"/>
      <c r="R336" s="1547"/>
      <c r="S336" s="1547"/>
      <c r="T336" s="1547"/>
      <c r="U336" s="1547"/>
      <c r="V336" s="1547"/>
      <c r="W336" s="1547"/>
      <c r="X336" s="1548"/>
      <c r="Y336" s="1547"/>
      <c r="Z336" s="1547"/>
      <c r="AA336" s="1547"/>
      <c r="AB336" s="1547"/>
      <c r="AC336" s="1548"/>
      <c r="AD336" s="1547"/>
      <c r="AE336" s="1547"/>
      <c r="AF336" s="1547"/>
      <c r="AG336" s="785"/>
      <c r="AH336" s="697"/>
      <c r="AI336" s="707"/>
      <c r="AJ336" s="709">
        <f t="shared" si="655"/>
        <v>0</v>
      </c>
      <c r="AK336" s="710">
        <f t="shared" si="656"/>
        <v>0</v>
      </c>
      <c r="AL336" s="710">
        <f t="shared" si="657"/>
        <v>0</v>
      </c>
      <c r="AM336" s="710">
        <f t="shared" si="658"/>
        <v>0</v>
      </c>
      <c r="AN336" s="710">
        <f t="shared" si="659"/>
        <v>0</v>
      </c>
      <c r="AO336" s="711">
        <f t="shared" si="660"/>
        <v>0</v>
      </c>
      <c r="AP336" s="707">
        <f t="shared" si="661"/>
        <v>0</v>
      </c>
      <c r="AQ336" s="707">
        <f t="shared" si="662"/>
        <v>0</v>
      </c>
      <c r="AR336" s="707">
        <f t="shared" si="663"/>
        <v>0</v>
      </c>
      <c r="AS336" s="712">
        <f t="shared" si="664"/>
        <v>0</v>
      </c>
      <c r="AU336" s="1369"/>
      <c r="AV336" s="1559"/>
      <c r="AW336" s="1412" t="str">
        <f t="shared" si="612"/>
        <v>Price</v>
      </c>
      <c r="AX336" s="1413" t="str">
        <f t="shared" si="612"/>
        <v>[Service]</v>
      </c>
      <c r="AY336" s="1414" t="str">
        <f t="shared" si="613"/>
        <v>[Price]</v>
      </c>
      <c r="AZ336" s="1415" t="str">
        <f t="shared" si="614"/>
        <v>-</v>
      </c>
      <c r="BA336" s="1415" t="str">
        <f t="shared" si="614"/>
        <v>-</v>
      </c>
      <c r="BB336" s="1415" t="str">
        <f t="shared" si="614"/>
        <v>-</v>
      </c>
      <c r="BC336" s="1415" t="str">
        <f t="shared" si="615"/>
        <v>-</v>
      </c>
      <c r="BD336" s="1415" t="str">
        <f t="shared" si="616"/>
        <v>-</v>
      </c>
      <c r="BE336" s="1415" t="str">
        <f t="shared" si="617"/>
        <v>-</v>
      </c>
      <c r="BF336" s="1415" t="str">
        <f t="shared" si="618"/>
        <v>-</v>
      </c>
      <c r="BG336" s="1416" t="str">
        <f t="shared" si="619"/>
        <v>-</v>
      </c>
      <c r="BH336" s="1417" t="str">
        <f t="shared" si="620"/>
        <v>-</v>
      </c>
      <c r="BI336" s="1417" t="str">
        <f t="shared" si="621"/>
        <v>-</v>
      </c>
      <c r="BJ336" s="1417" t="str">
        <f t="shared" si="622"/>
        <v>-</v>
      </c>
      <c r="BK336" s="1417" t="str">
        <f t="shared" si="623"/>
        <v>-</v>
      </c>
      <c r="BL336" s="1418" t="str">
        <f t="shared" si="624"/>
        <v>-</v>
      </c>
      <c r="BM336" s="1417" t="str">
        <f t="shared" si="625"/>
        <v>-</v>
      </c>
      <c r="BN336" s="1417" t="str">
        <f t="shared" si="626"/>
        <v>-</v>
      </c>
      <c r="BO336" s="1417" t="str">
        <f t="shared" si="627"/>
        <v>-</v>
      </c>
      <c r="BP336" s="1417" t="str">
        <f t="shared" si="628"/>
        <v>-</v>
      </c>
      <c r="BQ336" s="1419" t="str">
        <f t="shared" si="629"/>
        <v>-</v>
      </c>
      <c r="BR336" s="1378"/>
      <c r="BS336" s="1420"/>
      <c r="BT336" s="1421"/>
      <c r="BU336" s="1422"/>
      <c r="BV336" s="1423"/>
      <c r="BW336" s="1378"/>
      <c r="BX336" s="1412" t="str">
        <f t="shared" si="630"/>
        <v>Price</v>
      </c>
      <c r="BY336" s="1413" t="str">
        <f t="shared" si="631"/>
        <v>[Service]</v>
      </c>
      <c r="BZ336" s="1414" t="str">
        <f t="shared" si="632"/>
        <v>[Price]</v>
      </c>
      <c r="CA336" s="1424" t="str">
        <f t="shared" ref="CA336:CR336" si="680">IFERROR((P336/O336-1)*(O338/O$13),"-")</f>
        <v>-</v>
      </c>
      <c r="CB336" s="1415" t="str">
        <f t="shared" si="680"/>
        <v>-</v>
      </c>
      <c r="CC336" s="1415" t="str">
        <f t="shared" si="680"/>
        <v>-</v>
      </c>
      <c r="CD336" s="1415" t="str">
        <f t="shared" si="680"/>
        <v>-</v>
      </c>
      <c r="CE336" s="1415" t="str">
        <f t="shared" si="680"/>
        <v>-</v>
      </c>
      <c r="CF336" s="1415" t="str">
        <f t="shared" si="680"/>
        <v>-</v>
      </c>
      <c r="CG336" s="1415" t="str">
        <f t="shared" si="680"/>
        <v>-</v>
      </c>
      <c r="CH336" s="1425" t="str">
        <f t="shared" si="680"/>
        <v>-</v>
      </c>
      <c r="CI336" s="1417" t="str">
        <f t="shared" si="680"/>
        <v>-</v>
      </c>
      <c r="CJ336" s="1417" t="str">
        <f t="shared" si="680"/>
        <v>-</v>
      </c>
      <c r="CK336" s="1417" t="str">
        <f t="shared" si="680"/>
        <v>-</v>
      </c>
      <c r="CL336" s="1417" t="str">
        <f t="shared" si="680"/>
        <v>-</v>
      </c>
      <c r="CM336" s="1418" t="str">
        <f t="shared" si="680"/>
        <v>-</v>
      </c>
      <c r="CN336" s="1417" t="str">
        <f t="shared" si="680"/>
        <v>-</v>
      </c>
      <c r="CO336" s="1417" t="str">
        <f t="shared" si="680"/>
        <v>-</v>
      </c>
      <c r="CP336" s="1417" t="str">
        <f t="shared" si="680"/>
        <v>-</v>
      </c>
      <c r="CQ336" s="1417" t="str">
        <f t="shared" si="680"/>
        <v>-</v>
      </c>
      <c r="CR336" s="1419" t="str">
        <f t="shared" si="680"/>
        <v>-</v>
      </c>
      <c r="CS336" s="1378"/>
      <c r="CT336" s="1412" t="str">
        <f t="shared" si="609"/>
        <v>Price</v>
      </c>
      <c r="CU336" s="1413" t="str">
        <f t="shared" si="610"/>
        <v>[Service]</v>
      </c>
      <c r="CV336" s="1426" t="str">
        <f t="shared" si="611"/>
        <v>[Price]</v>
      </c>
      <c r="CW336" s="1427" t="str">
        <f t="shared" si="634"/>
        <v>-</v>
      </c>
      <c r="CX336" s="1417" t="str">
        <f t="shared" si="635"/>
        <v>-</v>
      </c>
      <c r="CY336" s="1417" t="str">
        <f t="shared" si="636"/>
        <v>-</v>
      </c>
      <c r="CZ336" s="1419" t="str">
        <f t="shared" si="637"/>
        <v>-</v>
      </c>
      <c r="DA336" s="1417" t="str">
        <f t="shared" si="638"/>
        <v>-</v>
      </c>
      <c r="DB336" s="1417" t="str">
        <f t="shared" si="639"/>
        <v>-</v>
      </c>
      <c r="DC336" s="1417" t="str">
        <f t="shared" si="640"/>
        <v>-</v>
      </c>
      <c r="DD336" s="1417" t="str">
        <f t="shared" si="641"/>
        <v>-</v>
      </c>
      <c r="DE336" s="1419" t="str">
        <f t="shared" si="642"/>
        <v>-</v>
      </c>
      <c r="DF336" s="1378"/>
      <c r="DG336" s="1412" t="str">
        <f t="shared" si="643"/>
        <v>Price</v>
      </c>
      <c r="DH336" s="1413" t="str">
        <f t="shared" si="643"/>
        <v>[Service]</v>
      </c>
      <c r="DI336" s="1426" t="str">
        <f t="shared" si="643"/>
        <v>[Price]</v>
      </c>
      <c r="DJ336" s="1426"/>
      <c r="DK336" s="1427" t="str">
        <f t="shared" si="644"/>
        <v>-</v>
      </c>
      <c r="DL336" s="1417" t="str">
        <f t="shared" si="645"/>
        <v>-</v>
      </c>
      <c r="DM336" s="1417" t="str">
        <f t="shared" si="646"/>
        <v>-</v>
      </c>
      <c r="DN336" s="1418" t="str">
        <f t="shared" si="647"/>
        <v>-</v>
      </c>
      <c r="DO336" s="1417" t="str">
        <f t="shared" si="648"/>
        <v>-</v>
      </c>
      <c r="DP336" s="1417" t="str">
        <f t="shared" si="649"/>
        <v>-</v>
      </c>
      <c r="DQ336" s="1417" t="str">
        <f t="shared" si="650"/>
        <v>-</v>
      </c>
      <c r="DR336" s="1419" t="str">
        <f t="shared" si="651"/>
        <v>-</v>
      </c>
    </row>
    <row r="337" spans="4:122">
      <c r="E337" s="742" t="s">
        <v>45</v>
      </c>
      <c r="F337" s="722" t="str">
        <f>+F336</f>
        <v>[Service]</v>
      </c>
      <c r="G337" s="723">
        <f>+G336</f>
        <v>0</v>
      </c>
      <c r="H337" s="723">
        <f>+H336</f>
        <v>0</v>
      </c>
      <c r="I337" s="724" t="str">
        <f>+I336</f>
        <v>[Price]</v>
      </c>
      <c r="J337" s="782" t="s">
        <v>322</v>
      </c>
      <c r="K337" s="1540"/>
      <c r="L337" s="1541"/>
      <c r="M337" s="1541"/>
      <c r="N337" s="1542"/>
      <c r="O337" s="2031"/>
      <c r="P337" s="1543"/>
      <c r="Q337" s="1543"/>
      <c r="R337" s="1543"/>
      <c r="S337" s="1543"/>
      <c r="T337" s="1543"/>
      <c r="U337" s="1543"/>
      <c r="V337" s="1543"/>
      <c r="W337" s="1543"/>
      <c r="X337" s="1544"/>
      <c r="Y337" s="1543"/>
      <c r="Z337" s="1543"/>
      <c r="AA337" s="1543"/>
      <c r="AB337" s="1543"/>
      <c r="AC337" s="1544"/>
      <c r="AD337" s="1543"/>
      <c r="AE337" s="1543"/>
      <c r="AF337" s="1543"/>
      <c r="AG337" s="788"/>
      <c r="AH337" s="697"/>
      <c r="AI337" s="707"/>
      <c r="AJ337" s="709">
        <f t="shared" si="655"/>
        <v>0</v>
      </c>
      <c r="AK337" s="710">
        <f t="shared" si="656"/>
        <v>0</v>
      </c>
      <c r="AL337" s="710">
        <f t="shared" si="657"/>
        <v>0</v>
      </c>
      <c r="AM337" s="710">
        <f t="shared" si="658"/>
        <v>0</v>
      </c>
      <c r="AN337" s="710">
        <f t="shared" si="659"/>
        <v>0</v>
      </c>
      <c r="AO337" s="711">
        <f t="shared" si="660"/>
        <v>0</v>
      </c>
      <c r="AP337" s="707">
        <f t="shared" si="661"/>
        <v>0</v>
      </c>
      <c r="AQ337" s="707">
        <f t="shared" si="662"/>
        <v>0</v>
      </c>
      <c r="AR337" s="707">
        <f t="shared" si="663"/>
        <v>0</v>
      </c>
      <c r="AS337" s="712">
        <f t="shared" si="664"/>
        <v>0</v>
      </c>
      <c r="AV337" s="1559"/>
      <c r="AW337" s="1392" t="str">
        <f t="shared" si="612"/>
        <v>Qty</v>
      </c>
      <c r="AX337" s="1393" t="str">
        <f t="shared" si="612"/>
        <v>[Service]</v>
      </c>
      <c r="AY337" s="1394" t="str">
        <f t="shared" si="613"/>
        <v>[Price]</v>
      </c>
      <c r="AZ337" s="1395" t="str">
        <f t="shared" si="614"/>
        <v>-</v>
      </c>
      <c r="BA337" s="1395" t="str">
        <f t="shared" si="614"/>
        <v>-</v>
      </c>
      <c r="BB337" s="1395" t="str">
        <f t="shared" si="614"/>
        <v>-</v>
      </c>
      <c r="BC337" s="1395" t="str">
        <f t="shared" si="615"/>
        <v>-</v>
      </c>
      <c r="BD337" s="1395" t="str">
        <f t="shared" si="616"/>
        <v>-</v>
      </c>
      <c r="BE337" s="1395" t="str">
        <f t="shared" si="617"/>
        <v>-</v>
      </c>
      <c r="BF337" s="1395" t="str">
        <f t="shared" si="618"/>
        <v>-</v>
      </c>
      <c r="BG337" s="1396" t="str">
        <f t="shared" si="619"/>
        <v>-</v>
      </c>
      <c r="BH337" s="1395" t="str">
        <f t="shared" si="620"/>
        <v>-</v>
      </c>
      <c r="BI337" s="1395" t="str">
        <f t="shared" si="621"/>
        <v>-</v>
      </c>
      <c r="BJ337" s="1395" t="str">
        <f t="shared" si="622"/>
        <v>-</v>
      </c>
      <c r="BK337" s="1395" t="str">
        <f t="shared" si="623"/>
        <v>-</v>
      </c>
      <c r="BL337" s="1397" t="str">
        <f t="shared" si="624"/>
        <v>-</v>
      </c>
      <c r="BM337" s="1395" t="str">
        <f t="shared" si="625"/>
        <v>-</v>
      </c>
      <c r="BN337" s="1395" t="str">
        <f t="shared" si="626"/>
        <v>-</v>
      </c>
      <c r="BO337" s="1395" t="str">
        <f t="shared" si="627"/>
        <v>-</v>
      </c>
      <c r="BP337" s="1395" t="str">
        <f t="shared" si="628"/>
        <v>-</v>
      </c>
      <c r="BQ337" s="1398" t="str">
        <f t="shared" si="629"/>
        <v>-</v>
      </c>
      <c r="BR337" s="1378"/>
      <c r="BS337" s="1329"/>
      <c r="BT337" s="1399"/>
      <c r="BU337" s="1331"/>
      <c r="BV337" s="1400"/>
      <c r="BW337" s="1378"/>
      <c r="BX337" s="1392" t="str">
        <f t="shared" si="630"/>
        <v>Qty</v>
      </c>
      <c r="BY337" s="1393" t="str">
        <f t="shared" si="631"/>
        <v>[Service]</v>
      </c>
      <c r="BZ337" s="1394" t="str">
        <f t="shared" si="632"/>
        <v>[Price]</v>
      </c>
      <c r="CA337" s="1401" t="str">
        <f t="shared" ref="CA337:CR337" si="681">IFERROR((P337/O337-1)*(O338/O$13),"-")</f>
        <v>-</v>
      </c>
      <c r="CB337" s="1395" t="str">
        <f t="shared" si="681"/>
        <v>-</v>
      </c>
      <c r="CC337" s="1395" t="str">
        <f t="shared" si="681"/>
        <v>-</v>
      </c>
      <c r="CD337" s="1395" t="str">
        <f t="shared" si="681"/>
        <v>-</v>
      </c>
      <c r="CE337" s="1395" t="str">
        <f t="shared" si="681"/>
        <v>-</v>
      </c>
      <c r="CF337" s="1395" t="str">
        <f t="shared" si="681"/>
        <v>-</v>
      </c>
      <c r="CG337" s="1395" t="str">
        <f t="shared" si="681"/>
        <v>-</v>
      </c>
      <c r="CH337" s="1397" t="str">
        <f t="shared" si="681"/>
        <v>-</v>
      </c>
      <c r="CI337" s="1395" t="str">
        <f t="shared" si="681"/>
        <v>-</v>
      </c>
      <c r="CJ337" s="1395" t="str">
        <f t="shared" si="681"/>
        <v>-</v>
      </c>
      <c r="CK337" s="1395" t="str">
        <f t="shared" si="681"/>
        <v>-</v>
      </c>
      <c r="CL337" s="1395" t="str">
        <f t="shared" si="681"/>
        <v>-</v>
      </c>
      <c r="CM337" s="1397" t="str">
        <f t="shared" si="681"/>
        <v>-</v>
      </c>
      <c r="CN337" s="1395" t="str">
        <f t="shared" si="681"/>
        <v>-</v>
      </c>
      <c r="CO337" s="1395" t="str">
        <f t="shared" si="681"/>
        <v>-</v>
      </c>
      <c r="CP337" s="1395" t="str">
        <f t="shared" si="681"/>
        <v>-</v>
      </c>
      <c r="CQ337" s="1395" t="str">
        <f t="shared" si="681"/>
        <v>-</v>
      </c>
      <c r="CR337" s="1398" t="str">
        <f t="shared" si="681"/>
        <v>-</v>
      </c>
      <c r="CS337" s="1378"/>
      <c r="CT337" s="1392" t="str">
        <f t="shared" si="609"/>
        <v>Qty</v>
      </c>
      <c r="CU337" s="1393" t="str">
        <f t="shared" si="610"/>
        <v>[Service]</v>
      </c>
      <c r="CV337" s="1393" t="str">
        <f t="shared" si="611"/>
        <v>[Price]</v>
      </c>
      <c r="CW337" s="1401" t="str">
        <f t="shared" si="634"/>
        <v>-</v>
      </c>
      <c r="CX337" s="1395" t="str">
        <f t="shared" si="635"/>
        <v>-</v>
      </c>
      <c r="CY337" s="1395" t="str">
        <f t="shared" si="636"/>
        <v>-</v>
      </c>
      <c r="CZ337" s="1398" t="str">
        <f t="shared" si="637"/>
        <v>-</v>
      </c>
      <c r="DA337" s="1395" t="str">
        <f t="shared" si="638"/>
        <v>-</v>
      </c>
      <c r="DB337" s="1395" t="str">
        <f t="shared" si="639"/>
        <v>-</v>
      </c>
      <c r="DC337" s="1395" t="str">
        <f t="shared" si="640"/>
        <v>-</v>
      </c>
      <c r="DD337" s="1395" t="str">
        <f t="shared" si="641"/>
        <v>-</v>
      </c>
      <c r="DE337" s="1398" t="str">
        <f t="shared" si="642"/>
        <v>-</v>
      </c>
      <c r="DF337" s="1378"/>
      <c r="DG337" s="1392" t="str">
        <f t="shared" si="643"/>
        <v>Qty</v>
      </c>
      <c r="DH337" s="1393" t="str">
        <f t="shared" si="643"/>
        <v>[Service]</v>
      </c>
      <c r="DI337" s="1393" t="str">
        <f t="shared" si="643"/>
        <v>[Price]</v>
      </c>
      <c r="DJ337" s="1393"/>
      <c r="DK337" s="1401" t="str">
        <f t="shared" si="644"/>
        <v>-</v>
      </c>
      <c r="DL337" s="1395" t="str">
        <f t="shared" si="645"/>
        <v>-</v>
      </c>
      <c r="DM337" s="1395" t="str">
        <f t="shared" si="646"/>
        <v>-</v>
      </c>
      <c r="DN337" s="1397" t="str">
        <f t="shared" si="647"/>
        <v>-</v>
      </c>
      <c r="DO337" s="1395" t="str">
        <f t="shared" si="648"/>
        <v>-</v>
      </c>
      <c r="DP337" s="1395" t="str">
        <f t="shared" si="649"/>
        <v>-</v>
      </c>
      <c r="DQ337" s="1395" t="str">
        <f t="shared" si="650"/>
        <v>-</v>
      </c>
      <c r="DR337" s="1398" t="str">
        <f t="shared" si="651"/>
        <v>-</v>
      </c>
    </row>
    <row r="338" spans="4:122" ht="12.75" thickBot="1">
      <c r="E338" s="743" t="s">
        <v>46</v>
      </c>
      <c r="F338" s="732" t="str">
        <f>+F336</f>
        <v>[Service]</v>
      </c>
      <c r="G338" s="733">
        <f>+G336</f>
        <v>0</v>
      </c>
      <c r="H338" s="733">
        <f>+H336</f>
        <v>0</v>
      </c>
      <c r="I338" s="734" t="str">
        <f>+I336</f>
        <v>[Price]</v>
      </c>
      <c r="J338" s="735" t="s">
        <v>344</v>
      </c>
      <c r="K338" s="736">
        <f t="shared" ref="K338:AG338" si="682">K336*K337/10^6</f>
        <v>0</v>
      </c>
      <c r="L338" s="737">
        <f t="shared" si="682"/>
        <v>0</v>
      </c>
      <c r="M338" s="737">
        <f t="shared" si="682"/>
        <v>0</v>
      </c>
      <c r="N338" s="738">
        <f t="shared" si="682"/>
        <v>0</v>
      </c>
      <c r="O338" s="1923">
        <f t="shared" si="682"/>
        <v>0</v>
      </c>
      <c r="P338" s="737">
        <f t="shared" si="682"/>
        <v>0</v>
      </c>
      <c r="Q338" s="737">
        <f t="shared" si="682"/>
        <v>0</v>
      </c>
      <c r="R338" s="737">
        <f t="shared" si="682"/>
        <v>0</v>
      </c>
      <c r="S338" s="737">
        <f t="shared" si="682"/>
        <v>0</v>
      </c>
      <c r="T338" s="737">
        <f t="shared" si="682"/>
        <v>0</v>
      </c>
      <c r="U338" s="737">
        <f t="shared" si="682"/>
        <v>0</v>
      </c>
      <c r="V338" s="737">
        <f t="shared" si="682"/>
        <v>0</v>
      </c>
      <c r="W338" s="737">
        <f t="shared" si="682"/>
        <v>0</v>
      </c>
      <c r="X338" s="738">
        <f t="shared" si="682"/>
        <v>0</v>
      </c>
      <c r="Y338" s="737">
        <f t="shared" si="682"/>
        <v>0</v>
      </c>
      <c r="Z338" s="737">
        <f t="shared" si="682"/>
        <v>0</v>
      </c>
      <c r="AA338" s="737">
        <f t="shared" si="682"/>
        <v>0</v>
      </c>
      <c r="AB338" s="737">
        <f t="shared" si="682"/>
        <v>0</v>
      </c>
      <c r="AC338" s="738">
        <f t="shared" si="682"/>
        <v>0</v>
      </c>
      <c r="AD338" s="737">
        <f t="shared" si="682"/>
        <v>0</v>
      </c>
      <c r="AE338" s="737">
        <f t="shared" si="682"/>
        <v>0</v>
      </c>
      <c r="AF338" s="737">
        <f t="shared" si="682"/>
        <v>0</v>
      </c>
      <c r="AG338" s="739">
        <f t="shared" si="682"/>
        <v>0</v>
      </c>
      <c r="AH338" s="697"/>
      <c r="AI338" s="707"/>
      <c r="AJ338" s="709">
        <f t="shared" si="655"/>
        <v>0</v>
      </c>
      <c r="AK338" s="710">
        <f t="shared" si="656"/>
        <v>0</v>
      </c>
      <c r="AL338" s="710">
        <f t="shared" si="657"/>
        <v>0</v>
      </c>
      <c r="AM338" s="710">
        <f t="shared" si="658"/>
        <v>0</v>
      </c>
      <c r="AN338" s="710">
        <f t="shared" si="659"/>
        <v>0</v>
      </c>
      <c r="AO338" s="711">
        <f t="shared" si="660"/>
        <v>0</v>
      </c>
      <c r="AP338" s="707">
        <f t="shared" si="661"/>
        <v>0</v>
      </c>
      <c r="AQ338" s="707">
        <f t="shared" si="662"/>
        <v>0</v>
      </c>
      <c r="AR338" s="707">
        <f t="shared" si="663"/>
        <v>0</v>
      </c>
      <c r="AS338" s="712">
        <f t="shared" si="664"/>
        <v>0</v>
      </c>
      <c r="AV338" s="1559"/>
      <c r="AW338" s="1428" t="str">
        <f t="shared" si="612"/>
        <v>Rev</v>
      </c>
      <c r="AX338" s="1429" t="str">
        <f t="shared" si="612"/>
        <v>[Service]</v>
      </c>
      <c r="AY338" s="1430" t="str">
        <f t="shared" si="613"/>
        <v>[Price]</v>
      </c>
      <c r="AZ338" s="1431" t="str">
        <f t="shared" ref="AZ338:BB353" si="683">IFERROR(P338/O338-1,"-")</f>
        <v>-</v>
      </c>
      <c r="BA338" s="1431" t="str">
        <f t="shared" si="683"/>
        <v>-</v>
      </c>
      <c r="BB338" s="1431" t="str">
        <f t="shared" si="683"/>
        <v>-</v>
      </c>
      <c r="BC338" s="1431" t="str">
        <f t="shared" si="615"/>
        <v>-</v>
      </c>
      <c r="BD338" s="1431" t="str">
        <f t="shared" si="616"/>
        <v>-</v>
      </c>
      <c r="BE338" s="1431" t="str">
        <f t="shared" si="617"/>
        <v>-</v>
      </c>
      <c r="BF338" s="1431" t="str">
        <f t="shared" si="618"/>
        <v>-</v>
      </c>
      <c r="BG338" s="1432" t="str">
        <f t="shared" si="619"/>
        <v>-</v>
      </c>
      <c r="BH338" s="1431" t="str">
        <f t="shared" si="620"/>
        <v>-</v>
      </c>
      <c r="BI338" s="1431" t="str">
        <f t="shared" si="621"/>
        <v>-</v>
      </c>
      <c r="BJ338" s="1431" t="str">
        <f t="shared" si="622"/>
        <v>-</v>
      </c>
      <c r="BK338" s="1431" t="str">
        <f t="shared" si="623"/>
        <v>-</v>
      </c>
      <c r="BL338" s="1433" t="str">
        <f t="shared" si="624"/>
        <v>-</v>
      </c>
      <c r="BM338" s="1431" t="str">
        <f t="shared" si="625"/>
        <v>-</v>
      </c>
      <c r="BN338" s="1431" t="str">
        <f t="shared" si="626"/>
        <v>-</v>
      </c>
      <c r="BO338" s="1431" t="str">
        <f t="shared" si="627"/>
        <v>-</v>
      </c>
      <c r="BP338" s="1431" t="str">
        <f t="shared" si="628"/>
        <v>-</v>
      </c>
      <c r="BQ338" s="1434" t="str">
        <f t="shared" si="629"/>
        <v>-</v>
      </c>
      <c r="BR338" s="1378"/>
      <c r="BS338" s="1407"/>
      <c r="BT338" s="1408"/>
      <c r="BU338" s="1409"/>
      <c r="BV338" s="1410"/>
      <c r="BW338" s="1378"/>
      <c r="BX338" s="1428" t="str">
        <f t="shared" si="630"/>
        <v>Rev</v>
      </c>
      <c r="BY338" s="1429" t="str">
        <f t="shared" si="631"/>
        <v>[Service]</v>
      </c>
      <c r="BZ338" s="1430" t="str">
        <f t="shared" si="632"/>
        <v>[Price]</v>
      </c>
      <c r="CA338" s="1435" t="str">
        <f t="shared" ref="CA338:CR338" si="684">IFERROR((P338/O338-1)*(O338/O$13),"-")</f>
        <v>-</v>
      </c>
      <c r="CB338" s="1431" t="str">
        <f t="shared" si="684"/>
        <v>-</v>
      </c>
      <c r="CC338" s="1431" t="str">
        <f t="shared" si="684"/>
        <v>-</v>
      </c>
      <c r="CD338" s="1431" t="str">
        <f t="shared" si="684"/>
        <v>-</v>
      </c>
      <c r="CE338" s="1431" t="str">
        <f t="shared" si="684"/>
        <v>-</v>
      </c>
      <c r="CF338" s="1431" t="str">
        <f t="shared" si="684"/>
        <v>-</v>
      </c>
      <c r="CG338" s="1431" t="str">
        <f t="shared" si="684"/>
        <v>-</v>
      </c>
      <c r="CH338" s="1433" t="str">
        <f t="shared" si="684"/>
        <v>-</v>
      </c>
      <c r="CI338" s="1431" t="str">
        <f t="shared" si="684"/>
        <v>-</v>
      </c>
      <c r="CJ338" s="1431" t="str">
        <f t="shared" si="684"/>
        <v>-</v>
      </c>
      <c r="CK338" s="1431" t="str">
        <f t="shared" si="684"/>
        <v>-</v>
      </c>
      <c r="CL338" s="1431" t="str">
        <f t="shared" si="684"/>
        <v>-</v>
      </c>
      <c r="CM338" s="1433" t="str">
        <f t="shared" si="684"/>
        <v>-</v>
      </c>
      <c r="CN338" s="1431" t="str">
        <f t="shared" si="684"/>
        <v>-</v>
      </c>
      <c r="CO338" s="1431" t="str">
        <f t="shared" si="684"/>
        <v>-</v>
      </c>
      <c r="CP338" s="1431" t="str">
        <f t="shared" si="684"/>
        <v>-</v>
      </c>
      <c r="CQ338" s="1431" t="str">
        <f t="shared" si="684"/>
        <v>-</v>
      </c>
      <c r="CR338" s="1434" t="str">
        <f t="shared" si="684"/>
        <v>-</v>
      </c>
      <c r="CS338" s="1378"/>
      <c r="CT338" s="1428" t="str">
        <f t="shared" si="609"/>
        <v>Rev</v>
      </c>
      <c r="CU338" s="1429" t="str">
        <f t="shared" si="610"/>
        <v>[Service]</v>
      </c>
      <c r="CV338" s="1429" t="str">
        <f t="shared" si="611"/>
        <v>[Price]</v>
      </c>
      <c r="CW338" s="1435" t="str">
        <f t="shared" si="634"/>
        <v>-</v>
      </c>
      <c r="CX338" s="1431" t="str">
        <f t="shared" si="635"/>
        <v>-</v>
      </c>
      <c r="CY338" s="1431" t="str">
        <f t="shared" si="636"/>
        <v>-</v>
      </c>
      <c r="CZ338" s="1434" t="str">
        <f t="shared" si="637"/>
        <v>-</v>
      </c>
      <c r="DA338" s="1431" t="str">
        <f t="shared" si="638"/>
        <v>-</v>
      </c>
      <c r="DB338" s="1431" t="str">
        <f t="shared" si="639"/>
        <v>-</v>
      </c>
      <c r="DC338" s="1431" t="str">
        <f t="shared" si="640"/>
        <v>-</v>
      </c>
      <c r="DD338" s="1431" t="str">
        <f t="shared" si="641"/>
        <v>-</v>
      </c>
      <c r="DE338" s="1434" t="str">
        <f t="shared" si="642"/>
        <v>-</v>
      </c>
      <c r="DF338" s="1378"/>
      <c r="DG338" s="1428" t="str">
        <f t="shared" si="643"/>
        <v>Rev</v>
      </c>
      <c r="DH338" s="1429" t="str">
        <f t="shared" si="643"/>
        <v>[Service]</v>
      </c>
      <c r="DI338" s="1429" t="str">
        <f t="shared" si="643"/>
        <v>[Price]</v>
      </c>
      <c r="DJ338" s="1429"/>
      <c r="DK338" s="1435" t="str">
        <f t="shared" si="644"/>
        <v>-</v>
      </c>
      <c r="DL338" s="1431" t="str">
        <f t="shared" si="645"/>
        <v>-</v>
      </c>
      <c r="DM338" s="1431" t="str">
        <f t="shared" si="646"/>
        <v>-</v>
      </c>
      <c r="DN338" s="1433" t="str">
        <f t="shared" si="647"/>
        <v>-</v>
      </c>
      <c r="DO338" s="1431" t="str">
        <f t="shared" si="648"/>
        <v>-</v>
      </c>
      <c r="DP338" s="1431" t="str">
        <f t="shared" si="649"/>
        <v>-</v>
      </c>
      <c r="DQ338" s="1431" t="str">
        <f t="shared" si="650"/>
        <v>-</v>
      </c>
      <c r="DR338" s="1434" t="str">
        <f t="shared" si="651"/>
        <v>-</v>
      </c>
    </row>
    <row r="339" spans="4:122">
      <c r="D339" s="70">
        <f>D336+1</f>
        <v>92</v>
      </c>
      <c r="E339" s="713" t="s">
        <v>44</v>
      </c>
      <c r="F339" s="1532" t="s">
        <v>27</v>
      </c>
      <c r="G339" s="1532"/>
      <c r="H339" s="1532"/>
      <c r="I339" s="781" t="s">
        <v>318</v>
      </c>
      <c r="J339" s="781" t="s">
        <v>345</v>
      </c>
      <c r="K339" s="1533"/>
      <c r="L339" s="1534"/>
      <c r="M339" s="1534"/>
      <c r="N339" s="1535"/>
      <c r="O339" s="2071"/>
      <c r="P339" s="1547"/>
      <c r="Q339" s="1547"/>
      <c r="R339" s="1547"/>
      <c r="S339" s="1547"/>
      <c r="T339" s="1547"/>
      <c r="U339" s="1547"/>
      <c r="V339" s="1547"/>
      <c r="W339" s="1547"/>
      <c r="X339" s="1548"/>
      <c r="Y339" s="1547"/>
      <c r="Z339" s="1547"/>
      <c r="AA339" s="1547"/>
      <c r="AB339" s="1547"/>
      <c r="AC339" s="1548"/>
      <c r="AD339" s="1547"/>
      <c r="AE339" s="1547"/>
      <c r="AF339" s="1547"/>
      <c r="AG339" s="785"/>
      <c r="AH339" s="697"/>
      <c r="AI339" s="707"/>
      <c r="AJ339" s="709">
        <f t="shared" si="655"/>
        <v>0</v>
      </c>
      <c r="AK339" s="710">
        <f t="shared" si="656"/>
        <v>0</v>
      </c>
      <c r="AL339" s="710">
        <f t="shared" si="657"/>
        <v>0</v>
      </c>
      <c r="AM339" s="710">
        <f t="shared" si="658"/>
        <v>0</v>
      </c>
      <c r="AN339" s="710">
        <f t="shared" si="659"/>
        <v>0</v>
      </c>
      <c r="AO339" s="711">
        <f t="shared" si="660"/>
        <v>0</v>
      </c>
      <c r="AP339" s="707">
        <f t="shared" si="661"/>
        <v>0</v>
      </c>
      <c r="AQ339" s="707">
        <f t="shared" si="662"/>
        <v>0</v>
      </c>
      <c r="AR339" s="707">
        <f t="shared" si="663"/>
        <v>0</v>
      </c>
      <c r="AS339" s="712">
        <f t="shared" si="664"/>
        <v>0</v>
      </c>
      <c r="AU339" s="1369"/>
      <c r="AV339" s="1559"/>
      <c r="AW339" s="1412" t="str">
        <f t="shared" si="612"/>
        <v>Price</v>
      </c>
      <c r="AX339" s="1413" t="str">
        <f t="shared" si="612"/>
        <v>[Service]</v>
      </c>
      <c r="AY339" s="1414" t="str">
        <f t="shared" si="613"/>
        <v>[Price]</v>
      </c>
      <c r="AZ339" s="1415" t="str">
        <f t="shared" si="683"/>
        <v>-</v>
      </c>
      <c r="BA339" s="1415" t="str">
        <f t="shared" si="683"/>
        <v>-</v>
      </c>
      <c r="BB339" s="1415" t="str">
        <f t="shared" si="683"/>
        <v>-</v>
      </c>
      <c r="BC339" s="1415" t="str">
        <f t="shared" si="615"/>
        <v>-</v>
      </c>
      <c r="BD339" s="1415" t="str">
        <f t="shared" si="616"/>
        <v>-</v>
      </c>
      <c r="BE339" s="1415" t="str">
        <f t="shared" si="617"/>
        <v>-</v>
      </c>
      <c r="BF339" s="1415" t="str">
        <f t="shared" si="618"/>
        <v>-</v>
      </c>
      <c r="BG339" s="1416" t="str">
        <f t="shared" si="619"/>
        <v>-</v>
      </c>
      <c r="BH339" s="1417" t="str">
        <f t="shared" si="620"/>
        <v>-</v>
      </c>
      <c r="BI339" s="1417" t="str">
        <f t="shared" si="621"/>
        <v>-</v>
      </c>
      <c r="BJ339" s="1417" t="str">
        <f t="shared" si="622"/>
        <v>-</v>
      </c>
      <c r="BK339" s="1417" t="str">
        <f t="shared" si="623"/>
        <v>-</v>
      </c>
      <c r="BL339" s="1418" t="str">
        <f t="shared" si="624"/>
        <v>-</v>
      </c>
      <c r="BM339" s="1417" t="str">
        <f t="shared" si="625"/>
        <v>-</v>
      </c>
      <c r="BN339" s="1417" t="str">
        <f t="shared" si="626"/>
        <v>-</v>
      </c>
      <c r="BO339" s="1417" t="str">
        <f t="shared" si="627"/>
        <v>-</v>
      </c>
      <c r="BP339" s="1417" t="str">
        <f t="shared" si="628"/>
        <v>-</v>
      </c>
      <c r="BQ339" s="1419" t="str">
        <f t="shared" si="629"/>
        <v>-</v>
      </c>
      <c r="BR339" s="1378"/>
      <c r="BS339" s="1420"/>
      <c r="BT339" s="1421"/>
      <c r="BU339" s="1422"/>
      <c r="BV339" s="1423"/>
      <c r="BW339" s="1378"/>
      <c r="BX339" s="1412" t="str">
        <f t="shared" si="630"/>
        <v>Price</v>
      </c>
      <c r="BY339" s="1413" t="str">
        <f t="shared" si="631"/>
        <v>[Service]</v>
      </c>
      <c r="BZ339" s="1414" t="str">
        <f t="shared" si="632"/>
        <v>[Price]</v>
      </c>
      <c r="CA339" s="1424" t="str">
        <f t="shared" ref="CA339:CR339" si="685">IFERROR((P339/O339-1)*(O341/O$13),"-")</f>
        <v>-</v>
      </c>
      <c r="CB339" s="1415" t="str">
        <f t="shared" si="685"/>
        <v>-</v>
      </c>
      <c r="CC339" s="1415" t="str">
        <f t="shared" si="685"/>
        <v>-</v>
      </c>
      <c r="CD339" s="1415" t="str">
        <f t="shared" si="685"/>
        <v>-</v>
      </c>
      <c r="CE339" s="1415" t="str">
        <f t="shared" si="685"/>
        <v>-</v>
      </c>
      <c r="CF339" s="1415" t="str">
        <f t="shared" si="685"/>
        <v>-</v>
      </c>
      <c r="CG339" s="1415" t="str">
        <f t="shared" si="685"/>
        <v>-</v>
      </c>
      <c r="CH339" s="1425" t="str">
        <f t="shared" si="685"/>
        <v>-</v>
      </c>
      <c r="CI339" s="1417" t="str">
        <f t="shared" si="685"/>
        <v>-</v>
      </c>
      <c r="CJ339" s="1417" t="str">
        <f t="shared" si="685"/>
        <v>-</v>
      </c>
      <c r="CK339" s="1417" t="str">
        <f t="shared" si="685"/>
        <v>-</v>
      </c>
      <c r="CL339" s="1417" t="str">
        <f t="shared" si="685"/>
        <v>-</v>
      </c>
      <c r="CM339" s="1418" t="str">
        <f t="shared" si="685"/>
        <v>-</v>
      </c>
      <c r="CN339" s="1417" t="str">
        <f t="shared" si="685"/>
        <v>-</v>
      </c>
      <c r="CO339" s="1417" t="str">
        <f t="shared" si="685"/>
        <v>-</v>
      </c>
      <c r="CP339" s="1417" t="str">
        <f t="shared" si="685"/>
        <v>-</v>
      </c>
      <c r="CQ339" s="1417" t="str">
        <f t="shared" si="685"/>
        <v>-</v>
      </c>
      <c r="CR339" s="1419" t="str">
        <f t="shared" si="685"/>
        <v>-</v>
      </c>
      <c r="CS339" s="1378"/>
      <c r="CT339" s="1412" t="str">
        <f t="shared" si="609"/>
        <v>Price</v>
      </c>
      <c r="CU339" s="1413" t="str">
        <f t="shared" si="610"/>
        <v>[Service]</v>
      </c>
      <c r="CV339" s="1426" t="str">
        <f t="shared" si="611"/>
        <v>[Price]</v>
      </c>
      <c r="CW339" s="1427" t="str">
        <f t="shared" si="634"/>
        <v>-</v>
      </c>
      <c r="CX339" s="1417" t="str">
        <f t="shared" si="635"/>
        <v>-</v>
      </c>
      <c r="CY339" s="1417" t="str">
        <f t="shared" si="636"/>
        <v>-</v>
      </c>
      <c r="CZ339" s="1419" t="str">
        <f t="shared" si="637"/>
        <v>-</v>
      </c>
      <c r="DA339" s="1417" t="str">
        <f t="shared" si="638"/>
        <v>-</v>
      </c>
      <c r="DB339" s="1417" t="str">
        <f t="shared" si="639"/>
        <v>-</v>
      </c>
      <c r="DC339" s="1417" t="str">
        <f t="shared" si="640"/>
        <v>-</v>
      </c>
      <c r="DD339" s="1417" t="str">
        <f t="shared" si="641"/>
        <v>-</v>
      </c>
      <c r="DE339" s="1419" t="str">
        <f t="shared" si="642"/>
        <v>-</v>
      </c>
      <c r="DF339" s="1378"/>
      <c r="DG339" s="1412" t="str">
        <f t="shared" si="643"/>
        <v>Price</v>
      </c>
      <c r="DH339" s="1413" t="str">
        <f t="shared" si="643"/>
        <v>[Service]</v>
      </c>
      <c r="DI339" s="1426" t="str">
        <f t="shared" si="643"/>
        <v>[Price]</v>
      </c>
      <c r="DJ339" s="1426"/>
      <c r="DK339" s="1427" t="str">
        <f t="shared" si="644"/>
        <v>-</v>
      </c>
      <c r="DL339" s="1417" t="str">
        <f t="shared" si="645"/>
        <v>-</v>
      </c>
      <c r="DM339" s="1417" t="str">
        <f t="shared" si="646"/>
        <v>-</v>
      </c>
      <c r="DN339" s="1418" t="str">
        <f t="shared" si="647"/>
        <v>-</v>
      </c>
      <c r="DO339" s="1417" t="str">
        <f t="shared" si="648"/>
        <v>-</v>
      </c>
      <c r="DP339" s="1417" t="str">
        <f t="shared" si="649"/>
        <v>-</v>
      </c>
      <c r="DQ339" s="1417" t="str">
        <f t="shared" si="650"/>
        <v>-</v>
      </c>
      <c r="DR339" s="1419" t="str">
        <f t="shared" si="651"/>
        <v>-</v>
      </c>
    </row>
    <row r="340" spans="4:122">
      <c r="E340" s="742" t="s">
        <v>45</v>
      </c>
      <c r="F340" s="722" t="str">
        <f>+F339</f>
        <v>[Service]</v>
      </c>
      <c r="G340" s="723">
        <f>+G339</f>
        <v>0</v>
      </c>
      <c r="H340" s="723">
        <f>+H339</f>
        <v>0</v>
      </c>
      <c r="I340" s="724" t="str">
        <f>+I339</f>
        <v>[Price]</v>
      </c>
      <c r="J340" s="782" t="s">
        <v>322</v>
      </c>
      <c r="K340" s="1540"/>
      <c r="L340" s="1541"/>
      <c r="M340" s="1541"/>
      <c r="N340" s="1542"/>
      <c r="O340" s="2031"/>
      <c r="P340" s="1543"/>
      <c r="Q340" s="1543"/>
      <c r="R340" s="1543"/>
      <c r="S340" s="1543"/>
      <c r="T340" s="1543"/>
      <c r="U340" s="1543"/>
      <c r="V340" s="1543"/>
      <c r="W340" s="1543"/>
      <c r="X340" s="1544"/>
      <c r="Y340" s="1543"/>
      <c r="Z340" s="1543"/>
      <c r="AA340" s="1543"/>
      <c r="AB340" s="1543"/>
      <c r="AC340" s="1544"/>
      <c r="AD340" s="1543"/>
      <c r="AE340" s="1543"/>
      <c r="AF340" s="1543"/>
      <c r="AG340" s="788"/>
      <c r="AH340" s="697"/>
      <c r="AI340" s="707"/>
      <c r="AJ340" s="709">
        <f t="shared" si="655"/>
        <v>0</v>
      </c>
      <c r="AK340" s="710">
        <f t="shared" si="656"/>
        <v>0</v>
      </c>
      <c r="AL340" s="710">
        <f t="shared" si="657"/>
        <v>0</v>
      </c>
      <c r="AM340" s="710">
        <f t="shared" si="658"/>
        <v>0</v>
      </c>
      <c r="AN340" s="710">
        <f t="shared" si="659"/>
        <v>0</v>
      </c>
      <c r="AO340" s="711">
        <f t="shared" si="660"/>
        <v>0</v>
      </c>
      <c r="AP340" s="707">
        <f t="shared" si="661"/>
        <v>0</v>
      </c>
      <c r="AQ340" s="707">
        <f t="shared" si="662"/>
        <v>0</v>
      </c>
      <c r="AR340" s="707">
        <f t="shared" si="663"/>
        <v>0</v>
      </c>
      <c r="AS340" s="712">
        <f t="shared" si="664"/>
        <v>0</v>
      </c>
      <c r="AV340" s="1559"/>
      <c r="AW340" s="1392" t="str">
        <f t="shared" si="612"/>
        <v>Qty</v>
      </c>
      <c r="AX340" s="1393" t="str">
        <f t="shared" si="612"/>
        <v>[Service]</v>
      </c>
      <c r="AY340" s="1394" t="str">
        <f t="shared" si="613"/>
        <v>[Price]</v>
      </c>
      <c r="AZ340" s="1395" t="str">
        <f t="shared" si="683"/>
        <v>-</v>
      </c>
      <c r="BA340" s="1395" t="str">
        <f t="shared" si="683"/>
        <v>-</v>
      </c>
      <c r="BB340" s="1395" t="str">
        <f t="shared" si="683"/>
        <v>-</v>
      </c>
      <c r="BC340" s="1395" t="str">
        <f t="shared" si="615"/>
        <v>-</v>
      </c>
      <c r="BD340" s="1395" t="str">
        <f t="shared" si="616"/>
        <v>-</v>
      </c>
      <c r="BE340" s="1395" t="str">
        <f t="shared" si="617"/>
        <v>-</v>
      </c>
      <c r="BF340" s="1395" t="str">
        <f t="shared" si="618"/>
        <v>-</v>
      </c>
      <c r="BG340" s="1396" t="str">
        <f t="shared" si="619"/>
        <v>-</v>
      </c>
      <c r="BH340" s="1395" t="str">
        <f t="shared" si="620"/>
        <v>-</v>
      </c>
      <c r="BI340" s="1395" t="str">
        <f t="shared" si="621"/>
        <v>-</v>
      </c>
      <c r="BJ340" s="1395" t="str">
        <f t="shared" si="622"/>
        <v>-</v>
      </c>
      <c r="BK340" s="1395" t="str">
        <f t="shared" si="623"/>
        <v>-</v>
      </c>
      <c r="BL340" s="1397" t="str">
        <f t="shared" si="624"/>
        <v>-</v>
      </c>
      <c r="BM340" s="1395" t="str">
        <f t="shared" si="625"/>
        <v>-</v>
      </c>
      <c r="BN340" s="1395" t="str">
        <f t="shared" si="626"/>
        <v>-</v>
      </c>
      <c r="BO340" s="1395" t="str">
        <f t="shared" si="627"/>
        <v>-</v>
      </c>
      <c r="BP340" s="1395" t="str">
        <f t="shared" si="628"/>
        <v>-</v>
      </c>
      <c r="BQ340" s="1398" t="str">
        <f t="shared" si="629"/>
        <v>-</v>
      </c>
      <c r="BR340" s="1378"/>
      <c r="BS340" s="1329"/>
      <c r="BT340" s="1399"/>
      <c r="BU340" s="1331"/>
      <c r="BV340" s="1400"/>
      <c r="BW340" s="1378"/>
      <c r="BX340" s="1392" t="str">
        <f t="shared" si="630"/>
        <v>Qty</v>
      </c>
      <c r="BY340" s="1393" t="str">
        <f t="shared" si="631"/>
        <v>[Service]</v>
      </c>
      <c r="BZ340" s="1394" t="str">
        <f t="shared" si="632"/>
        <v>[Price]</v>
      </c>
      <c r="CA340" s="1401" t="str">
        <f t="shared" ref="CA340:CR340" si="686">IFERROR((P340/O340-1)*(O341/O$13),"-")</f>
        <v>-</v>
      </c>
      <c r="CB340" s="1395" t="str">
        <f t="shared" si="686"/>
        <v>-</v>
      </c>
      <c r="CC340" s="1395" t="str">
        <f t="shared" si="686"/>
        <v>-</v>
      </c>
      <c r="CD340" s="1395" t="str">
        <f t="shared" si="686"/>
        <v>-</v>
      </c>
      <c r="CE340" s="1395" t="str">
        <f t="shared" si="686"/>
        <v>-</v>
      </c>
      <c r="CF340" s="1395" t="str">
        <f t="shared" si="686"/>
        <v>-</v>
      </c>
      <c r="CG340" s="1395" t="str">
        <f t="shared" si="686"/>
        <v>-</v>
      </c>
      <c r="CH340" s="1397" t="str">
        <f t="shared" si="686"/>
        <v>-</v>
      </c>
      <c r="CI340" s="1395" t="str">
        <f t="shared" si="686"/>
        <v>-</v>
      </c>
      <c r="CJ340" s="1395" t="str">
        <f t="shared" si="686"/>
        <v>-</v>
      </c>
      <c r="CK340" s="1395" t="str">
        <f t="shared" si="686"/>
        <v>-</v>
      </c>
      <c r="CL340" s="1395" t="str">
        <f t="shared" si="686"/>
        <v>-</v>
      </c>
      <c r="CM340" s="1397" t="str">
        <f t="shared" si="686"/>
        <v>-</v>
      </c>
      <c r="CN340" s="1395" t="str">
        <f t="shared" si="686"/>
        <v>-</v>
      </c>
      <c r="CO340" s="1395" t="str">
        <f t="shared" si="686"/>
        <v>-</v>
      </c>
      <c r="CP340" s="1395" t="str">
        <f t="shared" si="686"/>
        <v>-</v>
      </c>
      <c r="CQ340" s="1395" t="str">
        <f t="shared" si="686"/>
        <v>-</v>
      </c>
      <c r="CR340" s="1398" t="str">
        <f t="shared" si="686"/>
        <v>-</v>
      </c>
      <c r="CS340" s="1378"/>
      <c r="CT340" s="1392" t="str">
        <f t="shared" si="609"/>
        <v>Qty</v>
      </c>
      <c r="CU340" s="1393" t="str">
        <f t="shared" si="610"/>
        <v>[Service]</v>
      </c>
      <c r="CV340" s="1393" t="str">
        <f t="shared" si="611"/>
        <v>[Price]</v>
      </c>
      <c r="CW340" s="1401" t="str">
        <f t="shared" si="634"/>
        <v>-</v>
      </c>
      <c r="CX340" s="1395" t="str">
        <f t="shared" si="635"/>
        <v>-</v>
      </c>
      <c r="CY340" s="1395" t="str">
        <f t="shared" si="636"/>
        <v>-</v>
      </c>
      <c r="CZ340" s="1398" t="str">
        <f t="shared" si="637"/>
        <v>-</v>
      </c>
      <c r="DA340" s="1395" t="str">
        <f t="shared" si="638"/>
        <v>-</v>
      </c>
      <c r="DB340" s="1395" t="str">
        <f t="shared" si="639"/>
        <v>-</v>
      </c>
      <c r="DC340" s="1395" t="str">
        <f t="shared" si="640"/>
        <v>-</v>
      </c>
      <c r="DD340" s="1395" t="str">
        <f t="shared" si="641"/>
        <v>-</v>
      </c>
      <c r="DE340" s="1398" t="str">
        <f t="shared" si="642"/>
        <v>-</v>
      </c>
      <c r="DF340" s="1378"/>
      <c r="DG340" s="1392" t="str">
        <f t="shared" si="643"/>
        <v>Qty</v>
      </c>
      <c r="DH340" s="1393" t="str">
        <f t="shared" si="643"/>
        <v>[Service]</v>
      </c>
      <c r="DI340" s="1393" t="str">
        <f t="shared" si="643"/>
        <v>[Price]</v>
      </c>
      <c r="DJ340" s="1393"/>
      <c r="DK340" s="1401" t="str">
        <f t="shared" si="644"/>
        <v>-</v>
      </c>
      <c r="DL340" s="1395" t="str">
        <f t="shared" si="645"/>
        <v>-</v>
      </c>
      <c r="DM340" s="1395" t="str">
        <f t="shared" si="646"/>
        <v>-</v>
      </c>
      <c r="DN340" s="1397" t="str">
        <f t="shared" si="647"/>
        <v>-</v>
      </c>
      <c r="DO340" s="1395" t="str">
        <f t="shared" si="648"/>
        <v>-</v>
      </c>
      <c r="DP340" s="1395" t="str">
        <f t="shared" si="649"/>
        <v>-</v>
      </c>
      <c r="DQ340" s="1395" t="str">
        <f t="shared" si="650"/>
        <v>-</v>
      </c>
      <c r="DR340" s="1398" t="str">
        <f t="shared" si="651"/>
        <v>-</v>
      </c>
    </row>
    <row r="341" spans="4:122" ht="12.75" thickBot="1">
      <c r="E341" s="743" t="s">
        <v>46</v>
      </c>
      <c r="F341" s="732" t="str">
        <f>+F339</f>
        <v>[Service]</v>
      </c>
      <c r="G341" s="733">
        <f>+G339</f>
        <v>0</v>
      </c>
      <c r="H341" s="733">
        <f>+H339</f>
        <v>0</v>
      </c>
      <c r="I341" s="734" t="str">
        <f>+I339</f>
        <v>[Price]</v>
      </c>
      <c r="J341" s="735" t="s">
        <v>344</v>
      </c>
      <c r="K341" s="736">
        <f t="shared" ref="K341:AG341" si="687">K339*K340/10^6</f>
        <v>0</v>
      </c>
      <c r="L341" s="737">
        <f t="shared" si="687"/>
        <v>0</v>
      </c>
      <c r="M341" s="737">
        <f t="shared" si="687"/>
        <v>0</v>
      </c>
      <c r="N341" s="738">
        <f t="shared" si="687"/>
        <v>0</v>
      </c>
      <c r="O341" s="1923">
        <f t="shared" si="687"/>
        <v>0</v>
      </c>
      <c r="P341" s="737">
        <f t="shared" si="687"/>
        <v>0</v>
      </c>
      <c r="Q341" s="737">
        <f t="shared" si="687"/>
        <v>0</v>
      </c>
      <c r="R341" s="737">
        <f t="shared" si="687"/>
        <v>0</v>
      </c>
      <c r="S341" s="737">
        <f t="shared" si="687"/>
        <v>0</v>
      </c>
      <c r="T341" s="737">
        <f t="shared" si="687"/>
        <v>0</v>
      </c>
      <c r="U341" s="737">
        <f t="shared" si="687"/>
        <v>0</v>
      </c>
      <c r="V341" s="737">
        <f t="shared" si="687"/>
        <v>0</v>
      </c>
      <c r="W341" s="737">
        <f t="shared" si="687"/>
        <v>0</v>
      </c>
      <c r="X341" s="738">
        <f t="shared" si="687"/>
        <v>0</v>
      </c>
      <c r="Y341" s="737">
        <f t="shared" si="687"/>
        <v>0</v>
      </c>
      <c r="Z341" s="737">
        <f t="shared" si="687"/>
        <v>0</v>
      </c>
      <c r="AA341" s="737">
        <f t="shared" si="687"/>
        <v>0</v>
      </c>
      <c r="AB341" s="737">
        <f t="shared" si="687"/>
        <v>0</v>
      </c>
      <c r="AC341" s="738">
        <f t="shared" si="687"/>
        <v>0</v>
      </c>
      <c r="AD341" s="737">
        <f t="shared" si="687"/>
        <v>0</v>
      </c>
      <c r="AE341" s="737">
        <f t="shared" si="687"/>
        <v>0</v>
      </c>
      <c r="AF341" s="737">
        <f t="shared" si="687"/>
        <v>0</v>
      </c>
      <c r="AG341" s="739">
        <f t="shared" si="687"/>
        <v>0</v>
      </c>
      <c r="AH341" s="697"/>
      <c r="AI341" s="707"/>
      <c r="AJ341" s="709">
        <f t="shared" si="655"/>
        <v>0</v>
      </c>
      <c r="AK341" s="710">
        <f t="shared" si="656"/>
        <v>0</v>
      </c>
      <c r="AL341" s="710">
        <f t="shared" si="657"/>
        <v>0</v>
      </c>
      <c r="AM341" s="710">
        <f t="shared" si="658"/>
        <v>0</v>
      </c>
      <c r="AN341" s="710">
        <f t="shared" si="659"/>
        <v>0</v>
      </c>
      <c r="AO341" s="711">
        <f t="shared" si="660"/>
        <v>0</v>
      </c>
      <c r="AP341" s="707">
        <f t="shared" si="661"/>
        <v>0</v>
      </c>
      <c r="AQ341" s="707">
        <f t="shared" si="662"/>
        <v>0</v>
      </c>
      <c r="AR341" s="707">
        <f t="shared" si="663"/>
        <v>0</v>
      </c>
      <c r="AS341" s="712">
        <f t="shared" si="664"/>
        <v>0</v>
      </c>
      <c r="AV341" s="1559"/>
      <c r="AW341" s="1428" t="str">
        <f t="shared" si="612"/>
        <v>Rev</v>
      </c>
      <c r="AX341" s="1429" t="str">
        <f t="shared" si="612"/>
        <v>[Service]</v>
      </c>
      <c r="AY341" s="1430" t="str">
        <f t="shared" si="613"/>
        <v>[Price]</v>
      </c>
      <c r="AZ341" s="1431" t="str">
        <f t="shared" si="683"/>
        <v>-</v>
      </c>
      <c r="BA341" s="1431" t="str">
        <f t="shared" si="683"/>
        <v>-</v>
      </c>
      <c r="BB341" s="1431" t="str">
        <f t="shared" si="683"/>
        <v>-</v>
      </c>
      <c r="BC341" s="1431" t="str">
        <f t="shared" si="615"/>
        <v>-</v>
      </c>
      <c r="BD341" s="1431" t="str">
        <f t="shared" si="616"/>
        <v>-</v>
      </c>
      <c r="BE341" s="1431" t="str">
        <f t="shared" si="617"/>
        <v>-</v>
      </c>
      <c r="BF341" s="1431" t="str">
        <f t="shared" si="618"/>
        <v>-</v>
      </c>
      <c r="BG341" s="1432" t="str">
        <f t="shared" si="619"/>
        <v>-</v>
      </c>
      <c r="BH341" s="1431" t="str">
        <f t="shared" si="620"/>
        <v>-</v>
      </c>
      <c r="BI341" s="1431" t="str">
        <f t="shared" si="621"/>
        <v>-</v>
      </c>
      <c r="BJ341" s="1431" t="str">
        <f t="shared" si="622"/>
        <v>-</v>
      </c>
      <c r="BK341" s="1431" t="str">
        <f t="shared" si="623"/>
        <v>-</v>
      </c>
      <c r="BL341" s="1433" t="str">
        <f t="shared" si="624"/>
        <v>-</v>
      </c>
      <c r="BM341" s="1431" t="str">
        <f t="shared" si="625"/>
        <v>-</v>
      </c>
      <c r="BN341" s="1431" t="str">
        <f t="shared" si="626"/>
        <v>-</v>
      </c>
      <c r="BO341" s="1431" t="str">
        <f t="shared" si="627"/>
        <v>-</v>
      </c>
      <c r="BP341" s="1431" t="str">
        <f t="shared" si="628"/>
        <v>-</v>
      </c>
      <c r="BQ341" s="1434" t="str">
        <f t="shared" si="629"/>
        <v>-</v>
      </c>
      <c r="BR341" s="1378"/>
      <c r="BS341" s="1407"/>
      <c r="BT341" s="1408"/>
      <c r="BU341" s="1409"/>
      <c r="BV341" s="1410"/>
      <c r="BW341" s="1378"/>
      <c r="BX341" s="1428" t="str">
        <f t="shared" si="630"/>
        <v>Rev</v>
      </c>
      <c r="BY341" s="1429" t="str">
        <f t="shared" si="631"/>
        <v>[Service]</v>
      </c>
      <c r="BZ341" s="1430" t="str">
        <f t="shared" si="632"/>
        <v>[Price]</v>
      </c>
      <c r="CA341" s="1435" t="str">
        <f t="shared" ref="CA341:CR341" si="688">IFERROR((P341/O341-1)*(O341/O$13),"-")</f>
        <v>-</v>
      </c>
      <c r="CB341" s="1431" t="str">
        <f t="shared" si="688"/>
        <v>-</v>
      </c>
      <c r="CC341" s="1431" t="str">
        <f t="shared" si="688"/>
        <v>-</v>
      </c>
      <c r="CD341" s="1431" t="str">
        <f t="shared" si="688"/>
        <v>-</v>
      </c>
      <c r="CE341" s="1431" t="str">
        <f t="shared" si="688"/>
        <v>-</v>
      </c>
      <c r="CF341" s="1431" t="str">
        <f t="shared" si="688"/>
        <v>-</v>
      </c>
      <c r="CG341" s="1431" t="str">
        <f t="shared" si="688"/>
        <v>-</v>
      </c>
      <c r="CH341" s="1433" t="str">
        <f t="shared" si="688"/>
        <v>-</v>
      </c>
      <c r="CI341" s="1431" t="str">
        <f t="shared" si="688"/>
        <v>-</v>
      </c>
      <c r="CJ341" s="1431" t="str">
        <f t="shared" si="688"/>
        <v>-</v>
      </c>
      <c r="CK341" s="1431" t="str">
        <f t="shared" si="688"/>
        <v>-</v>
      </c>
      <c r="CL341" s="1431" t="str">
        <f t="shared" si="688"/>
        <v>-</v>
      </c>
      <c r="CM341" s="1433" t="str">
        <f t="shared" si="688"/>
        <v>-</v>
      </c>
      <c r="CN341" s="1431" t="str">
        <f t="shared" si="688"/>
        <v>-</v>
      </c>
      <c r="CO341" s="1431" t="str">
        <f t="shared" si="688"/>
        <v>-</v>
      </c>
      <c r="CP341" s="1431" t="str">
        <f t="shared" si="688"/>
        <v>-</v>
      </c>
      <c r="CQ341" s="1431" t="str">
        <f t="shared" si="688"/>
        <v>-</v>
      </c>
      <c r="CR341" s="1434" t="str">
        <f t="shared" si="688"/>
        <v>-</v>
      </c>
      <c r="CS341" s="1378"/>
      <c r="CT341" s="1428" t="str">
        <f t="shared" si="609"/>
        <v>Rev</v>
      </c>
      <c r="CU341" s="1429" t="str">
        <f t="shared" si="610"/>
        <v>[Service]</v>
      </c>
      <c r="CV341" s="1429" t="str">
        <f t="shared" si="611"/>
        <v>[Price]</v>
      </c>
      <c r="CW341" s="1435" t="str">
        <f t="shared" si="634"/>
        <v>-</v>
      </c>
      <c r="CX341" s="1431" t="str">
        <f t="shared" si="635"/>
        <v>-</v>
      </c>
      <c r="CY341" s="1431" t="str">
        <f t="shared" si="636"/>
        <v>-</v>
      </c>
      <c r="CZ341" s="1434" t="str">
        <f t="shared" si="637"/>
        <v>-</v>
      </c>
      <c r="DA341" s="1431" t="str">
        <f t="shared" si="638"/>
        <v>-</v>
      </c>
      <c r="DB341" s="1431" t="str">
        <f t="shared" si="639"/>
        <v>-</v>
      </c>
      <c r="DC341" s="1431" t="str">
        <f t="shared" si="640"/>
        <v>-</v>
      </c>
      <c r="DD341" s="1431" t="str">
        <f t="shared" si="641"/>
        <v>-</v>
      </c>
      <c r="DE341" s="1434" t="str">
        <f t="shared" si="642"/>
        <v>-</v>
      </c>
      <c r="DF341" s="1378"/>
      <c r="DG341" s="1428" t="str">
        <f t="shared" si="643"/>
        <v>Rev</v>
      </c>
      <c r="DH341" s="1429" t="str">
        <f t="shared" si="643"/>
        <v>[Service]</v>
      </c>
      <c r="DI341" s="1429" t="str">
        <f t="shared" si="643"/>
        <v>[Price]</v>
      </c>
      <c r="DJ341" s="1429"/>
      <c r="DK341" s="1435" t="str">
        <f t="shared" si="644"/>
        <v>-</v>
      </c>
      <c r="DL341" s="1431" t="str">
        <f t="shared" si="645"/>
        <v>-</v>
      </c>
      <c r="DM341" s="1431" t="str">
        <f t="shared" si="646"/>
        <v>-</v>
      </c>
      <c r="DN341" s="1433" t="str">
        <f t="shared" si="647"/>
        <v>-</v>
      </c>
      <c r="DO341" s="1431" t="str">
        <f t="shared" si="648"/>
        <v>-</v>
      </c>
      <c r="DP341" s="1431" t="str">
        <f t="shared" si="649"/>
        <v>-</v>
      </c>
      <c r="DQ341" s="1431" t="str">
        <f t="shared" si="650"/>
        <v>-</v>
      </c>
      <c r="DR341" s="1434" t="str">
        <f t="shared" si="651"/>
        <v>-</v>
      </c>
    </row>
    <row r="342" spans="4:122">
      <c r="D342" s="70">
        <f>D339+1</f>
        <v>93</v>
      </c>
      <c r="E342" s="713" t="s">
        <v>44</v>
      </c>
      <c r="F342" s="1532" t="s">
        <v>27</v>
      </c>
      <c r="G342" s="1532"/>
      <c r="H342" s="1532"/>
      <c r="I342" s="781" t="s">
        <v>318</v>
      </c>
      <c r="J342" s="781" t="s">
        <v>345</v>
      </c>
      <c r="K342" s="1533"/>
      <c r="L342" s="1534"/>
      <c r="M342" s="1534"/>
      <c r="N342" s="1535"/>
      <c r="O342" s="2071"/>
      <c r="P342" s="1547"/>
      <c r="Q342" s="1547"/>
      <c r="R342" s="1547"/>
      <c r="S342" s="1547"/>
      <c r="T342" s="1547"/>
      <c r="U342" s="1547"/>
      <c r="V342" s="1547"/>
      <c r="W342" s="1547"/>
      <c r="X342" s="1548"/>
      <c r="Y342" s="1547"/>
      <c r="Z342" s="1547"/>
      <c r="AA342" s="1547"/>
      <c r="AB342" s="1547"/>
      <c r="AC342" s="1548"/>
      <c r="AD342" s="1547"/>
      <c r="AE342" s="1547"/>
      <c r="AF342" s="1547"/>
      <c r="AG342" s="785"/>
      <c r="AH342" s="697"/>
      <c r="AI342" s="707"/>
      <c r="AJ342" s="709">
        <f t="shared" si="655"/>
        <v>0</v>
      </c>
      <c r="AK342" s="710">
        <f t="shared" si="656"/>
        <v>0</v>
      </c>
      <c r="AL342" s="710">
        <f t="shared" si="657"/>
        <v>0</v>
      </c>
      <c r="AM342" s="710">
        <f t="shared" si="658"/>
        <v>0</v>
      </c>
      <c r="AN342" s="710">
        <f t="shared" si="659"/>
        <v>0</v>
      </c>
      <c r="AO342" s="711">
        <f t="shared" si="660"/>
        <v>0</v>
      </c>
      <c r="AP342" s="707">
        <f t="shared" si="661"/>
        <v>0</v>
      </c>
      <c r="AQ342" s="707">
        <f t="shared" si="662"/>
        <v>0</v>
      </c>
      <c r="AR342" s="707">
        <f t="shared" si="663"/>
        <v>0</v>
      </c>
      <c r="AS342" s="712">
        <f t="shared" si="664"/>
        <v>0</v>
      </c>
      <c r="AU342" s="1369"/>
      <c r="AV342" s="1559"/>
      <c r="AW342" s="1412" t="str">
        <f t="shared" si="612"/>
        <v>Price</v>
      </c>
      <c r="AX342" s="1413" t="str">
        <f t="shared" si="612"/>
        <v>[Service]</v>
      </c>
      <c r="AY342" s="1414" t="str">
        <f t="shared" si="613"/>
        <v>[Price]</v>
      </c>
      <c r="AZ342" s="1415" t="str">
        <f t="shared" si="683"/>
        <v>-</v>
      </c>
      <c r="BA342" s="1415" t="str">
        <f t="shared" si="683"/>
        <v>-</v>
      </c>
      <c r="BB342" s="1415" t="str">
        <f t="shared" si="683"/>
        <v>-</v>
      </c>
      <c r="BC342" s="1415" t="str">
        <f t="shared" si="615"/>
        <v>-</v>
      </c>
      <c r="BD342" s="1415" t="str">
        <f t="shared" si="616"/>
        <v>-</v>
      </c>
      <c r="BE342" s="1415" t="str">
        <f t="shared" si="617"/>
        <v>-</v>
      </c>
      <c r="BF342" s="1415" t="str">
        <f t="shared" si="618"/>
        <v>-</v>
      </c>
      <c r="BG342" s="1416" t="str">
        <f t="shared" si="619"/>
        <v>-</v>
      </c>
      <c r="BH342" s="1417" t="str">
        <f t="shared" si="620"/>
        <v>-</v>
      </c>
      <c r="BI342" s="1417" t="str">
        <f t="shared" si="621"/>
        <v>-</v>
      </c>
      <c r="BJ342" s="1417" t="str">
        <f t="shared" si="622"/>
        <v>-</v>
      </c>
      <c r="BK342" s="1417" t="str">
        <f t="shared" si="623"/>
        <v>-</v>
      </c>
      <c r="BL342" s="1418" t="str">
        <f t="shared" si="624"/>
        <v>-</v>
      </c>
      <c r="BM342" s="1417" t="str">
        <f t="shared" si="625"/>
        <v>-</v>
      </c>
      <c r="BN342" s="1417" t="str">
        <f t="shared" si="626"/>
        <v>-</v>
      </c>
      <c r="BO342" s="1417" t="str">
        <f t="shared" si="627"/>
        <v>-</v>
      </c>
      <c r="BP342" s="1417" t="str">
        <f t="shared" si="628"/>
        <v>-</v>
      </c>
      <c r="BQ342" s="1419" t="str">
        <f t="shared" si="629"/>
        <v>-</v>
      </c>
      <c r="BR342" s="1378"/>
      <c r="BS342" s="1420"/>
      <c r="BT342" s="1421"/>
      <c r="BU342" s="1422"/>
      <c r="BV342" s="1423"/>
      <c r="BW342" s="1378"/>
      <c r="BX342" s="1412" t="str">
        <f t="shared" si="630"/>
        <v>Price</v>
      </c>
      <c r="BY342" s="1413" t="str">
        <f t="shared" si="631"/>
        <v>[Service]</v>
      </c>
      <c r="BZ342" s="1414" t="str">
        <f t="shared" si="632"/>
        <v>[Price]</v>
      </c>
      <c r="CA342" s="1424" t="str">
        <f t="shared" ref="CA342:CR342" si="689">IFERROR((P342/O342-1)*(O344/O$13),"-")</f>
        <v>-</v>
      </c>
      <c r="CB342" s="1415" t="str">
        <f t="shared" si="689"/>
        <v>-</v>
      </c>
      <c r="CC342" s="1415" t="str">
        <f t="shared" si="689"/>
        <v>-</v>
      </c>
      <c r="CD342" s="1415" t="str">
        <f t="shared" si="689"/>
        <v>-</v>
      </c>
      <c r="CE342" s="1415" t="str">
        <f t="shared" si="689"/>
        <v>-</v>
      </c>
      <c r="CF342" s="1415" t="str">
        <f t="shared" si="689"/>
        <v>-</v>
      </c>
      <c r="CG342" s="1415" t="str">
        <f t="shared" si="689"/>
        <v>-</v>
      </c>
      <c r="CH342" s="1425" t="str">
        <f t="shared" si="689"/>
        <v>-</v>
      </c>
      <c r="CI342" s="1417" t="str">
        <f t="shared" si="689"/>
        <v>-</v>
      </c>
      <c r="CJ342" s="1417" t="str">
        <f t="shared" si="689"/>
        <v>-</v>
      </c>
      <c r="CK342" s="1417" t="str">
        <f t="shared" si="689"/>
        <v>-</v>
      </c>
      <c r="CL342" s="1417" t="str">
        <f t="shared" si="689"/>
        <v>-</v>
      </c>
      <c r="CM342" s="1418" t="str">
        <f t="shared" si="689"/>
        <v>-</v>
      </c>
      <c r="CN342" s="1417" t="str">
        <f t="shared" si="689"/>
        <v>-</v>
      </c>
      <c r="CO342" s="1417" t="str">
        <f t="shared" si="689"/>
        <v>-</v>
      </c>
      <c r="CP342" s="1417" t="str">
        <f t="shared" si="689"/>
        <v>-</v>
      </c>
      <c r="CQ342" s="1417" t="str">
        <f t="shared" si="689"/>
        <v>-</v>
      </c>
      <c r="CR342" s="1419" t="str">
        <f t="shared" si="689"/>
        <v>-</v>
      </c>
      <c r="CS342" s="1378"/>
      <c r="CT342" s="1412" t="str">
        <f t="shared" si="609"/>
        <v>Price</v>
      </c>
      <c r="CU342" s="1413" t="str">
        <f t="shared" si="610"/>
        <v>[Service]</v>
      </c>
      <c r="CV342" s="1426" t="str">
        <f t="shared" si="611"/>
        <v>[Price]</v>
      </c>
      <c r="CW342" s="1427" t="str">
        <f t="shared" si="634"/>
        <v>-</v>
      </c>
      <c r="CX342" s="1417" t="str">
        <f t="shared" si="635"/>
        <v>-</v>
      </c>
      <c r="CY342" s="1417" t="str">
        <f t="shared" si="636"/>
        <v>-</v>
      </c>
      <c r="CZ342" s="1419" t="str">
        <f t="shared" si="637"/>
        <v>-</v>
      </c>
      <c r="DA342" s="1417" t="str">
        <f t="shared" si="638"/>
        <v>-</v>
      </c>
      <c r="DB342" s="1417" t="str">
        <f t="shared" si="639"/>
        <v>-</v>
      </c>
      <c r="DC342" s="1417" t="str">
        <f t="shared" si="640"/>
        <v>-</v>
      </c>
      <c r="DD342" s="1417" t="str">
        <f t="shared" si="641"/>
        <v>-</v>
      </c>
      <c r="DE342" s="1419" t="str">
        <f t="shared" si="642"/>
        <v>-</v>
      </c>
      <c r="DF342" s="1378"/>
      <c r="DG342" s="1412" t="str">
        <f t="shared" si="643"/>
        <v>Price</v>
      </c>
      <c r="DH342" s="1413" t="str">
        <f t="shared" si="643"/>
        <v>[Service]</v>
      </c>
      <c r="DI342" s="1426" t="str">
        <f t="shared" si="643"/>
        <v>[Price]</v>
      </c>
      <c r="DJ342" s="1426"/>
      <c r="DK342" s="1427" t="str">
        <f t="shared" si="644"/>
        <v>-</v>
      </c>
      <c r="DL342" s="1417" t="str">
        <f t="shared" si="645"/>
        <v>-</v>
      </c>
      <c r="DM342" s="1417" t="str">
        <f t="shared" si="646"/>
        <v>-</v>
      </c>
      <c r="DN342" s="1418" t="str">
        <f t="shared" si="647"/>
        <v>-</v>
      </c>
      <c r="DO342" s="1417" t="str">
        <f t="shared" si="648"/>
        <v>-</v>
      </c>
      <c r="DP342" s="1417" t="str">
        <f t="shared" si="649"/>
        <v>-</v>
      </c>
      <c r="DQ342" s="1417" t="str">
        <f t="shared" si="650"/>
        <v>-</v>
      </c>
      <c r="DR342" s="1419" t="str">
        <f t="shared" si="651"/>
        <v>-</v>
      </c>
    </row>
    <row r="343" spans="4:122">
      <c r="E343" s="742" t="s">
        <v>45</v>
      </c>
      <c r="F343" s="722" t="str">
        <f>+F342</f>
        <v>[Service]</v>
      </c>
      <c r="G343" s="723">
        <f>+G342</f>
        <v>0</v>
      </c>
      <c r="H343" s="723">
        <f>+H342</f>
        <v>0</v>
      </c>
      <c r="I343" s="724" t="str">
        <f>+I342</f>
        <v>[Price]</v>
      </c>
      <c r="J343" s="782" t="s">
        <v>322</v>
      </c>
      <c r="K343" s="1540"/>
      <c r="L343" s="1541"/>
      <c r="M343" s="1541"/>
      <c r="N343" s="1542"/>
      <c r="O343" s="2031"/>
      <c r="P343" s="1543"/>
      <c r="Q343" s="1543"/>
      <c r="R343" s="1543"/>
      <c r="S343" s="1543"/>
      <c r="T343" s="1543"/>
      <c r="U343" s="1543"/>
      <c r="V343" s="1543"/>
      <c r="W343" s="1543"/>
      <c r="X343" s="1544"/>
      <c r="Y343" s="1543"/>
      <c r="Z343" s="1543"/>
      <c r="AA343" s="1543"/>
      <c r="AB343" s="1543"/>
      <c r="AC343" s="1544"/>
      <c r="AD343" s="1543"/>
      <c r="AE343" s="1543"/>
      <c r="AF343" s="1543"/>
      <c r="AG343" s="788"/>
      <c r="AH343" s="697"/>
      <c r="AI343" s="707"/>
      <c r="AJ343" s="709">
        <f t="shared" si="655"/>
        <v>0</v>
      </c>
      <c r="AK343" s="710">
        <f t="shared" si="656"/>
        <v>0</v>
      </c>
      <c r="AL343" s="710">
        <f t="shared" si="657"/>
        <v>0</v>
      </c>
      <c r="AM343" s="710">
        <f t="shared" si="658"/>
        <v>0</v>
      </c>
      <c r="AN343" s="710">
        <f t="shared" si="659"/>
        <v>0</v>
      </c>
      <c r="AO343" s="711">
        <f t="shared" si="660"/>
        <v>0</v>
      </c>
      <c r="AP343" s="707">
        <f t="shared" si="661"/>
        <v>0</v>
      </c>
      <c r="AQ343" s="707">
        <f t="shared" si="662"/>
        <v>0</v>
      </c>
      <c r="AR343" s="707">
        <f t="shared" si="663"/>
        <v>0</v>
      </c>
      <c r="AS343" s="712">
        <f t="shared" si="664"/>
        <v>0</v>
      </c>
      <c r="AV343" s="1559"/>
      <c r="AW343" s="1392" t="str">
        <f t="shared" si="612"/>
        <v>Qty</v>
      </c>
      <c r="AX343" s="1393" t="str">
        <f t="shared" si="612"/>
        <v>[Service]</v>
      </c>
      <c r="AY343" s="1394" t="str">
        <f t="shared" si="613"/>
        <v>[Price]</v>
      </c>
      <c r="AZ343" s="1395" t="str">
        <f t="shared" si="683"/>
        <v>-</v>
      </c>
      <c r="BA343" s="1395" t="str">
        <f t="shared" si="683"/>
        <v>-</v>
      </c>
      <c r="BB343" s="1395" t="str">
        <f t="shared" si="683"/>
        <v>-</v>
      </c>
      <c r="BC343" s="1395" t="str">
        <f t="shared" si="615"/>
        <v>-</v>
      </c>
      <c r="BD343" s="1395" t="str">
        <f t="shared" si="616"/>
        <v>-</v>
      </c>
      <c r="BE343" s="1395" t="str">
        <f t="shared" si="617"/>
        <v>-</v>
      </c>
      <c r="BF343" s="1395" t="str">
        <f t="shared" si="618"/>
        <v>-</v>
      </c>
      <c r="BG343" s="1396" t="str">
        <f t="shared" si="619"/>
        <v>-</v>
      </c>
      <c r="BH343" s="1395" t="str">
        <f t="shared" si="620"/>
        <v>-</v>
      </c>
      <c r="BI343" s="1395" t="str">
        <f t="shared" si="621"/>
        <v>-</v>
      </c>
      <c r="BJ343" s="1395" t="str">
        <f t="shared" si="622"/>
        <v>-</v>
      </c>
      <c r="BK343" s="1395" t="str">
        <f t="shared" si="623"/>
        <v>-</v>
      </c>
      <c r="BL343" s="1397" t="str">
        <f t="shared" si="624"/>
        <v>-</v>
      </c>
      <c r="BM343" s="1395" t="str">
        <f t="shared" si="625"/>
        <v>-</v>
      </c>
      <c r="BN343" s="1395" t="str">
        <f t="shared" si="626"/>
        <v>-</v>
      </c>
      <c r="BO343" s="1395" t="str">
        <f t="shared" si="627"/>
        <v>-</v>
      </c>
      <c r="BP343" s="1395" t="str">
        <f t="shared" si="628"/>
        <v>-</v>
      </c>
      <c r="BQ343" s="1398" t="str">
        <f t="shared" si="629"/>
        <v>-</v>
      </c>
      <c r="BR343" s="1378"/>
      <c r="BS343" s="1329"/>
      <c r="BT343" s="1399"/>
      <c r="BU343" s="1331"/>
      <c r="BV343" s="1400"/>
      <c r="BW343" s="1378"/>
      <c r="BX343" s="1392" t="str">
        <f t="shared" si="630"/>
        <v>Qty</v>
      </c>
      <c r="BY343" s="1393" t="str">
        <f t="shared" si="631"/>
        <v>[Service]</v>
      </c>
      <c r="BZ343" s="1394" t="str">
        <f t="shared" si="632"/>
        <v>[Price]</v>
      </c>
      <c r="CA343" s="1401" t="str">
        <f t="shared" ref="CA343:CR343" si="690">IFERROR((P343/O343-1)*(O344/O$13),"-")</f>
        <v>-</v>
      </c>
      <c r="CB343" s="1395" t="str">
        <f t="shared" si="690"/>
        <v>-</v>
      </c>
      <c r="CC343" s="1395" t="str">
        <f t="shared" si="690"/>
        <v>-</v>
      </c>
      <c r="CD343" s="1395" t="str">
        <f t="shared" si="690"/>
        <v>-</v>
      </c>
      <c r="CE343" s="1395" t="str">
        <f t="shared" si="690"/>
        <v>-</v>
      </c>
      <c r="CF343" s="1395" t="str">
        <f t="shared" si="690"/>
        <v>-</v>
      </c>
      <c r="CG343" s="1395" t="str">
        <f t="shared" si="690"/>
        <v>-</v>
      </c>
      <c r="CH343" s="1397" t="str">
        <f t="shared" si="690"/>
        <v>-</v>
      </c>
      <c r="CI343" s="1395" t="str">
        <f t="shared" si="690"/>
        <v>-</v>
      </c>
      <c r="CJ343" s="1395" t="str">
        <f t="shared" si="690"/>
        <v>-</v>
      </c>
      <c r="CK343" s="1395" t="str">
        <f t="shared" si="690"/>
        <v>-</v>
      </c>
      <c r="CL343" s="1395" t="str">
        <f t="shared" si="690"/>
        <v>-</v>
      </c>
      <c r="CM343" s="1397" t="str">
        <f t="shared" si="690"/>
        <v>-</v>
      </c>
      <c r="CN343" s="1395" t="str">
        <f t="shared" si="690"/>
        <v>-</v>
      </c>
      <c r="CO343" s="1395" t="str">
        <f t="shared" si="690"/>
        <v>-</v>
      </c>
      <c r="CP343" s="1395" t="str">
        <f t="shared" si="690"/>
        <v>-</v>
      </c>
      <c r="CQ343" s="1395" t="str">
        <f t="shared" si="690"/>
        <v>-</v>
      </c>
      <c r="CR343" s="1398" t="str">
        <f t="shared" si="690"/>
        <v>-</v>
      </c>
      <c r="CS343" s="1378"/>
      <c r="CT343" s="1392" t="str">
        <f t="shared" si="609"/>
        <v>Qty</v>
      </c>
      <c r="CU343" s="1393" t="str">
        <f t="shared" si="610"/>
        <v>[Service]</v>
      </c>
      <c r="CV343" s="1393" t="str">
        <f t="shared" si="611"/>
        <v>[Price]</v>
      </c>
      <c r="CW343" s="1401" t="str">
        <f t="shared" si="634"/>
        <v>-</v>
      </c>
      <c r="CX343" s="1395" t="str">
        <f t="shared" si="635"/>
        <v>-</v>
      </c>
      <c r="CY343" s="1395" t="str">
        <f t="shared" si="636"/>
        <v>-</v>
      </c>
      <c r="CZ343" s="1398" t="str">
        <f t="shared" si="637"/>
        <v>-</v>
      </c>
      <c r="DA343" s="1395" t="str">
        <f t="shared" si="638"/>
        <v>-</v>
      </c>
      <c r="DB343" s="1395" t="str">
        <f t="shared" si="639"/>
        <v>-</v>
      </c>
      <c r="DC343" s="1395" t="str">
        <f t="shared" si="640"/>
        <v>-</v>
      </c>
      <c r="DD343" s="1395" t="str">
        <f t="shared" si="641"/>
        <v>-</v>
      </c>
      <c r="DE343" s="1398" t="str">
        <f t="shared" si="642"/>
        <v>-</v>
      </c>
      <c r="DF343" s="1378"/>
      <c r="DG343" s="1392" t="str">
        <f t="shared" si="643"/>
        <v>Qty</v>
      </c>
      <c r="DH343" s="1393" t="str">
        <f t="shared" si="643"/>
        <v>[Service]</v>
      </c>
      <c r="DI343" s="1393" t="str">
        <f t="shared" si="643"/>
        <v>[Price]</v>
      </c>
      <c r="DJ343" s="1393"/>
      <c r="DK343" s="1401" t="str">
        <f t="shared" si="644"/>
        <v>-</v>
      </c>
      <c r="DL343" s="1395" t="str">
        <f t="shared" si="645"/>
        <v>-</v>
      </c>
      <c r="DM343" s="1395" t="str">
        <f t="shared" si="646"/>
        <v>-</v>
      </c>
      <c r="DN343" s="1397" t="str">
        <f t="shared" si="647"/>
        <v>-</v>
      </c>
      <c r="DO343" s="1395" t="str">
        <f t="shared" si="648"/>
        <v>-</v>
      </c>
      <c r="DP343" s="1395" t="str">
        <f t="shared" si="649"/>
        <v>-</v>
      </c>
      <c r="DQ343" s="1395" t="str">
        <f t="shared" si="650"/>
        <v>-</v>
      </c>
      <c r="DR343" s="1398" t="str">
        <f t="shared" si="651"/>
        <v>-</v>
      </c>
    </row>
    <row r="344" spans="4:122" ht="12.75" thickBot="1">
      <c r="E344" s="743" t="s">
        <v>46</v>
      </c>
      <c r="F344" s="732" t="str">
        <f>+F342</f>
        <v>[Service]</v>
      </c>
      <c r="G344" s="733">
        <f>+G342</f>
        <v>0</v>
      </c>
      <c r="H344" s="733">
        <f>+H342</f>
        <v>0</v>
      </c>
      <c r="I344" s="734" t="str">
        <f>+I342</f>
        <v>[Price]</v>
      </c>
      <c r="J344" s="735" t="s">
        <v>344</v>
      </c>
      <c r="K344" s="736">
        <f t="shared" ref="K344:AG344" si="691">K342*K343/10^6</f>
        <v>0</v>
      </c>
      <c r="L344" s="737">
        <f t="shared" si="691"/>
        <v>0</v>
      </c>
      <c r="M344" s="737">
        <f t="shared" si="691"/>
        <v>0</v>
      </c>
      <c r="N344" s="738">
        <f t="shared" si="691"/>
        <v>0</v>
      </c>
      <c r="O344" s="1923">
        <f t="shared" si="691"/>
        <v>0</v>
      </c>
      <c r="P344" s="737">
        <f t="shared" si="691"/>
        <v>0</v>
      </c>
      <c r="Q344" s="737">
        <f t="shared" si="691"/>
        <v>0</v>
      </c>
      <c r="R344" s="737">
        <f t="shared" si="691"/>
        <v>0</v>
      </c>
      <c r="S344" s="737">
        <f t="shared" si="691"/>
        <v>0</v>
      </c>
      <c r="T344" s="737">
        <f t="shared" si="691"/>
        <v>0</v>
      </c>
      <c r="U344" s="737">
        <f t="shared" si="691"/>
        <v>0</v>
      </c>
      <c r="V344" s="737">
        <f t="shared" si="691"/>
        <v>0</v>
      </c>
      <c r="W344" s="737">
        <f t="shared" si="691"/>
        <v>0</v>
      </c>
      <c r="X344" s="738">
        <f t="shared" si="691"/>
        <v>0</v>
      </c>
      <c r="Y344" s="737">
        <f t="shared" si="691"/>
        <v>0</v>
      </c>
      <c r="Z344" s="737">
        <f t="shared" si="691"/>
        <v>0</v>
      </c>
      <c r="AA344" s="737">
        <f t="shared" si="691"/>
        <v>0</v>
      </c>
      <c r="AB344" s="737">
        <f t="shared" si="691"/>
        <v>0</v>
      </c>
      <c r="AC344" s="738">
        <f t="shared" si="691"/>
        <v>0</v>
      </c>
      <c r="AD344" s="737">
        <f t="shared" si="691"/>
        <v>0</v>
      </c>
      <c r="AE344" s="737">
        <f t="shared" si="691"/>
        <v>0</v>
      </c>
      <c r="AF344" s="737">
        <f t="shared" si="691"/>
        <v>0</v>
      </c>
      <c r="AG344" s="739">
        <f t="shared" si="691"/>
        <v>0</v>
      </c>
      <c r="AH344" s="697"/>
      <c r="AI344" s="707"/>
      <c r="AJ344" s="709">
        <f t="shared" si="655"/>
        <v>0</v>
      </c>
      <c r="AK344" s="710">
        <f t="shared" si="656"/>
        <v>0</v>
      </c>
      <c r="AL344" s="710">
        <f t="shared" si="657"/>
        <v>0</v>
      </c>
      <c r="AM344" s="710">
        <f t="shared" si="658"/>
        <v>0</v>
      </c>
      <c r="AN344" s="710">
        <f t="shared" si="659"/>
        <v>0</v>
      </c>
      <c r="AO344" s="711">
        <f t="shared" si="660"/>
        <v>0</v>
      </c>
      <c r="AP344" s="707">
        <f t="shared" si="661"/>
        <v>0</v>
      </c>
      <c r="AQ344" s="707">
        <f t="shared" si="662"/>
        <v>0</v>
      </c>
      <c r="AR344" s="707">
        <f t="shared" si="663"/>
        <v>0</v>
      </c>
      <c r="AS344" s="712">
        <f t="shared" si="664"/>
        <v>0</v>
      </c>
      <c r="AV344" s="1559"/>
      <c r="AW344" s="1428" t="str">
        <f t="shared" si="612"/>
        <v>Rev</v>
      </c>
      <c r="AX344" s="1429" t="str">
        <f t="shared" si="612"/>
        <v>[Service]</v>
      </c>
      <c r="AY344" s="1430" t="str">
        <f t="shared" si="613"/>
        <v>[Price]</v>
      </c>
      <c r="AZ344" s="1431" t="str">
        <f t="shared" si="683"/>
        <v>-</v>
      </c>
      <c r="BA344" s="1431" t="str">
        <f t="shared" si="683"/>
        <v>-</v>
      </c>
      <c r="BB344" s="1431" t="str">
        <f t="shared" si="683"/>
        <v>-</v>
      </c>
      <c r="BC344" s="1431" t="str">
        <f t="shared" si="615"/>
        <v>-</v>
      </c>
      <c r="BD344" s="1431" t="str">
        <f t="shared" si="616"/>
        <v>-</v>
      </c>
      <c r="BE344" s="1431" t="str">
        <f t="shared" si="617"/>
        <v>-</v>
      </c>
      <c r="BF344" s="1431" t="str">
        <f t="shared" si="618"/>
        <v>-</v>
      </c>
      <c r="BG344" s="1432" t="str">
        <f t="shared" si="619"/>
        <v>-</v>
      </c>
      <c r="BH344" s="1431" t="str">
        <f t="shared" si="620"/>
        <v>-</v>
      </c>
      <c r="BI344" s="1431" t="str">
        <f t="shared" si="621"/>
        <v>-</v>
      </c>
      <c r="BJ344" s="1431" t="str">
        <f t="shared" si="622"/>
        <v>-</v>
      </c>
      <c r="BK344" s="1431" t="str">
        <f t="shared" si="623"/>
        <v>-</v>
      </c>
      <c r="BL344" s="1433" t="str">
        <f t="shared" si="624"/>
        <v>-</v>
      </c>
      <c r="BM344" s="1431" t="str">
        <f t="shared" si="625"/>
        <v>-</v>
      </c>
      <c r="BN344" s="1431" t="str">
        <f t="shared" si="626"/>
        <v>-</v>
      </c>
      <c r="BO344" s="1431" t="str">
        <f t="shared" si="627"/>
        <v>-</v>
      </c>
      <c r="BP344" s="1431" t="str">
        <f t="shared" si="628"/>
        <v>-</v>
      </c>
      <c r="BQ344" s="1434" t="str">
        <f t="shared" si="629"/>
        <v>-</v>
      </c>
      <c r="BR344" s="1378"/>
      <c r="BS344" s="1407"/>
      <c r="BT344" s="1408"/>
      <c r="BU344" s="1409"/>
      <c r="BV344" s="1410"/>
      <c r="BW344" s="1378"/>
      <c r="BX344" s="1428" t="str">
        <f t="shared" si="630"/>
        <v>Rev</v>
      </c>
      <c r="BY344" s="1429" t="str">
        <f t="shared" si="631"/>
        <v>[Service]</v>
      </c>
      <c r="BZ344" s="1430" t="str">
        <f t="shared" si="632"/>
        <v>[Price]</v>
      </c>
      <c r="CA344" s="1435" t="str">
        <f t="shared" ref="CA344:CR344" si="692">IFERROR((P344/O344-1)*(O344/O$13),"-")</f>
        <v>-</v>
      </c>
      <c r="CB344" s="1431" t="str">
        <f t="shared" si="692"/>
        <v>-</v>
      </c>
      <c r="CC344" s="1431" t="str">
        <f t="shared" si="692"/>
        <v>-</v>
      </c>
      <c r="CD344" s="1431" t="str">
        <f t="shared" si="692"/>
        <v>-</v>
      </c>
      <c r="CE344" s="1431" t="str">
        <f t="shared" si="692"/>
        <v>-</v>
      </c>
      <c r="CF344" s="1431" t="str">
        <f t="shared" si="692"/>
        <v>-</v>
      </c>
      <c r="CG344" s="1431" t="str">
        <f t="shared" si="692"/>
        <v>-</v>
      </c>
      <c r="CH344" s="1433" t="str">
        <f t="shared" si="692"/>
        <v>-</v>
      </c>
      <c r="CI344" s="1431" t="str">
        <f t="shared" si="692"/>
        <v>-</v>
      </c>
      <c r="CJ344" s="1431" t="str">
        <f t="shared" si="692"/>
        <v>-</v>
      </c>
      <c r="CK344" s="1431" t="str">
        <f t="shared" si="692"/>
        <v>-</v>
      </c>
      <c r="CL344" s="1431" t="str">
        <f t="shared" si="692"/>
        <v>-</v>
      </c>
      <c r="CM344" s="1433" t="str">
        <f t="shared" si="692"/>
        <v>-</v>
      </c>
      <c r="CN344" s="1431" t="str">
        <f t="shared" si="692"/>
        <v>-</v>
      </c>
      <c r="CO344" s="1431" t="str">
        <f t="shared" si="692"/>
        <v>-</v>
      </c>
      <c r="CP344" s="1431" t="str">
        <f t="shared" si="692"/>
        <v>-</v>
      </c>
      <c r="CQ344" s="1431" t="str">
        <f t="shared" si="692"/>
        <v>-</v>
      </c>
      <c r="CR344" s="1434" t="str">
        <f t="shared" si="692"/>
        <v>-</v>
      </c>
      <c r="CS344" s="1378"/>
      <c r="CT344" s="1428" t="str">
        <f t="shared" si="609"/>
        <v>Rev</v>
      </c>
      <c r="CU344" s="1429" t="str">
        <f t="shared" si="610"/>
        <v>[Service]</v>
      </c>
      <c r="CV344" s="1429" t="str">
        <f t="shared" si="611"/>
        <v>[Price]</v>
      </c>
      <c r="CW344" s="1435" t="str">
        <f t="shared" si="634"/>
        <v>-</v>
      </c>
      <c r="CX344" s="1431" t="str">
        <f t="shared" si="635"/>
        <v>-</v>
      </c>
      <c r="CY344" s="1431" t="str">
        <f t="shared" si="636"/>
        <v>-</v>
      </c>
      <c r="CZ344" s="1434" t="str">
        <f t="shared" si="637"/>
        <v>-</v>
      </c>
      <c r="DA344" s="1431" t="str">
        <f t="shared" si="638"/>
        <v>-</v>
      </c>
      <c r="DB344" s="1431" t="str">
        <f t="shared" si="639"/>
        <v>-</v>
      </c>
      <c r="DC344" s="1431" t="str">
        <f t="shared" si="640"/>
        <v>-</v>
      </c>
      <c r="DD344" s="1431" t="str">
        <f t="shared" si="641"/>
        <v>-</v>
      </c>
      <c r="DE344" s="1434" t="str">
        <f t="shared" si="642"/>
        <v>-</v>
      </c>
      <c r="DF344" s="1378"/>
      <c r="DG344" s="1428" t="str">
        <f t="shared" si="643"/>
        <v>Rev</v>
      </c>
      <c r="DH344" s="1429" t="str">
        <f t="shared" si="643"/>
        <v>[Service]</v>
      </c>
      <c r="DI344" s="1429" t="str">
        <f t="shared" si="643"/>
        <v>[Price]</v>
      </c>
      <c r="DJ344" s="1429"/>
      <c r="DK344" s="1435" t="str">
        <f t="shared" si="644"/>
        <v>-</v>
      </c>
      <c r="DL344" s="1431" t="str">
        <f t="shared" si="645"/>
        <v>-</v>
      </c>
      <c r="DM344" s="1431" t="str">
        <f t="shared" si="646"/>
        <v>-</v>
      </c>
      <c r="DN344" s="1433" t="str">
        <f t="shared" si="647"/>
        <v>-</v>
      </c>
      <c r="DO344" s="1431" t="str">
        <f t="shared" si="648"/>
        <v>-</v>
      </c>
      <c r="DP344" s="1431" t="str">
        <f t="shared" si="649"/>
        <v>-</v>
      </c>
      <c r="DQ344" s="1431" t="str">
        <f t="shared" si="650"/>
        <v>-</v>
      </c>
      <c r="DR344" s="1434" t="str">
        <f t="shared" si="651"/>
        <v>-</v>
      </c>
    </row>
    <row r="345" spans="4:122">
      <c r="D345" s="70">
        <f>D342+1</f>
        <v>94</v>
      </c>
      <c r="E345" s="713" t="s">
        <v>44</v>
      </c>
      <c r="F345" s="1532" t="s">
        <v>27</v>
      </c>
      <c r="G345" s="1532"/>
      <c r="H345" s="1532"/>
      <c r="I345" s="781" t="s">
        <v>318</v>
      </c>
      <c r="J345" s="781" t="s">
        <v>345</v>
      </c>
      <c r="K345" s="1533"/>
      <c r="L345" s="1534"/>
      <c r="M345" s="1534"/>
      <c r="N345" s="1535"/>
      <c r="O345" s="2071"/>
      <c r="P345" s="1547"/>
      <c r="Q345" s="1547"/>
      <c r="R345" s="1547"/>
      <c r="S345" s="1547"/>
      <c r="T345" s="1547"/>
      <c r="U345" s="1547"/>
      <c r="V345" s="1547"/>
      <c r="W345" s="1547"/>
      <c r="X345" s="1548"/>
      <c r="Y345" s="1547"/>
      <c r="Z345" s="1547"/>
      <c r="AA345" s="1547"/>
      <c r="AB345" s="1547"/>
      <c r="AC345" s="1548"/>
      <c r="AD345" s="1547"/>
      <c r="AE345" s="1547"/>
      <c r="AF345" s="1547"/>
      <c r="AG345" s="785"/>
      <c r="AH345" s="697"/>
      <c r="AI345" s="707"/>
      <c r="AJ345" s="709">
        <f t="shared" si="655"/>
        <v>0</v>
      </c>
      <c r="AK345" s="710">
        <f t="shared" si="656"/>
        <v>0</v>
      </c>
      <c r="AL345" s="710">
        <f t="shared" si="657"/>
        <v>0</v>
      </c>
      <c r="AM345" s="710">
        <f t="shared" si="658"/>
        <v>0</v>
      </c>
      <c r="AN345" s="710">
        <f t="shared" si="659"/>
        <v>0</v>
      </c>
      <c r="AO345" s="711">
        <f t="shared" si="660"/>
        <v>0</v>
      </c>
      <c r="AP345" s="707">
        <f t="shared" si="661"/>
        <v>0</v>
      </c>
      <c r="AQ345" s="707">
        <f t="shared" si="662"/>
        <v>0</v>
      </c>
      <c r="AR345" s="707">
        <f t="shared" si="663"/>
        <v>0</v>
      </c>
      <c r="AS345" s="712">
        <f t="shared" si="664"/>
        <v>0</v>
      </c>
      <c r="AU345" s="1369"/>
      <c r="AV345" s="1559"/>
      <c r="AW345" s="1412" t="str">
        <f t="shared" si="612"/>
        <v>Price</v>
      </c>
      <c r="AX345" s="1413" t="str">
        <f t="shared" si="612"/>
        <v>[Service]</v>
      </c>
      <c r="AY345" s="1414" t="str">
        <f t="shared" si="613"/>
        <v>[Price]</v>
      </c>
      <c r="AZ345" s="1415" t="str">
        <f t="shared" si="683"/>
        <v>-</v>
      </c>
      <c r="BA345" s="1415" t="str">
        <f t="shared" si="683"/>
        <v>-</v>
      </c>
      <c r="BB345" s="1415" t="str">
        <f t="shared" si="683"/>
        <v>-</v>
      </c>
      <c r="BC345" s="1415" t="str">
        <f t="shared" si="615"/>
        <v>-</v>
      </c>
      <c r="BD345" s="1415" t="str">
        <f t="shared" si="616"/>
        <v>-</v>
      </c>
      <c r="BE345" s="1415" t="str">
        <f t="shared" si="617"/>
        <v>-</v>
      </c>
      <c r="BF345" s="1415" t="str">
        <f t="shared" si="618"/>
        <v>-</v>
      </c>
      <c r="BG345" s="1416" t="str">
        <f t="shared" si="619"/>
        <v>-</v>
      </c>
      <c r="BH345" s="1417" t="str">
        <f t="shared" si="620"/>
        <v>-</v>
      </c>
      <c r="BI345" s="1417" t="str">
        <f t="shared" si="621"/>
        <v>-</v>
      </c>
      <c r="BJ345" s="1417" t="str">
        <f t="shared" si="622"/>
        <v>-</v>
      </c>
      <c r="BK345" s="1417" t="str">
        <f t="shared" si="623"/>
        <v>-</v>
      </c>
      <c r="BL345" s="1418" t="str">
        <f t="shared" si="624"/>
        <v>-</v>
      </c>
      <c r="BM345" s="1417" t="str">
        <f t="shared" si="625"/>
        <v>-</v>
      </c>
      <c r="BN345" s="1417" t="str">
        <f t="shared" si="626"/>
        <v>-</v>
      </c>
      <c r="BO345" s="1417" t="str">
        <f t="shared" si="627"/>
        <v>-</v>
      </c>
      <c r="BP345" s="1417" t="str">
        <f t="shared" si="628"/>
        <v>-</v>
      </c>
      <c r="BQ345" s="1419" t="str">
        <f t="shared" si="629"/>
        <v>-</v>
      </c>
      <c r="BR345" s="1378"/>
      <c r="BS345" s="1420"/>
      <c r="BT345" s="1421"/>
      <c r="BU345" s="1422"/>
      <c r="BV345" s="1423"/>
      <c r="BW345" s="1378"/>
      <c r="BX345" s="1412" t="str">
        <f t="shared" si="630"/>
        <v>Price</v>
      </c>
      <c r="BY345" s="1413" t="str">
        <f t="shared" si="631"/>
        <v>[Service]</v>
      </c>
      <c r="BZ345" s="1414" t="str">
        <f t="shared" si="632"/>
        <v>[Price]</v>
      </c>
      <c r="CA345" s="1424" t="str">
        <f t="shared" ref="CA345:CR345" si="693">IFERROR((P345/O345-1)*(O347/O$13),"-")</f>
        <v>-</v>
      </c>
      <c r="CB345" s="1415" t="str">
        <f t="shared" si="693"/>
        <v>-</v>
      </c>
      <c r="CC345" s="1415" t="str">
        <f t="shared" si="693"/>
        <v>-</v>
      </c>
      <c r="CD345" s="1415" t="str">
        <f t="shared" si="693"/>
        <v>-</v>
      </c>
      <c r="CE345" s="1415" t="str">
        <f t="shared" si="693"/>
        <v>-</v>
      </c>
      <c r="CF345" s="1415" t="str">
        <f t="shared" si="693"/>
        <v>-</v>
      </c>
      <c r="CG345" s="1415" t="str">
        <f t="shared" si="693"/>
        <v>-</v>
      </c>
      <c r="CH345" s="1425" t="str">
        <f t="shared" si="693"/>
        <v>-</v>
      </c>
      <c r="CI345" s="1417" t="str">
        <f t="shared" si="693"/>
        <v>-</v>
      </c>
      <c r="CJ345" s="1417" t="str">
        <f t="shared" si="693"/>
        <v>-</v>
      </c>
      <c r="CK345" s="1417" t="str">
        <f t="shared" si="693"/>
        <v>-</v>
      </c>
      <c r="CL345" s="1417" t="str">
        <f t="shared" si="693"/>
        <v>-</v>
      </c>
      <c r="CM345" s="1418" t="str">
        <f t="shared" si="693"/>
        <v>-</v>
      </c>
      <c r="CN345" s="1417" t="str">
        <f t="shared" si="693"/>
        <v>-</v>
      </c>
      <c r="CO345" s="1417" t="str">
        <f t="shared" si="693"/>
        <v>-</v>
      </c>
      <c r="CP345" s="1417" t="str">
        <f t="shared" si="693"/>
        <v>-</v>
      </c>
      <c r="CQ345" s="1417" t="str">
        <f t="shared" si="693"/>
        <v>-</v>
      </c>
      <c r="CR345" s="1419" t="str">
        <f t="shared" si="693"/>
        <v>-</v>
      </c>
      <c r="CS345" s="1378"/>
      <c r="CT345" s="1412" t="str">
        <f t="shared" si="609"/>
        <v>Price</v>
      </c>
      <c r="CU345" s="1413" t="str">
        <f t="shared" si="610"/>
        <v>[Service]</v>
      </c>
      <c r="CV345" s="1426" t="str">
        <f t="shared" si="611"/>
        <v>[Price]</v>
      </c>
      <c r="CW345" s="1427" t="str">
        <f t="shared" si="634"/>
        <v>-</v>
      </c>
      <c r="CX345" s="1417" t="str">
        <f t="shared" si="635"/>
        <v>-</v>
      </c>
      <c r="CY345" s="1417" t="str">
        <f t="shared" si="636"/>
        <v>-</v>
      </c>
      <c r="CZ345" s="1419" t="str">
        <f t="shared" si="637"/>
        <v>-</v>
      </c>
      <c r="DA345" s="1417" t="str">
        <f t="shared" si="638"/>
        <v>-</v>
      </c>
      <c r="DB345" s="1417" t="str">
        <f t="shared" si="639"/>
        <v>-</v>
      </c>
      <c r="DC345" s="1417" t="str">
        <f t="shared" si="640"/>
        <v>-</v>
      </c>
      <c r="DD345" s="1417" t="str">
        <f t="shared" si="641"/>
        <v>-</v>
      </c>
      <c r="DE345" s="1419" t="str">
        <f t="shared" si="642"/>
        <v>-</v>
      </c>
      <c r="DF345" s="1378"/>
      <c r="DG345" s="1412" t="str">
        <f t="shared" si="643"/>
        <v>Price</v>
      </c>
      <c r="DH345" s="1413" t="str">
        <f t="shared" si="643"/>
        <v>[Service]</v>
      </c>
      <c r="DI345" s="1426" t="str">
        <f t="shared" si="643"/>
        <v>[Price]</v>
      </c>
      <c r="DJ345" s="1426"/>
      <c r="DK345" s="1427" t="str">
        <f t="shared" si="644"/>
        <v>-</v>
      </c>
      <c r="DL345" s="1417" t="str">
        <f t="shared" si="645"/>
        <v>-</v>
      </c>
      <c r="DM345" s="1417" t="str">
        <f t="shared" si="646"/>
        <v>-</v>
      </c>
      <c r="DN345" s="1418" t="str">
        <f t="shared" si="647"/>
        <v>-</v>
      </c>
      <c r="DO345" s="1417" t="str">
        <f t="shared" si="648"/>
        <v>-</v>
      </c>
      <c r="DP345" s="1417" t="str">
        <f t="shared" si="649"/>
        <v>-</v>
      </c>
      <c r="DQ345" s="1417" t="str">
        <f t="shared" si="650"/>
        <v>-</v>
      </c>
      <c r="DR345" s="1419" t="str">
        <f t="shared" si="651"/>
        <v>-</v>
      </c>
    </row>
    <row r="346" spans="4:122">
      <c r="E346" s="742" t="s">
        <v>45</v>
      </c>
      <c r="F346" s="722" t="str">
        <f>+F345</f>
        <v>[Service]</v>
      </c>
      <c r="G346" s="723">
        <f>+G345</f>
        <v>0</v>
      </c>
      <c r="H346" s="723">
        <f>+H345</f>
        <v>0</v>
      </c>
      <c r="I346" s="724" t="str">
        <f>+I345</f>
        <v>[Price]</v>
      </c>
      <c r="J346" s="782" t="s">
        <v>322</v>
      </c>
      <c r="K346" s="1540"/>
      <c r="L346" s="1541"/>
      <c r="M346" s="1541"/>
      <c r="N346" s="1542"/>
      <c r="O346" s="1922"/>
      <c r="P346" s="1541"/>
      <c r="Q346" s="1541"/>
      <c r="R346" s="1543"/>
      <c r="S346" s="1543"/>
      <c r="T346" s="1543"/>
      <c r="U346" s="1543"/>
      <c r="V346" s="1543"/>
      <c r="W346" s="1543"/>
      <c r="X346" s="1544"/>
      <c r="Y346" s="1543"/>
      <c r="Z346" s="1543"/>
      <c r="AA346" s="1543"/>
      <c r="AB346" s="1543"/>
      <c r="AC346" s="1544"/>
      <c r="AD346" s="1543"/>
      <c r="AE346" s="1543"/>
      <c r="AF346" s="1543"/>
      <c r="AG346" s="788"/>
      <c r="AH346" s="697"/>
      <c r="AI346" s="707"/>
      <c r="AJ346" s="709">
        <f t="shared" si="655"/>
        <v>0</v>
      </c>
      <c r="AK346" s="710">
        <f t="shared" si="656"/>
        <v>0</v>
      </c>
      <c r="AL346" s="710">
        <f t="shared" si="657"/>
        <v>0</v>
      </c>
      <c r="AM346" s="710">
        <f t="shared" si="658"/>
        <v>0</v>
      </c>
      <c r="AN346" s="710">
        <f t="shared" si="659"/>
        <v>0</v>
      </c>
      <c r="AO346" s="711">
        <f t="shared" si="660"/>
        <v>0</v>
      </c>
      <c r="AP346" s="707">
        <f t="shared" si="661"/>
        <v>0</v>
      </c>
      <c r="AQ346" s="707">
        <f t="shared" si="662"/>
        <v>0</v>
      </c>
      <c r="AR346" s="707">
        <f t="shared" si="663"/>
        <v>0</v>
      </c>
      <c r="AS346" s="712">
        <f t="shared" si="664"/>
        <v>0</v>
      </c>
      <c r="AV346" s="1559"/>
      <c r="AW346" s="1392" t="str">
        <f t="shared" si="612"/>
        <v>Qty</v>
      </c>
      <c r="AX346" s="1393" t="str">
        <f t="shared" si="612"/>
        <v>[Service]</v>
      </c>
      <c r="AY346" s="1394" t="str">
        <f t="shared" si="613"/>
        <v>[Price]</v>
      </c>
      <c r="AZ346" s="1395" t="str">
        <f t="shared" si="683"/>
        <v>-</v>
      </c>
      <c r="BA346" s="1395" t="str">
        <f t="shared" si="683"/>
        <v>-</v>
      </c>
      <c r="BB346" s="1395" t="str">
        <f t="shared" si="683"/>
        <v>-</v>
      </c>
      <c r="BC346" s="1395" t="str">
        <f t="shared" si="615"/>
        <v>-</v>
      </c>
      <c r="BD346" s="1395" t="str">
        <f t="shared" si="616"/>
        <v>-</v>
      </c>
      <c r="BE346" s="1395" t="str">
        <f t="shared" si="617"/>
        <v>-</v>
      </c>
      <c r="BF346" s="1395" t="str">
        <f t="shared" si="618"/>
        <v>-</v>
      </c>
      <c r="BG346" s="1396" t="str">
        <f t="shared" si="619"/>
        <v>-</v>
      </c>
      <c r="BH346" s="1395" t="str">
        <f t="shared" si="620"/>
        <v>-</v>
      </c>
      <c r="BI346" s="1395" t="str">
        <f t="shared" si="621"/>
        <v>-</v>
      </c>
      <c r="BJ346" s="1395" t="str">
        <f t="shared" si="622"/>
        <v>-</v>
      </c>
      <c r="BK346" s="1395" t="str">
        <f t="shared" si="623"/>
        <v>-</v>
      </c>
      <c r="BL346" s="1397" t="str">
        <f t="shared" si="624"/>
        <v>-</v>
      </c>
      <c r="BM346" s="1395" t="str">
        <f t="shared" si="625"/>
        <v>-</v>
      </c>
      <c r="BN346" s="1395" t="str">
        <f t="shared" si="626"/>
        <v>-</v>
      </c>
      <c r="BO346" s="1395" t="str">
        <f t="shared" si="627"/>
        <v>-</v>
      </c>
      <c r="BP346" s="1395" t="str">
        <f t="shared" si="628"/>
        <v>-</v>
      </c>
      <c r="BQ346" s="1398" t="str">
        <f t="shared" si="629"/>
        <v>-</v>
      </c>
      <c r="BR346" s="1378"/>
      <c r="BS346" s="1329"/>
      <c r="BT346" s="1399"/>
      <c r="BU346" s="1331"/>
      <c r="BV346" s="1400"/>
      <c r="BW346" s="1378"/>
      <c r="BX346" s="1392" t="str">
        <f t="shared" si="630"/>
        <v>Qty</v>
      </c>
      <c r="BY346" s="1393" t="str">
        <f t="shared" si="631"/>
        <v>[Service]</v>
      </c>
      <c r="BZ346" s="1394" t="str">
        <f t="shared" si="632"/>
        <v>[Price]</v>
      </c>
      <c r="CA346" s="1401" t="str">
        <f t="shared" ref="CA346:CR346" si="694">IFERROR((P346/O346-1)*(O347/O$13),"-")</f>
        <v>-</v>
      </c>
      <c r="CB346" s="1395" t="str">
        <f t="shared" si="694"/>
        <v>-</v>
      </c>
      <c r="CC346" s="1395" t="str">
        <f t="shared" si="694"/>
        <v>-</v>
      </c>
      <c r="CD346" s="1395" t="str">
        <f t="shared" si="694"/>
        <v>-</v>
      </c>
      <c r="CE346" s="1395" t="str">
        <f t="shared" si="694"/>
        <v>-</v>
      </c>
      <c r="CF346" s="1395" t="str">
        <f t="shared" si="694"/>
        <v>-</v>
      </c>
      <c r="CG346" s="1395" t="str">
        <f t="shared" si="694"/>
        <v>-</v>
      </c>
      <c r="CH346" s="1397" t="str">
        <f t="shared" si="694"/>
        <v>-</v>
      </c>
      <c r="CI346" s="1395" t="str">
        <f t="shared" si="694"/>
        <v>-</v>
      </c>
      <c r="CJ346" s="1395" t="str">
        <f t="shared" si="694"/>
        <v>-</v>
      </c>
      <c r="CK346" s="1395" t="str">
        <f t="shared" si="694"/>
        <v>-</v>
      </c>
      <c r="CL346" s="1395" t="str">
        <f t="shared" si="694"/>
        <v>-</v>
      </c>
      <c r="CM346" s="1397" t="str">
        <f t="shared" si="694"/>
        <v>-</v>
      </c>
      <c r="CN346" s="1395" t="str">
        <f t="shared" si="694"/>
        <v>-</v>
      </c>
      <c r="CO346" s="1395" t="str">
        <f t="shared" si="694"/>
        <v>-</v>
      </c>
      <c r="CP346" s="1395" t="str">
        <f t="shared" si="694"/>
        <v>-</v>
      </c>
      <c r="CQ346" s="1395" t="str">
        <f t="shared" si="694"/>
        <v>-</v>
      </c>
      <c r="CR346" s="1398" t="str">
        <f t="shared" si="694"/>
        <v>-</v>
      </c>
      <c r="CS346" s="1378"/>
      <c r="CT346" s="1392" t="str">
        <f t="shared" si="609"/>
        <v>Qty</v>
      </c>
      <c r="CU346" s="1393" t="str">
        <f t="shared" si="610"/>
        <v>[Service]</v>
      </c>
      <c r="CV346" s="1393" t="str">
        <f t="shared" si="611"/>
        <v>[Price]</v>
      </c>
      <c r="CW346" s="1401" t="str">
        <f t="shared" si="634"/>
        <v>-</v>
      </c>
      <c r="CX346" s="1395" t="str">
        <f t="shared" si="635"/>
        <v>-</v>
      </c>
      <c r="CY346" s="1395" t="str">
        <f t="shared" si="636"/>
        <v>-</v>
      </c>
      <c r="CZ346" s="1398" t="str">
        <f t="shared" si="637"/>
        <v>-</v>
      </c>
      <c r="DA346" s="1395" t="str">
        <f t="shared" si="638"/>
        <v>-</v>
      </c>
      <c r="DB346" s="1395" t="str">
        <f t="shared" si="639"/>
        <v>-</v>
      </c>
      <c r="DC346" s="1395" t="str">
        <f t="shared" si="640"/>
        <v>-</v>
      </c>
      <c r="DD346" s="1395" t="str">
        <f t="shared" si="641"/>
        <v>-</v>
      </c>
      <c r="DE346" s="1398" t="str">
        <f t="shared" si="642"/>
        <v>-</v>
      </c>
      <c r="DF346" s="1378"/>
      <c r="DG346" s="1392" t="str">
        <f t="shared" si="643"/>
        <v>Qty</v>
      </c>
      <c r="DH346" s="1393" t="str">
        <f t="shared" si="643"/>
        <v>[Service]</v>
      </c>
      <c r="DI346" s="1393" t="str">
        <f t="shared" si="643"/>
        <v>[Price]</v>
      </c>
      <c r="DJ346" s="1393"/>
      <c r="DK346" s="1401" t="str">
        <f t="shared" si="644"/>
        <v>-</v>
      </c>
      <c r="DL346" s="1395" t="str">
        <f t="shared" si="645"/>
        <v>-</v>
      </c>
      <c r="DM346" s="1395" t="str">
        <f t="shared" si="646"/>
        <v>-</v>
      </c>
      <c r="DN346" s="1397" t="str">
        <f t="shared" si="647"/>
        <v>-</v>
      </c>
      <c r="DO346" s="1395" t="str">
        <f t="shared" si="648"/>
        <v>-</v>
      </c>
      <c r="DP346" s="1395" t="str">
        <f t="shared" si="649"/>
        <v>-</v>
      </c>
      <c r="DQ346" s="1395" t="str">
        <f t="shared" si="650"/>
        <v>-</v>
      </c>
      <c r="DR346" s="1398" t="str">
        <f t="shared" si="651"/>
        <v>-</v>
      </c>
    </row>
    <row r="347" spans="4:122" ht="12.75" thickBot="1">
      <c r="E347" s="743" t="s">
        <v>46</v>
      </c>
      <c r="F347" s="732" t="str">
        <f>+F345</f>
        <v>[Service]</v>
      </c>
      <c r="G347" s="733">
        <f>+G345</f>
        <v>0</v>
      </c>
      <c r="H347" s="733">
        <f>+H345</f>
        <v>0</v>
      </c>
      <c r="I347" s="734" t="str">
        <f>+I345</f>
        <v>[Price]</v>
      </c>
      <c r="J347" s="735" t="s">
        <v>344</v>
      </c>
      <c r="K347" s="736">
        <f t="shared" ref="K347:AG347" si="695">K345*K346/10^6</f>
        <v>0</v>
      </c>
      <c r="L347" s="737">
        <f t="shared" si="695"/>
        <v>0</v>
      </c>
      <c r="M347" s="737">
        <f t="shared" si="695"/>
        <v>0</v>
      </c>
      <c r="N347" s="738">
        <f t="shared" si="695"/>
        <v>0</v>
      </c>
      <c r="O347" s="1923">
        <f t="shared" si="695"/>
        <v>0</v>
      </c>
      <c r="P347" s="737">
        <f t="shared" si="695"/>
        <v>0</v>
      </c>
      <c r="Q347" s="737">
        <f t="shared" si="695"/>
        <v>0</v>
      </c>
      <c r="R347" s="737">
        <f t="shared" si="695"/>
        <v>0</v>
      </c>
      <c r="S347" s="737">
        <f t="shared" si="695"/>
        <v>0</v>
      </c>
      <c r="T347" s="737">
        <f t="shared" si="695"/>
        <v>0</v>
      </c>
      <c r="U347" s="737">
        <f t="shared" si="695"/>
        <v>0</v>
      </c>
      <c r="V347" s="737">
        <f t="shared" si="695"/>
        <v>0</v>
      </c>
      <c r="W347" s="737">
        <f t="shared" si="695"/>
        <v>0</v>
      </c>
      <c r="X347" s="738">
        <f t="shared" si="695"/>
        <v>0</v>
      </c>
      <c r="Y347" s="737">
        <f t="shared" si="695"/>
        <v>0</v>
      </c>
      <c r="Z347" s="737">
        <f t="shared" si="695"/>
        <v>0</v>
      </c>
      <c r="AA347" s="737">
        <f t="shared" si="695"/>
        <v>0</v>
      </c>
      <c r="AB347" s="737">
        <f t="shared" si="695"/>
        <v>0</v>
      </c>
      <c r="AC347" s="738">
        <f t="shared" si="695"/>
        <v>0</v>
      </c>
      <c r="AD347" s="737">
        <f t="shared" si="695"/>
        <v>0</v>
      </c>
      <c r="AE347" s="737">
        <f t="shared" si="695"/>
        <v>0</v>
      </c>
      <c r="AF347" s="737">
        <f t="shared" si="695"/>
        <v>0</v>
      </c>
      <c r="AG347" s="739">
        <f t="shared" si="695"/>
        <v>0</v>
      </c>
      <c r="AH347" s="697"/>
      <c r="AI347" s="707"/>
      <c r="AJ347" s="709">
        <f t="shared" si="655"/>
        <v>0</v>
      </c>
      <c r="AK347" s="710">
        <f t="shared" si="656"/>
        <v>0</v>
      </c>
      <c r="AL347" s="710">
        <f t="shared" si="657"/>
        <v>0</v>
      </c>
      <c r="AM347" s="710">
        <f t="shared" si="658"/>
        <v>0</v>
      </c>
      <c r="AN347" s="710">
        <f t="shared" si="659"/>
        <v>0</v>
      </c>
      <c r="AO347" s="711">
        <f t="shared" si="660"/>
        <v>0</v>
      </c>
      <c r="AP347" s="707">
        <f t="shared" si="661"/>
        <v>0</v>
      </c>
      <c r="AQ347" s="707">
        <f t="shared" si="662"/>
        <v>0</v>
      </c>
      <c r="AR347" s="707">
        <f t="shared" si="663"/>
        <v>0</v>
      </c>
      <c r="AS347" s="712">
        <f t="shared" si="664"/>
        <v>0</v>
      </c>
      <c r="AV347" s="1559"/>
      <c r="AW347" s="1428" t="str">
        <f t="shared" si="612"/>
        <v>Rev</v>
      </c>
      <c r="AX347" s="1429" t="str">
        <f t="shared" si="612"/>
        <v>[Service]</v>
      </c>
      <c r="AY347" s="1430" t="str">
        <f t="shared" si="613"/>
        <v>[Price]</v>
      </c>
      <c r="AZ347" s="1431" t="str">
        <f t="shared" si="683"/>
        <v>-</v>
      </c>
      <c r="BA347" s="1431" t="str">
        <f t="shared" si="683"/>
        <v>-</v>
      </c>
      <c r="BB347" s="1431" t="str">
        <f t="shared" si="683"/>
        <v>-</v>
      </c>
      <c r="BC347" s="1431" t="str">
        <f t="shared" si="615"/>
        <v>-</v>
      </c>
      <c r="BD347" s="1431" t="str">
        <f t="shared" si="616"/>
        <v>-</v>
      </c>
      <c r="BE347" s="1431" t="str">
        <f t="shared" si="617"/>
        <v>-</v>
      </c>
      <c r="BF347" s="1431" t="str">
        <f t="shared" si="618"/>
        <v>-</v>
      </c>
      <c r="BG347" s="1432" t="str">
        <f t="shared" si="619"/>
        <v>-</v>
      </c>
      <c r="BH347" s="1431" t="str">
        <f t="shared" si="620"/>
        <v>-</v>
      </c>
      <c r="BI347" s="1431" t="str">
        <f t="shared" si="621"/>
        <v>-</v>
      </c>
      <c r="BJ347" s="1431" t="str">
        <f t="shared" si="622"/>
        <v>-</v>
      </c>
      <c r="BK347" s="1431" t="str">
        <f t="shared" si="623"/>
        <v>-</v>
      </c>
      <c r="BL347" s="1433" t="str">
        <f t="shared" si="624"/>
        <v>-</v>
      </c>
      <c r="BM347" s="1431" t="str">
        <f t="shared" si="625"/>
        <v>-</v>
      </c>
      <c r="BN347" s="1431" t="str">
        <f t="shared" si="626"/>
        <v>-</v>
      </c>
      <c r="BO347" s="1431" t="str">
        <f t="shared" si="627"/>
        <v>-</v>
      </c>
      <c r="BP347" s="1431" t="str">
        <f t="shared" si="628"/>
        <v>-</v>
      </c>
      <c r="BQ347" s="1434" t="str">
        <f t="shared" si="629"/>
        <v>-</v>
      </c>
      <c r="BR347" s="1378"/>
      <c r="BS347" s="1407"/>
      <c r="BT347" s="1408"/>
      <c r="BU347" s="1409"/>
      <c r="BV347" s="1410"/>
      <c r="BW347" s="1378"/>
      <c r="BX347" s="1428" t="str">
        <f t="shared" si="630"/>
        <v>Rev</v>
      </c>
      <c r="BY347" s="1429" t="str">
        <f t="shared" si="631"/>
        <v>[Service]</v>
      </c>
      <c r="BZ347" s="1430" t="str">
        <f t="shared" si="632"/>
        <v>[Price]</v>
      </c>
      <c r="CA347" s="1435" t="str">
        <f t="shared" ref="CA347:CR347" si="696">IFERROR((P347/O347-1)*(O347/O$13),"-")</f>
        <v>-</v>
      </c>
      <c r="CB347" s="1431" t="str">
        <f t="shared" si="696"/>
        <v>-</v>
      </c>
      <c r="CC347" s="1431" t="str">
        <f t="shared" si="696"/>
        <v>-</v>
      </c>
      <c r="CD347" s="1431" t="str">
        <f t="shared" si="696"/>
        <v>-</v>
      </c>
      <c r="CE347" s="1431" t="str">
        <f t="shared" si="696"/>
        <v>-</v>
      </c>
      <c r="CF347" s="1431" t="str">
        <f t="shared" si="696"/>
        <v>-</v>
      </c>
      <c r="CG347" s="1431" t="str">
        <f t="shared" si="696"/>
        <v>-</v>
      </c>
      <c r="CH347" s="1433" t="str">
        <f t="shared" si="696"/>
        <v>-</v>
      </c>
      <c r="CI347" s="1431" t="str">
        <f t="shared" si="696"/>
        <v>-</v>
      </c>
      <c r="CJ347" s="1431" t="str">
        <f t="shared" si="696"/>
        <v>-</v>
      </c>
      <c r="CK347" s="1431" t="str">
        <f t="shared" si="696"/>
        <v>-</v>
      </c>
      <c r="CL347" s="1431" t="str">
        <f t="shared" si="696"/>
        <v>-</v>
      </c>
      <c r="CM347" s="1433" t="str">
        <f t="shared" si="696"/>
        <v>-</v>
      </c>
      <c r="CN347" s="1431" t="str">
        <f t="shared" si="696"/>
        <v>-</v>
      </c>
      <c r="CO347" s="1431" t="str">
        <f t="shared" si="696"/>
        <v>-</v>
      </c>
      <c r="CP347" s="1431" t="str">
        <f t="shared" si="696"/>
        <v>-</v>
      </c>
      <c r="CQ347" s="1431" t="str">
        <f t="shared" si="696"/>
        <v>-</v>
      </c>
      <c r="CR347" s="1434" t="str">
        <f t="shared" si="696"/>
        <v>-</v>
      </c>
      <c r="CS347" s="1378"/>
      <c r="CT347" s="1428" t="str">
        <f t="shared" si="609"/>
        <v>Rev</v>
      </c>
      <c r="CU347" s="1429" t="str">
        <f t="shared" si="610"/>
        <v>[Service]</v>
      </c>
      <c r="CV347" s="1429" t="str">
        <f t="shared" si="611"/>
        <v>[Price]</v>
      </c>
      <c r="CW347" s="1435" t="str">
        <f t="shared" si="634"/>
        <v>-</v>
      </c>
      <c r="CX347" s="1431" t="str">
        <f t="shared" si="635"/>
        <v>-</v>
      </c>
      <c r="CY347" s="1431" t="str">
        <f t="shared" si="636"/>
        <v>-</v>
      </c>
      <c r="CZ347" s="1434" t="str">
        <f t="shared" si="637"/>
        <v>-</v>
      </c>
      <c r="DA347" s="1431" t="str">
        <f t="shared" si="638"/>
        <v>-</v>
      </c>
      <c r="DB347" s="1431" t="str">
        <f t="shared" si="639"/>
        <v>-</v>
      </c>
      <c r="DC347" s="1431" t="str">
        <f t="shared" si="640"/>
        <v>-</v>
      </c>
      <c r="DD347" s="1431" t="str">
        <f t="shared" si="641"/>
        <v>-</v>
      </c>
      <c r="DE347" s="1434" t="str">
        <f t="shared" si="642"/>
        <v>-</v>
      </c>
      <c r="DF347" s="1378"/>
      <c r="DG347" s="1428" t="str">
        <f t="shared" si="643"/>
        <v>Rev</v>
      </c>
      <c r="DH347" s="1429" t="str">
        <f t="shared" si="643"/>
        <v>[Service]</v>
      </c>
      <c r="DI347" s="1429" t="str">
        <f t="shared" si="643"/>
        <v>[Price]</v>
      </c>
      <c r="DJ347" s="1429"/>
      <c r="DK347" s="1435" t="str">
        <f t="shared" si="644"/>
        <v>-</v>
      </c>
      <c r="DL347" s="1431" t="str">
        <f t="shared" si="645"/>
        <v>-</v>
      </c>
      <c r="DM347" s="1431" t="str">
        <f t="shared" si="646"/>
        <v>-</v>
      </c>
      <c r="DN347" s="1433" t="str">
        <f t="shared" si="647"/>
        <v>-</v>
      </c>
      <c r="DO347" s="1431" t="str">
        <f t="shared" si="648"/>
        <v>-</v>
      </c>
      <c r="DP347" s="1431" t="str">
        <f t="shared" si="649"/>
        <v>-</v>
      </c>
      <c r="DQ347" s="1431" t="str">
        <f t="shared" si="650"/>
        <v>-</v>
      </c>
      <c r="DR347" s="1434" t="str">
        <f t="shared" si="651"/>
        <v>-</v>
      </c>
    </row>
    <row r="348" spans="4:122">
      <c r="D348" s="70">
        <f>D345+1</f>
        <v>95</v>
      </c>
      <c r="E348" s="713" t="s">
        <v>44</v>
      </c>
      <c r="F348" s="1532" t="s">
        <v>27</v>
      </c>
      <c r="G348" s="1532"/>
      <c r="H348" s="1532"/>
      <c r="I348" s="781" t="s">
        <v>318</v>
      </c>
      <c r="J348" s="781" t="s">
        <v>345</v>
      </c>
      <c r="K348" s="1533"/>
      <c r="L348" s="1534"/>
      <c r="M348" s="1534"/>
      <c r="N348" s="1535"/>
      <c r="O348" s="2071"/>
      <c r="P348" s="1547"/>
      <c r="Q348" s="1547"/>
      <c r="R348" s="1547"/>
      <c r="S348" s="1547"/>
      <c r="T348" s="1547"/>
      <c r="U348" s="1547"/>
      <c r="V348" s="1547"/>
      <c r="W348" s="1547"/>
      <c r="X348" s="1548"/>
      <c r="Y348" s="1547"/>
      <c r="Z348" s="1547"/>
      <c r="AA348" s="1547"/>
      <c r="AB348" s="1547"/>
      <c r="AC348" s="1548"/>
      <c r="AD348" s="1547"/>
      <c r="AE348" s="1547"/>
      <c r="AF348" s="1547"/>
      <c r="AG348" s="785"/>
      <c r="AH348" s="697"/>
      <c r="AI348" s="707"/>
      <c r="AJ348" s="709">
        <f t="shared" si="655"/>
        <v>0</v>
      </c>
      <c r="AK348" s="710">
        <f t="shared" si="656"/>
        <v>0</v>
      </c>
      <c r="AL348" s="710">
        <f t="shared" si="657"/>
        <v>0</v>
      </c>
      <c r="AM348" s="710">
        <f t="shared" si="658"/>
        <v>0</v>
      </c>
      <c r="AN348" s="710">
        <f t="shared" si="659"/>
        <v>0</v>
      </c>
      <c r="AO348" s="711">
        <f t="shared" si="660"/>
        <v>0</v>
      </c>
      <c r="AP348" s="707">
        <f t="shared" si="661"/>
        <v>0</v>
      </c>
      <c r="AQ348" s="707">
        <f t="shared" si="662"/>
        <v>0</v>
      </c>
      <c r="AR348" s="707">
        <f t="shared" si="663"/>
        <v>0</v>
      </c>
      <c r="AS348" s="712">
        <f t="shared" si="664"/>
        <v>0</v>
      </c>
      <c r="AU348" s="1369"/>
      <c r="AV348" s="1559"/>
      <c r="AW348" s="1412" t="str">
        <f t="shared" si="612"/>
        <v>Price</v>
      </c>
      <c r="AX348" s="1413" t="str">
        <f t="shared" si="612"/>
        <v>[Service]</v>
      </c>
      <c r="AY348" s="1414" t="str">
        <f t="shared" si="613"/>
        <v>[Price]</v>
      </c>
      <c r="AZ348" s="1415" t="str">
        <f t="shared" si="683"/>
        <v>-</v>
      </c>
      <c r="BA348" s="1415" t="str">
        <f t="shared" si="683"/>
        <v>-</v>
      </c>
      <c r="BB348" s="1415" t="str">
        <f t="shared" si="683"/>
        <v>-</v>
      </c>
      <c r="BC348" s="1415" t="str">
        <f t="shared" si="615"/>
        <v>-</v>
      </c>
      <c r="BD348" s="1415" t="str">
        <f t="shared" si="616"/>
        <v>-</v>
      </c>
      <c r="BE348" s="1415" t="str">
        <f t="shared" si="617"/>
        <v>-</v>
      </c>
      <c r="BF348" s="1415" t="str">
        <f t="shared" si="618"/>
        <v>-</v>
      </c>
      <c r="BG348" s="1416" t="str">
        <f t="shared" si="619"/>
        <v>-</v>
      </c>
      <c r="BH348" s="1417" t="str">
        <f t="shared" si="620"/>
        <v>-</v>
      </c>
      <c r="BI348" s="1417" t="str">
        <f t="shared" si="621"/>
        <v>-</v>
      </c>
      <c r="BJ348" s="1417" t="str">
        <f t="shared" si="622"/>
        <v>-</v>
      </c>
      <c r="BK348" s="1417" t="str">
        <f t="shared" si="623"/>
        <v>-</v>
      </c>
      <c r="BL348" s="1418" t="str">
        <f t="shared" si="624"/>
        <v>-</v>
      </c>
      <c r="BM348" s="1417" t="str">
        <f t="shared" si="625"/>
        <v>-</v>
      </c>
      <c r="BN348" s="1417" t="str">
        <f t="shared" si="626"/>
        <v>-</v>
      </c>
      <c r="BO348" s="1417" t="str">
        <f t="shared" si="627"/>
        <v>-</v>
      </c>
      <c r="BP348" s="1417" t="str">
        <f t="shared" si="628"/>
        <v>-</v>
      </c>
      <c r="BQ348" s="1419" t="str">
        <f t="shared" si="629"/>
        <v>-</v>
      </c>
      <c r="BR348" s="1378"/>
      <c r="BS348" s="1420"/>
      <c r="BT348" s="1421"/>
      <c r="BU348" s="1422"/>
      <c r="BV348" s="1423"/>
      <c r="BW348" s="1378"/>
      <c r="BX348" s="1412" t="str">
        <f t="shared" si="630"/>
        <v>Price</v>
      </c>
      <c r="BY348" s="1413" t="str">
        <f t="shared" si="631"/>
        <v>[Service]</v>
      </c>
      <c r="BZ348" s="1414" t="str">
        <f t="shared" si="632"/>
        <v>[Price]</v>
      </c>
      <c r="CA348" s="1424" t="str">
        <f t="shared" ref="CA348:CR348" si="697">IFERROR((P348/O348-1)*(O350/O$13),"-")</f>
        <v>-</v>
      </c>
      <c r="CB348" s="1415" t="str">
        <f t="shared" si="697"/>
        <v>-</v>
      </c>
      <c r="CC348" s="1415" t="str">
        <f t="shared" si="697"/>
        <v>-</v>
      </c>
      <c r="CD348" s="1415" t="str">
        <f t="shared" si="697"/>
        <v>-</v>
      </c>
      <c r="CE348" s="1415" t="str">
        <f t="shared" si="697"/>
        <v>-</v>
      </c>
      <c r="CF348" s="1415" t="str">
        <f t="shared" si="697"/>
        <v>-</v>
      </c>
      <c r="CG348" s="1415" t="str">
        <f t="shared" si="697"/>
        <v>-</v>
      </c>
      <c r="CH348" s="1425" t="str">
        <f t="shared" si="697"/>
        <v>-</v>
      </c>
      <c r="CI348" s="1417" t="str">
        <f t="shared" si="697"/>
        <v>-</v>
      </c>
      <c r="CJ348" s="1417" t="str">
        <f t="shared" si="697"/>
        <v>-</v>
      </c>
      <c r="CK348" s="1417" t="str">
        <f t="shared" si="697"/>
        <v>-</v>
      </c>
      <c r="CL348" s="1417" t="str">
        <f t="shared" si="697"/>
        <v>-</v>
      </c>
      <c r="CM348" s="1418" t="str">
        <f t="shared" si="697"/>
        <v>-</v>
      </c>
      <c r="CN348" s="1417" t="str">
        <f t="shared" si="697"/>
        <v>-</v>
      </c>
      <c r="CO348" s="1417" t="str">
        <f t="shared" si="697"/>
        <v>-</v>
      </c>
      <c r="CP348" s="1417" t="str">
        <f t="shared" si="697"/>
        <v>-</v>
      </c>
      <c r="CQ348" s="1417" t="str">
        <f t="shared" si="697"/>
        <v>-</v>
      </c>
      <c r="CR348" s="1419" t="str">
        <f t="shared" si="697"/>
        <v>-</v>
      </c>
      <c r="CS348" s="1378"/>
      <c r="CT348" s="1412" t="str">
        <f t="shared" si="609"/>
        <v>Price</v>
      </c>
      <c r="CU348" s="1413" t="str">
        <f t="shared" si="610"/>
        <v>[Service]</v>
      </c>
      <c r="CV348" s="1426" t="str">
        <f t="shared" si="611"/>
        <v>[Price]</v>
      </c>
      <c r="CW348" s="1427" t="str">
        <f t="shared" si="634"/>
        <v>-</v>
      </c>
      <c r="CX348" s="1417" t="str">
        <f t="shared" si="635"/>
        <v>-</v>
      </c>
      <c r="CY348" s="1417" t="str">
        <f t="shared" si="636"/>
        <v>-</v>
      </c>
      <c r="CZ348" s="1419" t="str">
        <f t="shared" si="637"/>
        <v>-</v>
      </c>
      <c r="DA348" s="1417" t="str">
        <f t="shared" si="638"/>
        <v>-</v>
      </c>
      <c r="DB348" s="1417" t="str">
        <f t="shared" si="639"/>
        <v>-</v>
      </c>
      <c r="DC348" s="1417" t="str">
        <f t="shared" si="640"/>
        <v>-</v>
      </c>
      <c r="DD348" s="1417" t="str">
        <f t="shared" si="641"/>
        <v>-</v>
      </c>
      <c r="DE348" s="1419" t="str">
        <f t="shared" si="642"/>
        <v>-</v>
      </c>
      <c r="DF348" s="1378"/>
      <c r="DG348" s="1412" t="str">
        <f t="shared" si="643"/>
        <v>Price</v>
      </c>
      <c r="DH348" s="1413" t="str">
        <f t="shared" si="643"/>
        <v>[Service]</v>
      </c>
      <c r="DI348" s="1426" t="str">
        <f t="shared" si="643"/>
        <v>[Price]</v>
      </c>
      <c r="DJ348" s="1426"/>
      <c r="DK348" s="1427" t="str">
        <f t="shared" si="644"/>
        <v>-</v>
      </c>
      <c r="DL348" s="1417" t="str">
        <f t="shared" si="645"/>
        <v>-</v>
      </c>
      <c r="DM348" s="1417" t="str">
        <f t="shared" si="646"/>
        <v>-</v>
      </c>
      <c r="DN348" s="1418" t="str">
        <f t="shared" si="647"/>
        <v>-</v>
      </c>
      <c r="DO348" s="1417" t="str">
        <f t="shared" si="648"/>
        <v>-</v>
      </c>
      <c r="DP348" s="1417" t="str">
        <f t="shared" si="649"/>
        <v>-</v>
      </c>
      <c r="DQ348" s="1417" t="str">
        <f t="shared" si="650"/>
        <v>-</v>
      </c>
      <c r="DR348" s="1419" t="str">
        <f t="shared" si="651"/>
        <v>-</v>
      </c>
    </row>
    <row r="349" spans="4:122">
      <c r="E349" s="742" t="s">
        <v>45</v>
      </c>
      <c r="F349" s="722" t="str">
        <f>+F348</f>
        <v>[Service]</v>
      </c>
      <c r="G349" s="723">
        <f>+G348</f>
        <v>0</v>
      </c>
      <c r="H349" s="723">
        <f>+H348</f>
        <v>0</v>
      </c>
      <c r="I349" s="724" t="str">
        <f>+I348</f>
        <v>[Price]</v>
      </c>
      <c r="J349" s="782" t="s">
        <v>322</v>
      </c>
      <c r="K349" s="1540"/>
      <c r="L349" s="1541"/>
      <c r="M349" s="1541"/>
      <c r="N349" s="1542"/>
      <c r="O349" s="2031"/>
      <c r="P349" s="1543"/>
      <c r="Q349" s="1543"/>
      <c r="R349" s="1543"/>
      <c r="S349" s="1543"/>
      <c r="T349" s="1543"/>
      <c r="U349" s="1543"/>
      <c r="V349" s="1543"/>
      <c r="W349" s="1543"/>
      <c r="X349" s="1544"/>
      <c r="Y349" s="1543"/>
      <c r="Z349" s="1543"/>
      <c r="AA349" s="1543"/>
      <c r="AB349" s="1543"/>
      <c r="AC349" s="1544"/>
      <c r="AD349" s="1543"/>
      <c r="AE349" s="1543"/>
      <c r="AF349" s="1543"/>
      <c r="AG349" s="788"/>
      <c r="AH349" s="697"/>
      <c r="AI349" s="707"/>
      <c r="AJ349" s="709">
        <f t="shared" si="655"/>
        <v>0</v>
      </c>
      <c r="AK349" s="710">
        <f t="shared" si="656"/>
        <v>0</v>
      </c>
      <c r="AL349" s="710">
        <f t="shared" si="657"/>
        <v>0</v>
      </c>
      <c r="AM349" s="710">
        <f t="shared" si="658"/>
        <v>0</v>
      </c>
      <c r="AN349" s="710">
        <f t="shared" si="659"/>
        <v>0</v>
      </c>
      <c r="AO349" s="711">
        <f t="shared" si="660"/>
        <v>0</v>
      </c>
      <c r="AP349" s="707">
        <f t="shared" si="661"/>
        <v>0</v>
      </c>
      <c r="AQ349" s="707">
        <f t="shared" si="662"/>
        <v>0</v>
      </c>
      <c r="AR349" s="707">
        <f t="shared" si="663"/>
        <v>0</v>
      </c>
      <c r="AS349" s="712">
        <f t="shared" si="664"/>
        <v>0</v>
      </c>
      <c r="AV349" s="1559"/>
      <c r="AW349" s="1392" t="str">
        <f t="shared" si="612"/>
        <v>Qty</v>
      </c>
      <c r="AX349" s="1393" t="str">
        <f t="shared" si="612"/>
        <v>[Service]</v>
      </c>
      <c r="AY349" s="1394" t="str">
        <f t="shared" si="613"/>
        <v>[Price]</v>
      </c>
      <c r="AZ349" s="1395" t="str">
        <f t="shared" si="683"/>
        <v>-</v>
      </c>
      <c r="BA349" s="1395" t="str">
        <f t="shared" si="683"/>
        <v>-</v>
      </c>
      <c r="BB349" s="1395" t="str">
        <f t="shared" si="683"/>
        <v>-</v>
      </c>
      <c r="BC349" s="1395" t="str">
        <f t="shared" si="615"/>
        <v>-</v>
      </c>
      <c r="BD349" s="1395" t="str">
        <f t="shared" si="616"/>
        <v>-</v>
      </c>
      <c r="BE349" s="1395" t="str">
        <f t="shared" si="617"/>
        <v>-</v>
      </c>
      <c r="BF349" s="1395" t="str">
        <f t="shared" si="618"/>
        <v>-</v>
      </c>
      <c r="BG349" s="1396" t="str">
        <f t="shared" si="619"/>
        <v>-</v>
      </c>
      <c r="BH349" s="1395" t="str">
        <f t="shared" si="620"/>
        <v>-</v>
      </c>
      <c r="BI349" s="1395" t="str">
        <f t="shared" si="621"/>
        <v>-</v>
      </c>
      <c r="BJ349" s="1395" t="str">
        <f t="shared" si="622"/>
        <v>-</v>
      </c>
      <c r="BK349" s="1395" t="str">
        <f t="shared" si="623"/>
        <v>-</v>
      </c>
      <c r="BL349" s="1397" t="str">
        <f t="shared" si="624"/>
        <v>-</v>
      </c>
      <c r="BM349" s="1395" t="str">
        <f t="shared" si="625"/>
        <v>-</v>
      </c>
      <c r="BN349" s="1395" t="str">
        <f t="shared" si="626"/>
        <v>-</v>
      </c>
      <c r="BO349" s="1395" t="str">
        <f t="shared" si="627"/>
        <v>-</v>
      </c>
      <c r="BP349" s="1395" t="str">
        <f t="shared" si="628"/>
        <v>-</v>
      </c>
      <c r="BQ349" s="1398" t="str">
        <f t="shared" si="629"/>
        <v>-</v>
      </c>
      <c r="BR349" s="1378"/>
      <c r="BS349" s="1329"/>
      <c r="BT349" s="1399"/>
      <c r="BU349" s="1331"/>
      <c r="BV349" s="1400"/>
      <c r="BW349" s="1378"/>
      <c r="BX349" s="1392" t="str">
        <f t="shared" si="630"/>
        <v>Qty</v>
      </c>
      <c r="BY349" s="1393" t="str">
        <f t="shared" si="631"/>
        <v>[Service]</v>
      </c>
      <c r="BZ349" s="1394" t="str">
        <f t="shared" si="632"/>
        <v>[Price]</v>
      </c>
      <c r="CA349" s="1401" t="str">
        <f t="shared" ref="CA349:CR349" si="698">IFERROR((P349/O349-1)*(O350/O$13),"-")</f>
        <v>-</v>
      </c>
      <c r="CB349" s="1395" t="str">
        <f t="shared" si="698"/>
        <v>-</v>
      </c>
      <c r="CC349" s="1395" t="str">
        <f t="shared" si="698"/>
        <v>-</v>
      </c>
      <c r="CD349" s="1395" t="str">
        <f t="shared" si="698"/>
        <v>-</v>
      </c>
      <c r="CE349" s="1395" t="str">
        <f t="shared" si="698"/>
        <v>-</v>
      </c>
      <c r="CF349" s="1395" t="str">
        <f t="shared" si="698"/>
        <v>-</v>
      </c>
      <c r="CG349" s="1395" t="str">
        <f t="shared" si="698"/>
        <v>-</v>
      </c>
      <c r="CH349" s="1397" t="str">
        <f t="shared" si="698"/>
        <v>-</v>
      </c>
      <c r="CI349" s="1395" t="str">
        <f t="shared" si="698"/>
        <v>-</v>
      </c>
      <c r="CJ349" s="1395" t="str">
        <f t="shared" si="698"/>
        <v>-</v>
      </c>
      <c r="CK349" s="1395" t="str">
        <f t="shared" si="698"/>
        <v>-</v>
      </c>
      <c r="CL349" s="1395" t="str">
        <f t="shared" si="698"/>
        <v>-</v>
      </c>
      <c r="CM349" s="1397" t="str">
        <f t="shared" si="698"/>
        <v>-</v>
      </c>
      <c r="CN349" s="1395" t="str">
        <f t="shared" si="698"/>
        <v>-</v>
      </c>
      <c r="CO349" s="1395" t="str">
        <f t="shared" si="698"/>
        <v>-</v>
      </c>
      <c r="CP349" s="1395" t="str">
        <f t="shared" si="698"/>
        <v>-</v>
      </c>
      <c r="CQ349" s="1395" t="str">
        <f t="shared" si="698"/>
        <v>-</v>
      </c>
      <c r="CR349" s="1398" t="str">
        <f t="shared" si="698"/>
        <v>-</v>
      </c>
      <c r="CS349" s="1378"/>
      <c r="CT349" s="1392" t="str">
        <f t="shared" si="609"/>
        <v>Qty</v>
      </c>
      <c r="CU349" s="1393" t="str">
        <f t="shared" si="610"/>
        <v>[Service]</v>
      </c>
      <c r="CV349" s="1393" t="str">
        <f t="shared" si="611"/>
        <v>[Price]</v>
      </c>
      <c r="CW349" s="1401" t="str">
        <f t="shared" si="634"/>
        <v>-</v>
      </c>
      <c r="CX349" s="1395" t="str">
        <f t="shared" si="635"/>
        <v>-</v>
      </c>
      <c r="CY349" s="1395" t="str">
        <f t="shared" si="636"/>
        <v>-</v>
      </c>
      <c r="CZ349" s="1398" t="str">
        <f t="shared" si="637"/>
        <v>-</v>
      </c>
      <c r="DA349" s="1395" t="str">
        <f t="shared" si="638"/>
        <v>-</v>
      </c>
      <c r="DB349" s="1395" t="str">
        <f t="shared" si="639"/>
        <v>-</v>
      </c>
      <c r="DC349" s="1395" t="str">
        <f t="shared" si="640"/>
        <v>-</v>
      </c>
      <c r="DD349" s="1395" t="str">
        <f t="shared" si="641"/>
        <v>-</v>
      </c>
      <c r="DE349" s="1398" t="str">
        <f t="shared" si="642"/>
        <v>-</v>
      </c>
      <c r="DF349" s="1378"/>
      <c r="DG349" s="1392" t="str">
        <f t="shared" si="643"/>
        <v>Qty</v>
      </c>
      <c r="DH349" s="1393" t="str">
        <f t="shared" si="643"/>
        <v>[Service]</v>
      </c>
      <c r="DI349" s="1393" t="str">
        <f t="shared" si="643"/>
        <v>[Price]</v>
      </c>
      <c r="DJ349" s="1393"/>
      <c r="DK349" s="1401" t="str">
        <f t="shared" si="644"/>
        <v>-</v>
      </c>
      <c r="DL349" s="1395" t="str">
        <f t="shared" si="645"/>
        <v>-</v>
      </c>
      <c r="DM349" s="1395" t="str">
        <f t="shared" si="646"/>
        <v>-</v>
      </c>
      <c r="DN349" s="1397" t="str">
        <f t="shared" si="647"/>
        <v>-</v>
      </c>
      <c r="DO349" s="1395" t="str">
        <f t="shared" si="648"/>
        <v>-</v>
      </c>
      <c r="DP349" s="1395" t="str">
        <f t="shared" si="649"/>
        <v>-</v>
      </c>
      <c r="DQ349" s="1395" t="str">
        <f t="shared" si="650"/>
        <v>-</v>
      </c>
      <c r="DR349" s="1398" t="str">
        <f t="shared" si="651"/>
        <v>-</v>
      </c>
    </row>
    <row r="350" spans="4:122" ht="12.75" thickBot="1">
      <c r="E350" s="743" t="s">
        <v>46</v>
      </c>
      <c r="F350" s="732" t="str">
        <f>+F348</f>
        <v>[Service]</v>
      </c>
      <c r="G350" s="733">
        <f>+G348</f>
        <v>0</v>
      </c>
      <c r="H350" s="733">
        <f>+H348</f>
        <v>0</v>
      </c>
      <c r="I350" s="734" t="str">
        <f>+I348</f>
        <v>[Price]</v>
      </c>
      <c r="J350" s="735" t="s">
        <v>344</v>
      </c>
      <c r="K350" s="736">
        <f t="shared" ref="K350:AG350" si="699">K348*K349/10^6</f>
        <v>0</v>
      </c>
      <c r="L350" s="737">
        <f t="shared" si="699"/>
        <v>0</v>
      </c>
      <c r="M350" s="737">
        <f t="shared" si="699"/>
        <v>0</v>
      </c>
      <c r="N350" s="738">
        <f t="shared" si="699"/>
        <v>0</v>
      </c>
      <c r="O350" s="1923">
        <f t="shared" si="699"/>
        <v>0</v>
      </c>
      <c r="P350" s="737">
        <f t="shared" si="699"/>
        <v>0</v>
      </c>
      <c r="Q350" s="737">
        <f t="shared" si="699"/>
        <v>0</v>
      </c>
      <c r="R350" s="737">
        <f t="shared" si="699"/>
        <v>0</v>
      </c>
      <c r="S350" s="737">
        <f t="shared" si="699"/>
        <v>0</v>
      </c>
      <c r="T350" s="737">
        <f t="shared" si="699"/>
        <v>0</v>
      </c>
      <c r="U350" s="737">
        <f t="shared" si="699"/>
        <v>0</v>
      </c>
      <c r="V350" s="737">
        <f t="shared" si="699"/>
        <v>0</v>
      </c>
      <c r="W350" s="737">
        <f t="shared" si="699"/>
        <v>0</v>
      </c>
      <c r="X350" s="738">
        <f t="shared" si="699"/>
        <v>0</v>
      </c>
      <c r="Y350" s="737">
        <f t="shared" si="699"/>
        <v>0</v>
      </c>
      <c r="Z350" s="737">
        <f t="shared" si="699"/>
        <v>0</v>
      </c>
      <c r="AA350" s="737">
        <f t="shared" si="699"/>
        <v>0</v>
      </c>
      <c r="AB350" s="737">
        <f t="shared" si="699"/>
        <v>0</v>
      </c>
      <c r="AC350" s="738">
        <f t="shared" si="699"/>
        <v>0</v>
      </c>
      <c r="AD350" s="737">
        <f t="shared" si="699"/>
        <v>0</v>
      </c>
      <c r="AE350" s="737">
        <f t="shared" si="699"/>
        <v>0</v>
      </c>
      <c r="AF350" s="737">
        <f t="shared" si="699"/>
        <v>0</v>
      </c>
      <c r="AG350" s="739">
        <f t="shared" si="699"/>
        <v>0</v>
      </c>
      <c r="AH350" s="697"/>
      <c r="AI350" s="707"/>
      <c r="AJ350" s="709">
        <f t="shared" si="655"/>
        <v>0</v>
      </c>
      <c r="AK350" s="710">
        <f t="shared" si="656"/>
        <v>0</v>
      </c>
      <c r="AL350" s="710">
        <f t="shared" si="657"/>
        <v>0</v>
      </c>
      <c r="AM350" s="710">
        <f t="shared" si="658"/>
        <v>0</v>
      </c>
      <c r="AN350" s="710">
        <f t="shared" si="659"/>
        <v>0</v>
      </c>
      <c r="AO350" s="711">
        <f t="shared" si="660"/>
        <v>0</v>
      </c>
      <c r="AP350" s="707">
        <f t="shared" si="661"/>
        <v>0</v>
      </c>
      <c r="AQ350" s="707">
        <f t="shared" si="662"/>
        <v>0</v>
      </c>
      <c r="AR350" s="707">
        <f t="shared" si="663"/>
        <v>0</v>
      </c>
      <c r="AS350" s="712">
        <f t="shared" si="664"/>
        <v>0</v>
      </c>
      <c r="AV350" s="1559"/>
      <c r="AW350" s="1428" t="str">
        <f t="shared" si="612"/>
        <v>Rev</v>
      </c>
      <c r="AX350" s="1429" t="str">
        <f t="shared" si="612"/>
        <v>[Service]</v>
      </c>
      <c r="AY350" s="1430" t="str">
        <f t="shared" si="613"/>
        <v>[Price]</v>
      </c>
      <c r="AZ350" s="1431" t="str">
        <f t="shared" si="683"/>
        <v>-</v>
      </c>
      <c r="BA350" s="1431" t="str">
        <f t="shared" si="683"/>
        <v>-</v>
      </c>
      <c r="BB350" s="1431" t="str">
        <f t="shared" si="683"/>
        <v>-</v>
      </c>
      <c r="BC350" s="1431" t="str">
        <f t="shared" si="615"/>
        <v>-</v>
      </c>
      <c r="BD350" s="1431" t="str">
        <f t="shared" si="616"/>
        <v>-</v>
      </c>
      <c r="BE350" s="1431" t="str">
        <f t="shared" si="617"/>
        <v>-</v>
      </c>
      <c r="BF350" s="1431" t="str">
        <f t="shared" si="618"/>
        <v>-</v>
      </c>
      <c r="BG350" s="1432" t="str">
        <f t="shared" si="619"/>
        <v>-</v>
      </c>
      <c r="BH350" s="1431" t="str">
        <f t="shared" si="620"/>
        <v>-</v>
      </c>
      <c r="BI350" s="1431" t="str">
        <f t="shared" si="621"/>
        <v>-</v>
      </c>
      <c r="BJ350" s="1431" t="str">
        <f t="shared" si="622"/>
        <v>-</v>
      </c>
      <c r="BK350" s="1431" t="str">
        <f t="shared" si="623"/>
        <v>-</v>
      </c>
      <c r="BL350" s="1433" t="str">
        <f t="shared" si="624"/>
        <v>-</v>
      </c>
      <c r="BM350" s="1431" t="str">
        <f t="shared" si="625"/>
        <v>-</v>
      </c>
      <c r="BN350" s="1431" t="str">
        <f t="shared" si="626"/>
        <v>-</v>
      </c>
      <c r="BO350" s="1431" t="str">
        <f t="shared" si="627"/>
        <v>-</v>
      </c>
      <c r="BP350" s="1431" t="str">
        <f t="shared" si="628"/>
        <v>-</v>
      </c>
      <c r="BQ350" s="1434" t="str">
        <f t="shared" si="629"/>
        <v>-</v>
      </c>
      <c r="BR350" s="1378"/>
      <c r="BS350" s="1407"/>
      <c r="BT350" s="1408"/>
      <c r="BU350" s="1409"/>
      <c r="BV350" s="1410"/>
      <c r="BW350" s="1378"/>
      <c r="BX350" s="1428" t="str">
        <f t="shared" si="630"/>
        <v>Rev</v>
      </c>
      <c r="BY350" s="1429" t="str">
        <f t="shared" si="631"/>
        <v>[Service]</v>
      </c>
      <c r="BZ350" s="1430" t="str">
        <f t="shared" si="632"/>
        <v>[Price]</v>
      </c>
      <c r="CA350" s="1435" t="str">
        <f t="shared" ref="CA350:CR350" si="700">IFERROR((P350/O350-1)*(O350/O$13),"-")</f>
        <v>-</v>
      </c>
      <c r="CB350" s="1431" t="str">
        <f t="shared" si="700"/>
        <v>-</v>
      </c>
      <c r="CC350" s="1431" t="str">
        <f t="shared" si="700"/>
        <v>-</v>
      </c>
      <c r="CD350" s="1431" t="str">
        <f t="shared" si="700"/>
        <v>-</v>
      </c>
      <c r="CE350" s="1431" t="str">
        <f t="shared" si="700"/>
        <v>-</v>
      </c>
      <c r="CF350" s="1431" t="str">
        <f t="shared" si="700"/>
        <v>-</v>
      </c>
      <c r="CG350" s="1431" t="str">
        <f t="shared" si="700"/>
        <v>-</v>
      </c>
      <c r="CH350" s="1433" t="str">
        <f t="shared" si="700"/>
        <v>-</v>
      </c>
      <c r="CI350" s="1431" t="str">
        <f t="shared" si="700"/>
        <v>-</v>
      </c>
      <c r="CJ350" s="1431" t="str">
        <f t="shared" si="700"/>
        <v>-</v>
      </c>
      <c r="CK350" s="1431" t="str">
        <f t="shared" si="700"/>
        <v>-</v>
      </c>
      <c r="CL350" s="1431" t="str">
        <f t="shared" si="700"/>
        <v>-</v>
      </c>
      <c r="CM350" s="1433" t="str">
        <f t="shared" si="700"/>
        <v>-</v>
      </c>
      <c r="CN350" s="1431" t="str">
        <f t="shared" si="700"/>
        <v>-</v>
      </c>
      <c r="CO350" s="1431" t="str">
        <f t="shared" si="700"/>
        <v>-</v>
      </c>
      <c r="CP350" s="1431" t="str">
        <f t="shared" si="700"/>
        <v>-</v>
      </c>
      <c r="CQ350" s="1431" t="str">
        <f t="shared" si="700"/>
        <v>-</v>
      </c>
      <c r="CR350" s="1434" t="str">
        <f t="shared" si="700"/>
        <v>-</v>
      </c>
      <c r="CS350" s="1378"/>
      <c r="CT350" s="1428" t="str">
        <f t="shared" si="609"/>
        <v>Rev</v>
      </c>
      <c r="CU350" s="1429" t="str">
        <f t="shared" si="610"/>
        <v>[Service]</v>
      </c>
      <c r="CV350" s="1429" t="str">
        <f t="shared" si="611"/>
        <v>[Price]</v>
      </c>
      <c r="CW350" s="1435" t="str">
        <f t="shared" si="634"/>
        <v>-</v>
      </c>
      <c r="CX350" s="1431" t="str">
        <f t="shared" si="635"/>
        <v>-</v>
      </c>
      <c r="CY350" s="1431" t="str">
        <f t="shared" si="636"/>
        <v>-</v>
      </c>
      <c r="CZ350" s="1434" t="str">
        <f t="shared" si="637"/>
        <v>-</v>
      </c>
      <c r="DA350" s="1431" t="str">
        <f t="shared" si="638"/>
        <v>-</v>
      </c>
      <c r="DB350" s="1431" t="str">
        <f t="shared" si="639"/>
        <v>-</v>
      </c>
      <c r="DC350" s="1431" t="str">
        <f t="shared" si="640"/>
        <v>-</v>
      </c>
      <c r="DD350" s="1431" t="str">
        <f t="shared" si="641"/>
        <v>-</v>
      </c>
      <c r="DE350" s="1434" t="str">
        <f t="shared" si="642"/>
        <v>-</v>
      </c>
      <c r="DF350" s="1378"/>
      <c r="DG350" s="1428" t="str">
        <f t="shared" si="643"/>
        <v>Rev</v>
      </c>
      <c r="DH350" s="1429" t="str">
        <f t="shared" si="643"/>
        <v>[Service]</v>
      </c>
      <c r="DI350" s="1429" t="str">
        <f t="shared" si="643"/>
        <v>[Price]</v>
      </c>
      <c r="DJ350" s="1429"/>
      <c r="DK350" s="1435" t="str">
        <f t="shared" si="644"/>
        <v>-</v>
      </c>
      <c r="DL350" s="1431" t="str">
        <f t="shared" si="645"/>
        <v>-</v>
      </c>
      <c r="DM350" s="1431" t="str">
        <f t="shared" si="646"/>
        <v>-</v>
      </c>
      <c r="DN350" s="1433" t="str">
        <f t="shared" si="647"/>
        <v>-</v>
      </c>
      <c r="DO350" s="1431" t="str">
        <f t="shared" si="648"/>
        <v>-</v>
      </c>
      <c r="DP350" s="1431" t="str">
        <f t="shared" si="649"/>
        <v>-</v>
      </c>
      <c r="DQ350" s="1431" t="str">
        <f t="shared" si="650"/>
        <v>-</v>
      </c>
      <c r="DR350" s="1434" t="str">
        <f t="shared" si="651"/>
        <v>-</v>
      </c>
    </row>
    <row r="351" spans="4:122">
      <c r="D351" s="70">
        <f>D348+1</f>
        <v>96</v>
      </c>
      <c r="E351" s="713" t="s">
        <v>44</v>
      </c>
      <c r="F351" s="1532" t="s">
        <v>27</v>
      </c>
      <c r="G351" s="1532"/>
      <c r="H351" s="1532"/>
      <c r="I351" s="781" t="s">
        <v>318</v>
      </c>
      <c r="J351" s="781" t="s">
        <v>345</v>
      </c>
      <c r="K351" s="1533"/>
      <c r="L351" s="1534"/>
      <c r="M351" s="1534"/>
      <c r="N351" s="1535"/>
      <c r="O351" s="2071"/>
      <c r="P351" s="1547"/>
      <c r="Q351" s="1547"/>
      <c r="R351" s="1547"/>
      <c r="S351" s="1547"/>
      <c r="T351" s="1547"/>
      <c r="U351" s="1547"/>
      <c r="V351" s="1547"/>
      <c r="W351" s="1547"/>
      <c r="X351" s="1548"/>
      <c r="Y351" s="1547"/>
      <c r="Z351" s="1547"/>
      <c r="AA351" s="1547"/>
      <c r="AB351" s="1547"/>
      <c r="AC351" s="1548"/>
      <c r="AD351" s="1547"/>
      <c r="AE351" s="1547"/>
      <c r="AF351" s="1547"/>
      <c r="AG351" s="785"/>
      <c r="AH351" s="697"/>
      <c r="AI351" s="707"/>
      <c r="AJ351" s="709">
        <f t="shared" si="655"/>
        <v>0</v>
      </c>
      <c r="AK351" s="710">
        <f t="shared" si="656"/>
        <v>0</v>
      </c>
      <c r="AL351" s="710">
        <f t="shared" si="657"/>
        <v>0</v>
      </c>
      <c r="AM351" s="710">
        <f t="shared" si="658"/>
        <v>0</v>
      </c>
      <c r="AN351" s="710">
        <f t="shared" si="659"/>
        <v>0</v>
      </c>
      <c r="AO351" s="711">
        <f t="shared" si="660"/>
        <v>0</v>
      </c>
      <c r="AP351" s="707">
        <f t="shared" si="661"/>
        <v>0</v>
      </c>
      <c r="AQ351" s="707">
        <f t="shared" si="662"/>
        <v>0</v>
      </c>
      <c r="AR351" s="707">
        <f t="shared" si="663"/>
        <v>0</v>
      </c>
      <c r="AS351" s="712">
        <f t="shared" si="664"/>
        <v>0</v>
      </c>
      <c r="AU351" s="1369"/>
      <c r="AV351" s="1559"/>
      <c r="AW351" s="1412" t="str">
        <f t="shared" si="612"/>
        <v>Price</v>
      </c>
      <c r="AX351" s="1413" t="str">
        <f t="shared" si="612"/>
        <v>[Service]</v>
      </c>
      <c r="AY351" s="1414" t="str">
        <f t="shared" si="613"/>
        <v>[Price]</v>
      </c>
      <c r="AZ351" s="1415" t="str">
        <f t="shared" si="683"/>
        <v>-</v>
      </c>
      <c r="BA351" s="1415" t="str">
        <f t="shared" si="683"/>
        <v>-</v>
      </c>
      <c r="BB351" s="1415" t="str">
        <f t="shared" si="683"/>
        <v>-</v>
      </c>
      <c r="BC351" s="1415" t="str">
        <f t="shared" si="615"/>
        <v>-</v>
      </c>
      <c r="BD351" s="1415" t="str">
        <f t="shared" si="616"/>
        <v>-</v>
      </c>
      <c r="BE351" s="1415" t="str">
        <f t="shared" si="617"/>
        <v>-</v>
      </c>
      <c r="BF351" s="1415" t="str">
        <f t="shared" si="618"/>
        <v>-</v>
      </c>
      <c r="BG351" s="1416" t="str">
        <f t="shared" si="619"/>
        <v>-</v>
      </c>
      <c r="BH351" s="1417" t="str">
        <f t="shared" si="620"/>
        <v>-</v>
      </c>
      <c r="BI351" s="1417" t="str">
        <f t="shared" si="621"/>
        <v>-</v>
      </c>
      <c r="BJ351" s="1417" t="str">
        <f t="shared" si="622"/>
        <v>-</v>
      </c>
      <c r="BK351" s="1417" t="str">
        <f t="shared" si="623"/>
        <v>-</v>
      </c>
      <c r="BL351" s="1418" t="str">
        <f t="shared" si="624"/>
        <v>-</v>
      </c>
      <c r="BM351" s="1417" t="str">
        <f t="shared" si="625"/>
        <v>-</v>
      </c>
      <c r="BN351" s="1417" t="str">
        <f t="shared" si="626"/>
        <v>-</v>
      </c>
      <c r="BO351" s="1417" t="str">
        <f t="shared" si="627"/>
        <v>-</v>
      </c>
      <c r="BP351" s="1417" t="str">
        <f t="shared" si="628"/>
        <v>-</v>
      </c>
      <c r="BQ351" s="1419" t="str">
        <f t="shared" si="629"/>
        <v>-</v>
      </c>
      <c r="BR351" s="1378"/>
      <c r="BS351" s="1420"/>
      <c r="BT351" s="1421"/>
      <c r="BU351" s="1422"/>
      <c r="BV351" s="1423"/>
      <c r="BW351" s="1378"/>
      <c r="BX351" s="1412" t="str">
        <f t="shared" si="630"/>
        <v>Price</v>
      </c>
      <c r="BY351" s="1413" t="str">
        <f t="shared" si="631"/>
        <v>[Service]</v>
      </c>
      <c r="BZ351" s="1414" t="str">
        <f t="shared" si="632"/>
        <v>[Price]</v>
      </c>
      <c r="CA351" s="1424" t="str">
        <f t="shared" ref="CA351:CR351" si="701">IFERROR((P351/O351-1)*(O353/O$13),"-")</f>
        <v>-</v>
      </c>
      <c r="CB351" s="1415" t="str">
        <f t="shared" si="701"/>
        <v>-</v>
      </c>
      <c r="CC351" s="1415" t="str">
        <f t="shared" si="701"/>
        <v>-</v>
      </c>
      <c r="CD351" s="1415" t="str">
        <f t="shared" si="701"/>
        <v>-</v>
      </c>
      <c r="CE351" s="1415" t="str">
        <f t="shared" si="701"/>
        <v>-</v>
      </c>
      <c r="CF351" s="1415" t="str">
        <f t="shared" si="701"/>
        <v>-</v>
      </c>
      <c r="CG351" s="1415" t="str">
        <f t="shared" si="701"/>
        <v>-</v>
      </c>
      <c r="CH351" s="1425" t="str">
        <f t="shared" si="701"/>
        <v>-</v>
      </c>
      <c r="CI351" s="1417" t="str">
        <f t="shared" si="701"/>
        <v>-</v>
      </c>
      <c r="CJ351" s="1417" t="str">
        <f t="shared" si="701"/>
        <v>-</v>
      </c>
      <c r="CK351" s="1417" t="str">
        <f t="shared" si="701"/>
        <v>-</v>
      </c>
      <c r="CL351" s="1417" t="str">
        <f t="shared" si="701"/>
        <v>-</v>
      </c>
      <c r="CM351" s="1418" t="str">
        <f t="shared" si="701"/>
        <v>-</v>
      </c>
      <c r="CN351" s="1417" t="str">
        <f t="shared" si="701"/>
        <v>-</v>
      </c>
      <c r="CO351" s="1417" t="str">
        <f t="shared" si="701"/>
        <v>-</v>
      </c>
      <c r="CP351" s="1417" t="str">
        <f t="shared" si="701"/>
        <v>-</v>
      </c>
      <c r="CQ351" s="1417" t="str">
        <f t="shared" si="701"/>
        <v>-</v>
      </c>
      <c r="CR351" s="1419" t="str">
        <f t="shared" si="701"/>
        <v>-</v>
      </c>
      <c r="CS351" s="1378"/>
      <c r="CT351" s="1412" t="str">
        <f t="shared" si="609"/>
        <v>Price</v>
      </c>
      <c r="CU351" s="1413" t="str">
        <f t="shared" si="610"/>
        <v>[Service]</v>
      </c>
      <c r="CV351" s="1426" t="str">
        <f t="shared" si="611"/>
        <v>[Price]</v>
      </c>
      <c r="CW351" s="1427" t="str">
        <f t="shared" si="634"/>
        <v>-</v>
      </c>
      <c r="CX351" s="1417" t="str">
        <f t="shared" si="635"/>
        <v>-</v>
      </c>
      <c r="CY351" s="1417" t="str">
        <f t="shared" si="636"/>
        <v>-</v>
      </c>
      <c r="CZ351" s="1419" t="str">
        <f t="shared" si="637"/>
        <v>-</v>
      </c>
      <c r="DA351" s="1417" t="str">
        <f t="shared" si="638"/>
        <v>-</v>
      </c>
      <c r="DB351" s="1417" t="str">
        <f t="shared" si="639"/>
        <v>-</v>
      </c>
      <c r="DC351" s="1417" t="str">
        <f t="shared" si="640"/>
        <v>-</v>
      </c>
      <c r="DD351" s="1417" t="str">
        <f t="shared" si="641"/>
        <v>-</v>
      </c>
      <c r="DE351" s="1419" t="str">
        <f t="shared" si="642"/>
        <v>-</v>
      </c>
      <c r="DF351" s="1378"/>
      <c r="DG351" s="1412" t="str">
        <f t="shared" si="643"/>
        <v>Price</v>
      </c>
      <c r="DH351" s="1413" t="str">
        <f t="shared" si="643"/>
        <v>[Service]</v>
      </c>
      <c r="DI351" s="1426" t="str">
        <f t="shared" si="643"/>
        <v>[Price]</v>
      </c>
      <c r="DJ351" s="1426"/>
      <c r="DK351" s="1427" t="str">
        <f t="shared" si="644"/>
        <v>-</v>
      </c>
      <c r="DL351" s="1417" t="str">
        <f t="shared" si="645"/>
        <v>-</v>
      </c>
      <c r="DM351" s="1417" t="str">
        <f t="shared" si="646"/>
        <v>-</v>
      </c>
      <c r="DN351" s="1418" t="str">
        <f t="shared" si="647"/>
        <v>-</v>
      </c>
      <c r="DO351" s="1417" t="str">
        <f t="shared" si="648"/>
        <v>-</v>
      </c>
      <c r="DP351" s="1417" t="str">
        <f t="shared" si="649"/>
        <v>-</v>
      </c>
      <c r="DQ351" s="1417" t="str">
        <f t="shared" si="650"/>
        <v>-</v>
      </c>
      <c r="DR351" s="1419" t="str">
        <f t="shared" si="651"/>
        <v>-</v>
      </c>
    </row>
    <row r="352" spans="4:122">
      <c r="E352" s="742" t="s">
        <v>45</v>
      </c>
      <c r="F352" s="722" t="str">
        <f>+F351</f>
        <v>[Service]</v>
      </c>
      <c r="G352" s="723">
        <f>+G351</f>
        <v>0</v>
      </c>
      <c r="H352" s="723">
        <f>+H351</f>
        <v>0</v>
      </c>
      <c r="I352" s="724" t="str">
        <f>+I351</f>
        <v>[Price]</v>
      </c>
      <c r="J352" s="782" t="s">
        <v>322</v>
      </c>
      <c r="K352" s="1540"/>
      <c r="L352" s="1541"/>
      <c r="M352" s="1541"/>
      <c r="N352" s="1542"/>
      <c r="O352" s="2031"/>
      <c r="P352" s="1543"/>
      <c r="Q352" s="1543"/>
      <c r="R352" s="1543"/>
      <c r="S352" s="1543"/>
      <c r="T352" s="1543"/>
      <c r="U352" s="1543"/>
      <c r="V352" s="1543"/>
      <c r="W352" s="1543"/>
      <c r="X352" s="1544"/>
      <c r="Y352" s="1543"/>
      <c r="Z352" s="1543"/>
      <c r="AA352" s="1543"/>
      <c r="AB352" s="1543"/>
      <c r="AC352" s="1544"/>
      <c r="AD352" s="1543"/>
      <c r="AE352" s="1543"/>
      <c r="AF352" s="1543"/>
      <c r="AG352" s="788"/>
      <c r="AH352" s="697"/>
      <c r="AI352" s="707"/>
      <c r="AJ352" s="709">
        <f t="shared" si="655"/>
        <v>0</v>
      </c>
      <c r="AK352" s="710">
        <f t="shared" si="656"/>
        <v>0</v>
      </c>
      <c r="AL352" s="710">
        <f t="shared" si="657"/>
        <v>0</v>
      </c>
      <c r="AM352" s="710">
        <f t="shared" si="658"/>
        <v>0</v>
      </c>
      <c r="AN352" s="710">
        <f t="shared" si="659"/>
        <v>0</v>
      </c>
      <c r="AO352" s="711">
        <f t="shared" si="660"/>
        <v>0</v>
      </c>
      <c r="AP352" s="707">
        <f t="shared" si="661"/>
        <v>0</v>
      </c>
      <c r="AQ352" s="707">
        <f t="shared" si="662"/>
        <v>0</v>
      </c>
      <c r="AR352" s="707">
        <f t="shared" si="663"/>
        <v>0</v>
      </c>
      <c r="AS352" s="712">
        <f t="shared" si="664"/>
        <v>0</v>
      </c>
      <c r="AV352" s="1559"/>
      <c r="AW352" s="1392" t="str">
        <f t="shared" si="612"/>
        <v>Qty</v>
      </c>
      <c r="AX352" s="1393" t="str">
        <f t="shared" si="612"/>
        <v>[Service]</v>
      </c>
      <c r="AY352" s="1394" t="str">
        <f t="shared" si="613"/>
        <v>[Price]</v>
      </c>
      <c r="AZ352" s="1395" t="str">
        <f t="shared" si="683"/>
        <v>-</v>
      </c>
      <c r="BA352" s="1395" t="str">
        <f t="shared" si="683"/>
        <v>-</v>
      </c>
      <c r="BB352" s="1395" t="str">
        <f t="shared" si="683"/>
        <v>-</v>
      </c>
      <c r="BC352" s="1395" t="str">
        <f t="shared" si="615"/>
        <v>-</v>
      </c>
      <c r="BD352" s="1395" t="str">
        <f t="shared" si="616"/>
        <v>-</v>
      </c>
      <c r="BE352" s="1395" t="str">
        <f t="shared" si="617"/>
        <v>-</v>
      </c>
      <c r="BF352" s="1395" t="str">
        <f t="shared" si="618"/>
        <v>-</v>
      </c>
      <c r="BG352" s="1396" t="str">
        <f t="shared" si="619"/>
        <v>-</v>
      </c>
      <c r="BH352" s="1395" t="str">
        <f t="shared" si="620"/>
        <v>-</v>
      </c>
      <c r="BI352" s="1395" t="str">
        <f t="shared" si="621"/>
        <v>-</v>
      </c>
      <c r="BJ352" s="1395" t="str">
        <f t="shared" si="622"/>
        <v>-</v>
      </c>
      <c r="BK352" s="1395" t="str">
        <f t="shared" si="623"/>
        <v>-</v>
      </c>
      <c r="BL352" s="1397" t="str">
        <f t="shared" si="624"/>
        <v>-</v>
      </c>
      <c r="BM352" s="1395" t="str">
        <f t="shared" si="625"/>
        <v>-</v>
      </c>
      <c r="BN352" s="1395" t="str">
        <f t="shared" si="626"/>
        <v>-</v>
      </c>
      <c r="BO352" s="1395" t="str">
        <f t="shared" si="627"/>
        <v>-</v>
      </c>
      <c r="BP352" s="1395" t="str">
        <f t="shared" si="628"/>
        <v>-</v>
      </c>
      <c r="BQ352" s="1398" t="str">
        <f t="shared" si="629"/>
        <v>-</v>
      </c>
      <c r="BR352" s="1378"/>
      <c r="BS352" s="1329"/>
      <c r="BT352" s="1399"/>
      <c r="BU352" s="1331"/>
      <c r="BV352" s="1400"/>
      <c r="BW352" s="1378"/>
      <c r="BX352" s="1392" t="str">
        <f t="shared" si="630"/>
        <v>Qty</v>
      </c>
      <c r="BY352" s="1393" t="str">
        <f t="shared" si="631"/>
        <v>[Service]</v>
      </c>
      <c r="BZ352" s="1394" t="str">
        <f t="shared" si="632"/>
        <v>[Price]</v>
      </c>
      <c r="CA352" s="1401" t="str">
        <f t="shared" ref="CA352:CR352" si="702">IFERROR((P352/O352-1)*(O353/O$13),"-")</f>
        <v>-</v>
      </c>
      <c r="CB352" s="1395" t="str">
        <f t="shared" si="702"/>
        <v>-</v>
      </c>
      <c r="CC352" s="1395" t="str">
        <f t="shared" si="702"/>
        <v>-</v>
      </c>
      <c r="CD352" s="1395" t="str">
        <f t="shared" si="702"/>
        <v>-</v>
      </c>
      <c r="CE352" s="1395" t="str">
        <f t="shared" si="702"/>
        <v>-</v>
      </c>
      <c r="CF352" s="1395" t="str">
        <f t="shared" si="702"/>
        <v>-</v>
      </c>
      <c r="CG352" s="1395" t="str">
        <f t="shared" si="702"/>
        <v>-</v>
      </c>
      <c r="CH352" s="1397" t="str">
        <f t="shared" si="702"/>
        <v>-</v>
      </c>
      <c r="CI352" s="1395" t="str">
        <f t="shared" si="702"/>
        <v>-</v>
      </c>
      <c r="CJ352" s="1395" t="str">
        <f t="shared" si="702"/>
        <v>-</v>
      </c>
      <c r="CK352" s="1395" t="str">
        <f t="shared" si="702"/>
        <v>-</v>
      </c>
      <c r="CL352" s="1395" t="str">
        <f t="shared" si="702"/>
        <v>-</v>
      </c>
      <c r="CM352" s="1397" t="str">
        <f t="shared" si="702"/>
        <v>-</v>
      </c>
      <c r="CN352" s="1395" t="str">
        <f t="shared" si="702"/>
        <v>-</v>
      </c>
      <c r="CO352" s="1395" t="str">
        <f t="shared" si="702"/>
        <v>-</v>
      </c>
      <c r="CP352" s="1395" t="str">
        <f t="shared" si="702"/>
        <v>-</v>
      </c>
      <c r="CQ352" s="1395" t="str">
        <f t="shared" si="702"/>
        <v>-</v>
      </c>
      <c r="CR352" s="1398" t="str">
        <f t="shared" si="702"/>
        <v>-</v>
      </c>
      <c r="CS352" s="1378"/>
      <c r="CT352" s="1392" t="str">
        <f t="shared" si="609"/>
        <v>Qty</v>
      </c>
      <c r="CU352" s="1393" t="str">
        <f t="shared" si="610"/>
        <v>[Service]</v>
      </c>
      <c r="CV352" s="1393" t="str">
        <f t="shared" si="611"/>
        <v>[Price]</v>
      </c>
      <c r="CW352" s="1401" t="str">
        <f t="shared" si="634"/>
        <v>-</v>
      </c>
      <c r="CX352" s="1395" t="str">
        <f t="shared" si="635"/>
        <v>-</v>
      </c>
      <c r="CY352" s="1395" t="str">
        <f t="shared" si="636"/>
        <v>-</v>
      </c>
      <c r="CZ352" s="1398" t="str">
        <f t="shared" si="637"/>
        <v>-</v>
      </c>
      <c r="DA352" s="1395" t="str">
        <f t="shared" si="638"/>
        <v>-</v>
      </c>
      <c r="DB352" s="1395" t="str">
        <f t="shared" si="639"/>
        <v>-</v>
      </c>
      <c r="DC352" s="1395" t="str">
        <f t="shared" si="640"/>
        <v>-</v>
      </c>
      <c r="DD352" s="1395" t="str">
        <f t="shared" si="641"/>
        <v>-</v>
      </c>
      <c r="DE352" s="1398" t="str">
        <f t="shared" si="642"/>
        <v>-</v>
      </c>
      <c r="DF352" s="1378"/>
      <c r="DG352" s="1392" t="str">
        <f t="shared" si="643"/>
        <v>Qty</v>
      </c>
      <c r="DH352" s="1393" t="str">
        <f t="shared" si="643"/>
        <v>[Service]</v>
      </c>
      <c r="DI352" s="1393" t="str">
        <f t="shared" si="643"/>
        <v>[Price]</v>
      </c>
      <c r="DJ352" s="1393"/>
      <c r="DK352" s="1401" t="str">
        <f t="shared" si="644"/>
        <v>-</v>
      </c>
      <c r="DL352" s="1395" t="str">
        <f t="shared" si="645"/>
        <v>-</v>
      </c>
      <c r="DM352" s="1395" t="str">
        <f t="shared" si="646"/>
        <v>-</v>
      </c>
      <c r="DN352" s="1397" t="str">
        <f t="shared" si="647"/>
        <v>-</v>
      </c>
      <c r="DO352" s="1395" t="str">
        <f t="shared" si="648"/>
        <v>-</v>
      </c>
      <c r="DP352" s="1395" t="str">
        <f t="shared" si="649"/>
        <v>-</v>
      </c>
      <c r="DQ352" s="1395" t="str">
        <f t="shared" si="650"/>
        <v>-</v>
      </c>
      <c r="DR352" s="1398" t="str">
        <f t="shared" si="651"/>
        <v>-</v>
      </c>
    </row>
    <row r="353" spans="4:122" ht="12.75" thickBot="1">
      <c r="E353" s="743" t="s">
        <v>46</v>
      </c>
      <c r="F353" s="732" t="str">
        <f>+F351</f>
        <v>[Service]</v>
      </c>
      <c r="G353" s="733">
        <f>+G351</f>
        <v>0</v>
      </c>
      <c r="H353" s="733">
        <f>+H351</f>
        <v>0</v>
      </c>
      <c r="I353" s="734" t="str">
        <f>+I351</f>
        <v>[Price]</v>
      </c>
      <c r="J353" s="735" t="s">
        <v>344</v>
      </c>
      <c r="K353" s="736">
        <f t="shared" ref="K353:AG353" si="703">K351*K352/10^6</f>
        <v>0</v>
      </c>
      <c r="L353" s="737">
        <f t="shared" si="703"/>
        <v>0</v>
      </c>
      <c r="M353" s="737">
        <f t="shared" si="703"/>
        <v>0</v>
      </c>
      <c r="N353" s="738">
        <f t="shared" si="703"/>
        <v>0</v>
      </c>
      <c r="O353" s="1923">
        <f t="shared" si="703"/>
        <v>0</v>
      </c>
      <c r="P353" s="737">
        <f t="shared" si="703"/>
        <v>0</v>
      </c>
      <c r="Q353" s="737">
        <f t="shared" si="703"/>
        <v>0</v>
      </c>
      <c r="R353" s="737">
        <f t="shared" si="703"/>
        <v>0</v>
      </c>
      <c r="S353" s="737">
        <f t="shared" si="703"/>
        <v>0</v>
      </c>
      <c r="T353" s="737">
        <f t="shared" si="703"/>
        <v>0</v>
      </c>
      <c r="U353" s="737">
        <f t="shared" si="703"/>
        <v>0</v>
      </c>
      <c r="V353" s="737">
        <f t="shared" si="703"/>
        <v>0</v>
      </c>
      <c r="W353" s="737">
        <f t="shared" si="703"/>
        <v>0</v>
      </c>
      <c r="X353" s="738">
        <f t="shared" si="703"/>
        <v>0</v>
      </c>
      <c r="Y353" s="737">
        <f t="shared" si="703"/>
        <v>0</v>
      </c>
      <c r="Z353" s="737">
        <f t="shared" si="703"/>
        <v>0</v>
      </c>
      <c r="AA353" s="737">
        <f t="shared" si="703"/>
        <v>0</v>
      </c>
      <c r="AB353" s="737">
        <f t="shared" si="703"/>
        <v>0</v>
      </c>
      <c r="AC353" s="738">
        <f t="shared" si="703"/>
        <v>0</v>
      </c>
      <c r="AD353" s="737">
        <f t="shared" si="703"/>
        <v>0</v>
      </c>
      <c r="AE353" s="737">
        <f t="shared" si="703"/>
        <v>0</v>
      </c>
      <c r="AF353" s="737">
        <f t="shared" si="703"/>
        <v>0</v>
      </c>
      <c r="AG353" s="739">
        <f t="shared" si="703"/>
        <v>0</v>
      </c>
      <c r="AH353" s="697"/>
      <c r="AI353" s="707"/>
      <c r="AJ353" s="709">
        <f t="shared" si="655"/>
        <v>0</v>
      </c>
      <c r="AK353" s="710">
        <f t="shared" si="656"/>
        <v>0</v>
      </c>
      <c r="AL353" s="710">
        <f t="shared" si="657"/>
        <v>0</v>
      </c>
      <c r="AM353" s="710">
        <f t="shared" si="658"/>
        <v>0</v>
      </c>
      <c r="AN353" s="710">
        <f t="shared" si="659"/>
        <v>0</v>
      </c>
      <c r="AO353" s="711">
        <f t="shared" si="660"/>
        <v>0</v>
      </c>
      <c r="AP353" s="707">
        <f t="shared" si="661"/>
        <v>0</v>
      </c>
      <c r="AQ353" s="707">
        <f t="shared" si="662"/>
        <v>0</v>
      </c>
      <c r="AR353" s="707">
        <f t="shared" si="663"/>
        <v>0</v>
      </c>
      <c r="AS353" s="712">
        <f t="shared" si="664"/>
        <v>0</v>
      </c>
      <c r="AV353" s="1559"/>
      <c r="AW353" s="1428" t="str">
        <f t="shared" si="612"/>
        <v>Rev</v>
      </c>
      <c r="AX353" s="1429" t="str">
        <f t="shared" si="612"/>
        <v>[Service]</v>
      </c>
      <c r="AY353" s="1430" t="str">
        <f t="shared" si="613"/>
        <v>[Price]</v>
      </c>
      <c r="AZ353" s="1431" t="str">
        <f t="shared" si="683"/>
        <v>-</v>
      </c>
      <c r="BA353" s="1431" t="str">
        <f t="shared" si="683"/>
        <v>-</v>
      </c>
      <c r="BB353" s="1431" t="str">
        <f t="shared" si="683"/>
        <v>-</v>
      </c>
      <c r="BC353" s="1431" t="str">
        <f t="shared" si="615"/>
        <v>-</v>
      </c>
      <c r="BD353" s="1431" t="str">
        <f t="shared" si="616"/>
        <v>-</v>
      </c>
      <c r="BE353" s="1431" t="str">
        <f t="shared" si="617"/>
        <v>-</v>
      </c>
      <c r="BF353" s="1431" t="str">
        <f t="shared" si="618"/>
        <v>-</v>
      </c>
      <c r="BG353" s="1432" t="str">
        <f t="shared" si="619"/>
        <v>-</v>
      </c>
      <c r="BH353" s="1431" t="str">
        <f t="shared" si="620"/>
        <v>-</v>
      </c>
      <c r="BI353" s="1431" t="str">
        <f t="shared" si="621"/>
        <v>-</v>
      </c>
      <c r="BJ353" s="1431" t="str">
        <f t="shared" si="622"/>
        <v>-</v>
      </c>
      <c r="BK353" s="1431" t="str">
        <f t="shared" si="623"/>
        <v>-</v>
      </c>
      <c r="BL353" s="1433" t="str">
        <f t="shared" si="624"/>
        <v>-</v>
      </c>
      <c r="BM353" s="1431" t="str">
        <f t="shared" si="625"/>
        <v>-</v>
      </c>
      <c r="BN353" s="1431" t="str">
        <f t="shared" si="626"/>
        <v>-</v>
      </c>
      <c r="BO353" s="1431" t="str">
        <f t="shared" si="627"/>
        <v>-</v>
      </c>
      <c r="BP353" s="1431" t="str">
        <f t="shared" si="628"/>
        <v>-</v>
      </c>
      <c r="BQ353" s="1434" t="str">
        <f t="shared" si="629"/>
        <v>-</v>
      </c>
      <c r="BR353" s="1378"/>
      <c r="BS353" s="1407"/>
      <c r="BT353" s="1408"/>
      <c r="BU353" s="1409"/>
      <c r="BV353" s="1410"/>
      <c r="BW353" s="1378"/>
      <c r="BX353" s="1428" t="str">
        <f t="shared" si="630"/>
        <v>Rev</v>
      </c>
      <c r="BY353" s="1429" t="str">
        <f t="shared" si="631"/>
        <v>[Service]</v>
      </c>
      <c r="BZ353" s="1430" t="str">
        <f t="shared" si="632"/>
        <v>[Price]</v>
      </c>
      <c r="CA353" s="1435" t="str">
        <f t="shared" ref="CA353:CR353" si="704">IFERROR((P353/O353-1)*(O353/O$13),"-")</f>
        <v>-</v>
      </c>
      <c r="CB353" s="1431" t="str">
        <f t="shared" si="704"/>
        <v>-</v>
      </c>
      <c r="CC353" s="1431" t="str">
        <f t="shared" si="704"/>
        <v>-</v>
      </c>
      <c r="CD353" s="1431" t="str">
        <f t="shared" si="704"/>
        <v>-</v>
      </c>
      <c r="CE353" s="1431" t="str">
        <f t="shared" si="704"/>
        <v>-</v>
      </c>
      <c r="CF353" s="1431" t="str">
        <f t="shared" si="704"/>
        <v>-</v>
      </c>
      <c r="CG353" s="1431" t="str">
        <f t="shared" si="704"/>
        <v>-</v>
      </c>
      <c r="CH353" s="1433" t="str">
        <f t="shared" si="704"/>
        <v>-</v>
      </c>
      <c r="CI353" s="1431" t="str">
        <f t="shared" si="704"/>
        <v>-</v>
      </c>
      <c r="CJ353" s="1431" t="str">
        <f t="shared" si="704"/>
        <v>-</v>
      </c>
      <c r="CK353" s="1431" t="str">
        <f t="shared" si="704"/>
        <v>-</v>
      </c>
      <c r="CL353" s="1431" t="str">
        <f t="shared" si="704"/>
        <v>-</v>
      </c>
      <c r="CM353" s="1433" t="str">
        <f t="shared" si="704"/>
        <v>-</v>
      </c>
      <c r="CN353" s="1431" t="str">
        <f t="shared" si="704"/>
        <v>-</v>
      </c>
      <c r="CO353" s="1431" t="str">
        <f t="shared" si="704"/>
        <v>-</v>
      </c>
      <c r="CP353" s="1431" t="str">
        <f t="shared" si="704"/>
        <v>-</v>
      </c>
      <c r="CQ353" s="1431" t="str">
        <f t="shared" si="704"/>
        <v>-</v>
      </c>
      <c r="CR353" s="1434" t="str">
        <f t="shared" si="704"/>
        <v>-</v>
      </c>
      <c r="CS353" s="1378"/>
      <c r="CT353" s="1428" t="str">
        <f t="shared" si="609"/>
        <v>Rev</v>
      </c>
      <c r="CU353" s="1429" t="str">
        <f t="shared" si="610"/>
        <v>[Service]</v>
      </c>
      <c r="CV353" s="1429" t="str">
        <f t="shared" si="611"/>
        <v>[Price]</v>
      </c>
      <c r="CW353" s="1435" t="str">
        <f t="shared" si="634"/>
        <v>-</v>
      </c>
      <c r="CX353" s="1431" t="str">
        <f t="shared" si="635"/>
        <v>-</v>
      </c>
      <c r="CY353" s="1431" t="str">
        <f t="shared" si="636"/>
        <v>-</v>
      </c>
      <c r="CZ353" s="1434" t="str">
        <f t="shared" si="637"/>
        <v>-</v>
      </c>
      <c r="DA353" s="1431" t="str">
        <f t="shared" si="638"/>
        <v>-</v>
      </c>
      <c r="DB353" s="1431" t="str">
        <f t="shared" si="639"/>
        <v>-</v>
      </c>
      <c r="DC353" s="1431" t="str">
        <f t="shared" si="640"/>
        <v>-</v>
      </c>
      <c r="DD353" s="1431" t="str">
        <f t="shared" si="641"/>
        <v>-</v>
      </c>
      <c r="DE353" s="1434" t="str">
        <f t="shared" si="642"/>
        <v>-</v>
      </c>
      <c r="DF353" s="1378"/>
      <c r="DG353" s="1428" t="str">
        <f t="shared" si="643"/>
        <v>Rev</v>
      </c>
      <c r="DH353" s="1429" t="str">
        <f t="shared" si="643"/>
        <v>[Service]</v>
      </c>
      <c r="DI353" s="1429" t="str">
        <f t="shared" si="643"/>
        <v>[Price]</v>
      </c>
      <c r="DJ353" s="1429"/>
      <c r="DK353" s="1435" t="str">
        <f t="shared" si="644"/>
        <v>-</v>
      </c>
      <c r="DL353" s="1431" t="str">
        <f t="shared" si="645"/>
        <v>-</v>
      </c>
      <c r="DM353" s="1431" t="str">
        <f t="shared" si="646"/>
        <v>-</v>
      </c>
      <c r="DN353" s="1433" t="str">
        <f t="shared" si="647"/>
        <v>-</v>
      </c>
      <c r="DO353" s="1431" t="str">
        <f t="shared" si="648"/>
        <v>-</v>
      </c>
      <c r="DP353" s="1431" t="str">
        <f t="shared" si="649"/>
        <v>-</v>
      </c>
      <c r="DQ353" s="1431" t="str">
        <f t="shared" si="650"/>
        <v>-</v>
      </c>
      <c r="DR353" s="1434" t="str">
        <f t="shared" si="651"/>
        <v>-</v>
      </c>
    </row>
    <row r="354" spans="4:122">
      <c r="D354" s="70">
        <f>D351+1</f>
        <v>97</v>
      </c>
      <c r="E354" s="713" t="s">
        <v>44</v>
      </c>
      <c r="F354" s="1532" t="s">
        <v>27</v>
      </c>
      <c r="G354" s="1532"/>
      <c r="H354" s="1532"/>
      <c r="I354" s="781" t="s">
        <v>318</v>
      </c>
      <c r="J354" s="781" t="s">
        <v>345</v>
      </c>
      <c r="K354" s="1533"/>
      <c r="L354" s="1534"/>
      <c r="M354" s="1534"/>
      <c r="N354" s="1535"/>
      <c r="O354" s="2071"/>
      <c r="P354" s="1547"/>
      <c r="Q354" s="1547"/>
      <c r="R354" s="1547"/>
      <c r="S354" s="1547"/>
      <c r="T354" s="1547"/>
      <c r="U354" s="1547"/>
      <c r="V354" s="1547"/>
      <c r="W354" s="1547"/>
      <c r="X354" s="1548"/>
      <c r="Y354" s="1547"/>
      <c r="Z354" s="1547"/>
      <c r="AA354" s="1547"/>
      <c r="AB354" s="1547"/>
      <c r="AC354" s="1548"/>
      <c r="AD354" s="1547"/>
      <c r="AE354" s="1547"/>
      <c r="AF354" s="1547"/>
      <c r="AG354" s="785"/>
      <c r="AH354" s="697"/>
      <c r="AI354" s="707"/>
      <c r="AJ354" s="709">
        <f t="shared" si="655"/>
        <v>0</v>
      </c>
      <c r="AK354" s="710">
        <f t="shared" si="656"/>
        <v>0</v>
      </c>
      <c r="AL354" s="710">
        <f t="shared" si="657"/>
        <v>0</v>
      </c>
      <c r="AM354" s="710">
        <f t="shared" si="658"/>
        <v>0</v>
      </c>
      <c r="AN354" s="710">
        <f t="shared" si="659"/>
        <v>0</v>
      </c>
      <c r="AO354" s="711">
        <f t="shared" si="660"/>
        <v>0</v>
      </c>
      <c r="AP354" s="707">
        <f t="shared" si="661"/>
        <v>0</v>
      </c>
      <c r="AQ354" s="707">
        <f t="shared" si="662"/>
        <v>0</v>
      </c>
      <c r="AR354" s="707">
        <f t="shared" si="663"/>
        <v>0</v>
      </c>
      <c r="AS354" s="712">
        <f t="shared" si="664"/>
        <v>0</v>
      </c>
      <c r="AU354" s="1369"/>
      <c r="AV354" s="1559"/>
      <c r="AW354" s="1412" t="str">
        <f t="shared" si="612"/>
        <v>Price</v>
      </c>
      <c r="AX354" s="1413" t="str">
        <f t="shared" si="612"/>
        <v>[Service]</v>
      </c>
      <c r="AY354" s="1414" t="str">
        <f t="shared" si="613"/>
        <v>[Price]</v>
      </c>
      <c r="AZ354" s="1415" t="str">
        <f t="shared" ref="AZ354:BB369" si="705">IFERROR(P354/O354-1,"-")</f>
        <v>-</v>
      </c>
      <c r="BA354" s="1415" t="str">
        <f t="shared" si="705"/>
        <v>-</v>
      </c>
      <c r="BB354" s="1415" t="str">
        <f t="shared" si="705"/>
        <v>-</v>
      </c>
      <c r="BC354" s="1415" t="str">
        <f t="shared" si="615"/>
        <v>-</v>
      </c>
      <c r="BD354" s="1415" t="str">
        <f t="shared" si="616"/>
        <v>-</v>
      </c>
      <c r="BE354" s="1415" t="str">
        <f t="shared" si="617"/>
        <v>-</v>
      </c>
      <c r="BF354" s="1415" t="str">
        <f t="shared" si="618"/>
        <v>-</v>
      </c>
      <c r="BG354" s="1416" t="str">
        <f t="shared" si="619"/>
        <v>-</v>
      </c>
      <c r="BH354" s="1417" t="str">
        <f t="shared" si="620"/>
        <v>-</v>
      </c>
      <c r="BI354" s="1417" t="str">
        <f t="shared" si="621"/>
        <v>-</v>
      </c>
      <c r="BJ354" s="1417" t="str">
        <f t="shared" si="622"/>
        <v>-</v>
      </c>
      <c r="BK354" s="1417" t="str">
        <f t="shared" si="623"/>
        <v>-</v>
      </c>
      <c r="BL354" s="1418" t="str">
        <f t="shared" si="624"/>
        <v>-</v>
      </c>
      <c r="BM354" s="1417" t="str">
        <f t="shared" si="625"/>
        <v>-</v>
      </c>
      <c r="BN354" s="1417" t="str">
        <f t="shared" si="626"/>
        <v>-</v>
      </c>
      <c r="BO354" s="1417" t="str">
        <f t="shared" si="627"/>
        <v>-</v>
      </c>
      <c r="BP354" s="1417" t="str">
        <f t="shared" si="628"/>
        <v>-</v>
      </c>
      <c r="BQ354" s="1419" t="str">
        <f t="shared" si="629"/>
        <v>-</v>
      </c>
      <c r="BR354" s="1378"/>
      <c r="BS354" s="1420"/>
      <c r="BT354" s="1421"/>
      <c r="BU354" s="1422"/>
      <c r="BV354" s="1423"/>
      <c r="BW354" s="1378"/>
      <c r="BX354" s="1412" t="str">
        <f t="shared" si="630"/>
        <v>Price</v>
      </c>
      <c r="BY354" s="1413" t="str">
        <f t="shared" si="631"/>
        <v>[Service]</v>
      </c>
      <c r="BZ354" s="1414" t="str">
        <f t="shared" si="632"/>
        <v>[Price]</v>
      </c>
      <c r="CA354" s="1424" t="str">
        <f t="shared" ref="CA354:CR354" si="706">IFERROR((P354/O354-1)*(O356/O$13),"-")</f>
        <v>-</v>
      </c>
      <c r="CB354" s="1415" t="str">
        <f t="shared" si="706"/>
        <v>-</v>
      </c>
      <c r="CC354" s="1415" t="str">
        <f t="shared" si="706"/>
        <v>-</v>
      </c>
      <c r="CD354" s="1415" t="str">
        <f t="shared" si="706"/>
        <v>-</v>
      </c>
      <c r="CE354" s="1415" t="str">
        <f t="shared" si="706"/>
        <v>-</v>
      </c>
      <c r="CF354" s="1415" t="str">
        <f t="shared" si="706"/>
        <v>-</v>
      </c>
      <c r="CG354" s="1415" t="str">
        <f t="shared" si="706"/>
        <v>-</v>
      </c>
      <c r="CH354" s="1425" t="str">
        <f t="shared" si="706"/>
        <v>-</v>
      </c>
      <c r="CI354" s="1417" t="str">
        <f t="shared" si="706"/>
        <v>-</v>
      </c>
      <c r="CJ354" s="1417" t="str">
        <f t="shared" si="706"/>
        <v>-</v>
      </c>
      <c r="CK354" s="1417" t="str">
        <f t="shared" si="706"/>
        <v>-</v>
      </c>
      <c r="CL354" s="1417" t="str">
        <f t="shared" si="706"/>
        <v>-</v>
      </c>
      <c r="CM354" s="1418" t="str">
        <f t="shared" si="706"/>
        <v>-</v>
      </c>
      <c r="CN354" s="1417" t="str">
        <f t="shared" si="706"/>
        <v>-</v>
      </c>
      <c r="CO354" s="1417" t="str">
        <f t="shared" si="706"/>
        <v>-</v>
      </c>
      <c r="CP354" s="1417" t="str">
        <f t="shared" si="706"/>
        <v>-</v>
      </c>
      <c r="CQ354" s="1417" t="str">
        <f t="shared" si="706"/>
        <v>-</v>
      </c>
      <c r="CR354" s="1419" t="str">
        <f t="shared" si="706"/>
        <v>-</v>
      </c>
      <c r="CS354" s="1378"/>
      <c r="CT354" s="1412" t="str">
        <f t="shared" si="609"/>
        <v>Price</v>
      </c>
      <c r="CU354" s="1413" t="str">
        <f t="shared" si="610"/>
        <v>[Service]</v>
      </c>
      <c r="CV354" s="1426" t="str">
        <f t="shared" si="611"/>
        <v>[Price]</v>
      </c>
      <c r="CW354" s="1427" t="str">
        <f t="shared" si="634"/>
        <v>-</v>
      </c>
      <c r="CX354" s="1417" t="str">
        <f t="shared" si="635"/>
        <v>-</v>
      </c>
      <c r="CY354" s="1417" t="str">
        <f t="shared" si="636"/>
        <v>-</v>
      </c>
      <c r="CZ354" s="1419" t="str">
        <f t="shared" si="637"/>
        <v>-</v>
      </c>
      <c r="DA354" s="1417" t="str">
        <f t="shared" si="638"/>
        <v>-</v>
      </c>
      <c r="DB354" s="1417" t="str">
        <f t="shared" si="639"/>
        <v>-</v>
      </c>
      <c r="DC354" s="1417" t="str">
        <f t="shared" si="640"/>
        <v>-</v>
      </c>
      <c r="DD354" s="1417" t="str">
        <f t="shared" si="641"/>
        <v>-</v>
      </c>
      <c r="DE354" s="1419" t="str">
        <f t="shared" si="642"/>
        <v>-</v>
      </c>
      <c r="DF354" s="1378"/>
      <c r="DG354" s="1412" t="str">
        <f t="shared" si="643"/>
        <v>Price</v>
      </c>
      <c r="DH354" s="1413" t="str">
        <f t="shared" si="643"/>
        <v>[Service]</v>
      </c>
      <c r="DI354" s="1426" t="str">
        <f t="shared" si="643"/>
        <v>[Price]</v>
      </c>
      <c r="DJ354" s="1426"/>
      <c r="DK354" s="1427" t="str">
        <f t="shared" si="644"/>
        <v>-</v>
      </c>
      <c r="DL354" s="1417" t="str">
        <f t="shared" si="645"/>
        <v>-</v>
      </c>
      <c r="DM354" s="1417" t="str">
        <f t="shared" si="646"/>
        <v>-</v>
      </c>
      <c r="DN354" s="1418" t="str">
        <f t="shared" si="647"/>
        <v>-</v>
      </c>
      <c r="DO354" s="1417" t="str">
        <f t="shared" si="648"/>
        <v>-</v>
      </c>
      <c r="DP354" s="1417" t="str">
        <f t="shared" si="649"/>
        <v>-</v>
      </c>
      <c r="DQ354" s="1417" t="str">
        <f t="shared" si="650"/>
        <v>-</v>
      </c>
      <c r="DR354" s="1419" t="str">
        <f t="shared" si="651"/>
        <v>-</v>
      </c>
    </row>
    <row r="355" spans="4:122">
      <c r="E355" s="742" t="s">
        <v>45</v>
      </c>
      <c r="F355" s="722" t="str">
        <f>+F354</f>
        <v>[Service]</v>
      </c>
      <c r="G355" s="723">
        <f>+G354</f>
        <v>0</v>
      </c>
      <c r="H355" s="723">
        <f>+H354</f>
        <v>0</v>
      </c>
      <c r="I355" s="724" t="str">
        <f>+I354</f>
        <v>[Price]</v>
      </c>
      <c r="J355" s="782" t="s">
        <v>322</v>
      </c>
      <c r="K355" s="1540"/>
      <c r="L355" s="1541"/>
      <c r="M355" s="1541"/>
      <c r="N355" s="1542"/>
      <c r="O355" s="2031"/>
      <c r="P355" s="1543"/>
      <c r="Q355" s="1543"/>
      <c r="R355" s="1543"/>
      <c r="S355" s="1543"/>
      <c r="T355" s="1543"/>
      <c r="U355" s="1543"/>
      <c r="V355" s="1543"/>
      <c r="W355" s="1543"/>
      <c r="X355" s="1544"/>
      <c r="Y355" s="1543"/>
      <c r="Z355" s="1543"/>
      <c r="AA355" s="1543"/>
      <c r="AB355" s="1543"/>
      <c r="AC355" s="1544"/>
      <c r="AD355" s="1543"/>
      <c r="AE355" s="1543"/>
      <c r="AF355" s="1543"/>
      <c r="AG355" s="788"/>
      <c r="AH355" s="697"/>
      <c r="AI355" s="707"/>
      <c r="AJ355" s="709">
        <f t="shared" si="655"/>
        <v>0</v>
      </c>
      <c r="AK355" s="710">
        <f t="shared" si="656"/>
        <v>0</v>
      </c>
      <c r="AL355" s="710">
        <f t="shared" si="657"/>
        <v>0</v>
      </c>
      <c r="AM355" s="710">
        <f t="shared" si="658"/>
        <v>0</v>
      </c>
      <c r="AN355" s="710">
        <f t="shared" si="659"/>
        <v>0</v>
      </c>
      <c r="AO355" s="711">
        <f t="shared" si="660"/>
        <v>0</v>
      </c>
      <c r="AP355" s="707">
        <f t="shared" si="661"/>
        <v>0</v>
      </c>
      <c r="AQ355" s="707">
        <f t="shared" si="662"/>
        <v>0</v>
      </c>
      <c r="AR355" s="707">
        <f t="shared" si="663"/>
        <v>0</v>
      </c>
      <c r="AS355" s="712">
        <f t="shared" si="664"/>
        <v>0</v>
      </c>
      <c r="AV355" s="1559"/>
      <c r="AW355" s="1392" t="str">
        <f t="shared" si="612"/>
        <v>Qty</v>
      </c>
      <c r="AX355" s="1393" t="str">
        <f t="shared" si="612"/>
        <v>[Service]</v>
      </c>
      <c r="AY355" s="1394" t="str">
        <f t="shared" si="613"/>
        <v>[Price]</v>
      </c>
      <c r="AZ355" s="1395" t="str">
        <f t="shared" si="705"/>
        <v>-</v>
      </c>
      <c r="BA355" s="1395" t="str">
        <f t="shared" si="705"/>
        <v>-</v>
      </c>
      <c r="BB355" s="1395" t="str">
        <f t="shared" si="705"/>
        <v>-</v>
      </c>
      <c r="BC355" s="1395" t="str">
        <f t="shared" si="615"/>
        <v>-</v>
      </c>
      <c r="BD355" s="1395" t="str">
        <f t="shared" si="616"/>
        <v>-</v>
      </c>
      <c r="BE355" s="1395" t="str">
        <f t="shared" si="617"/>
        <v>-</v>
      </c>
      <c r="BF355" s="1395" t="str">
        <f t="shared" si="618"/>
        <v>-</v>
      </c>
      <c r="BG355" s="1396" t="str">
        <f t="shared" si="619"/>
        <v>-</v>
      </c>
      <c r="BH355" s="1395" t="str">
        <f t="shared" si="620"/>
        <v>-</v>
      </c>
      <c r="BI355" s="1395" t="str">
        <f t="shared" si="621"/>
        <v>-</v>
      </c>
      <c r="BJ355" s="1395" t="str">
        <f t="shared" si="622"/>
        <v>-</v>
      </c>
      <c r="BK355" s="1395" t="str">
        <f t="shared" si="623"/>
        <v>-</v>
      </c>
      <c r="BL355" s="1397" t="str">
        <f t="shared" si="624"/>
        <v>-</v>
      </c>
      <c r="BM355" s="1395" t="str">
        <f t="shared" si="625"/>
        <v>-</v>
      </c>
      <c r="BN355" s="1395" t="str">
        <f t="shared" si="626"/>
        <v>-</v>
      </c>
      <c r="BO355" s="1395" t="str">
        <f t="shared" si="627"/>
        <v>-</v>
      </c>
      <c r="BP355" s="1395" t="str">
        <f t="shared" si="628"/>
        <v>-</v>
      </c>
      <c r="BQ355" s="1398" t="str">
        <f t="shared" si="629"/>
        <v>-</v>
      </c>
      <c r="BR355" s="1378"/>
      <c r="BS355" s="1329"/>
      <c r="BT355" s="1399"/>
      <c r="BU355" s="1331"/>
      <c r="BV355" s="1400"/>
      <c r="BW355" s="1378"/>
      <c r="BX355" s="1392" t="str">
        <f t="shared" si="630"/>
        <v>Qty</v>
      </c>
      <c r="BY355" s="1393" t="str">
        <f t="shared" si="631"/>
        <v>[Service]</v>
      </c>
      <c r="BZ355" s="1394" t="str">
        <f t="shared" si="632"/>
        <v>[Price]</v>
      </c>
      <c r="CA355" s="1401" t="str">
        <f t="shared" ref="CA355:CR355" si="707">IFERROR((P355/O355-1)*(O356/O$13),"-")</f>
        <v>-</v>
      </c>
      <c r="CB355" s="1395" t="str">
        <f t="shared" si="707"/>
        <v>-</v>
      </c>
      <c r="CC355" s="1395" t="str">
        <f t="shared" si="707"/>
        <v>-</v>
      </c>
      <c r="CD355" s="1395" t="str">
        <f t="shared" si="707"/>
        <v>-</v>
      </c>
      <c r="CE355" s="1395" t="str">
        <f t="shared" si="707"/>
        <v>-</v>
      </c>
      <c r="CF355" s="1395" t="str">
        <f t="shared" si="707"/>
        <v>-</v>
      </c>
      <c r="CG355" s="1395" t="str">
        <f t="shared" si="707"/>
        <v>-</v>
      </c>
      <c r="CH355" s="1397" t="str">
        <f t="shared" si="707"/>
        <v>-</v>
      </c>
      <c r="CI355" s="1395" t="str">
        <f t="shared" si="707"/>
        <v>-</v>
      </c>
      <c r="CJ355" s="1395" t="str">
        <f t="shared" si="707"/>
        <v>-</v>
      </c>
      <c r="CK355" s="1395" t="str">
        <f t="shared" si="707"/>
        <v>-</v>
      </c>
      <c r="CL355" s="1395" t="str">
        <f t="shared" si="707"/>
        <v>-</v>
      </c>
      <c r="CM355" s="1397" t="str">
        <f t="shared" si="707"/>
        <v>-</v>
      </c>
      <c r="CN355" s="1395" t="str">
        <f t="shared" si="707"/>
        <v>-</v>
      </c>
      <c r="CO355" s="1395" t="str">
        <f t="shared" si="707"/>
        <v>-</v>
      </c>
      <c r="CP355" s="1395" t="str">
        <f t="shared" si="707"/>
        <v>-</v>
      </c>
      <c r="CQ355" s="1395" t="str">
        <f t="shared" si="707"/>
        <v>-</v>
      </c>
      <c r="CR355" s="1398" t="str">
        <f t="shared" si="707"/>
        <v>-</v>
      </c>
      <c r="CS355" s="1378"/>
      <c r="CT355" s="1392" t="str">
        <f t="shared" si="609"/>
        <v>Qty</v>
      </c>
      <c r="CU355" s="1393" t="str">
        <f t="shared" si="610"/>
        <v>[Service]</v>
      </c>
      <c r="CV355" s="1393" t="str">
        <f t="shared" si="611"/>
        <v>[Price]</v>
      </c>
      <c r="CW355" s="1401" t="str">
        <f t="shared" si="634"/>
        <v>-</v>
      </c>
      <c r="CX355" s="1395" t="str">
        <f t="shared" si="635"/>
        <v>-</v>
      </c>
      <c r="CY355" s="1395" t="str">
        <f t="shared" si="636"/>
        <v>-</v>
      </c>
      <c r="CZ355" s="1398" t="str">
        <f t="shared" si="637"/>
        <v>-</v>
      </c>
      <c r="DA355" s="1395" t="str">
        <f t="shared" si="638"/>
        <v>-</v>
      </c>
      <c r="DB355" s="1395" t="str">
        <f t="shared" si="639"/>
        <v>-</v>
      </c>
      <c r="DC355" s="1395" t="str">
        <f t="shared" si="640"/>
        <v>-</v>
      </c>
      <c r="DD355" s="1395" t="str">
        <f t="shared" si="641"/>
        <v>-</v>
      </c>
      <c r="DE355" s="1398" t="str">
        <f t="shared" si="642"/>
        <v>-</v>
      </c>
      <c r="DF355" s="1378"/>
      <c r="DG355" s="1392" t="str">
        <f t="shared" si="643"/>
        <v>Qty</v>
      </c>
      <c r="DH355" s="1393" t="str">
        <f t="shared" si="643"/>
        <v>[Service]</v>
      </c>
      <c r="DI355" s="1393" t="str">
        <f t="shared" si="643"/>
        <v>[Price]</v>
      </c>
      <c r="DJ355" s="1393"/>
      <c r="DK355" s="1401" t="str">
        <f t="shared" si="644"/>
        <v>-</v>
      </c>
      <c r="DL355" s="1395" t="str">
        <f t="shared" si="645"/>
        <v>-</v>
      </c>
      <c r="DM355" s="1395" t="str">
        <f t="shared" si="646"/>
        <v>-</v>
      </c>
      <c r="DN355" s="1397" t="str">
        <f t="shared" si="647"/>
        <v>-</v>
      </c>
      <c r="DO355" s="1395" t="str">
        <f t="shared" si="648"/>
        <v>-</v>
      </c>
      <c r="DP355" s="1395" t="str">
        <f t="shared" si="649"/>
        <v>-</v>
      </c>
      <c r="DQ355" s="1395" t="str">
        <f t="shared" si="650"/>
        <v>-</v>
      </c>
      <c r="DR355" s="1398" t="str">
        <f t="shared" si="651"/>
        <v>-</v>
      </c>
    </row>
    <row r="356" spans="4:122" ht="12.75" thickBot="1">
      <c r="E356" s="743" t="s">
        <v>46</v>
      </c>
      <c r="F356" s="732" t="str">
        <f>+F354</f>
        <v>[Service]</v>
      </c>
      <c r="G356" s="733">
        <f>+G354</f>
        <v>0</v>
      </c>
      <c r="H356" s="733">
        <f>+H354</f>
        <v>0</v>
      </c>
      <c r="I356" s="734" t="str">
        <f>+I354</f>
        <v>[Price]</v>
      </c>
      <c r="J356" s="735" t="s">
        <v>344</v>
      </c>
      <c r="K356" s="736">
        <f t="shared" ref="K356:AG356" si="708">K354*K355/10^6</f>
        <v>0</v>
      </c>
      <c r="L356" s="737">
        <f t="shared" si="708"/>
        <v>0</v>
      </c>
      <c r="M356" s="737">
        <f t="shared" si="708"/>
        <v>0</v>
      </c>
      <c r="N356" s="738">
        <f t="shared" si="708"/>
        <v>0</v>
      </c>
      <c r="O356" s="1923">
        <f t="shared" si="708"/>
        <v>0</v>
      </c>
      <c r="P356" s="737">
        <f t="shared" si="708"/>
        <v>0</v>
      </c>
      <c r="Q356" s="737">
        <f t="shared" si="708"/>
        <v>0</v>
      </c>
      <c r="R356" s="737">
        <f t="shared" si="708"/>
        <v>0</v>
      </c>
      <c r="S356" s="737">
        <f t="shared" si="708"/>
        <v>0</v>
      </c>
      <c r="T356" s="737">
        <f t="shared" si="708"/>
        <v>0</v>
      </c>
      <c r="U356" s="737">
        <f t="shared" si="708"/>
        <v>0</v>
      </c>
      <c r="V356" s="737">
        <f t="shared" si="708"/>
        <v>0</v>
      </c>
      <c r="W356" s="737">
        <f t="shared" si="708"/>
        <v>0</v>
      </c>
      <c r="X356" s="738">
        <f t="shared" si="708"/>
        <v>0</v>
      </c>
      <c r="Y356" s="737">
        <f t="shared" si="708"/>
        <v>0</v>
      </c>
      <c r="Z356" s="737">
        <f t="shared" si="708"/>
        <v>0</v>
      </c>
      <c r="AA356" s="737">
        <f t="shared" si="708"/>
        <v>0</v>
      </c>
      <c r="AB356" s="737">
        <f t="shared" si="708"/>
        <v>0</v>
      </c>
      <c r="AC356" s="738">
        <f t="shared" si="708"/>
        <v>0</v>
      </c>
      <c r="AD356" s="737">
        <f t="shared" si="708"/>
        <v>0</v>
      </c>
      <c r="AE356" s="737">
        <f t="shared" si="708"/>
        <v>0</v>
      </c>
      <c r="AF356" s="737">
        <f t="shared" si="708"/>
        <v>0</v>
      </c>
      <c r="AG356" s="739">
        <f t="shared" si="708"/>
        <v>0</v>
      </c>
      <c r="AH356" s="697"/>
      <c r="AI356" s="707"/>
      <c r="AJ356" s="709">
        <f t="shared" si="655"/>
        <v>0</v>
      </c>
      <c r="AK356" s="710">
        <f t="shared" si="656"/>
        <v>0</v>
      </c>
      <c r="AL356" s="710">
        <f t="shared" si="657"/>
        <v>0</v>
      </c>
      <c r="AM356" s="710">
        <f t="shared" si="658"/>
        <v>0</v>
      </c>
      <c r="AN356" s="710">
        <f t="shared" si="659"/>
        <v>0</v>
      </c>
      <c r="AO356" s="711">
        <f t="shared" si="660"/>
        <v>0</v>
      </c>
      <c r="AP356" s="707">
        <f t="shared" si="661"/>
        <v>0</v>
      </c>
      <c r="AQ356" s="707">
        <f t="shared" si="662"/>
        <v>0</v>
      </c>
      <c r="AR356" s="707">
        <f t="shared" si="663"/>
        <v>0</v>
      </c>
      <c r="AS356" s="712">
        <f t="shared" si="664"/>
        <v>0</v>
      </c>
      <c r="AV356" s="1559"/>
      <c r="AW356" s="1428" t="str">
        <f t="shared" si="612"/>
        <v>Rev</v>
      </c>
      <c r="AX356" s="1429" t="str">
        <f t="shared" si="612"/>
        <v>[Service]</v>
      </c>
      <c r="AY356" s="1430" t="str">
        <f t="shared" si="613"/>
        <v>[Price]</v>
      </c>
      <c r="AZ356" s="1431" t="str">
        <f t="shared" si="705"/>
        <v>-</v>
      </c>
      <c r="BA356" s="1431" t="str">
        <f t="shared" si="705"/>
        <v>-</v>
      </c>
      <c r="BB356" s="1431" t="str">
        <f t="shared" si="705"/>
        <v>-</v>
      </c>
      <c r="BC356" s="1431" t="str">
        <f t="shared" si="615"/>
        <v>-</v>
      </c>
      <c r="BD356" s="1431" t="str">
        <f t="shared" si="616"/>
        <v>-</v>
      </c>
      <c r="BE356" s="1431" t="str">
        <f t="shared" si="617"/>
        <v>-</v>
      </c>
      <c r="BF356" s="1431" t="str">
        <f t="shared" si="618"/>
        <v>-</v>
      </c>
      <c r="BG356" s="1432" t="str">
        <f t="shared" si="619"/>
        <v>-</v>
      </c>
      <c r="BH356" s="1431" t="str">
        <f t="shared" si="620"/>
        <v>-</v>
      </c>
      <c r="BI356" s="1431" t="str">
        <f t="shared" si="621"/>
        <v>-</v>
      </c>
      <c r="BJ356" s="1431" t="str">
        <f t="shared" si="622"/>
        <v>-</v>
      </c>
      <c r="BK356" s="1431" t="str">
        <f t="shared" si="623"/>
        <v>-</v>
      </c>
      <c r="BL356" s="1433" t="str">
        <f t="shared" si="624"/>
        <v>-</v>
      </c>
      <c r="BM356" s="1431" t="str">
        <f t="shared" si="625"/>
        <v>-</v>
      </c>
      <c r="BN356" s="1431" t="str">
        <f t="shared" si="626"/>
        <v>-</v>
      </c>
      <c r="BO356" s="1431" t="str">
        <f t="shared" si="627"/>
        <v>-</v>
      </c>
      <c r="BP356" s="1431" t="str">
        <f t="shared" si="628"/>
        <v>-</v>
      </c>
      <c r="BQ356" s="1434" t="str">
        <f t="shared" si="629"/>
        <v>-</v>
      </c>
      <c r="BR356" s="1378"/>
      <c r="BS356" s="1407"/>
      <c r="BT356" s="1408"/>
      <c r="BU356" s="1409"/>
      <c r="BV356" s="1410"/>
      <c r="BW356" s="1378"/>
      <c r="BX356" s="1428" t="str">
        <f t="shared" si="630"/>
        <v>Rev</v>
      </c>
      <c r="BY356" s="1429" t="str">
        <f t="shared" si="631"/>
        <v>[Service]</v>
      </c>
      <c r="BZ356" s="1430" t="str">
        <f t="shared" si="632"/>
        <v>[Price]</v>
      </c>
      <c r="CA356" s="1435" t="str">
        <f t="shared" ref="CA356:CR356" si="709">IFERROR((P356/O356-1)*(O356/O$13),"-")</f>
        <v>-</v>
      </c>
      <c r="CB356" s="1431" t="str">
        <f t="shared" si="709"/>
        <v>-</v>
      </c>
      <c r="CC356" s="1431" t="str">
        <f t="shared" si="709"/>
        <v>-</v>
      </c>
      <c r="CD356" s="1431" t="str">
        <f t="shared" si="709"/>
        <v>-</v>
      </c>
      <c r="CE356" s="1431" t="str">
        <f t="shared" si="709"/>
        <v>-</v>
      </c>
      <c r="CF356" s="1431" t="str">
        <f t="shared" si="709"/>
        <v>-</v>
      </c>
      <c r="CG356" s="1431" t="str">
        <f t="shared" si="709"/>
        <v>-</v>
      </c>
      <c r="CH356" s="1433" t="str">
        <f t="shared" si="709"/>
        <v>-</v>
      </c>
      <c r="CI356" s="1431" t="str">
        <f t="shared" si="709"/>
        <v>-</v>
      </c>
      <c r="CJ356" s="1431" t="str">
        <f t="shared" si="709"/>
        <v>-</v>
      </c>
      <c r="CK356" s="1431" t="str">
        <f t="shared" si="709"/>
        <v>-</v>
      </c>
      <c r="CL356" s="1431" t="str">
        <f t="shared" si="709"/>
        <v>-</v>
      </c>
      <c r="CM356" s="1433" t="str">
        <f t="shared" si="709"/>
        <v>-</v>
      </c>
      <c r="CN356" s="1431" t="str">
        <f t="shared" si="709"/>
        <v>-</v>
      </c>
      <c r="CO356" s="1431" t="str">
        <f t="shared" si="709"/>
        <v>-</v>
      </c>
      <c r="CP356" s="1431" t="str">
        <f t="shared" si="709"/>
        <v>-</v>
      </c>
      <c r="CQ356" s="1431" t="str">
        <f t="shared" si="709"/>
        <v>-</v>
      </c>
      <c r="CR356" s="1434" t="str">
        <f t="shared" si="709"/>
        <v>-</v>
      </c>
      <c r="CS356" s="1378"/>
      <c r="CT356" s="1428" t="str">
        <f t="shared" si="609"/>
        <v>Rev</v>
      </c>
      <c r="CU356" s="1429" t="str">
        <f t="shared" si="610"/>
        <v>[Service]</v>
      </c>
      <c r="CV356" s="1429" t="str">
        <f t="shared" si="611"/>
        <v>[Price]</v>
      </c>
      <c r="CW356" s="1435" t="str">
        <f t="shared" si="634"/>
        <v>-</v>
      </c>
      <c r="CX356" s="1431" t="str">
        <f t="shared" si="635"/>
        <v>-</v>
      </c>
      <c r="CY356" s="1431" t="str">
        <f t="shared" si="636"/>
        <v>-</v>
      </c>
      <c r="CZ356" s="1434" t="str">
        <f t="shared" si="637"/>
        <v>-</v>
      </c>
      <c r="DA356" s="1431" t="str">
        <f t="shared" si="638"/>
        <v>-</v>
      </c>
      <c r="DB356" s="1431" t="str">
        <f t="shared" si="639"/>
        <v>-</v>
      </c>
      <c r="DC356" s="1431" t="str">
        <f t="shared" si="640"/>
        <v>-</v>
      </c>
      <c r="DD356" s="1431" t="str">
        <f t="shared" si="641"/>
        <v>-</v>
      </c>
      <c r="DE356" s="1434" t="str">
        <f t="shared" si="642"/>
        <v>-</v>
      </c>
      <c r="DF356" s="1378"/>
      <c r="DG356" s="1428" t="str">
        <f t="shared" si="643"/>
        <v>Rev</v>
      </c>
      <c r="DH356" s="1429" t="str">
        <f t="shared" si="643"/>
        <v>[Service]</v>
      </c>
      <c r="DI356" s="1429" t="str">
        <f t="shared" si="643"/>
        <v>[Price]</v>
      </c>
      <c r="DJ356" s="1429"/>
      <c r="DK356" s="1435" t="str">
        <f t="shared" si="644"/>
        <v>-</v>
      </c>
      <c r="DL356" s="1431" t="str">
        <f t="shared" si="645"/>
        <v>-</v>
      </c>
      <c r="DM356" s="1431" t="str">
        <f t="shared" si="646"/>
        <v>-</v>
      </c>
      <c r="DN356" s="1433" t="str">
        <f t="shared" si="647"/>
        <v>-</v>
      </c>
      <c r="DO356" s="1431" t="str">
        <f t="shared" si="648"/>
        <v>-</v>
      </c>
      <c r="DP356" s="1431" t="str">
        <f t="shared" si="649"/>
        <v>-</v>
      </c>
      <c r="DQ356" s="1431" t="str">
        <f t="shared" si="650"/>
        <v>-</v>
      </c>
      <c r="DR356" s="1434" t="str">
        <f t="shared" si="651"/>
        <v>-</v>
      </c>
    </row>
    <row r="357" spans="4:122">
      <c r="D357" s="70">
        <f>D354+1</f>
        <v>98</v>
      </c>
      <c r="E357" s="713" t="s">
        <v>44</v>
      </c>
      <c r="F357" s="1532" t="s">
        <v>27</v>
      </c>
      <c r="G357" s="1532"/>
      <c r="H357" s="1532"/>
      <c r="I357" s="781" t="s">
        <v>318</v>
      </c>
      <c r="J357" s="781" t="s">
        <v>345</v>
      </c>
      <c r="K357" s="1533"/>
      <c r="L357" s="1534"/>
      <c r="M357" s="1534"/>
      <c r="N357" s="1535"/>
      <c r="O357" s="2071"/>
      <c r="P357" s="1547"/>
      <c r="Q357" s="1547"/>
      <c r="R357" s="1547"/>
      <c r="S357" s="1547"/>
      <c r="T357" s="1547"/>
      <c r="U357" s="1547"/>
      <c r="V357" s="1547"/>
      <c r="W357" s="1547"/>
      <c r="X357" s="1548"/>
      <c r="Y357" s="1547"/>
      <c r="Z357" s="1547"/>
      <c r="AA357" s="1547"/>
      <c r="AB357" s="1547"/>
      <c r="AC357" s="1548"/>
      <c r="AD357" s="1547"/>
      <c r="AE357" s="1547"/>
      <c r="AF357" s="1547"/>
      <c r="AG357" s="785"/>
      <c r="AH357" s="697"/>
      <c r="AI357" s="707"/>
      <c r="AJ357" s="709">
        <f t="shared" si="655"/>
        <v>0</v>
      </c>
      <c r="AK357" s="710">
        <f t="shared" si="656"/>
        <v>0</v>
      </c>
      <c r="AL357" s="710">
        <f t="shared" si="657"/>
        <v>0</v>
      </c>
      <c r="AM357" s="710">
        <f t="shared" si="658"/>
        <v>0</v>
      </c>
      <c r="AN357" s="710">
        <f t="shared" si="659"/>
        <v>0</v>
      </c>
      <c r="AO357" s="711">
        <f t="shared" si="660"/>
        <v>0</v>
      </c>
      <c r="AP357" s="707">
        <f t="shared" si="661"/>
        <v>0</v>
      </c>
      <c r="AQ357" s="707">
        <f t="shared" si="662"/>
        <v>0</v>
      </c>
      <c r="AR357" s="707">
        <f t="shared" si="663"/>
        <v>0</v>
      </c>
      <c r="AS357" s="712">
        <f t="shared" si="664"/>
        <v>0</v>
      </c>
      <c r="AU357" s="1369"/>
      <c r="AV357" s="1559"/>
      <c r="AW357" s="1412" t="str">
        <f t="shared" si="612"/>
        <v>Price</v>
      </c>
      <c r="AX357" s="1413" t="str">
        <f t="shared" si="612"/>
        <v>[Service]</v>
      </c>
      <c r="AY357" s="1414" t="str">
        <f t="shared" si="613"/>
        <v>[Price]</v>
      </c>
      <c r="AZ357" s="1415" t="str">
        <f t="shared" si="705"/>
        <v>-</v>
      </c>
      <c r="BA357" s="1415" t="str">
        <f t="shared" si="705"/>
        <v>-</v>
      </c>
      <c r="BB357" s="1415" t="str">
        <f t="shared" si="705"/>
        <v>-</v>
      </c>
      <c r="BC357" s="1415" t="str">
        <f t="shared" si="615"/>
        <v>-</v>
      </c>
      <c r="BD357" s="1415" t="str">
        <f t="shared" si="616"/>
        <v>-</v>
      </c>
      <c r="BE357" s="1415" t="str">
        <f t="shared" si="617"/>
        <v>-</v>
      </c>
      <c r="BF357" s="1415" t="str">
        <f t="shared" si="618"/>
        <v>-</v>
      </c>
      <c r="BG357" s="1416" t="str">
        <f t="shared" si="619"/>
        <v>-</v>
      </c>
      <c r="BH357" s="1417" t="str">
        <f t="shared" si="620"/>
        <v>-</v>
      </c>
      <c r="BI357" s="1417" t="str">
        <f t="shared" si="621"/>
        <v>-</v>
      </c>
      <c r="BJ357" s="1417" t="str">
        <f t="shared" si="622"/>
        <v>-</v>
      </c>
      <c r="BK357" s="1417" t="str">
        <f t="shared" si="623"/>
        <v>-</v>
      </c>
      <c r="BL357" s="1418" t="str">
        <f t="shared" si="624"/>
        <v>-</v>
      </c>
      <c r="BM357" s="1417" t="str">
        <f t="shared" si="625"/>
        <v>-</v>
      </c>
      <c r="BN357" s="1417" t="str">
        <f t="shared" si="626"/>
        <v>-</v>
      </c>
      <c r="BO357" s="1417" t="str">
        <f t="shared" si="627"/>
        <v>-</v>
      </c>
      <c r="BP357" s="1417" t="str">
        <f t="shared" si="628"/>
        <v>-</v>
      </c>
      <c r="BQ357" s="1419" t="str">
        <f t="shared" si="629"/>
        <v>-</v>
      </c>
      <c r="BR357" s="1378"/>
      <c r="BS357" s="1420"/>
      <c r="BT357" s="1421"/>
      <c r="BU357" s="1422"/>
      <c r="BV357" s="1423"/>
      <c r="BW357" s="1378"/>
      <c r="BX357" s="1412" t="str">
        <f t="shared" si="630"/>
        <v>Price</v>
      </c>
      <c r="BY357" s="1413" t="str">
        <f t="shared" si="631"/>
        <v>[Service]</v>
      </c>
      <c r="BZ357" s="1414" t="str">
        <f t="shared" si="632"/>
        <v>[Price]</v>
      </c>
      <c r="CA357" s="1424" t="str">
        <f t="shared" ref="CA357:CR357" si="710">IFERROR((P357/O357-1)*(O359/O$13),"-")</f>
        <v>-</v>
      </c>
      <c r="CB357" s="1415" t="str">
        <f t="shared" si="710"/>
        <v>-</v>
      </c>
      <c r="CC357" s="1415" t="str">
        <f t="shared" si="710"/>
        <v>-</v>
      </c>
      <c r="CD357" s="1415" t="str">
        <f t="shared" si="710"/>
        <v>-</v>
      </c>
      <c r="CE357" s="1415" t="str">
        <f t="shared" si="710"/>
        <v>-</v>
      </c>
      <c r="CF357" s="1415" t="str">
        <f t="shared" si="710"/>
        <v>-</v>
      </c>
      <c r="CG357" s="1415" t="str">
        <f t="shared" si="710"/>
        <v>-</v>
      </c>
      <c r="CH357" s="1425" t="str">
        <f t="shared" si="710"/>
        <v>-</v>
      </c>
      <c r="CI357" s="1417" t="str">
        <f t="shared" si="710"/>
        <v>-</v>
      </c>
      <c r="CJ357" s="1417" t="str">
        <f t="shared" si="710"/>
        <v>-</v>
      </c>
      <c r="CK357" s="1417" t="str">
        <f t="shared" si="710"/>
        <v>-</v>
      </c>
      <c r="CL357" s="1417" t="str">
        <f t="shared" si="710"/>
        <v>-</v>
      </c>
      <c r="CM357" s="1418" t="str">
        <f t="shared" si="710"/>
        <v>-</v>
      </c>
      <c r="CN357" s="1417" t="str">
        <f t="shared" si="710"/>
        <v>-</v>
      </c>
      <c r="CO357" s="1417" t="str">
        <f t="shared" si="710"/>
        <v>-</v>
      </c>
      <c r="CP357" s="1417" t="str">
        <f t="shared" si="710"/>
        <v>-</v>
      </c>
      <c r="CQ357" s="1417" t="str">
        <f t="shared" si="710"/>
        <v>-</v>
      </c>
      <c r="CR357" s="1419" t="str">
        <f t="shared" si="710"/>
        <v>-</v>
      </c>
      <c r="CS357" s="1378"/>
      <c r="CT357" s="1412" t="str">
        <f t="shared" si="609"/>
        <v>Price</v>
      </c>
      <c r="CU357" s="1413" t="str">
        <f t="shared" si="610"/>
        <v>[Service]</v>
      </c>
      <c r="CV357" s="1426" t="str">
        <f t="shared" si="611"/>
        <v>[Price]</v>
      </c>
      <c r="CW357" s="1427" t="str">
        <f t="shared" si="634"/>
        <v>-</v>
      </c>
      <c r="CX357" s="1417" t="str">
        <f t="shared" si="635"/>
        <v>-</v>
      </c>
      <c r="CY357" s="1417" t="str">
        <f t="shared" si="636"/>
        <v>-</v>
      </c>
      <c r="CZ357" s="1419" t="str">
        <f t="shared" si="637"/>
        <v>-</v>
      </c>
      <c r="DA357" s="1417" t="str">
        <f t="shared" si="638"/>
        <v>-</v>
      </c>
      <c r="DB357" s="1417" t="str">
        <f t="shared" si="639"/>
        <v>-</v>
      </c>
      <c r="DC357" s="1417" t="str">
        <f t="shared" si="640"/>
        <v>-</v>
      </c>
      <c r="DD357" s="1417" t="str">
        <f t="shared" si="641"/>
        <v>-</v>
      </c>
      <c r="DE357" s="1419" t="str">
        <f t="shared" si="642"/>
        <v>-</v>
      </c>
      <c r="DF357" s="1378"/>
      <c r="DG357" s="1412" t="str">
        <f t="shared" si="643"/>
        <v>Price</v>
      </c>
      <c r="DH357" s="1413" t="str">
        <f t="shared" si="643"/>
        <v>[Service]</v>
      </c>
      <c r="DI357" s="1426" t="str">
        <f t="shared" si="643"/>
        <v>[Price]</v>
      </c>
      <c r="DJ357" s="1426"/>
      <c r="DK357" s="1427" t="str">
        <f t="shared" si="644"/>
        <v>-</v>
      </c>
      <c r="DL357" s="1417" t="str">
        <f t="shared" si="645"/>
        <v>-</v>
      </c>
      <c r="DM357" s="1417" t="str">
        <f t="shared" si="646"/>
        <v>-</v>
      </c>
      <c r="DN357" s="1418" t="str">
        <f t="shared" si="647"/>
        <v>-</v>
      </c>
      <c r="DO357" s="1417" t="str">
        <f t="shared" si="648"/>
        <v>-</v>
      </c>
      <c r="DP357" s="1417" t="str">
        <f t="shared" si="649"/>
        <v>-</v>
      </c>
      <c r="DQ357" s="1417" t="str">
        <f t="shared" si="650"/>
        <v>-</v>
      </c>
      <c r="DR357" s="1419" t="str">
        <f t="shared" si="651"/>
        <v>-</v>
      </c>
    </row>
    <row r="358" spans="4:122">
      <c r="E358" s="742" t="s">
        <v>45</v>
      </c>
      <c r="F358" s="722" t="str">
        <f>+F357</f>
        <v>[Service]</v>
      </c>
      <c r="G358" s="723">
        <f>+G357</f>
        <v>0</v>
      </c>
      <c r="H358" s="723">
        <f>+H357</f>
        <v>0</v>
      </c>
      <c r="I358" s="724" t="str">
        <f>+I357</f>
        <v>[Price]</v>
      </c>
      <c r="J358" s="782" t="s">
        <v>322</v>
      </c>
      <c r="K358" s="1540"/>
      <c r="L358" s="1541"/>
      <c r="M358" s="1541"/>
      <c r="N358" s="1542"/>
      <c r="O358" s="2031"/>
      <c r="P358" s="1543"/>
      <c r="Q358" s="1543"/>
      <c r="R358" s="1543"/>
      <c r="S358" s="1543"/>
      <c r="T358" s="1543"/>
      <c r="U358" s="1543"/>
      <c r="V358" s="1543"/>
      <c r="W358" s="1543"/>
      <c r="X358" s="1544"/>
      <c r="Y358" s="1543"/>
      <c r="Z358" s="1543"/>
      <c r="AA358" s="1543"/>
      <c r="AB358" s="1543"/>
      <c r="AC358" s="1544"/>
      <c r="AD358" s="1543"/>
      <c r="AE358" s="1543"/>
      <c r="AF358" s="1543"/>
      <c r="AG358" s="788"/>
      <c r="AH358" s="697"/>
      <c r="AI358" s="707"/>
      <c r="AJ358" s="709">
        <f t="shared" si="655"/>
        <v>0</v>
      </c>
      <c r="AK358" s="710">
        <f t="shared" si="656"/>
        <v>0</v>
      </c>
      <c r="AL358" s="710">
        <f t="shared" si="657"/>
        <v>0</v>
      </c>
      <c r="AM358" s="710">
        <f t="shared" si="658"/>
        <v>0</v>
      </c>
      <c r="AN358" s="710">
        <f t="shared" si="659"/>
        <v>0</v>
      </c>
      <c r="AO358" s="711">
        <f t="shared" si="660"/>
        <v>0</v>
      </c>
      <c r="AP358" s="707">
        <f t="shared" si="661"/>
        <v>0</v>
      </c>
      <c r="AQ358" s="707">
        <f t="shared" si="662"/>
        <v>0</v>
      </c>
      <c r="AR358" s="707">
        <f t="shared" si="663"/>
        <v>0</v>
      </c>
      <c r="AS358" s="712">
        <f t="shared" si="664"/>
        <v>0</v>
      </c>
      <c r="AV358" s="1559"/>
      <c r="AW358" s="1392" t="str">
        <f t="shared" si="612"/>
        <v>Qty</v>
      </c>
      <c r="AX358" s="1393" t="str">
        <f t="shared" si="612"/>
        <v>[Service]</v>
      </c>
      <c r="AY358" s="1394" t="str">
        <f t="shared" si="613"/>
        <v>[Price]</v>
      </c>
      <c r="AZ358" s="1395" t="str">
        <f t="shared" si="705"/>
        <v>-</v>
      </c>
      <c r="BA358" s="1395" t="str">
        <f t="shared" si="705"/>
        <v>-</v>
      </c>
      <c r="BB358" s="1395" t="str">
        <f t="shared" si="705"/>
        <v>-</v>
      </c>
      <c r="BC358" s="1395" t="str">
        <f t="shared" si="615"/>
        <v>-</v>
      </c>
      <c r="BD358" s="1395" t="str">
        <f t="shared" si="616"/>
        <v>-</v>
      </c>
      <c r="BE358" s="1395" t="str">
        <f t="shared" si="617"/>
        <v>-</v>
      </c>
      <c r="BF358" s="1395" t="str">
        <f t="shared" si="618"/>
        <v>-</v>
      </c>
      <c r="BG358" s="1396" t="str">
        <f t="shared" si="619"/>
        <v>-</v>
      </c>
      <c r="BH358" s="1395" t="str">
        <f t="shared" si="620"/>
        <v>-</v>
      </c>
      <c r="BI358" s="1395" t="str">
        <f t="shared" si="621"/>
        <v>-</v>
      </c>
      <c r="BJ358" s="1395" t="str">
        <f t="shared" si="622"/>
        <v>-</v>
      </c>
      <c r="BK358" s="1395" t="str">
        <f t="shared" si="623"/>
        <v>-</v>
      </c>
      <c r="BL358" s="1397" t="str">
        <f t="shared" si="624"/>
        <v>-</v>
      </c>
      <c r="BM358" s="1395" t="str">
        <f t="shared" si="625"/>
        <v>-</v>
      </c>
      <c r="BN358" s="1395" t="str">
        <f t="shared" si="626"/>
        <v>-</v>
      </c>
      <c r="BO358" s="1395" t="str">
        <f t="shared" si="627"/>
        <v>-</v>
      </c>
      <c r="BP358" s="1395" t="str">
        <f t="shared" si="628"/>
        <v>-</v>
      </c>
      <c r="BQ358" s="1398" t="str">
        <f t="shared" si="629"/>
        <v>-</v>
      </c>
      <c r="BR358" s="1378"/>
      <c r="BS358" s="1329"/>
      <c r="BT358" s="1399"/>
      <c r="BU358" s="1331"/>
      <c r="BV358" s="1400"/>
      <c r="BW358" s="1378"/>
      <c r="BX358" s="1392" t="str">
        <f t="shared" si="630"/>
        <v>Qty</v>
      </c>
      <c r="BY358" s="1393" t="str">
        <f t="shared" si="631"/>
        <v>[Service]</v>
      </c>
      <c r="BZ358" s="1394" t="str">
        <f t="shared" si="632"/>
        <v>[Price]</v>
      </c>
      <c r="CA358" s="1401" t="str">
        <f t="shared" ref="CA358:CR358" si="711">IFERROR((P358/O358-1)*(O359/O$13),"-")</f>
        <v>-</v>
      </c>
      <c r="CB358" s="1395" t="str">
        <f t="shared" si="711"/>
        <v>-</v>
      </c>
      <c r="CC358" s="1395" t="str">
        <f t="shared" si="711"/>
        <v>-</v>
      </c>
      <c r="CD358" s="1395" t="str">
        <f t="shared" si="711"/>
        <v>-</v>
      </c>
      <c r="CE358" s="1395" t="str">
        <f t="shared" si="711"/>
        <v>-</v>
      </c>
      <c r="CF358" s="1395" t="str">
        <f t="shared" si="711"/>
        <v>-</v>
      </c>
      <c r="CG358" s="1395" t="str">
        <f t="shared" si="711"/>
        <v>-</v>
      </c>
      <c r="CH358" s="1397" t="str">
        <f t="shared" si="711"/>
        <v>-</v>
      </c>
      <c r="CI358" s="1395" t="str">
        <f t="shared" si="711"/>
        <v>-</v>
      </c>
      <c r="CJ358" s="1395" t="str">
        <f t="shared" si="711"/>
        <v>-</v>
      </c>
      <c r="CK358" s="1395" t="str">
        <f t="shared" si="711"/>
        <v>-</v>
      </c>
      <c r="CL358" s="1395" t="str">
        <f t="shared" si="711"/>
        <v>-</v>
      </c>
      <c r="CM358" s="1397" t="str">
        <f t="shared" si="711"/>
        <v>-</v>
      </c>
      <c r="CN358" s="1395" t="str">
        <f t="shared" si="711"/>
        <v>-</v>
      </c>
      <c r="CO358" s="1395" t="str">
        <f t="shared" si="711"/>
        <v>-</v>
      </c>
      <c r="CP358" s="1395" t="str">
        <f t="shared" si="711"/>
        <v>-</v>
      </c>
      <c r="CQ358" s="1395" t="str">
        <f t="shared" si="711"/>
        <v>-</v>
      </c>
      <c r="CR358" s="1398" t="str">
        <f t="shared" si="711"/>
        <v>-</v>
      </c>
      <c r="CS358" s="1378"/>
      <c r="CT358" s="1392" t="str">
        <f t="shared" si="609"/>
        <v>Qty</v>
      </c>
      <c r="CU358" s="1393" t="str">
        <f t="shared" si="610"/>
        <v>[Service]</v>
      </c>
      <c r="CV358" s="1393" t="str">
        <f t="shared" si="611"/>
        <v>[Price]</v>
      </c>
      <c r="CW358" s="1401" t="str">
        <f t="shared" si="634"/>
        <v>-</v>
      </c>
      <c r="CX358" s="1395" t="str">
        <f t="shared" si="635"/>
        <v>-</v>
      </c>
      <c r="CY358" s="1395" t="str">
        <f t="shared" si="636"/>
        <v>-</v>
      </c>
      <c r="CZ358" s="1398" t="str">
        <f t="shared" si="637"/>
        <v>-</v>
      </c>
      <c r="DA358" s="1395" t="str">
        <f t="shared" si="638"/>
        <v>-</v>
      </c>
      <c r="DB358" s="1395" t="str">
        <f t="shared" si="639"/>
        <v>-</v>
      </c>
      <c r="DC358" s="1395" t="str">
        <f t="shared" si="640"/>
        <v>-</v>
      </c>
      <c r="DD358" s="1395" t="str">
        <f t="shared" si="641"/>
        <v>-</v>
      </c>
      <c r="DE358" s="1398" t="str">
        <f t="shared" si="642"/>
        <v>-</v>
      </c>
      <c r="DF358" s="1378"/>
      <c r="DG358" s="1392" t="str">
        <f t="shared" si="643"/>
        <v>Qty</v>
      </c>
      <c r="DH358" s="1393" t="str">
        <f t="shared" si="643"/>
        <v>[Service]</v>
      </c>
      <c r="DI358" s="1393" t="str">
        <f t="shared" si="643"/>
        <v>[Price]</v>
      </c>
      <c r="DJ358" s="1393"/>
      <c r="DK358" s="1401" t="str">
        <f t="shared" si="644"/>
        <v>-</v>
      </c>
      <c r="DL358" s="1395" t="str">
        <f t="shared" si="645"/>
        <v>-</v>
      </c>
      <c r="DM358" s="1395" t="str">
        <f t="shared" si="646"/>
        <v>-</v>
      </c>
      <c r="DN358" s="1397" t="str">
        <f t="shared" si="647"/>
        <v>-</v>
      </c>
      <c r="DO358" s="1395" t="str">
        <f t="shared" si="648"/>
        <v>-</v>
      </c>
      <c r="DP358" s="1395" t="str">
        <f t="shared" si="649"/>
        <v>-</v>
      </c>
      <c r="DQ358" s="1395" t="str">
        <f t="shared" si="650"/>
        <v>-</v>
      </c>
      <c r="DR358" s="1398" t="str">
        <f t="shared" si="651"/>
        <v>-</v>
      </c>
    </row>
    <row r="359" spans="4:122" ht="12.75" thickBot="1">
      <c r="E359" s="743" t="s">
        <v>46</v>
      </c>
      <c r="F359" s="732" t="str">
        <f>+F357</f>
        <v>[Service]</v>
      </c>
      <c r="G359" s="733">
        <f>+G357</f>
        <v>0</v>
      </c>
      <c r="H359" s="733">
        <f>+H357</f>
        <v>0</v>
      </c>
      <c r="I359" s="734" t="str">
        <f>+I357</f>
        <v>[Price]</v>
      </c>
      <c r="J359" s="735" t="s">
        <v>344</v>
      </c>
      <c r="K359" s="736">
        <f t="shared" ref="K359:AG359" si="712">K357*K358/10^6</f>
        <v>0</v>
      </c>
      <c r="L359" s="737">
        <f t="shared" si="712"/>
        <v>0</v>
      </c>
      <c r="M359" s="737">
        <f t="shared" si="712"/>
        <v>0</v>
      </c>
      <c r="N359" s="738">
        <f t="shared" si="712"/>
        <v>0</v>
      </c>
      <c r="O359" s="1923">
        <f t="shared" si="712"/>
        <v>0</v>
      </c>
      <c r="P359" s="737">
        <f t="shared" si="712"/>
        <v>0</v>
      </c>
      <c r="Q359" s="737">
        <f t="shared" si="712"/>
        <v>0</v>
      </c>
      <c r="R359" s="737">
        <f t="shared" si="712"/>
        <v>0</v>
      </c>
      <c r="S359" s="737">
        <f t="shared" si="712"/>
        <v>0</v>
      </c>
      <c r="T359" s="737">
        <f t="shared" si="712"/>
        <v>0</v>
      </c>
      <c r="U359" s="737">
        <f t="shared" si="712"/>
        <v>0</v>
      </c>
      <c r="V359" s="737">
        <f t="shared" si="712"/>
        <v>0</v>
      </c>
      <c r="W359" s="737">
        <f t="shared" si="712"/>
        <v>0</v>
      </c>
      <c r="X359" s="738">
        <f t="shared" si="712"/>
        <v>0</v>
      </c>
      <c r="Y359" s="737">
        <f t="shared" si="712"/>
        <v>0</v>
      </c>
      <c r="Z359" s="737">
        <f t="shared" si="712"/>
        <v>0</v>
      </c>
      <c r="AA359" s="737">
        <f t="shared" si="712"/>
        <v>0</v>
      </c>
      <c r="AB359" s="737">
        <f t="shared" si="712"/>
        <v>0</v>
      </c>
      <c r="AC359" s="738">
        <f t="shared" si="712"/>
        <v>0</v>
      </c>
      <c r="AD359" s="737">
        <f t="shared" si="712"/>
        <v>0</v>
      </c>
      <c r="AE359" s="737">
        <f t="shared" si="712"/>
        <v>0</v>
      </c>
      <c r="AF359" s="737">
        <f t="shared" si="712"/>
        <v>0</v>
      </c>
      <c r="AG359" s="739">
        <f t="shared" si="712"/>
        <v>0</v>
      </c>
      <c r="AH359" s="697"/>
      <c r="AI359" s="707"/>
      <c r="AJ359" s="709">
        <f t="shared" si="655"/>
        <v>0</v>
      </c>
      <c r="AK359" s="710">
        <f t="shared" si="656"/>
        <v>0</v>
      </c>
      <c r="AL359" s="710">
        <f t="shared" si="657"/>
        <v>0</v>
      </c>
      <c r="AM359" s="710">
        <f t="shared" si="658"/>
        <v>0</v>
      </c>
      <c r="AN359" s="710">
        <f t="shared" si="659"/>
        <v>0</v>
      </c>
      <c r="AO359" s="711">
        <f t="shared" si="660"/>
        <v>0</v>
      </c>
      <c r="AP359" s="707">
        <f t="shared" si="661"/>
        <v>0</v>
      </c>
      <c r="AQ359" s="707">
        <f t="shared" si="662"/>
        <v>0</v>
      </c>
      <c r="AR359" s="707">
        <f t="shared" si="663"/>
        <v>0</v>
      </c>
      <c r="AS359" s="712">
        <f t="shared" si="664"/>
        <v>0</v>
      </c>
      <c r="AV359" s="1559"/>
      <c r="AW359" s="1428" t="str">
        <f t="shared" si="612"/>
        <v>Rev</v>
      </c>
      <c r="AX359" s="1429" t="str">
        <f t="shared" si="612"/>
        <v>[Service]</v>
      </c>
      <c r="AY359" s="1430" t="str">
        <f t="shared" si="613"/>
        <v>[Price]</v>
      </c>
      <c r="AZ359" s="1431" t="str">
        <f t="shared" si="705"/>
        <v>-</v>
      </c>
      <c r="BA359" s="1431" t="str">
        <f t="shared" si="705"/>
        <v>-</v>
      </c>
      <c r="BB359" s="1431" t="str">
        <f t="shared" si="705"/>
        <v>-</v>
      </c>
      <c r="BC359" s="1431" t="str">
        <f t="shared" si="615"/>
        <v>-</v>
      </c>
      <c r="BD359" s="1431" t="str">
        <f t="shared" si="616"/>
        <v>-</v>
      </c>
      <c r="BE359" s="1431" t="str">
        <f t="shared" si="617"/>
        <v>-</v>
      </c>
      <c r="BF359" s="1431" t="str">
        <f t="shared" si="618"/>
        <v>-</v>
      </c>
      <c r="BG359" s="1432" t="str">
        <f t="shared" si="619"/>
        <v>-</v>
      </c>
      <c r="BH359" s="1431" t="str">
        <f t="shared" si="620"/>
        <v>-</v>
      </c>
      <c r="BI359" s="1431" t="str">
        <f t="shared" si="621"/>
        <v>-</v>
      </c>
      <c r="BJ359" s="1431" t="str">
        <f t="shared" si="622"/>
        <v>-</v>
      </c>
      <c r="BK359" s="1431" t="str">
        <f t="shared" si="623"/>
        <v>-</v>
      </c>
      <c r="BL359" s="1433" t="str">
        <f t="shared" si="624"/>
        <v>-</v>
      </c>
      <c r="BM359" s="1431" t="str">
        <f t="shared" si="625"/>
        <v>-</v>
      </c>
      <c r="BN359" s="1431" t="str">
        <f t="shared" si="626"/>
        <v>-</v>
      </c>
      <c r="BO359" s="1431" t="str">
        <f t="shared" si="627"/>
        <v>-</v>
      </c>
      <c r="BP359" s="1431" t="str">
        <f t="shared" si="628"/>
        <v>-</v>
      </c>
      <c r="BQ359" s="1434" t="str">
        <f t="shared" si="629"/>
        <v>-</v>
      </c>
      <c r="BR359" s="1378"/>
      <c r="BS359" s="1407"/>
      <c r="BT359" s="1408"/>
      <c r="BU359" s="1409"/>
      <c r="BV359" s="1410"/>
      <c r="BW359" s="1378"/>
      <c r="BX359" s="1428" t="str">
        <f t="shared" si="630"/>
        <v>Rev</v>
      </c>
      <c r="BY359" s="1429" t="str">
        <f t="shared" si="631"/>
        <v>[Service]</v>
      </c>
      <c r="BZ359" s="1430" t="str">
        <f t="shared" si="632"/>
        <v>[Price]</v>
      </c>
      <c r="CA359" s="1435" t="str">
        <f t="shared" ref="CA359:CR359" si="713">IFERROR((P359/O359-1)*(O359/O$13),"-")</f>
        <v>-</v>
      </c>
      <c r="CB359" s="1431" t="str">
        <f t="shared" si="713"/>
        <v>-</v>
      </c>
      <c r="CC359" s="1431" t="str">
        <f t="shared" si="713"/>
        <v>-</v>
      </c>
      <c r="CD359" s="1431" t="str">
        <f t="shared" si="713"/>
        <v>-</v>
      </c>
      <c r="CE359" s="1431" t="str">
        <f t="shared" si="713"/>
        <v>-</v>
      </c>
      <c r="CF359" s="1431" t="str">
        <f t="shared" si="713"/>
        <v>-</v>
      </c>
      <c r="CG359" s="1431" t="str">
        <f t="shared" si="713"/>
        <v>-</v>
      </c>
      <c r="CH359" s="1433" t="str">
        <f t="shared" si="713"/>
        <v>-</v>
      </c>
      <c r="CI359" s="1431" t="str">
        <f t="shared" si="713"/>
        <v>-</v>
      </c>
      <c r="CJ359" s="1431" t="str">
        <f t="shared" si="713"/>
        <v>-</v>
      </c>
      <c r="CK359" s="1431" t="str">
        <f t="shared" si="713"/>
        <v>-</v>
      </c>
      <c r="CL359" s="1431" t="str">
        <f t="shared" si="713"/>
        <v>-</v>
      </c>
      <c r="CM359" s="1433" t="str">
        <f t="shared" si="713"/>
        <v>-</v>
      </c>
      <c r="CN359" s="1431" t="str">
        <f t="shared" si="713"/>
        <v>-</v>
      </c>
      <c r="CO359" s="1431" t="str">
        <f t="shared" si="713"/>
        <v>-</v>
      </c>
      <c r="CP359" s="1431" t="str">
        <f t="shared" si="713"/>
        <v>-</v>
      </c>
      <c r="CQ359" s="1431" t="str">
        <f t="shared" si="713"/>
        <v>-</v>
      </c>
      <c r="CR359" s="1434" t="str">
        <f t="shared" si="713"/>
        <v>-</v>
      </c>
      <c r="CS359" s="1378"/>
      <c r="CT359" s="1428" t="str">
        <f t="shared" si="609"/>
        <v>Rev</v>
      </c>
      <c r="CU359" s="1429" t="str">
        <f t="shared" si="610"/>
        <v>[Service]</v>
      </c>
      <c r="CV359" s="1429" t="str">
        <f t="shared" si="611"/>
        <v>[Price]</v>
      </c>
      <c r="CW359" s="1435" t="str">
        <f t="shared" si="634"/>
        <v>-</v>
      </c>
      <c r="CX359" s="1431" t="str">
        <f t="shared" si="635"/>
        <v>-</v>
      </c>
      <c r="CY359" s="1431" t="str">
        <f t="shared" si="636"/>
        <v>-</v>
      </c>
      <c r="CZ359" s="1434" t="str">
        <f t="shared" si="637"/>
        <v>-</v>
      </c>
      <c r="DA359" s="1431" t="str">
        <f t="shared" si="638"/>
        <v>-</v>
      </c>
      <c r="DB359" s="1431" t="str">
        <f t="shared" si="639"/>
        <v>-</v>
      </c>
      <c r="DC359" s="1431" t="str">
        <f t="shared" si="640"/>
        <v>-</v>
      </c>
      <c r="DD359" s="1431" t="str">
        <f t="shared" si="641"/>
        <v>-</v>
      </c>
      <c r="DE359" s="1434" t="str">
        <f t="shared" si="642"/>
        <v>-</v>
      </c>
      <c r="DF359" s="1378"/>
      <c r="DG359" s="1428" t="str">
        <f t="shared" si="643"/>
        <v>Rev</v>
      </c>
      <c r="DH359" s="1429" t="str">
        <f t="shared" si="643"/>
        <v>[Service]</v>
      </c>
      <c r="DI359" s="1429" t="str">
        <f t="shared" si="643"/>
        <v>[Price]</v>
      </c>
      <c r="DJ359" s="1429"/>
      <c r="DK359" s="1435" t="str">
        <f t="shared" si="644"/>
        <v>-</v>
      </c>
      <c r="DL359" s="1431" t="str">
        <f t="shared" si="645"/>
        <v>-</v>
      </c>
      <c r="DM359" s="1431" t="str">
        <f t="shared" si="646"/>
        <v>-</v>
      </c>
      <c r="DN359" s="1433" t="str">
        <f t="shared" si="647"/>
        <v>-</v>
      </c>
      <c r="DO359" s="1431" t="str">
        <f t="shared" si="648"/>
        <v>-</v>
      </c>
      <c r="DP359" s="1431" t="str">
        <f t="shared" si="649"/>
        <v>-</v>
      </c>
      <c r="DQ359" s="1431" t="str">
        <f t="shared" si="650"/>
        <v>-</v>
      </c>
      <c r="DR359" s="1434" t="str">
        <f t="shared" si="651"/>
        <v>-</v>
      </c>
    </row>
    <row r="360" spans="4:122">
      <c r="D360" s="70">
        <f>D357+1</f>
        <v>99</v>
      </c>
      <c r="E360" s="713" t="s">
        <v>44</v>
      </c>
      <c r="F360" s="1532" t="s">
        <v>27</v>
      </c>
      <c r="G360" s="1532"/>
      <c r="H360" s="1532"/>
      <c r="I360" s="781" t="s">
        <v>318</v>
      </c>
      <c r="J360" s="781" t="s">
        <v>345</v>
      </c>
      <c r="K360" s="1533"/>
      <c r="L360" s="1534"/>
      <c r="M360" s="1534"/>
      <c r="N360" s="1535"/>
      <c r="O360" s="2071"/>
      <c r="P360" s="1547"/>
      <c r="Q360" s="1547"/>
      <c r="R360" s="1547"/>
      <c r="S360" s="1547"/>
      <c r="T360" s="1547"/>
      <c r="U360" s="1547"/>
      <c r="V360" s="1547"/>
      <c r="W360" s="1547"/>
      <c r="X360" s="1548"/>
      <c r="Y360" s="1547"/>
      <c r="Z360" s="1547"/>
      <c r="AA360" s="1547"/>
      <c r="AB360" s="1547"/>
      <c r="AC360" s="1548"/>
      <c r="AD360" s="1547"/>
      <c r="AE360" s="1547"/>
      <c r="AF360" s="1547"/>
      <c r="AG360" s="785"/>
      <c r="AH360" s="697"/>
      <c r="AI360" s="707"/>
      <c r="AJ360" s="709">
        <f t="shared" si="655"/>
        <v>0</v>
      </c>
      <c r="AK360" s="710">
        <f t="shared" si="656"/>
        <v>0</v>
      </c>
      <c r="AL360" s="710">
        <f t="shared" si="657"/>
        <v>0</v>
      </c>
      <c r="AM360" s="710">
        <f t="shared" si="658"/>
        <v>0</v>
      </c>
      <c r="AN360" s="710">
        <f t="shared" si="659"/>
        <v>0</v>
      </c>
      <c r="AO360" s="711">
        <f t="shared" si="660"/>
        <v>0</v>
      </c>
      <c r="AP360" s="707">
        <f t="shared" si="661"/>
        <v>0</v>
      </c>
      <c r="AQ360" s="707">
        <f t="shared" si="662"/>
        <v>0</v>
      </c>
      <c r="AR360" s="707">
        <f t="shared" si="663"/>
        <v>0</v>
      </c>
      <c r="AS360" s="712">
        <f t="shared" si="664"/>
        <v>0</v>
      </c>
      <c r="AU360" s="1369"/>
      <c r="AV360" s="1559"/>
      <c r="AW360" s="1412" t="str">
        <f t="shared" si="612"/>
        <v>Price</v>
      </c>
      <c r="AX360" s="1413" t="str">
        <f t="shared" si="612"/>
        <v>[Service]</v>
      </c>
      <c r="AY360" s="1414" t="str">
        <f t="shared" si="613"/>
        <v>[Price]</v>
      </c>
      <c r="AZ360" s="1415" t="str">
        <f t="shared" si="705"/>
        <v>-</v>
      </c>
      <c r="BA360" s="1415" t="str">
        <f t="shared" si="705"/>
        <v>-</v>
      </c>
      <c r="BB360" s="1415" t="str">
        <f t="shared" si="705"/>
        <v>-</v>
      </c>
      <c r="BC360" s="1415" t="str">
        <f t="shared" si="615"/>
        <v>-</v>
      </c>
      <c r="BD360" s="1415" t="str">
        <f t="shared" si="616"/>
        <v>-</v>
      </c>
      <c r="BE360" s="1415" t="str">
        <f t="shared" si="617"/>
        <v>-</v>
      </c>
      <c r="BF360" s="1415" t="str">
        <f t="shared" si="618"/>
        <v>-</v>
      </c>
      <c r="BG360" s="1416" t="str">
        <f t="shared" si="619"/>
        <v>-</v>
      </c>
      <c r="BH360" s="1417" t="str">
        <f t="shared" si="620"/>
        <v>-</v>
      </c>
      <c r="BI360" s="1417" t="str">
        <f t="shared" si="621"/>
        <v>-</v>
      </c>
      <c r="BJ360" s="1417" t="str">
        <f t="shared" si="622"/>
        <v>-</v>
      </c>
      <c r="BK360" s="1417" t="str">
        <f t="shared" si="623"/>
        <v>-</v>
      </c>
      <c r="BL360" s="1418" t="str">
        <f t="shared" si="624"/>
        <v>-</v>
      </c>
      <c r="BM360" s="1417" t="str">
        <f t="shared" si="625"/>
        <v>-</v>
      </c>
      <c r="BN360" s="1417" t="str">
        <f t="shared" si="626"/>
        <v>-</v>
      </c>
      <c r="BO360" s="1417" t="str">
        <f t="shared" si="627"/>
        <v>-</v>
      </c>
      <c r="BP360" s="1417" t="str">
        <f t="shared" si="628"/>
        <v>-</v>
      </c>
      <c r="BQ360" s="1419" t="str">
        <f t="shared" si="629"/>
        <v>-</v>
      </c>
      <c r="BR360" s="1378"/>
      <c r="BS360" s="1420"/>
      <c r="BT360" s="1421"/>
      <c r="BU360" s="1422"/>
      <c r="BV360" s="1423"/>
      <c r="BW360" s="1378"/>
      <c r="BX360" s="1412" t="str">
        <f t="shared" si="630"/>
        <v>Price</v>
      </c>
      <c r="BY360" s="1413" t="str">
        <f t="shared" si="631"/>
        <v>[Service]</v>
      </c>
      <c r="BZ360" s="1414" t="str">
        <f t="shared" si="632"/>
        <v>[Price]</v>
      </c>
      <c r="CA360" s="1424" t="str">
        <f t="shared" ref="CA360:CR360" si="714">IFERROR((P360/O360-1)*(O362/O$13),"-")</f>
        <v>-</v>
      </c>
      <c r="CB360" s="1415" t="str">
        <f t="shared" si="714"/>
        <v>-</v>
      </c>
      <c r="CC360" s="1415" t="str">
        <f t="shared" si="714"/>
        <v>-</v>
      </c>
      <c r="CD360" s="1415" t="str">
        <f t="shared" si="714"/>
        <v>-</v>
      </c>
      <c r="CE360" s="1415" t="str">
        <f t="shared" si="714"/>
        <v>-</v>
      </c>
      <c r="CF360" s="1415" t="str">
        <f t="shared" si="714"/>
        <v>-</v>
      </c>
      <c r="CG360" s="1415" t="str">
        <f t="shared" si="714"/>
        <v>-</v>
      </c>
      <c r="CH360" s="1425" t="str">
        <f t="shared" si="714"/>
        <v>-</v>
      </c>
      <c r="CI360" s="1417" t="str">
        <f t="shared" si="714"/>
        <v>-</v>
      </c>
      <c r="CJ360" s="1417" t="str">
        <f t="shared" si="714"/>
        <v>-</v>
      </c>
      <c r="CK360" s="1417" t="str">
        <f t="shared" si="714"/>
        <v>-</v>
      </c>
      <c r="CL360" s="1417" t="str">
        <f t="shared" si="714"/>
        <v>-</v>
      </c>
      <c r="CM360" s="1418" t="str">
        <f t="shared" si="714"/>
        <v>-</v>
      </c>
      <c r="CN360" s="1417" t="str">
        <f t="shared" si="714"/>
        <v>-</v>
      </c>
      <c r="CO360" s="1417" t="str">
        <f t="shared" si="714"/>
        <v>-</v>
      </c>
      <c r="CP360" s="1417" t="str">
        <f t="shared" si="714"/>
        <v>-</v>
      </c>
      <c r="CQ360" s="1417" t="str">
        <f t="shared" si="714"/>
        <v>-</v>
      </c>
      <c r="CR360" s="1419" t="str">
        <f t="shared" si="714"/>
        <v>-</v>
      </c>
      <c r="CS360" s="1378"/>
      <c r="CT360" s="1412" t="str">
        <f t="shared" si="609"/>
        <v>Price</v>
      </c>
      <c r="CU360" s="1413" t="str">
        <f t="shared" si="610"/>
        <v>[Service]</v>
      </c>
      <c r="CV360" s="1426" t="str">
        <f t="shared" si="611"/>
        <v>[Price]</v>
      </c>
      <c r="CW360" s="1427" t="str">
        <f t="shared" si="634"/>
        <v>-</v>
      </c>
      <c r="CX360" s="1417" t="str">
        <f t="shared" si="635"/>
        <v>-</v>
      </c>
      <c r="CY360" s="1417" t="str">
        <f t="shared" si="636"/>
        <v>-</v>
      </c>
      <c r="CZ360" s="1419" t="str">
        <f t="shared" si="637"/>
        <v>-</v>
      </c>
      <c r="DA360" s="1417" t="str">
        <f t="shared" si="638"/>
        <v>-</v>
      </c>
      <c r="DB360" s="1417" t="str">
        <f t="shared" si="639"/>
        <v>-</v>
      </c>
      <c r="DC360" s="1417" t="str">
        <f t="shared" si="640"/>
        <v>-</v>
      </c>
      <c r="DD360" s="1417" t="str">
        <f t="shared" si="641"/>
        <v>-</v>
      </c>
      <c r="DE360" s="1419" t="str">
        <f t="shared" si="642"/>
        <v>-</v>
      </c>
      <c r="DF360" s="1378"/>
      <c r="DG360" s="1412" t="str">
        <f t="shared" si="643"/>
        <v>Price</v>
      </c>
      <c r="DH360" s="1413" t="str">
        <f t="shared" si="643"/>
        <v>[Service]</v>
      </c>
      <c r="DI360" s="1426" t="str">
        <f t="shared" si="643"/>
        <v>[Price]</v>
      </c>
      <c r="DJ360" s="1426"/>
      <c r="DK360" s="1427" t="str">
        <f t="shared" si="644"/>
        <v>-</v>
      </c>
      <c r="DL360" s="1417" t="str">
        <f t="shared" si="645"/>
        <v>-</v>
      </c>
      <c r="DM360" s="1417" t="str">
        <f t="shared" si="646"/>
        <v>-</v>
      </c>
      <c r="DN360" s="1418" t="str">
        <f t="shared" si="647"/>
        <v>-</v>
      </c>
      <c r="DO360" s="1417" t="str">
        <f t="shared" si="648"/>
        <v>-</v>
      </c>
      <c r="DP360" s="1417" t="str">
        <f t="shared" si="649"/>
        <v>-</v>
      </c>
      <c r="DQ360" s="1417" t="str">
        <f t="shared" si="650"/>
        <v>-</v>
      </c>
      <c r="DR360" s="1419" t="str">
        <f t="shared" si="651"/>
        <v>-</v>
      </c>
    </row>
    <row r="361" spans="4:122">
      <c r="E361" s="742" t="s">
        <v>45</v>
      </c>
      <c r="F361" s="722" t="str">
        <f>+F360</f>
        <v>[Service]</v>
      </c>
      <c r="G361" s="723">
        <f>+G360</f>
        <v>0</v>
      </c>
      <c r="H361" s="723">
        <f>+H360</f>
        <v>0</v>
      </c>
      <c r="I361" s="724" t="str">
        <f>+I360</f>
        <v>[Price]</v>
      </c>
      <c r="J361" s="782" t="s">
        <v>322</v>
      </c>
      <c r="K361" s="1540"/>
      <c r="L361" s="1541"/>
      <c r="M361" s="1541"/>
      <c r="N361" s="1542"/>
      <c r="O361" s="2031"/>
      <c r="P361" s="1543"/>
      <c r="Q361" s="1543"/>
      <c r="R361" s="1543"/>
      <c r="S361" s="1543"/>
      <c r="T361" s="1543"/>
      <c r="U361" s="1543"/>
      <c r="V361" s="1543"/>
      <c r="W361" s="1543"/>
      <c r="X361" s="1544"/>
      <c r="Y361" s="1543"/>
      <c r="Z361" s="1543"/>
      <c r="AA361" s="1543"/>
      <c r="AB361" s="1543"/>
      <c r="AC361" s="1544"/>
      <c r="AD361" s="1543"/>
      <c r="AE361" s="1543"/>
      <c r="AF361" s="1543"/>
      <c r="AG361" s="788"/>
      <c r="AH361" s="697"/>
      <c r="AI361" s="707"/>
      <c r="AJ361" s="709">
        <f t="shared" si="655"/>
        <v>0</v>
      </c>
      <c r="AK361" s="710">
        <f t="shared" si="656"/>
        <v>0</v>
      </c>
      <c r="AL361" s="710">
        <f t="shared" si="657"/>
        <v>0</v>
      </c>
      <c r="AM361" s="710">
        <f t="shared" si="658"/>
        <v>0</v>
      </c>
      <c r="AN361" s="710">
        <f t="shared" si="659"/>
        <v>0</v>
      </c>
      <c r="AO361" s="711">
        <f t="shared" si="660"/>
        <v>0</v>
      </c>
      <c r="AP361" s="707">
        <f t="shared" si="661"/>
        <v>0</v>
      </c>
      <c r="AQ361" s="707">
        <f t="shared" si="662"/>
        <v>0</v>
      </c>
      <c r="AR361" s="707">
        <f t="shared" si="663"/>
        <v>0</v>
      </c>
      <c r="AS361" s="712">
        <f t="shared" si="664"/>
        <v>0</v>
      </c>
      <c r="AV361" s="1559"/>
      <c r="AW361" s="1392" t="str">
        <f t="shared" si="612"/>
        <v>Qty</v>
      </c>
      <c r="AX361" s="1393" t="str">
        <f t="shared" si="612"/>
        <v>[Service]</v>
      </c>
      <c r="AY361" s="1394" t="str">
        <f t="shared" si="613"/>
        <v>[Price]</v>
      </c>
      <c r="AZ361" s="1395" t="str">
        <f t="shared" si="705"/>
        <v>-</v>
      </c>
      <c r="BA361" s="1395" t="str">
        <f t="shared" si="705"/>
        <v>-</v>
      </c>
      <c r="BB361" s="1395" t="str">
        <f t="shared" si="705"/>
        <v>-</v>
      </c>
      <c r="BC361" s="1395" t="str">
        <f t="shared" si="615"/>
        <v>-</v>
      </c>
      <c r="BD361" s="1395" t="str">
        <f t="shared" si="616"/>
        <v>-</v>
      </c>
      <c r="BE361" s="1395" t="str">
        <f t="shared" si="617"/>
        <v>-</v>
      </c>
      <c r="BF361" s="1395" t="str">
        <f t="shared" si="618"/>
        <v>-</v>
      </c>
      <c r="BG361" s="1396" t="str">
        <f t="shared" si="619"/>
        <v>-</v>
      </c>
      <c r="BH361" s="1395" t="str">
        <f t="shared" si="620"/>
        <v>-</v>
      </c>
      <c r="BI361" s="1395" t="str">
        <f t="shared" si="621"/>
        <v>-</v>
      </c>
      <c r="BJ361" s="1395" t="str">
        <f t="shared" si="622"/>
        <v>-</v>
      </c>
      <c r="BK361" s="1395" t="str">
        <f t="shared" si="623"/>
        <v>-</v>
      </c>
      <c r="BL361" s="1397" t="str">
        <f t="shared" si="624"/>
        <v>-</v>
      </c>
      <c r="BM361" s="1395" t="str">
        <f t="shared" si="625"/>
        <v>-</v>
      </c>
      <c r="BN361" s="1395" t="str">
        <f t="shared" si="626"/>
        <v>-</v>
      </c>
      <c r="BO361" s="1395" t="str">
        <f t="shared" si="627"/>
        <v>-</v>
      </c>
      <c r="BP361" s="1395" t="str">
        <f t="shared" si="628"/>
        <v>-</v>
      </c>
      <c r="BQ361" s="1398" t="str">
        <f t="shared" si="629"/>
        <v>-</v>
      </c>
      <c r="BR361" s="1378"/>
      <c r="BS361" s="1329"/>
      <c r="BT361" s="1399"/>
      <c r="BU361" s="1331"/>
      <c r="BV361" s="1400"/>
      <c r="BW361" s="1378"/>
      <c r="BX361" s="1392" t="str">
        <f t="shared" si="630"/>
        <v>Qty</v>
      </c>
      <c r="BY361" s="1393" t="str">
        <f t="shared" si="631"/>
        <v>[Service]</v>
      </c>
      <c r="BZ361" s="1394" t="str">
        <f t="shared" si="632"/>
        <v>[Price]</v>
      </c>
      <c r="CA361" s="1401" t="str">
        <f t="shared" ref="CA361:CR361" si="715">IFERROR((P361/O361-1)*(O362/O$13),"-")</f>
        <v>-</v>
      </c>
      <c r="CB361" s="1395" t="str">
        <f t="shared" si="715"/>
        <v>-</v>
      </c>
      <c r="CC361" s="1395" t="str">
        <f t="shared" si="715"/>
        <v>-</v>
      </c>
      <c r="CD361" s="1395" t="str">
        <f t="shared" si="715"/>
        <v>-</v>
      </c>
      <c r="CE361" s="1395" t="str">
        <f t="shared" si="715"/>
        <v>-</v>
      </c>
      <c r="CF361" s="1395" t="str">
        <f t="shared" si="715"/>
        <v>-</v>
      </c>
      <c r="CG361" s="1395" t="str">
        <f t="shared" si="715"/>
        <v>-</v>
      </c>
      <c r="CH361" s="1397" t="str">
        <f t="shared" si="715"/>
        <v>-</v>
      </c>
      <c r="CI361" s="1395" t="str">
        <f t="shared" si="715"/>
        <v>-</v>
      </c>
      <c r="CJ361" s="1395" t="str">
        <f t="shared" si="715"/>
        <v>-</v>
      </c>
      <c r="CK361" s="1395" t="str">
        <f t="shared" si="715"/>
        <v>-</v>
      </c>
      <c r="CL361" s="1395" t="str">
        <f t="shared" si="715"/>
        <v>-</v>
      </c>
      <c r="CM361" s="1397" t="str">
        <f t="shared" si="715"/>
        <v>-</v>
      </c>
      <c r="CN361" s="1395" t="str">
        <f t="shared" si="715"/>
        <v>-</v>
      </c>
      <c r="CO361" s="1395" t="str">
        <f t="shared" si="715"/>
        <v>-</v>
      </c>
      <c r="CP361" s="1395" t="str">
        <f t="shared" si="715"/>
        <v>-</v>
      </c>
      <c r="CQ361" s="1395" t="str">
        <f t="shared" si="715"/>
        <v>-</v>
      </c>
      <c r="CR361" s="1398" t="str">
        <f t="shared" si="715"/>
        <v>-</v>
      </c>
      <c r="CS361" s="1378"/>
      <c r="CT361" s="1392" t="str">
        <f t="shared" si="609"/>
        <v>Qty</v>
      </c>
      <c r="CU361" s="1393" t="str">
        <f t="shared" si="610"/>
        <v>[Service]</v>
      </c>
      <c r="CV361" s="1393" t="str">
        <f t="shared" si="611"/>
        <v>[Price]</v>
      </c>
      <c r="CW361" s="1401" t="str">
        <f t="shared" si="634"/>
        <v>-</v>
      </c>
      <c r="CX361" s="1395" t="str">
        <f t="shared" si="635"/>
        <v>-</v>
      </c>
      <c r="CY361" s="1395" t="str">
        <f t="shared" si="636"/>
        <v>-</v>
      </c>
      <c r="CZ361" s="1398" t="str">
        <f t="shared" si="637"/>
        <v>-</v>
      </c>
      <c r="DA361" s="1395" t="str">
        <f t="shared" si="638"/>
        <v>-</v>
      </c>
      <c r="DB361" s="1395" t="str">
        <f t="shared" si="639"/>
        <v>-</v>
      </c>
      <c r="DC361" s="1395" t="str">
        <f t="shared" si="640"/>
        <v>-</v>
      </c>
      <c r="DD361" s="1395" t="str">
        <f t="shared" si="641"/>
        <v>-</v>
      </c>
      <c r="DE361" s="1398" t="str">
        <f t="shared" si="642"/>
        <v>-</v>
      </c>
      <c r="DF361" s="1378"/>
      <c r="DG361" s="1392" t="str">
        <f t="shared" si="643"/>
        <v>Qty</v>
      </c>
      <c r="DH361" s="1393" t="str">
        <f t="shared" si="643"/>
        <v>[Service]</v>
      </c>
      <c r="DI361" s="1393" t="str">
        <f t="shared" si="643"/>
        <v>[Price]</v>
      </c>
      <c r="DJ361" s="1393"/>
      <c r="DK361" s="1401" t="str">
        <f t="shared" si="644"/>
        <v>-</v>
      </c>
      <c r="DL361" s="1395" t="str">
        <f t="shared" si="645"/>
        <v>-</v>
      </c>
      <c r="DM361" s="1395" t="str">
        <f t="shared" si="646"/>
        <v>-</v>
      </c>
      <c r="DN361" s="1397" t="str">
        <f t="shared" si="647"/>
        <v>-</v>
      </c>
      <c r="DO361" s="1395" t="str">
        <f t="shared" si="648"/>
        <v>-</v>
      </c>
      <c r="DP361" s="1395" t="str">
        <f t="shared" si="649"/>
        <v>-</v>
      </c>
      <c r="DQ361" s="1395" t="str">
        <f t="shared" si="650"/>
        <v>-</v>
      </c>
      <c r="DR361" s="1398" t="str">
        <f t="shared" si="651"/>
        <v>-</v>
      </c>
    </row>
    <row r="362" spans="4:122" ht="12.75" thickBot="1">
      <c r="E362" s="743" t="s">
        <v>46</v>
      </c>
      <c r="F362" s="732" t="str">
        <f>+F360</f>
        <v>[Service]</v>
      </c>
      <c r="G362" s="733">
        <f>+G360</f>
        <v>0</v>
      </c>
      <c r="H362" s="733">
        <f>+H360</f>
        <v>0</v>
      </c>
      <c r="I362" s="734" t="str">
        <f>+I360</f>
        <v>[Price]</v>
      </c>
      <c r="J362" s="735" t="s">
        <v>344</v>
      </c>
      <c r="K362" s="736">
        <f t="shared" ref="K362:AG362" si="716">K360*K361/10^6</f>
        <v>0</v>
      </c>
      <c r="L362" s="737">
        <f t="shared" si="716"/>
        <v>0</v>
      </c>
      <c r="M362" s="737">
        <f t="shared" si="716"/>
        <v>0</v>
      </c>
      <c r="N362" s="738">
        <f t="shared" si="716"/>
        <v>0</v>
      </c>
      <c r="O362" s="1923">
        <f t="shared" si="716"/>
        <v>0</v>
      </c>
      <c r="P362" s="737">
        <f t="shared" si="716"/>
        <v>0</v>
      </c>
      <c r="Q362" s="737">
        <f t="shared" si="716"/>
        <v>0</v>
      </c>
      <c r="R362" s="737">
        <f t="shared" si="716"/>
        <v>0</v>
      </c>
      <c r="S362" s="737">
        <f t="shared" si="716"/>
        <v>0</v>
      </c>
      <c r="T362" s="737">
        <f t="shared" si="716"/>
        <v>0</v>
      </c>
      <c r="U362" s="737">
        <f t="shared" si="716"/>
        <v>0</v>
      </c>
      <c r="V362" s="737">
        <f t="shared" si="716"/>
        <v>0</v>
      </c>
      <c r="W362" s="737">
        <f t="shared" si="716"/>
        <v>0</v>
      </c>
      <c r="X362" s="738">
        <f t="shared" si="716"/>
        <v>0</v>
      </c>
      <c r="Y362" s="737">
        <f t="shared" si="716"/>
        <v>0</v>
      </c>
      <c r="Z362" s="737">
        <f t="shared" si="716"/>
        <v>0</v>
      </c>
      <c r="AA362" s="737">
        <f t="shared" si="716"/>
        <v>0</v>
      </c>
      <c r="AB362" s="737">
        <f t="shared" si="716"/>
        <v>0</v>
      </c>
      <c r="AC362" s="738">
        <f t="shared" si="716"/>
        <v>0</v>
      </c>
      <c r="AD362" s="737">
        <f t="shared" si="716"/>
        <v>0</v>
      </c>
      <c r="AE362" s="737">
        <f t="shared" si="716"/>
        <v>0</v>
      </c>
      <c r="AF362" s="737">
        <f t="shared" si="716"/>
        <v>0</v>
      </c>
      <c r="AG362" s="739">
        <f t="shared" si="716"/>
        <v>0</v>
      </c>
      <c r="AH362" s="697"/>
      <c r="AI362" s="707"/>
      <c r="AJ362" s="709">
        <f t="shared" si="655"/>
        <v>0</v>
      </c>
      <c r="AK362" s="710">
        <f t="shared" si="656"/>
        <v>0</v>
      </c>
      <c r="AL362" s="710">
        <f t="shared" si="657"/>
        <v>0</v>
      </c>
      <c r="AM362" s="710">
        <f t="shared" si="658"/>
        <v>0</v>
      </c>
      <c r="AN362" s="710">
        <f t="shared" si="659"/>
        <v>0</v>
      </c>
      <c r="AO362" s="711">
        <f t="shared" si="660"/>
        <v>0</v>
      </c>
      <c r="AP362" s="707">
        <f t="shared" si="661"/>
        <v>0</v>
      </c>
      <c r="AQ362" s="707">
        <f t="shared" si="662"/>
        <v>0</v>
      </c>
      <c r="AR362" s="707">
        <f t="shared" si="663"/>
        <v>0</v>
      </c>
      <c r="AS362" s="712">
        <f t="shared" si="664"/>
        <v>0</v>
      </c>
      <c r="AV362" s="1559"/>
      <c r="AW362" s="1428" t="str">
        <f t="shared" si="612"/>
        <v>Rev</v>
      </c>
      <c r="AX362" s="1429" t="str">
        <f t="shared" si="612"/>
        <v>[Service]</v>
      </c>
      <c r="AY362" s="1430" t="str">
        <f t="shared" si="613"/>
        <v>[Price]</v>
      </c>
      <c r="AZ362" s="1431" t="str">
        <f t="shared" si="705"/>
        <v>-</v>
      </c>
      <c r="BA362" s="1431" t="str">
        <f t="shared" si="705"/>
        <v>-</v>
      </c>
      <c r="BB362" s="1431" t="str">
        <f t="shared" si="705"/>
        <v>-</v>
      </c>
      <c r="BC362" s="1431" t="str">
        <f t="shared" si="615"/>
        <v>-</v>
      </c>
      <c r="BD362" s="1431" t="str">
        <f t="shared" si="616"/>
        <v>-</v>
      </c>
      <c r="BE362" s="1431" t="str">
        <f t="shared" si="617"/>
        <v>-</v>
      </c>
      <c r="BF362" s="1431" t="str">
        <f t="shared" si="618"/>
        <v>-</v>
      </c>
      <c r="BG362" s="1432" t="str">
        <f t="shared" si="619"/>
        <v>-</v>
      </c>
      <c r="BH362" s="1431" t="str">
        <f t="shared" si="620"/>
        <v>-</v>
      </c>
      <c r="BI362" s="1431" t="str">
        <f t="shared" si="621"/>
        <v>-</v>
      </c>
      <c r="BJ362" s="1431" t="str">
        <f t="shared" si="622"/>
        <v>-</v>
      </c>
      <c r="BK362" s="1431" t="str">
        <f t="shared" si="623"/>
        <v>-</v>
      </c>
      <c r="BL362" s="1433" t="str">
        <f t="shared" si="624"/>
        <v>-</v>
      </c>
      <c r="BM362" s="1431" t="str">
        <f t="shared" si="625"/>
        <v>-</v>
      </c>
      <c r="BN362" s="1431" t="str">
        <f t="shared" si="626"/>
        <v>-</v>
      </c>
      <c r="BO362" s="1431" t="str">
        <f t="shared" si="627"/>
        <v>-</v>
      </c>
      <c r="BP362" s="1431" t="str">
        <f t="shared" si="628"/>
        <v>-</v>
      </c>
      <c r="BQ362" s="1434" t="str">
        <f t="shared" si="629"/>
        <v>-</v>
      </c>
      <c r="BR362" s="1378"/>
      <c r="BS362" s="1407"/>
      <c r="BT362" s="1408"/>
      <c r="BU362" s="1409"/>
      <c r="BV362" s="1410"/>
      <c r="BW362" s="1378"/>
      <c r="BX362" s="1428" t="str">
        <f t="shared" si="630"/>
        <v>Rev</v>
      </c>
      <c r="BY362" s="1429" t="str">
        <f t="shared" si="631"/>
        <v>[Service]</v>
      </c>
      <c r="BZ362" s="1430" t="str">
        <f t="shared" si="632"/>
        <v>[Price]</v>
      </c>
      <c r="CA362" s="1435" t="str">
        <f t="shared" ref="CA362:CR362" si="717">IFERROR((P362/O362-1)*(O362/O$13),"-")</f>
        <v>-</v>
      </c>
      <c r="CB362" s="1431" t="str">
        <f t="shared" si="717"/>
        <v>-</v>
      </c>
      <c r="CC362" s="1431" t="str">
        <f t="shared" si="717"/>
        <v>-</v>
      </c>
      <c r="CD362" s="1431" t="str">
        <f t="shared" si="717"/>
        <v>-</v>
      </c>
      <c r="CE362" s="1431" t="str">
        <f t="shared" si="717"/>
        <v>-</v>
      </c>
      <c r="CF362" s="1431" t="str">
        <f t="shared" si="717"/>
        <v>-</v>
      </c>
      <c r="CG362" s="1431" t="str">
        <f t="shared" si="717"/>
        <v>-</v>
      </c>
      <c r="CH362" s="1433" t="str">
        <f t="shared" si="717"/>
        <v>-</v>
      </c>
      <c r="CI362" s="1431" t="str">
        <f t="shared" si="717"/>
        <v>-</v>
      </c>
      <c r="CJ362" s="1431" t="str">
        <f t="shared" si="717"/>
        <v>-</v>
      </c>
      <c r="CK362" s="1431" t="str">
        <f t="shared" si="717"/>
        <v>-</v>
      </c>
      <c r="CL362" s="1431" t="str">
        <f t="shared" si="717"/>
        <v>-</v>
      </c>
      <c r="CM362" s="1433" t="str">
        <f t="shared" si="717"/>
        <v>-</v>
      </c>
      <c r="CN362" s="1431" t="str">
        <f t="shared" si="717"/>
        <v>-</v>
      </c>
      <c r="CO362" s="1431" t="str">
        <f t="shared" si="717"/>
        <v>-</v>
      </c>
      <c r="CP362" s="1431" t="str">
        <f t="shared" si="717"/>
        <v>-</v>
      </c>
      <c r="CQ362" s="1431" t="str">
        <f t="shared" si="717"/>
        <v>-</v>
      </c>
      <c r="CR362" s="1434" t="str">
        <f t="shared" si="717"/>
        <v>-</v>
      </c>
      <c r="CS362" s="1378"/>
      <c r="CT362" s="1428" t="str">
        <f t="shared" si="609"/>
        <v>Rev</v>
      </c>
      <c r="CU362" s="1429" t="str">
        <f t="shared" si="610"/>
        <v>[Service]</v>
      </c>
      <c r="CV362" s="1429" t="str">
        <f t="shared" si="611"/>
        <v>[Price]</v>
      </c>
      <c r="CW362" s="1435" t="str">
        <f t="shared" si="634"/>
        <v>-</v>
      </c>
      <c r="CX362" s="1431" t="str">
        <f t="shared" si="635"/>
        <v>-</v>
      </c>
      <c r="CY362" s="1431" t="str">
        <f t="shared" si="636"/>
        <v>-</v>
      </c>
      <c r="CZ362" s="1434" t="str">
        <f t="shared" si="637"/>
        <v>-</v>
      </c>
      <c r="DA362" s="1431" t="str">
        <f t="shared" si="638"/>
        <v>-</v>
      </c>
      <c r="DB362" s="1431" t="str">
        <f t="shared" si="639"/>
        <v>-</v>
      </c>
      <c r="DC362" s="1431" t="str">
        <f t="shared" si="640"/>
        <v>-</v>
      </c>
      <c r="DD362" s="1431" t="str">
        <f t="shared" si="641"/>
        <v>-</v>
      </c>
      <c r="DE362" s="1434" t="str">
        <f t="shared" si="642"/>
        <v>-</v>
      </c>
      <c r="DF362" s="1378"/>
      <c r="DG362" s="1428" t="str">
        <f t="shared" si="643"/>
        <v>Rev</v>
      </c>
      <c r="DH362" s="1429" t="str">
        <f t="shared" si="643"/>
        <v>[Service]</v>
      </c>
      <c r="DI362" s="1429" t="str">
        <f t="shared" si="643"/>
        <v>[Price]</v>
      </c>
      <c r="DJ362" s="1429"/>
      <c r="DK362" s="1435" t="str">
        <f t="shared" si="644"/>
        <v>-</v>
      </c>
      <c r="DL362" s="1431" t="str">
        <f t="shared" si="645"/>
        <v>-</v>
      </c>
      <c r="DM362" s="1431" t="str">
        <f t="shared" si="646"/>
        <v>-</v>
      </c>
      <c r="DN362" s="1433" t="str">
        <f t="shared" si="647"/>
        <v>-</v>
      </c>
      <c r="DO362" s="1431" t="str">
        <f t="shared" si="648"/>
        <v>-</v>
      </c>
      <c r="DP362" s="1431" t="str">
        <f t="shared" si="649"/>
        <v>-</v>
      </c>
      <c r="DQ362" s="1431" t="str">
        <f t="shared" si="650"/>
        <v>-</v>
      </c>
      <c r="DR362" s="1434" t="str">
        <f t="shared" si="651"/>
        <v>-</v>
      </c>
    </row>
    <row r="363" spans="4:122">
      <c r="D363" s="70">
        <f>D360+1</f>
        <v>100</v>
      </c>
      <c r="E363" s="713" t="s">
        <v>44</v>
      </c>
      <c r="F363" s="1532" t="s">
        <v>27</v>
      </c>
      <c r="G363" s="1532"/>
      <c r="H363" s="1532"/>
      <c r="I363" s="781" t="s">
        <v>318</v>
      </c>
      <c r="J363" s="781" t="s">
        <v>345</v>
      </c>
      <c r="K363" s="1533"/>
      <c r="L363" s="1534"/>
      <c r="M363" s="1534"/>
      <c r="N363" s="1535"/>
      <c r="O363" s="2071"/>
      <c r="P363" s="1547"/>
      <c r="Q363" s="1547"/>
      <c r="R363" s="1547"/>
      <c r="S363" s="1547"/>
      <c r="T363" s="1547"/>
      <c r="U363" s="1547"/>
      <c r="V363" s="1547"/>
      <c r="W363" s="1547"/>
      <c r="X363" s="1548"/>
      <c r="Y363" s="1547"/>
      <c r="Z363" s="1547"/>
      <c r="AA363" s="1547"/>
      <c r="AB363" s="1547"/>
      <c r="AC363" s="1548"/>
      <c r="AD363" s="1547"/>
      <c r="AE363" s="1547"/>
      <c r="AF363" s="1547"/>
      <c r="AG363" s="785"/>
      <c r="AH363" s="697"/>
      <c r="AI363" s="707"/>
      <c r="AJ363" s="709">
        <f t="shared" si="655"/>
        <v>0</v>
      </c>
      <c r="AK363" s="710">
        <f t="shared" si="656"/>
        <v>0</v>
      </c>
      <c r="AL363" s="710">
        <f t="shared" si="657"/>
        <v>0</v>
      </c>
      <c r="AM363" s="710">
        <f t="shared" si="658"/>
        <v>0</v>
      </c>
      <c r="AN363" s="710">
        <f t="shared" si="659"/>
        <v>0</v>
      </c>
      <c r="AO363" s="711">
        <f t="shared" si="660"/>
        <v>0</v>
      </c>
      <c r="AP363" s="707">
        <f t="shared" si="661"/>
        <v>0</v>
      </c>
      <c r="AQ363" s="707">
        <f t="shared" si="662"/>
        <v>0</v>
      </c>
      <c r="AR363" s="707">
        <f t="shared" si="663"/>
        <v>0</v>
      </c>
      <c r="AS363" s="712">
        <f t="shared" si="664"/>
        <v>0</v>
      </c>
      <c r="AU363" s="1369"/>
      <c r="AV363" s="1559"/>
      <c r="AW363" s="1412" t="str">
        <f t="shared" si="612"/>
        <v>Price</v>
      </c>
      <c r="AX363" s="1413" t="str">
        <f t="shared" si="612"/>
        <v>[Service]</v>
      </c>
      <c r="AY363" s="1414" t="str">
        <f t="shared" si="613"/>
        <v>[Price]</v>
      </c>
      <c r="AZ363" s="1415" t="str">
        <f t="shared" si="705"/>
        <v>-</v>
      </c>
      <c r="BA363" s="1415" t="str">
        <f t="shared" si="705"/>
        <v>-</v>
      </c>
      <c r="BB363" s="1415" t="str">
        <f t="shared" si="705"/>
        <v>-</v>
      </c>
      <c r="BC363" s="1415" t="str">
        <f t="shared" si="615"/>
        <v>-</v>
      </c>
      <c r="BD363" s="1415" t="str">
        <f t="shared" si="616"/>
        <v>-</v>
      </c>
      <c r="BE363" s="1415" t="str">
        <f t="shared" si="617"/>
        <v>-</v>
      </c>
      <c r="BF363" s="1415" t="str">
        <f t="shared" si="618"/>
        <v>-</v>
      </c>
      <c r="BG363" s="1416" t="str">
        <f t="shared" si="619"/>
        <v>-</v>
      </c>
      <c r="BH363" s="1417" t="str">
        <f t="shared" si="620"/>
        <v>-</v>
      </c>
      <c r="BI363" s="1417" t="str">
        <f t="shared" si="621"/>
        <v>-</v>
      </c>
      <c r="BJ363" s="1417" t="str">
        <f t="shared" si="622"/>
        <v>-</v>
      </c>
      <c r="BK363" s="1417" t="str">
        <f t="shared" si="623"/>
        <v>-</v>
      </c>
      <c r="BL363" s="1418" t="str">
        <f t="shared" si="624"/>
        <v>-</v>
      </c>
      <c r="BM363" s="1417" t="str">
        <f t="shared" si="625"/>
        <v>-</v>
      </c>
      <c r="BN363" s="1417" t="str">
        <f t="shared" si="626"/>
        <v>-</v>
      </c>
      <c r="BO363" s="1417" t="str">
        <f t="shared" si="627"/>
        <v>-</v>
      </c>
      <c r="BP363" s="1417" t="str">
        <f t="shared" si="628"/>
        <v>-</v>
      </c>
      <c r="BQ363" s="1419" t="str">
        <f t="shared" si="629"/>
        <v>-</v>
      </c>
      <c r="BR363" s="1378"/>
      <c r="BS363" s="1420"/>
      <c r="BT363" s="1421"/>
      <c r="BU363" s="1422"/>
      <c r="BV363" s="1423"/>
      <c r="BW363" s="1378"/>
      <c r="BX363" s="1412" t="str">
        <f t="shared" si="630"/>
        <v>Price</v>
      </c>
      <c r="BY363" s="1413" t="str">
        <f t="shared" si="631"/>
        <v>[Service]</v>
      </c>
      <c r="BZ363" s="1414" t="str">
        <f t="shared" si="632"/>
        <v>[Price]</v>
      </c>
      <c r="CA363" s="1424" t="str">
        <f t="shared" ref="CA363:CR363" si="718">IFERROR((P363/O363-1)*(O365/O$13),"-")</f>
        <v>-</v>
      </c>
      <c r="CB363" s="1415" t="str">
        <f t="shared" si="718"/>
        <v>-</v>
      </c>
      <c r="CC363" s="1415" t="str">
        <f t="shared" si="718"/>
        <v>-</v>
      </c>
      <c r="CD363" s="1415" t="str">
        <f t="shared" si="718"/>
        <v>-</v>
      </c>
      <c r="CE363" s="1415" t="str">
        <f t="shared" si="718"/>
        <v>-</v>
      </c>
      <c r="CF363" s="1415" t="str">
        <f t="shared" si="718"/>
        <v>-</v>
      </c>
      <c r="CG363" s="1415" t="str">
        <f t="shared" si="718"/>
        <v>-</v>
      </c>
      <c r="CH363" s="1425" t="str">
        <f t="shared" si="718"/>
        <v>-</v>
      </c>
      <c r="CI363" s="1417" t="str">
        <f t="shared" si="718"/>
        <v>-</v>
      </c>
      <c r="CJ363" s="1417" t="str">
        <f t="shared" si="718"/>
        <v>-</v>
      </c>
      <c r="CK363" s="1417" t="str">
        <f t="shared" si="718"/>
        <v>-</v>
      </c>
      <c r="CL363" s="1417" t="str">
        <f t="shared" si="718"/>
        <v>-</v>
      </c>
      <c r="CM363" s="1418" t="str">
        <f t="shared" si="718"/>
        <v>-</v>
      </c>
      <c r="CN363" s="1417" t="str">
        <f t="shared" si="718"/>
        <v>-</v>
      </c>
      <c r="CO363" s="1417" t="str">
        <f t="shared" si="718"/>
        <v>-</v>
      </c>
      <c r="CP363" s="1417" t="str">
        <f t="shared" si="718"/>
        <v>-</v>
      </c>
      <c r="CQ363" s="1417" t="str">
        <f t="shared" si="718"/>
        <v>-</v>
      </c>
      <c r="CR363" s="1419" t="str">
        <f t="shared" si="718"/>
        <v>-</v>
      </c>
      <c r="CS363" s="1378"/>
      <c r="CT363" s="1412" t="str">
        <f t="shared" si="609"/>
        <v>Price</v>
      </c>
      <c r="CU363" s="1413" t="str">
        <f t="shared" si="610"/>
        <v>[Service]</v>
      </c>
      <c r="CV363" s="1426" t="str">
        <f t="shared" si="611"/>
        <v>[Price]</v>
      </c>
      <c r="CW363" s="1427" t="str">
        <f t="shared" si="634"/>
        <v>-</v>
      </c>
      <c r="CX363" s="1417" t="str">
        <f t="shared" si="635"/>
        <v>-</v>
      </c>
      <c r="CY363" s="1417" t="str">
        <f t="shared" si="636"/>
        <v>-</v>
      </c>
      <c r="CZ363" s="1419" t="str">
        <f t="shared" si="637"/>
        <v>-</v>
      </c>
      <c r="DA363" s="1417" t="str">
        <f t="shared" si="638"/>
        <v>-</v>
      </c>
      <c r="DB363" s="1417" t="str">
        <f t="shared" si="639"/>
        <v>-</v>
      </c>
      <c r="DC363" s="1417" t="str">
        <f t="shared" si="640"/>
        <v>-</v>
      </c>
      <c r="DD363" s="1417" t="str">
        <f t="shared" si="641"/>
        <v>-</v>
      </c>
      <c r="DE363" s="1419" t="str">
        <f t="shared" si="642"/>
        <v>-</v>
      </c>
      <c r="DF363" s="1378"/>
      <c r="DG363" s="1412" t="str">
        <f t="shared" si="643"/>
        <v>Price</v>
      </c>
      <c r="DH363" s="1413" t="str">
        <f t="shared" si="643"/>
        <v>[Service]</v>
      </c>
      <c r="DI363" s="1426" t="str">
        <f t="shared" si="643"/>
        <v>[Price]</v>
      </c>
      <c r="DJ363" s="1426"/>
      <c r="DK363" s="1427" t="str">
        <f t="shared" si="644"/>
        <v>-</v>
      </c>
      <c r="DL363" s="1417" t="str">
        <f t="shared" si="645"/>
        <v>-</v>
      </c>
      <c r="DM363" s="1417" t="str">
        <f t="shared" si="646"/>
        <v>-</v>
      </c>
      <c r="DN363" s="1418" t="str">
        <f t="shared" si="647"/>
        <v>-</v>
      </c>
      <c r="DO363" s="1417" t="str">
        <f t="shared" si="648"/>
        <v>-</v>
      </c>
      <c r="DP363" s="1417" t="str">
        <f t="shared" si="649"/>
        <v>-</v>
      </c>
      <c r="DQ363" s="1417" t="str">
        <f t="shared" si="650"/>
        <v>-</v>
      </c>
      <c r="DR363" s="1419" t="str">
        <f t="shared" si="651"/>
        <v>-</v>
      </c>
    </row>
    <row r="364" spans="4:122">
      <c r="E364" s="742" t="s">
        <v>45</v>
      </c>
      <c r="F364" s="722" t="str">
        <f>+F363</f>
        <v>[Service]</v>
      </c>
      <c r="G364" s="723">
        <f>+G363</f>
        <v>0</v>
      </c>
      <c r="H364" s="723">
        <f>+H363</f>
        <v>0</v>
      </c>
      <c r="I364" s="724" t="str">
        <f>+I363</f>
        <v>[Price]</v>
      </c>
      <c r="J364" s="782" t="s">
        <v>322</v>
      </c>
      <c r="K364" s="1540"/>
      <c r="L364" s="1541"/>
      <c r="M364" s="1541"/>
      <c r="N364" s="1542"/>
      <c r="O364" s="2031"/>
      <c r="P364" s="1543"/>
      <c r="Q364" s="1543"/>
      <c r="R364" s="1543"/>
      <c r="S364" s="1543"/>
      <c r="T364" s="1543"/>
      <c r="U364" s="1543"/>
      <c r="V364" s="1543"/>
      <c r="W364" s="1543"/>
      <c r="X364" s="1544"/>
      <c r="Y364" s="1543"/>
      <c r="Z364" s="1543"/>
      <c r="AA364" s="1543"/>
      <c r="AB364" s="1543"/>
      <c r="AC364" s="1544"/>
      <c r="AD364" s="1543"/>
      <c r="AE364" s="1543"/>
      <c r="AF364" s="1543"/>
      <c r="AG364" s="788"/>
      <c r="AH364" s="697"/>
      <c r="AI364" s="707"/>
      <c r="AJ364" s="709">
        <f t="shared" si="655"/>
        <v>0</v>
      </c>
      <c r="AK364" s="710">
        <f t="shared" si="656"/>
        <v>0</v>
      </c>
      <c r="AL364" s="710">
        <f t="shared" si="657"/>
        <v>0</v>
      </c>
      <c r="AM364" s="710">
        <f t="shared" si="658"/>
        <v>0</v>
      </c>
      <c r="AN364" s="710">
        <f t="shared" si="659"/>
        <v>0</v>
      </c>
      <c r="AO364" s="711">
        <f t="shared" si="660"/>
        <v>0</v>
      </c>
      <c r="AP364" s="707">
        <f t="shared" si="661"/>
        <v>0</v>
      </c>
      <c r="AQ364" s="707">
        <f t="shared" si="662"/>
        <v>0</v>
      </c>
      <c r="AR364" s="707">
        <f t="shared" si="663"/>
        <v>0</v>
      </c>
      <c r="AS364" s="712">
        <f t="shared" si="664"/>
        <v>0</v>
      </c>
      <c r="AV364" s="1559"/>
      <c r="AW364" s="1392" t="str">
        <f t="shared" si="612"/>
        <v>Qty</v>
      </c>
      <c r="AX364" s="1393" t="str">
        <f t="shared" si="612"/>
        <v>[Service]</v>
      </c>
      <c r="AY364" s="1394" t="str">
        <f t="shared" si="613"/>
        <v>[Price]</v>
      </c>
      <c r="AZ364" s="1395" t="str">
        <f t="shared" si="705"/>
        <v>-</v>
      </c>
      <c r="BA364" s="1395" t="str">
        <f t="shared" si="705"/>
        <v>-</v>
      </c>
      <c r="BB364" s="1395" t="str">
        <f t="shared" si="705"/>
        <v>-</v>
      </c>
      <c r="BC364" s="1395" t="str">
        <f t="shared" si="615"/>
        <v>-</v>
      </c>
      <c r="BD364" s="1395" t="str">
        <f t="shared" si="616"/>
        <v>-</v>
      </c>
      <c r="BE364" s="1395" t="str">
        <f t="shared" si="617"/>
        <v>-</v>
      </c>
      <c r="BF364" s="1395" t="str">
        <f t="shared" si="618"/>
        <v>-</v>
      </c>
      <c r="BG364" s="1396" t="str">
        <f t="shared" si="619"/>
        <v>-</v>
      </c>
      <c r="BH364" s="1395" t="str">
        <f t="shared" si="620"/>
        <v>-</v>
      </c>
      <c r="BI364" s="1395" t="str">
        <f t="shared" si="621"/>
        <v>-</v>
      </c>
      <c r="BJ364" s="1395" t="str">
        <f t="shared" si="622"/>
        <v>-</v>
      </c>
      <c r="BK364" s="1395" t="str">
        <f t="shared" si="623"/>
        <v>-</v>
      </c>
      <c r="BL364" s="1397" t="str">
        <f t="shared" si="624"/>
        <v>-</v>
      </c>
      <c r="BM364" s="1395" t="str">
        <f t="shared" si="625"/>
        <v>-</v>
      </c>
      <c r="BN364" s="1395" t="str">
        <f t="shared" si="626"/>
        <v>-</v>
      </c>
      <c r="BO364" s="1395" t="str">
        <f t="shared" si="627"/>
        <v>-</v>
      </c>
      <c r="BP364" s="1395" t="str">
        <f t="shared" si="628"/>
        <v>-</v>
      </c>
      <c r="BQ364" s="1398" t="str">
        <f t="shared" si="629"/>
        <v>-</v>
      </c>
      <c r="BR364" s="1378"/>
      <c r="BS364" s="1329"/>
      <c r="BT364" s="1399"/>
      <c r="BU364" s="1331"/>
      <c r="BV364" s="1400"/>
      <c r="BW364" s="1378"/>
      <c r="BX364" s="1392" t="str">
        <f t="shared" si="630"/>
        <v>Qty</v>
      </c>
      <c r="BY364" s="1393" t="str">
        <f t="shared" si="631"/>
        <v>[Service]</v>
      </c>
      <c r="BZ364" s="1394" t="str">
        <f t="shared" si="632"/>
        <v>[Price]</v>
      </c>
      <c r="CA364" s="1401" t="str">
        <f t="shared" ref="CA364:CR364" si="719">IFERROR((P364/O364-1)*(O365/O$13),"-")</f>
        <v>-</v>
      </c>
      <c r="CB364" s="1395" t="str">
        <f t="shared" si="719"/>
        <v>-</v>
      </c>
      <c r="CC364" s="1395" t="str">
        <f t="shared" si="719"/>
        <v>-</v>
      </c>
      <c r="CD364" s="1395" t="str">
        <f t="shared" si="719"/>
        <v>-</v>
      </c>
      <c r="CE364" s="1395" t="str">
        <f t="shared" si="719"/>
        <v>-</v>
      </c>
      <c r="CF364" s="1395" t="str">
        <f t="shared" si="719"/>
        <v>-</v>
      </c>
      <c r="CG364" s="1395" t="str">
        <f t="shared" si="719"/>
        <v>-</v>
      </c>
      <c r="CH364" s="1397" t="str">
        <f t="shared" si="719"/>
        <v>-</v>
      </c>
      <c r="CI364" s="1395" t="str">
        <f t="shared" si="719"/>
        <v>-</v>
      </c>
      <c r="CJ364" s="1395" t="str">
        <f t="shared" si="719"/>
        <v>-</v>
      </c>
      <c r="CK364" s="1395" t="str">
        <f t="shared" si="719"/>
        <v>-</v>
      </c>
      <c r="CL364" s="1395" t="str">
        <f t="shared" si="719"/>
        <v>-</v>
      </c>
      <c r="CM364" s="1397" t="str">
        <f t="shared" si="719"/>
        <v>-</v>
      </c>
      <c r="CN364" s="1395" t="str">
        <f t="shared" si="719"/>
        <v>-</v>
      </c>
      <c r="CO364" s="1395" t="str">
        <f t="shared" si="719"/>
        <v>-</v>
      </c>
      <c r="CP364" s="1395" t="str">
        <f t="shared" si="719"/>
        <v>-</v>
      </c>
      <c r="CQ364" s="1395" t="str">
        <f t="shared" si="719"/>
        <v>-</v>
      </c>
      <c r="CR364" s="1398" t="str">
        <f t="shared" si="719"/>
        <v>-</v>
      </c>
      <c r="CS364" s="1378"/>
      <c r="CT364" s="1392" t="str">
        <f t="shared" si="609"/>
        <v>Qty</v>
      </c>
      <c r="CU364" s="1393" t="str">
        <f t="shared" si="610"/>
        <v>[Service]</v>
      </c>
      <c r="CV364" s="1393" t="str">
        <f t="shared" si="611"/>
        <v>[Price]</v>
      </c>
      <c r="CW364" s="1401" t="str">
        <f t="shared" si="634"/>
        <v>-</v>
      </c>
      <c r="CX364" s="1395" t="str">
        <f t="shared" si="635"/>
        <v>-</v>
      </c>
      <c r="CY364" s="1395" t="str">
        <f t="shared" si="636"/>
        <v>-</v>
      </c>
      <c r="CZ364" s="1398" t="str">
        <f t="shared" si="637"/>
        <v>-</v>
      </c>
      <c r="DA364" s="1395" t="str">
        <f t="shared" si="638"/>
        <v>-</v>
      </c>
      <c r="DB364" s="1395" t="str">
        <f t="shared" si="639"/>
        <v>-</v>
      </c>
      <c r="DC364" s="1395" t="str">
        <f t="shared" si="640"/>
        <v>-</v>
      </c>
      <c r="DD364" s="1395" t="str">
        <f t="shared" si="641"/>
        <v>-</v>
      </c>
      <c r="DE364" s="1398" t="str">
        <f t="shared" si="642"/>
        <v>-</v>
      </c>
      <c r="DF364" s="1378"/>
      <c r="DG364" s="1392" t="str">
        <f t="shared" si="643"/>
        <v>Qty</v>
      </c>
      <c r="DH364" s="1393" t="str">
        <f t="shared" si="643"/>
        <v>[Service]</v>
      </c>
      <c r="DI364" s="1393" t="str">
        <f t="shared" si="643"/>
        <v>[Price]</v>
      </c>
      <c r="DJ364" s="1393"/>
      <c r="DK364" s="1401" t="str">
        <f t="shared" si="644"/>
        <v>-</v>
      </c>
      <c r="DL364" s="1395" t="str">
        <f t="shared" si="645"/>
        <v>-</v>
      </c>
      <c r="DM364" s="1395" t="str">
        <f t="shared" si="646"/>
        <v>-</v>
      </c>
      <c r="DN364" s="1397" t="str">
        <f t="shared" si="647"/>
        <v>-</v>
      </c>
      <c r="DO364" s="1395" t="str">
        <f t="shared" si="648"/>
        <v>-</v>
      </c>
      <c r="DP364" s="1395" t="str">
        <f t="shared" si="649"/>
        <v>-</v>
      </c>
      <c r="DQ364" s="1395" t="str">
        <f t="shared" si="650"/>
        <v>-</v>
      </c>
      <c r="DR364" s="1398" t="str">
        <f t="shared" si="651"/>
        <v>-</v>
      </c>
    </row>
    <row r="365" spans="4:122" ht="12.75" thickBot="1">
      <c r="E365" s="743" t="s">
        <v>46</v>
      </c>
      <c r="F365" s="732" t="str">
        <f>+F363</f>
        <v>[Service]</v>
      </c>
      <c r="G365" s="733">
        <f>+G363</f>
        <v>0</v>
      </c>
      <c r="H365" s="733">
        <f>+H363</f>
        <v>0</v>
      </c>
      <c r="I365" s="734" t="str">
        <f>+I363</f>
        <v>[Price]</v>
      </c>
      <c r="J365" s="735" t="s">
        <v>344</v>
      </c>
      <c r="K365" s="736">
        <f t="shared" ref="K365:AG365" si="720">K363*K364/10^6</f>
        <v>0</v>
      </c>
      <c r="L365" s="737">
        <f t="shared" si="720"/>
        <v>0</v>
      </c>
      <c r="M365" s="737">
        <f t="shared" si="720"/>
        <v>0</v>
      </c>
      <c r="N365" s="738">
        <f t="shared" si="720"/>
        <v>0</v>
      </c>
      <c r="O365" s="1923">
        <f t="shared" si="720"/>
        <v>0</v>
      </c>
      <c r="P365" s="737">
        <f t="shared" si="720"/>
        <v>0</v>
      </c>
      <c r="Q365" s="737">
        <f t="shared" si="720"/>
        <v>0</v>
      </c>
      <c r="R365" s="737">
        <f t="shared" si="720"/>
        <v>0</v>
      </c>
      <c r="S365" s="737">
        <f t="shared" si="720"/>
        <v>0</v>
      </c>
      <c r="T365" s="737">
        <f t="shared" si="720"/>
        <v>0</v>
      </c>
      <c r="U365" s="737">
        <f t="shared" si="720"/>
        <v>0</v>
      </c>
      <c r="V365" s="737">
        <f t="shared" si="720"/>
        <v>0</v>
      </c>
      <c r="W365" s="737">
        <f t="shared" si="720"/>
        <v>0</v>
      </c>
      <c r="X365" s="738">
        <f t="shared" si="720"/>
        <v>0</v>
      </c>
      <c r="Y365" s="737">
        <f t="shared" si="720"/>
        <v>0</v>
      </c>
      <c r="Z365" s="737">
        <f t="shared" si="720"/>
        <v>0</v>
      </c>
      <c r="AA365" s="737">
        <f t="shared" si="720"/>
        <v>0</v>
      </c>
      <c r="AB365" s="737">
        <f t="shared" si="720"/>
        <v>0</v>
      </c>
      <c r="AC365" s="738">
        <f t="shared" si="720"/>
        <v>0</v>
      </c>
      <c r="AD365" s="737">
        <f t="shared" si="720"/>
        <v>0</v>
      </c>
      <c r="AE365" s="737">
        <f t="shared" si="720"/>
        <v>0</v>
      </c>
      <c r="AF365" s="737">
        <f t="shared" si="720"/>
        <v>0</v>
      </c>
      <c r="AG365" s="739">
        <f t="shared" si="720"/>
        <v>0</v>
      </c>
      <c r="AH365" s="697"/>
      <c r="AI365" s="707"/>
      <c r="AJ365" s="709">
        <f t="shared" si="655"/>
        <v>0</v>
      </c>
      <c r="AK365" s="710">
        <f t="shared" si="656"/>
        <v>0</v>
      </c>
      <c r="AL365" s="710">
        <f t="shared" si="657"/>
        <v>0</v>
      </c>
      <c r="AM365" s="710">
        <f t="shared" si="658"/>
        <v>0</v>
      </c>
      <c r="AN365" s="710">
        <f t="shared" si="659"/>
        <v>0</v>
      </c>
      <c r="AO365" s="711">
        <f t="shared" si="660"/>
        <v>0</v>
      </c>
      <c r="AP365" s="707">
        <f t="shared" si="661"/>
        <v>0</v>
      </c>
      <c r="AQ365" s="707">
        <f t="shared" si="662"/>
        <v>0</v>
      </c>
      <c r="AR365" s="707">
        <f t="shared" si="663"/>
        <v>0</v>
      </c>
      <c r="AS365" s="712">
        <f t="shared" si="664"/>
        <v>0</v>
      </c>
      <c r="AV365" s="1559"/>
      <c r="AW365" s="1428" t="str">
        <f t="shared" si="612"/>
        <v>Rev</v>
      </c>
      <c r="AX365" s="1429" t="str">
        <f t="shared" si="612"/>
        <v>[Service]</v>
      </c>
      <c r="AY365" s="1430" t="str">
        <f t="shared" si="613"/>
        <v>[Price]</v>
      </c>
      <c r="AZ365" s="1431" t="str">
        <f t="shared" si="705"/>
        <v>-</v>
      </c>
      <c r="BA365" s="1431" t="str">
        <f t="shared" si="705"/>
        <v>-</v>
      </c>
      <c r="BB365" s="1431" t="str">
        <f t="shared" si="705"/>
        <v>-</v>
      </c>
      <c r="BC365" s="1431" t="str">
        <f t="shared" si="615"/>
        <v>-</v>
      </c>
      <c r="BD365" s="1431" t="str">
        <f t="shared" si="616"/>
        <v>-</v>
      </c>
      <c r="BE365" s="1431" t="str">
        <f t="shared" si="617"/>
        <v>-</v>
      </c>
      <c r="BF365" s="1431" t="str">
        <f t="shared" si="618"/>
        <v>-</v>
      </c>
      <c r="BG365" s="1432" t="str">
        <f t="shared" si="619"/>
        <v>-</v>
      </c>
      <c r="BH365" s="1431" t="str">
        <f t="shared" si="620"/>
        <v>-</v>
      </c>
      <c r="BI365" s="1431" t="str">
        <f t="shared" si="621"/>
        <v>-</v>
      </c>
      <c r="BJ365" s="1431" t="str">
        <f t="shared" si="622"/>
        <v>-</v>
      </c>
      <c r="BK365" s="1431" t="str">
        <f t="shared" si="623"/>
        <v>-</v>
      </c>
      <c r="BL365" s="1433" t="str">
        <f t="shared" si="624"/>
        <v>-</v>
      </c>
      <c r="BM365" s="1431" t="str">
        <f t="shared" si="625"/>
        <v>-</v>
      </c>
      <c r="BN365" s="1431" t="str">
        <f t="shared" si="626"/>
        <v>-</v>
      </c>
      <c r="BO365" s="1431" t="str">
        <f t="shared" si="627"/>
        <v>-</v>
      </c>
      <c r="BP365" s="1431" t="str">
        <f t="shared" si="628"/>
        <v>-</v>
      </c>
      <c r="BQ365" s="1434" t="str">
        <f t="shared" si="629"/>
        <v>-</v>
      </c>
      <c r="BR365" s="1378"/>
      <c r="BS365" s="1407"/>
      <c r="BT365" s="1408"/>
      <c r="BU365" s="1409"/>
      <c r="BV365" s="1410"/>
      <c r="BW365" s="1378"/>
      <c r="BX365" s="1428" t="str">
        <f t="shared" si="630"/>
        <v>Rev</v>
      </c>
      <c r="BY365" s="1429" t="str">
        <f t="shared" si="631"/>
        <v>[Service]</v>
      </c>
      <c r="BZ365" s="1430" t="str">
        <f t="shared" si="632"/>
        <v>[Price]</v>
      </c>
      <c r="CA365" s="1435" t="str">
        <f t="shared" ref="CA365:CR365" si="721">IFERROR((P365/O365-1)*(O365/O$13),"-")</f>
        <v>-</v>
      </c>
      <c r="CB365" s="1431" t="str">
        <f t="shared" si="721"/>
        <v>-</v>
      </c>
      <c r="CC365" s="1431" t="str">
        <f t="shared" si="721"/>
        <v>-</v>
      </c>
      <c r="CD365" s="1431" t="str">
        <f t="shared" si="721"/>
        <v>-</v>
      </c>
      <c r="CE365" s="1431" t="str">
        <f t="shared" si="721"/>
        <v>-</v>
      </c>
      <c r="CF365" s="1431" t="str">
        <f t="shared" si="721"/>
        <v>-</v>
      </c>
      <c r="CG365" s="1431" t="str">
        <f t="shared" si="721"/>
        <v>-</v>
      </c>
      <c r="CH365" s="1433" t="str">
        <f t="shared" si="721"/>
        <v>-</v>
      </c>
      <c r="CI365" s="1431" t="str">
        <f t="shared" si="721"/>
        <v>-</v>
      </c>
      <c r="CJ365" s="1431" t="str">
        <f t="shared" si="721"/>
        <v>-</v>
      </c>
      <c r="CK365" s="1431" t="str">
        <f t="shared" si="721"/>
        <v>-</v>
      </c>
      <c r="CL365" s="1431" t="str">
        <f t="shared" si="721"/>
        <v>-</v>
      </c>
      <c r="CM365" s="1433" t="str">
        <f t="shared" si="721"/>
        <v>-</v>
      </c>
      <c r="CN365" s="1431" t="str">
        <f t="shared" si="721"/>
        <v>-</v>
      </c>
      <c r="CO365" s="1431" t="str">
        <f t="shared" si="721"/>
        <v>-</v>
      </c>
      <c r="CP365" s="1431" t="str">
        <f t="shared" si="721"/>
        <v>-</v>
      </c>
      <c r="CQ365" s="1431" t="str">
        <f t="shared" si="721"/>
        <v>-</v>
      </c>
      <c r="CR365" s="1434" t="str">
        <f t="shared" si="721"/>
        <v>-</v>
      </c>
      <c r="CS365" s="1378"/>
      <c r="CT365" s="1428" t="str">
        <f t="shared" si="609"/>
        <v>Rev</v>
      </c>
      <c r="CU365" s="1429" t="str">
        <f t="shared" si="610"/>
        <v>[Service]</v>
      </c>
      <c r="CV365" s="1429" t="str">
        <f t="shared" si="611"/>
        <v>[Price]</v>
      </c>
      <c r="CW365" s="1435" t="str">
        <f t="shared" si="634"/>
        <v>-</v>
      </c>
      <c r="CX365" s="1431" t="str">
        <f t="shared" si="635"/>
        <v>-</v>
      </c>
      <c r="CY365" s="1431" t="str">
        <f t="shared" si="636"/>
        <v>-</v>
      </c>
      <c r="CZ365" s="1434" t="str">
        <f t="shared" si="637"/>
        <v>-</v>
      </c>
      <c r="DA365" s="1431" t="str">
        <f t="shared" si="638"/>
        <v>-</v>
      </c>
      <c r="DB365" s="1431" t="str">
        <f t="shared" si="639"/>
        <v>-</v>
      </c>
      <c r="DC365" s="1431" t="str">
        <f t="shared" si="640"/>
        <v>-</v>
      </c>
      <c r="DD365" s="1431" t="str">
        <f t="shared" si="641"/>
        <v>-</v>
      </c>
      <c r="DE365" s="1434" t="str">
        <f t="shared" si="642"/>
        <v>-</v>
      </c>
      <c r="DF365" s="1378"/>
      <c r="DG365" s="1428" t="str">
        <f t="shared" si="643"/>
        <v>Rev</v>
      </c>
      <c r="DH365" s="1429" t="str">
        <f t="shared" si="643"/>
        <v>[Service]</v>
      </c>
      <c r="DI365" s="1429" t="str">
        <f t="shared" si="643"/>
        <v>[Price]</v>
      </c>
      <c r="DJ365" s="1429"/>
      <c r="DK365" s="1435" t="str">
        <f t="shared" si="644"/>
        <v>-</v>
      </c>
      <c r="DL365" s="1431" t="str">
        <f t="shared" si="645"/>
        <v>-</v>
      </c>
      <c r="DM365" s="1431" t="str">
        <f t="shared" si="646"/>
        <v>-</v>
      </c>
      <c r="DN365" s="1433" t="str">
        <f t="shared" si="647"/>
        <v>-</v>
      </c>
      <c r="DO365" s="1431" t="str">
        <f t="shared" si="648"/>
        <v>-</v>
      </c>
      <c r="DP365" s="1431" t="str">
        <f t="shared" si="649"/>
        <v>-</v>
      </c>
      <c r="DQ365" s="1431" t="str">
        <f t="shared" si="650"/>
        <v>-</v>
      </c>
      <c r="DR365" s="1434" t="str">
        <f t="shared" si="651"/>
        <v>-</v>
      </c>
    </row>
    <row r="366" spans="4:122">
      <c r="D366" s="70">
        <f>D363+1</f>
        <v>101</v>
      </c>
      <c r="E366" s="713" t="s">
        <v>44</v>
      </c>
      <c r="F366" s="1532" t="s">
        <v>27</v>
      </c>
      <c r="G366" s="1532"/>
      <c r="H366" s="1532"/>
      <c r="I366" s="781" t="s">
        <v>318</v>
      </c>
      <c r="J366" s="781" t="s">
        <v>345</v>
      </c>
      <c r="K366" s="1533"/>
      <c r="L366" s="1534"/>
      <c r="M366" s="1534"/>
      <c r="N366" s="1535"/>
      <c r="O366" s="2071"/>
      <c r="P366" s="1547"/>
      <c r="Q366" s="1547"/>
      <c r="R366" s="1547"/>
      <c r="S366" s="1547"/>
      <c r="T366" s="1547"/>
      <c r="U366" s="1547"/>
      <c r="V366" s="1547"/>
      <c r="W366" s="1547"/>
      <c r="X366" s="1548"/>
      <c r="Y366" s="1547"/>
      <c r="Z366" s="1547"/>
      <c r="AA366" s="1547"/>
      <c r="AB366" s="1547"/>
      <c r="AC366" s="1548"/>
      <c r="AD366" s="1547"/>
      <c r="AE366" s="1547"/>
      <c r="AF366" s="1547"/>
      <c r="AG366" s="785"/>
      <c r="AH366" s="697"/>
      <c r="AI366" s="707"/>
      <c r="AJ366" s="709">
        <f t="shared" si="655"/>
        <v>0</v>
      </c>
      <c r="AK366" s="710">
        <f t="shared" si="656"/>
        <v>0</v>
      </c>
      <c r="AL366" s="710">
        <f t="shared" si="657"/>
        <v>0</v>
      </c>
      <c r="AM366" s="710">
        <f t="shared" si="658"/>
        <v>0</v>
      </c>
      <c r="AN366" s="710">
        <f t="shared" si="659"/>
        <v>0</v>
      </c>
      <c r="AO366" s="711">
        <f t="shared" si="660"/>
        <v>0</v>
      </c>
      <c r="AP366" s="707">
        <f t="shared" si="661"/>
        <v>0</v>
      </c>
      <c r="AQ366" s="707">
        <f t="shared" si="662"/>
        <v>0</v>
      </c>
      <c r="AR366" s="707">
        <f t="shared" si="663"/>
        <v>0</v>
      </c>
      <c r="AS366" s="712">
        <f t="shared" si="664"/>
        <v>0</v>
      </c>
      <c r="AU366" s="1369"/>
      <c r="AV366" s="1559"/>
      <c r="AW366" s="1412" t="str">
        <f t="shared" si="612"/>
        <v>Price</v>
      </c>
      <c r="AX366" s="1413" t="str">
        <f t="shared" si="612"/>
        <v>[Service]</v>
      </c>
      <c r="AY366" s="1414" t="str">
        <f t="shared" si="613"/>
        <v>[Price]</v>
      </c>
      <c r="AZ366" s="1415" t="str">
        <f t="shared" si="705"/>
        <v>-</v>
      </c>
      <c r="BA366" s="1415" t="str">
        <f t="shared" si="705"/>
        <v>-</v>
      </c>
      <c r="BB366" s="1415" t="str">
        <f t="shared" si="705"/>
        <v>-</v>
      </c>
      <c r="BC366" s="1415" t="str">
        <f t="shared" si="615"/>
        <v>-</v>
      </c>
      <c r="BD366" s="1415" t="str">
        <f t="shared" si="616"/>
        <v>-</v>
      </c>
      <c r="BE366" s="1415" t="str">
        <f t="shared" si="617"/>
        <v>-</v>
      </c>
      <c r="BF366" s="1415" t="str">
        <f t="shared" si="618"/>
        <v>-</v>
      </c>
      <c r="BG366" s="1416" t="str">
        <f t="shared" si="619"/>
        <v>-</v>
      </c>
      <c r="BH366" s="1417" t="str">
        <f t="shared" si="620"/>
        <v>-</v>
      </c>
      <c r="BI366" s="1417" t="str">
        <f t="shared" si="621"/>
        <v>-</v>
      </c>
      <c r="BJ366" s="1417" t="str">
        <f t="shared" si="622"/>
        <v>-</v>
      </c>
      <c r="BK366" s="1417" t="str">
        <f t="shared" si="623"/>
        <v>-</v>
      </c>
      <c r="BL366" s="1418" t="str">
        <f t="shared" si="624"/>
        <v>-</v>
      </c>
      <c r="BM366" s="1417" t="str">
        <f t="shared" si="625"/>
        <v>-</v>
      </c>
      <c r="BN366" s="1417" t="str">
        <f t="shared" si="626"/>
        <v>-</v>
      </c>
      <c r="BO366" s="1417" t="str">
        <f t="shared" si="627"/>
        <v>-</v>
      </c>
      <c r="BP366" s="1417" t="str">
        <f t="shared" si="628"/>
        <v>-</v>
      </c>
      <c r="BQ366" s="1419" t="str">
        <f t="shared" si="629"/>
        <v>-</v>
      </c>
      <c r="BR366" s="1378"/>
      <c r="BS366" s="1420"/>
      <c r="BT366" s="1421"/>
      <c r="BU366" s="1422"/>
      <c r="BV366" s="1423"/>
      <c r="BW366" s="1378"/>
      <c r="BX366" s="1412" t="str">
        <f t="shared" si="630"/>
        <v>Price</v>
      </c>
      <c r="BY366" s="1413" t="str">
        <f t="shared" si="631"/>
        <v>[Service]</v>
      </c>
      <c r="BZ366" s="1414" t="str">
        <f t="shared" si="632"/>
        <v>[Price]</v>
      </c>
      <c r="CA366" s="1424" t="str">
        <f t="shared" ref="CA366:CR366" si="722">IFERROR((P366/O366-1)*(O368/O$13),"-")</f>
        <v>-</v>
      </c>
      <c r="CB366" s="1415" t="str">
        <f t="shared" si="722"/>
        <v>-</v>
      </c>
      <c r="CC366" s="1415" t="str">
        <f t="shared" si="722"/>
        <v>-</v>
      </c>
      <c r="CD366" s="1415" t="str">
        <f t="shared" si="722"/>
        <v>-</v>
      </c>
      <c r="CE366" s="1415" t="str">
        <f t="shared" si="722"/>
        <v>-</v>
      </c>
      <c r="CF366" s="1415" t="str">
        <f t="shared" si="722"/>
        <v>-</v>
      </c>
      <c r="CG366" s="1415" t="str">
        <f t="shared" si="722"/>
        <v>-</v>
      </c>
      <c r="CH366" s="1425" t="str">
        <f t="shared" si="722"/>
        <v>-</v>
      </c>
      <c r="CI366" s="1417" t="str">
        <f t="shared" si="722"/>
        <v>-</v>
      </c>
      <c r="CJ366" s="1417" t="str">
        <f t="shared" si="722"/>
        <v>-</v>
      </c>
      <c r="CK366" s="1417" t="str">
        <f t="shared" si="722"/>
        <v>-</v>
      </c>
      <c r="CL366" s="1417" t="str">
        <f t="shared" si="722"/>
        <v>-</v>
      </c>
      <c r="CM366" s="1418" t="str">
        <f t="shared" si="722"/>
        <v>-</v>
      </c>
      <c r="CN366" s="1417" t="str">
        <f t="shared" si="722"/>
        <v>-</v>
      </c>
      <c r="CO366" s="1417" t="str">
        <f t="shared" si="722"/>
        <v>-</v>
      </c>
      <c r="CP366" s="1417" t="str">
        <f t="shared" si="722"/>
        <v>-</v>
      </c>
      <c r="CQ366" s="1417" t="str">
        <f t="shared" si="722"/>
        <v>-</v>
      </c>
      <c r="CR366" s="1419" t="str">
        <f t="shared" si="722"/>
        <v>-</v>
      </c>
      <c r="CS366" s="1378"/>
      <c r="CT366" s="1412" t="str">
        <f t="shared" si="609"/>
        <v>Price</v>
      </c>
      <c r="CU366" s="1413" t="str">
        <f t="shared" si="610"/>
        <v>[Service]</v>
      </c>
      <c r="CV366" s="1426" t="str">
        <f t="shared" si="611"/>
        <v>[Price]</v>
      </c>
      <c r="CW366" s="1427" t="str">
        <f t="shared" si="634"/>
        <v>-</v>
      </c>
      <c r="CX366" s="1417" t="str">
        <f t="shared" si="635"/>
        <v>-</v>
      </c>
      <c r="CY366" s="1417" t="str">
        <f t="shared" si="636"/>
        <v>-</v>
      </c>
      <c r="CZ366" s="1419" t="str">
        <f t="shared" si="637"/>
        <v>-</v>
      </c>
      <c r="DA366" s="1417" t="str">
        <f t="shared" si="638"/>
        <v>-</v>
      </c>
      <c r="DB366" s="1417" t="str">
        <f t="shared" si="639"/>
        <v>-</v>
      </c>
      <c r="DC366" s="1417" t="str">
        <f t="shared" si="640"/>
        <v>-</v>
      </c>
      <c r="DD366" s="1417" t="str">
        <f t="shared" si="641"/>
        <v>-</v>
      </c>
      <c r="DE366" s="1419" t="str">
        <f t="shared" si="642"/>
        <v>-</v>
      </c>
      <c r="DF366" s="1378"/>
      <c r="DG366" s="1412" t="str">
        <f t="shared" si="643"/>
        <v>Price</v>
      </c>
      <c r="DH366" s="1413" t="str">
        <f t="shared" si="643"/>
        <v>[Service]</v>
      </c>
      <c r="DI366" s="1426" t="str">
        <f t="shared" si="643"/>
        <v>[Price]</v>
      </c>
      <c r="DJ366" s="1426"/>
      <c r="DK366" s="1427" t="str">
        <f t="shared" si="644"/>
        <v>-</v>
      </c>
      <c r="DL366" s="1417" t="str">
        <f t="shared" si="645"/>
        <v>-</v>
      </c>
      <c r="DM366" s="1417" t="str">
        <f t="shared" si="646"/>
        <v>-</v>
      </c>
      <c r="DN366" s="1418" t="str">
        <f t="shared" si="647"/>
        <v>-</v>
      </c>
      <c r="DO366" s="1417" t="str">
        <f t="shared" si="648"/>
        <v>-</v>
      </c>
      <c r="DP366" s="1417" t="str">
        <f t="shared" si="649"/>
        <v>-</v>
      </c>
      <c r="DQ366" s="1417" t="str">
        <f t="shared" si="650"/>
        <v>-</v>
      </c>
      <c r="DR366" s="1419" t="str">
        <f t="shared" si="651"/>
        <v>-</v>
      </c>
    </row>
    <row r="367" spans="4:122">
      <c r="E367" s="742" t="s">
        <v>45</v>
      </c>
      <c r="F367" s="722" t="str">
        <f>+F366</f>
        <v>[Service]</v>
      </c>
      <c r="G367" s="723">
        <f>+G366</f>
        <v>0</v>
      </c>
      <c r="H367" s="723">
        <f>+H366</f>
        <v>0</v>
      </c>
      <c r="I367" s="724" t="str">
        <f>+I366</f>
        <v>[Price]</v>
      </c>
      <c r="J367" s="782" t="s">
        <v>322</v>
      </c>
      <c r="K367" s="1540"/>
      <c r="L367" s="1541"/>
      <c r="M367" s="1541"/>
      <c r="N367" s="1542"/>
      <c r="O367" s="2031"/>
      <c r="P367" s="1543"/>
      <c r="Q367" s="1543"/>
      <c r="R367" s="1543"/>
      <c r="S367" s="1543"/>
      <c r="T367" s="1543"/>
      <c r="U367" s="1543"/>
      <c r="V367" s="1543"/>
      <c r="W367" s="1543"/>
      <c r="X367" s="1544"/>
      <c r="Y367" s="1543"/>
      <c r="Z367" s="1543"/>
      <c r="AA367" s="1543"/>
      <c r="AB367" s="1543"/>
      <c r="AC367" s="1544"/>
      <c r="AD367" s="1543"/>
      <c r="AE367" s="1543"/>
      <c r="AF367" s="1543"/>
      <c r="AG367" s="788"/>
      <c r="AH367" s="697"/>
      <c r="AI367" s="707"/>
      <c r="AJ367" s="709">
        <f t="shared" si="655"/>
        <v>0</v>
      </c>
      <c r="AK367" s="710">
        <f t="shared" si="656"/>
        <v>0</v>
      </c>
      <c r="AL367" s="710">
        <f t="shared" si="657"/>
        <v>0</v>
      </c>
      <c r="AM367" s="710">
        <f t="shared" si="658"/>
        <v>0</v>
      </c>
      <c r="AN367" s="710">
        <f t="shared" si="659"/>
        <v>0</v>
      </c>
      <c r="AO367" s="711">
        <f t="shared" si="660"/>
        <v>0</v>
      </c>
      <c r="AP367" s="707">
        <f t="shared" si="661"/>
        <v>0</v>
      </c>
      <c r="AQ367" s="707">
        <f t="shared" si="662"/>
        <v>0</v>
      </c>
      <c r="AR367" s="707">
        <f t="shared" si="663"/>
        <v>0</v>
      </c>
      <c r="AS367" s="712">
        <f t="shared" si="664"/>
        <v>0</v>
      </c>
      <c r="AV367" s="1559"/>
      <c r="AW367" s="1392" t="str">
        <f t="shared" si="612"/>
        <v>Qty</v>
      </c>
      <c r="AX367" s="1393" t="str">
        <f t="shared" si="612"/>
        <v>[Service]</v>
      </c>
      <c r="AY367" s="1394" t="str">
        <f t="shared" si="613"/>
        <v>[Price]</v>
      </c>
      <c r="AZ367" s="1395" t="str">
        <f t="shared" si="705"/>
        <v>-</v>
      </c>
      <c r="BA367" s="1395" t="str">
        <f t="shared" si="705"/>
        <v>-</v>
      </c>
      <c r="BB367" s="1395" t="str">
        <f t="shared" si="705"/>
        <v>-</v>
      </c>
      <c r="BC367" s="1395" t="str">
        <f t="shared" si="615"/>
        <v>-</v>
      </c>
      <c r="BD367" s="1395" t="str">
        <f t="shared" si="616"/>
        <v>-</v>
      </c>
      <c r="BE367" s="1395" t="str">
        <f t="shared" si="617"/>
        <v>-</v>
      </c>
      <c r="BF367" s="1395" t="str">
        <f t="shared" si="618"/>
        <v>-</v>
      </c>
      <c r="BG367" s="1396" t="str">
        <f t="shared" si="619"/>
        <v>-</v>
      </c>
      <c r="BH367" s="1395" t="str">
        <f t="shared" si="620"/>
        <v>-</v>
      </c>
      <c r="BI367" s="1395" t="str">
        <f t="shared" si="621"/>
        <v>-</v>
      </c>
      <c r="BJ367" s="1395" t="str">
        <f t="shared" si="622"/>
        <v>-</v>
      </c>
      <c r="BK367" s="1395" t="str">
        <f t="shared" si="623"/>
        <v>-</v>
      </c>
      <c r="BL367" s="1397" t="str">
        <f t="shared" si="624"/>
        <v>-</v>
      </c>
      <c r="BM367" s="1395" t="str">
        <f t="shared" si="625"/>
        <v>-</v>
      </c>
      <c r="BN367" s="1395" t="str">
        <f t="shared" si="626"/>
        <v>-</v>
      </c>
      <c r="BO367" s="1395" t="str">
        <f t="shared" si="627"/>
        <v>-</v>
      </c>
      <c r="BP367" s="1395" t="str">
        <f t="shared" si="628"/>
        <v>-</v>
      </c>
      <c r="BQ367" s="1398" t="str">
        <f t="shared" si="629"/>
        <v>-</v>
      </c>
      <c r="BR367" s="1378"/>
      <c r="BS367" s="1329"/>
      <c r="BT367" s="1399"/>
      <c r="BU367" s="1331"/>
      <c r="BV367" s="1400"/>
      <c r="BW367" s="1378"/>
      <c r="BX367" s="1392" t="str">
        <f t="shared" si="630"/>
        <v>Qty</v>
      </c>
      <c r="BY367" s="1393" t="str">
        <f t="shared" si="631"/>
        <v>[Service]</v>
      </c>
      <c r="BZ367" s="1394" t="str">
        <f t="shared" si="632"/>
        <v>[Price]</v>
      </c>
      <c r="CA367" s="1401" t="str">
        <f t="shared" ref="CA367:CR367" si="723">IFERROR((P367/O367-1)*(O368/O$13),"-")</f>
        <v>-</v>
      </c>
      <c r="CB367" s="1395" t="str">
        <f t="shared" si="723"/>
        <v>-</v>
      </c>
      <c r="CC367" s="1395" t="str">
        <f t="shared" si="723"/>
        <v>-</v>
      </c>
      <c r="CD367" s="1395" t="str">
        <f t="shared" si="723"/>
        <v>-</v>
      </c>
      <c r="CE367" s="1395" t="str">
        <f t="shared" si="723"/>
        <v>-</v>
      </c>
      <c r="CF367" s="1395" t="str">
        <f t="shared" si="723"/>
        <v>-</v>
      </c>
      <c r="CG367" s="1395" t="str">
        <f t="shared" si="723"/>
        <v>-</v>
      </c>
      <c r="CH367" s="1397" t="str">
        <f t="shared" si="723"/>
        <v>-</v>
      </c>
      <c r="CI367" s="1395" t="str">
        <f t="shared" si="723"/>
        <v>-</v>
      </c>
      <c r="CJ367" s="1395" t="str">
        <f t="shared" si="723"/>
        <v>-</v>
      </c>
      <c r="CK367" s="1395" t="str">
        <f t="shared" si="723"/>
        <v>-</v>
      </c>
      <c r="CL367" s="1395" t="str">
        <f t="shared" si="723"/>
        <v>-</v>
      </c>
      <c r="CM367" s="1397" t="str">
        <f t="shared" si="723"/>
        <v>-</v>
      </c>
      <c r="CN367" s="1395" t="str">
        <f t="shared" si="723"/>
        <v>-</v>
      </c>
      <c r="CO367" s="1395" t="str">
        <f t="shared" si="723"/>
        <v>-</v>
      </c>
      <c r="CP367" s="1395" t="str">
        <f t="shared" si="723"/>
        <v>-</v>
      </c>
      <c r="CQ367" s="1395" t="str">
        <f t="shared" si="723"/>
        <v>-</v>
      </c>
      <c r="CR367" s="1398" t="str">
        <f t="shared" si="723"/>
        <v>-</v>
      </c>
      <c r="CS367" s="1378"/>
      <c r="CT367" s="1392" t="str">
        <f t="shared" si="609"/>
        <v>Qty</v>
      </c>
      <c r="CU367" s="1393" t="str">
        <f t="shared" si="610"/>
        <v>[Service]</v>
      </c>
      <c r="CV367" s="1393" t="str">
        <f t="shared" si="611"/>
        <v>[Price]</v>
      </c>
      <c r="CW367" s="1401" t="str">
        <f t="shared" si="634"/>
        <v>-</v>
      </c>
      <c r="CX367" s="1395" t="str">
        <f t="shared" si="635"/>
        <v>-</v>
      </c>
      <c r="CY367" s="1395" t="str">
        <f t="shared" si="636"/>
        <v>-</v>
      </c>
      <c r="CZ367" s="1398" t="str">
        <f t="shared" si="637"/>
        <v>-</v>
      </c>
      <c r="DA367" s="1395" t="str">
        <f t="shared" si="638"/>
        <v>-</v>
      </c>
      <c r="DB367" s="1395" t="str">
        <f t="shared" si="639"/>
        <v>-</v>
      </c>
      <c r="DC367" s="1395" t="str">
        <f t="shared" si="640"/>
        <v>-</v>
      </c>
      <c r="DD367" s="1395" t="str">
        <f t="shared" si="641"/>
        <v>-</v>
      </c>
      <c r="DE367" s="1398" t="str">
        <f t="shared" si="642"/>
        <v>-</v>
      </c>
      <c r="DF367" s="1378"/>
      <c r="DG367" s="1392" t="str">
        <f t="shared" si="643"/>
        <v>Qty</v>
      </c>
      <c r="DH367" s="1393" t="str">
        <f t="shared" si="643"/>
        <v>[Service]</v>
      </c>
      <c r="DI367" s="1393" t="str">
        <f t="shared" si="643"/>
        <v>[Price]</v>
      </c>
      <c r="DJ367" s="1393"/>
      <c r="DK367" s="1401" t="str">
        <f t="shared" si="644"/>
        <v>-</v>
      </c>
      <c r="DL367" s="1395" t="str">
        <f t="shared" si="645"/>
        <v>-</v>
      </c>
      <c r="DM367" s="1395" t="str">
        <f t="shared" si="646"/>
        <v>-</v>
      </c>
      <c r="DN367" s="1397" t="str">
        <f t="shared" si="647"/>
        <v>-</v>
      </c>
      <c r="DO367" s="1395" t="str">
        <f t="shared" si="648"/>
        <v>-</v>
      </c>
      <c r="DP367" s="1395" t="str">
        <f t="shared" si="649"/>
        <v>-</v>
      </c>
      <c r="DQ367" s="1395" t="str">
        <f t="shared" si="650"/>
        <v>-</v>
      </c>
      <c r="DR367" s="1398" t="str">
        <f t="shared" si="651"/>
        <v>-</v>
      </c>
    </row>
    <row r="368" spans="4:122" ht="12.75" thickBot="1">
      <c r="E368" s="743" t="s">
        <v>46</v>
      </c>
      <c r="F368" s="732" t="str">
        <f>+F366</f>
        <v>[Service]</v>
      </c>
      <c r="G368" s="733">
        <f>+G366</f>
        <v>0</v>
      </c>
      <c r="H368" s="733">
        <f>+H366</f>
        <v>0</v>
      </c>
      <c r="I368" s="734" t="str">
        <f>+I366</f>
        <v>[Price]</v>
      </c>
      <c r="J368" s="735" t="s">
        <v>344</v>
      </c>
      <c r="K368" s="736">
        <f t="shared" ref="K368:AG368" si="724">K366*K367/10^6</f>
        <v>0</v>
      </c>
      <c r="L368" s="737">
        <f t="shared" si="724"/>
        <v>0</v>
      </c>
      <c r="M368" s="737">
        <f t="shared" si="724"/>
        <v>0</v>
      </c>
      <c r="N368" s="738">
        <f t="shared" si="724"/>
        <v>0</v>
      </c>
      <c r="O368" s="1923">
        <f t="shared" si="724"/>
        <v>0</v>
      </c>
      <c r="P368" s="737">
        <f t="shared" si="724"/>
        <v>0</v>
      </c>
      <c r="Q368" s="737">
        <f t="shared" si="724"/>
        <v>0</v>
      </c>
      <c r="R368" s="737">
        <f t="shared" si="724"/>
        <v>0</v>
      </c>
      <c r="S368" s="737">
        <f t="shared" si="724"/>
        <v>0</v>
      </c>
      <c r="T368" s="737">
        <f t="shared" si="724"/>
        <v>0</v>
      </c>
      <c r="U368" s="737">
        <f t="shared" si="724"/>
        <v>0</v>
      </c>
      <c r="V368" s="737">
        <f t="shared" si="724"/>
        <v>0</v>
      </c>
      <c r="W368" s="737">
        <f t="shared" si="724"/>
        <v>0</v>
      </c>
      <c r="X368" s="738">
        <f t="shared" si="724"/>
        <v>0</v>
      </c>
      <c r="Y368" s="737">
        <f t="shared" si="724"/>
        <v>0</v>
      </c>
      <c r="Z368" s="737">
        <f t="shared" si="724"/>
        <v>0</v>
      </c>
      <c r="AA368" s="737">
        <f t="shared" si="724"/>
        <v>0</v>
      </c>
      <c r="AB368" s="737">
        <f t="shared" si="724"/>
        <v>0</v>
      </c>
      <c r="AC368" s="738">
        <f t="shared" si="724"/>
        <v>0</v>
      </c>
      <c r="AD368" s="737">
        <f t="shared" si="724"/>
        <v>0</v>
      </c>
      <c r="AE368" s="737">
        <f t="shared" si="724"/>
        <v>0</v>
      </c>
      <c r="AF368" s="737">
        <f t="shared" si="724"/>
        <v>0</v>
      </c>
      <c r="AG368" s="739">
        <f t="shared" si="724"/>
        <v>0</v>
      </c>
      <c r="AH368" s="697"/>
      <c r="AI368" s="707"/>
      <c r="AJ368" s="709">
        <f t="shared" si="655"/>
        <v>0</v>
      </c>
      <c r="AK368" s="710">
        <f t="shared" si="656"/>
        <v>0</v>
      </c>
      <c r="AL368" s="710">
        <f t="shared" si="657"/>
        <v>0</v>
      </c>
      <c r="AM368" s="710">
        <f t="shared" si="658"/>
        <v>0</v>
      </c>
      <c r="AN368" s="710">
        <f t="shared" si="659"/>
        <v>0</v>
      </c>
      <c r="AO368" s="711">
        <f t="shared" si="660"/>
        <v>0</v>
      </c>
      <c r="AP368" s="707">
        <f t="shared" si="661"/>
        <v>0</v>
      </c>
      <c r="AQ368" s="707">
        <f t="shared" si="662"/>
        <v>0</v>
      </c>
      <c r="AR368" s="707">
        <f t="shared" si="663"/>
        <v>0</v>
      </c>
      <c r="AS368" s="712">
        <f t="shared" si="664"/>
        <v>0</v>
      </c>
      <c r="AV368" s="1559"/>
      <c r="AW368" s="1428" t="str">
        <f t="shared" si="612"/>
        <v>Rev</v>
      </c>
      <c r="AX368" s="1429" t="str">
        <f t="shared" si="612"/>
        <v>[Service]</v>
      </c>
      <c r="AY368" s="1430" t="str">
        <f t="shared" si="613"/>
        <v>[Price]</v>
      </c>
      <c r="AZ368" s="1431" t="str">
        <f t="shared" si="705"/>
        <v>-</v>
      </c>
      <c r="BA368" s="1431" t="str">
        <f t="shared" si="705"/>
        <v>-</v>
      </c>
      <c r="BB368" s="1431" t="str">
        <f t="shared" si="705"/>
        <v>-</v>
      </c>
      <c r="BC368" s="1431" t="str">
        <f t="shared" si="615"/>
        <v>-</v>
      </c>
      <c r="BD368" s="1431" t="str">
        <f t="shared" si="616"/>
        <v>-</v>
      </c>
      <c r="BE368" s="1431" t="str">
        <f t="shared" si="617"/>
        <v>-</v>
      </c>
      <c r="BF368" s="1431" t="str">
        <f t="shared" si="618"/>
        <v>-</v>
      </c>
      <c r="BG368" s="1432" t="str">
        <f t="shared" si="619"/>
        <v>-</v>
      </c>
      <c r="BH368" s="1431" t="str">
        <f t="shared" si="620"/>
        <v>-</v>
      </c>
      <c r="BI368" s="1431" t="str">
        <f t="shared" si="621"/>
        <v>-</v>
      </c>
      <c r="BJ368" s="1431" t="str">
        <f t="shared" si="622"/>
        <v>-</v>
      </c>
      <c r="BK368" s="1431" t="str">
        <f t="shared" si="623"/>
        <v>-</v>
      </c>
      <c r="BL368" s="1433" t="str">
        <f t="shared" si="624"/>
        <v>-</v>
      </c>
      <c r="BM368" s="1431" t="str">
        <f t="shared" si="625"/>
        <v>-</v>
      </c>
      <c r="BN368" s="1431" t="str">
        <f t="shared" si="626"/>
        <v>-</v>
      </c>
      <c r="BO368" s="1431" t="str">
        <f t="shared" si="627"/>
        <v>-</v>
      </c>
      <c r="BP368" s="1431" t="str">
        <f t="shared" si="628"/>
        <v>-</v>
      </c>
      <c r="BQ368" s="1434" t="str">
        <f t="shared" si="629"/>
        <v>-</v>
      </c>
      <c r="BR368" s="1378"/>
      <c r="BS368" s="1407"/>
      <c r="BT368" s="1408"/>
      <c r="BU368" s="1409"/>
      <c r="BV368" s="1410"/>
      <c r="BW368" s="1378"/>
      <c r="BX368" s="1428" t="str">
        <f t="shared" si="630"/>
        <v>Rev</v>
      </c>
      <c r="BY368" s="1429" t="str">
        <f t="shared" si="631"/>
        <v>[Service]</v>
      </c>
      <c r="BZ368" s="1430" t="str">
        <f t="shared" si="632"/>
        <v>[Price]</v>
      </c>
      <c r="CA368" s="1435" t="str">
        <f t="shared" ref="CA368:CR368" si="725">IFERROR((P368/O368-1)*(O368/O$13),"-")</f>
        <v>-</v>
      </c>
      <c r="CB368" s="1431" t="str">
        <f t="shared" si="725"/>
        <v>-</v>
      </c>
      <c r="CC368" s="1431" t="str">
        <f t="shared" si="725"/>
        <v>-</v>
      </c>
      <c r="CD368" s="1431" t="str">
        <f t="shared" si="725"/>
        <v>-</v>
      </c>
      <c r="CE368" s="1431" t="str">
        <f t="shared" si="725"/>
        <v>-</v>
      </c>
      <c r="CF368" s="1431" t="str">
        <f t="shared" si="725"/>
        <v>-</v>
      </c>
      <c r="CG368" s="1431" t="str">
        <f t="shared" si="725"/>
        <v>-</v>
      </c>
      <c r="CH368" s="1433" t="str">
        <f t="shared" si="725"/>
        <v>-</v>
      </c>
      <c r="CI368" s="1431" t="str">
        <f t="shared" si="725"/>
        <v>-</v>
      </c>
      <c r="CJ368" s="1431" t="str">
        <f t="shared" si="725"/>
        <v>-</v>
      </c>
      <c r="CK368" s="1431" t="str">
        <f t="shared" si="725"/>
        <v>-</v>
      </c>
      <c r="CL368" s="1431" t="str">
        <f t="shared" si="725"/>
        <v>-</v>
      </c>
      <c r="CM368" s="1433" t="str">
        <f t="shared" si="725"/>
        <v>-</v>
      </c>
      <c r="CN368" s="1431" t="str">
        <f t="shared" si="725"/>
        <v>-</v>
      </c>
      <c r="CO368" s="1431" t="str">
        <f t="shared" si="725"/>
        <v>-</v>
      </c>
      <c r="CP368" s="1431" t="str">
        <f t="shared" si="725"/>
        <v>-</v>
      </c>
      <c r="CQ368" s="1431" t="str">
        <f t="shared" si="725"/>
        <v>-</v>
      </c>
      <c r="CR368" s="1434" t="str">
        <f t="shared" si="725"/>
        <v>-</v>
      </c>
      <c r="CS368" s="1378"/>
      <c r="CT368" s="1428" t="str">
        <f t="shared" si="609"/>
        <v>Rev</v>
      </c>
      <c r="CU368" s="1429" t="str">
        <f t="shared" si="610"/>
        <v>[Service]</v>
      </c>
      <c r="CV368" s="1429" t="str">
        <f t="shared" si="611"/>
        <v>[Price]</v>
      </c>
      <c r="CW368" s="1435" t="str">
        <f t="shared" si="634"/>
        <v>-</v>
      </c>
      <c r="CX368" s="1431" t="str">
        <f t="shared" si="635"/>
        <v>-</v>
      </c>
      <c r="CY368" s="1431" t="str">
        <f t="shared" si="636"/>
        <v>-</v>
      </c>
      <c r="CZ368" s="1434" t="str">
        <f t="shared" si="637"/>
        <v>-</v>
      </c>
      <c r="DA368" s="1431" t="str">
        <f t="shared" si="638"/>
        <v>-</v>
      </c>
      <c r="DB368" s="1431" t="str">
        <f t="shared" si="639"/>
        <v>-</v>
      </c>
      <c r="DC368" s="1431" t="str">
        <f t="shared" si="640"/>
        <v>-</v>
      </c>
      <c r="DD368" s="1431" t="str">
        <f t="shared" si="641"/>
        <v>-</v>
      </c>
      <c r="DE368" s="1434" t="str">
        <f t="shared" si="642"/>
        <v>-</v>
      </c>
      <c r="DF368" s="1378"/>
      <c r="DG368" s="1428" t="str">
        <f t="shared" si="643"/>
        <v>Rev</v>
      </c>
      <c r="DH368" s="1429" t="str">
        <f t="shared" si="643"/>
        <v>[Service]</v>
      </c>
      <c r="DI368" s="1429" t="str">
        <f t="shared" si="643"/>
        <v>[Price]</v>
      </c>
      <c r="DJ368" s="1429"/>
      <c r="DK368" s="1435" t="str">
        <f t="shared" si="644"/>
        <v>-</v>
      </c>
      <c r="DL368" s="1431" t="str">
        <f t="shared" si="645"/>
        <v>-</v>
      </c>
      <c r="DM368" s="1431" t="str">
        <f t="shared" si="646"/>
        <v>-</v>
      </c>
      <c r="DN368" s="1433" t="str">
        <f t="shared" si="647"/>
        <v>-</v>
      </c>
      <c r="DO368" s="1431" t="str">
        <f t="shared" si="648"/>
        <v>-</v>
      </c>
      <c r="DP368" s="1431" t="str">
        <f t="shared" si="649"/>
        <v>-</v>
      </c>
      <c r="DQ368" s="1431" t="str">
        <f t="shared" si="650"/>
        <v>-</v>
      </c>
      <c r="DR368" s="1434" t="str">
        <f t="shared" si="651"/>
        <v>-</v>
      </c>
    </row>
    <row r="369" spans="4:122">
      <c r="D369" s="70">
        <f>D366+1</f>
        <v>102</v>
      </c>
      <c r="E369" s="713" t="s">
        <v>44</v>
      </c>
      <c r="F369" s="1532" t="s">
        <v>27</v>
      </c>
      <c r="G369" s="1532"/>
      <c r="H369" s="1532"/>
      <c r="I369" s="781" t="s">
        <v>318</v>
      </c>
      <c r="J369" s="781" t="s">
        <v>345</v>
      </c>
      <c r="K369" s="1533"/>
      <c r="L369" s="1534"/>
      <c r="M369" s="1534"/>
      <c r="N369" s="1535"/>
      <c r="O369" s="2071"/>
      <c r="P369" s="1547"/>
      <c r="Q369" s="1547"/>
      <c r="R369" s="1547"/>
      <c r="S369" s="1547"/>
      <c r="T369" s="1547"/>
      <c r="U369" s="1547"/>
      <c r="V369" s="1547"/>
      <c r="W369" s="1547"/>
      <c r="X369" s="1548"/>
      <c r="Y369" s="1547"/>
      <c r="Z369" s="1547"/>
      <c r="AA369" s="1547"/>
      <c r="AB369" s="1547"/>
      <c r="AC369" s="1548"/>
      <c r="AD369" s="1547"/>
      <c r="AE369" s="1547"/>
      <c r="AF369" s="1547"/>
      <c r="AG369" s="785"/>
      <c r="AH369" s="697"/>
      <c r="AI369" s="707"/>
      <c r="AJ369" s="709">
        <f t="shared" si="655"/>
        <v>0</v>
      </c>
      <c r="AK369" s="710">
        <f t="shared" si="656"/>
        <v>0</v>
      </c>
      <c r="AL369" s="710">
        <f t="shared" si="657"/>
        <v>0</v>
      </c>
      <c r="AM369" s="710">
        <f t="shared" si="658"/>
        <v>0</v>
      </c>
      <c r="AN369" s="710">
        <f t="shared" si="659"/>
        <v>0</v>
      </c>
      <c r="AO369" s="711">
        <f t="shared" si="660"/>
        <v>0</v>
      </c>
      <c r="AP369" s="707">
        <f t="shared" si="661"/>
        <v>0</v>
      </c>
      <c r="AQ369" s="707">
        <f t="shared" si="662"/>
        <v>0</v>
      </c>
      <c r="AR369" s="707">
        <f t="shared" si="663"/>
        <v>0</v>
      </c>
      <c r="AS369" s="712">
        <f t="shared" si="664"/>
        <v>0</v>
      </c>
      <c r="AU369" s="1369"/>
      <c r="AV369" s="1559"/>
      <c r="AW369" s="1412" t="str">
        <f t="shared" si="612"/>
        <v>Price</v>
      </c>
      <c r="AX369" s="1413" t="str">
        <f t="shared" si="612"/>
        <v>[Service]</v>
      </c>
      <c r="AY369" s="1414" t="str">
        <f t="shared" si="613"/>
        <v>[Price]</v>
      </c>
      <c r="AZ369" s="1415" t="str">
        <f t="shared" si="705"/>
        <v>-</v>
      </c>
      <c r="BA369" s="1415" t="str">
        <f t="shared" si="705"/>
        <v>-</v>
      </c>
      <c r="BB369" s="1415" t="str">
        <f t="shared" si="705"/>
        <v>-</v>
      </c>
      <c r="BC369" s="1415" t="str">
        <f t="shared" si="615"/>
        <v>-</v>
      </c>
      <c r="BD369" s="1415" t="str">
        <f t="shared" si="616"/>
        <v>-</v>
      </c>
      <c r="BE369" s="1415" t="str">
        <f t="shared" si="617"/>
        <v>-</v>
      </c>
      <c r="BF369" s="1415" t="str">
        <f t="shared" si="618"/>
        <v>-</v>
      </c>
      <c r="BG369" s="1416" t="str">
        <f t="shared" si="619"/>
        <v>-</v>
      </c>
      <c r="BH369" s="1417" t="str">
        <f t="shared" si="620"/>
        <v>-</v>
      </c>
      <c r="BI369" s="1417" t="str">
        <f t="shared" si="621"/>
        <v>-</v>
      </c>
      <c r="BJ369" s="1417" t="str">
        <f t="shared" si="622"/>
        <v>-</v>
      </c>
      <c r="BK369" s="1417" t="str">
        <f t="shared" si="623"/>
        <v>-</v>
      </c>
      <c r="BL369" s="1418" t="str">
        <f t="shared" si="624"/>
        <v>-</v>
      </c>
      <c r="BM369" s="1417" t="str">
        <f t="shared" si="625"/>
        <v>-</v>
      </c>
      <c r="BN369" s="1417" t="str">
        <f t="shared" si="626"/>
        <v>-</v>
      </c>
      <c r="BO369" s="1417" t="str">
        <f t="shared" si="627"/>
        <v>-</v>
      </c>
      <c r="BP369" s="1417" t="str">
        <f t="shared" si="628"/>
        <v>-</v>
      </c>
      <c r="BQ369" s="1419" t="str">
        <f t="shared" si="629"/>
        <v>-</v>
      </c>
      <c r="BR369" s="1378"/>
      <c r="BS369" s="1420"/>
      <c r="BT369" s="1421"/>
      <c r="BU369" s="1422"/>
      <c r="BV369" s="1423"/>
      <c r="BW369" s="1378"/>
      <c r="BX369" s="1412" t="str">
        <f t="shared" si="630"/>
        <v>Price</v>
      </c>
      <c r="BY369" s="1413" t="str">
        <f t="shared" si="631"/>
        <v>[Service]</v>
      </c>
      <c r="BZ369" s="1414" t="str">
        <f t="shared" si="632"/>
        <v>[Price]</v>
      </c>
      <c r="CA369" s="1424" t="str">
        <f t="shared" ref="CA369:CR369" si="726">IFERROR((P369/O369-1)*(O371/O$13),"-")</f>
        <v>-</v>
      </c>
      <c r="CB369" s="1415" t="str">
        <f t="shared" si="726"/>
        <v>-</v>
      </c>
      <c r="CC369" s="1415" t="str">
        <f t="shared" si="726"/>
        <v>-</v>
      </c>
      <c r="CD369" s="1415" t="str">
        <f t="shared" si="726"/>
        <v>-</v>
      </c>
      <c r="CE369" s="1415" t="str">
        <f t="shared" si="726"/>
        <v>-</v>
      </c>
      <c r="CF369" s="1415" t="str">
        <f t="shared" si="726"/>
        <v>-</v>
      </c>
      <c r="CG369" s="1415" t="str">
        <f t="shared" si="726"/>
        <v>-</v>
      </c>
      <c r="CH369" s="1425" t="str">
        <f t="shared" si="726"/>
        <v>-</v>
      </c>
      <c r="CI369" s="1417" t="str">
        <f t="shared" si="726"/>
        <v>-</v>
      </c>
      <c r="CJ369" s="1417" t="str">
        <f t="shared" si="726"/>
        <v>-</v>
      </c>
      <c r="CK369" s="1417" t="str">
        <f t="shared" si="726"/>
        <v>-</v>
      </c>
      <c r="CL369" s="1417" t="str">
        <f t="shared" si="726"/>
        <v>-</v>
      </c>
      <c r="CM369" s="1418" t="str">
        <f t="shared" si="726"/>
        <v>-</v>
      </c>
      <c r="CN369" s="1417" t="str">
        <f t="shared" si="726"/>
        <v>-</v>
      </c>
      <c r="CO369" s="1417" t="str">
        <f t="shared" si="726"/>
        <v>-</v>
      </c>
      <c r="CP369" s="1417" t="str">
        <f t="shared" si="726"/>
        <v>-</v>
      </c>
      <c r="CQ369" s="1417" t="str">
        <f t="shared" si="726"/>
        <v>-</v>
      </c>
      <c r="CR369" s="1419" t="str">
        <f t="shared" si="726"/>
        <v>-</v>
      </c>
      <c r="CS369" s="1378"/>
      <c r="CT369" s="1412" t="str">
        <f t="shared" si="609"/>
        <v>Price</v>
      </c>
      <c r="CU369" s="1413" t="str">
        <f t="shared" si="610"/>
        <v>[Service]</v>
      </c>
      <c r="CV369" s="1426" t="str">
        <f t="shared" si="611"/>
        <v>[Price]</v>
      </c>
      <c r="CW369" s="1427" t="str">
        <f t="shared" si="634"/>
        <v>-</v>
      </c>
      <c r="CX369" s="1417" t="str">
        <f t="shared" si="635"/>
        <v>-</v>
      </c>
      <c r="CY369" s="1417" t="str">
        <f t="shared" si="636"/>
        <v>-</v>
      </c>
      <c r="CZ369" s="1419" t="str">
        <f t="shared" si="637"/>
        <v>-</v>
      </c>
      <c r="DA369" s="1417" t="str">
        <f t="shared" si="638"/>
        <v>-</v>
      </c>
      <c r="DB369" s="1417" t="str">
        <f t="shared" si="639"/>
        <v>-</v>
      </c>
      <c r="DC369" s="1417" t="str">
        <f t="shared" si="640"/>
        <v>-</v>
      </c>
      <c r="DD369" s="1417" t="str">
        <f t="shared" si="641"/>
        <v>-</v>
      </c>
      <c r="DE369" s="1419" t="str">
        <f t="shared" si="642"/>
        <v>-</v>
      </c>
      <c r="DF369" s="1378"/>
      <c r="DG369" s="1412" t="str">
        <f t="shared" si="643"/>
        <v>Price</v>
      </c>
      <c r="DH369" s="1413" t="str">
        <f t="shared" si="643"/>
        <v>[Service]</v>
      </c>
      <c r="DI369" s="1426" t="str">
        <f t="shared" si="643"/>
        <v>[Price]</v>
      </c>
      <c r="DJ369" s="1426"/>
      <c r="DK369" s="1427" t="str">
        <f t="shared" si="644"/>
        <v>-</v>
      </c>
      <c r="DL369" s="1417" t="str">
        <f t="shared" si="645"/>
        <v>-</v>
      </c>
      <c r="DM369" s="1417" t="str">
        <f t="shared" si="646"/>
        <v>-</v>
      </c>
      <c r="DN369" s="1418" t="str">
        <f t="shared" si="647"/>
        <v>-</v>
      </c>
      <c r="DO369" s="1417" t="str">
        <f t="shared" si="648"/>
        <v>-</v>
      </c>
      <c r="DP369" s="1417" t="str">
        <f t="shared" si="649"/>
        <v>-</v>
      </c>
      <c r="DQ369" s="1417" t="str">
        <f t="shared" si="650"/>
        <v>-</v>
      </c>
      <c r="DR369" s="1419" t="str">
        <f t="shared" si="651"/>
        <v>-</v>
      </c>
    </row>
    <row r="370" spans="4:122">
      <c r="E370" s="742" t="s">
        <v>45</v>
      </c>
      <c r="F370" s="722" t="str">
        <f>+F369</f>
        <v>[Service]</v>
      </c>
      <c r="G370" s="723">
        <f>+G369</f>
        <v>0</v>
      </c>
      <c r="H370" s="723">
        <f>+H369</f>
        <v>0</v>
      </c>
      <c r="I370" s="724" t="str">
        <f>+I369</f>
        <v>[Price]</v>
      </c>
      <c r="J370" s="782" t="s">
        <v>322</v>
      </c>
      <c r="K370" s="1540"/>
      <c r="L370" s="1541"/>
      <c r="M370" s="1541"/>
      <c r="N370" s="1542"/>
      <c r="O370" s="2031"/>
      <c r="P370" s="1543"/>
      <c r="Q370" s="1543"/>
      <c r="R370" s="1543"/>
      <c r="S370" s="1543"/>
      <c r="T370" s="1543"/>
      <c r="U370" s="1543"/>
      <c r="V370" s="1543"/>
      <c r="W370" s="1543"/>
      <c r="X370" s="1544"/>
      <c r="Y370" s="1543"/>
      <c r="Z370" s="1543"/>
      <c r="AA370" s="1543"/>
      <c r="AB370" s="1543"/>
      <c r="AC370" s="1544"/>
      <c r="AD370" s="1543"/>
      <c r="AE370" s="1543"/>
      <c r="AF370" s="1543"/>
      <c r="AG370" s="788"/>
      <c r="AH370" s="697"/>
      <c r="AI370" s="707"/>
      <c r="AJ370" s="709">
        <f t="shared" si="655"/>
        <v>0</v>
      </c>
      <c r="AK370" s="710">
        <f t="shared" si="656"/>
        <v>0</v>
      </c>
      <c r="AL370" s="710">
        <f t="shared" si="657"/>
        <v>0</v>
      </c>
      <c r="AM370" s="710">
        <f t="shared" si="658"/>
        <v>0</v>
      </c>
      <c r="AN370" s="710">
        <f t="shared" si="659"/>
        <v>0</v>
      </c>
      <c r="AO370" s="711">
        <f t="shared" si="660"/>
        <v>0</v>
      </c>
      <c r="AP370" s="707">
        <f t="shared" si="661"/>
        <v>0</v>
      </c>
      <c r="AQ370" s="707">
        <f t="shared" si="662"/>
        <v>0</v>
      </c>
      <c r="AR370" s="707">
        <f t="shared" si="663"/>
        <v>0</v>
      </c>
      <c r="AS370" s="712">
        <f t="shared" si="664"/>
        <v>0</v>
      </c>
      <c r="AV370" s="1559"/>
      <c r="AW370" s="1392" t="str">
        <f t="shared" si="612"/>
        <v>Qty</v>
      </c>
      <c r="AX370" s="1393" t="str">
        <f t="shared" si="612"/>
        <v>[Service]</v>
      </c>
      <c r="AY370" s="1394" t="str">
        <f t="shared" si="613"/>
        <v>[Price]</v>
      </c>
      <c r="AZ370" s="1395" t="str">
        <f t="shared" ref="AZ370:BB385" si="727">IFERROR(P370/O370-1,"-")</f>
        <v>-</v>
      </c>
      <c r="BA370" s="1395" t="str">
        <f t="shared" si="727"/>
        <v>-</v>
      </c>
      <c r="BB370" s="1395" t="str">
        <f t="shared" si="727"/>
        <v>-</v>
      </c>
      <c r="BC370" s="1395" t="str">
        <f t="shared" si="615"/>
        <v>-</v>
      </c>
      <c r="BD370" s="1395" t="str">
        <f t="shared" si="616"/>
        <v>-</v>
      </c>
      <c r="BE370" s="1395" t="str">
        <f t="shared" si="617"/>
        <v>-</v>
      </c>
      <c r="BF370" s="1395" t="str">
        <f t="shared" si="618"/>
        <v>-</v>
      </c>
      <c r="BG370" s="1396" t="str">
        <f t="shared" si="619"/>
        <v>-</v>
      </c>
      <c r="BH370" s="1395" t="str">
        <f t="shared" si="620"/>
        <v>-</v>
      </c>
      <c r="BI370" s="1395" t="str">
        <f t="shared" si="621"/>
        <v>-</v>
      </c>
      <c r="BJ370" s="1395" t="str">
        <f t="shared" si="622"/>
        <v>-</v>
      </c>
      <c r="BK370" s="1395" t="str">
        <f t="shared" si="623"/>
        <v>-</v>
      </c>
      <c r="BL370" s="1397" t="str">
        <f t="shared" si="624"/>
        <v>-</v>
      </c>
      <c r="BM370" s="1395" t="str">
        <f t="shared" si="625"/>
        <v>-</v>
      </c>
      <c r="BN370" s="1395" t="str">
        <f t="shared" si="626"/>
        <v>-</v>
      </c>
      <c r="BO370" s="1395" t="str">
        <f t="shared" si="627"/>
        <v>-</v>
      </c>
      <c r="BP370" s="1395" t="str">
        <f t="shared" si="628"/>
        <v>-</v>
      </c>
      <c r="BQ370" s="1398" t="str">
        <f t="shared" si="629"/>
        <v>-</v>
      </c>
      <c r="BR370" s="1378"/>
      <c r="BS370" s="1329"/>
      <c r="BT370" s="1399"/>
      <c r="BU370" s="1331"/>
      <c r="BV370" s="1400"/>
      <c r="BW370" s="1378"/>
      <c r="BX370" s="1392" t="str">
        <f t="shared" si="630"/>
        <v>Qty</v>
      </c>
      <c r="BY370" s="1393" t="str">
        <f t="shared" si="631"/>
        <v>[Service]</v>
      </c>
      <c r="BZ370" s="1394" t="str">
        <f t="shared" si="632"/>
        <v>[Price]</v>
      </c>
      <c r="CA370" s="1401" t="str">
        <f t="shared" ref="CA370:CR370" si="728">IFERROR((P370/O370-1)*(O371/O$13),"-")</f>
        <v>-</v>
      </c>
      <c r="CB370" s="1395" t="str">
        <f t="shared" si="728"/>
        <v>-</v>
      </c>
      <c r="CC370" s="1395" t="str">
        <f t="shared" si="728"/>
        <v>-</v>
      </c>
      <c r="CD370" s="1395" t="str">
        <f t="shared" si="728"/>
        <v>-</v>
      </c>
      <c r="CE370" s="1395" t="str">
        <f t="shared" si="728"/>
        <v>-</v>
      </c>
      <c r="CF370" s="1395" t="str">
        <f t="shared" si="728"/>
        <v>-</v>
      </c>
      <c r="CG370" s="1395" t="str">
        <f t="shared" si="728"/>
        <v>-</v>
      </c>
      <c r="CH370" s="1397" t="str">
        <f t="shared" si="728"/>
        <v>-</v>
      </c>
      <c r="CI370" s="1395" t="str">
        <f t="shared" si="728"/>
        <v>-</v>
      </c>
      <c r="CJ370" s="1395" t="str">
        <f t="shared" si="728"/>
        <v>-</v>
      </c>
      <c r="CK370" s="1395" t="str">
        <f t="shared" si="728"/>
        <v>-</v>
      </c>
      <c r="CL370" s="1395" t="str">
        <f t="shared" si="728"/>
        <v>-</v>
      </c>
      <c r="CM370" s="1397" t="str">
        <f t="shared" si="728"/>
        <v>-</v>
      </c>
      <c r="CN370" s="1395" t="str">
        <f t="shared" si="728"/>
        <v>-</v>
      </c>
      <c r="CO370" s="1395" t="str">
        <f t="shared" si="728"/>
        <v>-</v>
      </c>
      <c r="CP370" s="1395" t="str">
        <f t="shared" si="728"/>
        <v>-</v>
      </c>
      <c r="CQ370" s="1395" t="str">
        <f t="shared" si="728"/>
        <v>-</v>
      </c>
      <c r="CR370" s="1398" t="str">
        <f t="shared" si="728"/>
        <v>-</v>
      </c>
      <c r="CS370" s="1378"/>
      <c r="CT370" s="1392" t="str">
        <f t="shared" si="609"/>
        <v>Qty</v>
      </c>
      <c r="CU370" s="1393" t="str">
        <f t="shared" si="610"/>
        <v>[Service]</v>
      </c>
      <c r="CV370" s="1393" t="str">
        <f t="shared" si="611"/>
        <v>[Price]</v>
      </c>
      <c r="CW370" s="1401" t="str">
        <f t="shared" si="634"/>
        <v>-</v>
      </c>
      <c r="CX370" s="1395" t="str">
        <f t="shared" si="635"/>
        <v>-</v>
      </c>
      <c r="CY370" s="1395" t="str">
        <f t="shared" si="636"/>
        <v>-</v>
      </c>
      <c r="CZ370" s="1398" t="str">
        <f t="shared" si="637"/>
        <v>-</v>
      </c>
      <c r="DA370" s="1395" t="str">
        <f t="shared" si="638"/>
        <v>-</v>
      </c>
      <c r="DB370" s="1395" t="str">
        <f t="shared" si="639"/>
        <v>-</v>
      </c>
      <c r="DC370" s="1395" t="str">
        <f t="shared" si="640"/>
        <v>-</v>
      </c>
      <c r="DD370" s="1395" t="str">
        <f t="shared" si="641"/>
        <v>-</v>
      </c>
      <c r="DE370" s="1398" t="str">
        <f t="shared" si="642"/>
        <v>-</v>
      </c>
      <c r="DF370" s="1378"/>
      <c r="DG370" s="1392" t="str">
        <f t="shared" si="643"/>
        <v>Qty</v>
      </c>
      <c r="DH370" s="1393" t="str">
        <f t="shared" si="643"/>
        <v>[Service]</v>
      </c>
      <c r="DI370" s="1393" t="str">
        <f t="shared" si="643"/>
        <v>[Price]</v>
      </c>
      <c r="DJ370" s="1393"/>
      <c r="DK370" s="1401" t="str">
        <f t="shared" si="644"/>
        <v>-</v>
      </c>
      <c r="DL370" s="1395" t="str">
        <f t="shared" si="645"/>
        <v>-</v>
      </c>
      <c r="DM370" s="1395" t="str">
        <f t="shared" si="646"/>
        <v>-</v>
      </c>
      <c r="DN370" s="1397" t="str">
        <f t="shared" si="647"/>
        <v>-</v>
      </c>
      <c r="DO370" s="1395" t="str">
        <f t="shared" si="648"/>
        <v>-</v>
      </c>
      <c r="DP370" s="1395" t="str">
        <f t="shared" si="649"/>
        <v>-</v>
      </c>
      <c r="DQ370" s="1395" t="str">
        <f t="shared" si="650"/>
        <v>-</v>
      </c>
      <c r="DR370" s="1398" t="str">
        <f t="shared" si="651"/>
        <v>-</v>
      </c>
    </row>
    <row r="371" spans="4:122" ht="12.75" thickBot="1">
      <c r="E371" s="743" t="s">
        <v>46</v>
      </c>
      <c r="F371" s="732" t="str">
        <f>+F369</f>
        <v>[Service]</v>
      </c>
      <c r="G371" s="733">
        <f>+G369</f>
        <v>0</v>
      </c>
      <c r="H371" s="733">
        <f>+H369</f>
        <v>0</v>
      </c>
      <c r="I371" s="734" t="str">
        <f>+I369</f>
        <v>[Price]</v>
      </c>
      <c r="J371" s="735" t="s">
        <v>344</v>
      </c>
      <c r="K371" s="736">
        <f t="shared" ref="K371:AG371" si="729">K369*K370/10^6</f>
        <v>0</v>
      </c>
      <c r="L371" s="737">
        <f t="shared" si="729"/>
        <v>0</v>
      </c>
      <c r="M371" s="737">
        <f t="shared" si="729"/>
        <v>0</v>
      </c>
      <c r="N371" s="738">
        <f t="shared" si="729"/>
        <v>0</v>
      </c>
      <c r="O371" s="1923">
        <f t="shared" si="729"/>
        <v>0</v>
      </c>
      <c r="P371" s="737">
        <f t="shared" si="729"/>
        <v>0</v>
      </c>
      <c r="Q371" s="737">
        <f t="shared" si="729"/>
        <v>0</v>
      </c>
      <c r="R371" s="737">
        <f t="shared" si="729"/>
        <v>0</v>
      </c>
      <c r="S371" s="737">
        <f t="shared" si="729"/>
        <v>0</v>
      </c>
      <c r="T371" s="737">
        <f t="shared" si="729"/>
        <v>0</v>
      </c>
      <c r="U371" s="737">
        <f t="shared" si="729"/>
        <v>0</v>
      </c>
      <c r="V371" s="737">
        <f t="shared" si="729"/>
        <v>0</v>
      </c>
      <c r="W371" s="737">
        <f t="shared" si="729"/>
        <v>0</v>
      </c>
      <c r="X371" s="738">
        <f t="shared" si="729"/>
        <v>0</v>
      </c>
      <c r="Y371" s="737">
        <f t="shared" si="729"/>
        <v>0</v>
      </c>
      <c r="Z371" s="737">
        <f t="shared" si="729"/>
        <v>0</v>
      </c>
      <c r="AA371" s="737">
        <f t="shared" si="729"/>
        <v>0</v>
      </c>
      <c r="AB371" s="737">
        <f t="shared" si="729"/>
        <v>0</v>
      </c>
      <c r="AC371" s="738">
        <f t="shared" si="729"/>
        <v>0</v>
      </c>
      <c r="AD371" s="737">
        <f t="shared" si="729"/>
        <v>0</v>
      </c>
      <c r="AE371" s="737">
        <f t="shared" si="729"/>
        <v>0</v>
      </c>
      <c r="AF371" s="737">
        <f t="shared" si="729"/>
        <v>0</v>
      </c>
      <c r="AG371" s="739">
        <f t="shared" si="729"/>
        <v>0</v>
      </c>
      <c r="AH371" s="697"/>
      <c r="AI371" s="707"/>
      <c r="AJ371" s="709">
        <f t="shared" si="655"/>
        <v>0</v>
      </c>
      <c r="AK371" s="710">
        <f t="shared" si="656"/>
        <v>0</v>
      </c>
      <c r="AL371" s="710">
        <f t="shared" si="657"/>
        <v>0</v>
      </c>
      <c r="AM371" s="710">
        <f t="shared" si="658"/>
        <v>0</v>
      </c>
      <c r="AN371" s="710">
        <f t="shared" si="659"/>
        <v>0</v>
      </c>
      <c r="AO371" s="711">
        <f t="shared" si="660"/>
        <v>0</v>
      </c>
      <c r="AP371" s="707">
        <f t="shared" si="661"/>
        <v>0</v>
      </c>
      <c r="AQ371" s="707">
        <f t="shared" si="662"/>
        <v>0</v>
      </c>
      <c r="AR371" s="707">
        <f t="shared" si="663"/>
        <v>0</v>
      </c>
      <c r="AS371" s="712">
        <f t="shared" si="664"/>
        <v>0</v>
      </c>
      <c r="AV371" s="1559"/>
      <c r="AW371" s="1428" t="str">
        <f t="shared" si="612"/>
        <v>Rev</v>
      </c>
      <c r="AX371" s="1429" t="str">
        <f t="shared" si="612"/>
        <v>[Service]</v>
      </c>
      <c r="AY371" s="1430" t="str">
        <f t="shared" si="613"/>
        <v>[Price]</v>
      </c>
      <c r="AZ371" s="1431" t="str">
        <f t="shared" si="727"/>
        <v>-</v>
      </c>
      <c r="BA371" s="1431" t="str">
        <f t="shared" si="727"/>
        <v>-</v>
      </c>
      <c r="BB371" s="1431" t="str">
        <f t="shared" si="727"/>
        <v>-</v>
      </c>
      <c r="BC371" s="1431" t="str">
        <f t="shared" si="615"/>
        <v>-</v>
      </c>
      <c r="BD371" s="1431" t="str">
        <f t="shared" si="616"/>
        <v>-</v>
      </c>
      <c r="BE371" s="1431" t="str">
        <f t="shared" si="617"/>
        <v>-</v>
      </c>
      <c r="BF371" s="1431" t="str">
        <f t="shared" si="618"/>
        <v>-</v>
      </c>
      <c r="BG371" s="1432" t="str">
        <f t="shared" si="619"/>
        <v>-</v>
      </c>
      <c r="BH371" s="1431" t="str">
        <f t="shared" si="620"/>
        <v>-</v>
      </c>
      <c r="BI371" s="1431" t="str">
        <f t="shared" si="621"/>
        <v>-</v>
      </c>
      <c r="BJ371" s="1431" t="str">
        <f t="shared" si="622"/>
        <v>-</v>
      </c>
      <c r="BK371" s="1431" t="str">
        <f t="shared" si="623"/>
        <v>-</v>
      </c>
      <c r="BL371" s="1433" t="str">
        <f t="shared" si="624"/>
        <v>-</v>
      </c>
      <c r="BM371" s="1431" t="str">
        <f t="shared" si="625"/>
        <v>-</v>
      </c>
      <c r="BN371" s="1431" t="str">
        <f t="shared" si="626"/>
        <v>-</v>
      </c>
      <c r="BO371" s="1431" t="str">
        <f t="shared" si="627"/>
        <v>-</v>
      </c>
      <c r="BP371" s="1431" t="str">
        <f t="shared" si="628"/>
        <v>-</v>
      </c>
      <c r="BQ371" s="1434" t="str">
        <f t="shared" si="629"/>
        <v>-</v>
      </c>
      <c r="BR371" s="1378"/>
      <c r="BS371" s="1407"/>
      <c r="BT371" s="1408"/>
      <c r="BU371" s="1409"/>
      <c r="BV371" s="1410"/>
      <c r="BW371" s="1378"/>
      <c r="BX371" s="1428" t="str">
        <f t="shared" si="630"/>
        <v>Rev</v>
      </c>
      <c r="BY371" s="1429" t="str">
        <f t="shared" si="631"/>
        <v>[Service]</v>
      </c>
      <c r="BZ371" s="1430" t="str">
        <f t="shared" si="632"/>
        <v>[Price]</v>
      </c>
      <c r="CA371" s="1435" t="str">
        <f t="shared" ref="CA371:CR371" si="730">IFERROR((P371/O371-1)*(O371/O$13),"-")</f>
        <v>-</v>
      </c>
      <c r="CB371" s="1431" t="str">
        <f t="shared" si="730"/>
        <v>-</v>
      </c>
      <c r="CC371" s="1431" t="str">
        <f t="shared" si="730"/>
        <v>-</v>
      </c>
      <c r="CD371" s="1431" t="str">
        <f t="shared" si="730"/>
        <v>-</v>
      </c>
      <c r="CE371" s="1431" t="str">
        <f t="shared" si="730"/>
        <v>-</v>
      </c>
      <c r="CF371" s="1431" t="str">
        <f t="shared" si="730"/>
        <v>-</v>
      </c>
      <c r="CG371" s="1431" t="str">
        <f t="shared" si="730"/>
        <v>-</v>
      </c>
      <c r="CH371" s="1433" t="str">
        <f t="shared" si="730"/>
        <v>-</v>
      </c>
      <c r="CI371" s="1431" t="str">
        <f t="shared" si="730"/>
        <v>-</v>
      </c>
      <c r="CJ371" s="1431" t="str">
        <f t="shared" si="730"/>
        <v>-</v>
      </c>
      <c r="CK371" s="1431" t="str">
        <f t="shared" si="730"/>
        <v>-</v>
      </c>
      <c r="CL371" s="1431" t="str">
        <f t="shared" si="730"/>
        <v>-</v>
      </c>
      <c r="CM371" s="1433" t="str">
        <f t="shared" si="730"/>
        <v>-</v>
      </c>
      <c r="CN371" s="1431" t="str">
        <f t="shared" si="730"/>
        <v>-</v>
      </c>
      <c r="CO371" s="1431" t="str">
        <f t="shared" si="730"/>
        <v>-</v>
      </c>
      <c r="CP371" s="1431" t="str">
        <f t="shared" si="730"/>
        <v>-</v>
      </c>
      <c r="CQ371" s="1431" t="str">
        <f t="shared" si="730"/>
        <v>-</v>
      </c>
      <c r="CR371" s="1434" t="str">
        <f t="shared" si="730"/>
        <v>-</v>
      </c>
      <c r="CS371" s="1378"/>
      <c r="CT371" s="1428" t="str">
        <f t="shared" si="609"/>
        <v>Rev</v>
      </c>
      <c r="CU371" s="1429" t="str">
        <f t="shared" si="610"/>
        <v>[Service]</v>
      </c>
      <c r="CV371" s="1429" t="str">
        <f t="shared" si="611"/>
        <v>[Price]</v>
      </c>
      <c r="CW371" s="1435" t="str">
        <f t="shared" si="634"/>
        <v>-</v>
      </c>
      <c r="CX371" s="1431" t="str">
        <f t="shared" si="635"/>
        <v>-</v>
      </c>
      <c r="CY371" s="1431" t="str">
        <f t="shared" si="636"/>
        <v>-</v>
      </c>
      <c r="CZ371" s="1434" t="str">
        <f t="shared" si="637"/>
        <v>-</v>
      </c>
      <c r="DA371" s="1431" t="str">
        <f t="shared" si="638"/>
        <v>-</v>
      </c>
      <c r="DB371" s="1431" t="str">
        <f t="shared" si="639"/>
        <v>-</v>
      </c>
      <c r="DC371" s="1431" t="str">
        <f t="shared" si="640"/>
        <v>-</v>
      </c>
      <c r="DD371" s="1431" t="str">
        <f t="shared" si="641"/>
        <v>-</v>
      </c>
      <c r="DE371" s="1434" t="str">
        <f t="shared" si="642"/>
        <v>-</v>
      </c>
      <c r="DF371" s="1378"/>
      <c r="DG371" s="1428" t="str">
        <f t="shared" si="643"/>
        <v>Rev</v>
      </c>
      <c r="DH371" s="1429" t="str">
        <f t="shared" si="643"/>
        <v>[Service]</v>
      </c>
      <c r="DI371" s="1429" t="str">
        <f t="shared" si="643"/>
        <v>[Price]</v>
      </c>
      <c r="DJ371" s="1429"/>
      <c r="DK371" s="1435" t="str">
        <f t="shared" si="644"/>
        <v>-</v>
      </c>
      <c r="DL371" s="1431" t="str">
        <f t="shared" si="645"/>
        <v>-</v>
      </c>
      <c r="DM371" s="1431" t="str">
        <f t="shared" si="646"/>
        <v>-</v>
      </c>
      <c r="DN371" s="1433" t="str">
        <f t="shared" si="647"/>
        <v>-</v>
      </c>
      <c r="DO371" s="1431" t="str">
        <f t="shared" si="648"/>
        <v>-</v>
      </c>
      <c r="DP371" s="1431" t="str">
        <f t="shared" si="649"/>
        <v>-</v>
      </c>
      <c r="DQ371" s="1431" t="str">
        <f t="shared" si="650"/>
        <v>-</v>
      </c>
      <c r="DR371" s="1434" t="str">
        <f t="shared" si="651"/>
        <v>-</v>
      </c>
    </row>
    <row r="372" spans="4:122">
      <c r="D372" s="70">
        <f>D369+1</f>
        <v>103</v>
      </c>
      <c r="E372" s="713" t="s">
        <v>44</v>
      </c>
      <c r="F372" s="1532" t="s">
        <v>27</v>
      </c>
      <c r="G372" s="1532"/>
      <c r="H372" s="1532"/>
      <c r="I372" s="781" t="s">
        <v>318</v>
      </c>
      <c r="J372" s="781" t="s">
        <v>345</v>
      </c>
      <c r="K372" s="1533"/>
      <c r="L372" s="1534"/>
      <c r="M372" s="1534"/>
      <c r="N372" s="1535"/>
      <c r="O372" s="2071"/>
      <c r="P372" s="1547"/>
      <c r="Q372" s="1547"/>
      <c r="R372" s="1547"/>
      <c r="S372" s="1547"/>
      <c r="T372" s="1547"/>
      <c r="U372" s="1547"/>
      <c r="V372" s="1547"/>
      <c r="W372" s="1547"/>
      <c r="X372" s="1548"/>
      <c r="Y372" s="1547"/>
      <c r="Z372" s="1547"/>
      <c r="AA372" s="1547"/>
      <c r="AB372" s="1547"/>
      <c r="AC372" s="1548"/>
      <c r="AD372" s="1547"/>
      <c r="AE372" s="1547"/>
      <c r="AF372" s="1547"/>
      <c r="AG372" s="785"/>
      <c r="AH372" s="697"/>
      <c r="AI372" s="707"/>
      <c r="AJ372" s="709">
        <f t="shared" si="655"/>
        <v>0</v>
      </c>
      <c r="AK372" s="710">
        <f t="shared" si="656"/>
        <v>0</v>
      </c>
      <c r="AL372" s="710">
        <f t="shared" si="657"/>
        <v>0</v>
      </c>
      <c r="AM372" s="710">
        <f t="shared" si="658"/>
        <v>0</v>
      </c>
      <c r="AN372" s="710">
        <f t="shared" si="659"/>
        <v>0</v>
      </c>
      <c r="AO372" s="711">
        <f t="shared" si="660"/>
        <v>0</v>
      </c>
      <c r="AP372" s="707">
        <f t="shared" si="661"/>
        <v>0</v>
      </c>
      <c r="AQ372" s="707">
        <f t="shared" si="662"/>
        <v>0</v>
      </c>
      <c r="AR372" s="707">
        <f t="shared" si="663"/>
        <v>0</v>
      </c>
      <c r="AS372" s="712">
        <f t="shared" si="664"/>
        <v>0</v>
      </c>
      <c r="AU372" s="1369"/>
      <c r="AV372" s="1559"/>
      <c r="AW372" s="1412" t="str">
        <f t="shared" si="612"/>
        <v>Price</v>
      </c>
      <c r="AX372" s="1413" t="str">
        <f t="shared" si="612"/>
        <v>[Service]</v>
      </c>
      <c r="AY372" s="1414" t="str">
        <f t="shared" si="613"/>
        <v>[Price]</v>
      </c>
      <c r="AZ372" s="1415" t="str">
        <f t="shared" si="727"/>
        <v>-</v>
      </c>
      <c r="BA372" s="1415" t="str">
        <f t="shared" si="727"/>
        <v>-</v>
      </c>
      <c r="BB372" s="1415" t="str">
        <f t="shared" si="727"/>
        <v>-</v>
      </c>
      <c r="BC372" s="1415" t="str">
        <f t="shared" si="615"/>
        <v>-</v>
      </c>
      <c r="BD372" s="1415" t="str">
        <f t="shared" si="616"/>
        <v>-</v>
      </c>
      <c r="BE372" s="1415" t="str">
        <f t="shared" si="617"/>
        <v>-</v>
      </c>
      <c r="BF372" s="1415" t="str">
        <f t="shared" si="618"/>
        <v>-</v>
      </c>
      <c r="BG372" s="1416" t="str">
        <f t="shared" si="619"/>
        <v>-</v>
      </c>
      <c r="BH372" s="1417" t="str">
        <f t="shared" si="620"/>
        <v>-</v>
      </c>
      <c r="BI372" s="1417" t="str">
        <f t="shared" si="621"/>
        <v>-</v>
      </c>
      <c r="BJ372" s="1417" t="str">
        <f t="shared" si="622"/>
        <v>-</v>
      </c>
      <c r="BK372" s="1417" t="str">
        <f t="shared" si="623"/>
        <v>-</v>
      </c>
      <c r="BL372" s="1418" t="str">
        <f t="shared" si="624"/>
        <v>-</v>
      </c>
      <c r="BM372" s="1417" t="str">
        <f t="shared" si="625"/>
        <v>-</v>
      </c>
      <c r="BN372" s="1417" t="str">
        <f t="shared" si="626"/>
        <v>-</v>
      </c>
      <c r="BO372" s="1417" t="str">
        <f t="shared" si="627"/>
        <v>-</v>
      </c>
      <c r="BP372" s="1417" t="str">
        <f t="shared" si="628"/>
        <v>-</v>
      </c>
      <c r="BQ372" s="1419" t="str">
        <f t="shared" si="629"/>
        <v>-</v>
      </c>
      <c r="BR372" s="1378"/>
      <c r="BS372" s="1420"/>
      <c r="BT372" s="1421"/>
      <c r="BU372" s="1422"/>
      <c r="BV372" s="1423"/>
      <c r="BW372" s="1378"/>
      <c r="BX372" s="1412" t="str">
        <f t="shared" si="630"/>
        <v>Price</v>
      </c>
      <c r="BY372" s="1413" t="str">
        <f t="shared" si="631"/>
        <v>[Service]</v>
      </c>
      <c r="BZ372" s="1414" t="str">
        <f t="shared" si="632"/>
        <v>[Price]</v>
      </c>
      <c r="CA372" s="1424" t="str">
        <f t="shared" ref="CA372:CR372" si="731">IFERROR((P372/O372-1)*(O374/O$13),"-")</f>
        <v>-</v>
      </c>
      <c r="CB372" s="1415" t="str">
        <f t="shared" si="731"/>
        <v>-</v>
      </c>
      <c r="CC372" s="1415" t="str">
        <f t="shared" si="731"/>
        <v>-</v>
      </c>
      <c r="CD372" s="1415" t="str">
        <f t="shared" si="731"/>
        <v>-</v>
      </c>
      <c r="CE372" s="1415" t="str">
        <f t="shared" si="731"/>
        <v>-</v>
      </c>
      <c r="CF372" s="1415" t="str">
        <f t="shared" si="731"/>
        <v>-</v>
      </c>
      <c r="CG372" s="1415" t="str">
        <f t="shared" si="731"/>
        <v>-</v>
      </c>
      <c r="CH372" s="1425" t="str">
        <f t="shared" si="731"/>
        <v>-</v>
      </c>
      <c r="CI372" s="1417" t="str">
        <f t="shared" si="731"/>
        <v>-</v>
      </c>
      <c r="CJ372" s="1417" t="str">
        <f t="shared" si="731"/>
        <v>-</v>
      </c>
      <c r="CK372" s="1417" t="str">
        <f t="shared" si="731"/>
        <v>-</v>
      </c>
      <c r="CL372" s="1417" t="str">
        <f t="shared" si="731"/>
        <v>-</v>
      </c>
      <c r="CM372" s="1418" t="str">
        <f t="shared" si="731"/>
        <v>-</v>
      </c>
      <c r="CN372" s="1417" t="str">
        <f t="shared" si="731"/>
        <v>-</v>
      </c>
      <c r="CO372" s="1417" t="str">
        <f t="shared" si="731"/>
        <v>-</v>
      </c>
      <c r="CP372" s="1417" t="str">
        <f t="shared" si="731"/>
        <v>-</v>
      </c>
      <c r="CQ372" s="1417" t="str">
        <f t="shared" si="731"/>
        <v>-</v>
      </c>
      <c r="CR372" s="1419" t="str">
        <f t="shared" si="731"/>
        <v>-</v>
      </c>
      <c r="CS372" s="1378"/>
      <c r="CT372" s="1412" t="str">
        <f t="shared" si="609"/>
        <v>Price</v>
      </c>
      <c r="CU372" s="1413" t="str">
        <f t="shared" si="610"/>
        <v>[Service]</v>
      </c>
      <c r="CV372" s="1426" t="str">
        <f t="shared" si="611"/>
        <v>[Price]</v>
      </c>
      <c r="CW372" s="1427" t="str">
        <f t="shared" si="634"/>
        <v>-</v>
      </c>
      <c r="CX372" s="1417" t="str">
        <f t="shared" si="635"/>
        <v>-</v>
      </c>
      <c r="CY372" s="1417" t="str">
        <f t="shared" si="636"/>
        <v>-</v>
      </c>
      <c r="CZ372" s="1419" t="str">
        <f t="shared" si="637"/>
        <v>-</v>
      </c>
      <c r="DA372" s="1417" t="str">
        <f t="shared" si="638"/>
        <v>-</v>
      </c>
      <c r="DB372" s="1417" t="str">
        <f t="shared" si="639"/>
        <v>-</v>
      </c>
      <c r="DC372" s="1417" t="str">
        <f t="shared" si="640"/>
        <v>-</v>
      </c>
      <c r="DD372" s="1417" t="str">
        <f t="shared" si="641"/>
        <v>-</v>
      </c>
      <c r="DE372" s="1419" t="str">
        <f t="shared" si="642"/>
        <v>-</v>
      </c>
      <c r="DF372" s="1378"/>
      <c r="DG372" s="1412" t="str">
        <f t="shared" si="643"/>
        <v>Price</v>
      </c>
      <c r="DH372" s="1413" t="str">
        <f t="shared" si="643"/>
        <v>[Service]</v>
      </c>
      <c r="DI372" s="1426" t="str">
        <f t="shared" si="643"/>
        <v>[Price]</v>
      </c>
      <c r="DJ372" s="1426"/>
      <c r="DK372" s="1427" t="str">
        <f t="shared" si="644"/>
        <v>-</v>
      </c>
      <c r="DL372" s="1417" t="str">
        <f t="shared" si="645"/>
        <v>-</v>
      </c>
      <c r="DM372" s="1417" t="str">
        <f t="shared" si="646"/>
        <v>-</v>
      </c>
      <c r="DN372" s="1418" t="str">
        <f t="shared" si="647"/>
        <v>-</v>
      </c>
      <c r="DO372" s="1417" t="str">
        <f t="shared" si="648"/>
        <v>-</v>
      </c>
      <c r="DP372" s="1417" t="str">
        <f t="shared" si="649"/>
        <v>-</v>
      </c>
      <c r="DQ372" s="1417" t="str">
        <f t="shared" si="650"/>
        <v>-</v>
      </c>
      <c r="DR372" s="1419" t="str">
        <f t="shared" si="651"/>
        <v>-</v>
      </c>
    </row>
    <row r="373" spans="4:122">
      <c r="E373" s="742" t="s">
        <v>45</v>
      </c>
      <c r="F373" s="722" t="str">
        <f>+F372</f>
        <v>[Service]</v>
      </c>
      <c r="G373" s="723">
        <f>+G372</f>
        <v>0</v>
      </c>
      <c r="H373" s="723">
        <f>+H372</f>
        <v>0</v>
      </c>
      <c r="I373" s="724" t="str">
        <f>+I372</f>
        <v>[Price]</v>
      </c>
      <c r="J373" s="782" t="s">
        <v>322</v>
      </c>
      <c r="K373" s="1540"/>
      <c r="L373" s="1541"/>
      <c r="M373" s="1541"/>
      <c r="N373" s="1542"/>
      <c r="O373" s="2031"/>
      <c r="P373" s="1543"/>
      <c r="Q373" s="1543"/>
      <c r="R373" s="1543"/>
      <c r="S373" s="1543"/>
      <c r="T373" s="1543"/>
      <c r="U373" s="1543"/>
      <c r="V373" s="1543"/>
      <c r="W373" s="1543"/>
      <c r="X373" s="1544"/>
      <c r="Y373" s="1543"/>
      <c r="Z373" s="1543"/>
      <c r="AA373" s="1543"/>
      <c r="AB373" s="1543"/>
      <c r="AC373" s="1544"/>
      <c r="AD373" s="1543"/>
      <c r="AE373" s="1543"/>
      <c r="AF373" s="1543"/>
      <c r="AG373" s="788"/>
      <c r="AH373" s="697"/>
      <c r="AI373" s="707"/>
      <c r="AJ373" s="709">
        <f t="shared" si="655"/>
        <v>0</v>
      </c>
      <c r="AK373" s="710">
        <f t="shared" si="656"/>
        <v>0</v>
      </c>
      <c r="AL373" s="710">
        <f t="shared" si="657"/>
        <v>0</v>
      </c>
      <c r="AM373" s="710">
        <f t="shared" si="658"/>
        <v>0</v>
      </c>
      <c r="AN373" s="710">
        <f t="shared" si="659"/>
        <v>0</v>
      </c>
      <c r="AO373" s="711">
        <f t="shared" si="660"/>
        <v>0</v>
      </c>
      <c r="AP373" s="707">
        <f t="shared" si="661"/>
        <v>0</v>
      </c>
      <c r="AQ373" s="707">
        <f t="shared" si="662"/>
        <v>0</v>
      </c>
      <c r="AR373" s="707">
        <f t="shared" si="663"/>
        <v>0</v>
      </c>
      <c r="AS373" s="712">
        <f t="shared" si="664"/>
        <v>0</v>
      </c>
      <c r="AV373" s="1559"/>
      <c r="AW373" s="1392" t="str">
        <f t="shared" si="612"/>
        <v>Qty</v>
      </c>
      <c r="AX373" s="1393" t="str">
        <f t="shared" si="612"/>
        <v>[Service]</v>
      </c>
      <c r="AY373" s="1394" t="str">
        <f t="shared" si="613"/>
        <v>[Price]</v>
      </c>
      <c r="AZ373" s="1395" t="str">
        <f t="shared" si="727"/>
        <v>-</v>
      </c>
      <c r="BA373" s="1395" t="str">
        <f t="shared" si="727"/>
        <v>-</v>
      </c>
      <c r="BB373" s="1395" t="str">
        <f t="shared" si="727"/>
        <v>-</v>
      </c>
      <c r="BC373" s="1395" t="str">
        <f t="shared" si="615"/>
        <v>-</v>
      </c>
      <c r="BD373" s="1395" t="str">
        <f t="shared" si="616"/>
        <v>-</v>
      </c>
      <c r="BE373" s="1395" t="str">
        <f t="shared" si="617"/>
        <v>-</v>
      </c>
      <c r="BF373" s="1395" t="str">
        <f t="shared" si="618"/>
        <v>-</v>
      </c>
      <c r="BG373" s="1396" t="str">
        <f t="shared" si="619"/>
        <v>-</v>
      </c>
      <c r="BH373" s="1395" t="str">
        <f t="shared" si="620"/>
        <v>-</v>
      </c>
      <c r="BI373" s="1395" t="str">
        <f t="shared" si="621"/>
        <v>-</v>
      </c>
      <c r="BJ373" s="1395" t="str">
        <f t="shared" si="622"/>
        <v>-</v>
      </c>
      <c r="BK373" s="1395" t="str">
        <f t="shared" si="623"/>
        <v>-</v>
      </c>
      <c r="BL373" s="1397" t="str">
        <f t="shared" si="624"/>
        <v>-</v>
      </c>
      <c r="BM373" s="1395" t="str">
        <f t="shared" si="625"/>
        <v>-</v>
      </c>
      <c r="BN373" s="1395" t="str">
        <f t="shared" si="626"/>
        <v>-</v>
      </c>
      <c r="BO373" s="1395" t="str">
        <f t="shared" si="627"/>
        <v>-</v>
      </c>
      <c r="BP373" s="1395" t="str">
        <f t="shared" si="628"/>
        <v>-</v>
      </c>
      <c r="BQ373" s="1398" t="str">
        <f t="shared" si="629"/>
        <v>-</v>
      </c>
      <c r="BR373" s="1378"/>
      <c r="BS373" s="1329"/>
      <c r="BT373" s="1399"/>
      <c r="BU373" s="1331"/>
      <c r="BV373" s="1400"/>
      <c r="BW373" s="1378"/>
      <c r="BX373" s="1392" t="str">
        <f t="shared" si="630"/>
        <v>Qty</v>
      </c>
      <c r="BY373" s="1393" t="str">
        <f t="shared" si="631"/>
        <v>[Service]</v>
      </c>
      <c r="BZ373" s="1394" t="str">
        <f t="shared" si="632"/>
        <v>[Price]</v>
      </c>
      <c r="CA373" s="1401" t="str">
        <f t="shared" ref="CA373:CR373" si="732">IFERROR((P373/O373-1)*(O374/O$13),"-")</f>
        <v>-</v>
      </c>
      <c r="CB373" s="1395" t="str">
        <f t="shared" si="732"/>
        <v>-</v>
      </c>
      <c r="CC373" s="1395" t="str">
        <f t="shared" si="732"/>
        <v>-</v>
      </c>
      <c r="CD373" s="1395" t="str">
        <f t="shared" si="732"/>
        <v>-</v>
      </c>
      <c r="CE373" s="1395" t="str">
        <f t="shared" si="732"/>
        <v>-</v>
      </c>
      <c r="CF373" s="1395" t="str">
        <f t="shared" si="732"/>
        <v>-</v>
      </c>
      <c r="CG373" s="1395" t="str">
        <f t="shared" si="732"/>
        <v>-</v>
      </c>
      <c r="CH373" s="1397" t="str">
        <f t="shared" si="732"/>
        <v>-</v>
      </c>
      <c r="CI373" s="1395" t="str">
        <f t="shared" si="732"/>
        <v>-</v>
      </c>
      <c r="CJ373" s="1395" t="str">
        <f t="shared" si="732"/>
        <v>-</v>
      </c>
      <c r="CK373" s="1395" t="str">
        <f t="shared" si="732"/>
        <v>-</v>
      </c>
      <c r="CL373" s="1395" t="str">
        <f t="shared" si="732"/>
        <v>-</v>
      </c>
      <c r="CM373" s="1397" t="str">
        <f t="shared" si="732"/>
        <v>-</v>
      </c>
      <c r="CN373" s="1395" t="str">
        <f t="shared" si="732"/>
        <v>-</v>
      </c>
      <c r="CO373" s="1395" t="str">
        <f t="shared" si="732"/>
        <v>-</v>
      </c>
      <c r="CP373" s="1395" t="str">
        <f t="shared" si="732"/>
        <v>-</v>
      </c>
      <c r="CQ373" s="1395" t="str">
        <f t="shared" si="732"/>
        <v>-</v>
      </c>
      <c r="CR373" s="1398" t="str">
        <f t="shared" si="732"/>
        <v>-</v>
      </c>
      <c r="CS373" s="1378"/>
      <c r="CT373" s="1392" t="str">
        <f t="shared" si="609"/>
        <v>Qty</v>
      </c>
      <c r="CU373" s="1393" t="str">
        <f t="shared" si="610"/>
        <v>[Service]</v>
      </c>
      <c r="CV373" s="1393" t="str">
        <f t="shared" si="611"/>
        <v>[Price]</v>
      </c>
      <c r="CW373" s="1401" t="str">
        <f t="shared" si="634"/>
        <v>-</v>
      </c>
      <c r="CX373" s="1395" t="str">
        <f t="shared" si="635"/>
        <v>-</v>
      </c>
      <c r="CY373" s="1395" t="str">
        <f t="shared" si="636"/>
        <v>-</v>
      </c>
      <c r="CZ373" s="1398" t="str">
        <f t="shared" si="637"/>
        <v>-</v>
      </c>
      <c r="DA373" s="1395" t="str">
        <f t="shared" si="638"/>
        <v>-</v>
      </c>
      <c r="DB373" s="1395" t="str">
        <f t="shared" si="639"/>
        <v>-</v>
      </c>
      <c r="DC373" s="1395" t="str">
        <f t="shared" si="640"/>
        <v>-</v>
      </c>
      <c r="DD373" s="1395" t="str">
        <f t="shared" si="641"/>
        <v>-</v>
      </c>
      <c r="DE373" s="1398" t="str">
        <f t="shared" si="642"/>
        <v>-</v>
      </c>
      <c r="DF373" s="1378"/>
      <c r="DG373" s="1392" t="str">
        <f t="shared" si="643"/>
        <v>Qty</v>
      </c>
      <c r="DH373" s="1393" t="str">
        <f t="shared" si="643"/>
        <v>[Service]</v>
      </c>
      <c r="DI373" s="1393" t="str">
        <f t="shared" si="643"/>
        <v>[Price]</v>
      </c>
      <c r="DJ373" s="1393"/>
      <c r="DK373" s="1401" t="str">
        <f t="shared" si="644"/>
        <v>-</v>
      </c>
      <c r="DL373" s="1395" t="str">
        <f t="shared" si="645"/>
        <v>-</v>
      </c>
      <c r="DM373" s="1395" t="str">
        <f t="shared" si="646"/>
        <v>-</v>
      </c>
      <c r="DN373" s="1397" t="str">
        <f t="shared" si="647"/>
        <v>-</v>
      </c>
      <c r="DO373" s="1395" t="str">
        <f t="shared" si="648"/>
        <v>-</v>
      </c>
      <c r="DP373" s="1395" t="str">
        <f t="shared" si="649"/>
        <v>-</v>
      </c>
      <c r="DQ373" s="1395" t="str">
        <f t="shared" si="650"/>
        <v>-</v>
      </c>
      <c r="DR373" s="1398" t="str">
        <f t="shared" si="651"/>
        <v>-</v>
      </c>
    </row>
    <row r="374" spans="4:122" ht="12.75" thickBot="1">
      <c r="E374" s="743" t="s">
        <v>46</v>
      </c>
      <c r="F374" s="732" t="str">
        <f>+F372</f>
        <v>[Service]</v>
      </c>
      <c r="G374" s="733">
        <f>+G372</f>
        <v>0</v>
      </c>
      <c r="H374" s="733">
        <f>+H372</f>
        <v>0</v>
      </c>
      <c r="I374" s="734" t="str">
        <f>+I372</f>
        <v>[Price]</v>
      </c>
      <c r="J374" s="735" t="s">
        <v>344</v>
      </c>
      <c r="K374" s="736">
        <f t="shared" ref="K374:AG374" si="733">K372*K373/10^6</f>
        <v>0</v>
      </c>
      <c r="L374" s="737">
        <f t="shared" si="733"/>
        <v>0</v>
      </c>
      <c r="M374" s="737">
        <f t="shared" si="733"/>
        <v>0</v>
      </c>
      <c r="N374" s="738">
        <f t="shared" si="733"/>
        <v>0</v>
      </c>
      <c r="O374" s="1923">
        <f t="shared" si="733"/>
        <v>0</v>
      </c>
      <c r="P374" s="737">
        <f t="shared" si="733"/>
        <v>0</v>
      </c>
      <c r="Q374" s="737">
        <f t="shared" si="733"/>
        <v>0</v>
      </c>
      <c r="R374" s="737">
        <f t="shared" si="733"/>
        <v>0</v>
      </c>
      <c r="S374" s="737">
        <f t="shared" si="733"/>
        <v>0</v>
      </c>
      <c r="T374" s="737">
        <f t="shared" si="733"/>
        <v>0</v>
      </c>
      <c r="U374" s="737">
        <f t="shared" si="733"/>
        <v>0</v>
      </c>
      <c r="V374" s="737">
        <f t="shared" si="733"/>
        <v>0</v>
      </c>
      <c r="W374" s="737">
        <f t="shared" si="733"/>
        <v>0</v>
      </c>
      <c r="X374" s="738">
        <f t="shared" si="733"/>
        <v>0</v>
      </c>
      <c r="Y374" s="737">
        <f t="shared" si="733"/>
        <v>0</v>
      </c>
      <c r="Z374" s="737">
        <f t="shared" si="733"/>
        <v>0</v>
      </c>
      <c r="AA374" s="737">
        <f t="shared" si="733"/>
        <v>0</v>
      </c>
      <c r="AB374" s="737">
        <f t="shared" si="733"/>
        <v>0</v>
      </c>
      <c r="AC374" s="738">
        <f t="shared" si="733"/>
        <v>0</v>
      </c>
      <c r="AD374" s="737">
        <f t="shared" si="733"/>
        <v>0</v>
      </c>
      <c r="AE374" s="737">
        <f t="shared" si="733"/>
        <v>0</v>
      </c>
      <c r="AF374" s="737">
        <f t="shared" si="733"/>
        <v>0</v>
      </c>
      <c r="AG374" s="739">
        <f t="shared" si="733"/>
        <v>0</v>
      </c>
      <c r="AH374" s="697"/>
      <c r="AI374" s="707"/>
      <c r="AJ374" s="709">
        <f t="shared" si="655"/>
        <v>0</v>
      </c>
      <c r="AK374" s="710">
        <f t="shared" si="656"/>
        <v>0</v>
      </c>
      <c r="AL374" s="710">
        <f t="shared" si="657"/>
        <v>0</v>
      </c>
      <c r="AM374" s="710">
        <f t="shared" si="658"/>
        <v>0</v>
      </c>
      <c r="AN374" s="710">
        <f t="shared" si="659"/>
        <v>0</v>
      </c>
      <c r="AO374" s="711">
        <f t="shared" si="660"/>
        <v>0</v>
      </c>
      <c r="AP374" s="707">
        <f t="shared" si="661"/>
        <v>0</v>
      </c>
      <c r="AQ374" s="707">
        <f t="shared" si="662"/>
        <v>0</v>
      </c>
      <c r="AR374" s="707">
        <f t="shared" si="663"/>
        <v>0</v>
      </c>
      <c r="AS374" s="712">
        <f t="shared" si="664"/>
        <v>0</v>
      </c>
      <c r="AV374" s="1559"/>
      <c r="AW374" s="1428" t="str">
        <f t="shared" si="612"/>
        <v>Rev</v>
      </c>
      <c r="AX374" s="1429" t="str">
        <f t="shared" si="612"/>
        <v>[Service]</v>
      </c>
      <c r="AY374" s="1430" t="str">
        <f t="shared" si="613"/>
        <v>[Price]</v>
      </c>
      <c r="AZ374" s="1431" t="str">
        <f t="shared" si="727"/>
        <v>-</v>
      </c>
      <c r="BA374" s="1431" t="str">
        <f t="shared" si="727"/>
        <v>-</v>
      </c>
      <c r="BB374" s="1431" t="str">
        <f t="shared" si="727"/>
        <v>-</v>
      </c>
      <c r="BC374" s="1431" t="str">
        <f t="shared" si="615"/>
        <v>-</v>
      </c>
      <c r="BD374" s="1431" t="str">
        <f t="shared" si="616"/>
        <v>-</v>
      </c>
      <c r="BE374" s="1431" t="str">
        <f t="shared" si="617"/>
        <v>-</v>
      </c>
      <c r="BF374" s="1431" t="str">
        <f t="shared" si="618"/>
        <v>-</v>
      </c>
      <c r="BG374" s="1432" t="str">
        <f t="shared" si="619"/>
        <v>-</v>
      </c>
      <c r="BH374" s="1431" t="str">
        <f t="shared" si="620"/>
        <v>-</v>
      </c>
      <c r="BI374" s="1431" t="str">
        <f t="shared" si="621"/>
        <v>-</v>
      </c>
      <c r="BJ374" s="1431" t="str">
        <f t="shared" si="622"/>
        <v>-</v>
      </c>
      <c r="BK374" s="1431" t="str">
        <f t="shared" si="623"/>
        <v>-</v>
      </c>
      <c r="BL374" s="1433" t="str">
        <f t="shared" si="624"/>
        <v>-</v>
      </c>
      <c r="BM374" s="1431" t="str">
        <f t="shared" si="625"/>
        <v>-</v>
      </c>
      <c r="BN374" s="1431" t="str">
        <f t="shared" si="626"/>
        <v>-</v>
      </c>
      <c r="BO374" s="1431" t="str">
        <f t="shared" si="627"/>
        <v>-</v>
      </c>
      <c r="BP374" s="1431" t="str">
        <f t="shared" si="628"/>
        <v>-</v>
      </c>
      <c r="BQ374" s="1434" t="str">
        <f t="shared" si="629"/>
        <v>-</v>
      </c>
      <c r="BR374" s="1378"/>
      <c r="BS374" s="1407"/>
      <c r="BT374" s="1408"/>
      <c r="BU374" s="1409"/>
      <c r="BV374" s="1410"/>
      <c r="BW374" s="1378"/>
      <c r="BX374" s="1428" t="str">
        <f t="shared" si="630"/>
        <v>Rev</v>
      </c>
      <c r="BY374" s="1429" t="str">
        <f t="shared" si="631"/>
        <v>[Service]</v>
      </c>
      <c r="BZ374" s="1430" t="str">
        <f t="shared" si="632"/>
        <v>[Price]</v>
      </c>
      <c r="CA374" s="1435" t="str">
        <f t="shared" ref="CA374:CR374" si="734">IFERROR((P374/O374-1)*(O374/O$13),"-")</f>
        <v>-</v>
      </c>
      <c r="CB374" s="1431" t="str">
        <f t="shared" si="734"/>
        <v>-</v>
      </c>
      <c r="CC374" s="1431" t="str">
        <f t="shared" si="734"/>
        <v>-</v>
      </c>
      <c r="CD374" s="1431" t="str">
        <f t="shared" si="734"/>
        <v>-</v>
      </c>
      <c r="CE374" s="1431" t="str">
        <f t="shared" si="734"/>
        <v>-</v>
      </c>
      <c r="CF374" s="1431" t="str">
        <f t="shared" si="734"/>
        <v>-</v>
      </c>
      <c r="CG374" s="1431" t="str">
        <f t="shared" si="734"/>
        <v>-</v>
      </c>
      <c r="CH374" s="1433" t="str">
        <f t="shared" si="734"/>
        <v>-</v>
      </c>
      <c r="CI374" s="1431" t="str">
        <f t="shared" si="734"/>
        <v>-</v>
      </c>
      <c r="CJ374" s="1431" t="str">
        <f t="shared" si="734"/>
        <v>-</v>
      </c>
      <c r="CK374" s="1431" t="str">
        <f t="shared" si="734"/>
        <v>-</v>
      </c>
      <c r="CL374" s="1431" t="str">
        <f t="shared" si="734"/>
        <v>-</v>
      </c>
      <c r="CM374" s="1433" t="str">
        <f t="shared" si="734"/>
        <v>-</v>
      </c>
      <c r="CN374" s="1431" t="str">
        <f t="shared" si="734"/>
        <v>-</v>
      </c>
      <c r="CO374" s="1431" t="str">
        <f t="shared" si="734"/>
        <v>-</v>
      </c>
      <c r="CP374" s="1431" t="str">
        <f t="shared" si="734"/>
        <v>-</v>
      </c>
      <c r="CQ374" s="1431" t="str">
        <f t="shared" si="734"/>
        <v>-</v>
      </c>
      <c r="CR374" s="1434" t="str">
        <f t="shared" si="734"/>
        <v>-</v>
      </c>
      <c r="CS374" s="1378"/>
      <c r="CT374" s="1428" t="str">
        <f t="shared" si="609"/>
        <v>Rev</v>
      </c>
      <c r="CU374" s="1429" t="str">
        <f t="shared" si="610"/>
        <v>[Service]</v>
      </c>
      <c r="CV374" s="1429" t="str">
        <f t="shared" si="611"/>
        <v>[Price]</v>
      </c>
      <c r="CW374" s="1435" t="str">
        <f t="shared" si="634"/>
        <v>-</v>
      </c>
      <c r="CX374" s="1431" t="str">
        <f t="shared" si="635"/>
        <v>-</v>
      </c>
      <c r="CY374" s="1431" t="str">
        <f t="shared" si="636"/>
        <v>-</v>
      </c>
      <c r="CZ374" s="1434" t="str">
        <f t="shared" si="637"/>
        <v>-</v>
      </c>
      <c r="DA374" s="1431" t="str">
        <f t="shared" si="638"/>
        <v>-</v>
      </c>
      <c r="DB374" s="1431" t="str">
        <f t="shared" si="639"/>
        <v>-</v>
      </c>
      <c r="DC374" s="1431" t="str">
        <f t="shared" si="640"/>
        <v>-</v>
      </c>
      <c r="DD374" s="1431" t="str">
        <f t="shared" si="641"/>
        <v>-</v>
      </c>
      <c r="DE374" s="1434" t="str">
        <f t="shared" si="642"/>
        <v>-</v>
      </c>
      <c r="DF374" s="1378"/>
      <c r="DG374" s="1428" t="str">
        <f t="shared" si="643"/>
        <v>Rev</v>
      </c>
      <c r="DH374" s="1429" t="str">
        <f t="shared" si="643"/>
        <v>[Service]</v>
      </c>
      <c r="DI374" s="1429" t="str">
        <f t="shared" si="643"/>
        <v>[Price]</v>
      </c>
      <c r="DJ374" s="1429"/>
      <c r="DK374" s="1435" t="str">
        <f t="shared" si="644"/>
        <v>-</v>
      </c>
      <c r="DL374" s="1431" t="str">
        <f t="shared" si="645"/>
        <v>-</v>
      </c>
      <c r="DM374" s="1431" t="str">
        <f t="shared" si="646"/>
        <v>-</v>
      </c>
      <c r="DN374" s="1433" t="str">
        <f t="shared" si="647"/>
        <v>-</v>
      </c>
      <c r="DO374" s="1431" t="str">
        <f t="shared" si="648"/>
        <v>-</v>
      </c>
      <c r="DP374" s="1431" t="str">
        <f t="shared" si="649"/>
        <v>-</v>
      </c>
      <c r="DQ374" s="1431" t="str">
        <f t="shared" si="650"/>
        <v>-</v>
      </c>
      <c r="DR374" s="1434" t="str">
        <f t="shared" si="651"/>
        <v>-</v>
      </c>
    </row>
    <row r="375" spans="4:122">
      <c r="D375" s="70">
        <f>D372+1</f>
        <v>104</v>
      </c>
      <c r="E375" s="713" t="s">
        <v>44</v>
      </c>
      <c r="F375" s="1532" t="s">
        <v>27</v>
      </c>
      <c r="G375" s="1532"/>
      <c r="H375" s="1532"/>
      <c r="I375" s="781" t="s">
        <v>318</v>
      </c>
      <c r="J375" s="781" t="s">
        <v>345</v>
      </c>
      <c r="K375" s="1533"/>
      <c r="L375" s="1534"/>
      <c r="M375" s="1534"/>
      <c r="N375" s="1535"/>
      <c r="O375" s="2071"/>
      <c r="P375" s="1547"/>
      <c r="Q375" s="1547"/>
      <c r="R375" s="1547"/>
      <c r="S375" s="1547"/>
      <c r="T375" s="1547"/>
      <c r="U375" s="1547"/>
      <c r="V375" s="1547"/>
      <c r="W375" s="1547"/>
      <c r="X375" s="1548"/>
      <c r="Y375" s="1547"/>
      <c r="Z375" s="1547"/>
      <c r="AA375" s="1547"/>
      <c r="AB375" s="1547"/>
      <c r="AC375" s="1548"/>
      <c r="AD375" s="1547"/>
      <c r="AE375" s="1547"/>
      <c r="AF375" s="1547"/>
      <c r="AG375" s="785"/>
      <c r="AH375" s="697"/>
      <c r="AI375" s="707"/>
      <c r="AJ375" s="709">
        <f t="shared" si="655"/>
        <v>0</v>
      </c>
      <c r="AK375" s="710">
        <f t="shared" si="656"/>
        <v>0</v>
      </c>
      <c r="AL375" s="710">
        <f t="shared" si="657"/>
        <v>0</v>
      </c>
      <c r="AM375" s="710">
        <f t="shared" si="658"/>
        <v>0</v>
      </c>
      <c r="AN375" s="710">
        <f t="shared" si="659"/>
        <v>0</v>
      </c>
      <c r="AO375" s="711">
        <f t="shared" si="660"/>
        <v>0</v>
      </c>
      <c r="AP375" s="707">
        <f t="shared" si="661"/>
        <v>0</v>
      </c>
      <c r="AQ375" s="707">
        <f t="shared" si="662"/>
        <v>0</v>
      </c>
      <c r="AR375" s="707">
        <f t="shared" si="663"/>
        <v>0</v>
      </c>
      <c r="AS375" s="712">
        <f t="shared" si="664"/>
        <v>0</v>
      </c>
      <c r="AU375" s="1369"/>
      <c r="AV375" s="1559"/>
      <c r="AW375" s="1412" t="str">
        <f t="shared" si="612"/>
        <v>Price</v>
      </c>
      <c r="AX375" s="1413" t="str">
        <f t="shared" si="612"/>
        <v>[Service]</v>
      </c>
      <c r="AY375" s="1414" t="str">
        <f t="shared" si="613"/>
        <v>[Price]</v>
      </c>
      <c r="AZ375" s="1415" t="str">
        <f t="shared" si="727"/>
        <v>-</v>
      </c>
      <c r="BA375" s="1415" t="str">
        <f t="shared" si="727"/>
        <v>-</v>
      </c>
      <c r="BB375" s="1415" t="str">
        <f t="shared" si="727"/>
        <v>-</v>
      </c>
      <c r="BC375" s="1415" t="str">
        <f t="shared" si="615"/>
        <v>-</v>
      </c>
      <c r="BD375" s="1415" t="str">
        <f t="shared" si="616"/>
        <v>-</v>
      </c>
      <c r="BE375" s="1415" t="str">
        <f t="shared" si="617"/>
        <v>-</v>
      </c>
      <c r="BF375" s="1415" t="str">
        <f t="shared" si="618"/>
        <v>-</v>
      </c>
      <c r="BG375" s="1416" t="str">
        <f t="shared" si="619"/>
        <v>-</v>
      </c>
      <c r="BH375" s="1417" t="str">
        <f t="shared" si="620"/>
        <v>-</v>
      </c>
      <c r="BI375" s="1417" t="str">
        <f t="shared" si="621"/>
        <v>-</v>
      </c>
      <c r="BJ375" s="1417" t="str">
        <f t="shared" si="622"/>
        <v>-</v>
      </c>
      <c r="BK375" s="1417" t="str">
        <f t="shared" si="623"/>
        <v>-</v>
      </c>
      <c r="BL375" s="1418" t="str">
        <f t="shared" si="624"/>
        <v>-</v>
      </c>
      <c r="BM375" s="1417" t="str">
        <f t="shared" si="625"/>
        <v>-</v>
      </c>
      <c r="BN375" s="1417" t="str">
        <f t="shared" si="626"/>
        <v>-</v>
      </c>
      <c r="BO375" s="1417" t="str">
        <f t="shared" si="627"/>
        <v>-</v>
      </c>
      <c r="BP375" s="1417" t="str">
        <f t="shared" si="628"/>
        <v>-</v>
      </c>
      <c r="BQ375" s="1419" t="str">
        <f t="shared" si="629"/>
        <v>-</v>
      </c>
      <c r="BR375" s="1378"/>
      <c r="BS375" s="1420"/>
      <c r="BT375" s="1421"/>
      <c r="BU375" s="1422"/>
      <c r="BV375" s="1423"/>
      <c r="BW375" s="1378"/>
      <c r="BX375" s="1412" t="str">
        <f t="shared" si="630"/>
        <v>Price</v>
      </c>
      <c r="BY375" s="1413" t="str">
        <f t="shared" si="631"/>
        <v>[Service]</v>
      </c>
      <c r="BZ375" s="1414" t="str">
        <f t="shared" si="632"/>
        <v>[Price]</v>
      </c>
      <c r="CA375" s="1424" t="str">
        <f t="shared" ref="CA375:CR375" si="735">IFERROR((P375/O375-1)*(O377/O$13),"-")</f>
        <v>-</v>
      </c>
      <c r="CB375" s="1415" t="str">
        <f t="shared" si="735"/>
        <v>-</v>
      </c>
      <c r="CC375" s="1415" t="str">
        <f t="shared" si="735"/>
        <v>-</v>
      </c>
      <c r="CD375" s="1415" t="str">
        <f t="shared" si="735"/>
        <v>-</v>
      </c>
      <c r="CE375" s="1415" t="str">
        <f t="shared" si="735"/>
        <v>-</v>
      </c>
      <c r="CF375" s="1415" t="str">
        <f t="shared" si="735"/>
        <v>-</v>
      </c>
      <c r="CG375" s="1415" t="str">
        <f t="shared" si="735"/>
        <v>-</v>
      </c>
      <c r="CH375" s="1425" t="str">
        <f t="shared" si="735"/>
        <v>-</v>
      </c>
      <c r="CI375" s="1417" t="str">
        <f t="shared" si="735"/>
        <v>-</v>
      </c>
      <c r="CJ375" s="1417" t="str">
        <f t="shared" si="735"/>
        <v>-</v>
      </c>
      <c r="CK375" s="1417" t="str">
        <f t="shared" si="735"/>
        <v>-</v>
      </c>
      <c r="CL375" s="1417" t="str">
        <f t="shared" si="735"/>
        <v>-</v>
      </c>
      <c r="CM375" s="1418" t="str">
        <f t="shared" si="735"/>
        <v>-</v>
      </c>
      <c r="CN375" s="1417" t="str">
        <f t="shared" si="735"/>
        <v>-</v>
      </c>
      <c r="CO375" s="1417" t="str">
        <f t="shared" si="735"/>
        <v>-</v>
      </c>
      <c r="CP375" s="1417" t="str">
        <f t="shared" si="735"/>
        <v>-</v>
      </c>
      <c r="CQ375" s="1417" t="str">
        <f t="shared" si="735"/>
        <v>-</v>
      </c>
      <c r="CR375" s="1419" t="str">
        <f t="shared" si="735"/>
        <v>-</v>
      </c>
      <c r="CS375" s="1378"/>
      <c r="CT375" s="1412" t="str">
        <f t="shared" si="609"/>
        <v>Price</v>
      </c>
      <c r="CU375" s="1413" t="str">
        <f t="shared" si="610"/>
        <v>[Service]</v>
      </c>
      <c r="CV375" s="1426" t="str">
        <f t="shared" si="611"/>
        <v>[Price]</v>
      </c>
      <c r="CW375" s="1427" t="str">
        <f t="shared" si="634"/>
        <v>-</v>
      </c>
      <c r="CX375" s="1417" t="str">
        <f t="shared" si="635"/>
        <v>-</v>
      </c>
      <c r="CY375" s="1417" t="str">
        <f t="shared" si="636"/>
        <v>-</v>
      </c>
      <c r="CZ375" s="1419" t="str">
        <f t="shared" si="637"/>
        <v>-</v>
      </c>
      <c r="DA375" s="1417" t="str">
        <f t="shared" si="638"/>
        <v>-</v>
      </c>
      <c r="DB375" s="1417" t="str">
        <f t="shared" si="639"/>
        <v>-</v>
      </c>
      <c r="DC375" s="1417" t="str">
        <f t="shared" si="640"/>
        <v>-</v>
      </c>
      <c r="DD375" s="1417" t="str">
        <f t="shared" si="641"/>
        <v>-</v>
      </c>
      <c r="DE375" s="1419" t="str">
        <f t="shared" si="642"/>
        <v>-</v>
      </c>
      <c r="DF375" s="1378"/>
      <c r="DG375" s="1412" t="str">
        <f t="shared" si="643"/>
        <v>Price</v>
      </c>
      <c r="DH375" s="1413" t="str">
        <f t="shared" si="643"/>
        <v>[Service]</v>
      </c>
      <c r="DI375" s="1426" t="str">
        <f t="shared" si="643"/>
        <v>[Price]</v>
      </c>
      <c r="DJ375" s="1426"/>
      <c r="DK375" s="1427" t="str">
        <f t="shared" si="644"/>
        <v>-</v>
      </c>
      <c r="DL375" s="1417" t="str">
        <f t="shared" si="645"/>
        <v>-</v>
      </c>
      <c r="DM375" s="1417" t="str">
        <f t="shared" si="646"/>
        <v>-</v>
      </c>
      <c r="DN375" s="1418" t="str">
        <f t="shared" si="647"/>
        <v>-</v>
      </c>
      <c r="DO375" s="1417" t="str">
        <f t="shared" si="648"/>
        <v>-</v>
      </c>
      <c r="DP375" s="1417" t="str">
        <f t="shared" si="649"/>
        <v>-</v>
      </c>
      <c r="DQ375" s="1417" t="str">
        <f t="shared" si="650"/>
        <v>-</v>
      </c>
      <c r="DR375" s="1419" t="str">
        <f t="shared" si="651"/>
        <v>-</v>
      </c>
    </row>
    <row r="376" spans="4:122">
      <c r="E376" s="742" t="s">
        <v>45</v>
      </c>
      <c r="F376" s="722" t="str">
        <f>+F375</f>
        <v>[Service]</v>
      </c>
      <c r="G376" s="723">
        <f>+G375</f>
        <v>0</v>
      </c>
      <c r="H376" s="723">
        <f>+H375</f>
        <v>0</v>
      </c>
      <c r="I376" s="724" t="str">
        <f>+I375</f>
        <v>[Price]</v>
      </c>
      <c r="J376" s="782" t="s">
        <v>322</v>
      </c>
      <c r="K376" s="1540"/>
      <c r="L376" s="1541"/>
      <c r="M376" s="1541"/>
      <c r="N376" s="1542"/>
      <c r="O376" s="2031"/>
      <c r="P376" s="1543"/>
      <c r="Q376" s="1543"/>
      <c r="R376" s="1543"/>
      <c r="S376" s="1543"/>
      <c r="T376" s="1543"/>
      <c r="U376" s="1543"/>
      <c r="V376" s="1543"/>
      <c r="W376" s="1543"/>
      <c r="X376" s="1544"/>
      <c r="Y376" s="1543"/>
      <c r="Z376" s="1543"/>
      <c r="AA376" s="1543"/>
      <c r="AB376" s="1543"/>
      <c r="AC376" s="1544"/>
      <c r="AD376" s="1543"/>
      <c r="AE376" s="1543"/>
      <c r="AF376" s="1543"/>
      <c r="AG376" s="788"/>
      <c r="AH376" s="697"/>
      <c r="AI376" s="707"/>
      <c r="AJ376" s="709">
        <f t="shared" si="655"/>
        <v>0</v>
      </c>
      <c r="AK376" s="710">
        <f t="shared" si="656"/>
        <v>0</v>
      </c>
      <c r="AL376" s="710">
        <f t="shared" si="657"/>
        <v>0</v>
      </c>
      <c r="AM376" s="710">
        <f t="shared" si="658"/>
        <v>0</v>
      </c>
      <c r="AN376" s="710">
        <f t="shared" si="659"/>
        <v>0</v>
      </c>
      <c r="AO376" s="711">
        <f t="shared" si="660"/>
        <v>0</v>
      </c>
      <c r="AP376" s="707">
        <f t="shared" si="661"/>
        <v>0</v>
      </c>
      <c r="AQ376" s="707">
        <f t="shared" si="662"/>
        <v>0</v>
      </c>
      <c r="AR376" s="707">
        <f t="shared" si="663"/>
        <v>0</v>
      </c>
      <c r="AS376" s="712">
        <f t="shared" si="664"/>
        <v>0</v>
      </c>
      <c r="AV376" s="1559"/>
      <c r="AW376" s="1392" t="str">
        <f t="shared" si="612"/>
        <v>Qty</v>
      </c>
      <c r="AX376" s="1393" t="str">
        <f t="shared" si="612"/>
        <v>[Service]</v>
      </c>
      <c r="AY376" s="1394" t="str">
        <f t="shared" si="613"/>
        <v>[Price]</v>
      </c>
      <c r="AZ376" s="1395" t="str">
        <f t="shared" si="727"/>
        <v>-</v>
      </c>
      <c r="BA376" s="1395" t="str">
        <f t="shared" si="727"/>
        <v>-</v>
      </c>
      <c r="BB376" s="1395" t="str">
        <f t="shared" si="727"/>
        <v>-</v>
      </c>
      <c r="BC376" s="1395" t="str">
        <f t="shared" si="615"/>
        <v>-</v>
      </c>
      <c r="BD376" s="1395" t="str">
        <f t="shared" si="616"/>
        <v>-</v>
      </c>
      <c r="BE376" s="1395" t="str">
        <f t="shared" si="617"/>
        <v>-</v>
      </c>
      <c r="BF376" s="1395" t="str">
        <f t="shared" si="618"/>
        <v>-</v>
      </c>
      <c r="BG376" s="1396" t="str">
        <f t="shared" si="619"/>
        <v>-</v>
      </c>
      <c r="BH376" s="1395" t="str">
        <f t="shared" si="620"/>
        <v>-</v>
      </c>
      <c r="BI376" s="1395" t="str">
        <f t="shared" si="621"/>
        <v>-</v>
      </c>
      <c r="BJ376" s="1395" t="str">
        <f t="shared" si="622"/>
        <v>-</v>
      </c>
      <c r="BK376" s="1395" t="str">
        <f t="shared" si="623"/>
        <v>-</v>
      </c>
      <c r="BL376" s="1397" t="str">
        <f t="shared" si="624"/>
        <v>-</v>
      </c>
      <c r="BM376" s="1395" t="str">
        <f t="shared" si="625"/>
        <v>-</v>
      </c>
      <c r="BN376" s="1395" t="str">
        <f t="shared" si="626"/>
        <v>-</v>
      </c>
      <c r="BO376" s="1395" t="str">
        <f t="shared" si="627"/>
        <v>-</v>
      </c>
      <c r="BP376" s="1395" t="str">
        <f t="shared" si="628"/>
        <v>-</v>
      </c>
      <c r="BQ376" s="1398" t="str">
        <f t="shared" si="629"/>
        <v>-</v>
      </c>
      <c r="BR376" s="1378"/>
      <c r="BS376" s="1329"/>
      <c r="BT376" s="1399"/>
      <c r="BU376" s="1331"/>
      <c r="BV376" s="1400"/>
      <c r="BW376" s="1378"/>
      <c r="BX376" s="1392" t="str">
        <f t="shared" si="630"/>
        <v>Qty</v>
      </c>
      <c r="BY376" s="1393" t="str">
        <f t="shared" si="631"/>
        <v>[Service]</v>
      </c>
      <c r="BZ376" s="1394" t="str">
        <f t="shared" si="632"/>
        <v>[Price]</v>
      </c>
      <c r="CA376" s="1401" t="str">
        <f t="shared" ref="CA376:CR376" si="736">IFERROR((P376/O376-1)*(O377/O$13),"-")</f>
        <v>-</v>
      </c>
      <c r="CB376" s="1395" t="str">
        <f t="shared" si="736"/>
        <v>-</v>
      </c>
      <c r="CC376" s="1395" t="str">
        <f t="shared" si="736"/>
        <v>-</v>
      </c>
      <c r="CD376" s="1395" t="str">
        <f t="shared" si="736"/>
        <v>-</v>
      </c>
      <c r="CE376" s="1395" t="str">
        <f t="shared" si="736"/>
        <v>-</v>
      </c>
      <c r="CF376" s="1395" t="str">
        <f t="shared" si="736"/>
        <v>-</v>
      </c>
      <c r="CG376" s="1395" t="str">
        <f t="shared" si="736"/>
        <v>-</v>
      </c>
      <c r="CH376" s="1397" t="str">
        <f t="shared" si="736"/>
        <v>-</v>
      </c>
      <c r="CI376" s="1395" t="str">
        <f t="shared" si="736"/>
        <v>-</v>
      </c>
      <c r="CJ376" s="1395" t="str">
        <f t="shared" si="736"/>
        <v>-</v>
      </c>
      <c r="CK376" s="1395" t="str">
        <f t="shared" si="736"/>
        <v>-</v>
      </c>
      <c r="CL376" s="1395" t="str">
        <f t="shared" si="736"/>
        <v>-</v>
      </c>
      <c r="CM376" s="1397" t="str">
        <f t="shared" si="736"/>
        <v>-</v>
      </c>
      <c r="CN376" s="1395" t="str">
        <f t="shared" si="736"/>
        <v>-</v>
      </c>
      <c r="CO376" s="1395" t="str">
        <f t="shared" si="736"/>
        <v>-</v>
      </c>
      <c r="CP376" s="1395" t="str">
        <f t="shared" si="736"/>
        <v>-</v>
      </c>
      <c r="CQ376" s="1395" t="str">
        <f t="shared" si="736"/>
        <v>-</v>
      </c>
      <c r="CR376" s="1398" t="str">
        <f t="shared" si="736"/>
        <v>-</v>
      </c>
      <c r="CS376" s="1378"/>
      <c r="CT376" s="1392" t="str">
        <f t="shared" si="609"/>
        <v>Qty</v>
      </c>
      <c r="CU376" s="1393" t="str">
        <f t="shared" si="610"/>
        <v>[Service]</v>
      </c>
      <c r="CV376" s="1393" t="str">
        <f t="shared" si="611"/>
        <v>[Price]</v>
      </c>
      <c r="CW376" s="1401" t="str">
        <f t="shared" si="634"/>
        <v>-</v>
      </c>
      <c r="CX376" s="1395" t="str">
        <f t="shared" si="635"/>
        <v>-</v>
      </c>
      <c r="CY376" s="1395" t="str">
        <f t="shared" si="636"/>
        <v>-</v>
      </c>
      <c r="CZ376" s="1398" t="str">
        <f t="shared" si="637"/>
        <v>-</v>
      </c>
      <c r="DA376" s="1395" t="str">
        <f t="shared" si="638"/>
        <v>-</v>
      </c>
      <c r="DB376" s="1395" t="str">
        <f t="shared" si="639"/>
        <v>-</v>
      </c>
      <c r="DC376" s="1395" t="str">
        <f t="shared" si="640"/>
        <v>-</v>
      </c>
      <c r="DD376" s="1395" t="str">
        <f t="shared" si="641"/>
        <v>-</v>
      </c>
      <c r="DE376" s="1398" t="str">
        <f t="shared" si="642"/>
        <v>-</v>
      </c>
      <c r="DF376" s="1378"/>
      <c r="DG376" s="1392" t="str">
        <f t="shared" si="643"/>
        <v>Qty</v>
      </c>
      <c r="DH376" s="1393" t="str">
        <f t="shared" si="643"/>
        <v>[Service]</v>
      </c>
      <c r="DI376" s="1393" t="str">
        <f t="shared" si="643"/>
        <v>[Price]</v>
      </c>
      <c r="DJ376" s="1393"/>
      <c r="DK376" s="1401" t="str">
        <f t="shared" si="644"/>
        <v>-</v>
      </c>
      <c r="DL376" s="1395" t="str">
        <f t="shared" si="645"/>
        <v>-</v>
      </c>
      <c r="DM376" s="1395" t="str">
        <f t="shared" si="646"/>
        <v>-</v>
      </c>
      <c r="DN376" s="1397" t="str">
        <f t="shared" si="647"/>
        <v>-</v>
      </c>
      <c r="DO376" s="1395" t="str">
        <f t="shared" si="648"/>
        <v>-</v>
      </c>
      <c r="DP376" s="1395" t="str">
        <f t="shared" si="649"/>
        <v>-</v>
      </c>
      <c r="DQ376" s="1395" t="str">
        <f t="shared" si="650"/>
        <v>-</v>
      </c>
      <c r="DR376" s="1398" t="str">
        <f t="shared" si="651"/>
        <v>-</v>
      </c>
    </row>
    <row r="377" spans="4:122" ht="12.75" thickBot="1">
      <c r="E377" s="743" t="s">
        <v>46</v>
      </c>
      <c r="F377" s="732" t="str">
        <f>+F375</f>
        <v>[Service]</v>
      </c>
      <c r="G377" s="733">
        <f>+G375</f>
        <v>0</v>
      </c>
      <c r="H377" s="733">
        <f>+H375</f>
        <v>0</v>
      </c>
      <c r="I377" s="734" t="str">
        <f>+I375</f>
        <v>[Price]</v>
      </c>
      <c r="J377" s="735" t="s">
        <v>344</v>
      </c>
      <c r="K377" s="736">
        <f t="shared" ref="K377:AG377" si="737">K375*K376/10^6</f>
        <v>0</v>
      </c>
      <c r="L377" s="737">
        <f t="shared" si="737"/>
        <v>0</v>
      </c>
      <c r="M377" s="737">
        <f t="shared" si="737"/>
        <v>0</v>
      </c>
      <c r="N377" s="738">
        <f t="shared" si="737"/>
        <v>0</v>
      </c>
      <c r="O377" s="1923">
        <f t="shared" si="737"/>
        <v>0</v>
      </c>
      <c r="P377" s="737">
        <f t="shared" si="737"/>
        <v>0</v>
      </c>
      <c r="Q377" s="737">
        <f t="shared" si="737"/>
        <v>0</v>
      </c>
      <c r="R377" s="737">
        <f t="shared" si="737"/>
        <v>0</v>
      </c>
      <c r="S377" s="737">
        <f t="shared" si="737"/>
        <v>0</v>
      </c>
      <c r="T377" s="737">
        <f t="shared" si="737"/>
        <v>0</v>
      </c>
      <c r="U377" s="737">
        <f t="shared" si="737"/>
        <v>0</v>
      </c>
      <c r="V377" s="737">
        <f t="shared" si="737"/>
        <v>0</v>
      </c>
      <c r="W377" s="737">
        <f t="shared" si="737"/>
        <v>0</v>
      </c>
      <c r="X377" s="738">
        <f t="shared" si="737"/>
        <v>0</v>
      </c>
      <c r="Y377" s="737">
        <f t="shared" si="737"/>
        <v>0</v>
      </c>
      <c r="Z377" s="737">
        <f t="shared" si="737"/>
        <v>0</v>
      </c>
      <c r="AA377" s="737">
        <f t="shared" si="737"/>
        <v>0</v>
      </c>
      <c r="AB377" s="737">
        <f t="shared" si="737"/>
        <v>0</v>
      </c>
      <c r="AC377" s="738">
        <f t="shared" si="737"/>
        <v>0</v>
      </c>
      <c r="AD377" s="737">
        <f t="shared" si="737"/>
        <v>0</v>
      </c>
      <c r="AE377" s="737">
        <f t="shared" si="737"/>
        <v>0</v>
      </c>
      <c r="AF377" s="737">
        <f t="shared" si="737"/>
        <v>0</v>
      </c>
      <c r="AG377" s="739">
        <f t="shared" si="737"/>
        <v>0</v>
      </c>
      <c r="AH377" s="697"/>
      <c r="AI377" s="707"/>
      <c r="AJ377" s="709">
        <f t="shared" si="655"/>
        <v>0</v>
      </c>
      <c r="AK377" s="710">
        <f t="shared" si="656"/>
        <v>0</v>
      </c>
      <c r="AL377" s="710">
        <f t="shared" si="657"/>
        <v>0</v>
      </c>
      <c r="AM377" s="710">
        <f t="shared" si="658"/>
        <v>0</v>
      </c>
      <c r="AN377" s="710">
        <f t="shared" si="659"/>
        <v>0</v>
      </c>
      <c r="AO377" s="711">
        <f t="shared" si="660"/>
        <v>0</v>
      </c>
      <c r="AP377" s="707">
        <f t="shared" si="661"/>
        <v>0</v>
      </c>
      <c r="AQ377" s="707">
        <f t="shared" si="662"/>
        <v>0</v>
      </c>
      <c r="AR377" s="707">
        <f t="shared" si="663"/>
        <v>0</v>
      </c>
      <c r="AS377" s="712">
        <f t="shared" si="664"/>
        <v>0</v>
      </c>
      <c r="AV377" s="1559"/>
      <c r="AW377" s="1428" t="str">
        <f t="shared" si="612"/>
        <v>Rev</v>
      </c>
      <c r="AX377" s="1429" t="str">
        <f t="shared" si="612"/>
        <v>[Service]</v>
      </c>
      <c r="AY377" s="1430" t="str">
        <f t="shared" si="613"/>
        <v>[Price]</v>
      </c>
      <c r="AZ377" s="1431" t="str">
        <f t="shared" si="727"/>
        <v>-</v>
      </c>
      <c r="BA377" s="1431" t="str">
        <f t="shared" si="727"/>
        <v>-</v>
      </c>
      <c r="BB377" s="1431" t="str">
        <f t="shared" si="727"/>
        <v>-</v>
      </c>
      <c r="BC377" s="1431" t="str">
        <f t="shared" si="615"/>
        <v>-</v>
      </c>
      <c r="BD377" s="1431" t="str">
        <f t="shared" si="616"/>
        <v>-</v>
      </c>
      <c r="BE377" s="1431" t="str">
        <f t="shared" si="617"/>
        <v>-</v>
      </c>
      <c r="BF377" s="1431" t="str">
        <f t="shared" si="618"/>
        <v>-</v>
      </c>
      <c r="BG377" s="1432" t="str">
        <f t="shared" si="619"/>
        <v>-</v>
      </c>
      <c r="BH377" s="1431" t="str">
        <f t="shared" si="620"/>
        <v>-</v>
      </c>
      <c r="BI377" s="1431" t="str">
        <f t="shared" si="621"/>
        <v>-</v>
      </c>
      <c r="BJ377" s="1431" t="str">
        <f t="shared" si="622"/>
        <v>-</v>
      </c>
      <c r="BK377" s="1431" t="str">
        <f t="shared" si="623"/>
        <v>-</v>
      </c>
      <c r="BL377" s="1433" t="str">
        <f t="shared" si="624"/>
        <v>-</v>
      </c>
      <c r="BM377" s="1431" t="str">
        <f t="shared" si="625"/>
        <v>-</v>
      </c>
      <c r="BN377" s="1431" t="str">
        <f t="shared" si="626"/>
        <v>-</v>
      </c>
      <c r="BO377" s="1431" t="str">
        <f t="shared" si="627"/>
        <v>-</v>
      </c>
      <c r="BP377" s="1431" t="str">
        <f t="shared" si="628"/>
        <v>-</v>
      </c>
      <c r="BQ377" s="1434" t="str">
        <f t="shared" si="629"/>
        <v>-</v>
      </c>
      <c r="BR377" s="1378"/>
      <c r="BS377" s="1407"/>
      <c r="BT377" s="1408"/>
      <c r="BU377" s="1409"/>
      <c r="BV377" s="1410"/>
      <c r="BW377" s="1378"/>
      <c r="BX377" s="1428" t="str">
        <f t="shared" si="630"/>
        <v>Rev</v>
      </c>
      <c r="BY377" s="1429" t="str">
        <f t="shared" si="631"/>
        <v>[Service]</v>
      </c>
      <c r="BZ377" s="1430" t="str">
        <f t="shared" si="632"/>
        <v>[Price]</v>
      </c>
      <c r="CA377" s="1435" t="str">
        <f t="shared" ref="CA377:CR377" si="738">IFERROR((P377/O377-1)*(O377/O$13),"-")</f>
        <v>-</v>
      </c>
      <c r="CB377" s="1431" t="str">
        <f t="shared" si="738"/>
        <v>-</v>
      </c>
      <c r="CC377" s="1431" t="str">
        <f t="shared" si="738"/>
        <v>-</v>
      </c>
      <c r="CD377" s="1431" t="str">
        <f t="shared" si="738"/>
        <v>-</v>
      </c>
      <c r="CE377" s="1431" t="str">
        <f t="shared" si="738"/>
        <v>-</v>
      </c>
      <c r="CF377" s="1431" t="str">
        <f t="shared" si="738"/>
        <v>-</v>
      </c>
      <c r="CG377" s="1431" t="str">
        <f t="shared" si="738"/>
        <v>-</v>
      </c>
      <c r="CH377" s="1433" t="str">
        <f t="shared" si="738"/>
        <v>-</v>
      </c>
      <c r="CI377" s="1431" t="str">
        <f t="shared" si="738"/>
        <v>-</v>
      </c>
      <c r="CJ377" s="1431" t="str">
        <f t="shared" si="738"/>
        <v>-</v>
      </c>
      <c r="CK377" s="1431" t="str">
        <f t="shared" si="738"/>
        <v>-</v>
      </c>
      <c r="CL377" s="1431" t="str">
        <f t="shared" si="738"/>
        <v>-</v>
      </c>
      <c r="CM377" s="1433" t="str">
        <f t="shared" si="738"/>
        <v>-</v>
      </c>
      <c r="CN377" s="1431" t="str">
        <f t="shared" si="738"/>
        <v>-</v>
      </c>
      <c r="CO377" s="1431" t="str">
        <f t="shared" si="738"/>
        <v>-</v>
      </c>
      <c r="CP377" s="1431" t="str">
        <f t="shared" si="738"/>
        <v>-</v>
      </c>
      <c r="CQ377" s="1431" t="str">
        <f t="shared" si="738"/>
        <v>-</v>
      </c>
      <c r="CR377" s="1434" t="str">
        <f t="shared" si="738"/>
        <v>-</v>
      </c>
      <c r="CS377" s="1378"/>
      <c r="CT377" s="1428" t="str">
        <f t="shared" si="609"/>
        <v>Rev</v>
      </c>
      <c r="CU377" s="1429" t="str">
        <f t="shared" si="610"/>
        <v>[Service]</v>
      </c>
      <c r="CV377" s="1429" t="str">
        <f t="shared" si="611"/>
        <v>[Price]</v>
      </c>
      <c r="CW377" s="1435" t="str">
        <f t="shared" si="634"/>
        <v>-</v>
      </c>
      <c r="CX377" s="1431" t="str">
        <f t="shared" si="635"/>
        <v>-</v>
      </c>
      <c r="CY377" s="1431" t="str">
        <f t="shared" si="636"/>
        <v>-</v>
      </c>
      <c r="CZ377" s="1434" t="str">
        <f t="shared" si="637"/>
        <v>-</v>
      </c>
      <c r="DA377" s="1431" t="str">
        <f t="shared" si="638"/>
        <v>-</v>
      </c>
      <c r="DB377" s="1431" t="str">
        <f t="shared" si="639"/>
        <v>-</v>
      </c>
      <c r="DC377" s="1431" t="str">
        <f t="shared" si="640"/>
        <v>-</v>
      </c>
      <c r="DD377" s="1431" t="str">
        <f t="shared" si="641"/>
        <v>-</v>
      </c>
      <c r="DE377" s="1434" t="str">
        <f t="shared" si="642"/>
        <v>-</v>
      </c>
      <c r="DF377" s="1378"/>
      <c r="DG377" s="1428" t="str">
        <f t="shared" si="643"/>
        <v>Rev</v>
      </c>
      <c r="DH377" s="1429" t="str">
        <f t="shared" si="643"/>
        <v>[Service]</v>
      </c>
      <c r="DI377" s="1429" t="str">
        <f t="shared" si="643"/>
        <v>[Price]</v>
      </c>
      <c r="DJ377" s="1429"/>
      <c r="DK377" s="1435" t="str">
        <f t="shared" si="644"/>
        <v>-</v>
      </c>
      <c r="DL377" s="1431" t="str">
        <f t="shared" si="645"/>
        <v>-</v>
      </c>
      <c r="DM377" s="1431" t="str">
        <f t="shared" si="646"/>
        <v>-</v>
      </c>
      <c r="DN377" s="1433" t="str">
        <f t="shared" si="647"/>
        <v>-</v>
      </c>
      <c r="DO377" s="1431" t="str">
        <f t="shared" si="648"/>
        <v>-</v>
      </c>
      <c r="DP377" s="1431" t="str">
        <f t="shared" si="649"/>
        <v>-</v>
      </c>
      <c r="DQ377" s="1431" t="str">
        <f t="shared" si="650"/>
        <v>-</v>
      </c>
      <c r="DR377" s="1434" t="str">
        <f t="shared" si="651"/>
        <v>-</v>
      </c>
    </row>
    <row r="378" spans="4:122">
      <c r="D378" s="70">
        <f>D375+1</f>
        <v>105</v>
      </c>
      <c r="E378" s="713" t="s">
        <v>44</v>
      </c>
      <c r="F378" s="1532" t="s">
        <v>27</v>
      </c>
      <c r="G378" s="1532"/>
      <c r="H378" s="1532"/>
      <c r="I378" s="781" t="s">
        <v>318</v>
      </c>
      <c r="J378" s="781" t="s">
        <v>345</v>
      </c>
      <c r="K378" s="1533"/>
      <c r="L378" s="1534"/>
      <c r="M378" s="1534"/>
      <c r="N378" s="1535"/>
      <c r="O378" s="2071"/>
      <c r="P378" s="1547"/>
      <c r="Q378" s="1547"/>
      <c r="R378" s="1547"/>
      <c r="S378" s="1547"/>
      <c r="T378" s="1547"/>
      <c r="U378" s="1547"/>
      <c r="V378" s="1547"/>
      <c r="W378" s="1547"/>
      <c r="X378" s="1548"/>
      <c r="Y378" s="1547"/>
      <c r="Z378" s="1547"/>
      <c r="AA378" s="1547"/>
      <c r="AB378" s="1547"/>
      <c r="AC378" s="1548"/>
      <c r="AD378" s="1547"/>
      <c r="AE378" s="1547"/>
      <c r="AF378" s="1547"/>
      <c r="AG378" s="785"/>
      <c r="AH378" s="697"/>
      <c r="AI378" s="707"/>
      <c r="AJ378" s="709">
        <f t="shared" si="655"/>
        <v>0</v>
      </c>
      <c r="AK378" s="710">
        <f t="shared" si="656"/>
        <v>0</v>
      </c>
      <c r="AL378" s="710">
        <f t="shared" si="657"/>
        <v>0</v>
      </c>
      <c r="AM378" s="710">
        <f t="shared" si="658"/>
        <v>0</v>
      </c>
      <c r="AN378" s="710">
        <f t="shared" si="659"/>
        <v>0</v>
      </c>
      <c r="AO378" s="711">
        <f t="shared" si="660"/>
        <v>0</v>
      </c>
      <c r="AP378" s="707">
        <f t="shared" si="661"/>
        <v>0</v>
      </c>
      <c r="AQ378" s="707">
        <f t="shared" si="662"/>
        <v>0</v>
      </c>
      <c r="AR378" s="707">
        <f t="shared" si="663"/>
        <v>0</v>
      </c>
      <c r="AS378" s="712">
        <f t="shared" si="664"/>
        <v>0</v>
      </c>
      <c r="AU378" s="1369"/>
      <c r="AV378" s="1559"/>
      <c r="AW378" s="1412" t="str">
        <f t="shared" si="612"/>
        <v>Price</v>
      </c>
      <c r="AX378" s="1413" t="str">
        <f t="shared" si="612"/>
        <v>[Service]</v>
      </c>
      <c r="AY378" s="1414" t="str">
        <f t="shared" si="613"/>
        <v>[Price]</v>
      </c>
      <c r="AZ378" s="1415" t="str">
        <f t="shared" si="727"/>
        <v>-</v>
      </c>
      <c r="BA378" s="1415" t="str">
        <f t="shared" si="727"/>
        <v>-</v>
      </c>
      <c r="BB378" s="1415" t="str">
        <f t="shared" si="727"/>
        <v>-</v>
      </c>
      <c r="BC378" s="1415" t="str">
        <f t="shared" si="615"/>
        <v>-</v>
      </c>
      <c r="BD378" s="1415" t="str">
        <f t="shared" si="616"/>
        <v>-</v>
      </c>
      <c r="BE378" s="1415" t="str">
        <f t="shared" si="617"/>
        <v>-</v>
      </c>
      <c r="BF378" s="1415" t="str">
        <f t="shared" si="618"/>
        <v>-</v>
      </c>
      <c r="BG378" s="1416" t="str">
        <f t="shared" si="619"/>
        <v>-</v>
      </c>
      <c r="BH378" s="1417" t="str">
        <f t="shared" si="620"/>
        <v>-</v>
      </c>
      <c r="BI378" s="1417" t="str">
        <f t="shared" si="621"/>
        <v>-</v>
      </c>
      <c r="BJ378" s="1417" t="str">
        <f t="shared" si="622"/>
        <v>-</v>
      </c>
      <c r="BK378" s="1417" t="str">
        <f t="shared" si="623"/>
        <v>-</v>
      </c>
      <c r="BL378" s="1418" t="str">
        <f t="shared" si="624"/>
        <v>-</v>
      </c>
      <c r="BM378" s="1417" t="str">
        <f t="shared" si="625"/>
        <v>-</v>
      </c>
      <c r="BN378" s="1417" t="str">
        <f t="shared" si="626"/>
        <v>-</v>
      </c>
      <c r="BO378" s="1417" t="str">
        <f t="shared" si="627"/>
        <v>-</v>
      </c>
      <c r="BP378" s="1417" t="str">
        <f t="shared" si="628"/>
        <v>-</v>
      </c>
      <c r="BQ378" s="1419" t="str">
        <f t="shared" si="629"/>
        <v>-</v>
      </c>
      <c r="BR378" s="1378"/>
      <c r="BS378" s="1420"/>
      <c r="BT378" s="1421"/>
      <c r="BU378" s="1422"/>
      <c r="BV378" s="1423"/>
      <c r="BW378" s="1378"/>
      <c r="BX378" s="1412" t="str">
        <f t="shared" si="630"/>
        <v>Price</v>
      </c>
      <c r="BY378" s="1413" t="str">
        <f t="shared" si="631"/>
        <v>[Service]</v>
      </c>
      <c r="BZ378" s="1414" t="str">
        <f t="shared" si="632"/>
        <v>[Price]</v>
      </c>
      <c r="CA378" s="1424" t="str">
        <f t="shared" ref="CA378:CR378" si="739">IFERROR((P378/O378-1)*(O380/O$13),"-")</f>
        <v>-</v>
      </c>
      <c r="CB378" s="1415" t="str">
        <f t="shared" si="739"/>
        <v>-</v>
      </c>
      <c r="CC378" s="1415" t="str">
        <f t="shared" si="739"/>
        <v>-</v>
      </c>
      <c r="CD378" s="1415" t="str">
        <f t="shared" si="739"/>
        <v>-</v>
      </c>
      <c r="CE378" s="1415" t="str">
        <f t="shared" si="739"/>
        <v>-</v>
      </c>
      <c r="CF378" s="1415" t="str">
        <f t="shared" si="739"/>
        <v>-</v>
      </c>
      <c r="CG378" s="1415" t="str">
        <f t="shared" si="739"/>
        <v>-</v>
      </c>
      <c r="CH378" s="1425" t="str">
        <f t="shared" si="739"/>
        <v>-</v>
      </c>
      <c r="CI378" s="1417" t="str">
        <f t="shared" si="739"/>
        <v>-</v>
      </c>
      <c r="CJ378" s="1417" t="str">
        <f t="shared" si="739"/>
        <v>-</v>
      </c>
      <c r="CK378" s="1417" t="str">
        <f t="shared" si="739"/>
        <v>-</v>
      </c>
      <c r="CL378" s="1417" t="str">
        <f t="shared" si="739"/>
        <v>-</v>
      </c>
      <c r="CM378" s="1418" t="str">
        <f t="shared" si="739"/>
        <v>-</v>
      </c>
      <c r="CN378" s="1417" t="str">
        <f t="shared" si="739"/>
        <v>-</v>
      </c>
      <c r="CO378" s="1417" t="str">
        <f t="shared" si="739"/>
        <v>-</v>
      </c>
      <c r="CP378" s="1417" t="str">
        <f t="shared" si="739"/>
        <v>-</v>
      </c>
      <c r="CQ378" s="1417" t="str">
        <f t="shared" si="739"/>
        <v>-</v>
      </c>
      <c r="CR378" s="1419" t="str">
        <f t="shared" si="739"/>
        <v>-</v>
      </c>
      <c r="CS378" s="1378"/>
      <c r="CT378" s="1412" t="str">
        <f t="shared" si="609"/>
        <v>Price</v>
      </c>
      <c r="CU378" s="1413" t="str">
        <f t="shared" si="610"/>
        <v>[Service]</v>
      </c>
      <c r="CV378" s="1426" t="str">
        <f t="shared" si="611"/>
        <v>[Price]</v>
      </c>
      <c r="CW378" s="1427" t="str">
        <f t="shared" si="634"/>
        <v>-</v>
      </c>
      <c r="CX378" s="1417" t="str">
        <f t="shared" si="635"/>
        <v>-</v>
      </c>
      <c r="CY378" s="1417" t="str">
        <f t="shared" si="636"/>
        <v>-</v>
      </c>
      <c r="CZ378" s="1419" t="str">
        <f t="shared" si="637"/>
        <v>-</v>
      </c>
      <c r="DA378" s="1417" t="str">
        <f t="shared" si="638"/>
        <v>-</v>
      </c>
      <c r="DB378" s="1417" t="str">
        <f t="shared" si="639"/>
        <v>-</v>
      </c>
      <c r="DC378" s="1417" t="str">
        <f t="shared" si="640"/>
        <v>-</v>
      </c>
      <c r="DD378" s="1417" t="str">
        <f t="shared" si="641"/>
        <v>-</v>
      </c>
      <c r="DE378" s="1419" t="str">
        <f t="shared" si="642"/>
        <v>-</v>
      </c>
      <c r="DF378" s="1378"/>
      <c r="DG378" s="1412" t="str">
        <f t="shared" si="643"/>
        <v>Price</v>
      </c>
      <c r="DH378" s="1413" t="str">
        <f t="shared" si="643"/>
        <v>[Service]</v>
      </c>
      <c r="DI378" s="1426" t="str">
        <f t="shared" si="643"/>
        <v>[Price]</v>
      </c>
      <c r="DJ378" s="1426"/>
      <c r="DK378" s="1427" t="str">
        <f t="shared" si="644"/>
        <v>-</v>
      </c>
      <c r="DL378" s="1417" t="str">
        <f t="shared" si="645"/>
        <v>-</v>
      </c>
      <c r="DM378" s="1417" t="str">
        <f t="shared" si="646"/>
        <v>-</v>
      </c>
      <c r="DN378" s="1418" t="str">
        <f t="shared" si="647"/>
        <v>-</v>
      </c>
      <c r="DO378" s="1417" t="str">
        <f t="shared" si="648"/>
        <v>-</v>
      </c>
      <c r="DP378" s="1417" t="str">
        <f t="shared" si="649"/>
        <v>-</v>
      </c>
      <c r="DQ378" s="1417" t="str">
        <f t="shared" si="650"/>
        <v>-</v>
      </c>
      <c r="DR378" s="1419" t="str">
        <f t="shared" si="651"/>
        <v>-</v>
      </c>
    </row>
    <row r="379" spans="4:122">
      <c r="E379" s="742" t="s">
        <v>45</v>
      </c>
      <c r="F379" s="722" t="str">
        <f>+F378</f>
        <v>[Service]</v>
      </c>
      <c r="G379" s="723">
        <f>+G378</f>
        <v>0</v>
      </c>
      <c r="H379" s="723">
        <f>+H378</f>
        <v>0</v>
      </c>
      <c r="I379" s="724" t="str">
        <f>+I378</f>
        <v>[Price]</v>
      </c>
      <c r="J379" s="782" t="s">
        <v>322</v>
      </c>
      <c r="K379" s="1540"/>
      <c r="L379" s="1541"/>
      <c r="M379" s="1541"/>
      <c r="N379" s="1542"/>
      <c r="O379" s="2031"/>
      <c r="P379" s="1543"/>
      <c r="Q379" s="1543"/>
      <c r="R379" s="1543"/>
      <c r="S379" s="1543"/>
      <c r="T379" s="1543"/>
      <c r="U379" s="1543"/>
      <c r="V379" s="1543"/>
      <c r="W379" s="1543"/>
      <c r="X379" s="1544"/>
      <c r="Y379" s="1543"/>
      <c r="Z379" s="1543"/>
      <c r="AA379" s="1543"/>
      <c r="AB379" s="1543"/>
      <c r="AC379" s="1544"/>
      <c r="AD379" s="1543"/>
      <c r="AE379" s="1543"/>
      <c r="AF379" s="1543"/>
      <c r="AG379" s="788"/>
      <c r="AH379" s="697"/>
      <c r="AI379" s="707"/>
      <c r="AJ379" s="709">
        <f t="shared" si="655"/>
        <v>0</v>
      </c>
      <c r="AK379" s="710">
        <f t="shared" si="656"/>
        <v>0</v>
      </c>
      <c r="AL379" s="710">
        <f t="shared" si="657"/>
        <v>0</v>
      </c>
      <c r="AM379" s="710">
        <f t="shared" si="658"/>
        <v>0</v>
      </c>
      <c r="AN379" s="710">
        <f t="shared" si="659"/>
        <v>0</v>
      </c>
      <c r="AO379" s="711">
        <f t="shared" si="660"/>
        <v>0</v>
      </c>
      <c r="AP379" s="707">
        <f t="shared" si="661"/>
        <v>0</v>
      </c>
      <c r="AQ379" s="707">
        <f t="shared" si="662"/>
        <v>0</v>
      </c>
      <c r="AR379" s="707">
        <f t="shared" si="663"/>
        <v>0</v>
      </c>
      <c r="AS379" s="712">
        <f t="shared" si="664"/>
        <v>0</v>
      </c>
      <c r="AV379" s="1559"/>
      <c r="AW379" s="1392" t="str">
        <f t="shared" si="612"/>
        <v>Qty</v>
      </c>
      <c r="AX379" s="1393" t="str">
        <f t="shared" si="612"/>
        <v>[Service]</v>
      </c>
      <c r="AY379" s="1394" t="str">
        <f t="shared" si="613"/>
        <v>[Price]</v>
      </c>
      <c r="AZ379" s="1395" t="str">
        <f t="shared" si="727"/>
        <v>-</v>
      </c>
      <c r="BA379" s="1395" t="str">
        <f t="shared" si="727"/>
        <v>-</v>
      </c>
      <c r="BB379" s="1395" t="str">
        <f t="shared" si="727"/>
        <v>-</v>
      </c>
      <c r="BC379" s="1395" t="str">
        <f t="shared" si="615"/>
        <v>-</v>
      </c>
      <c r="BD379" s="1395" t="str">
        <f t="shared" si="616"/>
        <v>-</v>
      </c>
      <c r="BE379" s="1395" t="str">
        <f t="shared" si="617"/>
        <v>-</v>
      </c>
      <c r="BF379" s="1395" t="str">
        <f t="shared" si="618"/>
        <v>-</v>
      </c>
      <c r="BG379" s="1396" t="str">
        <f t="shared" si="619"/>
        <v>-</v>
      </c>
      <c r="BH379" s="1395" t="str">
        <f t="shared" si="620"/>
        <v>-</v>
      </c>
      <c r="BI379" s="1395" t="str">
        <f t="shared" si="621"/>
        <v>-</v>
      </c>
      <c r="BJ379" s="1395" t="str">
        <f t="shared" si="622"/>
        <v>-</v>
      </c>
      <c r="BK379" s="1395" t="str">
        <f t="shared" si="623"/>
        <v>-</v>
      </c>
      <c r="BL379" s="1397" t="str">
        <f t="shared" si="624"/>
        <v>-</v>
      </c>
      <c r="BM379" s="1395" t="str">
        <f t="shared" si="625"/>
        <v>-</v>
      </c>
      <c r="BN379" s="1395" t="str">
        <f t="shared" si="626"/>
        <v>-</v>
      </c>
      <c r="BO379" s="1395" t="str">
        <f t="shared" si="627"/>
        <v>-</v>
      </c>
      <c r="BP379" s="1395" t="str">
        <f t="shared" si="628"/>
        <v>-</v>
      </c>
      <c r="BQ379" s="1398" t="str">
        <f t="shared" si="629"/>
        <v>-</v>
      </c>
      <c r="BR379" s="1378"/>
      <c r="BS379" s="1329"/>
      <c r="BT379" s="1399"/>
      <c r="BU379" s="1331"/>
      <c r="BV379" s="1400"/>
      <c r="BW379" s="1378"/>
      <c r="BX379" s="1392" t="str">
        <f t="shared" si="630"/>
        <v>Qty</v>
      </c>
      <c r="BY379" s="1393" t="str">
        <f t="shared" si="631"/>
        <v>[Service]</v>
      </c>
      <c r="BZ379" s="1394" t="str">
        <f t="shared" si="632"/>
        <v>[Price]</v>
      </c>
      <c r="CA379" s="1401" t="str">
        <f t="shared" ref="CA379:CR379" si="740">IFERROR((P379/O379-1)*(O380/O$13),"-")</f>
        <v>-</v>
      </c>
      <c r="CB379" s="1395" t="str">
        <f t="shared" si="740"/>
        <v>-</v>
      </c>
      <c r="CC379" s="1395" t="str">
        <f t="shared" si="740"/>
        <v>-</v>
      </c>
      <c r="CD379" s="1395" t="str">
        <f t="shared" si="740"/>
        <v>-</v>
      </c>
      <c r="CE379" s="1395" t="str">
        <f t="shared" si="740"/>
        <v>-</v>
      </c>
      <c r="CF379" s="1395" t="str">
        <f t="shared" si="740"/>
        <v>-</v>
      </c>
      <c r="CG379" s="1395" t="str">
        <f t="shared" si="740"/>
        <v>-</v>
      </c>
      <c r="CH379" s="1397" t="str">
        <f t="shared" si="740"/>
        <v>-</v>
      </c>
      <c r="CI379" s="1395" t="str">
        <f t="shared" si="740"/>
        <v>-</v>
      </c>
      <c r="CJ379" s="1395" t="str">
        <f t="shared" si="740"/>
        <v>-</v>
      </c>
      <c r="CK379" s="1395" t="str">
        <f t="shared" si="740"/>
        <v>-</v>
      </c>
      <c r="CL379" s="1395" t="str">
        <f t="shared" si="740"/>
        <v>-</v>
      </c>
      <c r="CM379" s="1397" t="str">
        <f t="shared" si="740"/>
        <v>-</v>
      </c>
      <c r="CN379" s="1395" t="str">
        <f t="shared" si="740"/>
        <v>-</v>
      </c>
      <c r="CO379" s="1395" t="str">
        <f t="shared" si="740"/>
        <v>-</v>
      </c>
      <c r="CP379" s="1395" t="str">
        <f t="shared" si="740"/>
        <v>-</v>
      </c>
      <c r="CQ379" s="1395" t="str">
        <f t="shared" si="740"/>
        <v>-</v>
      </c>
      <c r="CR379" s="1398" t="str">
        <f t="shared" si="740"/>
        <v>-</v>
      </c>
      <c r="CS379" s="1378"/>
      <c r="CT379" s="1392" t="str">
        <f t="shared" si="609"/>
        <v>Qty</v>
      </c>
      <c r="CU379" s="1393" t="str">
        <f t="shared" si="610"/>
        <v>[Service]</v>
      </c>
      <c r="CV379" s="1393" t="str">
        <f t="shared" si="611"/>
        <v>[Price]</v>
      </c>
      <c r="CW379" s="1401" t="str">
        <f t="shared" si="634"/>
        <v>-</v>
      </c>
      <c r="CX379" s="1395" t="str">
        <f t="shared" si="635"/>
        <v>-</v>
      </c>
      <c r="CY379" s="1395" t="str">
        <f t="shared" si="636"/>
        <v>-</v>
      </c>
      <c r="CZ379" s="1398" t="str">
        <f t="shared" si="637"/>
        <v>-</v>
      </c>
      <c r="DA379" s="1395" t="str">
        <f t="shared" si="638"/>
        <v>-</v>
      </c>
      <c r="DB379" s="1395" t="str">
        <f t="shared" si="639"/>
        <v>-</v>
      </c>
      <c r="DC379" s="1395" t="str">
        <f t="shared" si="640"/>
        <v>-</v>
      </c>
      <c r="DD379" s="1395" t="str">
        <f t="shared" si="641"/>
        <v>-</v>
      </c>
      <c r="DE379" s="1398" t="str">
        <f t="shared" si="642"/>
        <v>-</v>
      </c>
      <c r="DF379" s="1378"/>
      <c r="DG379" s="1392" t="str">
        <f t="shared" si="643"/>
        <v>Qty</v>
      </c>
      <c r="DH379" s="1393" t="str">
        <f t="shared" si="643"/>
        <v>[Service]</v>
      </c>
      <c r="DI379" s="1393" t="str">
        <f t="shared" si="643"/>
        <v>[Price]</v>
      </c>
      <c r="DJ379" s="1393"/>
      <c r="DK379" s="1401" t="str">
        <f t="shared" si="644"/>
        <v>-</v>
      </c>
      <c r="DL379" s="1395" t="str">
        <f t="shared" si="645"/>
        <v>-</v>
      </c>
      <c r="DM379" s="1395" t="str">
        <f t="shared" si="646"/>
        <v>-</v>
      </c>
      <c r="DN379" s="1397" t="str">
        <f t="shared" si="647"/>
        <v>-</v>
      </c>
      <c r="DO379" s="1395" t="str">
        <f t="shared" si="648"/>
        <v>-</v>
      </c>
      <c r="DP379" s="1395" t="str">
        <f t="shared" si="649"/>
        <v>-</v>
      </c>
      <c r="DQ379" s="1395" t="str">
        <f t="shared" si="650"/>
        <v>-</v>
      </c>
      <c r="DR379" s="1398" t="str">
        <f t="shared" si="651"/>
        <v>-</v>
      </c>
    </row>
    <row r="380" spans="4:122" ht="12.75" thickBot="1">
      <c r="E380" s="743" t="s">
        <v>46</v>
      </c>
      <c r="F380" s="732" t="str">
        <f>+F378</f>
        <v>[Service]</v>
      </c>
      <c r="G380" s="733">
        <f>+G378</f>
        <v>0</v>
      </c>
      <c r="H380" s="733">
        <f>+H378</f>
        <v>0</v>
      </c>
      <c r="I380" s="734" t="str">
        <f>+I378</f>
        <v>[Price]</v>
      </c>
      <c r="J380" s="735" t="s">
        <v>344</v>
      </c>
      <c r="K380" s="736">
        <f t="shared" ref="K380:AG380" si="741">K378*K379/10^6</f>
        <v>0</v>
      </c>
      <c r="L380" s="737">
        <f t="shared" si="741"/>
        <v>0</v>
      </c>
      <c r="M380" s="737">
        <f t="shared" si="741"/>
        <v>0</v>
      </c>
      <c r="N380" s="738">
        <f t="shared" si="741"/>
        <v>0</v>
      </c>
      <c r="O380" s="1923">
        <f t="shared" si="741"/>
        <v>0</v>
      </c>
      <c r="P380" s="737">
        <f t="shared" si="741"/>
        <v>0</v>
      </c>
      <c r="Q380" s="737">
        <f t="shared" si="741"/>
        <v>0</v>
      </c>
      <c r="R380" s="737">
        <f t="shared" si="741"/>
        <v>0</v>
      </c>
      <c r="S380" s="737">
        <f t="shared" si="741"/>
        <v>0</v>
      </c>
      <c r="T380" s="737">
        <f t="shared" si="741"/>
        <v>0</v>
      </c>
      <c r="U380" s="737">
        <f t="shared" si="741"/>
        <v>0</v>
      </c>
      <c r="V380" s="737">
        <f t="shared" si="741"/>
        <v>0</v>
      </c>
      <c r="W380" s="737">
        <f t="shared" si="741"/>
        <v>0</v>
      </c>
      <c r="X380" s="738">
        <f t="shared" si="741"/>
        <v>0</v>
      </c>
      <c r="Y380" s="737">
        <f t="shared" si="741"/>
        <v>0</v>
      </c>
      <c r="Z380" s="737">
        <f t="shared" si="741"/>
        <v>0</v>
      </c>
      <c r="AA380" s="737">
        <f t="shared" si="741"/>
        <v>0</v>
      </c>
      <c r="AB380" s="737">
        <f t="shared" si="741"/>
        <v>0</v>
      </c>
      <c r="AC380" s="738">
        <f t="shared" si="741"/>
        <v>0</v>
      </c>
      <c r="AD380" s="737">
        <f t="shared" si="741"/>
        <v>0</v>
      </c>
      <c r="AE380" s="737">
        <f t="shared" si="741"/>
        <v>0</v>
      </c>
      <c r="AF380" s="737">
        <f t="shared" si="741"/>
        <v>0</v>
      </c>
      <c r="AG380" s="739">
        <f t="shared" si="741"/>
        <v>0</v>
      </c>
      <c r="AH380" s="697"/>
      <c r="AI380" s="707"/>
      <c r="AJ380" s="709">
        <f t="shared" si="655"/>
        <v>0</v>
      </c>
      <c r="AK380" s="710">
        <f t="shared" si="656"/>
        <v>0</v>
      </c>
      <c r="AL380" s="710">
        <f t="shared" si="657"/>
        <v>0</v>
      </c>
      <c r="AM380" s="710">
        <f t="shared" si="658"/>
        <v>0</v>
      </c>
      <c r="AN380" s="710">
        <f t="shared" si="659"/>
        <v>0</v>
      </c>
      <c r="AO380" s="711">
        <f t="shared" si="660"/>
        <v>0</v>
      </c>
      <c r="AP380" s="707">
        <f t="shared" si="661"/>
        <v>0</v>
      </c>
      <c r="AQ380" s="707">
        <f t="shared" si="662"/>
        <v>0</v>
      </c>
      <c r="AR380" s="707">
        <f t="shared" si="663"/>
        <v>0</v>
      </c>
      <c r="AS380" s="712">
        <f t="shared" si="664"/>
        <v>0</v>
      </c>
      <c r="AV380" s="1559"/>
      <c r="AW380" s="1428" t="str">
        <f t="shared" si="612"/>
        <v>Rev</v>
      </c>
      <c r="AX380" s="1429" t="str">
        <f t="shared" si="612"/>
        <v>[Service]</v>
      </c>
      <c r="AY380" s="1430" t="str">
        <f t="shared" si="613"/>
        <v>[Price]</v>
      </c>
      <c r="AZ380" s="1431" t="str">
        <f t="shared" si="727"/>
        <v>-</v>
      </c>
      <c r="BA380" s="1431" t="str">
        <f t="shared" si="727"/>
        <v>-</v>
      </c>
      <c r="BB380" s="1431" t="str">
        <f t="shared" si="727"/>
        <v>-</v>
      </c>
      <c r="BC380" s="1431" t="str">
        <f t="shared" si="615"/>
        <v>-</v>
      </c>
      <c r="BD380" s="1431" t="str">
        <f t="shared" si="616"/>
        <v>-</v>
      </c>
      <c r="BE380" s="1431" t="str">
        <f t="shared" si="617"/>
        <v>-</v>
      </c>
      <c r="BF380" s="1431" t="str">
        <f t="shared" si="618"/>
        <v>-</v>
      </c>
      <c r="BG380" s="1432" t="str">
        <f t="shared" si="619"/>
        <v>-</v>
      </c>
      <c r="BH380" s="1431" t="str">
        <f t="shared" si="620"/>
        <v>-</v>
      </c>
      <c r="BI380" s="1431" t="str">
        <f t="shared" si="621"/>
        <v>-</v>
      </c>
      <c r="BJ380" s="1431" t="str">
        <f t="shared" si="622"/>
        <v>-</v>
      </c>
      <c r="BK380" s="1431" t="str">
        <f t="shared" si="623"/>
        <v>-</v>
      </c>
      <c r="BL380" s="1433" t="str">
        <f t="shared" si="624"/>
        <v>-</v>
      </c>
      <c r="BM380" s="1431" t="str">
        <f t="shared" si="625"/>
        <v>-</v>
      </c>
      <c r="BN380" s="1431" t="str">
        <f t="shared" si="626"/>
        <v>-</v>
      </c>
      <c r="BO380" s="1431" t="str">
        <f t="shared" si="627"/>
        <v>-</v>
      </c>
      <c r="BP380" s="1431" t="str">
        <f t="shared" si="628"/>
        <v>-</v>
      </c>
      <c r="BQ380" s="1434" t="str">
        <f t="shared" si="629"/>
        <v>-</v>
      </c>
      <c r="BR380" s="1378"/>
      <c r="BS380" s="1407"/>
      <c r="BT380" s="1408"/>
      <c r="BU380" s="1409"/>
      <c r="BV380" s="1410"/>
      <c r="BW380" s="1378"/>
      <c r="BX380" s="1428" t="str">
        <f t="shared" si="630"/>
        <v>Rev</v>
      </c>
      <c r="BY380" s="1429" t="str">
        <f t="shared" si="631"/>
        <v>[Service]</v>
      </c>
      <c r="BZ380" s="1430" t="str">
        <f t="shared" si="632"/>
        <v>[Price]</v>
      </c>
      <c r="CA380" s="1435" t="str">
        <f t="shared" ref="CA380:CR380" si="742">IFERROR((P380/O380-1)*(O380/O$13),"-")</f>
        <v>-</v>
      </c>
      <c r="CB380" s="1431" t="str">
        <f t="shared" si="742"/>
        <v>-</v>
      </c>
      <c r="CC380" s="1431" t="str">
        <f t="shared" si="742"/>
        <v>-</v>
      </c>
      <c r="CD380" s="1431" t="str">
        <f t="shared" si="742"/>
        <v>-</v>
      </c>
      <c r="CE380" s="1431" t="str">
        <f t="shared" si="742"/>
        <v>-</v>
      </c>
      <c r="CF380" s="1431" t="str">
        <f t="shared" si="742"/>
        <v>-</v>
      </c>
      <c r="CG380" s="1431" t="str">
        <f t="shared" si="742"/>
        <v>-</v>
      </c>
      <c r="CH380" s="1433" t="str">
        <f t="shared" si="742"/>
        <v>-</v>
      </c>
      <c r="CI380" s="1431" t="str">
        <f t="shared" si="742"/>
        <v>-</v>
      </c>
      <c r="CJ380" s="1431" t="str">
        <f t="shared" si="742"/>
        <v>-</v>
      </c>
      <c r="CK380" s="1431" t="str">
        <f t="shared" si="742"/>
        <v>-</v>
      </c>
      <c r="CL380" s="1431" t="str">
        <f t="shared" si="742"/>
        <v>-</v>
      </c>
      <c r="CM380" s="1433" t="str">
        <f t="shared" si="742"/>
        <v>-</v>
      </c>
      <c r="CN380" s="1431" t="str">
        <f t="shared" si="742"/>
        <v>-</v>
      </c>
      <c r="CO380" s="1431" t="str">
        <f t="shared" si="742"/>
        <v>-</v>
      </c>
      <c r="CP380" s="1431" t="str">
        <f t="shared" si="742"/>
        <v>-</v>
      </c>
      <c r="CQ380" s="1431" t="str">
        <f t="shared" si="742"/>
        <v>-</v>
      </c>
      <c r="CR380" s="1434" t="str">
        <f t="shared" si="742"/>
        <v>-</v>
      </c>
      <c r="CS380" s="1378"/>
      <c r="CT380" s="1428" t="str">
        <f t="shared" si="609"/>
        <v>Rev</v>
      </c>
      <c r="CU380" s="1429" t="str">
        <f t="shared" si="610"/>
        <v>[Service]</v>
      </c>
      <c r="CV380" s="1429" t="str">
        <f t="shared" si="611"/>
        <v>[Price]</v>
      </c>
      <c r="CW380" s="1435" t="str">
        <f t="shared" si="634"/>
        <v>-</v>
      </c>
      <c r="CX380" s="1431" t="str">
        <f t="shared" si="635"/>
        <v>-</v>
      </c>
      <c r="CY380" s="1431" t="str">
        <f t="shared" si="636"/>
        <v>-</v>
      </c>
      <c r="CZ380" s="1434" t="str">
        <f t="shared" si="637"/>
        <v>-</v>
      </c>
      <c r="DA380" s="1431" t="str">
        <f t="shared" si="638"/>
        <v>-</v>
      </c>
      <c r="DB380" s="1431" t="str">
        <f t="shared" si="639"/>
        <v>-</v>
      </c>
      <c r="DC380" s="1431" t="str">
        <f t="shared" si="640"/>
        <v>-</v>
      </c>
      <c r="DD380" s="1431" t="str">
        <f t="shared" si="641"/>
        <v>-</v>
      </c>
      <c r="DE380" s="1434" t="str">
        <f t="shared" si="642"/>
        <v>-</v>
      </c>
      <c r="DF380" s="1378"/>
      <c r="DG380" s="1428" t="str">
        <f t="shared" si="643"/>
        <v>Rev</v>
      </c>
      <c r="DH380" s="1429" t="str">
        <f t="shared" si="643"/>
        <v>[Service]</v>
      </c>
      <c r="DI380" s="1429" t="str">
        <f t="shared" si="643"/>
        <v>[Price]</v>
      </c>
      <c r="DJ380" s="1429"/>
      <c r="DK380" s="1435" t="str">
        <f t="shared" si="644"/>
        <v>-</v>
      </c>
      <c r="DL380" s="1431" t="str">
        <f t="shared" si="645"/>
        <v>-</v>
      </c>
      <c r="DM380" s="1431" t="str">
        <f t="shared" si="646"/>
        <v>-</v>
      </c>
      <c r="DN380" s="1433" t="str">
        <f t="shared" si="647"/>
        <v>-</v>
      </c>
      <c r="DO380" s="1431" t="str">
        <f t="shared" si="648"/>
        <v>-</v>
      </c>
      <c r="DP380" s="1431" t="str">
        <f t="shared" si="649"/>
        <v>-</v>
      </c>
      <c r="DQ380" s="1431" t="str">
        <f t="shared" si="650"/>
        <v>-</v>
      </c>
      <c r="DR380" s="1434" t="str">
        <f t="shared" si="651"/>
        <v>-</v>
      </c>
    </row>
    <row r="381" spans="4:122">
      <c r="D381" s="70">
        <f>D378+1</f>
        <v>106</v>
      </c>
      <c r="E381" s="713" t="s">
        <v>44</v>
      </c>
      <c r="F381" s="1532" t="s">
        <v>27</v>
      </c>
      <c r="G381" s="1532"/>
      <c r="H381" s="1532"/>
      <c r="I381" s="781" t="s">
        <v>318</v>
      </c>
      <c r="J381" s="781" t="s">
        <v>345</v>
      </c>
      <c r="K381" s="1533"/>
      <c r="L381" s="1534"/>
      <c r="M381" s="1534"/>
      <c r="N381" s="1535"/>
      <c r="O381" s="2071"/>
      <c r="P381" s="1547"/>
      <c r="Q381" s="1547"/>
      <c r="R381" s="1547"/>
      <c r="S381" s="1547"/>
      <c r="T381" s="1547"/>
      <c r="U381" s="1547"/>
      <c r="V381" s="1547"/>
      <c r="W381" s="1547"/>
      <c r="X381" s="1548"/>
      <c r="Y381" s="1547"/>
      <c r="Z381" s="1547"/>
      <c r="AA381" s="1547"/>
      <c r="AB381" s="1547"/>
      <c r="AC381" s="1548"/>
      <c r="AD381" s="1547"/>
      <c r="AE381" s="1547"/>
      <c r="AF381" s="1547"/>
      <c r="AG381" s="785"/>
      <c r="AH381" s="697"/>
      <c r="AI381" s="707"/>
      <c r="AJ381" s="709">
        <f t="shared" si="655"/>
        <v>0</v>
      </c>
      <c r="AK381" s="710">
        <f t="shared" si="656"/>
        <v>0</v>
      </c>
      <c r="AL381" s="710">
        <f t="shared" si="657"/>
        <v>0</v>
      </c>
      <c r="AM381" s="710">
        <f t="shared" si="658"/>
        <v>0</v>
      </c>
      <c r="AN381" s="710">
        <f t="shared" si="659"/>
        <v>0</v>
      </c>
      <c r="AO381" s="711">
        <f t="shared" si="660"/>
        <v>0</v>
      </c>
      <c r="AP381" s="707">
        <f t="shared" si="661"/>
        <v>0</v>
      </c>
      <c r="AQ381" s="707">
        <f t="shared" si="662"/>
        <v>0</v>
      </c>
      <c r="AR381" s="707">
        <f t="shared" si="663"/>
        <v>0</v>
      </c>
      <c r="AS381" s="712">
        <f t="shared" si="664"/>
        <v>0</v>
      </c>
      <c r="AU381" s="1369"/>
      <c r="AV381" s="1559"/>
      <c r="AW381" s="1412" t="str">
        <f t="shared" si="612"/>
        <v>Price</v>
      </c>
      <c r="AX381" s="1413" t="str">
        <f t="shared" si="612"/>
        <v>[Service]</v>
      </c>
      <c r="AY381" s="1414" t="str">
        <f t="shared" si="613"/>
        <v>[Price]</v>
      </c>
      <c r="AZ381" s="1415" t="str">
        <f t="shared" si="727"/>
        <v>-</v>
      </c>
      <c r="BA381" s="1415" t="str">
        <f t="shared" si="727"/>
        <v>-</v>
      </c>
      <c r="BB381" s="1415" t="str">
        <f t="shared" si="727"/>
        <v>-</v>
      </c>
      <c r="BC381" s="1415" t="str">
        <f t="shared" si="615"/>
        <v>-</v>
      </c>
      <c r="BD381" s="1415" t="str">
        <f t="shared" si="616"/>
        <v>-</v>
      </c>
      <c r="BE381" s="1415" t="str">
        <f t="shared" si="617"/>
        <v>-</v>
      </c>
      <c r="BF381" s="1415" t="str">
        <f t="shared" si="618"/>
        <v>-</v>
      </c>
      <c r="BG381" s="1416" t="str">
        <f t="shared" si="619"/>
        <v>-</v>
      </c>
      <c r="BH381" s="1417" t="str">
        <f t="shared" si="620"/>
        <v>-</v>
      </c>
      <c r="BI381" s="1417" t="str">
        <f t="shared" si="621"/>
        <v>-</v>
      </c>
      <c r="BJ381" s="1417" t="str">
        <f t="shared" si="622"/>
        <v>-</v>
      </c>
      <c r="BK381" s="1417" t="str">
        <f t="shared" si="623"/>
        <v>-</v>
      </c>
      <c r="BL381" s="1418" t="str">
        <f t="shared" si="624"/>
        <v>-</v>
      </c>
      <c r="BM381" s="1417" t="str">
        <f t="shared" si="625"/>
        <v>-</v>
      </c>
      <c r="BN381" s="1417" t="str">
        <f t="shared" si="626"/>
        <v>-</v>
      </c>
      <c r="BO381" s="1417" t="str">
        <f t="shared" si="627"/>
        <v>-</v>
      </c>
      <c r="BP381" s="1417" t="str">
        <f t="shared" si="628"/>
        <v>-</v>
      </c>
      <c r="BQ381" s="1419" t="str">
        <f t="shared" si="629"/>
        <v>-</v>
      </c>
      <c r="BR381" s="1378"/>
      <c r="BS381" s="1420"/>
      <c r="BT381" s="1421"/>
      <c r="BU381" s="1422"/>
      <c r="BV381" s="1423"/>
      <c r="BW381" s="1378"/>
      <c r="BX381" s="1412" t="str">
        <f t="shared" si="630"/>
        <v>Price</v>
      </c>
      <c r="BY381" s="1413" t="str">
        <f t="shared" si="631"/>
        <v>[Service]</v>
      </c>
      <c r="BZ381" s="1414" t="str">
        <f t="shared" si="632"/>
        <v>[Price]</v>
      </c>
      <c r="CA381" s="1424" t="str">
        <f t="shared" ref="CA381:CR381" si="743">IFERROR((P381/O381-1)*(O383/O$13),"-")</f>
        <v>-</v>
      </c>
      <c r="CB381" s="1415" t="str">
        <f t="shared" si="743"/>
        <v>-</v>
      </c>
      <c r="CC381" s="1415" t="str">
        <f t="shared" si="743"/>
        <v>-</v>
      </c>
      <c r="CD381" s="1415" t="str">
        <f t="shared" si="743"/>
        <v>-</v>
      </c>
      <c r="CE381" s="1415" t="str">
        <f t="shared" si="743"/>
        <v>-</v>
      </c>
      <c r="CF381" s="1415" t="str">
        <f t="shared" si="743"/>
        <v>-</v>
      </c>
      <c r="CG381" s="1415" t="str">
        <f t="shared" si="743"/>
        <v>-</v>
      </c>
      <c r="CH381" s="1425" t="str">
        <f t="shared" si="743"/>
        <v>-</v>
      </c>
      <c r="CI381" s="1417" t="str">
        <f t="shared" si="743"/>
        <v>-</v>
      </c>
      <c r="CJ381" s="1417" t="str">
        <f t="shared" si="743"/>
        <v>-</v>
      </c>
      <c r="CK381" s="1417" t="str">
        <f t="shared" si="743"/>
        <v>-</v>
      </c>
      <c r="CL381" s="1417" t="str">
        <f t="shared" si="743"/>
        <v>-</v>
      </c>
      <c r="CM381" s="1418" t="str">
        <f t="shared" si="743"/>
        <v>-</v>
      </c>
      <c r="CN381" s="1417" t="str">
        <f t="shared" si="743"/>
        <v>-</v>
      </c>
      <c r="CO381" s="1417" t="str">
        <f t="shared" si="743"/>
        <v>-</v>
      </c>
      <c r="CP381" s="1417" t="str">
        <f t="shared" si="743"/>
        <v>-</v>
      </c>
      <c r="CQ381" s="1417" t="str">
        <f t="shared" si="743"/>
        <v>-</v>
      </c>
      <c r="CR381" s="1419" t="str">
        <f t="shared" si="743"/>
        <v>-</v>
      </c>
      <c r="CS381" s="1378"/>
      <c r="CT381" s="1412" t="str">
        <f t="shared" si="609"/>
        <v>Price</v>
      </c>
      <c r="CU381" s="1413" t="str">
        <f t="shared" si="610"/>
        <v>[Service]</v>
      </c>
      <c r="CV381" s="1426" t="str">
        <f t="shared" si="611"/>
        <v>[Price]</v>
      </c>
      <c r="CW381" s="1427" t="str">
        <f t="shared" si="634"/>
        <v>-</v>
      </c>
      <c r="CX381" s="1417" t="str">
        <f t="shared" si="635"/>
        <v>-</v>
      </c>
      <c r="CY381" s="1417" t="str">
        <f t="shared" si="636"/>
        <v>-</v>
      </c>
      <c r="CZ381" s="1419" t="str">
        <f t="shared" si="637"/>
        <v>-</v>
      </c>
      <c r="DA381" s="1417" t="str">
        <f t="shared" si="638"/>
        <v>-</v>
      </c>
      <c r="DB381" s="1417" t="str">
        <f t="shared" si="639"/>
        <v>-</v>
      </c>
      <c r="DC381" s="1417" t="str">
        <f t="shared" si="640"/>
        <v>-</v>
      </c>
      <c r="DD381" s="1417" t="str">
        <f t="shared" si="641"/>
        <v>-</v>
      </c>
      <c r="DE381" s="1419" t="str">
        <f t="shared" si="642"/>
        <v>-</v>
      </c>
      <c r="DF381" s="1378"/>
      <c r="DG381" s="1412" t="str">
        <f t="shared" si="643"/>
        <v>Price</v>
      </c>
      <c r="DH381" s="1413" t="str">
        <f t="shared" si="643"/>
        <v>[Service]</v>
      </c>
      <c r="DI381" s="1426" t="str">
        <f t="shared" si="643"/>
        <v>[Price]</v>
      </c>
      <c r="DJ381" s="1426"/>
      <c r="DK381" s="1427" t="str">
        <f t="shared" si="644"/>
        <v>-</v>
      </c>
      <c r="DL381" s="1417" t="str">
        <f t="shared" si="645"/>
        <v>-</v>
      </c>
      <c r="DM381" s="1417" t="str">
        <f t="shared" si="646"/>
        <v>-</v>
      </c>
      <c r="DN381" s="1418" t="str">
        <f t="shared" si="647"/>
        <v>-</v>
      </c>
      <c r="DO381" s="1417" t="str">
        <f t="shared" si="648"/>
        <v>-</v>
      </c>
      <c r="DP381" s="1417" t="str">
        <f t="shared" si="649"/>
        <v>-</v>
      </c>
      <c r="DQ381" s="1417" t="str">
        <f t="shared" si="650"/>
        <v>-</v>
      </c>
      <c r="DR381" s="1419" t="str">
        <f t="shared" si="651"/>
        <v>-</v>
      </c>
    </row>
    <row r="382" spans="4:122">
      <c r="E382" s="742" t="s">
        <v>45</v>
      </c>
      <c r="F382" s="722" t="str">
        <f>+F381</f>
        <v>[Service]</v>
      </c>
      <c r="G382" s="723">
        <f>+G381</f>
        <v>0</v>
      </c>
      <c r="H382" s="723">
        <f>+H381</f>
        <v>0</v>
      </c>
      <c r="I382" s="724" t="str">
        <f>+I381</f>
        <v>[Price]</v>
      </c>
      <c r="J382" s="782" t="s">
        <v>322</v>
      </c>
      <c r="K382" s="1540"/>
      <c r="L382" s="1541"/>
      <c r="M382" s="1541"/>
      <c r="N382" s="1542"/>
      <c r="O382" s="2031"/>
      <c r="P382" s="1543"/>
      <c r="Q382" s="1543"/>
      <c r="R382" s="1543"/>
      <c r="S382" s="1543"/>
      <c r="T382" s="1543"/>
      <c r="U382" s="1543"/>
      <c r="V382" s="1543"/>
      <c r="W382" s="1543"/>
      <c r="X382" s="1544"/>
      <c r="Y382" s="1543"/>
      <c r="Z382" s="1543"/>
      <c r="AA382" s="1543"/>
      <c r="AB382" s="1543"/>
      <c r="AC382" s="1544"/>
      <c r="AD382" s="1543"/>
      <c r="AE382" s="1543"/>
      <c r="AF382" s="1543"/>
      <c r="AG382" s="788"/>
      <c r="AH382" s="697"/>
      <c r="AI382" s="707"/>
      <c r="AJ382" s="709">
        <f t="shared" si="655"/>
        <v>0</v>
      </c>
      <c r="AK382" s="710">
        <f t="shared" si="656"/>
        <v>0</v>
      </c>
      <c r="AL382" s="710">
        <f t="shared" si="657"/>
        <v>0</v>
      </c>
      <c r="AM382" s="710">
        <f t="shared" si="658"/>
        <v>0</v>
      </c>
      <c r="AN382" s="710">
        <f t="shared" si="659"/>
        <v>0</v>
      </c>
      <c r="AO382" s="711">
        <f t="shared" si="660"/>
        <v>0</v>
      </c>
      <c r="AP382" s="707">
        <f t="shared" si="661"/>
        <v>0</v>
      </c>
      <c r="AQ382" s="707">
        <f t="shared" si="662"/>
        <v>0</v>
      </c>
      <c r="AR382" s="707">
        <f t="shared" si="663"/>
        <v>0</v>
      </c>
      <c r="AS382" s="712">
        <f t="shared" si="664"/>
        <v>0</v>
      </c>
      <c r="AV382" s="1559"/>
      <c r="AW382" s="1392" t="str">
        <f t="shared" si="612"/>
        <v>Qty</v>
      </c>
      <c r="AX382" s="1393" t="str">
        <f t="shared" si="612"/>
        <v>[Service]</v>
      </c>
      <c r="AY382" s="1394" t="str">
        <f t="shared" si="613"/>
        <v>[Price]</v>
      </c>
      <c r="AZ382" s="1395" t="str">
        <f t="shared" si="727"/>
        <v>-</v>
      </c>
      <c r="BA382" s="1395" t="str">
        <f t="shared" si="727"/>
        <v>-</v>
      </c>
      <c r="BB382" s="1395" t="str">
        <f t="shared" si="727"/>
        <v>-</v>
      </c>
      <c r="BC382" s="1395" t="str">
        <f t="shared" si="615"/>
        <v>-</v>
      </c>
      <c r="BD382" s="1395" t="str">
        <f t="shared" si="616"/>
        <v>-</v>
      </c>
      <c r="BE382" s="1395" t="str">
        <f t="shared" si="617"/>
        <v>-</v>
      </c>
      <c r="BF382" s="1395" t="str">
        <f t="shared" si="618"/>
        <v>-</v>
      </c>
      <c r="BG382" s="1396" t="str">
        <f t="shared" si="619"/>
        <v>-</v>
      </c>
      <c r="BH382" s="1395" t="str">
        <f t="shared" si="620"/>
        <v>-</v>
      </c>
      <c r="BI382" s="1395" t="str">
        <f t="shared" si="621"/>
        <v>-</v>
      </c>
      <c r="BJ382" s="1395" t="str">
        <f t="shared" si="622"/>
        <v>-</v>
      </c>
      <c r="BK382" s="1395" t="str">
        <f t="shared" si="623"/>
        <v>-</v>
      </c>
      <c r="BL382" s="1397" t="str">
        <f t="shared" si="624"/>
        <v>-</v>
      </c>
      <c r="BM382" s="1395" t="str">
        <f t="shared" si="625"/>
        <v>-</v>
      </c>
      <c r="BN382" s="1395" t="str">
        <f t="shared" si="626"/>
        <v>-</v>
      </c>
      <c r="BO382" s="1395" t="str">
        <f t="shared" si="627"/>
        <v>-</v>
      </c>
      <c r="BP382" s="1395" t="str">
        <f t="shared" si="628"/>
        <v>-</v>
      </c>
      <c r="BQ382" s="1398" t="str">
        <f t="shared" si="629"/>
        <v>-</v>
      </c>
      <c r="BR382" s="1378"/>
      <c r="BS382" s="1329"/>
      <c r="BT382" s="1399"/>
      <c r="BU382" s="1331"/>
      <c r="BV382" s="1400"/>
      <c r="BW382" s="1378"/>
      <c r="BX382" s="1392" t="str">
        <f t="shared" si="630"/>
        <v>Qty</v>
      </c>
      <c r="BY382" s="1393" t="str">
        <f t="shared" si="631"/>
        <v>[Service]</v>
      </c>
      <c r="BZ382" s="1394" t="str">
        <f t="shared" si="632"/>
        <v>[Price]</v>
      </c>
      <c r="CA382" s="1401" t="str">
        <f t="shared" ref="CA382:CR382" si="744">IFERROR((P382/O382-1)*(O383/O$13),"-")</f>
        <v>-</v>
      </c>
      <c r="CB382" s="1395" t="str">
        <f t="shared" si="744"/>
        <v>-</v>
      </c>
      <c r="CC382" s="1395" t="str">
        <f t="shared" si="744"/>
        <v>-</v>
      </c>
      <c r="CD382" s="1395" t="str">
        <f t="shared" si="744"/>
        <v>-</v>
      </c>
      <c r="CE382" s="1395" t="str">
        <f t="shared" si="744"/>
        <v>-</v>
      </c>
      <c r="CF382" s="1395" t="str">
        <f t="shared" si="744"/>
        <v>-</v>
      </c>
      <c r="CG382" s="1395" t="str">
        <f t="shared" si="744"/>
        <v>-</v>
      </c>
      <c r="CH382" s="1397" t="str">
        <f t="shared" si="744"/>
        <v>-</v>
      </c>
      <c r="CI382" s="1395" t="str">
        <f t="shared" si="744"/>
        <v>-</v>
      </c>
      <c r="CJ382" s="1395" t="str">
        <f t="shared" si="744"/>
        <v>-</v>
      </c>
      <c r="CK382" s="1395" t="str">
        <f t="shared" si="744"/>
        <v>-</v>
      </c>
      <c r="CL382" s="1395" t="str">
        <f t="shared" si="744"/>
        <v>-</v>
      </c>
      <c r="CM382" s="1397" t="str">
        <f t="shared" si="744"/>
        <v>-</v>
      </c>
      <c r="CN382" s="1395" t="str">
        <f t="shared" si="744"/>
        <v>-</v>
      </c>
      <c r="CO382" s="1395" t="str">
        <f t="shared" si="744"/>
        <v>-</v>
      </c>
      <c r="CP382" s="1395" t="str">
        <f t="shared" si="744"/>
        <v>-</v>
      </c>
      <c r="CQ382" s="1395" t="str">
        <f t="shared" si="744"/>
        <v>-</v>
      </c>
      <c r="CR382" s="1398" t="str">
        <f t="shared" si="744"/>
        <v>-</v>
      </c>
      <c r="CS382" s="1378"/>
      <c r="CT382" s="1392" t="str">
        <f t="shared" si="609"/>
        <v>Qty</v>
      </c>
      <c r="CU382" s="1393" t="str">
        <f t="shared" si="610"/>
        <v>[Service]</v>
      </c>
      <c r="CV382" s="1393" t="str">
        <f t="shared" si="611"/>
        <v>[Price]</v>
      </c>
      <c r="CW382" s="1401" t="str">
        <f t="shared" si="634"/>
        <v>-</v>
      </c>
      <c r="CX382" s="1395" t="str">
        <f t="shared" si="635"/>
        <v>-</v>
      </c>
      <c r="CY382" s="1395" t="str">
        <f t="shared" si="636"/>
        <v>-</v>
      </c>
      <c r="CZ382" s="1398" t="str">
        <f t="shared" si="637"/>
        <v>-</v>
      </c>
      <c r="DA382" s="1395" t="str">
        <f t="shared" si="638"/>
        <v>-</v>
      </c>
      <c r="DB382" s="1395" t="str">
        <f t="shared" si="639"/>
        <v>-</v>
      </c>
      <c r="DC382" s="1395" t="str">
        <f t="shared" si="640"/>
        <v>-</v>
      </c>
      <c r="DD382" s="1395" t="str">
        <f t="shared" si="641"/>
        <v>-</v>
      </c>
      <c r="DE382" s="1398" t="str">
        <f t="shared" si="642"/>
        <v>-</v>
      </c>
      <c r="DF382" s="1378"/>
      <c r="DG382" s="1392" t="str">
        <f t="shared" si="643"/>
        <v>Qty</v>
      </c>
      <c r="DH382" s="1393" t="str">
        <f t="shared" si="643"/>
        <v>[Service]</v>
      </c>
      <c r="DI382" s="1393" t="str">
        <f t="shared" si="643"/>
        <v>[Price]</v>
      </c>
      <c r="DJ382" s="1393"/>
      <c r="DK382" s="1401" t="str">
        <f t="shared" si="644"/>
        <v>-</v>
      </c>
      <c r="DL382" s="1395" t="str">
        <f t="shared" si="645"/>
        <v>-</v>
      </c>
      <c r="DM382" s="1395" t="str">
        <f t="shared" si="646"/>
        <v>-</v>
      </c>
      <c r="DN382" s="1397" t="str">
        <f t="shared" si="647"/>
        <v>-</v>
      </c>
      <c r="DO382" s="1395" t="str">
        <f t="shared" si="648"/>
        <v>-</v>
      </c>
      <c r="DP382" s="1395" t="str">
        <f t="shared" si="649"/>
        <v>-</v>
      </c>
      <c r="DQ382" s="1395" t="str">
        <f t="shared" si="650"/>
        <v>-</v>
      </c>
      <c r="DR382" s="1398" t="str">
        <f t="shared" si="651"/>
        <v>-</v>
      </c>
    </row>
    <row r="383" spans="4:122" ht="12.75" thickBot="1">
      <c r="E383" s="743" t="s">
        <v>46</v>
      </c>
      <c r="F383" s="732" t="str">
        <f>+F381</f>
        <v>[Service]</v>
      </c>
      <c r="G383" s="733">
        <f>+G381</f>
        <v>0</v>
      </c>
      <c r="H383" s="733">
        <f>+H381</f>
        <v>0</v>
      </c>
      <c r="I383" s="734" t="str">
        <f>+I381</f>
        <v>[Price]</v>
      </c>
      <c r="J383" s="735" t="s">
        <v>344</v>
      </c>
      <c r="K383" s="736">
        <f t="shared" ref="K383:AG383" si="745">K381*K382/10^6</f>
        <v>0</v>
      </c>
      <c r="L383" s="737">
        <f t="shared" si="745"/>
        <v>0</v>
      </c>
      <c r="M383" s="737">
        <f t="shared" si="745"/>
        <v>0</v>
      </c>
      <c r="N383" s="738">
        <f t="shared" si="745"/>
        <v>0</v>
      </c>
      <c r="O383" s="1923">
        <f t="shared" si="745"/>
        <v>0</v>
      </c>
      <c r="P383" s="737">
        <f t="shared" si="745"/>
        <v>0</v>
      </c>
      <c r="Q383" s="737">
        <f t="shared" si="745"/>
        <v>0</v>
      </c>
      <c r="R383" s="737">
        <f t="shared" si="745"/>
        <v>0</v>
      </c>
      <c r="S383" s="737">
        <f t="shared" si="745"/>
        <v>0</v>
      </c>
      <c r="T383" s="737">
        <f t="shared" si="745"/>
        <v>0</v>
      </c>
      <c r="U383" s="737">
        <f t="shared" si="745"/>
        <v>0</v>
      </c>
      <c r="V383" s="737">
        <f t="shared" si="745"/>
        <v>0</v>
      </c>
      <c r="W383" s="737">
        <f t="shared" si="745"/>
        <v>0</v>
      </c>
      <c r="X383" s="738">
        <f t="shared" si="745"/>
        <v>0</v>
      </c>
      <c r="Y383" s="737">
        <f t="shared" si="745"/>
        <v>0</v>
      </c>
      <c r="Z383" s="737">
        <f t="shared" si="745"/>
        <v>0</v>
      </c>
      <c r="AA383" s="737">
        <f t="shared" si="745"/>
        <v>0</v>
      </c>
      <c r="AB383" s="737">
        <f t="shared" si="745"/>
        <v>0</v>
      </c>
      <c r="AC383" s="738">
        <f t="shared" si="745"/>
        <v>0</v>
      </c>
      <c r="AD383" s="737">
        <f t="shared" si="745"/>
        <v>0</v>
      </c>
      <c r="AE383" s="737">
        <f t="shared" si="745"/>
        <v>0</v>
      </c>
      <c r="AF383" s="737">
        <f t="shared" si="745"/>
        <v>0</v>
      </c>
      <c r="AG383" s="739">
        <f t="shared" si="745"/>
        <v>0</v>
      </c>
      <c r="AH383" s="697"/>
      <c r="AI383" s="707"/>
      <c r="AJ383" s="709">
        <f t="shared" si="655"/>
        <v>0</v>
      </c>
      <c r="AK383" s="710">
        <f t="shared" si="656"/>
        <v>0</v>
      </c>
      <c r="AL383" s="710">
        <f t="shared" si="657"/>
        <v>0</v>
      </c>
      <c r="AM383" s="710">
        <f t="shared" si="658"/>
        <v>0</v>
      </c>
      <c r="AN383" s="710">
        <f t="shared" si="659"/>
        <v>0</v>
      </c>
      <c r="AO383" s="711">
        <f t="shared" si="660"/>
        <v>0</v>
      </c>
      <c r="AP383" s="707">
        <f t="shared" si="661"/>
        <v>0</v>
      </c>
      <c r="AQ383" s="707">
        <f t="shared" si="662"/>
        <v>0</v>
      </c>
      <c r="AR383" s="707">
        <f t="shared" si="663"/>
        <v>0</v>
      </c>
      <c r="AS383" s="712">
        <f t="shared" si="664"/>
        <v>0</v>
      </c>
      <c r="AV383" s="1559"/>
      <c r="AW383" s="1428" t="str">
        <f t="shared" si="612"/>
        <v>Rev</v>
      </c>
      <c r="AX383" s="1429" t="str">
        <f t="shared" si="612"/>
        <v>[Service]</v>
      </c>
      <c r="AY383" s="1430" t="str">
        <f t="shared" si="613"/>
        <v>[Price]</v>
      </c>
      <c r="AZ383" s="1431" t="str">
        <f t="shared" si="727"/>
        <v>-</v>
      </c>
      <c r="BA383" s="1431" t="str">
        <f t="shared" si="727"/>
        <v>-</v>
      </c>
      <c r="BB383" s="1431" t="str">
        <f t="shared" si="727"/>
        <v>-</v>
      </c>
      <c r="BC383" s="1431" t="str">
        <f t="shared" si="615"/>
        <v>-</v>
      </c>
      <c r="BD383" s="1431" t="str">
        <f t="shared" si="616"/>
        <v>-</v>
      </c>
      <c r="BE383" s="1431" t="str">
        <f t="shared" si="617"/>
        <v>-</v>
      </c>
      <c r="BF383" s="1431" t="str">
        <f t="shared" si="618"/>
        <v>-</v>
      </c>
      <c r="BG383" s="1432" t="str">
        <f t="shared" si="619"/>
        <v>-</v>
      </c>
      <c r="BH383" s="1431" t="str">
        <f t="shared" si="620"/>
        <v>-</v>
      </c>
      <c r="BI383" s="1431" t="str">
        <f t="shared" si="621"/>
        <v>-</v>
      </c>
      <c r="BJ383" s="1431" t="str">
        <f t="shared" si="622"/>
        <v>-</v>
      </c>
      <c r="BK383" s="1431" t="str">
        <f t="shared" si="623"/>
        <v>-</v>
      </c>
      <c r="BL383" s="1433" t="str">
        <f t="shared" si="624"/>
        <v>-</v>
      </c>
      <c r="BM383" s="1431" t="str">
        <f t="shared" si="625"/>
        <v>-</v>
      </c>
      <c r="BN383" s="1431" t="str">
        <f t="shared" si="626"/>
        <v>-</v>
      </c>
      <c r="BO383" s="1431" t="str">
        <f t="shared" si="627"/>
        <v>-</v>
      </c>
      <c r="BP383" s="1431" t="str">
        <f t="shared" si="628"/>
        <v>-</v>
      </c>
      <c r="BQ383" s="1434" t="str">
        <f t="shared" si="629"/>
        <v>-</v>
      </c>
      <c r="BR383" s="1378"/>
      <c r="BS383" s="1407"/>
      <c r="BT383" s="1408"/>
      <c r="BU383" s="1409"/>
      <c r="BV383" s="1410"/>
      <c r="BW383" s="1378"/>
      <c r="BX383" s="1428" t="str">
        <f t="shared" si="630"/>
        <v>Rev</v>
      </c>
      <c r="BY383" s="1429" t="str">
        <f t="shared" si="631"/>
        <v>[Service]</v>
      </c>
      <c r="BZ383" s="1430" t="str">
        <f t="shared" si="632"/>
        <v>[Price]</v>
      </c>
      <c r="CA383" s="1435" t="str">
        <f t="shared" ref="CA383:CR383" si="746">IFERROR((P383/O383-1)*(O383/O$13),"-")</f>
        <v>-</v>
      </c>
      <c r="CB383" s="1431" t="str">
        <f t="shared" si="746"/>
        <v>-</v>
      </c>
      <c r="CC383" s="1431" t="str">
        <f t="shared" si="746"/>
        <v>-</v>
      </c>
      <c r="CD383" s="1431" t="str">
        <f t="shared" si="746"/>
        <v>-</v>
      </c>
      <c r="CE383" s="1431" t="str">
        <f t="shared" si="746"/>
        <v>-</v>
      </c>
      <c r="CF383" s="1431" t="str">
        <f t="shared" si="746"/>
        <v>-</v>
      </c>
      <c r="CG383" s="1431" t="str">
        <f t="shared" si="746"/>
        <v>-</v>
      </c>
      <c r="CH383" s="1433" t="str">
        <f t="shared" si="746"/>
        <v>-</v>
      </c>
      <c r="CI383" s="1431" t="str">
        <f t="shared" si="746"/>
        <v>-</v>
      </c>
      <c r="CJ383" s="1431" t="str">
        <f t="shared" si="746"/>
        <v>-</v>
      </c>
      <c r="CK383" s="1431" t="str">
        <f t="shared" si="746"/>
        <v>-</v>
      </c>
      <c r="CL383" s="1431" t="str">
        <f t="shared" si="746"/>
        <v>-</v>
      </c>
      <c r="CM383" s="1433" t="str">
        <f t="shared" si="746"/>
        <v>-</v>
      </c>
      <c r="CN383" s="1431" t="str">
        <f t="shared" si="746"/>
        <v>-</v>
      </c>
      <c r="CO383" s="1431" t="str">
        <f t="shared" si="746"/>
        <v>-</v>
      </c>
      <c r="CP383" s="1431" t="str">
        <f t="shared" si="746"/>
        <v>-</v>
      </c>
      <c r="CQ383" s="1431" t="str">
        <f t="shared" si="746"/>
        <v>-</v>
      </c>
      <c r="CR383" s="1434" t="str">
        <f t="shared" si="746"/>
        <v>-</v>
      </c>
      <c r="CS383" s="1378"/>
      <c r="CT383" s="1428" t="str">
        <f t="shared" si="609"/>
        <v>Rev</v>
      </c>
      <c r="CU383" s="1429" t="str">
        <f t="shared" si="610"/>
        <v>[Service]</v>
      </c>
      <c r="CV383" s="1429" t="str">
        <f t="shared" si="611"/>
        <v>[Price]</v>
      </c>
      <c r="CW383" s="1435" t="str">
        <f t="shared" si="634"/>
        <v>-</v>
      </c>
      <c r="CX383" s="1431" t="str">
        <f t="shared" si="635"/>
        <v>-</v>
      </c>
      <c r="CY383" s="1431" t="str">
        <f t="shared" si="636"/>
        <v>-</v>
      </c>
      <c r="CZ383" s="1434" t="str">
        <f t="shared" si="637"/>
        <v>-</v>
      </c>
      <c r="DA383" s="1431" t="str">
        <f t="shared" si="638"/>
        <v>-</v>
      </c>
      <c r="DB383" s="1431" t="str">
        <f t="shared" si="639"/>
        <v>-</v>
      </c>
      <c r="DC383" s="1431" t="str">
        <f t="shared" si="640"/>
        <v>-</v>
      </c>
      <c r="DD383" s="1431" t="str">
        <f t="shared" si="641"/>
        <v>-</v>
      </c>
      <c r="DE383" s="1434" t="str">
        <f t="shared" si="642"/>
        <v>-</v>
      </c>
      <c r="DF383" s="1378"/>
      <c r="DG383" s="1428" t="str">
        <f t="shared" si="643"/>
        <v>Rev</v>
      </c>
      <c r="DH383" s="1429" t="str">
        <f t="shared" si="643"/>
        <v>[Service]</v>
      </c>
      <c r="DI383" s="1429" t="str">
        <f t="shared" si="643"/>
        <v>[Price]</v>
      </c>
      <c r="DJ383" s="1429"/>
      <c r="DK383" s="1435" t="str">
        <f t="shared" si="644"/>
        <v>-</v>
      </c>
      <c r="DL383" s="1431" t="str">
        <f t="shared" si="645"/>
        <v>-</v>
      </c>
      <c r="DM383" s="1431" t="str">
        <f t="shared" si="646"/>
        <v>-</v>
      </c>
      <c r="DN383" s="1433" t="str">
        <f t="shared" si="647"/>
        <v>-</v>
      </c>
      <c r="DO383" s="1431" t="str">
        <f t="shared" si="648"/>
        <v>-</v>
      </c>
      <c r="DP383" s="1431" t="str">
        <f t="shared" si="649"/>
        <v>-</v>
      </c>
      <c r="DQ383" s="1431" t="str">
        <f t="shared" si="650"/>
        <v>-</v>
      </c>
      <c r="DR383" s="1434" t="str">
        <f t="shared" si="651"/>
        <v>-</v>
      </c>
    </row>
    <row r="384" spans="4:122">
      <c r="D384" s="70">
        <f>D381+1</f>
        <v>107</v>
      </c>
      <c r="E384" s="713" t="s">
        <v>44</v>
      </c>
      <c r="F384" s="1532" t="s">
        <v>27</v>
      </c>
      <c r="G384" s="1532"/>
      <c r="H384" s="1532"/>
      <c r="I384" s="781" t="s">
        <v>318</v>
      </c>
      <c r="J384" s="781" t="s">
        <v>345</v>
      </c>
      <c r="K384" s="1533"/>
      <c r="L384" s="1534"/>
      <c r="M384" s="1534"/>
      <c r="N384" s="1535"/>
      <c r="O384" s="2071"/>
      <c r="P384" s="1547"/>
      <c r="Q384" s="1547"/>
      <c r="R384" s="1547"/>
      <c r="S384" s="1547"/>
      <c r="T384" s="1547"/>
      <c r="U384" s="1547"/>
      <c r="V384" s="1547"/>
      <c r="W384" s="1547"/>
      <c r="X384" s="1548"/>
      <c r="Y384" s="1547"/>
      <c r="Z384" s="1547"/>
      <c r="AA384" s="1547"/>
      <c r="AB384" s="1547"/>
      <c r="AC384" s="1548"/>
      <c r="AD384" s="1547"/>
      <c r="AE384" s="1547"/>
      <c r="AF384" s="1547"/>
      <c r="AG384" s="785"/>
      <c r="AH384" s="697"/>
      <c r="AI384" s="707"/>
      <c r="AJ384" s="709">
        <f t="shared" si="655"/>
        <v>0</v>
      </c>
      <c r="AK384" s="710">
        <f t="shared" si="656"/>
        <v>0</v>
      </c>
      <c r="AL384" s="710">
        <f t="shared" si="657"/>
        <v>0</v>
      </c>
      <c r="AM384" s="710">
        <f t="shared" si="658"/>
        <v>0</v>
      </c>
      <c r="AN384" s="710">
        <f t="shared" si="659"/>
        <v>0</v>
      </c>
      <c r="AO384" s="711">
        <f t="shared" si="660"/>
        <v>0</v>
      </c>
      <c r="AP384" s="707">
        <f t="shared" si="661"/>
        <v>0</v>
      </c>
      <c r="AQ384" s="707">
        <f t="shared" si="662"/>
        <v>0</v>
      </c>
      <c r="AR384" s="707">
        <f t="shared" si="663"/>
        <v>0</v>
      </c>
      <c r="AS384" s="712">
        <f t="shared" si="664"/>
        <v>0</v>
      </c>
      <c r="AU384" s="1369"/>
      <c r="AV384" s="1559"/>
      <c r="AW384" s="1412" t="str">
        <f t="shared" si="612"/>
        <v>Price</v>
      </c>
      <c r="AX384" s="1413" t="str">
        <f t="shared" si="612"/>
        <v>[Service]</v>
      </c>
      <c r="AY384" s="1414" t="str">
        <f t="shared" si="613"/>
        <v>[Price]</v>
      </c>
      <c r="AZ384" s="1415" t="str">
        <f t="shared" si="727"/>
        <v>-</v>
      </c>
      <c r="BA384" s="1415" t="str">
        <f t="shared" si="727"/>
        <v>-</v>
      </c>
      <c r="BB384" s="1415" t="str">
        <f t="shared" si="727"/>
        <v>-</v>
      </c>
      <c r="BC384" s="1415" t="str">
        <f t="shared" si="615"/>
        <v>-</v>
      </c>
      <c r="BD384" s="1415" t="str">
        <f t="shared" si="616"/>
        <v>-</v>
      </c>
      <c r="BE384" s="1415" t="str">
        <f t="shared" si="617"/>
        <v>-</v>
      </c>
      <c r="BF384" s="1415" t="str">
        <f t="shared" si="618"/>
        <v>-</v>
      </c>
      <c r="BG384" s="1416" t="str">
        <f t="shared" si="619"/>
        <v>-</v>
      </c>
      <c r="BH384" s="1417" t="str">
        <f t="shared" si="620"/>
        <v>-</v>
      </c>
      <c r="BI384" s="1417" t="str">
        <f t="shared" si="621"/>
        <v>-</v>
      </c>
      <c r="BJ384" s="1417" t="str">
        <f t="shared" si="622"/>
        <v>-</v>
      </c>
      <c r="BK384" s="1417" t="str">
        <f t="shared" si="623"/>
        <v>-</v>
      </c>
      <c r="BL384" s="1418" t="str">
        <f t="shared" si="624"/>
        <v>-</v>
      </c>
      <c r="BM384" s="1417" t="str">
        <f t="shared" si="625"/>
        <v>-</v>
      </c>
      <c r="BN384" s="1417" t="str">
        <f t="shared" si="626"/>
        <v>-</v>
      </c>
      <c r="BO384" s="1417" t="str">
        <f t="shared" si="627"/>
        <v>-</v>
      </c>
      <c r="BP384" s="1417" t="str">
        <f t="shared" si="628"/>
        <v>-</v>
      </c>
      <c r="BQ384" s="1419" t="str">
        <f t="shared" si="629"/>
        <v>-</v>
      </c>
      <c r="BR384" s="1378"/>
      <c r="BS384" s="1420"/>
      <c r="BT384" s="1421"/>
      <c r="BU384" s="1422"/>
      <c r="BV384" s="1423"/>
      <c r="BW384" s="1378"/>
      <c r="BX384" s="1412" t="str">
        <f t="shared" si="630"/>
        <v>Price</v>
      </c>
      <c r="BY384" s="1413" t="str">
        <f t="shared" si="631"/>
        <v>[Service]</v>
      </c>
      <c r="BZ384" s="1414" t="str">
        <f t="shared" si="632"/>
        <v>[Price]</v>
      </c>
      <c r="CA384" s="1424" t="str">
        <f t="shared" ref="CA384:CR384" si="747">IFERROR((P384/O384-1)*(O386/O$13),"-")</f>
        <v>-</v>
      </c>
      <c r="CB384" s="1415" t="str">
        <f t="shared" si="747"/>
        <v>-</v>
      </c>
      <c r="CC384" s="1415" t="str">
        <f t="shared" si="747"/>
        <v>-</v>
      </c>
      <c r="CD384" s="1415" t="str">
        <f t="shared" si="747"/>
        <v>-</v>
      </c>
      <c r="CE384" s="1415" t="str">
        <f t="shared" si="747"/>
        <v>-</v>
      </c>
      <c r="CF384" s="1415" t="str">
        <f t="shared" si="747"/>
        <v>-</v>
      </c>
      <c r="CG384" s="1415" t="str">
        <f t="shared" si="747"/>
        <v>-</v>
      </c>
      <c r="CH384" s="1425" t="str">
        <f t="shared" si="747"/>
        <v>-</v>
      </c>
      <c r="CI384" s="1417" t="str">
        <f t="shared" si="747"/>
        <v>-</v>
      </c>
      <c r="CJ384" s="1417" t="str">
        <f t="shared" si="747"/>
        <v>-</v>
      </c>
      <c r="CK384" s="1417" t="str">
        <f t="shared" si="747"/>
        <v>-</v>
      </c>
      <c r="CL384" s="1417" t="str">
        <f t="shared" si="747"/>
        <v>-</v>
      </c>
      <c r="CM384" s="1418" t="str">
        <f t="shared" si="747"/>
        <v>-</v>
      </c>
      <c r="CN384" s="1417" t="str">
        <f t="shared" si="747"/>
        <v>-</v>
      </c>
      <c r="CO384" s="1417" t="str">
        <f t="shared" si="747"/>
        <v>-</v>
      </c>
      <c r="CP384" s="1417" t="str">
        <f t="shared" si="747"/>
        <v>-</v>
      </c>
      <c r="CQ384" s="1417" t="str">
        <f t="shared" si="747"/>
        <v>-</v>
      </c>
      <c r="CR384" s="1419" t="str">
        <f t="shared" si="747"/>
        <v>-</v>
      </c>
      <c r="CS384" s="1378"/>
      <c r="CT384" s="1412" t="str">
        <f t="shared" si="609"/>
        <v>Price</v>
      </c>
      <c r="CU384" s="1413" t="str">
        <f t="shared" si="610"/>
        <v>[Service]</v>
      </c>
      <c r="CV384" s="1426" t="str">
        <f t="shared" si="611"/>
        <v>[Price]</v>
      </c>
      <c r="CW384" s="1427" t="str">
        <f t="shared" si="634"/>
        <v>-</v>
      </c>
      <c r="CX384" s="1417" t="str">
        <f t="shared" si="635"/>
        <v>-</v>
      </c>
      <c r="CY384" s="1417" t="str">
        <f t="shared" si="636"/>
        <v>-</v>
      </c>
      <c r="CZ384" s="1419" t="str">
        <f t="shared" si="637"/>
        <v>-</v>
      </c>
      <c r="DA384" s="1417" t="str">
        <f t="shared" si="638"/>
        <v>-</v>
      </c>
      <c r="DB384" s="1417" t="str">
        <f t="shared" si="639"/>
        <v>-</v>
      </c>
      <c r="DC384" s="1417" t="str">
        <f t="shared" si="640"/>
        <v>-</v>
      </c>
      <c r="DD384" s="1417" t="str">
        <f t="shared" si="641"/>
        <v>-</v>
      </c>
      <c r="DE384" s="1419" t="str">
        <f t="shared" si="642"/>
        <v>-</v>
      </c>
      <c r="DF384" s="1378"/>
      <c r="DG384" s="1412" t="str">
        <f t="shared" si="643"/>
        <v>Price</v>
      </c>
      <c r="DH384" s="1413" t="str">
        <f t="shared" si="643"/>
        <v>[Service]</v>
      </c>
      <c r="DI384" s="1426" t="str">
        <f t="shared" si="643"/>
        <v>[Price]</v>
      </c>
      <c r="DJ384" s="1426"/>
      <c r="DK384" s="1427" t="str">
        <f t="shared" si="644"/>
        <v>-</v>
      </c>
      <c r="DL384" s="1417" t="str">
        <f t="shared" si="645"/>
        <v>-</v>
      </c>
      <c r="DM384" s="1417" t="str">
        <f t="shared" si="646"/>
        <v>-</v>
      </c>
      <c r="DN384" s="1418" t="str">
        <f t="shared" si="647"/>
        <v>-</v>
      </c>
      <c r="DO384" s="1417" t="str">
        <f t="shared" si="648"/>
        <v>-</v>
      </c>
      <c r="DP384" s="1417" t="str">
        <f t="shared" si="649"/>
        <v>-</v>
      </c>
      <c r="DQ384" s="1417" t="str">
        <f t="shared" si="650"/>
        <v>-</v>
      </c>
      <c r="DR384" s="1419" t="str">
        <f t="shared" si="651"/>
        <v>-</v>
      </c>
    </row>
    <row r="385" spans="4:122">
      <c r="E385" s="742" t="s">
        <v>45</v>
      </c>
      <c r="F385" s="722" t="str">
        <f>+F384</f>
        <v>[Service]</v>
      </c>
      <c r="G385" s="723">
        <f>+G384</f>
        <v>0</v>
      </c>
      <c r="H385" s="723">
        <f>+H384</f>
        <v>0</v>
      </c>
      <c r="I385" s="724" t="str">
        <f>+I384</f>
        <v>[Price]</v>
      </c>
      <c r="J385" s="782" t="s">
        <v>322</v>
      </c>
      <c r="K385" s="1540"/>
      <c r="L385" s="1541"/>
      <c r="M385" s="1541"/>
      <c r="N385" s="1542"/>
      <c r="O385" s="2031"/>
      <c r="P385" s="1543"/>
      <c r="Q385" s="1543"/>
      <c r="R385" s="1543"/>
      <c r="S385" s="1543"/>
      <c r="T385" s="1543"/>
      <c r="U385" s="1543"/>
      <c r="V385" s="1543"/>
      <c r="W385" s="1543"/>
      <c r="X385" s="1544"/>
      <c r="Y385" s="1543"/>
      <c r="Z385" s="1543"/>
      <c r="AA385" s="1543"/>
      <c r="AB385" s="1543"/>
      <c r="AC385" s="1544"/>
      <c r="AD385" s="1543"/>
      <c r="AE385" s="1543"/>
      <c r="AF385" s="1543"/>
      <c r="AG385" s="788"/>
      <c r="AH385" s="697"/>
      <c r="AI385" s="707"/>
      <c r="AJ385" s="709">
        <f t="shared" si="655"/>
        <v>0</v>
      </c>
      <c r="AK385" s="710">
        <f t="shared" si="656"/>
        <v>0</v>
      </c>
      <c r="AL385" s="710">
        <f t="shared" si="657"/>
        <v>0</v>
      </c>
      <c r="AM385" s="710">
        <f t="shared" si="658"/>
        <v>0</v>
      </c>
      <c r="AN385" s="710">
        <f t="shared" si="659"/>
        <v>0</v>
      </c>
      <c r="AO385" s="711">
        <f t="shared" si="660"/>
        <v>0</v>
      </c>
      <c r="AP385" s="707">
        <f t="shared" si="661"/>
        <v>0</v>
      </c>
      <c r="AQ385" s="707">
        <f t="shared" si="662"/>
        <v>0</v>
      </c>
      <c r="AR385" s="707">
        <f t="shared" si="663"/>
        <v>0</v>
      </c>
      <c r="AS385" s="712">
        <f t="shared" si="664"/>
        <v>0</v>
      </c>
      <c r="AV385" s="1559"/>
      <c r="AW385" s="1392" t="str">
        <f t="shared" si="612"/>
        <v>Qty</v>
      </c>
      <c r="AX385" s="1393" t="str">
        <f t="shared" si="612"/>
        <v>[Service]</v>
      </c>
      <c r="AY385" s="1394" t="str">
        <f t="shared" si="613"/>
        <v>[Price]</v>
      </c>
      <c r="AZ385" s="1395" t="str">
        <f t="shared" si="727"/>
        <v>-</v>
      </c>
      <c r="BA385" s="1395" t="str">
        <f t="shared" si="727"/>
        <v>-</v>
      </c>
      <c r="BB385" s="1395" t="str">
        <f t="shared" si="727"/>
        <v>-</v>
      </c>
      <c r="BC385" s="1395" t="str">
        <f t="shared" si="615"/>
        <v>-</v>
      </c>
      <c r="BD385" s="1395" t="str">
        <f t="shared" si="616"/>
        <v>-</v>
      </c>
      <c r="BE385" s="1395" t="str">
        <f t="shared" si="617"/>
        <v>-</v>
      </c>
      <c r="BF385" s="1395" t="str">
        <f t="shared" si="618"/>
        <v>-</v>
      </c>
      <c r="BG385" s="1396" t="str">
        <f t="shared" si="619"/>
        <v>-</v>
      </c>
      <c r="BH385" s="1395" t="str">
        <f t="shared" si="620"/>
        <v>-</v>
      </c>
      <c r="BI385" s="1395" t="str">
        <f t="shared" si="621"/>
        <v>-</v>
      </c>
      <c r="BJ385" s="1395" t="str">
        <f t="shared" si="622"/>
        <v>-</v>
      </c>
      <c r="BK385" s="1395" t="str">
        <f t="shared" si="623"/>
        <v>-</v>
      </c>
      <c r="BL385" s="1397" t="str">
        <f t="shared" si="624"/>
        <v>-</v>
      </c>
      <c r="BM385" s="1395" t="str">
        <f t="shared" si="625"/>
        <v>-</v>
      </c>
      <c r="BN385" s="1395" t="str">
        <f t="shared" si="626"/>
        <v>-</v>
      </c>
      <c r="BO385" s="1395" t="str">
        <f t="shared" si="627"/>
        <v>-</v>
      </c>
      <c r="BP385" s="1395" t="str">
        <f t="shared" si="628"/>
        <v>-</v>
      </c>
      <c r="BQ385" s="1398" t="str">
        <f t="shared" si="629"/>
        <v>-</v>
      </c>
      <c r="BR385" s="1378"/>
      <c r="BS385" s="1329"/>
      <c r="BT385" s="1399"/>
      <c r="BU385" s="1331"/>
      <c r="BV385" s="1400"/>
      <c r="BW385" s="1378"/>
      <c r="BX385" s="1392" t="str">
        <f t="shared" si="630"/>
        <v>Qty</v>
      </c>
      <c r="BY385" s="1393" t="str">
        <f t="shared" si="631"/>
        <v>[Service]</v>
      </c>
      <c r="BZ385" s="1394" t="str">
        <f t="shared" si="632"/>
        <v>[Price]</v>
      </c>
      <c r="CA385" s="1401" t="str">
        <f t="shared" ref="CA385:CR385" si="748">IFERROR((P385/O385-1)*(O386/O$13),"-")</f>
        <v>-</v>
      </c>
      <c r="CB385" s="1395" t="str">
        <f t="shared" si="748"/>
        <v>-</v>
      </c>
      <c r="CC385" s="1395" t="str">
        <f t="shared" si="748"/>
        <v>-</v>
      </c>
      <c r="CD385" s="1395" t="str">
        <f t="shared" si="748"/>
        <v>-</v>
      </c>
      <c r="CE385" s="1395" t="str">
        <f t="shared" si="748"/>
        <v>-</v>
      </c>
      <c r="CF385" s="1395" t="str">
        <f t="shared" si="748"/>
        <v>-</v>
      </c>
      <c r="CG385" s="1395" t="str">
        <f t="shared" si="748"/>
        <v>-</v>
      </c>
      <c r="CH385" s="1397" t="str">
        <f t="shared" si="748"/>
        <v>-</v>
      </c>
      <c r="CI385" s="1395" t="str">
        <f t="shared" si="748"/>
        <v>-</v>
      </c>
      <c r="CJ385" s="1395" t="str">
        <f t="shared" si="748"/>
        <v>-</v>
      </c>
      <c r="CK385" s="1395" t="str">
        <f t="shared" si="748"/>
        <v>-</v>
      </c>
      <c r="CL385" s="1395" t="str">
        <f t="shared" si="748"/>
        <v>-</v>
      </c>
      <c r="CM385" s="1397" t="str">
        <f t="shared" si="748"/>
        <v>-</v>
      </c>
      <c r="CN385" s="1395" t="str">
        <f t="shared" si="748"/>
        <v>-</v>
      </c>
      <c r="CO385" s="1395" t="str">
        <f t="shared" si="748"/>
        <v>-</v>
      </c>
      <c r="CP385" s="1395" t="str">
        <f t="shared" si="748"/>
        <v>-</v>
      </c>
      <c r="CQ385" s="1395" t="str">
        <f t="shared" si="748"/>
        <v>-</v>
      </c>
      <c r="CR385" s="1398" t="str">
        <f t="shared" si="748"/>
        <v>-</v>
      </c>
      <c r="CS385" s="1378"/>
      <c r="CT385" s="1392" t="str">
        <f t="shared" ref="CT385:CT440" si="749">AW385</f>
        <v>Qty</v>
      </c>
      <c r="CU385" s="1393" t="str">
        <f t="shared" ref="CU385:CU440" si="750">AX385</f>
        <v>[Service]</v>
      </c>
      <c r="CV385" s="1393" t="str">
        <f t="shared" ref="CV385:CV440" si="751">AY385</f>
        <v>[Price]</v>
      </c>
      <c r="CW385" s="1401" t="str">
        <f t="shared" si="634"/>
        <v>-</v>
      </c>
      <c r="CX385" s="1395" t="str">
        <f t="shared" si="635"/>
        <v>-</v>
      </c>
      <c r="CY385" s="1395" t="str">
        <f t="shared" si="636"/>
        <v>-</v>
      </c>
      <c r="CZ385" s="1398" t="str">
        <f t="shared" si="637"/>
        <v>-</v>
      </c>
      <c r="DA385" s="1395" t="str">
        <f t="shared" si="638"/>
        <v>-</v>
      </c>
      <c r="DB385" s="1395" t="str">
        <f t="shared" si="639"/>
        <v>-</v>
      </c>
      <c r="DC385" s="1395" t="str">
        <f t="shared" si="640"/>
        <v>-</v>
      </c>
      <c r="DD385" s="1395" t="str">
        <f t="shared" si="641"/>
        <v>-</v>
      </c>
      <c r="DE385" s="1398" t="str">
        <f t="shared" si="642"/>
        <v>-</v>
      </c>
      <c r="DF385" s="1378"/>
      <c r="DG385" s="1392" t="str">
        <f t="shared" si="643"/>
        <v>Qty</v>
      </c>
      <c r="DH385" s="1393" t="str">
        <f t="shared" si="643"/>
        <v>[Service]</v>
      </c>
      <c r="DI385" s="1393" t="str">
        <f t="shared" si="643"/>
        <v>[Price]</v>
      </c>
      <c r="DJ385" s="1393"/>
      <c r="DK385" s="1401" t="str">
        <f t="shared" si="644"/>
        <v>-</v>
      </c>
      <c r="DL385" s="1395" t="str">
        <f t="shared" si="645"/>
        <v>-</v>
      </c>
      <c r="DM385" s="1395" t="str">
        <f t="shared" si="646"/>
        <v>-</v>
      </c>
      <c r="DN385" s="1397" t="str">
        <f t="shared" si="647"/>
        <v>-</v>
      </c>
      <c r="DO385" s="1395" t="str">
        <f t="shared" si="648"/>
        <v>-</v>
      </c>
      <c r="DP385" s="1395" t="str">
        <f t="shared" si="649"/>
        <v>-</v>
      </c>
      <c r="DQ385" s="1395" t="str">
        <f t="shared" si="650"/>
        <v>-</v>
      </c>
      <c r="DR385" s="1398" t="str">
        <f t="shared" si="651"/>
        <v>-</v>
      </c>
    </row>
    <row r="386" spans="4:122" ht="12.75" thickBot="1">
      <c r="E386" s="743" t="s">
        <v>46</v>
      </c>
      <c r="F386" s="732" t="str">
        <f>+F384</f>
        <v>[Service]</v>
      </c>
      <c r="G386" s="733">
        <f>+G384</f>
        <v>0</v>
      </c>
      <c r="H386" s="733">
        <f>+H384</f>
        <v>0</v>
      </c>
      <c r="I386" s="734" t="str">
        <f>+I384</f>
        <v>[Price]</v>
      </c>
      <c r="J386" s="735" t="s">
        <v>344</v>
      </c>
      <c r="K386" s="736">
        <f t="shared" ref="K386:AG386" si="752">K384*K385/10^6</f>
        <v>0</v>
      </c>
      <c r="L386" s="737">
        <f t="shared" si="752"/>
        <v>0</v>
      </c>
      <c r="M386" s="737">
        <f t="shared" si="752"/>
        <v>0</v>
      </c>
      <c r="N386" s="738">
        <f t="shared" si="752"/>
        <v>0</v>
      </c>
      <c r="O386" s="1923">
        <f t="shared" si="752"/>
        <v>0</v>
      </c>
      <c r="P386" s="737">
        <f t="shared" si="752"/>
        <v>0</v>
      </c>
      <c r="Q386" s="737">
        <f t="shared" si="752"/>
        <v>0</v>
      </c>
      <c r="R386" s="737">
        <f t="shared" si="752"/>
        <v>0</v>
      </c>
      <c r="S386" s="737">
        <f t="shared" si="752"/>
        <v>0</v>
      </c>
      <c r="T386" s="737">
        <f t="shared" si="752"/>
        <v>0</v>
      </c>
      <c r="U386" s="737">
        <f t="shared" si="752"/>
        <v>0</v>
      </c>
      <c r="V386" s="737">
        <f t="shared" si="752"/>
        <v>0</v>
      </c>
      <c r="W386" s="737">
        <f t="shared" si="752"/>
        <v>0</v>
      </c>
      <c r="X386" s="738">
        <f t="shared" si="752"/>
        <v>0</v>
      </c>
      <c r="Y386" s="737">
        <f t="shared" si="752"/>
        <v>0</v>
      </c>
      <c r="Z386" s="737">
        <f t="shared" si="752"/>
        <v>0</v>
      </c>
      <c r="AA386" s="737">
        <f t="shared" si="752"/>
        <v>0</v>
      </c>
      <c r="AB386" s="737">
        <f t="shared" si="752"/>
        <v>0</v>
      </c>
      <c r="AC386" s="738">
        <f t="shared" si="752"/>
        <v>0</v>
      </c>
      <c r="AD386" s="737">
        <f t="shared" si="752"/>
        <v>0</v>
      </c>
      <c r="AE386" s="737">
        <f t="shared" si="752"/>
        <v>0</v>
      </c>
      <c r="AF386" s="737">
        <f t="shared" si="752"/>
        <v>0</v>
      </c>
      <c r="AG386" s="739">
        <f t="shared" si="752"/>
        <v>0</v>
      </c>
      <c r="AH386" s="697"/>
      <c r="AI386" s="707"/>
      <c r="AJ386" s="709">
        <f t="shared" si="655"/>
        <v>0</v>
      </c>
      <c r="AK386" s="710">
        <f t="shared" si="656"/>
        <v>0</v>
      </c>
      <c r="AL386" s="710">
        <f t="shared" si="657"/>
        <v>0</v>
      </c>
      <c r="AM386" s="710">
        <f t="shared" si="658"/>
        <v>0</v>
      </c>
      <c r="AN386" s="710">
        <f t="shared" si="659"/>
        <v>0</v>
      </c>
      <c r="AO386" s="711">
        <f t="shared" si="660"/>
        <v>0</v>
      </c>
      <c r="AP386" s="707">
        <f t="shared" si="661"/>
        <v>0</v>
      </c>
      <c r="AQ386" s="707">
        <f t="shared" si="662"/>
        <v>0</v>
      </c>
      <c r="AR386" s="707">
        <f t="shared" si="663"/>
        <v>0</v>
      </c>
      <c r="AS386" s="712">
        <f t="shared" si="664"/>
        <v>0</v>
      </c>
      <c r="AV386" s="1559"/>
      <c r="AW386" s="1428" t="str">
        <f t="shared" ref="AW386:AX440" si="753">E386</f>
        <v>Rev</v>
      </c>
      <c r="AX386" s="1429" t="str">
        <f t="shared" si="753"/>
        <v>[Service]</v>
      </c>
      <c r="AY386" s="1430" t="str">
        <f t="shared" ref="AY386:AY440" si="754">I386</f>
        <v>[Price]</v>
      </c>
      <c r="AZ386" s="1431" t="str">
        <f t="shared" ref="AZ386:BB401" si="755">IFERROR(P386/O386-1,"-")</f>
        <v>-</v>
      </c>
      <c r="BA386" s="1431" t="str">
        <f t="shared" si="755"/>
        <v>-</v>
      </c>
      <c r="BB386" s="1431" t="str">
        <f t="shared" si="755"/>
        <v>-</v>
      </c>
      <c r="BC386" s="1431" t="str">
        <f t="shared" ref="BC386:BC439" si="756">IFERROR(S386/R386-1,"-")</f>
        <v>-</v>
      </c>
      <c r="BD386" s="1431" t="str">
        <f t="shared" ref="BD386:BD439" si="757">IFERROR(T386/S386-1,"-")</f>
        <v>-</v>
      </c>
      <c r="BE386" s="1431" t="str">
        <f t="shared" ref="BE386:BE439" si="758">IFERROR(U386/T386-1,"-")</f>
        <v>-</v>
      </c>
      <c r="BF386" s="1431" t="str">
        <f t="shared" ref="BF386:BF439" si="759">IFERROR(V386/U386-1,"-")</f>
        <v>-</v>
      </c>
      <c r="BG386" s="1432" t="str">
        <f t="shared" ref="BG386:BG439" si="760">IFERROR(W386/V386-1,"-")</f>
        <v>-</v>
      </c>
      <c r="BH386" s="1431" t="str">
        <f t="shared" ref="BH386:BH439" si="761">IFERROR(X386/W386-1,"-")</f>
        <v>-</v>
      </c>
      <c r="BI386" s="1431" t="str">
        <f t="shared" ref="BI386:BI439" si="762">IFERROR(Y386/X386-1,"-")</f>
        <v>-</v>
      </c>
      <c r="BJ386" s="1431" t="str">
        <f t="shared" ref="BJ386:BJ439" si="763">IFERROR(Z386/Y386-1,"-")</f>
        <v>-</v>
      </c>
      <c r="BK386" s="1431" t="str">
        <f t="shared" ref="BK386:BK439" si="764">IFERROR(AA386/Z386-1,"-")</f>
        <v>-</v>
      </c>
      <c r="BL386" s="1433" t="str">
        <f t="shared" ref="BL386:BL439" si="765">IFERROR(AB386/AA386-1,"-")</f>
        <v>-</v>
      </c>
      <c r="BM386" s="1431" t="str">
        <f t="shared" ref="BM386:BM439" si="766">IFERROR(AC386/AB386-1,"-")</f>
        <v>-</v>
      </c>
      <c r="BN386" s="1431" t="str">
        <f t="shared" ref="BN386:BN439" si="767">IFERROR(AD386/AC386-1,"-")</f>
        <v>-</v>
      </c>
      <c r="BO386" s="1431" t="str">
        <f t="shared" ref="BO386:BO439" si="768">IFERROR(AE386/AD386-1,"-")</f>
        <v>-</v>
      </c>
      <c r="BP386" s="1431" t="str">
        <f t="shared" ref="BP386:BP439" si="769">IFERROR(AF386/AE386-1,"-")</f>
        <v>-</v>
      </c>
      <c r="BQ386" s="1434" t="str">
        <f t="shared" ref="BQ386:BQ439" si="770">IFERROR(AG386/AF386-1,"-")</f>
        <v>-</v>
      </c>
      <c r="BR386" s="1378"/>
      <c r="BS386" s="1407"/>
      <c r="BT386" s="1408"/>
      <c r="BU386" s="1409"/>
      <c r="BV386" s="1410"/>
      <c r="BW386" s="1378"/>
      <c r="BX386" s="1428" t="str">
        <f t="shared" ref="BX386:BX440" si="771">AW386</f>
        <v>Rev</v>
      </c>
      <c r="BY386" s="1429" t="str">
        <f t="shared" ref="BY386:BY440" si="772">AX386</f>
        <v>[Service]</v>
      </c>
      <c r="BZ386" s="1430" t="str">
        <f t="shared" ref="BZ386:BZ440" si="773">AY386</f>
        <v>[Price]</v>
      </c>
      <c r="CA386" s="1435" t="str">
        <f t="shared" ref="CA386:CR386" si="774">IFERROR((P386/O386-1)*(O386/O$13),"-")</f>
        <v>-</v>
      </c>
      <c r="CB386" s="1431" t="str">
        <f t="shared" si="774"/>
        <v>-</v>
      </c>
      <c r="CC386" s="1431" t="str">
        <f t="shared" si="774"/>
        <v>-</v>
      </c>
      <c r="CD386" s="1431" t="str">
        <f t="shared" si="774"/>
        <v>-</v>
      </c>
      <c r="CE386" s="1431" t="str">
        <f t="shared" si="774"/>
        <v>-</v>
      </c>
      <c r="CF386" s="1431" t="str">
        <f t="shared" si="774"/>
        <v>-</v>
      </c>
      <c r="CG386" s="1431" t="str">
        <f t="shared" si="774"/>
        <v>-</v>
      </c>
      <c r="CH386" s="1433" t="str">
        <f t="shared" si="774"/>
        <v>-</v>
      </c>
      <c r="CI386" s="1431" t="str">
        <f t="shared" si="774"/>
        <v>-</v>
      </c>
      <c r="CJ386" s="1431" t="str">
        <f t="shared" si="774"/>
        <v>-</v>
      </c>
      <c r="CK386" s="1431" t="str">
        <f t="shared" si="774"/>
        <v>-</v>
      </c>
      <c r="CL386" s="1431" t="str">
        <f t="shared" si="774"/>
        <v>-</v>
      </c>
      <c r="CM386" s="1433" t="str">
        <f t="shared" si="774"/>
        <v>-</v>
      </c>
      <c r="CN386" s="1431" t="str">
        <f t="shared" si="774"/>
        <v>-</v>
      </c>
      <c r="CO386" s="1431" t="str">
        <f t="shared" si="774"/>
        <v>-</v>
      </c>
      <c r="CP386" s="1431" t="str">
        <f t="shared" si="774"/>
        <v>-</v>
      </c>
      <c r="CQ386" s="1431" t="str">
        <f t="shared" si="774"/>
        <v>-</v>
      </c>
      <c r="CR386" s="1434" t="str">
        <f t="shared" si="774"/>
        <v>-</v>
      </c>
      <c r="CS386" s="1378"/>
      <c r="CT386" s="1428" t="str">
        <f t="shared" si="749"/>
        <v>Rev</v>
      </c>
      <c r="CU386" s="1429" t="str">
        <f t="shared" si="750"/>
        <v>[Service]</v>
      </c>
      <c r="CV386" s="1429" t="str">
        <f t="shared" si="751"/>
        <v>[Price]</v>
      </c>
      <c r="CW386" s="1435" t="str">
        <f t="shared" ref="CW386:CW440" si="775">IFERROR((Y386/$W386)^(1/CW$61)-1,"-")</f>
        <v>-</v>
      </c>
      <c r="CX386" s="1431" t="str">
        <f t="shared" ref="CX386:CX440" si="776">IFERROR((Z386/$W386)^(1/CX$61)-1,"-")</f>
        <v>-</v>
      </c>
      <c r="CY386" s="1431" t="str">
        <f t="shared" ref="CY386:CY440" si="777">IFERROR((AA386/$W386)^(1/CY$61)-1,"-")</f>
        <v>-</v>
      </c>
      <c r="CZ386" s="1434" t="str">
        <f t="shared" ref="CZ386:CZ440" si="778">IFERROR((AB386/$W386)^(1/CZ$61)-1,"-")</f>
        <v>-</v>
      </c>
      <c r="DA386" s="1431" t="str">
        <f t="shared" ref="DA386:DA440" si="779">IFERROR((AC386/$W386)^(1/DA$61)-1,"-")</f>
        <v>-</v>
      </c>
      <c r="DB386" s="1431" t="str">
        <f t="shared" ref="DB386:DB440" si="780">IFERROR((AD386/$W386)^(1/DB$61)-1,"-")</f>
        <v>-</v>
      </c>
      <c r="DC386" s="1431" t="str">
        <f t="shared" ref="DC386:DC440" si="781">IFERROR((AE386/$W386)^(1/DC$61)-1,"-")</f>
        <v>-</v>
      </c>
      <c r="DD386" s="1431" t="str">
        <f t="shared" ref="DD386:DD440" si="782">IFERROR((AF386/$W386)^(1/DD$61)-1,"-")</f>
        <v>-</v>
      </c>
      <c r="DE386" s="1434" t="str">
        <f t="shared" ref="DE386:DE440" si="783">IFERROR((AG386/$W386)^(1/DE$61)-1,"-")</f>
        <v>-</v>
      </c>
      <c r="DF386" s="1378"/>
      <c r="DG386" s="1428" t="str">
        <f t="shared" ref="DG386:DI440" si="784">CT386</f>
        <v>Rev</v>
      </c>
      <c r="DH386" s="1429" t="str">
        <f t="shared" si="784"/>
        <v>[Service]</v>
      </c>
      <c r="DI386" s="1429" t="str">
        <f t="shared" si="784"/>
        <v>[Price]</v>
      </c>
      <c r="DJ386" s="1429"/>
      <c r="DK386" s="1435" t="str">
        <f t="shared" ref="DK386:DK440" si="785">IFERROR((Z386/$X386)^(1/DK$61)-1,"-")</f>
        <v>-</v>
      </c>
      <c r="DL386" s="1431" t="str">
        <f t="shared" ref="DL386:DL440" si="786">IFERROR((AA386/$X386)^(1/DL$61)-1,"-")</f>
        <v>-</v>
      </c>
      <c r="DM386" s="1431" t="str">
        <f t="shared" ref="DM386:DM440" si="787">IFERROR((AB386/$X386)^(1/DM$61)-1,"-")</f>
        <v>-</v>
      </c>
      <c r="DN386" s="1433" t="str">
        <f t="shared" ref="DN386:DN440" si="788">IFERROR((AC386/$X386)^(1/DN$61)-1,"-")</f>
        <v>-</v>
      </c>
      <c r="DO386" s="1431" t="str">
        <f t="shared" ref="DO386:DO440" si="789">IFERROR((AD386/$X386)^(1/DO$61)-1,"-")</f>
        <v>-</v>
      </c>
      <c r="DP386" s="1431" t="str">
        <f t="shared" ref="DP386:DP440" si="790">IFERROR((AE386/$X386)^(1/DP$61)-1,"-")</f>
        <v>-</v>
      </c>
      <c r="DQ386" s="1431" t="str">
        <f t="shared" ref="DQ386:DQ440" si="791">IFERROR((AF386/$X386)^(1/DQ$61)-1,"-")</f>
        <v>-</v>
      </c>
      <c r="DR386" s="1434" t="str">
        <f t="shared" ref="DR386:DR440" si="792">IFERROR((AG386/$X386)^(1/DR$61)-1,"-")</f>
        <v>-</v>
      </c>
    </row>
    <row r="387" spans="4:122">
      <c r="D387" s="70">
        <f>D384+1</f>
        <v>108</v>
      </c>
      <c r="E387" s="713" t="s">
        <v>44</v>
      </c>
      <c r="F387" s="1532" t="s">
        <v>27</v>
      </c>
      <c r="G387" s="1532"/>
      <c r="H387" s="1532"/>
      <c r="I387" s="781" t="s">
        <v>318</v>
      </c>
      <c r="J387" s="781" t="s">
        <v>345</v>
      </c>
      <c r="K387" s="1533"/>
      <c r="L387" s="1534"/>
      <c r="M387" s="1534"/>
      <c r="N387" s="1535"/>
      <c r="O387" s="2071"/>
      <c r="P387" s="1547"/>
      <c r="Q387" s="1547"/>
      <c r="R387" s="1547"/>
      <c r="S387" s="1547"/>
      <c r="T387" s="1547"/>
      <c r="U387" s="1547"/>
      <c r="V387" s="1547"/>
      <c r="W387" s="1547"/>
      <c r="X387" s="1548"/>
      <c r="Y387" s="1547"/>
      <c r="Z387" s="1547"/>
      <c r="AA387" s="1547"/>
      <c r="AB387" s="1547"/>
      <c r="AC387" s="1548"/>
      <c r="AD387" s="1547"/>
      <c r="AE387" s="1547"/>
      <c r="AF387" s="1547"/>
      <c r="AG387" s="785"/>
      <c r="AH387" s="697"/>
      <c r="AI387" s="707"/>
      <c r="AJ387" s="709">
        <f t="shared" si="655"/>
        <v>0</v>
      </c>
      <c r="AK387" s="710">
        <f t="shared" si="656"/>
        <v>0</v>
      </c>
      <c r="AL387" s="710">
        <f t="shared" si="657"/>
        <v>0</v>
      </c>
      <c r="AM387" s="710">
        <f t="shared" si="658"/>
        <v>0</v>
      </c>
      <c r="AN387" s="710">
        <f t="shared" si="659"/>
        <v>0</v>
      </c>
      <c r="AO387" s="711">
        <f t="shared" si="660"/>
        <v>0</v>
      </c>
      <c r="AP387" s="707">
        <f t="shared" si="661"/>
        <v>0</v>
      </c>
      <c r="AQ387" s="707">
        <f t="shared" si="662"/>
        <v>0</v>
      </c>
      <c r="AR387" s="707">
        <f t="shared" si="663"/>
        <v>0</v>
      </c>
      <c r="AS387" s="712">
        <f t="shared" si="664"/>
        <v>0</v>
      </c>
      <c r="AU387" s="1369"/>
      <c r="AV387" s="1559"/>
      <c r="AW387" s="1412" t="str">
        <f t="shared" si="753"/>
        <v>Price</v>
      </c>
      <c r="AX387" s="1413" t="str">
        <f t="shared" si="753"/>
        <v>[Service]</v>
      </c>
      <c r="AY387" s="1414" t="str">
        <f t="shared" si="754"/>
        <v>[Price]</v>
      </c>
      <c r="AZ387" s="1415" t="str">
        <f t="shared" si="755"/>
        <v>-</v>
      </c>
      <c r="BA387" s="1415" t="str">
        <f t="shared" si="755"/>
        <v>-</v>
      </c>
      <c r="BB387" s="1415" t="str">
        <f t="shared" si="755"/>
        <v>-</v>
      </c>
      <c r="BC387" s="1415" t="str">
        <f t="shared" si="756"/>
        <v>-</v>
      </c>
      <c r="BD387" s="1415" t="str">
        <f t="shared" si="757"/>
        <v>-</v>
      </c>
      <c r="BE387" s="1415" t="str">
        <f t="shared" si="758"/>
        <v>-</v>
      </c>
      <c r="BF387" s="1415" t="str">
        <f t="shared" si="759"/>
        <v>-</v>
      </c>
      <c r="BG387" s="1416" t="str">
        <f t="shared" si="760"/>
        <v>-</v>
      </c>
      <c r="BH387" s="1417" t="str">
        <f t="shared" si="761"/>
        <v>-</v>
      </c>
      <c r="BI387" s="1417" t="str">
        <f t="shared" si="762"/>
        <v>-</v>
      </c>
      <c r="BJ387" s="1417" t="str">
        <f t="shared" si="763"/>
        <v>-</v>
      </c>
      <c r="BK387" s="1417" t="str">
        <f t="shared" si="764"/>
        <v>-</v>
      </c>
      <c r="BL387" s="1418" t="str">
        <f t="shared" si="765"/>
        <v>-</v>
      </c>
      <c r="BM387" s="1417" t="str">
        <f t="shared" si="766"/>
        <v>-</v>
      </c>
      <c r="BN387" s="1417" t="str">
        <f t="shared" si="767"/>
        <v>-</v>
      </c>
      <c r="BO387" s="1417" t="str">
        <f t="shared" si="768"/>
        <v>-</v>
      </c>
      <c r="BP387" s="1417" t="str">
        <f t="shared" si="769"/>
        <v>-</v>
      </c>
      <c r="BQ387" s="1419" t="str">
        <f t="shared" si="770"/>
        <v>-</v>
      </c>
      <c r="BR387" s="1378"/>
      <c r="BS387" s="1420"/>
      <c r="BT387" s="1421"/>
      <c r="BU387" s="1422"/>
      <c r="BV387" s="1423"/>
      <c r="BW387" s="1378"/>
      <c r="BX387" s="1412" t="str">
        <f t="shared" si="771"/>
        <v>Price</v>
      </c>
      <c r="BY387" s="1413" t="str">
        <f t="shared" si="772"/>
        <v>[Service]</v>
      </c>
      <c r="BZ387" s="1414" t="str">
        <f t="shared" si="773"/>
        <v>[Price]</v>
      </c>
      <c r="CA387" s="1424" t="str">
        <f t="shared" ref="CA387:CR387" si="793">IFERROR((P387/O387-1)*(O389/O$13),"-")</f>
        <v>-</v>
      </c>
      <c r="CB387" s="1415" t="str">
        <f t="shared" si="793"/>
        <v>-</v>
      </c>
      <c r="CC387" s="1415" t="str">
        <f t="shared" si="793"/>
        <v>-</v>
      </c>
      <c r="CD387" s="1415" t="str">
        <f t="shared" si="793"/>
        <v>-</v>
      </c>
      <c r="CE387" s="1415" t="str">
        <f t="shared" si="793"/>
        <v>-</v>
      </c>
      <c r="CF387" s="1415" t="str">
        <f t="shared" si="793"/>
        <v>-</v>
      </c>
      <c r="CG387" s="1415" t="str">
        <f t="shared" si="793"/>
        <v>-</v>
      </c>
      <c r="CH387" s="1425" t="str">
        <f t="shared" si="793"/>
        <v>-</v>
      </c>
      <c r="CI387" s="1417" t="str">
        <f t="shared" si="793"/>
        <v>-</v>
      </c>
      <c r="CJ387" s="1417" t="str">
        <f t="shared" si="793"/>
        <v>-</v>
      </c>
      <c r="CK387" s="1417" t="str">
        <f t="shared" si="793"/>
        <v>-</v>
      </c>
      <c r="CL387" s="1417" t="str">
        <f t="shared" si="793"/>
        <v>-</v>
      </c>
      <c r="CM387" s="1418" t="str">
        <f t="shared" si="793"/>
        <v>-</v>
      </c>
      <c r="CN387" s="1417" t="str">
        <f t="shared" si="793"/>
        <v>-</v>
      </c>
      <c r="CO387" s="1417" t="str">
        <f t="shared" si="793"/>
        <v>-</v>
      </c>
      <c r="CP387" s="1417" t="str">
        <f t="shared" si="793"/>
        <v>-</v>
      </c>
      <c r="CQ387" s="1417" t="str">
        <f t="shared" si="793"/>
        <v>-</v>
      </c>
      <c r="CR387" s="1419" t="str">
        <f t="shared" si="793"/>
        <v>-</v>
      </c>
      <c r="CS387" s="1378"/>
      <c r="CT387" s="1412" t="str">
        <f t="shared" si="749"/>
        <v>Price</v>
      </c>
      <c r="CU387" s="1413" t="str">
        <f t="shared" si="750"/>
        <v>[Service]</v>
      </c>
      <c r="CV387" s="1426" t="str">
        <f t="shared" si="751"/>
        <v>[Price]</v>
      </c>
      <c r="CW387" s="1427" t="str">
        <f t="shared" si="775"/>
        <v>-</v>
      </c>
      <c r="CX387" s="1417" t="str">
        <f t="shared" si="776"/>
        <v>-</v>
      </c>
      <c r="CY387" s="1417" t="str">
        <f t="shared" si="777"/>
        <v>-</v>
      </c>
      <c r="CZ387" s="1419" t="str">
        <f t="shared" si="778"/>
        <v>-</v>
      </c>
      <c r="DA387" s="1417" t="str">
        <f t="shared" si="779"/>
        <v>-</v>
      </c>
      <c r="DB387" s="1417" t="str">
        <f t="shared" si="780"/>
        <v>-</v>
      </c>
      <c r="DC387" s="1417" t="str">
        <f t="shared" si="781"/>
        <v>-</v>
      </c>
      <c r="DD387" s="1417" t="str">
        <f t="shared" si="782"/>
        <v>-</v>
      </c>
      <c r="DE387" s="1419" t="str">
        <f t="shared" si="783"/>
        <v>-</v>
      </c>
      <c r="DF387" s="1378"/>
      <c r="DG387" s="1412" t="str">
        <f t="shared" si="784"/>
        <v>Price</v>
      </c>
      <c r="DH387" s="1413" t="str">
        <f t="shared" si="784"/>
        <v>[Service]</v>
      </c>
      <c r="DI387" s="1426" t="str">
        <f t="shared" si="784"/>
        <v>[Price]</v>
      </c>
      <c r="DJ387" s="1426"/>
      <c r="DK387" s="1427" t="str">
        <f t="shared" si="785"/>
        <v>-</v>
      </c>
      <c r="DL387" s="1417" t="str">
        <f t="shared" si="786"/>
        <v>-</v>
      </c>
      <c r="DM387" s="1417" t="str">
        <f t="shared" si="787"/>
        <v>-</v>
      </c>
      <c r="DN387" s="1418" t="str">
        <f t="shared" si="788"/>
        <v>-</v>
      </c>
      <c r="DO387" s="1417" t="str">
        <f t="shared" si="789"/>
        <v>-</v>
      </c>
      <c r="DP387" s="1417" t="str">
        <f t="shared" si="790"/>
        <v>-</v>
      </c>
      <c r="DQ387" s="1417" t="str">
        <f t="shared" si="791"/>
        <v>-</v>
      </c>
      <c r="DR387" s="1419" t="str">
        <f t="shared" si="792"/>
        <v>-</v>
      </c>
    </row>
    <row r="388" spans="4:122">
      <c r="E388" s="742" t="s">
        <v>45</v>
      </c>
      <c r="F388" s="722" t="str">
        <f>+F387</f>
        <v>[Service]</v>
      </c>
      <c r="G388" s="723">
        <f>+G387</f>
        <v>0</v>
      </c>
      <c r="H388" s="723">
        <f>+H387</f>
        <v>0</v>
      </c>
      <c r="I388" s="724" t="str">
        <f>+I387</f>
        <v>[Price]</v>
      </c>
      <c r="J388" s="782" t="s">
        <v>322</v>
      </c>
      <c r="K388" s="1540"/>
      <c r="L388" s="1541"/>
      <c r="M388" s="1541"/>
      <c r="N388" s="1542"/>
      <c r="O388" s="2031"/>
      <c r="P388" s="1543"/>
      <c r="Q388" s="1543"/>
      <c r="R388" s="1543"/>
      <c r="S388" s="1543"/>
      <c r="T388" s="1543"/>
      <c r="U388" s="1543"/>
      <c r="V388" s="1543"/>
      <c r="W388" s="1543"/>
      <c r="X388" s="1544"/>
      <c r="Y388" s="1543"/>
      <c r="Z388" s="1543"/>
      <c r="AA388" s="1543"/>
      <c r="AB388" s="1543"/>
      <c r="AC388" s="1544"/>
      <c r="AD388" s="1543"/>
      <c r="AE388" s="1543"/>
      <c r="AF388" s="1543"/>
      <c r="AG388" s="788"/>
      <c r="AH388" s="697"/>
      <c r="AI388" s="707"/>
      <c r="AJ388" s="709">
        <f t="shared" si="655"/>
        <v>0</v>
      </c>
      <c r="AK388" s="710">
        <f t="shared" si="656"/>
        <v>0</v>
      </c>
      <c r="AL388" s="710">
        <f t="shared" si="657"/>
        <v>0</v>
      </c>
      <c r="AM388" s="710">
        <f t="shared" si="658"/>
        <v>0</v>
      </c>
      <c r="AN388" s="710">
        <f t="shared" si="659"/>
        <v>0</v>
      </c>
      <c r="AO388" s="711">
        <f t="shared" si="660"/>
        <v>0</v>
      </c>
      <c r="AP388" s="707">
        <f t="shared" si="661"/>
        <v>0</v>
      </c>
      <c r="AQ388" s="707">
        <f t="shared" si="662"/>
        <v>0</v>
      </c>
      <c r="AR388" s="707">
        <f t="shared" si="663"/>
        <v>0</v>
      </c>
      <c r="AS388" s="712">
        <f t="shared" si="664"/>
        <v>0</v>
      </c>
      <c r="AV388" s="1559"/>
      <c r="AW388" s="1392" t="str">
        <f t="shared" si="753"/>
        <v>Qty</v>
      </c>
      <c r="AX388" s="1393" t="str">
        <f t="shared" si="753"/>
        <v>[Service]</v>
      </c>
      <c r="AY388" s="1394" t="str">
        <f t="shared" si="754"/>
        <v>[Price]</v>
      </c>
      <c r="AZ388" s="1395" t="str">
        <f t="shared" si="755"/>
        <v>-</v>
      </c>
      <c r="BA388" s="1395" t="str">
        <f t="shared" si="755"/>
        <v>-</v>
      </c>
      <c r="BB388" s="1395" t="str">
        <f t="shared" si="755"/>
        <v>-</v>
      </c>
      <c r="BC388" s="1395" t="str">
        <f t="shared" si="756"/>
        <v>-</v>
      </c>
      <c r="BD388" s="1395" t="str">
        <f t="shared" si="757"/>
        <v>-</v>
      </c>
      <c r="BE388" s="1395" t="str">
        <f t="shared" si="758"/>
        <v>-</v>
      </c>
      <c r="BF388" s="1395" t="str">
        <f t="shared" si="759"/>
        <v>-</v>
      </c>
      <c r="BG388" s="1396" t="str">
        <f t="shared" si="760"/>
        <v>-</v>
      </c>
      <c r="BH388" s="1395" t="str">
        <f t="shared" si="761"/>
        <v>-</v>
      </c>
      <c r="BI388" s="1395" t="str">
        <f t="shared" si="762"/>
        <v>-</v>
      </c>
      <c r="BJ388" s="1395" t="str">
        <f t="shared" si="763"/>
        <v>-</v>
      </c>
      <c r="BK388" s="1395" t="str">
        <f t="shared" si="764"/>
        <v>-</v>
      </c>
      <c r="BL388" s="1397" t="str">
        <f t="shared" si="765"/>
        <v>-</v>
      </c>
      <c r="BM388" s="1395" t="str">
        <f t="shared" si="766"/>
        <v>-</v>
      </c>
      <c r="BN388" s="1395" t="str">
        <f t="shared" si="767"/>
        <v>-</v>
      </c>
      <c r="BO388" s="1395" t="str">
        <f t="shared" si="768"/>
        <v>-</v>
      </c>
      <c r="BP388" s="1395" t="str">
        <f t="shared" si="769"/>
        <v>-</v>
      </c>
      <c r="BQ388" s="1398" t="str">
        <f t="shared" si="770"/>
        <v>-</v>
      </c>
      <c r="BR388" s="1378"/>
      <c r="BS388" s="1329"/>
      <c r="BT388" s="1399"/>
      <c r="BU388" s="1331"/>
      <c r="BV388" s="1400"/>
      <c r="BW388" s="1378"/>
      <c r="BX388" s="1392" t="str">
        <f t="shared" si="771"/>
        <v>Qty</v>
      </c>
      <c r="BY388" s="1393" t="str">
        <f t="shared" si="772"/>
        <v>[Service]</v>
      </c>
      <c r="BZ388" s="1394" t="str">
        <f t="shared" si="773"/>
        <v>[Price]</v>
      </c>
      <c r="CA388" s="1401" t="str">
        <f t="shared" ref="CA388:CR388" si="794">IFERROR((P388/O388-1)*(O389/O$13),"-")</f>
        <v>-</v>
      </c>
      <c r="CB388" s="1395" t="str">
        <f t="shared" si="794"/>
        <v>-</v>
      </c>
      <c r="CC388" s="1395" t="str">
        <f t="shared" si="794"/>
        <v>-</v>
      </c>
      <c r="CD388" s="1395" t="str">
        <f t="shared" si="794"/>
        <v>-</v>
      </c>
      <c r="CE388" s="1395" t="str">
        <f t="shared" si="794"/>
        <v>-</v>
      </c>
      <c r="CF388" s="1395" t="str">
        <f t="shared" si="794"/>
        <v>-</v>
      </c>
      <c r="CG388" s="1395" t="str">
        <f t="shared" si="794"/>
        <v>-</v>
      </c>
      <c r="CH388" s="1397" t="str">
        <f t="shared" si="794"/>
        <v>-</v>
      </c>
      <c r="CI388" s="1395" t="str">
        <f t="shared" si="794"/>
        <v>-</v>
      </c>
      <c r="CJ388" s="1395" t="str">
        <f t="shared" si="794"/>
        <v>-</v>
      </c>
      <c r="CK388" s="1395" t="str">
        <f t="shared" si="794"/>
        <v>-</v>
      </c>
      <c r="CL388" s="1395" t="str">
        <f t="shared" si="794"/>
        <v>-</v>
      </c>
      <c r="CM388" s="1397" t="str">
        <f t="shared" si="794"/>
        <v>-</v>
      </c>
      <c r="CN388" s="1395" t="str">
        <f t="shared" si="794"/>
        <v>-</v>
      </c>
      <c r="CO388" s="1395" t="str">
        <f t="shared" si="794"/>
        <v>-</v>
      </c>
      <c r="CP388" s="1395" t="str">
        <f t="shared" si="794"/>
        <v>-</v>
      </c>
      <c r="CQ388" s="1395" t="str">
        <f t="shared" si="794"/>
        <v>-</v>
      </c>
      <c r="CR388" s="1398" t="str">
        <f t="shared" si="794"/>
        <v>-</v>
      </c>
      <c r="CS388" s="1378"/>
      <c r="CT388" s="1392" t="str">
        <f t="shared" si="749"/>
        <v>Qty</v>
      </c>
      <c r="CU388" s="1393" t="str">
        <f t="shared" si="750"/>
        <v>[Service]</v>
      </c>
      <c r="CV388" s="1393" t="str">
        <f t="shared" si="751"/>
        <v>[Price]</v>
      </c>
      <c r="CW388" s="1401" t="str">
        <f t="shared" si="775"/>
        <v>-</v>
      </c>
      <c r="CX388" s="1395" t="str">
        <f t="shared" si="776"/>
        <v>-</v>
      </c>
      <c r="CY388" s="1395" t="str">
        <f t="shared" si="777"/>
        <v>-</v>
      </c>
      <c r="CZ388" s="1398" t="str">
        <f t="shared" si="778"/>
        <v>-</v>
      </c>
      <c r="DA388" s="1395" t="str">
        <f t="shared" si="779"/>
        <v>-</v>
      </c>
      <c r="DB388" s="1395" t="str">
        <f t="shared" si="780"/>
        <v>-</v>
      </c>
      <c r="DC388" s="1395" t="str">
        <f t="shared" si="781"/>
        <v>-</v>
      </c>
      <c r="DD388" s="1395" t="str">
        <f t="shared" si="782"/>
        <v>-</v>
      </c>
      <c r="DE388" s="1398" t="str">
        <f t="shared" si="783"/>
        <v>-</v>
      </c>
      <c r="DF388" s="1378"/>
      <c r="DG388" s="1392" t="str">
        <f t="shared" si="784"/>
        <v>Qty</v>
      </c>
      <c r="DH388" s="1393" t="str">
        <f t="shared" si="784"/>
        <v>[Service]</v>
      </c>
      <c r="DI388" s="1393" t="str">
        <f t="shared" si="784"/>
        <v>[Price]</v>
      </c>
      <c r="DJ388" s="1393"/>
      <c r="DK388" s="1401" t="str">
        <f t="shared" si="785"/>
        <v>-</v>
      </c>
      <c r="DL388" s="1395" t="str">
        <f t="shared" si="786"/>
        <v>-</v>
      </c>
      <c r="DM388" s="1395" t="str">
        <f t="shared" si="787"/>
        <v>-</v>
      </c>
      <c r="DN388" s="1397" t="str">
        <f t="shared" si="788"/>
        <v>-</v>
      </c>
      <c r="DO388" s="1395" t="str">
        <f t="shared" si="789"/>
        <v>-</v>
      </c>
      <c r="DP388" s="1395" t="str">
        <f t="shared" si="790"/>
        <v>-</v>
      </c>
      <c r="DQ388" s="1395" t="str">
        <f t="shared" si="791"/>
        <v>-</v>
      </c>
      <c r="DR388" s="1398" t="str">
        <f t="shared" si="792"/>
        <v>-</v>
      </c>
    </row>
    <row r="389" spans="4:122" ht="12.75" thickBot="1">
      <c r="E389" s="743" t="s">
        <v>46</v>
      </c>
      <c r="F389" s="732" t="str">
        <f>+F387</f>
        <v>[Service]</v>
      </c>
      <c r="G389" s="733">
        <f>+G387</f>
        <v>0</v>
      </c>
      <c r="H389" s="733">
        <f>+H387</f>
        <v>0</v>
      </c>
      <c r="I389" s="734" t="str">
        <f>+I387</f>
        <v>[Price]</v>
      </c>
      <c r="J389" s="735" t="s">
        <v>344</v>
      </c>
      <c r="K389" s="736">
        <f t="shared" ref="K389:AG389" si="795">K387*K388/10^6</f>
        <v>0</v>
      </c>
      <c r="L389" s="737">
        <f t="shared" si="795"/>
        <v>0</v>
      </c>
      <c r="M389" s="737">
        <f t="shared" si="795"/>
        <v>0</v>
      </c>
      <c r="N389" s="738">
        <f t="shared" si="795"/>
        <v>0</v>
      </c>
      <c r="O389" s="1923">
        <f t="shared" si="795"/>
        <v>0</v>
      </c>
      <c r="P389" s="737">
        <f t="shared" si="795"/>
        <v>0</v>
      </c>
      <c r="Q389" s="737">
        <f t="shared" si="795"/>
        <v>0</v>
      </c>
      <c r="R389" s="737">
        <f t="shared" si="795"/>
        <v>0</v>
      </c>
      <c r="S389" s="737">
        <f t="shared" si="795"/>
        <v>0</v>
      </c>
      <c r="T389" s="737">
        <f t="shared" si="795"/>
        <v>0</v>
      </c>
      <c r="U389" s="737">
        <f t="shared" si="795"/>
        <v>0</v>
      </c>
      <c r="V389" s="737">
        <f t="shared" si="795"/>
        <v>0</v>
      </c>
      <c r="W389" s="737">
        <f t="shared" si="795"/>
        <v>0</v>
      </c>
      <c r="X389" s="738">
        <f t="shared" si="795"/>
        <v>0</v>
      </c>
      <c r="Y389" s="737">
        <f t="shared" si="795"/>
        <v>0</v>
      </c>
      <c r="Z389" s="737">
        <f t="shared" si="795"/>
        <v>0</v>
      </c>
      <c r="AA389" s="737">
        <f t="shared" si="795"/>
        <v>0</v>
      </c>
      <c r="AB389" s="737">
        <f t="shared" si="795"/>
        <v>0</v>
      </c>
      <c r="AC389" s="738">
        <f t="shared" si="795"/>
        <v>0</v>
      </c>
      <c r="AD389" s="737">
        <f t="shared" si="795"/>
        <v>0</v>
      </c>
      <c r="AE389" s="737">
        <f t="shared" si="795"/>
        <v>0</v>
      </c>
      <c r="AF389" s="737">
        <f t="shared" si="795"/>
        <v>0</v>
      </c>
      <c r="AG389" s="739">
        <f t="shared" si="795"/>
        <v>0</v>
      </c>
      <c r="AH389" s="697"/>
      <c r="AI389" s="707"/>
      <c r="AJ389" s="709">
        <f t="shared" ref="AJ389:AJ440" si="796">+X389</f>
        <v>0</v>
      </c>
      <c r="AK389" s="710">
        <f t="shared" ref="AK389:AK440" si="797">+Y389</f>
        <v>0</v>
      </c>
      <c r="AL389" s="710">
        <f t="shared" ref="AL389:AL440" si="798">+Z389</f>
        <v>0</v>
      </c>
      <c r="AM389" s="710">
        <f t="shared" ref="AM389:AM440" si="799">+AA389</f>
        <v>0</v>
      </c>
      <c r="AN389" s="710">
        <f t="shared" ref="AN389:AN440" si="800">+AB389</f>
        <v>0</v>
      </c>
      <c r="AO389" s="711">
        <f t="shared" ref="AO389:AO440" si="801">+AC389</f>
        <v>0</v>
      </c>
      <c r="AP389" s="707">
        <f t="shared" ref="AP389:AP440" si="802">+AD389</f>
        <v>0</v>
      </c>
      <c r="AQ389" s="707">
        <f t="shared" ref="AQ389:AQ440" si="803">+AE389</f>
        <v>0</v>
      </c>
      <c r="AR389" s="707">
        <f t="shared" ref="AR389:AR440" si="804">+AF389</f>
        <v>0</v>
      </c>
      <c r="AS389" s="712">
        <f t="shared" ref="AS389:AS440" si="805">+AG389</f>
        <v>0</v>
      </c>
      <c r="AV389" s="1559"/>
      <c r="AW389" s="1428" t="str">
        <f t="shared" si="753"/>
        <v>Rev</v>
      </c>
      <c r="AX389" s="1429" t="str">
        <f t="shared" si="753"/>
        <v>[Service]</v>
      </c>
      <c r="AY389" s="1430" t="str">
        <f t="shared" si="754"/>
        <v>[Price]</v>
      </c>
      <c r="AZ389" s="1431" t="str">
        <f t="shared" si="755"/>
        <v>-</v>
      </c>
      <c r="BA389" s="1431" t="str">
        <f t="shared" si="755"/>
        <v>-</v>
      </c>
      <c r="BB389" s="1431" t="str">
        <f t="shared" si="755"/>
        <v>-</v>
      </c>
      <c r="BC389" s="1431" t="str">
        <f t="shared" si="756"/>
        <v>-</v>
      </c>
      <c r="BD389" s="1431" t="str">
        <f t="shared" si="757"/>
        <v>-</v>
      </c>
      <c r="BE389" s="1431" t="str">
        <f t="shared" si="758"/>
        <v>-</v>
      </c>
      <c r="BF389" s="1431" t="str">
        <f t="shared" si="759"/>
        <v>-</v>
      </c>
      <c r="BG389" s="1432" t="str">
        <f t="shared" si="760"/>
        <v>-</v>
      </c>
      <c r="BH389" s="1431" t="str">
        <f t="shared" si="761"/>
        <v>-</v>
      </c>
      <c r="BI389" s="1431" t="str">
        <f t="shared" si="762"/>
        <v>-</v>
      </c>
      <c r="BJ389" s="1431" t="str">
        <f t="shared" si="763"/>
        <v>-</v>
      </c>
      <c r="BK389" s="1431" t="str">
        <f t="shared" si="764"/>
        <v>-</v>
      </c>
      <c r="BL389" s="1433" t="str">
        <f t="shared" si="765"/>
        <v>-</v>
      </c>
      <c r="BM389" s="1431" t="str">
        <f t="shared" si="766"/>
        <v>-</v>
      </c>
      <c r="BN389" s="1431" t="str">
        <f t="shared" si="767"/>
        <v>-</v>
      </c>
      <c r="BO389" s="1431" t="str">
        <f t="shared" si="768"/>
        <v>-</v>
      </c>
      <c r="BP389" s="1431" t="str">
        <f t="shared" si="769"/>
        <v>-</v>
      </c>
      <c r="BQ389" s="1434" t="str">
        <f t="shared" si="770"/>
        <v>-</v>
      </c>
      <c r="BR389" s="1378"/>
      <c r="BS389" s="1407"/>
      <c r="BT389" s="1408"/>
      <c r="BU389" s="1409"/>
      <c r="BV389" s="1410"/>
      <c r="BW389" s="1378"/>
      <c r="BX389" s="1428" t="str">
        <f t="shared" si="771"/>
        <v>Rev</v>
      </c>
      <c r="BY389" s="1429" t="str">
        <f t="shared" si="772"/>
        <v>[Service]</v>
      </c>
      <c r="BZ389" s="1430" t="str">
        <f t="shared" si="773"/>
        <v>[Price]</v>
      </c>
      <c r="CA389" s="1435" t="str">
        <f t="shared" ref="CA389:CR389" si="806">IFERROR((P389/O389-1)*(O389/O$13),"-")</f>
        <v>-</v>
      </c>
      <c r="CB389" s="1431" t="str">
        <f t="shared" si="806"/>
        <v>-</v>
      </c>
      <c r="CC389" s="1431" t="str">
        <f t="shared" si="806"/>
        <v>-</v>
      </c>
      <c r="CD389" s="1431" t="str">
        <f t="shared" si="806"/>
        <v>-</v>
      </c>
      <c r="CE389" s="1431" t="str">
        <f t="shared" si="806"/>
        <v>-</v>
      </c>
      <c r="CF389" s="1431" t="str">
        <f t="shared" si="806"/>
        <v>-</v>
      </c>
      <c r="CG389" s="1431" t="str">
        <f t="shared" si="806"/>
        <v>-</v>
      </c>
      <c r="CH389" s="1433" t="str">
        <f t="shared" si="806"/>
        <v>-</v>
      </c>
      <c r="CI389" s="1431" t="str">
        <f t="shared" si="806"/>
        <v>-</v>
      </c>
      <c r="CJ389" s="1431" t="str">
        <f t="shared" si="806"/>
        <v>-</v>
      </c>
      <c r="CK389" s="1431" t="str">
        <f t="shared" si="806"/>
        <v>-</v>
      </c>
      <c r="CL389" s="1431" t="str">
        <f t="shared" si="806"/>
        <v>-</v>
      </c>
      <c r="CM389" s="1433" t="str">
        <f t="shared" si="806"/>
        <v>-</v>
      </c>
      <c r="CN389" s="1431" t="str">
        <f t="shared" si="806"/>
        <v>-</v>
      </c>
      <c r="CO389" s="1431" t="str">
        <f t="shared" si="806"/>
        <v>-</v>
      </c>
      <c r="CP389" s="1431" t="str">
        <f t="shared" si="806"/>
        <v>-</v>
      </c>
      <c r="CQ389" s="1431" t="str">
        <f t="shared" si="806"/>
        <v>-</v>
      </c>
      <c r="CR389" s="1434" t="str">
        <f t="shared" si="806"/>
        <v>-</v>
      </c>
      <c r="CS389" s="1378"/>
      <c r="CT389" s="1428" t="str">
        <f t="shared" si="749"/>
        <v>Rev</v>
      </c>
      <c r="CU389" s="1429" t="str">
        <f t="shared" si="750"/>
        <v>[Service]</v>
      </c>
      <c r="CV389" s="1429" t="str">
        <f t="shared" si="751"/>
        <v>[Price]</v>
      </c>
      <c r="CW389" s="1435" t="str">
        <f t="shared" si="775"/>
        <v>-</v>
      </c>
      <c r="CX389" s="1431" t="str">
        <f t="shared" si="776"/>
        <v>-</v>
      </c>
      <c r="CY389" s="1431" t="str">
        <f t="shared" si="777"/>
        <v>-</v>
      </c>
      <c r="CZ389" s="1434" t="str">
        <f t="shared" si="778"/>
        <v>-</v>
      </c>
      <c r="DA389" s="1431" t="str">
        <f t="shared" si="779"/>
        <v>-</v>
      </c>
      <c r="DB389" s="1431" t="str">
        <f t="shared" si="780"/>
        <v>-</v>
      </c>
      <c r="DC389" s="1431" t="str">
        <f t="shared" si="781"/>
        <v>-</v>
      </c>
      <c r="DD389" s="1431" t="str">
        <f t="shared" si="782"/>
        <v>-</v>
      </c>
      <c r="DE389" s="1434" t="str">
        <f t="shared" si="783"/>
        <v>-</v>
      </c>
      <c r="DF389" s="1378"/>
      <c r="DG389" s="1428" t="str">
        <f t="shared" si="784"/>
        <v>Rev</v>
      </c>
      <c r="DH389" s="1429" t="str">
        <f t="shared" si="784"/>
        <v>[Service]</v>
      </c>
      <c r="DI389" s="1429" t="str">
        <f t="shared" si="784"/>
        <v>[Price]</v>
      </c>
      <c r="DJ389" s="1429"/>
      <c r="DK389" s="1435" t="str">
        <f t="shared" si="785"/>
        <v>-</v>
      </c>
      <c r="DL389" s="1431" t="str">
        <f t="shared" si="786"/>
        <v>-</v>
      </c>
      <c r="DM389" s="1431" t="str">
        <f t="shared" si="787"/>
        <v>-</v>
      </c>
      <c r="DN389" s="1433" t="str">
        <f t="shared" si="788"/>
        <v>-</v>
      </c>
      <c r="DO389" s="1431" t="str">
        <f t="shared" si="789"/>
        <v>-</v>
      </c>
      <c r="DP389" s="1431" t="str">
        <f t="shared" si="790"/>
        <v>-</v>
      </c>
      <c r="DQ389" s="1431" t="str">
        <f t="shared" si="791"/>
        <v>-</v>
      </c>
      <c r="DR389" s="1434" t="str">
        <f t="shared" si="792"/>
        <v>-</v>
      </c>
    </row>
    <row r="390" spans="4:122">
      <c r="D390" s="70">
        <f>D387+1</f>
        <v>109</v>
      </c>
      <c r="E390" s="713" t="s">
        <v>44</v>
      </c>
      <c r="F390" s="1532" t="s">
        <v>27</v>
      </c>
      <c r="G390" s="1532"/>
      <c r="H390" s="1532"/>
      <c r="I390" s="781" t="s">
        <v>318</v>
      </c>
      <c r="J390" s="781" t="s">
        <v>345</v>
      </c>
      <c r="K390" s="1533"/>
      <c r="L390" s="1534"/>
      <c r="M390" s="1534"/>
      <c r="N390" s="1535"/>
      <c r="O390" s="2071"/>
      <c r="P390" s="1547"/>
      <c r="Q390" s="1547"/>
      <c r="R390" s="1547"/>
      <c r="S390" s="1547"/>
      <c r="T390" s="1547"/>
      <c r="U390" s="1547"/>
      <c r="V390" s="1547"/>
      <c r="W390" s="1547"/>
      <c r="X390" s="1548"/>
      <c r="Y390" s="1547"/>
      <c r="Z390" s="1547"/>
      <c r="AA390" s="1547"/>
      <c r="AB390" s="1547"/>
      <c r="AC390" s="1548"/>
      <c r="AD390" s="1547"/>
      <c r="AE390" s="1547"/>
      <c r="AF390" s="1547"/>
      <c r="AG390" s="785"/>
      <c r="AH390" s="697"/>
      <c r="AI390" s="707"/>
      <c r="AJ390" s="709">
        <f t="shared" si="796"/>
        <v>0</v>
      </c>
      <c r="AK390" s="710">
        <f t="shared" si="797"/>
        <v>0</v>
      </c>
      <c r="AL390" s="710">
        <f t="shared" si="798"/>
        <v>0</v>
      </c>
      <c r="AM390" s="710">
        <f t="shared" si="799"/>
        <v>0</v>
      </c>
      <c r="AN390" s="710">
        <f t="shared" si="800"/>
        <v>0</v>
      </c>
      <c r="AO390" s="711">
        <f t="shared" si="801"/>
        <v>0</v>
      </c>
      <c r="AP390" s="707">
        <f t="shared" si="802"/>
        <v>0</v>
      </c>
      <c r="AQ390" s="707">
        <f t="shared" si="803"/>
        <v>0</v>
      </c>
      <c r="AR390" s="707">
        <f t="shared" si="804"/>
        <v>0</v>
      </c>
      <c r="AS390" s="712">
        <f t="shared" si="805"/>
        <v>0</v>
      </c>
      <c r="AU390" s="1369"/>
      <c r="AV390" s="1559"/>
      <c r="AW390" s="1412" t="str">
        <f t="shared" si="753"/>
        <v>Price</v>
      </c>
      <c r="AX390" s="1413" t="str">
        <f t="shared" si="753"/>
        <v>[Service]</v>
      </c>
      <c r="AY390" s="1414" t="str">
        <f t="shared" si="754"/>
        <v>[Price]</v>
      </c>
      <c r="AZ390" s="1415" t="str">
        <f t="shared" si="755"/>
        <v>-</v>
      </c>
      <c r="BA390" s="1415" t="str">
        <f t="shared" si="755"/>
        <v>-</v>
      </c>
      <c r="BB390" s="1415" t="str">
        <f t="shared" si="755"/>
        <v>-</v>
      </c>
      <c r="BC390" s="1415" t="str">
        <f t="shared" si="756"/>
        <v>-</v>
      </c>
      <c r="BD390" s="1415" t="str">
        <f t="shared" si="757"/>
        <v>-</v>
      </c>
      <c r="BE390" s="1415" t="str">
        <f t="shared" si="758"/>
        <v>-</v>
      </c>
      <c r="BF390" s="1415" t="str">
        <f t="shared" si="759"/>
        <v>-</v>
      </c>
      <c r="BG390" s="1416" t="str">
        <f t="shared" si="760"/>
        <v>-</v>
      </c>
      <c r="BH390" s="1417" t="str">
        <f t="shared" si="761"/>
        <v>-</v>
      </c>
      <c r="BI390" s="1417" t="str">
        <f t="shared" si="762"/>
        <v>-</v>
      </c>
      <c r="BJ390" s="1417" t="str">
        <f t="shared" si="763"/>
        <v>-</v>
      </c>
      <c r="BK390" s="1417" t="str">
        <f t="shared" si="764"/>
        <v>-</v>
      </c>
      <c r="BL390" s="1418" t="str">
        <f t="shared" si="765"/>
        <v>-</v>
      </c>
      <c r="BM390" s="1417" t="str">
        <f t="shared" si="766"/>
        <v>-</v>
      </c>
      <c r="BN390" s="1417" t="str">
        <f t="shared" si="767"/>
        <v>-</v>
      </c>
      <c r="BO390" s="1417" t="str">
        <f t="shared" si="768"/>
        <v>-</v>
      </c>
      <c r="BP390" s="1417" t="str">
        <f t="shared" si="769"/>
        <v>-</v>
      </c>
      <c r="BQ390" s="1419" t="str">
        <f t="shared" si="770"/>
        <v>-</v>
      </c>
      <c r="BR390" s="1378"/>
      <c r="BS390" s="1420"/>
      <c r="BT390" s="1421"/>
      <c r="BU390" s="1422"/>
      <c r="BV390" s="1423"/>
      <c r="BW390" s="1378"/>
      <c r="BX390" s="1412" t="str">
        <f t="shared" si="771"/>
        <v>Price</v>
      </c>
      <c r="BY390" s="1413" t="str">
        <f t="shared" si="772"/>
        <v>[Service]</v>
      </c>
      <c r="BZ390" s="1414" t="str">
        <f t="shared" si="773"/>
        <v>[Price]</v>
      </c>
      <c r="CA390" s="1424" t="str">
        <f t="shared" ref="CA390:CR390" si="807">IFERROR((P390/O390-1)*(O392/O$13),"-")</f>
        <v>-</v>
      </c>
      <c r="CB390" s="1415" t="str">
        <f t="shared" si="807"/>
        <v>-</v>
      </c>
      <c r="CC390" s="1415" t="str">
        <f t="shared" si="807"/>
        <v>-</v>
      </c>
      <c r="CD390" s="1415" t="str">
        <f t="shared" si="807"/>
        <v>-</v>
      </c>
      <c r="CE390" s="1415" t="str">
        <f t="shared" si="807"/>
        <v>-</v>
      </c>
      <c r="CF390" s="1415" t="str">
        <f t="shared" si="807"/>
        <v>-</v>
      </c>
      <c r="CG390" s="1415" t="str">
        <f t="shared" si="807"/>
        <v>-</v>
      </c>
      <c r="CH390" s="1425" t="str">
        <f t="shared" si="807"/>
        <v>-</v>
      </c>
      <c r="CI390" s="1417" t="str">
        <f t="shared" si="807"/>
        <v>-</v>
      </c>
      <c r="CJ390" s="1417" t="str">
        <f t="shared" si="807"/>
        <v>-</v>
      </c>
      <c r="CK390" s="1417" t="str">
        <f t="shared" si="807"/>
        <v>-</v>
      </c>
      <c r="CL390" s="1417" t="str">
        <f t="shared" si="807"/>
        <v>-</v>
      </c>
      <c r="CM390" s="1418" t="str">
        <f t="shared" si="807"/>
        <v>-</v>
      </c>
      <c r="CN390" s="1417" t="str">
        <f t="shared" si="807"/>
        <v>-</v>
      </c>
      <c r="CO390" s="1417" t="str">
        <f t="shared" si="807"/>
        <v>-</v>
      </c>
      <c r="CP390" s="1417" t="str">
        <f t="shared" si="807"/>
        <v>-</v>
      </c>
      <c r="CQ390" s="1417" t="str">
        <f t="shared" si="807"/>
        <v>-</v>
      </c>
      <c r="CR390" s="1419" t="str">
        <f t="shared" si="807"/>
        <v>-</v>
      </c>
      <c r="CS390" s="1378"/>
      <c r="CT390" s="1412" t="str">
        <f t="shared" si="749"/>
        <v>Price</v>
      </c>
      <c r="CU390" s="1413" t="str">
        <f t="shared" si="750"/>
        <v>[Service]</v>
      </c>
      <c r="CV390" s="1426" t="str">
        <f t="shared" si="751"/>
        <v>[Price]</v>
      </c>
      <c r="CW390" s="1427" t="str">
        <f t="shared" si="775"/>
        <v>-</v>
      </c>
      <c r="CX390" s="1417" t="str">
        <f t="shared" si="776"/>
        <v>-</v>
      </c>
      <c r="CY390" s="1417" t="str">
        <f t="shared" si="777"/>
        <v>-</v>
      </c>
      <c r="CZ390" s="1419" t="str">
        <f t="shared" si="778"/>
        <v>-</v>
      </c>
      <c r="DA390" s="1417" t="str">
        <f t="shared" si="779"/>
        <v>-</v>
      </c>
      <c r="DB390" s="1417" t="str">
        <f t="shared" si="780"/>
        <v>-</v>
      </c>
      <c r="DC390" s="1417" t="str">
        <f t="shared" si="781"/>
        <v>-</v>
      </c>
      <c r="DD390" s="1417" t="str">
        <f t="shared" si="782"/>
        <v>-</v>
      </c>
      <c r="DE390" s="1419" t="str">
        <f t="shared" si="783"/>
        <v>-</v>
      </c>
      <c r="DF390" s="1378"/>
      <c r="DG390" s="1412" t="str">
        <f t="shared" si="784"/>
        <v>Price</v>
      </c>
      <c r="DH390" s="1413" t="str">
        <f t="shared" si="784"/>
        <v>[Service]</v>
      </c>
      <c r="DI390" s="1426" t="str">
        <f t="shared" si="784"/>
        <v>[Price]</v>
      </c>
      <c r="DJ390" s="1426"/>
      <c r="DK390" s="1427" t="str">
        <f t="shared" si="785"/>
        <v>-</v>
      </c>
      <c r="DL390" s="1417" t="str">
        <f t="shared" si="786"/>
        <v>-</v>
      </c>
      <c r="DM390" s="1417" t="str">
        <f t="shared" si="787"/>
        <v>-</v>
      </c>
      <c r="DN390" s="1418" t="str">
        <f t="shared" si="788"/>
        <v>-</v>
      </c>
      <c r="DO390" s="1417" t="str">
        <f t="shared" si="789"/>
        <v>-</v>
      </c>
      <c r="DP390" s="1417" t="str">
        <f t="shared" si="790"/>
        <v>-</v>
      </c>
      <c r="DQ390" s="1417" t="str">
        <f t="shared" si="791"/>
        <v>-</v>
      </c>
      <c r="DR390" s="1419" t="str">
        <f t="shared" si="792"/>
        <v>-</v>
      </c>
    </row>
    <row r="391" spans="4:122">
      <c r="E391" s="742" t="s">
        <v>45</v>
      </c>
      <c r="F391" s="722" t="str">
        <f>+F390</f>
        <v>[Service]</v>
      </c>
      <c r="G391" s="723">
        <f>+G390</f>
        <v>0</v>
      </c>
      <c r="H391" s="723">
        <f>+H390</f>
        <v>0</v>
      </c>
      <c r="I391" s="724" t="str">
        <f>+I390</f>
        <v>[Price]</v>
      </c>
      <c r="J391" s="782" t="s">
        <v>322</v>
      </c>
      <c r="K391" s="1540"/>
      <c r="L391" s="1541"/>
      <c r="M391" s="1541"/>
      <c r="N391" s="1542"/>
      <c r="O391" s="2031"/>
      <c r="P391" s="1543"/>
      <c r="Q391" s="1543"/>
      <c r="R391" s="1543"/>
      <c r="S391" s="1543"/>
      <c r="T391" s="1543"/>
      <c r="U391" s="1543"/>
      <c r="V391" s="1543"/>
      <c r="W391" s="1543"/>
      <c r="X391" s="1544"/>
      <c r="Y391" s="1543"/>
      <c r="Z391" s="1543"/>
      <c r="AA391" s="1543"/>
      <c r="AB391" s="1543"/>
      <c r="AC391" s="1544"/>
      <c r="AD391" s="1543"/>
      <c r="AE391" s="1543"/>
      <c r="AF391" s="1543"/>
      <c r="AG391" s="788"/>
      <c r="AH391" s="697"/>
      <c r="AI391" s="707"/>
      <c r="AJ391" s="709">
        <f t="shared" si="796"/>
        <v>0</v>
      </c>
      <c r="AK391" s="710">
        <f t="shared" si="797"/>
        <v>0</v>
      </c>
      <c r="AL391" s="710">
        <f t="shared" si="798"/>
        <v>0</v>
      </c>
      <c r="AM391" s="710">
        <f t="shared" si="799"/>
        <v>0</v>
      </c>
      <c r="AN391" s="710">
        <f t="shared" si="800"/>
        <v>0</v>
      </c>
      <c r="AO391" s="711">
        <f t="shared" si="801"/>
        <v>0</v>
      </c>
      <c r="AP391" s="707">
        <f t="shared" si="802"/>
        <v>0</v>
      </c>
      <c r="AQ391" s="707">
        <f t="shared" si="803"/>
        <v>0</v>
      </c>
      <c r="AR391" s="707">
        <f t="shared" si="804"/>
        <v>0</v>
      </c>
      <c r="AS391" s="712">
        <f t="shared" si="805"/>
        <v>0</v>
      </c>
      <c r="AV391" s="1559"/>
      <c r="AW391" s="1392" t="str">
        <f t="shared" si="753"/>
        <v>Qty</v>
      </c>
      <c r="AX391" s="1393" t="str">
        <f t="shared" si="753"/>
        <v>[Service]</v>
      </c>
      <c r="AY391" s="1394" t="str">
        <f t="shared" si="754"/>
        <v>[Price]</v>
      </c>
      <c r="AZ391" s="1395" t="str">
        <f t="shared" si="755"/>
        <v>-</v>
      </c>
      <c r="BA391" s="1395" t="str">
        <f t="shared" si="755"/>
        <v>-</v>
      </c>
      <c r="BB391" s="1395" t="str">
        <f t="shared" si="755"/>
        <v>-</v>
      </c>
      <c r="BC391" s="1395" t="str">
        <f t="shared" si="756"/>
        <v>-</v>
      </c>
      <c r="BD391" s="1395" t="str">
        <f t="shared" si="757"/>
        <v>-</v>
      </c>
      <c r="BE391" s="1395" t="str">
        <f t="shared" si="758"/>
        <v>-</v>
      </c>
      <c r="BF391" s="1395" t="str">
        <f t="shared" si="759"/>
        <v>-</v>
      </c>
      <c r="BG391" s="1396" t="str">
        <f t="shared" si="760"/>
        <v>-</v>
      </c>
      <c r="BH391" s="1395" t="str">
        <f t="shared" si="761"/>
        <v>-</v>
      </c>
      <c r="BI391" s="1395" t="str">
        <f t="shared" si="762"/>
        <v>-</v>
      </c>
      <c r="BJ391" s="1395" t="str">
        <f t="shared" si="763"/>
        <v>-</v>
      </c>
      <c r="BK391" s="1395" t="str">
        <f t="shared" si="764"/>
        <v>-</v>
      </c>
      <c r="BL391" s="1397" t="str">
        <f t="shared" si="765"/>
        <v>-</v>
      </c>
      <c r="BM391" s="1395" t="str">
        <f t="shared" si="766"/>
        <v>-</v>
      </c>
      <c r="BN391" s="1395" t="str">
        <f t="shared" si="767"/>
        <v>-</v>
      </c>
      <c r="BO391" s="1395" t="str">
        <f t="shared" si="768"/>
        <v>-</v>
      </c>
      <c r="BP391" s="1395" t="str">
        <f t="shared" si="769"/>
        <v>-</v>
      </c>
      <c r="BQ391" s="1398" t="str">
        <f t="shared" si="770"/>
        <v>-</v>
      </c>
      <c r="BR391" s="1378"/>
      <c r="BS391" s="1329"/>
      <c r="BT391" s="1399"/>
      <c r="BU391" s="1331"/>
      <c r="BV391" s="1400"/>
      <c r="BW391" s="1378"/>
      <c r="BX391" s="1392" t="str">
        <f t="shared" si="771"/>
        <v>Qty</v>
      </c>
      <c r="BY391" s="1393" t="str">
        <f t="shared" si="772"/>
        <v>[Service]</v>
      </c>
      <c r="BZ391" s="1394" t="str">
        <f t="shared" si="773"/>
        <v>[Price]</v>
      </c>
      <c r="CA391" s="1401" t="str">
        <f t="shared" ref="CA391:CR391" si="808">IFERROR((P391/O391-1)*(O392/O$13),"-")</f>
        <v>-</v>
      </c>
      <c r="CB391" s="1395" t="str">
        <f t="shared" si="808"/>
        <v>-</v>
      </c>
      <c r="CC391" s="1395" t="str">
        <f t="shared" si="808"/>
        <v>-</v>
      </c>
      <c r="CD391" s="1395" t="str">
        <f t="shared" si="808"/>
        <v>-</v>
      </c>
      <c r="CE391" s="1395" t="str">
        <f t="shared" si="808"/>
        <v>-</v>
      </c>
      <c r="CF391" s="1395" t="str">
        <f t="shared" si="808"/>
        <v>-</v>
      </c>
      <c r="CG391" s="1395" t="str">
        <f t="shared" si="808"/>
        <v>-</v>
      </c>
      <c r="CH391" s="1397" t="str">
        <f t="shared" si="808"/>
        <v>-</v>
      </c>
      <c r="CI391" s="1395" t="str">
        <f t="shared" si="808"/>
        <v>-</v>
      </c>
      <c r="CJ391" s="1395" t="str">
        <f t="shared" si="808"/>
        <v>-</v>
      </c>
      <c r="CK391" s="1395" t="str">
        <f t="shared" si="808"/>
        <v>-</v>
      </c>
      <c r="CL391" s="1395" t="str">
        <f t="shared" si="808"/>
        <v>-</v>
      </c>
      <c r="CM391" s="1397" t="str">
        <f t="shared" si="808"/>
        <v>-</v>
      </c>
      <c r="CN391" s="1395" t="str">
        <f t="shared" si="808"/>
        <v>-</v>
      </c>
      <c r="CO391" s="1395" t="str">
        <f t="shared" si="808"/>
        <v>-</v>
      </c>
      <c r="CP391" s="1395" t="str">
        <f t="shared" si="808"/>
        <v>-</v>
      </c>
      <c r="CQ391" s="1395" t="str">
        <f t="shared" si="808"/>
        <v>-</v>
      </c>
      <c r="CR391" s="1398" t="str">
        <f t="shared" si="808"/>
        <v>-</v>
      </c>
      <c r="CS391" s="1378"/>
      <c r="CT391" s="1392" t="str">
        <f t="shared" si="749"/>
        <v>Qty</v>
      </c>
      <c r="CU391" s="1393" t="str">
        <f t="shared" si="750"/>
        <v>[Service]</v>
      </c>
      <c r="CV391" s="1393" t="str">
        <f t="shared" si="751"/>
        <v>[Price]</v>
      </c>
      <c r="CW391" s="1401" t="str">
        <f t="shared" si="775"/>
        <v>-</v>
      </c>
      <c r="CX391" s="1395" t="str">
        <f t="shared" si="776"/>
        <v>-</v>
      </c>
      <c r="CY391" s="1395" t="str">
        <f t="shared" si="777"/>
        <v>-</v>
      </c>
      <c r="CZ391" s="1398" t="str">
        <f t="shared" si="778"/>
        <v>-</v>
      </c>
      <c r="DA391" s="1395" t="str">
        <f t="shared" si="779"/>
        <v>-</v>
      </c>
      <c r="DB391" s="1395" t="str">
        <f t="shared" si="780"/>
        <v>-</v>
      </c>
      <c r="DC391" s="1395" t="str">
        <f t="shared" si="781"/>
        <v>-</v>
      </c>
      <c r="DD391" s="1395" t="str">
        <f t="shared" si="782"/>
        <v>-</v>
      </c>
      <c r="DE391" s="1398" t="str">
        <f t="shared" si="783"/>
        <v>-</v>
      </c>
      <c r="DF391" s="1378"/>
      <c r="DG391" s="1392" t="str">
        <f t="shared" si="784"/>
        <v>Qty</v>
      </c>
      <c r="DH391" s="1393" t="str">
        <f t="shared" si="784"/>
        <v>[Service]</v>
      </c>
      <c r="DI391" s="1393" t="str">
        <f t="shared" si="784"/>
        <v>[Price]</v>
      </c>
      <c r="DJ391" s="1393"/>
      <c r="DK391" s="1401" t="str">
        <f t="shared" si="785"/>
        <v>-</v>
      </c>
      <c r="DL391" s="1395" t="str">
        <f t="shared" si="786"/>
        <v>-</v>
      </c>
      <c r="DM391" s="1395" t="str">
        <f t="shared" si="787"/>
        <v>-</v>
      </c>
      <c r="DN391" s="1397" t="str">
        <f t="shared" si="788"/>
        <v>-</v>
      </c>
      <c r="DO391" s="1395" t="str">
        <f t="shared" si="789"/>
        <v>-</v>
      </c>
      <c r="DP391" s="1395" t="str">
        <f t="shared" si="790"/>
        <v>-</v>
      </c>
      <c r="DQ391" s="1395" t="str">
        <f t="shared" si="791"/>
        <v>-</v>
      </c>
      <c r="DR391" s="1398" t="str">
        <f t="shared" si="792"/>
        <v>-</v>
      </c>
    </row>
    <row r="392" spans="4:122" ht="12.75" thickBot="1">
      <c r="E392" s="743" t="s">
        <v>46</v>
      </c>
      <c r="F392" s="732" t="str">
        <f>+F390</f>
        <v>[Service]</v>
      </c>
      <c r="G392" s="733">
        <f>+G390</f>
        <v>0</v>
      </c>
      <c r="H392" s="733">
        <f>+H390</f>
        <v>0</v>
      </c>
      <c r="I392" s="734" t="str">
        <f>+I390</f>
        <v>[Price]</v>
      </c>
      <c r="J392" s="735" t="s">
        <v>344</v>
      </c>
      <c r="K392" s="736">
        <f t="shared" ref="K392:AG392" si="809">K390*K391/10^6</f>
        <v>0</v>
      </c>
      <c r="L392" s="737">
        <f t="shared" si="809"/>
        <v>0</v>
      </c>
      <c r="M392" s="737">
        <f t="shared" si="809"/>
        <v>0</v>
      </c>
      <c r="N392" s="738">
        <f t="shared" si="809"/>
        <v>0</v>
      </c>
      <c r="O392" s="1923">
        <f t="shared" si="809"/>
        <v>0</v>
      </c>
      <c r="P392" s="737">
        <f t="shared" si="809"/>
        <v>0</v>
      </c>
      <c r="Q392" s="737">
        <f t="shared" si="809"/>
        <v>0</v>
      </c>
      <c r="R392" s="737">
        <f t="shared" si="809"/>
        <v>0</v>
      </c>
      <c r="S392" s="737">
        <f t="shared" si="809"/>
        <v>0</v>
      </c>
      <c r="T392" s="737">
        <f t="shared" si="809"/>
        <v>0</v>
      </c>
      <c r="U392" s="737">
        <f t="shared" si="809"/>
        <v>0</v>
      </c>
      <c r="V392" s="737">
        <f t="shared" si="809"/>
        <v>0</v>
      </c>
      <c r="W392" s="737">
        <f t="shared" si="809"/>
        <v>0</v>
      </c>
      <c r="X392" s="738">
        <f t="shared" si="809"/>
        <v>0</v>
      </c>
      <c r="Y392" s="737">
        <f t="shared" si="809"/>
        <v>0</v>
      </c>
      <c r="Z392" s="737">
        <f t="shared" si="809"/>
        <v>0</v>
      </c>
      <c r="AA392" s="737">
        <f t="shared" si="809"/>
        <v>0</v>
      </c>
      <c r="AB392" s="737">
        <f t="shared" si="809"/>
        <v>0</v>
      </c>
      <c r="AC392" s="738">
        <f t="shared" si="809"/>
        <v>0</v>
      </c>
      <c r="AD392" s="737">
        <f t="shared" si="809"/>
        <v>0</v>
      </c>
      <c r="AE392" s="737">
        <f t="shared" si="809"/>
        <v>0</v>
      </c>
      <c r="AF392" s="737">
        <f t="shared" si="809"/>
        <v>0</v>
      </c>
      <c r="AG392" s="739">
        <f t="shared" si="809"/>
        <v>0</v>
      </c>
      <c r="AH392" s="697"/>
      <c r="AI392" s="707"/>
      <c r="AJ392" s="709">
        <f t="shared" si="796"/>
        <v>0</v>
      </c>
      <c r="AK392" s="710">
        <f t="shared" si="797"/>
        <v>0</v>
      </c>
      <c r="AL392" s="710">
        <f t="shared" si="798"/>
        <v>0</v>
      </c>
      <c r="AM392" s="710">
        <f t="shared" si="799"/>
        <v>0</v>
      </c>
      <c r="AN392" s="710">
        <f t="shared" si="800"/>
        <v>0</v>
      </c>
      <c r="AO392" s="711">
        <f t="shared" si="801"/>
        <v>0</v>
      </c>
      <c r="AP392" s="707">
        <f t="shared" si="802"/>
        <v>0</v>
      </c>
      <c r="AQ392" s="707">
        <f t="shared" si="803"/>
        <v>0</v>
      </c>
      <c r="AR392" s="707">
        <f t="shared" si="804"/>
        <v>0</v>
      </c>
      <c r="AS392" s="712">
        <f t="shared" si="805"/>
        <v>0</v>
      </c>
      <c r="AV392" s="1559"/>
      <c r="AW392" s="1428" t="str">
        <f t="shared" si="753"/>
        <v>Rev</v>
      </c>
      <c r="AX392" s="1429" t="str">
        <f t="shared" si="753"/>
        <v>[Service]</v>
      </c>
      <c r="AY392" s="1430" t="str">
        <f t="shared" si="754"/>
        <v>[Price]</v>
      </c>
      <c r="AZ392" s="1431" t="str">
        <f t="shared" si="755"/>
        <v>-</v>
      </c>
      <c r="BA392" s="1431" t="str">
        <f t="shared" si="755"/>
        <v>-</v>
      </c>
      <c r="BB392" s="1431" t="str">
        <f t="shared" si="755"/>
        <v>-</v>
      </c>
      <c r="BC392" s="1431" t="str">
        <f t="shared" si="756"/>
        <v>-</v>
      </c>
      <c r="BD392" s="1431" t="str">
        <f t="shared" si="757"/>
        <v>-</v>
      </c>
      <c r="BE392" s="1431" t="str">
        <f t="shared" si="758"/>
        <v>-</v>
      </c>
      <c r="BF392" s="1431" t="str">
        <f t="shared" si="759"/>
        <v>-</v>
      </c>
      <c r="BG392" s="1432" t="str">
        <f t="shared" si="760"/>
        <v>-</v>
      </c>
      <c r="BH392" s="1431" t="str">
        <f t="shared" si="761"/>
        <v>-</v>
      </c>
      <c r="BI392" s="1431" t="str">
        <f t="shared" si="762"/>
        <v>-</v>
      </c>
      <c r="BJ392" s="1431" t="str">
        <f t="shared" si="763"/>
        <v>-</v>
      </c>
      <c r="BK392" s="1431" t="str">
        <f t="shared" si="764"/>
        <v>-</v>
      </c>
      <c r="BL392" s="1433" t="str">
        <f t="shared" si="765"/>
        <v>-</v>
      </c>
      <c r="BM392" s="1431" t="str">
        <f t="shared" si="766"/>
        <v>-</v>
      </c>
      <c r="BN392" s="1431" t="str">
        <f t="shared" si="767"/>
        <v>-</v>
      </c>
      <c r="BO392" s="1431" t="str">
        <f t="shared" si="768"/>
        <v>-</v>
      </c>
      <c r="BP392" s="1431" t="str">
        <f t="shared" si="769"/>
        <v>-</v>
      </c>
      <c r="BQ392" s="1434" t="str">
        <f t="shared" si="770"/>
        <v>-</v>
      </c>
      <c r="BR392" s="1378"/>
      <c r="BS392" s="1407"/>
      <c r="BT392" s="1408"/>
      <c r="BU392" s="1409"/>
      <c r="BV392" s="1410"/>
      <c r="BW392" s="1378"/>
      <c r="BX392" s="1428" t="str">
        <f t="shared" si="771"/>
        <v>Rev</v>
      </c>
      <c r="BY392" s="1429" t="str">
        <f t="shared" si="772"/>
        <v>[Service]</v>
      </c>
      <c r="BZ392" s="1430" t="str">
        <f t="shared" si="773"/>
        <v>[Price]</v>
      </c>
      <c r="CA392" s="1435" t="str">
        <f t="shared" ref="CA392:CR392" si="810">IFERROR((P392/O392-1)*(O392/O$13),"-")</f>
        <v>-</v>
      </c>
      <c r="CB392" s="1431" t="str">
        <f t="shared" si="810"/>
        <v>-</v>
      </c>
      <c r="CC392" s="1431" t="str">
        <f t="shared" si="810"/>
        <v>-</v>
      </c>
      <c r="CD392" s="1431" t="str">
        <f t="shared" si="810"/>
        <v>-</v>
      </c>
      <c r="CE392" s="1431" t="str">
        <f t="shared" si="810"/>
        <v>-</v>
      </c>
      <c r="CF392" s="1431" t="str">
        <f t="shared" si="810"/>
        <v>-</v>
      </c>
      <c r="CG392" s="1431" t="str">
        <f t="shared" si="810"/>
        <v>-</v>
      </c>
      <c r="CH392" s="1433" t="str">
        <f t="shared" si="810"/>
        <v>-</v>
      </c>
      <c r="CI392" s="1431" t="str">
        <f t="shared" si="810"/>
        <v>-</v>
      </c>
      <c r="CJ392" s="1431" t="str">
        <f t="shared" si="810"/>
        <v>-</v>
      </c>
      <c r="CK392" s="1431" t="str">
        <f t="shared" si="810"/>
        <v>-</v>
      </c>
      <c r="CL392" s="1431" t="str">
        <f t="shared" si="810"/>
        <v>-</v>
      </c>
      <c r="CM392" s="1433" t="str">
        <f t="shared" si="810"/>
        <v>-</v>
      </c>
      <c r="CN392" s="1431" t="str">
        <f t="shared" si="810"/>
        <v>-</v>
      </c>
      <c r="CO392" s="1431" t="str">
        <f t="shared" si="810"/>
        <v>-</v>
      </c>
      <c r="CP392" s="1431" t="str">
        <f t="shared" si="810"/>
        <v>-</v>
      </c>
      <c r="CQ392" s="1431" t="str">
        <f t="shared" si="810"/>
        <v>-</v>
      </c>
      <c r="CR392" s="1434" t="str">
        <f t="shared" si="810"/>
        <v>-</v>
      </c>
      <c r="CS392" s="1378"/>
      <c r="CT392" s="1428" t="str">
        <f t="shared" si="749"/>
        <v>Rev</v>
      </c>
      <c r="CU392" s="1429" t="str">
        <f t="shared" si="750"/>
        <v>[Service]</v>
      </c>
      <c r="CV392" s="1429" t="str">
        <f t="shared" si="751"/>
        <v>[Price]</v>
      </c>
      <c r="CW392" s="1435" t="str">
        <f t="shared" si="775"/>
        <v>-</v>
      </c>
      <c r="CX392" s="1431" t="str">
        <f t="shared" si="776"/>
        <v>-</v>
      </c>
      <c r="CY392" s="1431" t="str">
        <f t="shared" si="777"/>
        <v>-</v>
      </c>
      <c r="CZ392" s="1434" t="str">
        <f t="shared" si="778"/>
        <v>-</v>
      </c>
      <c r="DA392" s="1431" t="str">
        <f t="shared" si="779"/>
        <v>-</v>
      </c>
      <c r="DB392" s="1431" t="str">
        <f t="shared" si="780"/>
        <v>-</v>
      </c>
      <c r="DC392" s="1431" t="str">
        <f t="shared" si="781"/>
        <v>-</v>
      </c>
      <c r="DD392" s="1431" t="str">
        <f t="shared" si="782"/>
        <v>-</v>
      </c>
      <c r="DE392" s="1434" t="str">
        <f t="shared" si="783"/>
        <v>-</v>
      </c>
      <c r="DF392" s="1378"/>
      <c r="DG392" s="1428" t="str">
        <f t="shared" si="784"/>
        <v>Rev</v>
      </c>
      <c r="DH392" s="1429" t="str">
        <f t="shared" si="784"/>
        <v>[Service]</v>
      </c>
      <c r="DI392" s="1429" t="str">
        <f t="shared" si="784"/>
        <v>[Price]</v>
      </c>
      <c r="DJ392" s="1429"/>
      <c r="DK392" s="1435" t="str">
        <f t="shared" si="785"/>
        <v>-</v>
      </c>
      <c r="DL392" s="1431" t="str">
        <f t="shared" si="786"/>
        <v>-</v>
      </c>
      <c r="DM392" s="1431" t="str">
        <f t="shared" si="787"/>
        <v>-</v>
      </c>
      <c r="DN392" s="1433" t="str">
        <f t="shared" si="788"/>
        <v>-</v>
      </c>
      <c r="DO392" s="1431" t="str">
        <f t="shared" si="789"/>
        <v>-</v>
      </c>
      <c r="DP392" s="1431" t="str">
        <f t="shared" si="790"/>
        <v>-</v>
      </c>
      <c r="DQ392" s="1431" t="str">
        <f t="shared" si="791"/>
        <v>-</v>
      </c>
      <c r="DR392" s="1434" t="str">
        <f t="shared" si="792"/>
        <v>-</v>
      </c>
    </row>
    <row r="393" spans="4:122">
      <c r="D393" s="70">
        <f>D390+1</f>
        <v>110</v>
      </c>
      <c r="E393" s="713" t="s">
        <v>44</v>
      </c>
      <c r="F393" s="1532" t="s">
        <v>27</v>
      </c>
      <c r="G393" s="1532"/>
      <c r="H393" s="1532"/>
      <c r="I393" s="781" t="s">
        <v>318</v>
      </c>
      <c r="J393" s="781" t="s">
        <v>345</v>
      </c>
      <c r="K393" s="1533"/>
      <c r="L393" s="1534"/>
      <c r="M393" s="1534"/>
      <c r="N393" s="1535"/>
      <c r="O393" s="2071"/>
      <c r="P393" s="1547"/>
      <c r="Q393" s="1547"/>
      <c r="R393" s="1547"/>
      <c r="S393" s="1547"/>
      <c r="T393" s="1547"/>
      <c r="U393" s="1547"/>
      <c r="V393" s="1547"/>
      <c r="W393" s="1547"/>
      <c r="X393" s="1548"/>
      <c r="Y393" s="1547"/>
      <c r="Z393" s="1547"/>
      <c r="AA393" s="1547"/>
      <c r="AB393" s="1547"/>
      <c r="AC393" s="1548"/>
      <c r="AD393" s="1547"/>
      <c r="AE393" s="1547"/>
      <c r="AF393" s="1547"/>
      <c r="AG393" s="785"/>
      <c r="AH393" s="697"/>
      <c r="AI393" s="707"/>
      <c r="AJ393" s="709">
        <f t="shared" si="796"/>
        <v>0</v>
      </c>
      <c r="AK393" s="710">
        <f t="shared" si="797"/>
        <v>0</v>
      </c>
      <c r="AL393" s="710">
        <f t="shared" si="798"/>
        <v>0</v>
      </c>
      <c r="AM393" s="710">
        <f t="shared" si="799"/>
        <v>0</v>
      </c>
      <c r="AN393" s="710">
        <f t="shared" si="800"/>
        <v>0</v>
      </c>
      <c r="AO393" s="711">
        <f t="shared" si="801"/>
        <v>0</v>
      </c>
      <c r="AP393" s="707">
        <f t="shared" si="802"/>
        <v>0</v>
      </c>
      <c r="AQ393" s="707">
        <f t="shared" si="803"/>
        <v>0</v>
      </c>
      <c r="AR393" s="707">
        <f t="shared" si="804"/>
        <v>0</v>
      </c>
      <c r="AS393" s="712">
        <f t="shared" si="805"/>
        <v>0</v>
      </c>
      <c r="AU393" s="1369"/>
      <c r="AV393" s="1559"/>
      <c r="AW393" s="1412" t="str">
        <f t="shared" si="753"/>
        <v>Price</v>
      </c>
      <c r="AX393" s="1413" t="str">
        <f t="shared" si="753"/>
        <v>[Service]</v>
      </c>
      <c r="AY393" s="1414" t="str">
        <f t="shared" si="754"/>
        <v>[Price]</v>
      </c>
      <c r="AZ393" s="1415" t="str">
        <f t="shared" si="755"/>
        <v>-</v>
      </c>
      <c r="BA393" s="1415" t="str">
        <f t="shared" si="755"/>
        <v>-</v>
      </c>
      <c r="BB393" s="1415" t="str">
        <f t="shared" si="755"/>
        <v>-</v>
      </c>
      <c r="BC393" s="1415" t="str">
        <f t="shared" si="756"/>
        <v>-</v>
      </c>
      <c r="BD393" s="1415" t="str">
        <f t="shared" si="757"/>
        <v>-</v>
      </c>
      <c r="BE393" s="1415" t="str">
        <f t="shared" si="758"/>
        <v>-</v>
      </c>
      <c r="BF393" s="1415" t="str">
        <f t="shared" si="759"/>
        <v>-</v>
      </c>
      <c r="BG393" s="1416" t="str">
        <f t="shared" si="760"/>
        <v>-</v>
      </c>
      <c r="BH393" s="1417" t="str">
        <f t="shared" si="761"/>
        <v>-</v>
      </c>
      <c r="BI393" s="1417" t="str">
        <f t="shared" si="762"/>
        <v>-</v>
      </c>
      <c r="BJ393" s="1417" t="str">
        <f t="shared" si="763"/>
        <v>-</v>
      </c>
      <c r="BK393" s="1417" t="str">
        <f t="shared" si="764"/>
        <v>-</v>
      </c>
      <c r="BL393" s="1418" t="str">
        <f t="shared" si="765"/>
        <v>-</v>
      </c>
      <c r="BM393" s="1417" t="str">
        <f t="shared" si="766"/>
        <v>-</v>
      </c>
      <c r="BN393" s="1417" t="str">
        <f t="shared" si="767"/>
        <v>-</v>
      </c>
      <c r="BO393" s="1417" t="str">
        <f t="shared" si="768"/>
        <v>-</v>
      </c>
      <c r="BP393" s="1417" t="str">
        <f t="shared" si="769"/>
        <v>-</v>
      </c>
      <c r="BQ393" s="1419" t="str">
        <f t="shared" si="770"/>
        <v>-</v>
      </c>
      <c r="BR393" s="1378"/>
      <c r="BS393" s="1420"/>
      <c r="BT393" s="1421"/>
      <c r="BU393" s="1422"/>
      <c r="BV393" s="1423"/>
      <c r="BW393" s="1378"/>
      <c r="BX393" s="1412" t="str">
        <f t="shared" si="771"/>
        <v>Price</v>
      </c>
      <c r="BY393" s="1413" t="str">
        <f t="shared" si="772"/>
        <v>[Service]</v>
      </c>
      <c r="BZ393" s="1414" t="str">
        <f t="shared" si="773"/>
        <v>[Price]</v>
      </c>
      <c r="CA393" s="1424" t="str">
        <f t="shared" ref="CA393:CR393" si="811">IFERROR((P393/O393-1)*(O395/O$13),"-")</f>
        <v>-</v>
      </c>
      <c r="CB393" s="1415" t="str">
        <f t="shared" si="811"/>
        <v>-</v>
      </c>
      <c r="CC393" s="1415" t="str">
        <f t="shared" si="811"/>
        <v>-</v>
      </c>
      <c r="CD393" s="1415" t="str">
        <f t="shared" si="811"/>
        <v>-</v>
      </c>
      <c r="CE393" s="1415" t="str">
        <f t="shared" si="811"/>
        <v>-</v>
      </c>
      <c r="CF393" s="1415" t="str">
        <f t="shared" si="811"/>
        <v>-</v>
      </c>
      <c r="CG393" s="1415" t="str">
        <f t="shared" si="811"/>
        <v>-</v>
      </c>
      <c r="CH393" s="1425" t="str">
        <f t="shared" si="811"/>
        <v>-</v>
      </c>
      <c r="CI393" s="1417" t="str">
        <f t="shared" si="811"/>
        <v>-</v>
      </c>
      <c r="CJ393" s="1417" t="str">
        <f t="shared" si="811"/>
        <v>-</v>
      </c>
      <c r="CK393" s="1417" t="str">
        <f t="shared" si="811"/>
        <v>-</v>
      </c>
      <c r="CL393" s="1417" t="str">
        <f t="shared" si="811"/>
        <v>-</v>
      </c>
      <c r="CM393" s="1418" t="str">
        <f t="shared" si="811"/>
        <v>-</v>
      </c>
      <c r="CN393" s="1417" t="str">
        <f t="shared" si="811"/>
        <v>-</v>
      </c>
      <c r="CO393" s="1417" t="str">
        <f t="shared" si="811"/>
        <v>-</v>
      </c>
      <c r="CP393" s="1417" t="str">
        <f t="shared" si="811"/>
        <v>-</v>
      </c>
      <c r="CQ393" s="1417" t="str">
        <f t="shared" si="811"/>
        <v>-</v>
      </c>
      <c r="CR393" s="1419" t="str">
        <f t="shared" si="811"/>
        <v>-</v>
      </c>
      <c r="CS393" s="1378"/>
      <c r="CT393" s="1412" t="str">
        <f t="shared" si="749"/>
        <v>Price</v>
      </c>
      <c r="CU393" s="1413" t="str">
        <f t="shared" si="750"/>
        <v>[Service]</v>
      </c>
      <c r="CV393" s="1426" t="str">
        <f t="shared" si="751"/>
        <v>[Price]</v>
      </c>
      <c r="CW393" s="1427" t="str">
        <f t="shared" si="775"/>
        <v>-</v>
      </c>
      <c r="CX393" s="1417" t="str">
        <f t="shared" si="776"/>
        <v>-</v>
      </c>
      <c r="CY393" s="1417" t="str">
        <f t="shared" si="777"/>
        <v>-</v>
      </c>
      <c r="CZ393" s="1419" t="str">
        <f t="shared" si="778"/>
        <v>-</v>
      </c>
      <c r="DA393" s="1417" t="str">
        <f t="shared" si="779"/>
        <v>-</v>
      </c>
      <c r="DB393" s="1417" t="str">
        <f t="shared" si="780"/>
        <v>-</v>
      </c>
      <c r="DC393" s="1417" t="str">
        <f t="shared" si="781"/>
        <v>-</v>
      </c>
      <c r="DD393" s="1417" t="str">
        <f t="shared" si="782"/>
        <v>-</v>
      </c>
      <c r="DE393" s="1419" t="str">
        <f t="shared" si="783"/>
        <v>-</v>
      </c>
      <c r="DF393" s="1378"/>
      <c r="DG393" s="1412" t="str">
        <f t="shared" si="784"/>
        <v>Price</v>
      </c>
      <c r="DH393" s="1413" t="str">
        <f t="shared" si="784"/>
        <v>[Service]</v>
      </c>
      <c r="DI393" s="1426" t="str">
        <f t="shared" si="784"/>
        <v>[Price]</v>
      </c>
      <c r="DJ393" s="1426"/>
      <c r="DK393" s="1427" t="str">
        <f t="shared" si="785"/>
        <v>-</v>
      </c>
      <c r="DL393" s="1417" t="str">
        <f t="shared" si="786"/>
        <v>-</v>
      </c>
      <c r="DM393" s="1417" t="str">
        <f t="shared" si="787"/>
        <v>-</v>
      </c>
      <c r="DN393" s="1418" t="str">
        <f t="shared" si="788"/>
        <v>-</v>
      </c>
      <c r="DO393" s="1417" t="str">
        <f t="shared" si="789"/>
        <v>-</v>
      </c>
      <c r="DP393" s="1417" t="str">
        <f t="shared" si="790"/>
        <v>-</v>
      </c>
      <c r="DQ393" s="1417" t="str">
        <f t="shared" si="791"/>
        <v>-</v>
      </c>
      <c r="DR393" s="1419" t="str">
        <f t="shared" si="792"/>
        <v>-</v>
      </c>
    </row>
    <row r="394" spans="4:122">
      <c r="E394" s="742" t="s">
        <v>45</v>
      </c>
      <c r="F394" s="722" t="str">
        <f>+F393</f>
        <v>[Service]</v>
      </c>
      <c r="G394" s="723">
        <f>+G393</f>
        <v>0</v>
      </c>
      <c r="H394" s="723">
        <f>+H393</f>
        <v>0</v>
      </c>
      <c r="I394" s="724" t="str">
        <f>+I393</f>
        <v>[Price]</v>
      </c>
      <c r="J394" s="782" t="s">
        <v>322</v>
      </c>
      <c r="K394" s="1540"/>
      <c r="L394" s="1541"/>
      <c r="M394" s="1541"/>
      <c r="N394" s="1542"/>
      <c r="O394" s="2031"/>
      <c r="P394" s="1543"/>
      <c r="Q394" s="1543"/>
      <c r="R394" s="1543"/>
      <c r="S394" s="1543"/>
      <c r="T394" s="1543"/>
      <c r="U394" s="1543"/>
      <c r="V394" s="1543"/>
      <c r="W394" s="1543"/>
      <c r="X394" s="1544"/>
      <c r="Y394" s="1543"/>
      <c r="Z394" s="1543"/>
      <c r="AA394" s="1543"/>
      <c r="AB394" s="1543"/>
      <c r="AC394" s="1544"/>
      <c r="AD394" s="1543"/>
      <c r="AE394" s="1543"/>
      <c r="AF394" s="1543"/>
      <c r="AG394" s="788"/>
      <c r="AH394" s="697"/>
      <c r="AI394" s="707"/>
      <c r="AJ394" s="709">
        <f t="shared" si="796"/>
        <v>0</v>
      </c>
      <c r="AK394" s="710">
        <f t="shared" si="797"/>
        <v>0</v>
      </c>
      <c r="AL394" s="710">
        <f t="shared" si="798"/>
        <v>0</v>
      </c>
      <c r="AM394" s="710">
        <f t="shared" si="799"/>
        <v>0</v>
      </c>
      <c r="AN394" s="710">
        <f t="shared" si="800"/>
        <v>0</v>
      </c>
      <c r="AO394" s="711">
        <f t="shared" si="801"/>
        <v>0</v>
      </c>
      <c r="AP394" s="707">
        <f t="shared" si="802"/>
        <v>0</v>
      </c>
      <c r="AQ394" s="707">
        <f t="shared" si="803"/>
        <v>0</v>
      </c>
      <c r="AR394" s="707">
        <f t="shared" si="804"/>
        <v>0</v>
      </c>
      <c r="AS394" s="712">
        <f t="shared" si="805"/>
        <v>0</v>
      </c>
      <c r="AV394" s="1559"/>
      <c r="AW394" s="1392" t="str">
        <f t="shared" si="753"/>
        <v>Qty</v>
      </c>
      <c r="AX394" s="1393" t="str">
        <f t="shared" si="753"/>
        <v>[Service]</v>
      </c>
      <c r="AY394" s="1394" t="str">
        <f t="shared" si="754"/>
        <v>[Price]</v>
      </c>
      <c r="AZ394" s="1395" t="str">
        <f t="shared" si="755"/>
        <v>-</v>
      </c>
      <c r="BA394" s="1395" t="str">
        <f t="shared" si="755"/>
        <v>-</v>
      </c>
      <c r="BB394" s="1395" t="str">
        <f t="shared" si="755"/>
        <v>-</v>
      </c>
      <c r="BC394" s="1395" t="str">
        <f t="shared" si="756"/>
        <v>-</v>
      </c>
      <c r="BD394" s="1395" t="str">
        <f t="shared" si="757"/>
        <v>-</v>
      </c>
      <c r="BE394" s="1395" t="str">
        <f t="shared" si="758"/>
        <v>-</v>
      </c>
      <c r="BF394" s="1395" t="str">
        <f t="shared" si="759"/>
        <v>-</v>
      </c>
      <c r="BG394" s="1396" t="str">
        <f t="shared" si="760"/>
        <v>-</v>
      </c>
      <c r="BH394" s="1395" t="str">
        <f t="shared" si="761"/>
        <v>-</v>
      </c>
      <c r="BI394" s="1395" t="str">
        <f t="shared" si="762"/>
        <v>-</v>
      </c>
      <c r="BJ394" s="1395" t="str">
        <f t="shared" si="763"/>
        <v>-</v>
      </c>
      <c r="BK394" s="1395" t="str">
        <f t="shared" si="764"/>
        <v>-</v>
      </c>
      <c r="BL394" s="1397" t="str">
        <f t="shared" si="765"/>
        <v>-</v>
      </c>
      <c r="BM394" s="1395" t="str">
        <f t="shared" si="766"/>
        <v>-</v>
      </c>
      <c r="BN394" s="1395" t="str">
        <f t="shared" si="767"/>
        <v>-</v>
      </c>
      <c r="BO394" s="1395" t="str">
        <f t="shared" si="768"/>
        <v>-</v>
      </c>
      <c r="BP394" s="1395" t="str">
        <f t="shared" si="769"/>
        <v>-</v>
      </c>
      <c r="BQ394" s="1398" t="str">
        <f t="shared" si="770"/>
        <v>-</v>
      </c>
      <c r="BR394" s="1378"/>
      <c r="BS394" s="1329"/>
      <c r="BT394" s="1399"/>
      <c r="BU394" s="1331"/>
      <c r="BV394" s="1400"/>
      <c r="BW394" s="1378"/>
      <c r="BX394" s="1392" t="str">
        <f t="shared" si="771"/>
        <v>Qty</v>
      </c>
      <c r="BY394" s="1393" t="str">
        <f t="shared" si="772"/>
        <v>[Service]</v>
      </c>
      <c r="BZ394" s="1394" t="str">
        <f t="shared" si="773"/>
        <v>[Price]</v>
      </c>
      <c r="CA394" s="1401" t="str">
        <f t="shared" ref="CA394:CR394" si="812">IFERROR((P394/O394-1)*(O395/O$13),"-")</f>
        <v>-</v>
      </c>
      <c r="CB394" s="1395" t="str">
        <f t="shared" si="812"/>
        <v>-</v>
      </c>
      <c r="CC394" s="1395" t="str">
        <f t="shared" si="812"/>
        <v>-</v>
      </c>
      <c r="CD394" s="1395" t="str">
        <f t="shared" si="812"/>
        <v>-</v>
      </c>
      <c r="CE394" s="1395" t="str">
        <f t="shared" si="812"/>
        <v>-</v>
      </c>
      <c r="CF394" s="1395" t="str">
        <f t="shared" si="812"/>
        <v>-</v>
      </c>
      <c r="CG394" s="1395" t="str">
        <f t="shared" si="812"/>
        <v>-</v>
      </c>
      <c r="CH394" s="1397" t="str">
        <f t="shared" si="812"/>
        <v>-</v>
      </c>
      <c r="CI394" s="1395" t="str">
        <f t="shared" si="812"/>
        <v>-</v>
      </c>
      <c r="CJ394" s="1395" t="str">
        <f t="shared" si="812"/>
        <v>-</v>
      </c>
      <c r="CK394" s="1395" t="str">
        <f t="shared" si="812"/>
        <v>-</v>
      </c>
      <c r="CL394" s="1395" t="str">
        <f t="shared" si="812"/>
        <v>-</v>
      </c>
      <c r="CM394" s="1397" t="str">
        <f t="shared" si="812"/>
        <v>-</v>
      </c>
      <c r="CN394" s="1395" t="str">
        <f t="shared" si="812"/>
        <v>-</v>
      </c>
      <c r="CO394" s="1395" t="str">
        <f t="shared" si="812"/>
        <v>-</v>
      </c>
      <c r="CP394" s="1395" t="str">
        <f t="shared" si="812"/>
        <v>-</v>
      </c>
      <c r="CQ394" s="1395" t="str">
        <f t="shared" si="812"/>
        <v>-</v>
      </c>
      <c r="CR394" s="1398" t="str">
        <f t="shared" si="812"/>
        <v>-</v>
      </c>
      <c r="CS394" s="1378"/>
      <c r="CT394" s="1392" t="str">
        <f t="shared" si="749"/>
        <v>Qty</v>
      </c>
      <c r="CU394" s="1393" t="str">
        <f t="shared" si="750"/>
        <v>[Service]</v>
      </c>
      <c r="CV394" s="1393" t="str">
        <f t="shared" si="751"/>
        <v>[Price]</v>
      </c>
      <c r="CW394" s="1401" t="str">
        <f t="shared" si="775"/>
        <v>-</v>
      </c>
      <c r="CX394" s="1395" t="str">
        <f t="shared" si="776"/>
        <v>-</v>
      </c>
      <c r="CY394" s="1395" t="str">
        <f t="shared" si="777"/>
        <v>-</v>
      </c>
      <c r="CZ394" s="1398" t="str">
        <f t="shared" si="778"/>
        <v>-</v>
      </c>
      <c r="DA394" s="1395" t="str">
        <f t="shared" si="779"/>
        <v>-</v>
      </c>
      <c r="DB394" s="1395" t="str">
        <f t="shared" si="780"/>
        <v>-</v>
      </c>
      <c r="DC394" s="1395" t="str">
        <f t="shared" si="781"/>
        <v>-</v>
      </c>
      <c r="DD394" s="1395" t="str">
        <f t="shared" si="782"/>
        <v>-</v>
      </c>
      <c r="DE394" s="1398" t="str">
        <f t="shared" si="783"/>
        <v>-</v>
      </c>
      <c r="DF394" s="1378"/>
      <c r="DG394" s="1392" t="str">
        <f t="shared" si="784"/>
        <v>Qty</v>
      </c>
      <c r="DH394" s="1393" t="str">
        <f t="shared" si="784"/>
        <v>[Service]</v>
      </c>
      <c r="DI394" s="1393" t="str">
        <f t="shared" si="784"/>
        <v>[Price]</v>
      </c>
      <c r="DJ394" s="1393"/>
      <c r="DK394" s="1401" t="str">
        <f t="shared" si="785"/>
        <v>-</v>
      </c>
      <c r="DL394" s="1395" t="str">
        <f t="shared" si="786"/>
        <v>-</v>
      </c>
      <c r="DM394" s="1395" t="str">
        <f t="shared" si="787"/>
        <v>-</v>
      </c>
      <c r="DN394" s="1397" t="str">
        <f t="shared" si="788"/>
        <v>-</v>
      </c>
      <c r="DO394" s="1395" t="str">
        <f t="shared" si="789"/>
        <v>-</v>
      </c>
      <c r="DP394" s="1395" t="str">
        <f t="shared" si="790"/>
        <v>-</v>
      </c>
      <c r="DQ394" s="1395" t="str">
        <f t="shared" si="791"/>
        <v>-</v>
      </c>
      <c r="DR394" s="1398" t="str">
        <f t="shared" si="792"/>
        <v>-</v>
      </c>
    </row>
    <row r="395" spans="4:122" ht="12.75" thickBot="1">
      <c r="E395" s="743" t="s">
        <v>46</v>
      </c>
      <c r="F395" s="732" t="str">
        <f>+F393</f>
        <v>[Service]</v>
      </c>
      <c r="G395" s="733">
        <f>+G393</f>
        <v>0</v>
      </c>
      <c r="H395" s="733">
        <f>+H393</f>
        <v>0</v>
      </c>
      <c r="I395" s="734" t="str">
        <f>+I393</f>
        <v>[Price]</v>
      </c>
      <c r="J395" s="735" t="s">
        <v>344</v>
      </c>
      <c r="K395" s="736">
        <f t="shared" ref="K395:AG395" si="813">K393*K394/10^6</f>
        <v>0</v>
      </c>
      <c r="L395" s="737">
        <f t="shared" si="813"/>
        <v>0</v>
      </c>
      <c r="M395" s="737">
        <f t="shared" si="813"/>
        <v>0</v>
      </c>
      <c r="N395" s="738">
        <f t="shared" si="813"/>
        <v>0</v>
      </c>
      <c r="O395" s="1923">
        <f t="shared" si="813"/>
        <v>0</v>
      </c>
      <c r="P395" s="737">
        <f t="shared" si="813"/>
        <v>0</v>
      </c>
      <c r="Q395" s="737">
        <f t="shared" si="813"/>
        <v>0</v>
      </c>
      <c r="R395" s="737">
        <f t="shared" si="813"/>
        <v>0</v>
      </c>
      <c r="S395" s="737">
        <f t="shared" si="813"/>
        <v>0</v>
      </c>
      <c r="T395" s="737">
        <f t="shared" si="813"/>
        <v>0</v>
      </c>
      <c r="U395" s="737">
        <f t="shared" si="813"/>
        <v>0</v>
      </c>
      <c r="V395" s="737">
        <f t="shared" si="813"/>
        <v>0</v>
      </c>
      <c r="W395" s="737">
        <f t="shared" si="813"/>
        <v>0</v>
      </c>
      <c r="X395" s="738">
        <f t="shared" si="813"/>
        <v>0</v>
      </c>
      <c r="Y395" s="737">
        <f t="shared" si="813"/>
        <v>0</v>
      </c>
      <c r="Z395" s="737">
        <f t="shared" si="813"/>
        <v>0</v>
      </c>
      <c r="AA395" s="737">
        <f t="shared" si="813"/>
        <v>0</v>
      </c>
      <c r="AB395" s="737">
        <f t="shared" si="813"/>
        <v>0</v>
      </c>
      <c r="AC395" s="738">
        <f t="shared" si="813"/>
        <v>0</v>
      </c>
      <c r="AD395" s="737">
        <f t="shared" si="813"/>
        <v>0</v>
      </c>
      <c r="AE395" s="737">
        <f t="shared" si="813"/>
        <v>0</v>
      </c>
      <c r="AF395" s="737">
        <f t="shared" si="813"/>
        <v>0</v>
      </c>
      <c r="AG395" s="739">
        <f t="shared" si="813"/>
        <v>0</v>
      </c>
      <c r="AH395" s="697"/>
      <c r="AI395" s="707"/>
      <c r="AJ395" s="709">
        <f t="shared" si="796"/>
        <v>0</v>
      </c>
      <c r="AK395" s="710">
        <f t="shared" si="797"/>
        <v>0</v>
      </c>
      <c r="AL395" s="710">
        <f t="shared" si="798"/>
        <v>0</v>
      </c>
      <c r="AM395" s="710">
        <f t="shared" si="799"/>
        <v>0</v>
      </c>
      <c r="AN395" s="710">
        <f t="shared" si="800"/>
        <v>0</v>
      </c>
      <c r="AO395" s="711">
        <f t="shared" si="801"/>
        <v>0</v>
      </c>
      <c r="AP395" s="707">
        <f t="shared" si="802"/>
        <v>0</v>
      </c>
      <c r="AQ395" s="707">
        <f t="shared" si="803"/>
        <v>0</v>
      </c>
      <c r="AR395" s="707">
        <f t="shared" si="804"/>
        <v>0</v>
      </c>
      <c r="AS395" s="712">
        <f t="shared" si="805"/>
        <v>0</v>
      </c>
      <c r="AV395" s="1559"/>
      <c r="AW395" s="1428" t="str">
        <f t="shared" si="753"/>
        <v>Rev</v>
      </c>
      <c r="AX395" s="1429" t="str">
        <f t="shared" si="753"/>
        <v>[Service]</v>
      </c>
      <c r="AY395" s="1430" t="str">
        <f t="shared" si="754"/>
        <v>[Price]</v>
      </c>
      <c r="AZ395" s="1431" t="str">
        <f t="shared" si="755"/>
        <v>-</v>
      </c>
      <c r="BA395" s="1431" t="str">
        <f t="shared" si="755"/>
        <v>-</v>
      </c>
      <c r="BB395" s="1431" t="str">
        <f t="shared" si="755"/>
        <v>-</v>
      </c>
      <c r="BC395" s="1431" t="str">
        <f t="shared" si="756"/>
        <v>-</v>
      </c>
      <c r="BD395" s="1431" t="str">
        <f t="shared" si="757"/>
        <v>-</v>
      </c>
      <c r="BE395" s="1431" t="str">
        <f t="shared" si="758"/>
        <v>-</v>
      </c>
      <c r="BF395" s="1431" t="str">
        <f t="shared" si="759"/>
        <v>-</v>
      </c>
      <c r="BG395" s="1432" t="str">
        <f t="shared" si="760"/>
        <v>-</v>
      </c>
      <c r="BH395" s="1431" t="str">
        <f t="shared" si="761"/>
        <v>-</v>
      </c>
      <c r="BI395" s="1431" t="str">
        <f t="shared" si="762"/>
        <v>-</v>
      </c>
      <c r="BJ395" s="1431" t="str">
        <f t="shared" si="763"/>
        <v>-</v>
      </c>
      <c r="BK395" s="1431" t="str">
        <f t="shared" si="764"/>
        <v>-</v>
      </c>
      <c r="BL395" s="1433" t="str">
        <f t="shared" si="765"/>
        <v>-</v>
      </c>
      <c r="BM395" s="1431" t="str">
        <f t="shared" si="766"/>
        <v>-</v>
      </c>
      <c r="BN395" s="1431" t="str">
        <f t="shared" si="767"/>
        <v>-</v>
      </c>
      <c r="BO395" s="1431" t="str">
        <f t="shared" si="768"/>
        <v>-</v>
      </c>
      <c r="BP395" s="1431" t="str">
        <f t="shared" si="769"/>
        <v>-</v>
      </c>
      <c r="BQ395" s="1434" t="str">
        <f t="shared" si="770"/>
        <v>-</v>
      </c>
      <c r="BR395" s="1378"/>
      <c r="BS395" s="1407"/>
      <c r="BT395" s="1408"/>
      <c r="BU395" s="1409"/>
      <c r="BV395" s="1410"/>
      <c r="BW395" s="1378"/>
      <c r="BX395" s="1428" t="str">
        <f t="shared" si="771"/>
        <v>Rev</v>
      </c>
      <c r="BY395" s="1429" t="str">
        <f t="shared" si="772"/>
        <v>[Service]</v>
      </c>
      <c r="BZ395" s="1430" t="str">
        <f t="shared" si="773"/>
        <v>[Price]</v>
      </c>
      <c r="CA395" s="1435" t="str">
        <f t="shared" ref="CA395:CR395" si="814">IFERROR((P395/O395-1)*(O395/O$13),"-")</f>
        <v>-</v>
      </c>
      <c r="CB395" s="1431" t="str">
        <f t="shared" si="814"/>
        <v>-</v>
      </c>
      <c r="CC395" s="1431" t="str">
        <f t="shared" si="814"/>
        <v>-</v>
      </c>
      <c r="CD395" s="1431" t="str">
        <f t="shared" si="814"/>
        <v>-</v>
      </c>
      <c r="CE395" s="1431" t="str">
        <f t="shared" si="814"/>
        <v>-</v>
      </c>
      <c r="CF395" s="1431" t="str">
        <f t="shared" si="814"/>
        <v>-</v>
      </c>
      <c r="CG395" s="1431" t="str">
        <f t="shared" si="814"/>
        <v>-</v>
      </c>
      <c r="CH395" s="1433" t="str">
        <f t="shared" si="814"/>
        <v>-</v>
      </c>
      <c r="CI395" s="1431" t="str">
        <f t="shared" si="814"/>
        <v>-</v>
      </c>
      <c r="CJ395" s="1431" t="str">
        <f t="shared" si="814"/>
        <v>-</v>
      </c>
      <c r="CK395" s="1431" t="str">
        <f t="shared" si="814"/>
        <v>-</v>
      </c>
      <c r="CL395" s="1431" t="str">
        <f t="shared" si="814"/>
        <v>-</v>
      </c>
      <c r="CM395" s="1433" t="str">
        <f t="shared" si="814"/>
        <v>-</v>
      </c>
      <c r="CN395" s="1431" t="str">
        <f t="shared" si="814"/>
        <v>-</v>
      </c>
      <c r="CO395" s="1431" t="str">
        <f t="shared" si="814"/>
        <v>-</v>
      </c>
      <c r="CP395" s="1431" t="str">
        <f t="shared" si="814"/>
        <v>-</v>
      </c>
      <c r="CQ395" s="1431" t="str">
        <f t="shared" si="814"/>
        <v>-</v>
      </c>
      <c r="CR395" s="1434" t="str">
        <f t="shared" si="814"/>
        <v>-</v>
      </c>
      <c r="CS395" s="1378"/>
      <c r="CT395" s="1428" t="str">
        <f t="shared" si="749"/>
        <v>Rev</v>
      </c>
      <c r="CU395" s="1429" t="str">
        <f t="shared" si="750"/>
        <v>[Service]</v>
      </c>
      <c r="CV395" s="1429" t="str">
        <f t="shared" si="751"/>
        <v>[Price]</v>
      </c>
      <c r="CW395" s="1435" t="str">
        <f t="shared" si="775"/>
        <v>-</v>
      </c>
      <c r="CX395" s="1431" t="str">
        <f t="shared" si="776"/>
        <v>-</v>
      </c>
      <c r="CY395" s="1431" t="str">
        <f t="shared" si="777"/>
        <v>-</v>
      </c>
      <c r="CZ395" s="1434" t="str">
        <f t="shared" si="778"/>
        <v>-</v>
      </c>
      <c r="DA395" s="1431" t="str">
        <f t="shared" si="779"/>
        <v>-</v>
      </c>
      <c r="DB395" s="1431" t="str">
        <f t="shared" si="780"/>
        <v>-</v>
      </c>
      <c r="DC395" s="1431" t="str">
        <f t="shared" si="781"/>
        <v>-</v>
      </c>
      <c r="DD395" s="1431" t="str">
        <f t="shared" si="782"/>
        <v>-</v>
      </c>
      <c r="DE395" s="1434" t="str">
        <f t="shared" si="783"/>
        <v>-</v>
      </c>
      <c r="DF395" s="1378"/>
      <c r="DG395" s="1428" t="str">
        <f t="shared" si="784"/>
        <v>Rev</v>
      </c>
      <c r="DH395" s="1429" t="str">
        <f t="shared" si="784"/>
        <v>[Service]</v>
      </c>
      <c r="DI395" s="1429" t="str">
        <f t="shared" si="784"/>
        <v>[Price]</v>
      </c>
      <c r="DJ395" s="1429"/>
      <c r="DK395" s="1435" t="str">
        <f t="shared" si="785"/>
        <v>-</v>
      </c>
      <c r="DL395" s="1431" t="str">
        <f t="shared" si="786"/>
        <v>-</v>
      </c>
      <c r="DM395" s="1431" t="str">
        <f t="shared" si="787"/>
        <v>-</v>
      </c>
      <c r="DN395" s="1433" t="str">
        <f t="shared" si="788"/>
        <v>-</v>
      </c>
      <c r="DO395" s="1431" t="str">
        <f t="shared" si="789"/>
        <v>-</v>
      </c>
      <c r="DP395" s="1431" t="str">
        <f t="shared" si="790"/>
        <v>-</v>
      </c>
      <c r="DQ395" s="1431" t="str">
        <f t="shared" si="791"/>
        <v>-</v>
      </c>
      <c r="DR395" s="1434" t="str">
        <f t="shared" si="792"/>
        <v>-</v>
      </c>
    </row>
    <row r="396" spans="4:122">
      <c r="D396" s="70">
        <f>D393+1</f>
        <v>111</v>
      </c>
      <c r="E396" s="713" t="s">
        <v>44</v>
      </c>
      <c r="F396" s="1532" t="s">
        <v>27</v>
      </c>
      <c r="G396" s="1532"/>
      <c r="H396" s="1532"/>
      <c r="I396" s="781" t="s">
        <v>318</v>
      </c>
      <c r="J396" s="781" t="s">
        <v>345</v>
      </c>
      <c r="K396" s="1533"/>
      <c r="L396" s="1534"/>
      <c r="M396" s="1534"/>
      <c r="N396" s="1535"/>
      <c r="O396" s="2071"/>
      <c r="P396" s="1547"/>
      <c r="Q396" s="1547"/>
      <c r="R396" s="1547"/>
      <c r="S396" s="1547"/>
      <c r="T396" s="1547"/>
      <c r="U396" s="1547"/>
      <c r="V396" s="1547"/>
      <c r="W396" s="1547"/>
      <c r="X396" s="1548"/>
      <c r="Y396" s="1547"/>
      <c r="Z396" s="1547"/>
      <c r="AA396" s="1547"/>
      <c r="AB396" s="1547"/>
      <c r="AC396" s="1548"/>
      <c r="AD396" s="1547"/>
      <c r="AE396" s="1547"/>
      <c r="AF396" s="1547"/>
      <c r="AG396" s="785"/>
      <c r="AH396" s="697"/>
      <c r="AI396" s="707"/>
      <c r="AJ396" s="709">
        <f t="shared" si="796"/>
        <v>0</v>
      </c>
      <c r="AK396" s="710">
        <f t="shared" si="797"/>
        <v>0</v>
      </c>
      <c r="AL396" s="710">
        <f t="shared" si="798"/>
        <v>0</v>
      </c>
      <c r="AM396" s="710">
        <f t="shared" si="799"/>
        <v>0</v>
      </c>
      <c r="AN396" s="710">
        <f t="shared" si="800"/>
        <v>0</v>
      </c>
      <c r="AO396" s="711">
        <f t="shared" si="801"/>
        <v>0</v>
      </c>
      <c r="AP396" s="707">
        <f t="shared" si="802"/>
        <v>0</v>
      </c>
      <c r="AQ396" s="707">
        <f t="shared" si="803"/>
        <v>0</v>
      </c>
      <c r="AR396" s="707">
        <f t="shared" si="804"/>
        <v>0</v>
      </c>
      <c r="AS396" s="712">
        <f t="shared" si="805"/>
        <v>0</v>
      </c>
      <c r="AU396" s="1369"/>
      <c r="AV396" s="1559"/>
      <c r="AW396" s="1412" t="str">
        <f t="shared" si="753"/>
        <v>Price</v>
      </c>
      <c r="AX396" s="1413" t="str">
        <f t="shared" si="753"/>
        <v>[Service]</v>
      </c>
      <c r="AY396" s="1414" t="str">
        <f t="shared" si="754"/>
        <v>[Price]</v>
      </c>
      <c r="AZ396" s="1415" t="str">
        <f t="shared" si="755"/>
        <v>-</v>
      </c>
      <c r="BA396" s="1415" t="str">
        <f t="shared" si="755"/>
        <v>-</v>
      </c>
      <c r="BB396" s="1415" t="str">
        <f t="shared" si="755"/>
        <v>-</v>
      </c>
      <c r="BC396" s="1415" t="str">
        <f t="shared" si="756"/>
        <v>-</v>
      </c>
      <c r="BD396" s="1415" t="str">
        <f t="shared" si="757"/>
        <v>-</v>
      </c>
      <c r="BE396" s="1415" t="str">
        <f t="shared" si="758"/>
        <v>-</v>
      </c>
      <c r="BF396" s="1415" t="str">
        <f t="shared" si="759"/>
        <v>-</v>
      </c>
      <c r="BG396" s="1416" t="str">
        <f t="shared" si="760"/>
        <v>-</v>
      </c>
      <c r="BH396" s="1417" t="str">
        <f t="shared" si="761"/>
        <v>-</v>
      </c>
      <c r="BI396" s="1417" t="str">
        <f t="shared" si="762"/>
        <v>-</v>
      </c>
      <c r="BJ396" s="1417" t="str">
        <f t="shared" si="763"/>
        <v>-</v>
      </c>
      <c r="BK396" s="1417" t="str">
        <f t="shared" si="764"/>
        <v>-</v>
      </c>
      <c r="BL396" s="1418" t="str">
        <f t="shared" si="765"/>
        <v>-</v>
      </c>
      <c r="BM396" s="1417" t="str">
        <f t="shared" si="766"/>
        <v>-</v>
      </c>
      <c r="BN396" s="1417" t="str">
        <f t="shared" si="767"/>
        <v>-</v>
      </c>
      <c r="BO396" s="1417" t="str">
        <f t="shared" si="768"/>
        <v>-</v>
      </c>
      <c r="BP396" s="1417" t="str">
        <f t="shared" si="769"/>
        <v>-</v>
      </c>
      <c r="BQ396" s="1419" t="str">
        <f t="shared" si="770"/>
        <v>-</v>
      </c>
      <c r="BR396" s="1378"/>
      <c r="BS396" s="1420"/>
      <c r="BT396" s="1421"/>
      <c r="BU396" s="1422"/>
      <c r="BV396" s="1423"/>
      <c r="BW396" s="1378"/>
      <c r="BX396" s="1412" t="str">
        <f t="shared" si="771"/>
        <v>Price</v>
      </c>
      <c r="BY396" s="1413" t="str">
        <f t="shared" si="772"/>
        <v>[Service]</v>
      </c>
      <c r="BZ396" s="1414" t="str">
        <f t="shared" si="773"/>
        <v>[Price]</v>
      </c>
      <c r="CA396" s="1424" t="str">
        <f t="shared" ref="CA396:CR396" si="815">IFERROR((P396/O396-1)*(O398/O$13),"-")</f>
        <v>-</v>
      </c>
      <c r="CB396" s="1415" t="str">
        <f t="shared" si="815"/>
        <v>-</v>
      </c>
      <c r="CC396" s="1415" t="str">
        <f t="shared" si="815"/>
        <v>-</v>
      </c>
      <c r="CD396" s="1415" t="str">
        <f t="shared" si="815"/>
        <v>-</v>
      </c>
      <c r="CE396" s="1415" t="str">
        <f t="shared" si="815"/>
        <v>-</v>
      </c>
      <c r="CF396" s="1415" t="str">
        <f t="shared" si="815"/>
        <v>-</v>
      </c>
      <c r="CG396" s="1415" t="str">
        <f t="shared" si="815"/>
        <v>-</v>
      </c>
      <c r="CH396" s="1425" t="str">
        <f t="shared" si="815"/>
        <v>-</v>
      </c>
      <c r="CI396" s="1417" t="str">
        <f t="shared" si="815"/>
        <v>-</v>
      </c>
      <c r="CJ396" s="1417" t="str">
        <f t="shared" si="815"/>
        <v>-</v>
      </c>
      <c r="CK396" s="1417" t="str">
        <f t="shared" si="815"/>
        <v>-</v>
      </c>
      <c r="CL396" s="1417" t="str">
        <f t="shared" si="815"/>
        <v>-</v>
      </c>
      <c r="CM396" s="1418" t="str">
        <f t="shared" si="815"/>
        <v>-</v>
      </c>
      <c r="CN396" s="1417" t="str">
        <f t="shared" si="815"/>
        <v>-</v>
      </c>
      <c r="CO396" s="1417" t="str">
        <f t="shared" si="815"/>
        <v>-</v>
      </c>
      <c r="CP396" s="1417" t="str">
        <f t="shared" si="815"/>
        <v>-</v>
      </c>
      <c r="CQ396" s="1417" t="str">
        <f t="shared" si="815"/>
        <v>-</v>
      </c>
      <c r="CR396" s="1419" t="str">
        <f t="shared" si="815"/>
        <v>-</v>
      </c>
      <c r="CS396" s="1378"/>
      <c r="CT396" s="1412" t="str">
        <f t="shared" si="749"/>
        <v>Price</v>
      </c>
      <c r="CU396" s="1413" t="str">
        <f t="shared" si="750"/>
        <v>[Service]</v>
      </c>
      <c r="CV396" s="1426" t="str">
        <f t="shared" si="751"/>
        <v>[Price]</v>
      </c>
      <c r="CW396" s="1427" t="str">
        <f t="shared" si="775"/>
        <v>-</v>
      </c>
      <c r="CX396" s="1417" t="str">
        <f t="shared" si="776"/>
        <v>-</v>
      </c>
      <c r="CY396" s="1417" t="str">
        <f t="shared" si="777"/>
        <v>-</v>
      </c>
      <c r="CZ396" s="1419" t="str">
        <f t="shared" si="778"/>
        <v>-</v>
      </c>
      <c r="DA396" s="1417" t="str">
        <f t="shared" si="779"/>
        <v>-</v>
      </c>
      <c r="DB396" s="1417" t="str">
        <f t="shared" si="780"/>
        <v>-</v>
      </c>
      <c r="DC396" s="1417" t="str">
        <f t="shared" si="781"/>
        <v>-</v>
      </c>
      <c r="DD396" s="1417" t="str">
        <f t="shared" si="782"/>
        <v>-</v>
      </c>
      <c r="DE396" s="1419" t="str">
        <f t="shared" si="783"/>
        <v>-</v>
      </c>
      <c r="DF396" s="1378"/>
      <c r="DG396" s="1412" t="str">
        <f t="shared" si="784"/>
        <v>Price</v>
      </c>
      <c r="DH396" s="1413" t="str">
        <f t="shared" si="784"/>
        <v>[Service]</v>
      </c>
      <c r="DI396" s="1426" t="str">
        <f t="shared" si="784"/>
        <v>[Price]</v>
      </c>
      <c r="DJ396" s="1426"/>
      <c r="DK396" s="1427" t="str">
        <f t="shared" si="785"/>
        <v>-</v>
      </c>
      <c r="DL396" s="1417" t="str">
        <f t="shared" si="786"/>
        <v>-</v>
      </c>
      <c r="DM396" s="1417" t="str">
        <f t="shared" si="787"/>
        <v>-</v>
      </c>
      <c r="DN396" s="1418" t="str">
        <f t="shared" si="788"/>
        <v>-</v>
      </c>
      <c r="DO396" s="1417" t="str">
        <f t="shared" si="789"/>
        <v>-</v>
      </c>
      <c r="DP396" s="1417" t="str">
        <f t="shared" si="790"/>
        <v>-</v>
      </c>
      <c r="DQ396" s="1417" t="str">
        <f t="shared" si="791"/>
        <v>-</v>
      </c>
      <c r="DR396" s="1419" t="str">
        <f t="shared" si="792"/>
        <v>-</v>
      </c>
    </row>
    <row r="397" spans="4:122">
      <c r="E397" s="742" t="s">
        <v>45</v>
      </c>
      <c r="F397" s="722" t="str">
        <f>+F396</f>
        <v>[Service]</v>
      </c>
      <c r="G397" s="723">
        <f>+G396</f>
        <v>0</v>
      </c>
      <c r="H397" s="723">
        <f>+H396</f>
        <v>0</v>
      </c>
      <c r="I397" s="724" t="str">
        <f>+I396</f>
        <v>[Price]</v>
      </c>
      <c r="J397" s="782" t="s">
        <v>322</v>
      </c>
      <c r="K397" s="1540"/>
      <c r="L397" s="1541"/>
      <c r="M397" s="1541"/>
      <c r="N397" s="1542"/>
      <c r="O397" s="2031"/>
      <c r="P397" s="1543"/>
      <c r="Q397" s="1543"/>
      <c r="R397" s="1543"/>
      <c r="S397" s="1543"/>
      <c r="T397" s="1543"/>
      <c r="U397" s="1543"/>
      <c r="V397" s="1543"/>
      <c r="W397" s="1543"/>
      <c r="X397" s="1544"/>
      <c r="Y397" s="1543"/>
      <c r="Z397" s="1543"/>
      <c r="AA397" s="1543"/>
      <c r="AB397" s="1543"/>
      <c r="AC397" s="1544"/>
      <c r="AD397" s="1543"/>
      <c r="AE397" s="1543"/>
      <c r="AF397" s="1543"/>
      <c r="AG397" s="788"/>
      <c r="AH397" s="697"/>
      <c r="AI397" s="707"/>
      <c r="AJ397" s="709">
        <f t="shared" si="796"/>
        <v>0</v>
      </c>
      <c r="AK397" s="710">
        <f t="shared" si="797"/>
        <v>0</v>
      </c>
      <c r="AL397" s="710">
        <f t="shared" si="798"/>
        <v>0</v>
      </c>
      <c r="AM397" s="710">
        <f t="shared" si="799"/>
        <v>0</v>
      </c>
      <c r="AN397" s="710">
        <f t="shared" si="800"/>
        <v>0</v>
      </c>
      <c r="AO397" s="711">
        <f t="shared" si="801"/>
        <v>0</v>
      </c>
      <c r="AP397" s="707">
        <f t="shared" si="802"/>
        <v>0</v>
      </c>
      <c r="AQ397" s="707">
        <f t="shared" si="803"/>
        <v>0</v>
      </c>
      <c r="AR397" s="707">
        <f t="shared" si="804"/>
        <v>0</v>
      </c>
      <c r="AS397" s="712">
        <f t="shared" si="805"/>
        <v>0</v>
      </c>
      <c r="AV397" s="1559"/>
      <c r="AW397" s="1392" t="str">
        <f t="shared" si="753"/>
        <v>Qty</v>
      </c>
      <c r="AX397" s="1393" t="str">
        <f t="shared" si="753"/>
        <v>[Service]</v>
      </c>
      <c r="AY397" s="1394" t="str">
        <f t="shared" si="754"/>
        <v>[Price]</v>
      </c>
      <c r="AZ397" s="1395" t="str">
        <f t="shared" si="755"/>
        <v>-</v>
      </c>
      <c r="BA397" s="1395" t="str">
        <f t="shared" si="755"/>
        <v>-</v>
      </c>
      <c r="BB397" s="1395" t="str">
        <f t="shared" si="755"/>
        <v>-</v>
      </c>
      <c r="BC397" s="1395" t="str">
        <f t="shared" si="756"/>
        <v>-</v>
      </c>
      <c r="BD397" s="1395" t="str">
        <f t="shared" si="757"/>
        <v>-</v>
      </c>
      <c r="BE397" s="1395" t="str">
        <f t="shared" si="758"/>
        <v>-</v>
      </c>
      <c r="BF397" s="1395" t="str">
        <f t="shared" si="759"/>
        <v>-</v>
      </c>
      <c r="BG397" s="1396" t="str">
        <f t="shared" si="760"/>
        <v>-</v>
      </c>
      <c r="BH397" s="1395" t="str">
        <f t="shared" si="761"/>
        <v>-</v>
      </c>
      <c r="BI397" s="1395" t="str">
        <f t="shared" si="762"/>
        <v>-</v>
      </c>
      <c r="BJ397" s="1395" t="str">
        <f t="shared" si="763"/>
        <v>-</v>
      </c>
      <c r="BK397" s="1395" t="str">
        <f t="shared" si="764"/>
        <v>-</v>
      </c>
      <c r="BL397" s="1397" t="str">
        <f t="shared" si="765"/>
        <v>-</v>
      </c>
      <c r="BM397" s="1395" t="str">
        <f t="shared" si="766"/>
        <v>-</v>
      </c>
      <c r="BN397" s="1395" t="str">
        <f t="shared" si="767"/>
        <v>-</v>
      </c>
      <c r="BO397" s="1395" t="str">
        <f t="shared" si="768"/>
        <v>-</v>
      </c>
      <c r="BP397" s="1395" t="str">
        <f t="shared" si="769"/>
        <v>-</v>
      </c>
      <c r="BQ397" s="1398" t="str">
        <f t="shared" si="770"/>
        <v>-</v>
      </c>
      <c r="BR397" s="1378"/>
      <c r="BS397" s="1329"/>
      <c r="BT397" s="1399"/>
      <c r="BU397" s="1331"/>
      <c r="BV397" s="1400"/>
      <c r="BW397" s="1378"/>
      <c r="BX397" s="1392" t="str">
        <f t="shared" si="771"/>
        <v>Qty</v>
      </c>
      <c r="BY397" s="1393" t="str">
        <f t="shared" si="772"/>
        <v>[Service]</v>
      </c>
      <c r="BZ397" s="1394" t="str">
        <f t="shared" si="773"/>
        <v>[Price]</v>
      </c>
      <c r="CA397" s="1401" t="str">
        <f t="shared" ref="CA397:CR397" si="816">IFERROR((P397/O397-1)*(O398/O$13),"-")</f>
        <v>-</v>
      </c>
      <c r="CB397" s="1395" t="str">
        <f t="shared" si="816"/>
        <v>-</v>
      </c>
      <c r="CC397" s="1395" t="str">
        <f t="shared" si="816"/>
        <v>-</v>
      </c>
      <c r="CD397" s="1395" t="str">
        <f t="shared" si="816"/>
        <v>-</v>
      </c>
      <c r="CE397" s="1395" t="str">
        <f t="shared" si="816"/>
        <v>-</v>
      </c>
      <c r="CF397" s="1395" t="str">
        <f t="shared" si="816"/>
        <v>-</v>
      </c>
      <c r="CG397" s="1395" t="str">
        <f t="shared" si="816"/>
        <v>-</v>
      </c>
      <c r="CH397" s="1397" t="str">
        <f t="shared" si="816"/>
        <v>-</v>
      </c>
      <c r="CI397" s="1395" t="str">
        <f t="shared" si="816"/>
        <v>-</v>
      </c>
      <c r="CJ397" s="1395" t="str">
        <f t="shared" si="816"/>
        <v>-</v>
      </c>
      <c r="CK397" s="1395" t="str">
        <f t="shared" si="816"/>
        <v>-</v>
      </c>
      <c r="CL397" s="1395" t="str">
        <f t="shared" si="816"/>
        <v>-</v>
      </c>
      <c r="CM397" s="1397" t="str">
        <f t="shared" si="816"/>
        <v>-</v>
      </c>
      <c r="CN397" s="1395" t="str">
        <f t="shared" si="816"/>
        <v>-</v>
      </c>
      <c r="CO397" s="1395" t="str">
        <f t="shared" si="816"/>
        <v>-</v>
      </c>
      <c r="CP397" s="1395" t="str">
        <f t="shared" si="816"/>
        <v>-</v>
      </c>
      <c r="CQ397" s="1395" t="str">
        <f t="shared" si="816"/>
        <v>-</v>
      </c>
      <c r="CR397" s="1398" t="str">
        <f t="shared" si="816"/>
        <v>-</v>
      </c>
      <c r="CS397" s="1378"/>
      <c r="CT397" s="1392" t="str">
        <f t="shared" si="749"/>
        <v>Qty</v>
      </c>
      <c r="CU397" s="1393" t="str">
        <f t="shared" si="750"/>
        <v>[Service]</v>
      </c>
      <c r="CV397" s="1393" t="str">
        <f t="shared" si="751"/>
        <v>[Price]</v>
      </c>
      <c r="CW397" s="1401" t="str">
        <f t="shared" si="775"/>
        <v>-</v>
      </c>
      <c r="CX397" s="1395" t="str">
        <f t="shared" si="776"/>
        <v>-</v>
      </c>
      <c r="CY397" s="1395" t="str">
        <f t="shared" si="777"/>
        <v>-</v>
      </c>
      <c r="CZ397" s="1398" t="str">
        <f t="shared" si="778"/>
        <v>-</v>
      </c>
      <c r="DA397" s="1395" t="str">
        <f t="shared" si="779"/>
        <v>-</v>
      </c>
      <c r="DB397" s="1395" t="str">
        <f t="shared" si="780"/>
        <v>-</v>
      </c>
      <c r="DC397" s="1395" t="str">
        <f t="shared" si="781"/>
        <v>-</v>
      </c>
      <c r="DD397" s="1395" t="str">
        <f t="shared" si="782"/>
        <v>-</v>
      </c>
      <c r="DE397" s="1398" t="str">
        <f t="shared" si="783"/>
        <v>-</v>
      </c>
      <c r="DF397" s="1378"/>
      <c r="DG397" s="1392" t="str">
        <f t="shared" si="784"/>
        <v>Qty</v>
      </c>
      <c r="DH397" s="1393" t="str">
        <f t="shared" si="784"/>
        <v>[Service]</v>
      </c>
      <c r="DI397" s="1393" t="str">
        <f t="shared" si="784"/>
        <v>[Price]</v>
      </c>
      <c r="DJ397" s="1393"/>
      <c r="DK397" s="1401" t="str">
        <f t="shared" si="785"/>
        <v>-</v>
      </c>
      <c r="DL397" s="1395" t="str">
        <f t="shared" si="786"/>
        <v>-</v>
      </c>
      <c r="DM397" s="1395" t="str">
        <f t="shared" si="787"/>
        <v>-</v>
      </c>
      <c r="DN397" s="1397" t="str">
        <f t="shared" si="788"/>
        <v>-</v>
      </c>
      <c r="DO397" s="1395" t="str">
        <f t="shared" si="789"/>
        <v>-</v>
      </c>
      <c r="DP397" s="1395" t="str">
        <f t="shared" si="790"/>
        <v>-</v>
      </c>
      <c r="DQ397" s="1395" t="str">
        <f t="shared" si="791"/>
        <v>-</v>
      </c>
      <c r="DR397" s="1398" t="str">
        <f t="shared" si="792"/>
        <v>-</v>
      </c>
    </row>
    <row r="398" spans="4:122" ht="12.75" thickBot="1">
      <c r="E398" s="743" t="s">
        <v>46</v>
      </c>
      <c r="F398" s="732" t="str">
        <f>+F396</f>
        <v>[Service]</v>
      </c>
      <c r="G398" s="733">
        <f>+G396</f>
        <v>0</v>
      </c>
      <c r="H398" s="733">
        <f>+H396</f>
        <v>0</v>
      </c>
      <c r="I398" s="734" t="str">
        <f>+I396</f>
        <v>[Price]</v>
      </c>
      <c r="J398" s="735" t="s">
        <v>344</v>
      </c>
      <c r="K398" s="736">
        <f t="shared" ref="K398:AG398" si="817">K396*K397/10^6</f>
        <v>0</v>
      </c>
      <c r="L398" s="737">
        <f t="shared" si="817"/>
        <v>0</v>
      </c>
      <c r="M398" s="737">
        <f t="shared" si="817"/>
        <v>0</v>
      </c>
      <c r="N398" s="738">
        <f t="shared" si="817"/>
        <v>0</v>
      </c>
      <c r="O398" s="1923">
        <f t="shared" si="817"/>
        <v>0</v>
      </c>
      <c r="P398" s="737">
        <f t="shared" si="817"/>
        <v>0</v>
      </c>
      <c r="Q398" s="737">
        <f t="shared" si="817"/>
        <v>0</v>
      </c>
      <c r="R398" s="737">
        <f t="shared" si="817"/>
        <v>0</v>
      </c>
      <c r="S398" s="737">
        <f t="shared" si="817"/>
        <v>0</v>
      </c>
      <c r="T398" s="737">
        <f t="shared" si="817"/>
        <v>0</v>
      </c>
      <c r="U398" s="737">
        <f t="shared" si="817"/>
        <v>0</v>
      </c>
      <c r="V398" s="737">
        <f t="shared" si="817"/>
        <v>0</v>
      </c>
      <c r="W398" s="737">
        <f t="shared" si="817"/>
        <v>0</v>
      </c>
      <c r="X398" s="738">
        <f t="shared" si="817"/>
        <v>0</v>
      </c>
      <c r="Y398" s="737">
        <f t="shared" si="817"/>
        <v>0</v>
      </c>
      <c r="Z398" s="737">
        <f t="shared" si="817"/>
        <v>0</v>
      </c>
      <c r="AA398" s="737">
        <f t="shared" si="817"/>
        <v>0</v>
      </c>
      <c r="AB398" s="737">
        <f t="shared" si="817"/>
        <v>0</v>
      </c>
      <c r="AC398" s="738">
        <f t="shared" si="817"/>
        <v>0</v>
      </c>
      <c r="AD398" s="737">
        <f t="shared" si="817"/>
        <v>0</v>
      </c>
      <c r="AE398" s="737">
        <f t="shared" si="817"/>
        <v>0</v>
      </c>
      <c r="AF398" s="737">
        <f t="shared" si="817"/>
        <v>0</v>
      </c>
      <c r="AG398" s="739">
        <f t="shared" si="817"/>
        <v>0</v>
      </c>
      <c r="AH398" s="697"/>
      <c r="AI398" s="707"/>
      <c r="AJ398" s="709">
        <f t="shared" si="796"/>
        <v>0</v>
      </c>
      <c r="AK398" s="710">
        <f t="shared" si="797"/>
        <v>0</v>
      </c>
      <c r="AL398" s="710">
        <f t="shared" si="798"/>
        <v>0</v>
      </c>
      <c r="AM398" s="710">
        <f t="shared" si="799"/>
        <v>0</v>
      </c>
      <c r="AN398" s="710">
        <f t="shared" si="800"/>
        <v>0</v>
      </c>
      <c r="AO398" s="711">
        <f t="shared" si="801"/>
        <v>0</v>
      </c>
      <c r="AP398" s="707">
        <f t="shared" si="802"/>
        <v>0</v>
      </c>
      <c r="AQ398" s="707">
        <f t="shared" si="803"/>
        <v>0</v>
      </c>
      <c r="AR398" s="707">
        <f t="shared" si="804"/>
        <v>0</v>
      </c>
      <c r="AS398" s="712">
        <f t="shared" si="805"/>
        <v>0</v>
      </c>
      <c r="AV398" s="1559"/>
      <c r="AW398" s="1428" t="str">
        <f t="shared" si="753"/>
        <v>Rev</v>
      </c>
      <c r="AX398" s="1429" t="str">
        <f t="shared" si="753"/>
        <v>[Service]</v>
      </c>
      <c r="AY398" s="1430" t="str">
        <f t="shared" si="754"/>
        <v>[Price]</v>
      </c>
      <c r="AZ398" s="1431" t="str">
        <f t="shared" si="755"/>
        <v>-</v>
      </c>
      <c r="BA398" s="1431" t="str">
        <f t="shared" si="755"/>
        <v>-</v>
      </c>
      <c r="BB398" s="1431" t="str">
        <f t="shared" si="755"/>
        <v>-</v>
      </c>
      <c r="BC398" s="1431" t="str">
        <f t="shared" si="756"/>
        <v>-</v>
      </c>
      <c r="BD398" s="1431" t="str">
        <f t="shared" si="757"/>
        <v>-</v>
      </c>
      <c r="BE398" s="1431" t="str">
        <f t="shared" si="758"/>
        <v>-</v>
      </c>
      <c r="BF398" s="1431" t="str">
        <f t="shared" si="759"/>
        <v>-</v>
      </c>
      <c r="BG398" s="1432" t="str">
        <f t="shared" si="760"/>
        <v>-</v>
      </c>
      <c r="BH398" s="1431" t="str">
        <f t="shared" si="761"/>
        <v>-</v>
      </c>
      <c r="BI398" s="1431" t="str">
        <f t="shared" si="762"/>
        <v>-</v>
      </c>
      <c r="BJ398" s="1431" t="str">
        <f t="shared" si="763"/>
        <v>-</v>
      </c>
      <c r="BK398" s="1431" t="str">
        <f t="shared" si="764"/>
        <v>-</v>
      </c>
      <c r="BL398" s="1433" t="str">
        <f t="shared" si="765"/>
        <v>-</v>
      </c>
      <c r="BM398" s="1431" t="str">
        <f t="shared" si="766"/>
        <v>-</v>
      </c>
      <c r="BN398" s="1431" t="str">
        <f t="shared" si="767"/>
        <v>-</v>
      </c>
      <c r="BO398" s="1431" t="str">
        <f t="shared" si="768"/>
        <v>-</v>
      </c>
      <c r="BP398" s="1431" t="str">
        <f t="shared" si="769"/>
        <v>-</v>
      </c>
      <c r="BQ398" s="1434" t="str">
        <f t="shared" si="770"/>
        <v>-</v>
      </c>
      <c r="BR398" s="1378"/>
      <c r="BS398" s="1407"/>
      <c r="BT398" s="1408"/>
      <c r="BU398" s="1409"/>
      <c r="BV398" s="1410"/>
      <c r="BW398" s="1378"/>
      <c r="BX398" s="1428" t="str">
        <f t="shared" si="771"/>
        <v>Rev</v>
      </c>
      <c r="BY398" s="1429" t="str">
        <f t="shared" si="772"/>
        <v>[Service]</v>
      </c>
      <c r="BZ398" s="1430" t="str">
        <f t="shared" si="773"/>
        <v>[Price]</v>
      </c>
      <c r="CA398" s="1435" t="str">
        <f t="shared" ref="CA398:CR398" si="818">IFERROR((P398/O398-1)*(O398/O$13),"-")</f>
        <v>-</v>
      </c>
      <c r="CB398" s="1431" t="str">
        <f t="shared" si="818"/>
        <v>-</v>
      </c>
      <c r="CC398" s="1431" t="str">
        <f t="shared" si="818"/>
        <v>-</v>
      </c>
      <c r="CD398" s="1431" t="str">
        <f t="shared" si="818"/>
        <v>-</v>
      </c>
      <c r="CE398" s="1431" t="str">
        <f t="shared" si="818"/>
        <v>-</v>
      </c>
      <c r="CF398" s="1431" t="str">
        <f t="shared" si="818"/>
        <v>-</v>
      </c>
      <c r="CG398" s="1431" t="str">
        <f t="shared" si="818"/>
        <v>-</v>
      </c>
      <c r="CH398" s="1433" t="str">
        <f t="shared" si="818"/>
        <v>-</v>
      </c>
      <c r="CI398" s="1431" t="str">
        <f t="shared" si="818"/>
        <v>-</v>
      </c>
      <c r="CJ398" s="1431" t="str">
        <f t="shared" si="818"/>
        <v>-</v>
      </c>
      <c r="CK398" s="1431" t="str">
        <f t="shared" si="818"/>
        <v>-</v>
      </c>
      <c r="CL398" s="1431" t="str">
        <f t="shared" si="818"/>
        <v>-</v>
      </c>
      <c r="CM398" s="1433" t="str">
        <f t="shared" si="818"/>
        <v>-</v>
      </c>
      <c r="CN398" s="1431" t="str">
        <f t="shared" si="818"/>
        <v>-</v>
      </c>
      <c r="CO398" s="1431" t="str">
        <f t="shared" si="818"/>
        <v>-</v>
      </c>
      <c r="CP398" s="1431" t="str">
        <f t="shared" si="818"/>
        <v>-</v>
      </c>
      <c r="CQ398" s="1431" t="str">
        <f t="shared" si="818"/>
        <v>-</v>
      </c>
      <c r="CR398" s="1434" t="str">
        <f t="shared" si="818"/>
        <v>-</v>
      </c>
      <c r="CS398" s="1378"/>
      <c r="CT398" s="1428" t="str">
        <f t="shared" si="749"/>
        <v>Rev</v>
      </c>
      <c r="CU398" s="1429" t="str">
        <f t="shared" si="750"/>
        <v>[Service]</v>
      </c>
      <c r="CV398" s="1429" t="str">
        <f t="shared" si="751"/>
        <v>[Price]</v>
      </c>
      <c r="CW398" s="1435" t="str">
        <f t="shared" si="775"/>
        <v>-</v>
      </c>
      <c r="CX398" s="1431" t="str">
        <f t="shared" si="776"/>
        <v>-</v>
      </c>
      <c r="CY398" s="1431" t="str">
        <f t="shared" si="777"/>
        <v>-</v>
      </c>
      <c r="CZ398" s="1434" t="str">
        <f t="shared" si="778"/>
        <v>-</v>
      </c>
      <c r="DA398" s="1431" t="str">
        <f t="shared" si="779"/>
        <v>-</v>
      </c>
      <c r="DB398" s="1431" t="str">
        <f t="shared" si="780"/>
        <v>-</v>
      </c>
      <c r="DC398" s="1431" t="str">
        <f t="shared" si="781"/>
        <v>-</v>
      </c>
      <c r="DD398" s="1431" t="str">
        <f t="shared" si="782"/>
        <v>-</v>
      </c>
      <c r="DE398" s="1434" t="str">
        <f t="shared" si="783"/>
        <v>-</v>
      </c>
      <c r="DF398" s="1378"/>
      <c r="DG398" s="1428" t="str">
        <f t="shared" si="784"/>
        <v>Rev</v>
      </c>
      <c r="DH398" s="1429" t="str">
        <f t="shared" si="784"/>
        <v>[Service]</v>
      </c>
      <c r="DI398" s="1429" t="str">
        <f t="shared" si="784"/>
        <v>[Price]</v>
      </c>
      <c r="DJ398" s="1429"/>
      <c r="DK398" s="1435" t="str">
        <f t="shared" si="785"/>
        <v>-</v>
      </c>
      <c r="DL398" s="1431" t="str">
        <f t="shared" si="786"/>
        <v>-</v>
      </c>
      <c r="DM398" s="1431" t="str">
        <f t="shared" si="787"/>
        <v>-</v>
      </c>
      <c r="DN398" s="1433" t="str">
        <f t="shared" si="788"/>
        <v>-</v>
      </c>
      <c r="DO398" s="1431" t="str">
        <f t="shared" si="789"/>
        <v>-</v>
      </c>
      <c r="DP398" s="1431" t="str">
        <f t="shared" si="790"/>
        <v>-</v>
      </c>
      <c r="DQ398" s="1431" t="str">
        <f t="shared" si="791"/>
        <v>-</v>
      </c>
      <c r="DR398" s="1434" t="str">
        <f t="shared" si="792"/>
        <v>-</v>
      </c>
    </row>
    <row r="399" spans="4:122">
      <c r="D399" s="70">
        <f>D396+1</f>
        <v>112</v>
      </c>
      <c r="E399" s="713" t="s">
        <v>44</v>
      </c>
      <c r="F399" s="1532" t="s">
        <v>27</v>
      </c>
      <c r="G399" s="1532"/>
      <c r="H399" s="1532"/>
      <c r="I399" s="781" t="s">
        <v>318</v>
      </c>
      <c r="J399" s="781" t="s">
        <v>345</v>
      </c>
      <c r="K399" s="1533"/>
      <c r="L399" s="1534"/>
      <c r="M399" s="1534"/>
      <c r="N399" s="1535"/>
      <c r="O399" s="2071"/>
      <c r="P399" s="1547"/>
      <c r="Q399" s="1547"/>
      <c r="R399" s="1547"/>
      <c r="S399" s="1547"/>
      <c r="T399" s="1547"/>
      <c r="U399" s="1547"/>
      <c r="V399" s="1547"/>
      <c r="W399" s="1547"/>
      <c r="X399" s="1548"/>
      <c r="Y399" s="1547"/>
      <c r="Z399" s="1547"/>
      <c r="AA399" s="1547"/>
      <c r="AB399" s="1547"/>
      <c r="AC399" s="1548"/>
      <c r="AD399" s="1547"/>
      <c r="AE399" s="1547"/>
      <c r="AF399" s="1547"/>
      <c r="AG399" s="785"/>
      <c r="AH399" s="697"/>
      <c r="AI399" s="707"/>
      <c r="AJ399" s="709">
        <f t="shared" si="796"/>
        <v>0</v>
      </c>
      <c r="AK399" s="710">
        <f t="shared" si="797"/>
        <v>0</v>
      </c>
      <c r="AL399" s="710">
        <f t="shared" si="798"/>
        <v>0</v>
      </c>
      <c r="AM399" s="710">
        <f t="shared" si="799"/>
        <v>0</v>
      </c>
      <c r="AN399" s="710">
        <f t="shared" si="800"/>
        <v>0</v>
      </c>
      <c r="AO399" s="711">
        <f t="shared" si="801"/>
        <v>0</v>
      </c>
      <c r="AP399" s="707">
        <f t="shared" si="802"/>
        <v>0</v>
      </c>
      <c r="AQ399" s="707">
        <f t="shared" si="803"/>
        <v>0</v>
      </c>
      <c r="AR399" s="707">
        <f t="shared" si="804"/>
        <v>0</v>
      </c>
      <c r="AS399" s="712">
        <f t="shared" si="805"/>
        <v>0</v>
      </c>
      <c r="AU399" s="1369"/>
      <c r="AV399" s="1559"/>
      <c r="AW399" s="1412" t="str">
        <f t="shared" si="753"/>
        <v>Price</v>
      </c>
      <c r="AX399" s="1413" t="str">
        <f t="shared" si="753"/>
        <v>[Service]</v>
      </c>
      <c r="AY399" s="1414" t="str">
        <f t="shared" si="754"/>
        <v>[Price]</v>
      </c>
      <c r="AZ399" s="1415" t="str">
        <f t="shared" si="755"/>
        <v>-</v>
      </c>
      <c r="BA399" s="1415" t="str">
        <f t="shared" si="755"/>
        <v>-</v>
      </c>
      <c r="BB399" s="1415" t="str">
        <f t="shared" si="755"/>
        <v>-</v>
      </c>
      <c r="BC399" s="1415" t="str">
        <f t="shared" si="756"/>
        <v>-</v>
      </c>
      <c r="BD399" s="1415" t="str">
        <f t="shared" si="757"/>
        <v>-</v>
      </c>
      <c r="BE399" s="1415" t="str">
        <f t="shared" si="758"/>
        <v>-</v>
      </c>
      <c r="BF399" s="1415" t="str">
        <f t="shared" si="759"/>
        <v>-</v>
      </c>
      <c r="BG399" s="1416" t="str">
        <f t="shared" si="760"/>
        <v>-</v>
      </c>
      <c r="BH399" s="1417" t="str">
        <f t="shared" si="761"/>
        <v>-</v>
      </c>
      <c r="BI399" s="1417" t="str">
        <f t="shared" si="762"/>
        <v>-</v>
      </c>
      <c r="BJ399" s="1417" t="str">
        <f t="shared" si="763"/>
        <v>-</v>
      </c>
      <c r="BK399" s="1417" t="str">
        <f t="shared" si="764"/>
        <v>-</v>
      </c>
      <c r="BL399" s="1418" t="str">
        <f t="shared" si="765"/>
        <v>-</v>
      </c>
      <c r="BM399" s="1417" t="str">
        <f t="shared" si="766"/>
        <v>-</v>
      </c>
      <c r="BN399" s="1417" t="str">
        <f t="shared" si="767"/>
        <v>-</v>
      </c>
      <c r="BO399" s="1417" t="str">
        <f t="shared" si="768"/>
        <v>-</v>
      </c>
      <c r="BP399" s="1417" t="str">
        <f t="shared" si="769"/>
        <v>-</v>
      </c>
      <c r="BQ399" s="1419" t="str">
        <f t="shared" si="770"/>
        <v>-</v>
      </c>
      <c r="BR399" s="1378"/>
      <c r="BS399" s="1420"/>
      <c r="BT399" s="1421"/>
      <c r="BU399" s="1422"/>
      <c r="BV399" s="1423"/>
      <c r="BW399" s="1378"/>
      <c r="BX399" s="1412" t="str">
        <f t="shared" si="771"/>
        <v>Price</v>
      </c>
      <c r="BY399" s="1413" t="str">
        <f t="shared" si="772"/>
        <v>[Service]</v>
      </c>
      <c r="BZ399" s="1414" t="str">
        <f t="shared" si="773"/>
        <v>[Price]</v>
      </c>
      <c r="CA399" s="1424" t="str">
        <f t="shared" ref="CA399:CR399" si="819">IFERROR((P399/O399-1)*(O401/O$13),"-")</f>
        <v>-</v>
      </c>
      <c r="CB399" s="1415" t="str">
        <f t="shared" si="819"/>
        <v>-</v>
      </c>
      <c r="CC399" s="1415" t="str">
        <f t="shared" si="819"/>
        <v>-</v>
      </c>
      <c r="CD399" s="1415" t="str">
        <f t="shared" si="819"/>
        <v>-</v>
      </c>
      <c r="CE399" s="1415" t="str">
        <f t="shared" si="819"/>
        <v>-</v>
      </c>
      <c r="CF399" s="1415" t="str">
        <f t="shared" si="819"/>
        <v>-</v>
      </c>
      <c r="CG399" s="1415" t="str">
        <f t="shared" si="819"/>
        <v>-</v>
      </c>
      <c r="CH399" s="1425" t="str">
        <f t="shared" si="819"/>
        <v>-</v>
      </c>
      <c r="CI399" s="1417" t="str">
        <f t="shared" si="819"/>
        <v>-</v>
      </c>
      <c r="CJ399" s="1417" t="str">
        <f t="shared" si="819"/>
        <v>-</v>
      </c>
      <c r="CK399" s="1417" t="str">
        <f t="shared" si="819"/>
        <v>-</v>
      </c>
      <c r="CL399" s="1417" t="str">
        <f t="shared" si="819"/>
        <v>-</v>
      </c>
      <c r="CM399" s="1418" t="str">
        <f t="shared" si="819"/>
        <v>-</v>
      </c>
      <c r="CN399" s="1417" t="str">
        <f t="shared" si="819"/>
        <v>-</v>
      </c>
      <c r="CO399" s="1417" t="str">
        <f t="shared" si="819"/>
        <v>-</v>
      </c>
      <c r="CP399" s="1417" t="str">
        <f t="shared" si="819"/>
        <v>-</v>
      </c>
      <c r="CQ399" s="1417" t="str">
        <f t="shared" si="819"/>
        <v>-</v>
      </c>
      <c r="CR399" s="1419" t="str">
        <f t="shared" si="819"/>
        <v>-</v>
      </c>
      <c r="CS399" s="1378"/>
      <c r="CT399" s="1412" t="str">
        <f t="shared" si="749"/>
        <v>Price</v>
      </c>
      <c r="CU399" s="1413" t="str">
        <f t="shared" si="750"/>
        <v>[Service]</v>
      </c>
      <c r="CV399" s="1426" t="str">
        <f t="shared" si="751"/>
        <v>[Price]</v>
      </c>
      <c r="CW399" s="1427" t="str">
        <f t="shared" si="775"/>
        <v>-</v>
      </c>
      <c r="CX399" s="1417" t="str">
        <f t="shared" si="776"/>
        <v>-</v>
      </c>
      <c r="CY399" s="1417" t="str">
        <f t="shared" si="777"/>
        <v>-</v>
      </c>
      <c r="CZ399" s="1419" t="str">
        <f t="shared" si="778"/>
        <v>-</v>
      </c>
      <c r="DA399" s="1417" t="str">
        <f t="shared" si="779"/>
        <v>-</v>
      </c>
      <c r="DB399" s="1417" t="str">
        <f t="shared" si="780"/>
        <v>-</v>
      </c>
      <c r="DC399" s="1417" t="str">
        <f t="shared" si="781"/>
        <v>-</v>
      </c>
      <c r="DD399" s="1417" t="str">
        <f t="shared" si="782"/>
        <v>-</v>
      </c>
      <c r="DE399" s="1419" t="str">
        <f t="shared" si="783"/>
        <v>-</v>
      </c>
      <c r="DF399" s="1378"/>
      <c r="DG399" s="1412" t="str">
        <f t="shared" si="784"/>
        <v>Price</v>
      </c>
      <c r="DH399" s="1413" t="str">
        <f t="shared" si="784"/>
        <v>[Service]</v>
      </c>
      <c r="DI399" s="1426" t="str">
        <f t="shared" si="784"/>
        <v>[Price]</v>
      </c>
      <c r="DJ399" s="1426"/>
      <c r="DK399" s="1427" t="str">
        <f t="shared" si="785"/>
        <v>-</v>
      </c>
      <c r="DL399" s="1417" t="str">
        <f t="shared" si="786"/>
        <v>-</v>
      </c>
      <c r="DM399" s="1417" t="str">
        <f t="shared" si="787"/>
        <v>-</v>
      </c>
      <c r="DN399" s="1418" t="str">
        <f t="shared" si="788"/>
        <v>-</v>
      </c>
      <c r="DO399" s="1417" t="str">
        <f t="shared" si="789"/>
        <v>-</v>
      </c>
      <c r="DP399" s="1417" t="str">
        <f t="shared" si="790"/>
        <v>-</v>
      </c>
      <c r="DQ399" s="1417" t="str">
        <f t="shared" si="791"/>
        <v>-</v>
      </c>
      <c r="DR399" s="1419" t="str">
        <f t="shared" si="792"/>
        <v>-</v>
      </c>
    </row>
    <row r="400" spans="4:122">
      <c r="E400" s="742" t="s">
        <v>45</v>
      </c>
      <c r="F400" s="722" t="str">
        <f>+F399</f>
        <v>[Service]</v>
      </c>
      <c r="G400" s="723">
        <f>+G399</f>
        <v>0</v>
      </c>
      <c r="H400" s="723">
        <f>+H399</f>
        <v>0</v>
      </c>
      <c r="I400" s="724" t="str">
        <f>+I399</f>
        <v>[Price]</v>
      </c>
      <c r="J400" s="782" t="s">
        <v>322</v>
      </c>
      <c r="K400" s="1540"/>
      <c r="L400" s="1541"/>
      <c r="M400" s="1541"/>
      <c r="N400" s="1542"/>
      <c r="O400" s="2031"/>
      <c r="P400" s="1543"/>
      <c r="Q400" s="1543"/>
      <c r="R400" s="1543"/>
      <c r="S400" s="1543"/>
      <c r="T400" s="1543"/>
      <c r="U400" s="1543"/>
      <c r="V400" s="1543"/>
      <c r="W400" s="1543"/>
      <c r="X400" s="1544"/>
      <c r="Y400" s="1543"/>
      <c r="Z400" s="1543"/>
      <c r="AA400" s="1543"/>
      <c r="AB400" s="1543"/>
      <c r="AC400" s="1544"/>
      <c r="AD400" s="1543"/>
      <c r="AE400" s="1543"/>
      <c r="AF400" s="1543"/>
      <c r="AG400" s="788"/>
      <c r="AH400" s="697"/>
      <c r="AI400" s="707"/>
      <c r="AJ400" s="709">
        <f t="shared" si="796"/>
        <v>0</v>
      </c>
      <c r="AK400" s="710">
        <f t="shared" si="797"/>
        <v>0</v>
      </c>
      <c r="AL400" s="710">
        <f t="shared" si="798"/>
        <v>0</v>
      </c>
      <c r="AM400" s="710">
        <f t="shared" si="799"/>
        <v>0</v>
      </c>
      <c r="AN400" s="710">
        <f t="shared" si="800"/>
        <v>0</v>
      </c>
      <c r="AO400" s="711">
        <f t="shared" si="801"/>
        <v>0</v>
      </c>
      <c r="AP400" s="707">
        <f t="shared" si="802"/>
        <v>0</v>
      </c>
      <c r="AQ400" s="707">
        <f t="shared" si="803"/>
        <v>0</v>
      </c>
      <c r="AR400" s="707">
        <f t="shared" si="804"/>
        <v>0</v>
      </c>
      <c r="AS400" s="712">
        <f t="shared" si="805"/>
        <v>0</v>
      </c>
      <c r="AV400" s="1559"/>
      <c r="AW400" s="1392" t="str">
        <f t="shared" si="753"/>
        <v>Qty</v>
      </c>
      <c r="AX400" s="1393" t="str">
        <f t="shared" si="753"/>
        <v>[Service]</v>
      </c>
      <c r="AY400" s="1394" t="str">
        <f t="shared" si="754"/>
        <v>[Price]</v>
      </c>
      <c r="AZ400" s="1395" t="str">
        <f t="shared" si="755"/>
        <v>-</v>
      </c>
      <c r="BA400" s="1395" t="str">
        <f t="shared" si="755"/>
        <v>-</v>
      </c>
      <c r="BB400" s="1395" t="str">
        <f t="shared" si="755"/>
        <v>-</v>
      </c>
      <c r="BC400" s="1395" t="str">
        <f t="shared" si="756"/>
        <v>-</v>
      </c>
      <c r="BD400" s="1395" t="str">
        <f t="shared" si="757"/>
        <v>-</v>
      </c>
      <c r="BE400" s="1395" t="str">
        <f t="shared" si="758"/>
        <v>-</v>
      </c>
      <c r="BF400" s="1395" t="str">
        <f t="shared" si="759"/>
        <v>-</v>
      </c>
      <c r="BG400" s="1396" t="str">
        <f t="shared" si="760"/>
        <v>-</v>
      </c>
      <c r="BH400" s="1395" t="str">
        <f t="shared" si="761"/>
        <v>-</v>
      </c>
      <c r="BI400" s="1395" t="str">
        <f t="shared" si="762"/>
        <v>-</v>
      </c>
      <c r="BJ400" s="1395" t="str">
        <f t="shared" si="763"/>
        <v>-</v>
      </c>
      <c r="BK400" s="1395" t="str">
        <f t="shared" si="764"/>
        <v>-</v>
      </c>
      <c r="BL400" s="1397" t="str">
        <f t="shared" si="765"/>
        <v>-</v>
      </c>
      <c r="BM400" s="1395" t="str">
        <f t="shared" si="766"/>
        <v>-</v>
      </c>
      <c r="BN400" s="1395" t="str">
        <f t="shared" si="767"/>
        <v>-</v>
      </c>
      <c r="BO400" s="1395" t="str">
        <f t="shared" si="768"/>
        <v>-</v>
      </c>
      <c r="BP400" s="1395" t="str">
        <f t="shared" si="769"/>
        <v>-</v>
      </c>
      <c r="BQ400" s="1398" t="str">
        <f t="shared" si="770"/>
        <v>-</v>
      </c>
      <c r="BR400" s="1378"/>
      <c r="BS400" s="1329"/>
      <c r="BT400" s="1399"/>
      <c r="BU400" s="1331"/>
      <c r="BV400" s="1400"/>
      <c r="BW400" s="1378"/>
      <c r="BX400" s="1392" t="str">
        <f t="shared" si="771"/>
        <v>Qty</v>
      </c>
      <c r="BY400" s="1393" t="str">
        <f t="shared" si="772"/>
        <v>[Service]</v>
      </c>
      <c r="BZ400" s="1394" t="str">
        <f t="shared" si="773"/>
        <v>[Price]</v>
      </c>
      <c r="CA400" s="1401" t="str">
        <f t="shared" ref="CA400:CR400" si="820">IFERROR((P400/O400-1)*(O401/O$13),"-")</f>
        <v>-</v>
      </c>
      <c r="CB400" s="1395" t="str">
        <f t="shared" si="820"/>
        <v>-</v>
      </c>
      <c r="CC400" s="1395" t="str">
        <f t="shared" si="820"/>
        <v>-</v>
      </c>
      <c r="CD400" s="1395" t="str">
        <f t="shared" si="820"/>
        <v>-</v>
      </c>
      <c r="CE400" s="1395" t="str">
        <f t="shared" si="820"/>
        <v>-</v>
      </c>
      <c r="CF400" s="1395" t="str">
        <f t="shared" si="820"/>
        <v>-</v>
      </c>
      <c r="CG400" s="1395" t="str">
        <f t="shared" si="820"/>
        <v>-</v>
      </c>
      <c r="CH400" s="1397" t="str">
        <f t="shared" si="820"/>
        <v>-</v>
      </c>
      <c r="CI400" s="1395" t="str">
        <f t="shared" si="820"/>
        <v>-</v>
      </c>
      <c r="CJ400" s="1395" t="str">
        <f t="shared" si="820"/>
        <v>-</v>
      </c>
      <c r="CK400" s="1395" t="str">
        <f t="shared" si="820"/>
        <v>-</v>
      </c>
      <c r="CL400" s="1395" t="str">
        <f t="shared" si="820"/>
        <v>-</v>
      </c>
      <c r="CM400" s="1397" t="str">
        <f t="shared" si="820"/>
        <v>-</v>
      </c>
      <c r="CN400" s="1395" t="str">
        <f t="shared" si="820"/>
        <v>-</v>
      </c>
      <c r="CO400" s="1395" t="str">
        <f t="shared" si="820"/>
        <v>-</v>
      </c>
      <c r="CP400" s="1395" t="str">
        <f t="shared" si="820"/>
        <v>-</v>
      </c>
      <c r="CQ400" s="1395" t="str">
        <f t="shared" si="820"/>
        <v>-</v>
      </c>
      <c r="CR400" s="1398" t="str">
        <f t="shared" si="820"/>
        <v>-</v>
      </c>
      <c r="CS400" s="1378"/>
      <c r="CT400" s="1392" t="str">
        <f t="shared" si="749"/>
        <v>Qty</v>
      </c>
      <c r="CU400" s="1393" t="str">
        <f t="shared" si="750"/>
        <v>[Service]</v>
      </c>
      <c r="CV400" s="1393" t="str">
        <f t="shared" si="751"/>
        <v>[Price]</v>
      </c>
      <c r="CW400" s="1401" t="str">
        <f t="shared" si="775"/>
        <v>-</v>
      </c>
      <c r="CX400" s="1395" t="str">
        <f t="shared" si="776"/>
        <v>-</v>
      </c>
      <c r="CY400" s="1395" t="str">
        <f t="shared" si="777"/>
        <v>-</v>
      </c>
      <c r="CZ400" s="1398" t="str">
        <f t="shared" si="778"/>
        <v>-</v>
      </c>
      <c r="DA400" s="1395" t="str">
        <f t="shared" si="779"/>
        <v>-</v>
      </c>
      <c r="DB400" s="1395" t="str">
        <f t="shared" si="780"/>
        <v>-</v>
      </c>
      <c r="DC400" s="1395" t="str">
        <f t="shared" si="781"/>
        <v>-</v>
      </c>
      <c r="DD400" s="1395" t="str">
        <f t="shared" si="782"/>
        <v>-</v>
      </c>
      <c r="DE400" s="1398" t="str">
        <f t="shared" si="783"/>
        <v>-</v>
      </c>
      <c r="DF400" s="1378"/>
      <c r="DG400" s="1392" t="str">
        <f t="shared" si="784"/>
        <v>Qty</v>
      </c>
      <c r="DH400" s="1393" t="str">
        <f t="shared" si="784"/>
        <v>[Service]</v>
      </c>
      <c r="DI400" s="1393" t="str">
        <f t="shared" si="784"/>
        <v>[Price]</v>
      </c>
      <c r="DJ400" s="1393"/>
      <c r="DK400" s="1401" t="str">
        <f t="shared" si="785"/>
        <v>-</v>
      </c>
      <c r="DL400" s="1395" t="str">
        <f t="shared" si="786"/>
        <v>-</v>
      </c>
      <c r="DM400" s="1395" t="str">
        <f t="shared" si="787"/>
        <v>-</v>
      </c>
      <c r="DN400" s="1397" t="str">
        <f t="shared" si="788"/>
        <v>-</v>
      </c>
      <c r="DO400" s="1395" t="str">
        <f t="shared" si="789"/>
        <v>-</v>
      </c>
      <c r="DP400" s="1395" t="str">
        <f t="shared" si="790"/>
        <v>-</v>
      </c>
      <c r="DQ400" s="1395" t="str">
        <f t="shared" si="791"/>
        <v>-</v>
      </c>
      <c r="DR400" s="1398" t="str">
        <f t="shared" si="792"/>
        <v>-</v>
      </c>
    </row>
    <row r="401" spans="4:122" ht="12.75" thickBot="1">
      <c r="E401" s="743" t="s">
        <v>46</v>
      </c>
      <c r="F401" s="732" t="str">
        <f>+F399</f>
        <v>[Service]</v>
      </c>
      <c r="G401" s="733">
        <f>+G399</f>
        <v>0</v>
      </c>
      <c r="H401" s="733">
        <f>+H399</f>
        <v>0</v>
      </c>
      <c r="I401" s="734" t="str">
        <f>+I399</f>
        <v>[Price]</v>
      </c>
      <c r="J401" s="735" t="s">
        <v>344</v>
      </c>
      <c r="K401" s="736">
        <f t="shared" ref="K401:AG401" si="821">K399*K400/10^6</f>
        <v>0</v>
      </c>
      <c r="L401" s="737">
        <f t="shared" si="821"/>
        <v>0</v>
      </c>
      <c r="M401" s="737">
        <f t="shared" si="821"/>
        <v>0</v>
      </c>
      <c r="N401" s="738">
        <f t="shared" si="821"/>
        <v>0</v>
      </c>
      <c r="O401" s="1923">
        <f t="shared" si="821"/>
        <v>0</v>
      </c>
      <c r="P401" s="737">
        <f t="shared" si="821"/>
        <v>0</v>
      </c>
      <c r="Q401" s="737">
        <f t="shared" si="821"/>
        <v>0</v>
      </c>
      <c r="R401" s="737">
        <f t="shared" si="821"/>
        <v>0</v>
      </c>
      <c r="S401" s="737">
        <f t="shared" si="821"/>
        <v>0</v>
      </c>
      <c r="T401" s="737">
        <f t="shared" si="821"/>
        <v>0</v>
      </c>
      <c r="U401" s="737">
        <f t="shared" si="821"/>
        <v>0</v>
      </c>
      <c r="V401" s="737">
        <f t="shared" si="821"/>
        <v>0</v>
      </c>
      <c r="W401" s="737">
        <f t="shared" si="821"/>
        <v>0</v>
      </c>
      <c r="X401" s="738">
        <f t="shared" si="821"/>
        <v>0</v>
      </c>
      <c r="Y401" s="737">
        <f t="shared" si="821"/>
        <v>0</v>
      </c>
      <c r="Z401" s="737">
        <f t="shared" si="821"/>
        <v>0</v>
      </c>
      <c r="AA401" s="737">
        <f t="shared" si="821"/>
        <v>0</v>
      </c>
      <c r="AB401" s="737">
        <f t="shared" si="821"/>
        <v>0</v>
      </c>
      <c r="AC401" s="738">
        <f t="shared" si="821"/>
        <v>0</v>
      </c>
      <c r="AD401" s="737">
        <f t="shared" si="821"/>
        <v>0</v>
      </c>
      <c r="AE401" s="737">
        <f t="shared" si="821"/>
        <v>0</v>
      </c>
      <c r="AF401" s="737">
        <f t="shared" si="821"/>
        <v>0</v>
      </c>
      <c r="AG401" s="739">
        <f t="shared" si="821"/>
        <v>0</v>
      </c>
      <c r="AH401" s="697"/>
      <c r="AI401" s="707"/>
      <c r="AJ401" s="709">
        <f t="shared" si="796"/>
        <v>0</v>
      </c>
      <c r="AK401" s="710">
        <f t="shared" si="797"/>
        <v>0</v>
      </c>
      <c r="AL401" s="710">
        <f t="shared" si="798"/>
        <v>0</v>
      </c>
      <c r="AM401" s="710">
        <f t="shared" si="799"/>
        <v>0</v>
      </c>
      <c r="AN401" s="710">
        <f t="shared" si="800"/>
        <v>0</v>
      </c>
      <c r="AO401" s="711">
        <f t="shared" si="801"/>
        <v>0</v>
      </c>
      <c r="AP401" s="707">
        <f t="shared" si="802"/>
        <v>0</v>
      </c>
      <c r="AQ401" s="707">
        <f t="shared" si="803"/>
        <v>0</v>
      </c>
      <c r="AR401" s="707">
        <f t="shared" si="804"/>
        <v>0</v>
      </c>
      <c r="AS401" s="712">
        <f t="shared" si="805"/>
        <v>0</v>
      </c>
      <c r="AV401" s="1559"/>
      <c r="AW401" s="1428" t="str">
        <f t="shared" si="753"/>
        <v>Rev</v>
      </c>
      <c r="AX401" s="1429" t="str">
        <f t="shared" si="753"/>
        <v>[Service]</v>
      </c>
      <c r="AY401" s="1430" t="str">
        <f t="shared" si="754"/>
        <v>[Price]</v>
      </c>
      <c r="AZ401" s="1431" t="str">
        <f t="shared" si="755"/>
        <v>-</v>
      </c>
      <c r="BA401" s="1431" t="str">
        <f t="shared" si="755"/>
        <v>-</v>
      </c>
      <c r="BB401" s="1431" t="str">
        <f t="shared" si="755"/>
        <v>-</v>
      </c>
      <c r="BC401" s="1431" t="str">
        <f t="shared" si="756"/>
        <v>-</v>
      </c>
      <c r="BD401" s="1431" t="str">
        <f t="shared" si="757"/>
        <v>-</v>
      </c>
      <c r="BE401" s="1431" t="str">
        <f t="shared" si="758"/>
        <v>-</v>
      </c>
      <c r="BF401" s="1431" t="str">
        <f t="shared" si="759"/>
        <v>-</v>
      </c>
      <c r="BG401" s="1432" t="str">
        <f t="shared" si="760"/>
        <v>-</v>
      </c>
      <c r="BH401" s="1431" t="str">
        <f t="shared" si="761"/>
        <v>-</v>
      </c>
      <c r="BI401" s="1431" t="str">
        <f t="shared" si="762"/>
        <v>-</v>
      </c>
      <c r="BJ401" s="1431" t="str">
        <f t="shared" si="763"/>
        <v>-</v>
      </c>
      <c r="BK401" s="1431" t="str">
        <f t="shared" si="764"/>
        <v>-</v>
      </c>
      <c r="BL401" s="1433" t="str">
        <f t="shared" si="765"/>
        <v>-</v>
      </c>
      <c r="BM401" s="1431" t="str">
        <f t="shared" si="766"/>
        <v>-</v>
      </c>
      <c r="BN401" s="1431" t="str">
        <f t="shared" si="767"/>
        <v>-</v>
      </c>
      <c r="BO401" s="1431" t="str">
        <f t="shared" si="768"/>
        <v>-</v>
      </c>
      <c r="BP401" s="1431" t="str">
        <f t="shared" si="769"/>
        <v>-</v>
      </c>
      <c r="BQ401" s="1434" t="str">
        <f t="shared" si="770"/>
        <v>-</v>
      </c>
      <c r="BR401" s="1378"/>
      <c r="BS401" s="1407"/>
      <c r="BT401" s="1408"/>
      <c r="BU401" s="1409"/>
      <c r="BV401" s="1410"/>
      <c r="BW401" s="1378"/>
      <c r="BX401" s="1428" t="str">
        <f t="shared" si="771"/>
        <v>Rev</v>
      </c>
      <c r="BY401" s="1429" t="str">
        <f t="shared" si="772"/>
        <v>[Service]</v>
      </c>
      <c r="BZ401" s="1430" t="str">
        <f t="shared" si="773"/>
        <v>[Price]</v>
      </c>
      <c r="CA401" s="1435" t="str">
        <f t="shared" ref="CA401:CR401" si="822">IFERROR((P401/O401-1)*(O401/O$13),"-")</f>
        <v>-</v>
      </c>
      <c r="CB401" s="1431" t="str">
        <f t="shared" si="822"/>
        <v>-</v>
      </c>
      <c r="CC401" s="1431" t="str">
        <f t="shared" si="822"/>
        <v>-</v>
      </c>
      <c r="CD401" s="1431" t="str">
        <f t="shared" si="822"/>
        <v>-</v>
      </c>
      <c r="CE401" s="1431" t="str">
        <f t="shared" si="822"/>
        <v>-</v>
      </c>
      <c r="CF401" s="1431" t="str">
        <f t="shared" si="822"/>
        <v>-</v>
      </c>
      <c r="CG401" s="1431" t="str">
        <f t="shared" si="822"/>
        <v>-</v>
      </c>
      <c r="CH401" s="1433" t="str">
        <f t="shared" si="822"/>
        <v>-</v>
      </c>
      <c r="CI401" s="1431" t="str">
        <f t="shared" si="822"/>
        <v>-</v>
      </c>
      <c r="CJ401" s="1431" t="str">
        <f t="shared" si="822"/>
        <v>-</v>
      </c>
      <c r="CK401" s="1431" t="str">
        <f t="shared" si="822"/>
        <v>-</v>
      </c>
      <c r="CL401" s="1431" t="str">
        <f t="shared" si="822"/>
        <v>-</v>
      </c>
      <c r="CM401" s="1433" t="str">
        <f t="shared" si="822"/>
        <v>-</v>
      </c>
      <c r="CN401" s="1431" t="str">
        <f t="shared" si="822"/>
        <v>-</v>
      </c>
      <c r="CO401" s="1431" t="str">
        <f t="shared" si="822"/>
        <v>-</v>
      </c>
      <c r="CP401" s="1431" t="str">
        <f t="shared" si="822"/>
        <v>-</v>
      </c>
      <c r="CQ401" s="1431" t="str">
        <f t="shared" si="822"/>
        <v>-</v>
      </c>
      <c r="CR401" s="1434" t="str">
        <f t="shared" si="822"/>
        <v>-</v>
      </c>
      <c r="CS401" s="1378"/>
      <c r="CT401" s="1428" t="str">
        <f t="shared" si="749"/>
        <v>Rev</v>
      </c>
      <c r="CU401" s="1429" t="str">
        <f t="shared" si="750"/>
        <v>[Service]</v>
      </c>
      <c r="CV401" s="1429" t="str">
        <f t="shared" si="751"/>
        <v>[Price]</v>
      </c>
      <c r="CW401" s="1435" t="str">
        <f t="shared" si="775"/>
        <v>-</v>
      </c>
      <c r="CX401" s="1431" t="str">
        <f t="shared" si="776"/>
        <v>-</v>
      </c>
      <c r="CY401" s="1431" t="str">
        <f t="shared" si="777"/>
        <v>-</v>
      </c>
      <c r="CZ401" s="1434" t="str">
        <f t="shared" si="778"/>
        <v>-</v>
      </c>
      <c r="DA401" s="1431" t="str">
        <f t="shared" si="779"/>
        <v>-</v>
      </c>
      <c r="DB401" s="1431" t="str">
        <f t="shared" si="780"/>
        <v>-</v>
      </c>
      <c r="DC401" s="1431" t="str">
        <f t="shared" si="781"/>
        <v>-</v>
      </c>
      <c r="DD401" s="1431" t="str">
        <f t="shared" si="782"/>
        <v>-</v>
      </c>
      <c r="DE401" s="1434" t="str">
        <f t="shared" si="783"/>
        <v>-</v>
      </c>
      <c r="DF401" s="1378"/>
      <c r="DG401" s="1428" t="str">
        <f t="shared" si="784"/>
        <v>Rev</v>
      </c>
      <c r="DH401" s="1429" t="str">
        <f t="shared" si="784"/>
        <v>[Service]</v>
      </c>
      <c r="DI401" s="1429" t="str">
        <f t="shared" si="784"/>
        <v>[Price]</v>
      </c>
      <c r="DJ401" s="1429"/>
      <c r="DK401" s="1435" t="str">
        <f t="shared" si="785"/>
        <v>-</v>
      </c>
      <c r="DL401" s="1431" t="str">
        <f t="shared" si="786"/>
        <v>-</v>
      </c>
      <c r="DM401" s="1431" t="str">
        <f t="shared" si="787"/>
        <v>-</v>
      </c>
      <c r="DN401" s="1433" t="str">
        <f t="shared" si="788"/>
        <v>-</v>
      </c>
      <c r="DO401" s="1431" t="str">
        <f t="shared" si="789"/>
        <v>-</v>
      </c>
      <c r="DP401" s="1431" t="str">
        <f t="shared" si="790"/>
        <v>-</v>
      </c>
      <c r="DQ401" s="1431" t="str">
        <f t="shared" si="791"/>
        <v>-</v>
      </c>
      <c r="DR401" s="1434" t="str">
        <f t="shared" si="792"/>
        <v>-</v>
      </c>
    </row>
    <row r="402" spans="4:122">
      <c r="D402" s="70">
        <f>D399+1</f>
        <v>113</v>
      </c>
      <c r="E402" s="713" t="s">
        <v>44</v>
      </c>
      <c r="F402" s="1532" t="s">
        <v>27</v>
      </c>
      <c r="G402" s="1532"/>
      <c r="H402" s="1532"/>
      <c r="I402" s="781" t="s">
        <v>318</v>
      </c>
      <c r="J402" s="781" t="s">
        <v>345</v>
      </c>
      <c r="K402" s="1533"/>
      <c r="L402" s="1534"/>
      <c r="M402" s="1534"/>
      <c r="N402" s="1535"/>
      <c r="O402" s="2071"/>
      <c r="P402" s="1547"/>
      <c r="Q402" s="1547"/>
      <c r="R402" s="1547"/>
      <c r="S402" s="1547"/>
      <c r="T402" s="1547"/>
      <c r="U402" s="1547"/>
      <c r="V402" s="1547"/>
      <c r="W402" s="1547"/>
      <c r="X402" s="1548"/>
      <c r="Y402" s="1547"/>
      <c r="Z402" s="1547"/>
      <c r="AA402" s="1547"/>
      <c r="AB402" s="1547"/>
      <c r="AC402" s="1548"/>
      <c r="AD402" s="1547"/>
      <c r="AE402" s="1547"/>
      <c r="AF402" s="1547"/>
      <c r="AG402" s="785"/>
      <c r="AH402" s="697"/>
      <c r="AI402" s="707"/>
      <c r="AJ402" s="709">
        <f t="shared" si="796"/>
        <v>0</v>
      </c>
      <c r="AK402" s="710">
        <f t="shared" si="797"/>
        <v>0</v>
      </c>
      <c r="AL402" s="710">
        <f t="shared" si="798"/>
        <v>0</v>
      </c>
      <c r="AM402" s="710">
        <f t="shared" si="799"/>
        <v>0</v>
      </c>
      <c r="AN402" s="710">
        <f t="shared" si="800"/>
        <v>0</v>
      </c>
      <c r="AO402" s="711">
        <f t="shared" si="801"/>
        <v>0</v>
      </c>
      <c r="AP402" s="707">
        <f t="shared" si="802"/>
        <v>0</v>
      </c>
      <c r="AQ402" s="707">
        <f t="shared" si="803"/>
        <v>0</v>
      </c>
      <c r="AR402" s="707">
        <f t="shared" si="804"/>
        <v>0</v>
      </c>
      <c r="AS402" s="712">
        <f t="shared" si="805"/>
        <v>0</v>
      </c>
      <c r="AU402" s="1369"/>
      <c r="AV402" s="1559"/>
      <c r="AW402" s="1412" t="str">
        <f t="shared" si="753"/>
        <v>Price</v>
      </c>
      <c r="AX402" s="1413" t="str">
        <f t="shared" si="753"/>
        <v>[Service]</v>
      </c>
      <c r="AY402" s="1414" t="str">
        <f t="shared" si="754"/>
        <v>[Price]</v>
      </c>
      <c r="AZ402" s="1415" t="str">
        <f t="shared" ref="AZ402:BB417" si="823">IFERROR(P402/O402-1,"-")</f>
        <v>-</v>
      </c>
      <c r="BA402" s="1415" t="str">
        <f t="shared" si="823"/>
        <v>-</v>
      </c>
      <c r="BB402" s="1415" t="str">
        <f t="shared" si="823"/>
        <v>-</v>
      </c>
      <c r="BC402" s="1415" t="str">
        <f t="shared" si="756"/>
        <v>-</v>
      </c>
      <c r="BD402" s="1415" t="str">
        <f t="shared" si="757"/>
        <v>-</v>
      </c>
      <c r="BE402" s="1415" t="str">
        <f t="shared" si="758"/>
        <v>-</v>
      </c>
      <c r="BF402" s="1415" t="str">
        <f t="shared" si="759"/>
        <v>-</v>
      </c>
      <c r="BG402" s="1416" t="str">
        <f t="shared" si="760"/>
        <v>-</v>
      </c>
      <c r="BH402" s="1417" t="str">
        <f t="shared" si="761"/>
        <v>-</v>
      </c>
      <c r="BI402" s="1417" t="str">
        <f t="shared" si="762"/>
        <v>-</v>
      </c>
      <c r="BJ402" s="1417" t="str">
        <f t="shared" si="763"/>
        <v>-</v>
      </c>
      <c r="BK402" s="1417" t="str">
        <f t="shared" si="764"/>
        <v>-</v>
      </c>
      <c r="BL402" s="1418" t="str">
        <f t="shared" si="765"/>
        <v>-</v>
      </c>
      <c r="BM402" s="1417" t="str">
        <f t="shared" si="766"/>
        <v>-</v>
      </c>
      <c r="BN402" s="1417" t="str">
        <f t="shared" si="767"/>
        <v>-</v>
      </c>
      <c r="BO402" s="1417" t="str">
        <f t="shared" si="768"/>
        <v>-</v>
      </c>
      <c r="BP402" s="1417" t="str">
        <f t="shared" si="769"/>
        <v>-</v>
      </c>
      <c r="BQ402" s="1419" t="str">
        <f t="shared" si="770"/>
        <v>-</v>
      </c>
      <c r="BR402" s="1378"/>
      <c r="BS402" s="1420"/>
      <c r="BT402" s="1421"/>
      <c r="BU402" s="1422"/>
      <c r="BV402" s="1423"/>
      <c r="BW402" s="1378"/>
      <c r="BX402" s="1412" t="str">
        <f t="shared" si="771"/>
        <v>Price</v>
      </c>
      <c r="BY402" s="1413" t="str">
        <f t="shared" si="772"/>
        <v>[Service]</v>
      </c>
      <c r="BZ402" s="1414" t="str">
        <f t="shared" si="773"/>
        <v>[Price]</v>
      </c>
      <c r="CA402" s="1424" t="str">
        <f t="shared" ref="CA402:CR402" si="824">IFERROR((P402/O402-1)*(O404/O$13),"-")</f>
        <v>-</v>
      </c>
      <c r="CB402" s="1415" t="str">
        <f t="shared" si="824"/>
        <v>-</v>
      </c>
      <c r="CC402" s="1415" t="str">
        <f t="shared" si="824"/>
        <v>-</v>
      </c>
      <c r="CD402" s="1415" t="str">
        <f t="shared" si="824"/>
        <v>-</v>
      </c>
      <c r="CE402" s="1415" t="str">
        <f t="shared" si="824"/>
        <v>-</v>
      </c>
      <c r="CF402" s="1415" t="str">
        <f t="shared" si="824"/>
        <v>-</v>
      </c>
      <c r="CG402" s="1415" t="str">
        <f t="shared" si="824"/>
        <v>-</v>
      </c>
      <c r="CH402" s="1425" t="str">
        <f t="shared" si="824"/>
        <v>-</v>
      </c>
      <c r="CI402" s="1417" t="str">
        <f t="shared" si="824"/>
        <v>-</v>
      </c>
      <c r="CJ402" s="1417" t="str">
        <f t="shared" si="824"/>
        <v>-</v>
      </c>
      <c r="CK402" s="1417" t="str">
        <f t="shared" si="824"/>
        <v>-</v>
      </c>
      <c r="CL402" s="1417" t="str">
        <f t="shared" si="824"/>
        <v>-</v>
      </c>
      <c r="CM402" s="1418" t="str">
        <f t="shared" si="824"/>
        <v>-</v>
      </c>
      <c r="CN402" s="1417" t="str">
        <f t="shared" si="824"/>
        <v>-</v>
      </c>
      <c r="CO402" s="1417" t="str">
        <f t="shared" si="824"/>
        <v>-</v>
      </c>
      <c r="CP402" s="1417" t="str">
        <f t="shared" si="824"/>
        <v>-</v>
      </c>
      <c r="CQ402" s="1417" t="str">
        <f t="shared" si="824"/>
        <v>-</v>
      </c>
      <c r="CR402" s="1419" t="str">
        <f t="shared" si="824"/>
        <v>-</v>
      </c>
      <c r="CS402" s="1378"/>
      <c r="CT402" s="1412" t="str">
        <f t="shared" si="749"/>
        <v>Price</v>
      </c>
      <c r="CU402" s="1413" t="str">
        <f t="shared" si="750"/>
        <v>[Service]</v>
      </c>
      <c r="CV402" s="1426" t="str">
        <f t="shared" si="751"/>
        <v>[Price]</v>
      </c>
      <c r="CW402" s="1427" t="str">
        <f t="shared" si="775"/>
        <v>-</v>
      </c>
      <c r="CX402" s="1417" t="str">
        <f t="shared" si="776"/>
        <v>-</v>
      </c>
      <c r="CY402" s="1417" t="str">
        <f t="shared" si="777"/>
        <v>-</v>
      </c>
      <c r="CZ402" s="1419" t="str">
        <f t="shared" si="778"/>
        <v>-</v>
      </c>
      <c r="DA402" s="1417" t="str">
        <f t="shared" si="779"/>
        <v>-</v>
      </c>
      <c r="DB402" s="1417" t="str">
        <f t="shared" si="780"/>
        <v>-</v>
      </c>
      <c r="DC402" s="1417" t="str">
        <f t="shared" si="781"/>
        <v>-</v>
      </c>
      <c r="DD402" s="1417" t="str">
        <f t="shared" si="782"/>
        <v>-</v>
      </c>
      <c r="DE402" s="1419" t="str">
        <f t="shared" si="783"/>
        <v>-</v>
      </c>
      <c r="DF402" s="1378"/>
      <c r="DG402" s="1412" t="str">
        <f t="shared" si="784"/>
        <v>Price</v>
      </c>
      <c r="DH402" s="1413" t="str">
        <f t="shared" si="784"/>
        <v>[Service]</v>
      </c>
      <c r="DI402" s="1426" t="str">
        <f t="shared" si="784"/>
        <v>[Price]</v>
      </c>
      <c r="DJ402" s="1426"/>
      <c r="DK402" s="1427" t="str">
        <f t="shared" si="785"/>
        <v>-</v>
      </c>
      <c r="DL402" s="1417" t="str">
        <f t="shared" si="786"/>
        <v>-</v>
      </c>
      <c r="DM402" s="1417" t="str">
        <f t="shared" si="787"/>
        <v>-</v>
      </c>
      <c r="DN402" s="1418" t="str">
        <f t="shared" si="788"/>
        <v>-</v>
      </c>
      <c r="DO402" s="1417" t="str">
        <f t="shared" si="789"/>
        <v>-</v>
      </c>
      <c r="DP402" s="1417" t="str">
        <f t="shared" si="790"/>
        <v>-</v>
      </c>
      <c r="DQ402" s="1417" t="str">
        <f t="shared" si="791"/>
        <v>-</v>
      </c>
      <c r="DR402" s="1419" t="str">
        <f t="shared" si="792"/>
        <v>-</v>
      </c>
    </row>
    <row r="403" spans="4:122">
      <c r="E403" s="742" t="s">
        <v>45</v>
      </c>
      <c r="F403" s="722" t="str">
        <f>+F402</f>
        <v>[Service]</v>
      </c>
      <c r="G403" s="723">
        <f>+G402</f>
        <v>0</v>
      </c>
      <c r="H403" s="723">
        <f>+H402</f>
        <v>0</v>
      </c>
      <c r="I403" s="724" t="str">
        <f>+I402</f>
        <v>[Price]</v>
      </c>
      <c r="J403" s="782" t="s">
        <v>322</v>
      </c>
      <c r="K403" s="1540"/>
      <c r="L403" s="1541"/>
      <c r="M403" s="1541"/>
      <c r="N403" s="1542"/>
      <c r="O403" s="2031"/>
      <c r="P403" s="1543"/>
      <c r="Q403" s="1543"/>
      <c r="R403" s="1543"/>
      <c r="S403" s="1543"/>
      <c r="T403" s="1543"/>
      <c r="U403" s="1543"/>
      <c r="V403" s="1543"/>
      <c r="W403" s="1543"/>
      <c r="X403" s="1544"/>
      <c r="Y403" s="1543"/>
      <c r="Z403" s="1543"/>
      <c r="AA403" s="1543"/>
      <c r="AB403" s="1543"/>
      <c r="AC403" s="1544"/>
      <c r="AD403" s="1543"/>
      <c r="AE403" s="1543"/>
      <c r="AF403" s="1543"/>
      <c r="AG403" s="788"/>
      <c r="AH403" s="697"/>
      <c r="AI403" s="707"/>
      <c r="AJ403" s="709">
        <f t="shared" si="796"/>
        <v>0</v>
      </c>
      <c r="AK403" s="710">
        <f t="shared" si="797"/>
        <v>0</v>
      </c>
      <c r="AL403" s="710">
        <f t="shared" si="798"/>
        <v>0</v>
      </c>
      <c r="AM403" s="710">
        <f t="shared" si="799"/>
        <v>0</v>
      </c>
      <c r="AN403" s="710">
        <f t="shared" si="800"/>
        <v>0</v>
      </c>
      <c r="AO403" s="711">
        <f t="shared" si="801"/>
        <v>0</v>
      </c>
      <c r="AP403" s="707">
        <f t="shared" si="802"/>
        <v>0</v>
      </c>
      <c r="AQ403" s="707">
        <f t="shared" si="803"/>
        <v>0</v>
      </c>
      <c r="AR403" s="707">
        <f t="shared" si="804"/>
        <v>0</v>
      </c>
      <c r="AS403" s="712">
        <f t="shared" si="805"/>
        <v>0</v>
      </c>
      <c r="AV403" s="1559"/>
      <c r="AW403" s="1392" t="str">
        <f t="shared" si="753"/>
        <v>Qty</v>
      </c>
      <c r="AX403" s="1393" t="str">
        <f t="shared" si="753"/>
        <v>[Service]</v>
      </c>
      <c r="AY403" s="1394" t="str">
        <f t="shared" si="754"/>
        <v>[Price]</v>
      </c>
      <c r="AZ403" s="1395" t="str">
        <f t="shared" si="823"/>
        <v>-</v>
      </c>
      <c r="BA403" s="1395" t="str">
        <f t="shared" si="823"/>
        <v>-</v>
      </c>
      <c r="BB403" s="1395" t="str">
        <f t="shared" si="823"/>
        <v>-</v>
      </c>
      <c r="BC403" s="1395" t="str">
        <f t="shared" si="756"/>
        <v>-</v>
      </c>
      <c r="BD403" s="1395" t="str">
        <f t="shared" si="757"/>
        <v>-</v>
      </c>
      <c r="BE403" s="1395" t="str">
        <f t="shared" si="758"/>
        <v>-</v>
      </c>
      <c r="BF403" s="1395" t="str">
        <f t="shared" si="759"/>
        <v>-</v>
      </c>
      <c r="BG403" s="1396" t="str">
        <f t="shared" si="760"/>
        <v>-</v>
      </c>
      <c r="BH403" s="1395" t="str">
        <f t="shared" si="761"/>
        <v>-</v>
      </c>
      <c r="BI403" s="1395" t="str">
        <f t="shared" si="762"/>
        <v>-</v>
      </c>
      <c r="BJ403" s="1395" t="str">
        <f t="shared" si="763"/>
        <v>-</v>
      </c>
      <c r="BK403" s="1395" t="str">
        <f t="shared" si="764"/>
        <v>-</v>
      </c>
      <c r="BL403" s="1397" t="str">
        <f t="shared" si="765"/>
        <v>-</v>
      </c>
      <c r="BM403" s="1395" t="str">
        <f t="shared" si="766"/>
        <v>-</v>
      </c>
      <c r="BN403" s="1395" t="str">
        <f t="shared" si="767"/>
        <v>-</v>
      </c>
      <c r="BO403" s="1395" t="str">
        <f t="shared" si="768"/>
        <v>-</v>
      </c>
      <c r="BP403" s="1395" t="str">
        <f t="shared" si="769"/>
        <v>-</v>
      </c>
      <c r="BQ403" s="1398" t="str">
        <f t="shared" si="770"/>
        <v>-</v>
      </c>
      <c r="BR403" s="1378"/>
      <c r="BS403" s="1329"/>
      <c r="BT403" s="1399"/>
      <c r="BU403" s="1331"/>
      <c r="BV403" s="1400"/>
      <c r="BW403" s="1378"/>
      <c r="BX403" s="1392" t="str">
        <f t="shared" si="771"/>
        <v>Qty</v>
      </c>
      <c r="BY403" s="1393" t="str">
        <f t="shared" si="772"/>
        <v>[Service]</v>
      </c>
      <c r="BZ403" s="1394" t="str">
        <f t="shared" si="773"/>
        <v>[Price]</v>
      </c>
      <c r="CA403" s="1401" t="str">
        <f t="shared" ref="CA403:CR403" si="825">IFERROR((P403/O403-1)*(O404/O$13),"-")</f>
        <v>-</v>
      </c>
      <c r="CB403" s="1395" t="str">
        <f t="shared" si="825"/>
        <v>-</v>
      </c>
      <c r="CC403" s="1395" t="str">
        <f t="shared" si="825"/>
        <v>-</v>
      </c>
      <c r="CD403" s="1395" t="str">
        <f t="shared" si="825"/>
        <v>-</v>
      </c>
      <c r="CE403" s="1395" t="str">
        <f t="shared" si="825"/>
        <v>-</v>
      </c>
      <c r="CF403" s="1395" t="str">
        <f t="shared" si="825"/>
        <v>-</v>
      </c>
      <c r="CG403" s="1395" t="str">
        <f t="shared" si="825"/>
        <v>-</v>
      </c>
      <c r="CH403" s="1397" t="str">
        <f t="shared" si="825"/>
        <v>-</v>
      </c>
      <c r="CI403" s="1395" t="str">
        <f t="shared" si="825"/>
        <v>-</v>
      </c>
      <c r="CJ403" s="1395" t="str">
        <f t="shared" si="825"/>
        <v>-</v>
      </c>
      <c r="CK403" s="1395" t="str">
        <f t="shared" si="825"/>
        <v>-</v>
      </c>
      <c r="CL403" s="1395" t="str">
        <f t="shared" si="825"/>
        <v>-</v>
      </c>
      <c r="CM403" s="1397" t="str">
        <f t="shared" si="825"/>
        <v>-</v>
      </c>
      <c r="CN403" s="1395" t="str">
        <f t="shared" si="825"/>
        <v>-</v>
      </c>
      <c r="CO403" s="1395" t="str">
        <f t="shared" si="825"/>
        <v>-</v>
      </c>
      <c r="CP403" s="1395" t="str">
        <f t="shared" si="825"/>
        <v>-</v>
      </c>
      <c r="CQ403" s="1395" t="str">
        <f t="shared" si="825"/>
        <v>-</v>
      </c>
      <c r="CR403" s="1398" t="str">
        <f t="shared" si="825"/>
        <v>-</v>
      </c>
      <c r="CS403" s="1378"/>
      <c r="CT403" s="1392" t="str">
        <f t="shared" si="749"/>
        <v>Qty</v>
      </c>
      <c r="CU403" s="1393" t="str">
        <f t="shared" si="750"/>
        <v>[Service]</v>
      </c>
      <c r="CV403" s="1393" t="str">
        <f t="shared" si="751"/>
        <v>[Price]</v>
      </c>
      <c r="CW403" s="1401" t="str">
        <f t="shared" si="775"/>
        <v>-</v>
      </c>
      <c r="CX403" s="1395" t="str">
        <f t="shared" si="776"/>
        <v>-</v>
      </c>
      <c r="CY403" s="1395" t="str">
        <f t="shared" si="777"/>
        <v>-</v>
      </c>
      <c r="CZ403" s="1398" t="str">
        <f t="shared" si="778"/>
        <v>-</v>
      </c>
      <c r="DA403" s="1395" t="str">
        <f t="shared" si="779"/>
        <v>-</v>
      </c>
      <c r="DB403" s="1395" t="str">
        <f t="shared" si="780"/>
        <v>-</v>
      </c>
      <c r="DC403" s="1395" t="str">
        <f t="shared" si="781"/>
        <v>-</v>
      </c>
      <c r="DD403" s="1395" t="str">
        <f t="shared" si="782"/>
        <v>-</v>
      </c>
      <c r="DE403" s="1398" t="str">
        <f t="shared" si="783"/>
        <v>-</v>
      </c>
      <c r="DF403" s="1378"/>
      <c r="DG403" s="1392" t="str">
        <f t="shared" si="784"/>
        <v>Qty</v>
      </c>
      <c r="DH403" s="1393" t="str">
        <f t="shared" si="784"/>
        <v>[Service]</v>
      </c>
      <c r="DI403" s="1393" t="str">
        <f t="shared" si="784"/>
        <v>[Price]</v>
      </c>
      <c r="DJ403" s="1393"/>
      <c r="DK403" s="1401" t="str">
        <f t="shared" si="785"/>
        <v>-</v>
      </c>
      <c r="DL403" s="1395" t="str">
        <f t="shared" si="786"/>
        <v>-</v>
      </c>
      <c r="DM403" s="1395" t="str">
        <f t="shared" si="787"/>
        <v>-</v>
      </c>
      <c r="DN403" s="1397" t="str">
        <f t="shared" si="788"/>
        <v>-</v>
      </c>
      <c r="DO403" s="1395" t="str">
        <f t="shared" si="789"/>
        <v>-</v>
      </c>
      <c r="DP403" s="1395" t="str">
        <f t="shared" si="790"/>
        <v>-</v>
      </c>
      <c r="DQ403" s="1395" t="str">
        <f t="shared" si="791"/>
        <v>-</v>
      </c>
      <c r="DR403" s="1398" t="str">
        <f t="shared" si="792"/>
        <v>-</v>
      </c>
    </row>
    <row r="404" spans="4:122" ht="12.75" thickBot="1">
      <c r="E404" s="743" t="s">
        <v>46</v>
      </c>
      <c r="F404" s="732" t="str">
        <f>+F402</f>
        <v>[Service]</v>
      </c>
      <c r="G404" s="733">
        <f>+G402</f>
        <v>0</v>
      </c>
      <c r="H404" s="733">
        <f>+H402</f>
        <v>0</v>
      </c>
      <c r="I404" s="734" t="str">
        <f>+I402</f>
        <v>[Price]</v>
      </c>
      <c r="J404" s="735" t="s">
        <v>344</v>
      </c>
      <c r="K404" s="736">
        <f t="shared" ref="K404:AG404" si="826">K402*K403/10^6</f>
        <v>0</v>
      </c>
      <c r="L404" s="737">
        <f t="shared" si="826"/>
        <v>0</v>
      </c>
      <c r="M404" s="737">
        <f t="shared" si="826"/>
        <v>0</v>
      </c>
      <c r="N404" s="738">
        <f t="shared" si="826"/>
        <v>0</v>
      </c>
      <c r="O404" s="1923">
        <f t="shared" si="826"/>
        <v>0</v>
      </c>
      <c r="P404" s="737">
        <f t="shared" si="826"/>
        <v>0</v>
      </c>
      <c r="Q404" s="737">
        <f t="shared" si="826"/>
        <v>0</v>
      </c>
      <c r="R404" s="737">
        <f t="shared" si="826"/>
        <v>0</v>
      </c>
      <c r="S404" s="737">
        <f t="shared" si="826"/>
        <v>0</v>
      </c>
      <c r="T404" s="737">
        <f t="shared" si="826"/>
        <v>0</v>
      </c>
      <c r="U404" s="737">
        <f t="shared" si="826"/>
        <v>0</v>
      </c>
      <c r="V404" s="737">
        <f t="shared" si="826"/>
        <v>0</v>
      </c>
      <c r="W404" s="737">
        <f t="shared" si="826"/>
        <v>0</v>
      </c>
      <c r="X404" s="738">
        <f t="shared" si="826"/>
        <v>0</v>
      </c>
      <c r="Y404" s="737">
        <f t="shared" si="826"/>
        <v>0</v>
      </c>
      <c r="Z404" s="737">
        <f t="shared" si="826"/>
        <v>0</v>
      </c>
      <c r="AA404" s="737">
        <f t="shared" si="826"/>
        <v>0</v>
      </c>
      <c r="AB404" s="737">
        <f t="shared" si="826"/>
        <v>0</v>
      </c>
      <c r="AC404" s="738">
        <f t="shared" si="826"/>
        <v>0</v>
      </c>
      <c r="AD404" s="737">
        <f t="shared" si="826"/>
        <v>0</v>
      </c>
      <c r="AE404" s="737">
        <f t="shared" si="826"/>
        <v>0</v>
      </c>
      <c r="AF404" s="737">
        <f t="shared" si="826"/>
        <v>0</v>
      </c>
      <c r="AG404" s="739">
        <f t="shared" si="826"/>
        <v>0</v>
      </c>
      <c r="AH404" s="697"/>
      <c r="AI404" s="707"/>
      <c r="AJ404" s="709">
        <f t="shared" si="796"/>
        <v>0</v>
      </c>
      <c r="AK404" s="710">
        <f t="shared" si="797"/>
        <v>0</v>
      </c>
      <c r="AL404" s="710">
        <f t="shared" si="798"/>
        <v>0</v>
      </c>
      <c r="AM404" s="710">
        <f t="shared" si="799"/>
        <v>0</v>
      </c>
      <c r="AN404" s="710">
        <f t="shared" si="800"/>
        <v>0</v>
      </c>
      <c r="AO404" s="711">
        <f t="shared" si="801"/>
        <v>0</v>
      </c>
      <c r="AP404" s="707">
        <f t="shared" si="802"/>
        <v>0</v>
      </c>
      <c r="AQ404" s="707">
        <f t="shared" si="803"/>
        <v>0</v>
      </c>
      <c r="AR404" s="707">
        <f t="shared" si="804"/>
        <v>0</v>
      </c>
      <c r="AS404" s="712">
        <f t="shared" si="805"/>
        <v>0</v>
      </c>
      <c r="AV404" s="1559"/>
      <c r="AW404" s="1428" t="str">
        <f t="shared" si="753"/>
        <v>Rev</v>
      </c>
      <c r="AX404" s="1429" t="str">
        <f t="shared" si="753"/>
        <v>[Service]</v>
      </c>
      <c r="AY404" s="1430" t="str">
        <f t="shared" si="754"/>
        <v>[Price]</v>
      </c>
      <c r="AZ404" s="1431" t="str">
        <f t="shared" si="823"/>
        <v>-</v>
      </c>
      <c r="BA404" s="1431" t="str">
        <f t="shared" si="823"/>
        <v>-</v>
      </c>
      <c r="BB404" s="1431" t="str">
        <f t="shared" si="823"/>
        <v>-</v>
      </c>
      <c r="BC404" s="1431" t="str">
        <f t="shared" si="756"/>
        <v>-</v>
      </c>
      <c r="BD404" s="1431" t="str">
        <f t="shared" si="757"/>
        <v>-</v>
      </c>
      <c r="BE404" s="1431" t="str">
        <f t="shared" si="758"/>
        <v>-</v>
      </c>
      <c r="BF404" s="1431" t="str">
        <f t="shared" si="759"/>
        <v>-</v>
      </c>
      <c r="BG404" s="1432" t="str">
        <f t="shared" si="760"/>
        <v>-</v>
      </c>
      <c r="BH404" s="1431" t="str">
        <f t="shared" si="761"/>
        <v>-</v>
      </c>
      <c r="BI404" s="1431" t="str">
        <f t="shared" si="762"/>
        <v>-</v>
      </c>
      <c r="BJ404" s="1431" t="str">
        <f t="shared" si="763"/>
        <v>-</v>
      </c>
      <c r="BK404" s="1431" t="str">
        <f t="shared" si="764"/>
        <v>-</v>
      </c>
      <c r="BL404" s="1433" t="str">
        <f t="shared" si="765"/>
        <v>-</v>
      </c>
      <c r="BM404" s="1431" t="str">
        <f t="shared" si="766"/>
        <v>-</v>
      </c>
      <c r="BN404" s="1431" t="str">
        <f t="shared" si="767"/>
        <v>-</v>
      </c>
      <c r="BO404" s="1431" t="str">
        <f t="shared" si="768"/>
        <v>-</v>
      </c>
      <c r="BP404" s="1431" t="str">
        <f t="shared" si="769"/>
        <v>-</v>
      </c>
      <c r="BQ404" s="1434" t="str">
        <f t="shared" si="770"/>
        <v>-</v>
      </c>
      <c r="BR404" s="1378"/>
      <c r="BS404" s="1407"/>
      <c r="BT404" s="1408"/>
      <c r="BU404" s="1409"/>
      <c r="BV404" s="1410"/>
      <c r="BW404" s="1378"/>
      <c r="BX404" s="1428" t="str">
        <f t="shared" si="771"/>
        <v>Rev</v>
      </c>
      <c r="BY404" s="1429" t="str">
        <f t="shared" si="772"/>
        <v>[Service]</v>
      </c>
      <c r="BZ404" s="1430" t="str">
        <f t="shared" si="773"/>
        <v>[Price]</v>
      </c>
      <c r="CA404" s="1435" t="str">
        <f t="shared" ref="CA404:CR404" si="827">IFERROR((P404/O404-1)*(O404/O$13),"-")</f>
        <v>-</v>
      </c>
      <c r="CB404" s="1431" t="str">
        <f t="shared" si="827"/>
        <v>-</v>
      </c>
      <c r="CC404" s="1431" t="str">
        <f t="shared" si="827"/>
        <v>-</v>
      </c>
      <c r="CD404" s="1431" t="str">
        <f t="shared" si="827"/>
        <v>-</v>
      </c>
      <c r="CE404" s="1431" t="str">
        <f t="shared" si="827"/>
        <v>-</v>
      </c>
      <c r="CF404" s="1431" t="str">
        <f t="shared" si="827"/>
        <v>-</v>
      </c>
      <c r="CG404" s="1431" t="str">
        <f t="shared" si="827"/>
        <v>-</v>
      </c>
      <c r="CH404" s="1433" t="str">
        <f t="shared" si="827"/>
        <v>-</v>
      </c>
      <c r="CI404" s="1431" t="str">
        <f t="shared" si="827"/>
        <v>-</v>
      </c>
      <c r="CJ404" s="1431" t="str">
        <f t="shared" si="827"/>
        <v>-</v>
      </c>
      <c r="CK404" s="1431" t="str">
        <f t="shared" si="827"/>
        <v>-</v>
      </c>
      <c r="CL404" s="1431" t="str">
        <f t="shared" si="827"/>
        <v>-</v>
      </c>
      <c r="CM404" s="1433" t="str">
        <f t="shared" si="827"/>
        <v>-</v>
      </c>
      <c r="CN404" s="1431" t="str">
        <f t="shared" si="827"/>
        <v>-</v>
      </c>
      <c r="CO404" s="1431" t="str">
        <f t="shared" si="827"/>
        <v>-</v>
      </c>
      <c r="CP404" s="1431" t="str">
        <f t="shared" si="827"/>
        <v>-</v>
      </c>
      <c r="CQ404" s="1431" t="str">
        <f t="shared" si="827"/>
        <v>-</v>
      </c>
      <c r="CR404" s="1434" t="str">
        <f t="shared" si="827"/>
        <v>-</v>
      </c>
      <c r="CS404" s="1378"/>
      <c r="CT404" s="1428" t="str">
        <f t="shared" si="749"/>
        <v>Rev</v>
      </c>
      <c r="CU404" s="1429" t="str">
        <f t="shared" si="750"/>
        <v>[Service]</v>
      </c>
      <c r="CV404" s="1429" t="str">
        <f t="shared" si="751"/>
        <v>[Price]</v>
      </c>
      <c r="CW404" s="1435" t="str">
        <f t="shared" si="775"/>
        <v>-</v>
      </c>
      <c r="CX404" s="1431" t="str">
        <f t="shared" si="776"/>
        <v>-</v>
      </c>
      <c r="CY404" s="1431" t="str">
        <f t="shared" si="777"/>
        <v>-</v>
      </c>
      <c r="CZ404" s="1434" t="str">
        <f t="shared" si="778"/>
        <v>-</v>
      </c>
      <c r="DA404" s="1431" t="str">
        <f t="shared" si="779"/>
        <v>-</v>
      </c>
      <c r="DB404" s="1431" t="str">
        <f t="shared" si="780"/>
        <v>-</v>
      </c>
      <c r="DC404" s="1431" t="str">
        <f t="shared" si="781"/>
        <v>-</v>
      </c>
      <c r="DD404" s="1431" t="str">
        <f t="shared" si="782"/>
        <v>-</v>
      </c>
      <c r="DE404" s="1434" t="str">
        <f t="shared" si="783"/>
        <v>-</v>
      </c>
      <c r="DF404" s="1378"/>
      <c r="DG404" s="1428" t="str">
        <f t="shared" si="784"/>
        <v>Rev</v>
      </c>
      <c r="DH404" s="1429" t="str">
        <f t="shared" si="784"/>
        <v>[Service]</v>
      </c>
      <c r="DI404" s="1429" t="str">
        <f t="shared" si="784"/>
        <v>[Price]</v>
      </c>
      <c r="DJ404" s="1429"/>
      <c r="DK404" s="1435" t="str">
        <f t="shared" si="785"/>
        <v>-</v>
      </c>
      <c r="DL404" s="1431" t="str">
        <f t="shared" si="786"/>
        <v>-</v>
      </c>
      <c r="DM404" s="1431" t="str">
        <f t="shared" si="787"/>
        <v>-</v>
      </c>
      <c r="DN404" s="1433" t="str">
        <f t="shared" si="788"/>
        <v>-</v>
      </c>
      <c r="DO404" s="1431" t="str">
        <f t="shared" si="789"/>
        <v>-</v>
      </c>
      <c r="DP404" s="1431" t="str">
        <f t="shared" si="790"/>
        <v>-</v>
      </c>
      <c r="DQ404" s="1431" t="str">
        <f t="shared" si="791"/>
        <v>-</v>
      </c>
      <c r="DR404" s="1434" t="str">
        <f t="shared" si="792"/>
        <v>-</v>
      </c>
    </row>
    <row r="405" spans="4:122">
      <c r="D405" s="70">
        <f>D402+1</f>
        <v>114</v>
      </c>
      <c r="E405" s="713" t="s">
        <v>44</v>
      </c>
      <c r="F405" s="1532" t="s">
        <v>27</v>
      </c>
      <c r="G405" s="1532"/>
      <c r="H405" s="1532"/>
      <c r="I405" s="781" t="s">
        <v>318</v>
      </c>
      <c r="J405" s="781" t="s">
        <v>345</v>
      </c>
      <c r="K405" s="1533"/>
      <c r="L405" s="1534"/>
      <c r="M405" s="1534"/>
      <c r="N405" s="1535"/>
      <c r="O405" s="2071"/>
      <c r="P405" s="1547"/>
      <c r="Q405" s="1547"/>
      <c r="R405" s="1547"/>
      <c r="S405" s="1547"/>
      <c r="T405" s="1547"/>
      <c r="U405" s="1547"/>
      <c r="V405" s="1547"/>
      <c r="W405" s="1547"/>
      <c r="X405" s="1548"/>
      <c r="Y405" s="1547"/>
      <c r="Z405" s="1547"/>
      <c r="AA405" s="1547"/>
      <c r="AB405" s="1547"/>
      <c r="AC405" s="1548"/>
      <c r="AD405" s="1547"/>
      <c r="AE405" s="1547"/>
      <c r="AF405" s="1547"/>
      <c r="AG405" s="785"/>
      <c r="AH405" s="697"/>
      <c r="AI405" s="707"/>
      <c r="AJ405" s="709">
        <f t="shared" si="796"/>
        <v>0</v>
      </c>
      <c r="AK405" s="710">
        <f t="shared" si="797"/>
        <v>0</v>
      </c>
      <c r="AL405" s="710">
        <f t="shared" si="798"/>
        <v>0</v>
      </c>
      <c r="AM405" s="710">
        <f t="shared" si="799"/>
        <v>0</v>
      </c>
      <c r="AN405" s="710">
        <f t="shared" si="800"/>
        <v>0</v>
      </c>
      <c r="AO405" s="711">
        <f t="shared" si="801"/>
        <v>0</v>
      </c>
      <c r="AP405" s="707">
        <f t="shared" si="802"/>
        <v>0</v>
      </c>
      <c r="AQ405" s="707">
        <f t="shared" si="803"/>
        <v>0</v>
      </c>
      <c r="AR405" s="707">
        <f t="shared" si="804"/>
        <v>0</v>
      </c>
      <c r="AS405" s="712">
        <f t="shared" si="805"/>
        <v>0</v>
      </c>
      <c r="AU405" s="1369"/>
      <c r="AV405" s="1559"/>
      <c r="AW405" s="1412" t="str">
        <f t="shared" si="753"/>
        <v>Price</v>
      </c>
      <c r="AX405" s="1413" t="str">
        <f t="shared" si="753"/>
        <v>[Service]</v>
      </c>
      <c r="AY405" s="1414" t="str">
        <f t="shared" si="754"/>
        <v>[Price]</v>
      </c>
      <c r="AZ405" s="1415" t="str">
        <f t="shared" si="823"/>
        <v>-</v>
      </c>
      <c r="BA405" s="1415" t="str">
        <f t="shared" si="823"/>
        <v>-</v>
      </c>
      <c r="BB405" s="1415" t="str">
        <f t="shared" si="823"/>
        <v>-</v>
      </c>
      <c r="BC405" s="1415" t="str">
        <f t="shared" si="756"/>
        <v>-</v>
      </c>
      <c r="BD405" s="1415" t="str">
        <f t="shared" si="757"/>
        <v>-</v>
      </c>
      <c r="BE405" s="1415" t="str">
        <f t="shared" si="758"/>
        <v>-</v>
      </c>
      <c r="BF405" s="1415" t="str">
        <f t="shared" si="759"/>
        <v>-</v>
      </c>
      <c r="BG405" s="1416" t="str">
        <f t="shared" si="760"/>
        <v>-</v>
      </c>
      <c r="BH405" s="1417" t="str">
        <f t="shared" si="761"/>
        <v>-</v>
      </c>
      <c r="BI405" s="1417" t="str">
        <f t="shared" si="762"/>
        <v>-</v>
      </c>
      <c r="BJ405" s="1417" t="str">
        <f t="shared" si="763"/>
        <v>-</v>
      </c>
      <c r="BK405" s="1417" t="str">
        <f t="shared" si="764"/>
        <v>-</v>
      </c>
      <c r="BL405" s="1418" t="str">
        <f t="shared" si="765"/>
        <v>-</v>
      </c>
      <c r="BM405" s="1417" t="str">
        <f t="shared" si="766"/>
        <v>-</v>
      </c>
      <c r="BN405" s="1417" t="str">
        <f t="shared" si="767"/>
        <v>-</v>
      </c>
      <c r="BO405" s="1417" t="str">
        <f t="shared" si="768"/>
        <v>-</v>
      </c>
      <c r="BP405" s="1417" t="str">
        <f t="shared" si="769"/>
        <v>-</v>
      </c>
      <c r="BQ405" s="1419" t="str">
        <f t="shared" si="770"/>
        <v>-</v>
      </c>
      <c r="BR405" s="1378"/>
      <c r="BS405" s="1420"/>
      <c r="BT405" s="1421"/>
      <c r="BU405" s="1422"/>
      <c r="BV405" s="1423"/>
      <c r="BW405" s="1378"/>
      <c r="BX405" s="1412" t="str">
        <f t="shared" si="771"/>
        <v>Price</v>
      </c>
      <c r="BY405" s="1413" t="str">
        <f t="shared" si="772"/>
        <v>[Service]</v>
      </c>
      <c r="BZ405" s="1414" t="str">
        <f t="shared" si="773"/>
        <v>[Price]</v>
      </c>
      <c r="CA405" s="1424" t="str">
        <f t="shared" ref="CA405:CR405" si="828">IFERROR((P405/O405-1)*(O407/O$13),"-")</f>
        <v>-</v>
      </c>
      <c r="CB405" s="1415" t="str">
        <f t="shared" si="828"/>
        <v>-</v>
      </c>
      <c r="CC405" s="1415" t="str">
        <f t="shared" si="828"/>
        <v>-</v>
      </c>
      <c r="CD405" s="1415" t="str">
        <f t="shared" si="828"/>
        <v>-</v>
      </c>
      <c r="CE405" s="1415" t="str">
        <f t="shared" si="828"/>
        <v>-</v>
      </c>
      <c r="CF405" s="1415" t="str">
        <f t="shared" si="828"/>
        <v>-</v>
      </c>
      <c r="CG405" s="1415" t="str">
        <f t="shared" si="828"/>
        <v>-</v>
      </c>
      <c r="CH405" s="1425" t="str">
        <f t="shared" si="828"/>
        <v>-</v>
      </c>
      <c r="CI405" s="1417" t="str">
        <f t="shared" si="828"/>
        <v>-</v>
      </c>
      <c r="CJ405" s="1417" t="str">
        <f t="shared" si="828"/>
        <v>-</v>
      </c>
      <c r="CK405" s="1417" t="str">
        <f t="shared" si="828"/>
        <v>-</v>
      </c>
      <c r="CL405" s="1417" t="str">
        <f t="shared" si="828"/>
        <v>-</v>
      </c>
      <c r="CM405" s="1418" t="str">
        <f t="shared" si="828"/>
        <v>-</v>
      </c>
      <c r="CN405" s="1417" t="str">
        <f t="shared" si="828"/>
        <v>-</v>
      </c>
      <c r="CO405" s="1417" t="str">
        <f t="shared" si="828"/>
        <v>-</v>
      </c>
      <c r="CP405" s="1417" t="str">
        <f t="shared" si="828"/>
        <v>-</v>
      </c>
      <c r="CQ405" s="1417" t="str">
        <f t="shared" si="828"/>
        <v>-</v>
      </c>
      <c r="CR405" s="1419" t="str">
        <f t="shared" si="828"/>
        <v>-</v>
      </c>
      <c r="CS405" s="1378"/>
      <c r="CT405" s="1412" t="str">
        <f t="shared" si="749"/>
        <v>Price</v>
      </c>
      <c r="CU405" s="1413" t="str">
        <f t="shared" si="750"/>
        <v>[Service]</v>
      </c>
      <c r="CV405" s="1426" t="str">
        <f t="shared" si="751"/>
        <v>[Price]</v>
      </c>
      <c r="CW405" s="1427" t="str">
        <f t="shared" si="775"/>
        <v>-</v>
      </c>
      <c r="CX405" s="1417" t="str">
        <f t="shared" si="776"/>
        <v>-</v>
      </c>
      <c r="CY405" s="1417" t="str">
        <f t="shared" si="777"/>
        <v>-</v>
      </c>
      <c r="CZ405" s="1419" t="str">
        <f t="shared" si="778"/>
        <v>-</v>
      </c>
      <c r="DA405" s="1417" t="str">
        <f t="shared" si="779"/>
        <v>-</v>
      </c>
      <c r="DB405" s="1417" t="str">
        <f t="shared" si="780"/>
        <v>-</v>
      </c>
      <c r="DC405" s="1417" t="str">
        <f t="shared" si="781"/>
        <v>-</v>
      </c>
      <c r="DD405" s="1417" t="str">
        <f t="shared" si="782"/>
        <v>-</v>
      </c>
      <c r="DE405" s="1419" t="str">
        <f t="shared" si="783"/>
        <v>-</v>
      </c>
      <c r="DF405" s="1378"/>
      <c r="DG405" s="1412" t="str">
        <f t="shared" si="784"/>
        <v>Price</v>
      </c>
      <c r="DH405" s="1413" t="str">
        <f t="shared" si="784"/>
        <v>[Service]</v>
      </c>
      <c r="DI405" s="1426" t="str">
        <f t="shared" si="784"/>
        <v>[Price]</v>
      </c>
      <c r="DJ405" s="1426"/>
      <c r="DK405" s="1427" t="str">
        <f t="shared" si="785"/>
        <v>-</v>
      </c>
      <c r="DL405" s="1417" t="str">
        <f t="shared" si="786"/>
        <v>-</v>
      </c>
      <c r="DM405" s="1417" t="str">
        <f t="shared" si="787"/>
        <v>-</v>
      </c>
      <c r="DN405" s="1418" t="str">
        <f t="shared" si="788"/>
        <v>-</v>
      </c>
      <c r="DO405" s="1417" t="str">
        <f t="shared" si="789"/>
        <v>-</v>
      </c>
      <c r="DP405" s="1417" t="str">
        <f t="shared" si="790"/>
        <v>-</v>
      </c>
      <c r="DQ405" s="1417" t="str">
        <f t="shared" si="791"/>
        <v>-</v>
      </c>
      <c r="DR405" s="1419" t="str">
        <f t="shared" si="792"/>
        <v>-</v>
      </c>
    </row>
    <row r="406" spans="4:122">
      <c r="E406" s="742" t="s">
        <v>45</v>
      </c>
      <c r="F406" s="722" t="str">
        <f>+F405</f>
        <v>[Service]</v>
      </c>
      <c r="G406" s="723">
        <f>+G405</f>
        <v>0</v>
      </c>
      <c r="H406" s="723">
        <f>+H405</f>
        <v>0</v>
      </c>
      <c r="I406" s="724" t="str">
        <f>+I405</f>
        <v>[Price]</v>
      </c>
      <c r="J406" s="782" t="s">
        <v>322</v>
      </c>
      <c r="K406" s="1540"/>
      <c r="L406" s="1541"/>
      <c r="M406" s="1541"/>
      <c r="N406" s="1542"/>
      <c r="O406" s="2031"/>
      <c r="P406" s="1543"/>
      <c r="Q406" s="1543"/>
      <c r="R406" s="1543"/>
      <c r="S406" s="1543"/>
      <c r="T406" s="1543"/>
      <c r="U406" s="1543"/>
      <c r="V406" s="1543"/>
      <c r="W406" s="1543"/>
      <c r="X406" s="1544"/>
      <c r="Y406" s="1543"/>
      <c r="Z406" s="1543"/>
      <c r="AA406" s="1543"/>
      <c r="AB406" s="1543"/>
      <c r="AC406" s="1544"/>
      <c r="AD406" s="1543"/>
      <c r="AE406" s="1543"/>
      <c r="AF406" s="1543"/>
      <c r="AG406" s="788"/>
      <c r="AH406" s="697"/>
      <c r="AI406" s="707"/>
      <c r="AJ406" s="709">
        <f t="shared" si="796"/>
        <v>0</v>
      </c>
      <c r="AK406" s="710">
        <f t="shared" si="797"/>
        <v>0</v>
      </c>
      <c r="AL406" s="710">
        <f t="shared" si="798"/>
        <v>0</v>
      </c>
      <c r="AM406" s="710">
        <f t="shared" si="799"/>
        <v>0</v>
      </c>
      <c r="AN406" s="710">
        <f t="shared" si="800"/>
        <v>0</v>
      </c>
      <c r="AO406" s="711">
        <f t="shared" si="801"/>
        <v>0</v>
      </c>
      <c r="AP406" s="707">
        <f t="shared" si="802"/>
        <v>0</v>
      </c>
      <c r="AQ406" s="707">
        <f t="shared" si="803"/>
        <v>0</v>
      </c>
      <c r="AR406" s="707">
        <f t="shared" si="804"/>
        <v>0</v>
      </c>
      <c r="AS406" s="712">
        <f t="shared" si="805"/>
        <v>0</v>
      </c>
      <c r="AV406" s="1559"/>
      <c r="AW406" s="1392" t="str">
        <f t="shared" si="753"/>
        <v>Qty</v>
      </c>
      <c r="AX406" s="1393" t="str">
        <f t="shared" si="753"/>
        <v>[Service]</v>
      </c>
      <c r="AY406" s="1394" t="str">
        <f t="shared" si="754"/>
        <v>[Price]</v>
      </c>
      <c r="AZ406" s="1395" t="str">
        <f t="shared" si="823"/>
        <v>-</v>
      </c>
      <c r="BA406" s="1395" t="str">
        <f t="shared" si="823"/>
        <v>-</v>
      </c>
      <c r="BB406" s="1395" t="str">
        <f t="shared" si="823"/>
        <v>-</v>
      </c>
      <c r="BC406" s="1395" t="str">
        <f t="shared" si="756"/>
        <v>-</v>
      </c>
      <c r="BD406" s="1395" t="str">
        <f t="shared" si="757"/>
        <v>-</v>
      </c>
      <c r="BE406" s="1395" t="str">
        <f t="shared" si="758"/>
        <v>-</v>
      </c>
      <c r="BF406" s="1395" t="str">
        <f t="shared" si="759"/>
        <v>-</v>
      </c>
      <c r="BG406" s="1396" t="str">
        <f t="shared" si="760"/>
        <v>-</v>
      </c>
      <c r="BH406" s="1395" t="str">
        <f t="shared" si="761"/>
        <v>-</v>
      </c>
      <c r="BI406" s="1395" t="str">
        <f t="shared" si="762"/>
        <v>-</v>
      </c>
      <c r="BJ406" s="1395" t="str">
        <f t="shared" si="763"/>
        <v>-</v>
      </c>
      <c r="BK406" s="1395" t="str">
        <f t="shared" si="764"/>
        <v>-</v>
      </c>
      <c r="BL406" s="1397" t="str">
        <f t="shared" si="765"/>
        <v>-</v>
      </c>
      <c r="BM406" s="1395" t="str">
        <f t="shared" si="766"/>
        <v>-</v>
      </c>
      <c r="BN406" s="1395" t="str">
        <f t="shared" si="767"/>
        <v>-</v>
      </c>
      <c r="BO406" s="1395" t="str">
        <f t="shared" si="768"/>
        <v>-</v>
      </c>
      <c r="BP406" s="1395" t="str">
        <f t="shared" si="769"/>
        <v>-</v>
      </c>
      <c r="BQ406" s="1398" t="str">
        <f t="shared" si="770"/>
        <v>-</v>
      </c>
      <c r="BR406" s="1378"/>
      <c r="BS406" s="1329"/>
      <c r="BT406" s="1399"/>
      <c r="BU406" s="1331"/>
      <c r="BV406" s="1400"/>
      <c r="BW406" s="1378"/>
      <c r="BX406" s="1392" t="str">
        <f t="shared" si="771"/>
        <v>Qty</v>
      </c>
      <c r="BY406" s="1393" t="str">
        <f t="shared" si="772"/>
        <v>[Service]</v>
      </c>
      <c r="BZ406" s="1394" t="str">
        <f t="shared" si="773"/>
        <v>[Price]</v>
      </c>
      <c r="CA406" s="1401" t="str">
        <f t="shared" ref="CA406:CR406" si="829">IFERROR((P406/O406-1)*(O407/O$13),"-")</f>
        <v>-</v>
      </c>
      <c r="CB406" s="1395" t="str">
        <f t="shared" si="829"/>
        <v>-</v>
      </c>
      <c r="CC406" s="1395" t="str">
        <f t="shared" si="829"/>
        <v>-</v>
      </c>
      <c r="CD406" s="1395" t="str">
        <f t="shared" si="829"/>
        <v>-</v>
      </c>
      <c r="CE406" s="1395" t="str">
        <f t="shared" si="829"/>
        <v>-</v>
      </c>
      <c r="CF406" s="1395" t="str">
        <f t="shared" si="829"/>
        <v>-</v>
      </c>
      <c r="CG406" s="1395" t="str">
        <f t="shared" si="829"/>
        <v>-</v>
      </c>
      <c r="CH406" s="1397" t="str">
        <f t="shared" si="829"/>
        <v>-</v>
      </c>
      <c r="CI406" s="1395" t="str">
        <f t="shared" si="829"/>
        <v>-</v>
      </c>
      <c r="CJ406" s="1395" t="str">
        <f t="shared" si="829"/>
        <v>-</v>
      </c>
      <c r="CK406" s="1395" t="str">
        <f t="shared" si="829"/>
        <v>-</v>
      </c>
      <c r="CL406" s="1395" t="str">
        <f t="shared" si="829"/>
        <v>-</v>
      </c>
      <c r="CM406" s="1397" t="str">
        <f t="shared" si="829"/>
        <v>-</v>
      </c>
      <c r="CN406" s="1395" t="str">
        <f t="shared" si="829"/>
        <v>-</v>
      </c>
      <c r="CO406" s="1395" t="str">
        <f t="shared" si="829"/>
        <v>-</v>
      </c>
      <c r="CP406" s="1395" t="str">
        <f t="shared" si="829"/>
        <v>-</v>
      </c>
      <c r="CQ406" s="1395" t="str">
        <f t="shared" si="829"/>
        <v>-</v>
      </c>
      <c r="CR406" s="1398" t="str">
        <f t="shared" si="829"/>
        <v>-</v>
      </c>
      <c r="CS406" s="1378"/>
      <c r="CT406" s="1392" t="str">
        <f t="shared" si="749"/>
        <v>Qty</v>
      </c>
      <c r="CU406" s="1393" t="str">
        <f t="shared" si="750"/>
        <v>[Service]</v>
      </c>
      <c r="CV406" s="1393" t="str">
        <f t="shared" si="751"/>
        <v>[Price]</v>
      </c>
      <c r="CW406" s="1401" t="str">
        <f t="shared" si="775"/>
        <v>-</v>
      </c>
      <c r="CX406" s="1395" t="str">
        <f t="shared" si="776"/>
        <v>-</v>
      </c>
      <c r="CY406" s="1395" t="str">
        <f t="shared" si="777"/>
        <v>-</v>
      </c>
      <c r="CZ406" s="1398" t="str">
        <f t="shared" si="778"/>
        <v>-</v>
      </c>
      <c r="DA406" s="1395" t="str">
        <f t="shared" si="779"/>
        <v>-</v>
      </c>
      <c r="DB406" s="1395" t="str">
        <f t="shared" si="780"/>
        <v>-</v>
      </c>
      <c r="DC406" s="1395" t="str">
        <f t="shared" si="781"/>
        <v>-</v>
      </c>
      <c r="DD406" s="1395" t="str">
        <f t="shared" si="782"/>
        <v>-</v>
      </c>
      <c r="DE406" s="1398" t="str">
        <f t="shared" si="783"/>
        <v>-</v>
      </c>
      <c r="DF406" s="1378"/>
      <c r="DG406" s="1392" t="str">
        <f t="shared" si="784"/>
        <v>Qty</v>
      </c>
      <c r="DH406" s="1393" t="str">
        <f t="shared" si="784"/>
        <v>[Service]</v>
      </c>
      <c r="DI406" s="1393" t="str">
        <f t="shared" si="784"/>
        <v>[Price]</v>
      </c>
      <c r="DJ406" s="1393"/>
      <c r="DK406" s="1401" t="str">
        <f t="shared" si="785"/>
        <v>-</v>
      </c>
      <c r="DL406" s="1395" t="str">
        <f t="shared" si="786"/>
        <v>-</v>
      </c>
      <c r="DM406" s="1395" t="str">
        <f t="shared" si="787"/>
        <v>-</v>
      </c>
      <c r="DN406" s="1397" t="str">
        <f t="shared" si="788"/>
        <v>-</v>
      </c>
      <c r="DO406" s="1395" t="str">
        <f t="shared" si="789"/>
        <v>-</v>
      </c>
      <c r="DP406" s="1395" t="str">
        <f t="shared" si="790"/>
        <v>-</v>
      </c>
      <c r="DQ406" s="1395" t="str">
        <f t="shared" si="791"/>
        <v>-</v>
      </c>
      <c r="DR406" s="1398" t="str">
        <f t="shared" si="792"/>
        <v>-</v>
      </c>
    </row>
    <row r="407" spans="4:122" ht="12.75" thickBot="1">
      <c r="E407" s="743" t="s">
        <v>46</v>
      </c>
      <c r="F407" s="732" t="str">
        <f>+F405</f>
        <v>[Service]</v>
      </c>
      <c r="G407" s="733">
        <f>+G405</f>
        <v>0</v>
      </c>
      <c r="H407" s="733">
        <f>+H405</f>
        <v>0</v>
      </c>
      <c r="I407" s="734" t="str">
        <f>+I405</f>
        <v>[Price]</v>
      </c>
      <c r="J407" s="735" t="s">
        <v>344</v>
      </c>
      <c r="K407" s="736">
        <f t="shared" ref="K407:AG407" si="830">K405*K406/10^6</f>
        <v>0</v>
      </c>
      <c r="L407" s="737">
        <f t="shared" si="830"/>
        <v>0</v>
      </c>
      <c r="M407" s="737">
        <f t="shared" si="830"/>
        <v>0</v>
      </c>
      <c r="N407" s="738">
        <f t="shared" si="830"/>
        <v>0</v>
      </c>
      <c r="O407" s="1923">
        <f t="shared" si="830"/>
        <v>0</v>
      </c>
      <c r="P407" s="737">
        <f t="shared" si="830"/>
        <v>0</v>
      </c>
      <c r="Q407" s="737">
        <f t="shared" si="830"/>
        <v>0</v>
      </c>
      <c r="R407" s="737">
        <f t="shared" si="830"/>
        <v>0</v>
      </c>
      <c r="S407" s="737">
        <f t="shared" si="830"/>
        <v>0</v>
      </c>
      <c r="T407" s="737">
        <f t="shared" si="830"/>
        <v>0</v>
      </c>
      <c r="U407" s="737">
        <f t="shared" si="830"/>
        <v>0</v>
      </c>
      <c r="V407" s="737">
        <f t="shared" si="830"/>
        <v>0</v>
      </c>
      <c r="W407" s="737">
        <f t="shared" si="830"/>
        <v>0</v>
      </c>
      <c r="X407" s="738">
        <f t="shared" si="830"/>
        <v>0</v>
      </c>
      <c r="Y407" s="737">
        <f t="shared" si="830"/>
        <v>0</v>
      </c>
      <c r="Z407" s="737">
        <f t="shared" si="830"/>
        <v>0</v>
      </c>
      <c r="AA407" s="737">
        <f t="shared" si="830"/>
        <v>0</v>
      </c>
      <c r="AB407" s="737">
        <f t="shared" si="830"/>
        <v>0</v>
      </c>
      <c r="AC407" s="738">
        <f t="shared" si="830"/>
        <v>0</v>
      </c>
      <c r="AD407" s="737">
        <f t="shared" si="830"/>
        <v>0</v>
      </c>
      <c r="AE407" s="737">
        <f t="shared" si="830"/>
        <v>0</v>
      </c>
      <c r="AF407" s="737">
        <f t="shared" si="830"/>
        <v>0</v>
      </c>
      <c r="AG407" s="739">
        <f t="shared" si="830"/>
        <v>0</v>
      </c>
      <c r="AH407" s="697"/>
      <c r="AI407" s="707"/>
      <c r="AJ407" s="709">
        <f t="shared" si="796"/>
        <v>0</v>
      </c>
      <c r="AK407" s="710">
        <f t="shared" si="797"/>
        <v>0</v>
      </c>
      <c r="AL407" s="710">
        <f t="shared" si="798"/>
        <v>0</v>
      </c>
      <c r="AM407" s="710">
        <f t="shared" si="799"/>
        <v>0</v>
      </c>
      <c r="AN407" s="710">
        <f t="shared" si="800"/>
        <v>0</v>
      </c>
      <c r="AO407" s="711">
        <f t="shared" si="801"/>
        <v>0</v>
      </c>
      <c r="AP407" s="707">
        <f t="shared" si="802"/>
        <v>0</v>
      </c>
      <c r="AQ407" s="707">
        <f t="shared" si="803"/>
        <v>0</v>
      </c>
      <c r="AR407" s="707">
        <f t="shared" si="804"/>
        <v>0</v>
      </c>
      <c r="AS407" s="712">
        <f t="shared" si="805"/>
        <v>0</v>
      </c>
      <c r="AV407" s="1559"/>
      <c r="AW407" s="1428" t="str">
        <f t="shared" si="753"/>
        <v>Rev</v>
      </c>
      <c r="AX407" s="1429" t="str">
        <f t="shared" si="753"/>
        <v>[Service]</v>
      </c>
      <c r="AY407" s="1430" t="str">
        <f t="shared" si="754"/>
        <v>[Price]</v>
      </c>
      <c r="AZ407" s="1431" t="str">
        <f t="shared" si="823"/>
        <v>-</v>
      </c>
      <c r="BA407" s="1431" t="str">
        <f t="shared" si="823"/>
        <v>-</v>
      </c>
      <c r="BB407" s="1431" t="str">
        <f t="shared" si="823"/>
        <v>-</v>
      </c>
      <c r="BC407" s="1431" t="str">
        <f t="shared" si="756"/>
        <v>-</v>
      </c>
      <c r="BD407" s="1431" t="str">
        <f t="shared" si="757"/>
        <v>-</v>
      </c>
      <c r="BE407" s="1431" t="str">
        <f t="shared" si="758"/>
        <v>-</v>
      </c>
      <c r="BF407" s="1431" t="str">
        <f t="shared" si="759"/>
        <v>-</v>
      </c>
      <c r="BG407" s="1432" t="str">
        <f t="shared" si="760"/>
        <v>-</v>
      </c>
      <c r="BH407" s="1431" t="str">
        <f t="shared" si="761"/>
        <v>-</v>
      </c>
      <c r="BI407" s="1431" t="str">
        <f t="shared" si="762"/>
        <v>-</v>
      </c>
      <c r="BJ407" s="1431" t="str">
        <f t="shared" si="763"/>
        <v>-</v>
      </c>
      <c r="BK407" s="1431" t="str">
        <f t="shared" si="764"/>
        <v>-</v>
      </c>
      <c r="BL407" s="1433" t="str">
        <f t="shared" si="765"/>
        <v>-</v>
      </c>
      <c r="BM407" s="1431" t="str">
        <f t="shared" si="766"/>
        <v>-</v>
      </c>
      <c r="BN407" s="1431" t="str">
        <f t="shared" si="767"/>
        <v>-</v>
      </c>
      <c r="BO407" s="1431" t="str">
        <f t="shared" si="768"/>
        <v>-</v>
      </c>
      <c r="BP407" s="1431" t="str">
        <f t="shared" si="769"/>
        <v>-</v>
      </c>
      <c r="BQ407" s="1434" t="str">
        <f t="shared" si="770"/>
        <v>-</v>
      </c>
      <c r="BR407" s="1378"/>
      <c r="BS407" s="1407"/>
      <c r="BT407" s="1408"/>
      <c r="BU407" s="1409"/>
      <c r="BV407" s="1410"/>
      <c r="BW407" s="1378"/>
      <c r="BX407" s="1428" t="str">
        <f t="shared" si="771"/>
        <v>Rev</v>
      </c>
      <c r="BY407" s="1429" t="str">
        <f t="shared" si="772"/>
        <v>[Service]</v>
      </c>
      <c r="BZ407" s="1430" t="str">
        <f t="shared" si="773"/>
        <v>[Price]</v>
      </c>
      <c r="CA407" s="1435" t="str">
        <f t="shared" ref="CA407:CR407" si="831">IFERROR((P407/O407-1)*(O407/O$13),"-")</f>
        <v>-</v>
      </c>
      <c r="CB407" s="1431" t="str">
        <f t="shared" si="831"/>
        <v>-</v>
      </c>
      <c r="CC407" s="1431" t="str">
        <f t="shared" si="831"/>
        <v>-</v>
      </c>
      <c r="CD407" s="1431" t="str">
        <f t="shared" si="831"/>
        <v>-</v>
      </c>
      <c r="CE407" s="1431" t="str">
        <f t="shared" si="831"/>
        <v>-</v>
      </c>
      <c r="CF407" s="1431" t="str">
        <f t="shared" si="831"/>
        <v>-</v>
      </c>
      <c r="CG407" s="1431" t="str">
        <f t="shared" si="831"/>
        <v>-</v>
      </c>
      <c r="CH407" s="1433" t="str">
        <f t="shared" si="831"/>
        <v>-</v>
      </c>
      <c r="CI407" s="1431" t="str">
        <f t="shared" si="831"/>
        <v>-</v>
      </c>
      <c r="CJ407" s="1431" t="str">
        <f t="shared" si="831"/>
        <v>-</v>
      </c>
      <c r="CK407" s="1431" t="str">
        <f t="shared" si="831"/>
        <v>-</v>
      </c>
      <c r="CL407" s="1431" t="str">
        <f t="shared" si="831"/>
        <v>-</v>
      </c>
      <c r="CM407" s="1433" t="str">
        <f t="shared" si="831"/>
        <v>-</v>
      </c>
      <c r="CN407" s="1431" t="str">
        <f t="shared" si="831"/>
        <v>-</v>
      </c>
      <c r="CO407" s="1431" t="str">
        <f t="shared" si="831"/>
        <v>-</v>
      </c>
      <c r="CP407" s="1431" t="str">
        <f t="shared" si="831"/>
        <v>-</v>
      </c>
      <c r="CQ407" s="1431" t="str">
        <f t="shared" si="831"/>
        <v>-</v>
      </c>
      <c r="CR407" s="1434" t="str">
        <f t="shared" si="831"/>
        <v>-</v>
      </c>
      <c r="CS407" s="1378"/>
      <c r="CT407" s="1428" t="str">
        <f t="shared" si="749"/>
        <v>Rev</v>
      </c>
      <c r="CU407" s="1429" t="str">
        <f t="shared" si="750"/>
        <v>[Service]</v>
      </c>
      <c r="CV407" s="1429" t="str">
        <f t="shared" si="751"/>
        <v>[Price]</v>
      </c>
      <c r="CW407" s="1435" t="str">
        <f t="shared" si="775"/>
        <v>-</v>
      </c>
      <c r="CX407" s="1431" t="str">
        <f t="shared" si="776"/>
        <v>-</v>
      </c>
      <c r="CY407" s="1431" t="str">
        <f t="shared" si="777"/>
        <v>-</v>
      </c>
      <c r="CZ407" s="1434" t="str">
        <f t="shared" si="778"/>
        <v>-</v>
      </c>
      <c r="DA407" s="1431" t="str">
        <f t="shared" si="779"/>
        <v>-</v>
      </c>
      <c r="DB407" s="1431" t="str">
        <f t="shared" si="780"/>
        <v>-</v>
      </c>
      <c r="DC407" s="1431" t="str">
        <f t="shared" si="781"/>
        <v>-</v>
      </c>
      <c r="DD407" s="1431" t="str">
        <f t="shared" si="782"/>
        <v>-</v>
      </c>
      <c r="DE407" s="1434" t="str">
        <f t="shared" si="783"/>
        <v>-</v>
      </c>
      <c r="DF407" s="1378"/>
      <c r="DG407" s="1428" t="str">
        <f t="shared" si="784"/>
        <v>Rev</v>
      </c>
      <c r="DH407" s="1429" t="str">
        <f t="shared" si="784"/>
        <v>[Service]</v>
      </c>
      <c r="DI407" s="1429" t="str">
        <f t="shared" si="784"/>
        <v>[Price]</v>
      </c>
      <c r="DJ407" s="1429"/>
      <c r="DK407" s="1435" t="str">
        <f t="shared" si="785"/>
        <v>-</v>
      </c>
      <c r="DL407" s="1431" t="str">
        <f t="shared" si="786"/>
        <v>-</v>
      </c>
      <c r="DM407" s="1431" t="str">
        <f t="shared" si="787"/>
        <v>-</v>
      </c>
      <c r="DN407" s="1433" t="str">
        <f t="shared" si="788"/>
        <v>-</v>
      </c>
      <c r="DO407" s="1431" t="str">
        <f t="shared" si="789"/>
        <v>-</v>
      </c>
      <c r="DP407" s="1431" t="str">
        <f t="shared" si="790"/>
        <v>-</v>
      </c>
      <c r="DQ407" s="1431" t="str">
        <f t="shared" si="791"/>
        <v>-</v>
      </c>
      <c r="DR407" s="1434" t="str">
        <f t="shared" si="792"/>
        <v>-</v>
      </c>
    </row>
    <row r="408" spans="4:122">
      <c r="D408" s="70">
        <f>D405+1</f>
        <v>115</v>
      </c>
      <c r="E408" s="713" t="s">
        <v>44</v>
      </c>
      <c r="F408" s="1532" t="s">
        <v>27</v>
      </c>
      <c r="G408" s="1532"/>
      <c r="H408" s="1532"/>
      <c r="I408" s="781" t="s">
        <v>318</v>
      </c>
      <c r="J408" s="781" t="s">
        <v>345</v>
      </c>
      <c r="K408" s="1533"/>
      <c r="L408" s="1534"/>
      <c r="M408" s="1534"/>
      <c r="N408" s="1535"/>
      <c r="O408" s="2071"/>
      <c r="P408" s="1547"/>
      <c r="Q408" s="1547"/>
      <c r="R408" s="1547"/>
      <c r="S408" s="1547"/>
      <c r="T408" s="1547"/>
      <c r="U408" s="1547"/>
      <c r="V408" s="1547"/>
      <c r="W408" s="1547"/>
      <c r="X408" s="1548"/>
      <c r="Y408" s="1547"/>
      <c r="Z408" s="1547"/>
      <c r="AA408" s="1547"/>
      <c r="AB408" s="1547"/>
      <c r="AC408" s="1548"/>
      <c r="AD408" s="1547"/>
      <c r="AE408" s="1547"/>
      <c r="AF408" s="1547"/>
      <c r="AG408" s="785"/>
      <c r="AH408" s="697"/>
      <c r="AI408" s="707"/>
      <c r="AJ408" s="709">
        <f t="shared" si="796"/>
        <v>0</v>
      </c>
      <c r="AK408" s="710">
        <f t="shared" si="797"/>
        <v>0</v>
      </c>
      <c r="AL408" s="710">
        <f t="shared" si="798"/>
        <v>0</v>
      </c>
      <c r="AM408" s="710">
        <f t="shared" si="799"/>
        <v>0</v>
      </c>
      <c r="AN408" s="710">
        <f t="shared" si="800"/>
        <v>0</v>
      </c>
      <c r="AO408" s="711">
        <f t="shared" si="801"/>
        <v>0</v>
      </c>
      <c r="AP408" s="707">
        <f t="shared" si="802"/>
        <v>0</v>
      </c>
      <c r="AQ408" s="707">
        <f t="shared" si="803"/>
        <v>0</v>
      </c>
      <c r="AR408" s="707">
        <f t="shared" si="804"/>
        <v>0</v>
      </c>
      <c r="AS408" s="712">
        <f t="shared" si="805"/>
        <v>0</v>
      </c>
      <c r="AU408" s="1369"/>
      <c r="AV408" s="1559"/>
      <c r="AW408" s="1412" t="str">
        <f t="shared" si="753"/>
        <v>Price</v>
      </c>
      <c r="AX408" s="1413" t="str">
        <f t="shared" si="753"/>
        <v>[Service]</v>
      </c>
      <c r="AY408" s="1414" t="str">
        <f t="shared" si="754"/>
        <v>[Price]</v>
      </c>
      <c r="AZ408" s="1415" t="str">
        <f t="shared" si="823"/>
        <v>-</v>
      </c>
      <c r="BA408" s="1415" t="str">
        <f t="shared" si="823"/>
        <v>-</v>
      </c>
      <c r="BB408" s="1415" t="str">
        <f t="shared" si="823"/>
        <v>-</v>
      </c>
      <c r="BC408" s="1415" t="str">
        <f t="shared" si="756"/>
        <v>-</v>
      </c>
      <c r="BD408" s="1415" t="str">
        <f t="shared" si="757"/>
        <v>-</v>
      </c>
      <c r="BE408" s="1415" t="str">
        <f t="shared" si="758"/>
        <v>-</v>
      </c>
      <c r="BF408" s="1415" t="str">
        <f t="shared" si="759"/>
        <v>-</v>
      </c>
      <c r="BG408" s="1416" t="str">
        <f t="shared" si="760"/>
        <v>-</v>
      </c>
      <c r="BH408" s="1417" t="str">
        <f t="shared" si="761"/>
        <v>-</v>
      </c>
      <c r="BI408" s="1417" t="str">
        <f t="shared" si="762"/>
        <v>-</v>
      </c>
      <c r="BJ408" s="1417" t="str">
        <f t="shared" si="763"/>
        <v>-</v>
      </c>
      <c r="BK408" s="1417" t="str">
        <f t="shared" si="764"/>
        <v>-</v>
      </c>
      <c r="BL408" s="1418" t="str">
        <f t="shared" si="765"/>
        <v>-</v>
      </c>
      <c r="BM408" s="1417" t="str">
        <f t="shared" si="766"/>
        <v>-</v>
      </c>
      <c r="BN408" s="1417" t="str">
        <f t="shared" si="767"/>
        <v>-</v>
      </c>
      <c r="BO408" s="1417" t="str">
        <f t="shared" si="768"/>
        <v>-</v>
      </c>
      <c r="BP408" s="1417" t="str">
        <f t="shared" si="769"/>
        <v>-</v>
      </c>
      <c r="BQ408" s="1419" t="str">
        <f t="shared" si="770"/>
        <v>-</v>
      </c>
      <c r="BR408" s="1378"/>
      <c r="BS408" s="1420"/>
      <c r="BT408" s="1421"/>
      <c r="BU408" s="1422"/>
      <c r="BV408" s="1423"/>
      <c r="BW408" s="1378"/>
      <c r="BX408" s="1412" t="str">
        <f t="shared" si="771"/>
        <v>Price</v>
      </c>
      <c r="BY408" s="1413" t="str">
        <f t="shared" si="772"/>
        <v>[Service]</v>
      </c>
      <c r="BZ408" s="1414" t="str">
        <f t="shared" si="773"/>
        <v>[Price]</v>
      </c>
      <c r="CA408" s="1424" t="str">
        <f t="shared" ref="CA408:CR408" si="832">IFERROR((P408/O408-1)*(O410/O$13),"-")</f>
        <v>-</v>
      </c>
      <c r="CB408" s="1415" t="str">
        <f t="shared" si="832"/>
        <v>-</v>
      </c>
      <c r="CC408" s="1415" t="str">
        <f t="shared" si="832"/>
        <v>-</v>
      </c>
      <c r="CD408" s="1415" t="str">
        <f t="shared" si="832"/>
        <v>-</v>
      </c>
      <c r="CE408" s="1415" t="str">
        <f t="shared" si="832"/>
        <v>-</v>
      </c>
      <c r="CF408" s="1415" t="str">
        <f t="shared" si="832"/>
        <v>-</v>
      </c>
      <c r="CG408" s="1415" t="str">
        <f t="shared" si="832"/>
        <v>-</v>
      </c>
      <c r="CH408" s="1425" t="str">
        <f t="shared" si="832"/>
        <v>-</v>
      </c>
      <c r="CI408" s="1417" t="str">
        <f t="shared" si="832"/>
        <v>-</v>
      </c>
      <c r="CJ408" s="1417" t="str">
        <f t="shared" si="832"/>
        <v>-</v>
      </c>
      <c r="CK408" s="1417" t="str">
        <f t="shared" si="832"/>
        <v>-</v>
      </c>
      <c r="CL408" s="1417" t="str">
        <f t="shared" si="832"/>
        <v>-</v>
      </c>
      <c r="CM408" s="1418" t="str">
        <f t="shared" si="832"/>
        <v>-</v>
      </c>
      <c r="CN408" s="1417" t="str">
        <f t="shared" si="832"/>
        <v>-</v>
      </c>
      <c r="CO408" s="1417" t="str">
        <f t="shared" si="832"/>
        <v>-</v>
      </c>
      <c r="CP408" s="1417" t="str">
        <f t="shared" si="832"/>
        <v>-</v>
      </c>
      <c r="CQ408" s="1417" t="str">
        <f t="shared" si="832"/>
        <v>-</v>
      </c>
      <c r="CR408" s="1419" t="str">
        <f t="shared" si="832"/>
        <v>-</v>
      </c>
      <c r="CS408" s="1378"/>
      <c r="CT408" s="1412" t="str">
        <f t="shared" si="749"/>
        <v>Price</v>
      </c>
      <c r="CU408" s="1413" t="str">
        <f t="shared" si="750"/>
        <v>[Service]</v>
      </c>
      <c r="CV408" s="1426" t="str">
        <f t="shared" si="751"/>
        <v>[Price]</v>
      </c>
      <c r="CW408" s="1427" t="str">
        <f t="shared" si="775"/>
        <v>-</v>
      </c>
      <c r="CX408" s="1417" t="str">
        <f t="shared" si="776"/>
        <v>-</v>
      </c>
      <c r="CY408" s="1417" t="str">
        <f t="shared" si="777"/>
        <v>-</v>
      </c>
      <c r="CZ408" s="1419" t="str">
        <f t="shared" si="778"/>
        <v>-</v>
      </c>
      <c r="DA408" s="1417" t="str">
        <f t="shared" si="779"/>
        <v>-</v>
      </c>
      <c r="DB408" s="1417" t="str">
        <f t="shared" si="780"/>
        <v>-</v>
      </c>
      <c r="DC408" s="1417" t="str">
        <f t="shared" si="781"/>
        <v>-</v>
      </c>
      <c r="DD408" s="1417" t="str">
        <f t="shared" si="782"/>
        <v>-</v>
      </c>
      <c r="DE408" s="1419" t="str">
        <f t="shared" si="783"/>
        <v>-</v>
      </c>
      <c r="DF408" s="1378"/>
      <c r="DG408" s="1412" t="str">
        <f t="shared" si="784"/>
        <v>Price</v>
      </c>
      <c r="DH408" s="1413" t="str">
        <f t="shared" si="784"/>
        <v>[Service]</v>
      </c>
      <c r="DI408" s="1426" t="str">
        <f t="shared" si="784"/>
        <v>[Price]</v>
      </c>
      <c r="DJ408" s="1426"/>
      <c r="DK408" s="1427" t="str">
        <f t="shared" si="785"/>
        <v>-</v>
      </c>
      <c r="DL408" s="1417" t="str">
        <f t="shared" si="786"/>
        <v>-</v>
      </c>
      <c r="DM408" s="1417" t="str">
        <f t="shared" si="787"/>
        <v>-</v>
      </c>
      <c r="DN408" s="1418" t="str">
        <f t="shared" si="788"/>
        <v>-</v>
      </c>
      <c r="DO408" s="1417" t="str">
        <f t="shared" si="789"/>
        <v>-</v>
      </c>
      <c r="DP408" s="1417" t="str">
        <f t="shared" si="790"/>
        <v>-</v>
      </c>
      <c r="DQ408" s="1417" t="str">
        <f t="shared" si="791"/>
        <v>-</v>
      </c>
      <c r="DR408" s="1419" t="str">
        <f t="shared" si="792"/>
        <v>-</v>
      </c>
    </row>
    <row r="409" spans="4:122">
      <c r="E409" s="742" t="s">
        <v>45</v>
      </c>
      <c r="F409" s="722" t="str">
        <f>+F408</f>
        <v>[Service]</v>
      </c>
      <c r="G409" s="723">
        <f>+G408</f>
        <v>0</v>
      </c>
      <c r="H409" s="723">
        <f>+H408</f>
        <v>0</v>
      </c>
      <c r="I409" s="724" t="str">
        <f>+I408</f>
        <v>[Price]</v>
      </c>
      <c r="J409" s="782" t="s">
        <v>322</v>
      </c>
      <c r="K409" s="1540"/>
      <c r="L409" s="1541"/>
      <c r="M409" s="1541"/>
      <c r="N409" s="1542"/>
      <c r="O409" s="2031"/>
      <c r="P409" s="1543"/>
      <c r="Q409" s="1543"/>
      <c r="R409" s="1543"/>
      <c r="S409" s="1543"/>
      <c r="T409" s="1543"/>
      <c r="U409" s="1543"/>
      <c r="V409" s="1543"/>
      <c r="W409" s="1543"/>
      <c r="X409" s="1544"/>
      <c r="Y409" s="1543"/>
      <c r="Z409" s="1543"/>
      <c r="AA409" s="1543"/>
      <c r="AB409" s="1543"/>
      <c r="AC409" s="1544"/>
      <c r="AD409" s="1543"/>
      <c r="AE409" s="1543"/>
      <c r="AF409" s="1543"/>
      <c r="AG409" s="788"/>
      <c r="AH409" s="697"/>
      <c r="AI409" s="707"/>
      <c r="AJ409" s="709">
        <f t="shared" si="796"/>
        <v>0</v>
      </c>
      <c r="AK409" s="710">
        <f t="shared" si="797"/>
        <v>0</v>
      </c>
      <c r="AL409" s="710">
        <f t="shared" si="798"/>
        <v>0</v>
      </c>
      <c r="AM409" s="710">
        <f t="shared" si="799"/>
        <v>0</v>
      </c>
      <c r="AN409" s="710">
        <f t="shared" si="800"/>
        <v>0</v>
      </c>
      <c r="AO409" s="711">
        <f t="shared" si="801"/>
        <v>0</v>
      </c>
      <c r="AP409" s="707">
        <f t="shared" si="802"/>
        <v>0</v>
      </c>
      <c r="AQ409" s="707">
        <f t="shared" si="803"/>
        <v>0</v>
      </c>
      <c r="AR409" s="707">
        <f t="shared" si="804"/>
        <v>0</v>
      </c>
      <c r="AS409" s="712">
        <f t="shared" si="805"/>
        <v>0</v>
      </c>
      <c r="AV409" s="1559"/>
      <c r="AW409" s="1392" t="str">
        <f t="shared" si="753"/>
        <v>Qty</v>
      </c>
      <c r="AX409" s="1393" t="str">
        <f t="shared" si="753"/>
        <v>[Service]</v>
      </c>
      <c r="AY409" s="1394" t="str">
        <f t="shared" si="754"/>
        <v>[Price]</v>
      </c>
      <c r="AZ409" s="1395" t="str">
        <f t="shared" si="823"/>
        <v>-</v>
      </c>
      <c r="BA409" s="1395" t="str">
        <f t="shared" si="823"/>
        <v>-</v>
      </c>
      <c r="BB409" s="1395" t="str">
        <f t="shared" si="823"/>
        <v>-</v>
      </c>
      <c r="BC409" s="1395" t="str">
        <f t="shared" si="756"/>
        <v>-</v>
      </c>
      <c r="BD409" s="1395" t="str">
        <f t="shared" si="757"/>
        <v>-</v>
      </c>
      <c r="BE409" s="1395" t="str">
        <f t="shared" si="758"/>
        <v>-</v>
      </c>
      <c r="BF409" s="1395" t="str">
        <f t="shared" si="759"/>
        <v>-</v>
      </c>
      <c r="BG409" s="1396" t="str">
        <f t="shared" si="760"/>
        <v>-</v>
      </c>
      <c r="BH409" s="1395" t="str">
        <f t="shared" si="761"/>
        <v>-</v>
      </c>
      <c r="BI409" s="1395" t="str">
        <f t="shared" si="762"/>
        <v>-</v>
      </c>
      <c r="BJ409" s="1395" t="str">
        <f t="shared" si="763"/>
        <v>-</v>
      </c>
      <c r="BK409" s="1395" t="str">
        <f t="shared" si="764"/>
        <v>-</v>
      </c>
      <c r="BL409" s="1397" t="str">
        <f t="shared" si="765"/>
        <v>-</v>
      </c>
      <c r="BM409" s="1395" t="str">
        <f t="shared" si="766"/>
        <v>-</v>
      </c>
      <c r="BN409" s="1395" t="str">
        <f t="shared" si="767"/>
        <v>-</v>
      </c>
      <c r="BO409" s="1395" t="str">
        <f t="shared" si="768"/>
        <v>-</v>
      </c>
      <c r="BP409" s="1395" t="str">
        <f t="shared" si="769"/>
        <v>-</v>
      </c>
      <c r="BQ409" s="1398" t="str">
        <f t="shared" si="770"/>
        <v>-</v>
      </c>
      <c r="BR409" s="1378"/>
      <c r="BS409" s="1329"/>
      <c r="BT409" s="1399"/>
      <c r="BU409" s="1331"/>
      <c r="BV409" s="1400"/>
      <c r="BW409" s="1378"/>
      <c r="BX409" s="1392" t="str">
        <f t="shared" si="771"/>
        <v>Qty</v>
      </c>
      <c r="BY409" s="1393" t="str">
        <f t="shared" si="772"/>
        <v>[Service]</v>
      </c>
      <c r="BZ409" s="1394" t="str">
        <f t="shared" si="773"/>
        <v>[Price]</v>
      </c>
      <c r="CA409" s="1401" t="str">
        <f t="shared" ref="CA409:CR409" si="833">IFERROR((P409/O409-1)*(O410/O$13),"-")</f>
        <v>-</v>
      </c>
      <c r="CB409" s="1395" t="str">
        <f t="shared" si="833"/>
        <v>-</v>
      </c>
      <c r="CC409" s="1395" t="str">
        <f t="shared" si="833"/>
        <v>-</v>
      </c>
      <c r="CD409" s="1395" t="str">
        <f t="shared" si="833"/>
        <v>-</v>
      </c>
      <c r="CE409" s="1395" t="str">
        <f t="shared" si="833"/>
        <v>-</v>
      </c>
      <c r="CF409" s="1395" t="str">
        <f t="shared" si="833"/>
        <v>-</v>
      </c>
      <c r="CG409" s="1395" t="str">
        <f t="shared" si="833"/>
        <v>-</v>
      </c>
      <c r="CH409" s="1397" t="str">
        <f t="shared" si="833"/>
        <v>-</v>
      </c>
      <c r="CI409" s="1395" t="str">
        <f t="shared" si="833"/>
        <v>-</v>
      </c>
      <c r="CJ409" s="1395" t="str">
        <f t="shared" si="833"/>
        <v>-</v>
      </c>
      <c r="CK409" s="1395" t="str">
        <f t="shared" si="833"/>
        <v>-</v>
      </c>
      <c r="CL409" s="1395" t="str">
        <f t="shared" si="833"/>
        <v>-</v>
      </c>
      <c r="CM409" s="1397" t="str">
        <f t="shared" si="833"/>
        <v>-</v>
      </c>
      <c r="CN409" s="1395" t="str">
        <f t="shared" si="833"/>
        <v>-</v>
      </c>
      <c r="CO409" s="1395" t="str">
        <f t="shared" si="833"/>
        <v>-</v>
      </c>
      <c r="CP409" s="1395" t="str">
        <f t="shared" si="833"/>
        <v>-</v>
      </c>
      <c r="CQ409" s="1395" t="str">
        <f t="shared" si="833"/>
        <v>-</v>
      </c>
      <c r="CR409" s="1398" t="str">
        <f t="shared" si="833"/>
        <v>-</v>
      </c>
      <c r="CS409" s="1378"/>
      <c r="CT409" s="1392" t="str">
        <f t="shared" si="749"/>
        <v>Qty</v>
      </c>
      <c r="CU409" s="1393" t="str">
        <f t="shared" si="750"/>
        <v>[Service]</v>
      </c>
      <c r="CV409" s="1393" t="str">
        <f t="shared" si="751"/>
        <v>[Price]</v>
      </c>
      <c r="CW409" s="1401" t="str">
        <f t="shared" si="775"/>
        <v>-</v>
      </c>
      <c r="CX409" s="1395" t="str">
        <f t="shared" si="776"/>
        <v>-</v>
      </c>
      <c r="CY409" s="1395" t="str">
        <f t="shared" si="777"/>
        <v>-</v>
      </c>
      <c r="CZ409" s="1398" t="str">
        <f t="shared" si="778"/>
        <v>-</v>
      </c>
      <c r="DA409" s="1395" t="str">
        <f t="shared" si="779"/>
        <v>-</v>
      </c>
      <c r="DB409" s="1395" t="str">
        <f t="shared" si="780"/>
        <v>-</v>
      </c>
      <c r="DC409" s="1395" t="str">
        <f t="shared" si="781"/>
        <v>-</v>
      </c>
      <c r="DD409" s="1395" t="str">
        <f t="shared" si="782"/>
        <v>-</v>
      </c>
      <c r="DE409" s="1398" t="str">
        <f t="shared" si="783"/>
        <v>-</v>
      </c>
      <c r="DF409" s="1378"/>
      <c r="DG409" s="1392" t="str">
        <f t="shared" si="784"/>
        <v>Qty</v>
      </c>
      <c r="DH409" s="1393" t="str">
        <f t="shared" si="784"/>
        <v>[Service]</v>
      </c>
      <c r="DI409" s="1393" t="str">
        <f t="shared" si="784"/>
        <v>[Price]</v>
      </c>
      <c r="DJ409" s="1393"/>
      <c r="DK409" s="1401" t="str">
        <f t="shared" si="785"/>
        <v>-</v>
      </c>
      <c r="DL409" s="1395" t="str">
        <f t="shared" si="786"/>
        <v>-</v>
      </c>
      <c r="DM409" s="1395" t="str">
        <f t="shared" si="787"/>
        <v>-</v>
      </c>
      <c r="DN409" s="1397" t="str">
        <f t="shared" si="788"/>
        <v>-</v>
      </c>
      <c r="DO409" s="1395" t="str">
        <f t="shared" si="789"/>
        <v>-</v>
      </c>
      <c r="DP409" s="1395" t="str">
        <f t="shared" si="790"/>
        <v>-</v>
      </c>
      <c r="DQ409" s="1395" t="str">
        <f t="shared" si="791"/>
        <v>-</v>
      </c>
      <c r="DR409" s="1398" t="str">
        <f t="shared" si="792"/>
        <v>-</v>
      </c>
    </row>
    <row r="410" spans="4:122" ht="12.75" thickBot="1">
      <c r="E410" s="743" t="s">
        <v>46</v>
      </c>
      <c r="F410" s="732" t="str">
        <f>+F408</f>
        <v>[Service]</v>
      </c>
      <c r="G410" s="733">
        <f>+G408</f>
        <v>0</v>
      </c>
      <c r="H410" s="733">
        <f>+H408</f>
        <v>0</v>
      </c>
      <c r="I410" s="734" t="str">
        <f>+I408</f>
        <v>[Price]</v>
      </c>
      <c r="J410" s="735" t="s">
        <v>344</v>
      </c>
      <c r="K410" s="736">
        <f t="shared" ref="K410:AG410" si="834">K408*K409/10^6</f>
        <v>0</v>
      </c>
      <c r="L410" s="737">
        <f t="shared" si="834"/>
        <v>0</v>
      </c>
      <c r="M410" s="737">
        <f t="shared" si="834"/>
        <v>0</v>
      </c>
      <c r="N410" s="738">
        <f t="shared" si="834"/>
        <v>0</v>
      </c>
      <c r="O410" s="1923">
        <f t="shared" si="834"/>
        <v>0</v>
      </c>
      <c r="P410" s="737">
        <f t="shared" si="834"/>
        <v>0</v>
      </c>
      <c r="Q410" s="737">
        <f t="shared" si="834"/>
        <v>0</v>
      </c>
      <c r="R410" s="737">
        <f t="shared" si="834"/>
        <v>0</v>
      </c>
      <c r="S410" s="737">
        <f t="shared" si="834"/>
        <v>0</v>
      </c>
      <c r="T410" s="737">
        <f t="shared" si="834"/>
        <v>0</v>
      </c>
      <c r="U410" s="737">
        <f t="shared" si="834"/>
        <v>0</v>
      </c>
      <c r="V410" s="737">
        <f t="shared" si="834"/>
        <v>0</v>
      </c>
      <c r="W410" s="737">
        <f t="shared" si="834"/>
        <v>0</v>
      </c>
      <c r="X410" s="738">
        <f t="shared" si="834"/>
        <v>0</v>
      </c>
      <c r="Y410" s="737">
        <f t="shared" si="834"/>
        <v>0</v>
      </c>
      <c r="Z410" s="737">
        <f t="shared" si="834"/>
        <v>0</v>
      </c>
      <c r="AA410" s="737">
        <f t="shared" si="834"/>
        <v>0</v>
      </c>
      <c r="AB410" s="737">
        <f t="shared" si="834"/>
        <v>0</v>
      </c>
      <c r="AC410" s="738">
        <f t="shared" si="834"/>
        <v>0</v>
      </c>
      <c r="AD410" s="737">
        <f t="shared" si="834"/>
        <v>0</v>
      </c>
      <c r="AE410" s="737">
        <f t="shared" si="834"/>
        <v>0</v>
      </c>
      <c r="AF410" s="737">
        <f t="shared" si="834"/>
        <v>0</v>
      </c>
      <c r="AG410" s="739">
        <f t="shared" si="834"/>
        <v>0</v>
      </c>
      <c r="AH410" s="697"/>
      <c r="AI410" s="707"/>
      <c r="AJ410" s="709">
        <f t="shared" si="796"/>
        <v>0</v>
      </c>
      <c r="AK410" s="710">
        <f t="shared" si="797"/>
        <v>0</v>
      </c>
      <c r="AL410" s="710">
        <f t="shared" si="798"/>
        <v>0</v>
      </c>
      <c r="AM410" s="710">
        <f t="shared" si="799"/>
        <v>0</v>
      </c>
      <c r="AN410" s="710">
        <f t="shared" si="800"/>
        <v>0</v>
      </c>
      <c r="AO410" s="711">
        <f t="shared" si="801"/>
        <v>0</v>
      </c>
      <c r="AP410" s="707">
        <f t="shared" si="802"/>
        <v>0</v>
      </c>
      <c r="AQ410" s="707">
        <f t="shared" si="803"/>
        <v>0</v>
      </c>
      <c r="AR410" s="707">
        <f t="shared" si="804"/>
        <v>0</v>
      </c>
      <c r="AS410" s="712">
        <f t="shared" si="805"/>
        <v>0</v>
      </c>
      <c r="AV410" s="1559"/>
      <c r="AW410" s="1428" t="str">
        <f t="shared" si="753"/>
        <v>Rev</v>
      </c>
      <c r="AX410" s="1429" t="str">
        <f t="shared" si="753"/>
        <v>[Service]</v>
      </c>
      <c r="AY410" s="1430" t="str">
        <f t="shared" si="754"/>
        <v>[Price]</v>
      </c>
      <c r="AZ410" s="1431" t="str">
        <f t="shared" si="823"/>
        <v>-</v>
      </c>
      <c r="BA410" s="1431" t="str">
        <f t="shared" si="823"/>
        <v>-</v>
      </c>
      <c r="BB410" s="1431" t="str">
        <f t="shared" si="823"/>
        <v>-</v>
      </c>
      <c r="BC410" s="1431" t="str">
        <f t="shared" si="756"/>
        <v>-</v>
      </c>
      <c r="BD410" s="1431" t="str">
        <f t="shared" si="757"/>
        <v>-</v>
      </c>
      <c r="BE410" s="1431" t="str">
        <f t="shared" si="758"/>
        <v>-</v>
      </c>
      <c r="BF410" s="1431" t="str">
        <f t="shared" si="759"/>
        <v>-</v>
      </c>
      <c r="BG410" s="1432" t="str">
        <f t="shared" si="760"/>
        <v>-</v>
      </c>
      <c r="BH410" s="1431" t="str">
        <f t="shared" si="761"/>
        <v>-</v>
      </c>
      <c r="BI410" s="1431" t="str">
        <f t="shared" si="762"/>
        <v>-</v>
      </c>
      <c r="BJ410" s="1431" t="str">
        <f t="shared" si="763"/>
        <v>-</v>
      </c>
      <c r="BK410" s="1431" t="str">
        <f t="shared" si="764"/>
        <v>-</v>
      </c>
      <c r="BL410" s="1433" t="str">
        <f t="shared" si="765"/>
        <v>-</v>
      </c>
      <c r="BM410" s="1431" t="str">
        <f t="shared" si="766"/>
        <v>-</v>
      </c>
      <c r="BN410" s="1431" t="str">
        <f t="shared" si="767"/>
        <v>-</v>
      </c>
      <c r="BO410" s="1431" t="str">
        <f t="shared" si="768"/>
        <v>-</v>
      </c>
      <c r="BP410" s="1431" t="str">
        <f t="shared" si="769"/>
        <v>-</v>
      </c>
      <c r="BQ410" s="1434" t="str">
        <f t="shared" si="770"/>
        <v>-</v>
      </c>
      <c r="BR410" s="1378"/>
      <c r="BS410" s="1407"/>
      <c r="BT410" s="1408"/>
      <c r="BU410" s="1409"/>
      <c r="BV410" s="1410"/>
      <c r="BW410" s="1378"/>
      <c r="BX410" s="1428" t="str">
        <f t="shared" si="771"/>
        <v>Rev</v>
      </c>
      <c r="BY410" s="1429" t="str">
        <f t="shared" si="772"/>
        <v>[Service]</v>
      </c>
      <c r="BZ410" s="1430" t="str">
        <f t="shared" si="773"/>
        <v>[Price]</v>
      </c>
      <c r="CA410" s="1435" t="str">
        <f t="shared" ref="CA410:CR410" si="835">IFERROR((P410/O410-1)*(O410/O$13),"-")</f>
        <v>-</v>
      </c>
      <c r="CB410" s="1431" t="str">
        <f t="shared" si="835"/>
        <v>-</v>
      </c>
      <c r="CC410" s="1431" t="str">
        <f t="shared" si="835"/>
        <v>-</v>
      </c>
      <c r="CD410" s="1431" t="str">
        <f t="shared" si="835"/>
        <v>-</v>
      </c>
      <c r="CE410" s="1431" t="str">
        <f t="shared" si="835"/>
        <v>-</v>
      </c>
      <c r="CF410" s="1431" t="str">
        <f t="shared" si="835"/>
        <v>-</v>
      </c>
      <c r="CG410" s="1431" t="str">
        <f t="shared" si="835"/>
        <v>-</v>
      </c>
      <c r="CH410" s="1433" t="str">
        <f t="shared" si="835"/>
        <v>-</v>
      </c>
      <c r="CI410" s="1431" t="str">
        <f t="shared" si="835"/>
        <v>-</v>
      </c>
      <c r="CJ410" s="1431" t="str">
        <f t="shared" si="835"/>
        <v>-</v>
      </c>
      <c r="CK410" s="1431" t="str">
        <f t="shared" si="835"/>
        <v>-</v>
      </c>
      <c r="CL410" s="1431" t="str">
        <f t="shared" si="835"/>
        <v>-</v>
      </c>
      <c r="CM410" s="1433" t="str">
        <f t="shared" si="835"/>
        <v>-</v>
      </c>
      <c r="CN410" s="1431" t="str">
        <f t="shared" si="835"/>
        <v>-</v>
      </c>
      <c r="CO410" s="1431" t="str">
        <f t="shared" si="835"/>
        <v>-</v>
      </c>
      <c r="CP410" s="1431" t="str">
        <f t="shared" si="835"/>
        <v>-</v>
      </c>
      <c r="CQ410" s="1431" t="str">
        <f t="shared" si="835"/>
        <v>-</v>
      </c>
      <c r="CR410" s="1434" t="str">
        <f t="shared" si="835"/>
        <v>-</v>
      </c>
      <c r="CS410" s="1378"/>
      <c r="CT410" s="1428" t="str">
        <f t="shared" si="749"/>
        <v>Rev</v>
      </c>
      <c r="CU410" s="1429" t="str">
        <f t="shared" si="750"/>
        <v>[Service]</v>
      </c>
      <c r="CV410" s="1429" t="str">
        <f t="shared" si="751"/>
        <v>[Price]</v>
      </c>
      <c r="CW410" s="1435" t="str">
        <f t="shared" si="775"/>
        <v>-</v>
      </c>
      <c r="CX410" s="1431" t="str">
        <f t="shared" si="776"/>
        <v>-</v>
      </c>
      <c r="CY410" s="1431" t="str">
        <f t="shared" si="777"/>
        <v>-</v>
      </c>
      <c r="CZ410" s="1434" t="str">
        <f t="shared" si="778"/>
        <v>-</v>
      </c>
      <c r="DA410" s="1431" t="str">
        <f t="shared" si="779"/>
        <v>-</v>
      </c>
      <c r="DB410" s="1431" t="str">
        <f t="shared" si="780"/>
        <v>-</v>
      </c>
      <c r="DC410" s="1431" t="str">
        <f t="shared" si="781"/>
        <v>-</v>
      </c>
      <c r="DD410" s="1431" t="str">
        <f t="shared" si="782"/>
        <v>-</v>
      </c>
      <c r="DE410" s="1434" t="str">
        <f t="shared" si="783"/>
        <v>-</v>
      </c>
      <c r="DF410" s="1378"/>
      <c r="DG410" s="1428" t="str">
        <f t="shared" si="784"/>
        <v>Rev</v>
      </c>
      <c r="DH410" s="1429" t="str">
        <f t="shared" si="784"/>
        <v>[Service]</v>
      </c>
      <c r="DI410" s="1429" t="str">
        <f t="shared" si="784"/>
        <v>[Price]</v>
      </c>
      <c r="DJ410" s="1429"/>
      <c r="DK410" s="1435" t="str">
        <f t="shared" si="785"/>
        <v>-</v>
      </c>
      <c r="DL410" s="1431" t="str">
        <f t="shared" si="786"/>
        <v>-</v>
      </c>
      <c r="DM410" s="1431" t="str">
        <f t="shared" si="787"/>
        <v>-</v>
      </c>
      <c r="DN410" s="1433" t="str">
        <f t="shared" si="788"/>
        <v>-</v>
      </c>
      <c r="DO410" s="1431" t="str">
        <f t="shared" si="789"/>
        <v>-</v>
      </c>
      <c r="DP410" s="1431" t="str">
        <f t="shared" si="790"/>
        <v>-</v>
      </c>
      <c r="DQ410" s="1431" t="str">
        <f t="shared" si="791"/>
        <v>-</v>
      </c>
      <c r="DR410" s="1434" t="str">
        <f t="shared" si="792"/>
        <v>-</v>
      </c>
    </row>
    <row r="411" spans="4:122">
      <c r="D411" s="70">
        <f>D408+1</f>
        <v>116</v>
      </c>
      <c r="E411" s="713" t="s">
        <v>44</v>
      </c>
      <c r="F411" s="1532" t="s">
        <v>27</v>
      </c>
      <c r="G411" s="1532"/>
      <c r="H411" s="1532"/>
      <c r="I411" s="781" t="s">
        <v>318</v>
      </c>
      <c r="J411" s="781" t="s">
        <v>345</v>
      </c>
      <c r="K411" s="1533"/>
      <c r="L411" s="1534"/>
      <c r="M411" s="1534"/>
      <c r="N411" s="1535"/>
      <c r="O411" s="2071"/>
      <c r="P411" s="1547"/>
      <c r="Q411" s="1547"/>
      <c r="R411" s="1547"/>
      <c r="S411" s="1547"/>
      <c r="T411" s="1547"/>
      <c r="U411" s="1547"/>
      <c r="V411" s="1547"/>
      <c r="W411" s="1547"/>
      <c r="X411" s="1548"/>
      <c r="Y411" s="1547"/>
      <c r="Z411" s="1547"/>
      <c r="AA411" s="1547"/>
      <c r="AB411" s="1547"/>
      <c r="AC411" s="1548"/>
      <c r="AD411" s="1547"/>
      <c r="AE411" s="1547"/>
      <c r="AF411" s="1547"/>
      <c r="AG411" s="785"/>
      <c r="AH411" s="697"/>
      <c r="AI411" s="707"/>
      <c r="AJ411" s="709">
        <f t="shared" si="796"/>
        <v>0</v>
      </c>
      <c r="AK411" s="710">
        <f t="shared" si="797"/>
        <v>0</v>
      </c>
      <c r="AL411" s="710">
        <f t="shared" si="798"/>
        <v>0</v>
      </c>
      <c r="AM411" s="710">
        <f t="shared" si="799"/>
        <v>0</v>
      </c>
      <c r="AN411" s="710">
        <f t="shared" si="800"/>
        <v>0</v>
      </c>
      <c r="AO411" s="711">
        <f t="shared" si="801"/>
        <v>0</v>
      </c>
      <c r="AP411" s="707">
        <f t="shared" si="802"/>
        <v>0</v>
      </c>
      <c r="AQ411" s="707">
        <f t="shared" si="803"/>
        <v>0</v>
      </c>
      <c r="AR411" s="707">
        <f t="shared" si="804"/>
        <v>0</v>
      </c>
      <c r="AS411" s="712">
        <f t="shared" si="805"/>
        <v>0</v>
      </c>
      <c r="AU411" s="1369"/>
      <c r="AV411" s="1559"/>
      <c r="AW411" s="1412" t="str">
        <f t="shared" si="753"/>
        <v>Price</v>
      </c>
      <c r="AX411" s="1413" t="str">
        <f t="shared" si="753"/>
        <v>[Service]</v>
      </c>
      <c r="AY411" s="1414" t="str">
        <f t="shared" si="754"/>
        <v>[Price]</v>
      </c>
      <c r="AZ411" s="1415" t="str">
        <f t="shared" si="823"/>
        <v>-</v>
      </c>
      <c r="BA411" s="1415" t="str">
        <f t="shared" si="823"/>
        <v>-</v>
      </c>
      <c r="BB411" s="1415" t="str">
        <f t="shared" si="823"/>
        <v>-</v>
      </c>
      <c r="BC411" s="1415" t="str">
        <f t="shared" si="756"/>
        <v>-</v>
      </c>
      <c r="BD411" s="1415" t="str">
        <f t="shared" si="757"/>
        <v>-</v>
      </c>
      <c r="BE411" s="1415" t="str">
        <f t="shared" si="758"/>
        <v>-</v>
      </c>
      <c r="BF411" s="1415" t="str">
        <f t="shared" si="759"/>
        <v>-</v>
      </c>
      <c r="BG411" s="1416" t="str">
        <f t="shared" si="760"/>
        <v>-</v>
      </c>
      <c r="BH411" s="1417" t="str">
        <f t="shared" si="761"/>
        <v>-</v>
      </c>
      <c r="BI411" s="1417" t="str">
        <f t="shared" si="762"/>
        <v>-</v>
      </c>
      <c r="BJ411" s="1417" t="str">
        <f t="shared" si="763"/>
        <v>-</v>
      </c>
      <c r="BK411" s="1417" t="str">
        <f t="shared" si="764"/>
        <v>-</v>
      </c>
      <c r="BL411" s="1418" t="str">
        <f t="shared" si="765"/>
        <v>-</v>
      </c>
      <c r="BM411" s="1417" t="str">
        <f t="shared" si="766"/>
        <v>-</v>
      </c>
      <c r="BN411" s="1417" t="str">
        <f t="shared" si="767"/>
        <v>-</v>
      </c>
      <c r="BO411" s="1417" t="str">
        <f t="shared" si="768"/>
        <v>-</v>
      </c>
      <c r="BP411" s="1417" t="str">
        <f t="shared" si="769"/>
        <v>-</v>
      </c>
      <c r="BQ411" s="1419" t="str">
        <f t="shared" si="770"/>
        <v>-</v>
      </c>
      <c r="BR411" s="1378"/>
      <c r="BS411" s="1420"/>
      <c r="BT411" s="1421"/>
      <c r="BU411" s="1422"/>
      <c r="BV411" s="1423"/>
      <c r="BW411" s="1378"/>
      <c r="BX411" s="1412" t="str">
        <f t="shared" si="771"/>
        <v>Price</v>
      </c>
      <c r="BY411" s="1413" t="str">
        <f t="shared" si="772"/>
        <v>[Service]</v>
      </c>
      <c r="BZ411" s="1414" t="str">
        <f t="shared" si="773"/>
        <v>[Price]</v>
      </c>
      <c r="CA411" s="1424" t="str">
        <f t="shared" ref="CA411:CR411" si="836">IFERROR((P411/O411-1)*(O413/O$13),"-")</f>
        <v>-</v>
      </c>
      <c r="CB411" s="1415" t="str">
        <f t="shared" si="836"/>
        <v>-</v>
      </c>
      <c r="CC411" s="1415" t="str">
        <f t="shared" si="836"/>
        <v>-</v>
      </c>
      <c r="CD411" s="1415" t="str">
        <f t="shared" si="836"/>
        <v>-</v>
      </c>
      <c r="CE411" s="1415" t="str">
        <f t="shared" si="836"/>
        <v>-</v>
      </c>
      <c r="CF411" s="1415" t="str">
        <f t="shared" si="836"/>
        <v>-</v>
      </c>
      <c r="CG411" s="1415" t="str">
        <f t="shared" si="836"/>
        <v>-</v>
      </c>
      <c r="CH411" s="1425" t="str">
        <f t="shared" si="836"/>
        <v>-</v>
      </c>
      <c r="CI411" s="1417" t="str">
        <f t="shared" si="836"/>
        <v>-</v>
      </c>
      <c r="CJ411" s="1417" t="str">
        <f t="shared" si="836"/>
        <v>-</v>
      </c>
      <c r="CK411" s="1417" t="str">
        <f t="shared" si="836"/>
        <v>-</v>
      </c>
      <c r="CL411" s="1417" t="str">
        <f t="shared" si="836"/>
        <v>-</v>
      </c>
      <c r="CM411" s="1418" t="str">
        <f t="shared" si="836"/>
        <v>-</v>
      </c>
      <c r="CN411" s="1417" t="str">
        <f t="shared" si="836"/>
        <v>-</v>
      </c>
      <c r="CO411" s="1417" t="str">
        <f t="shared" si="836"/>
        <v>-</v>
      </c>
      <c r="CP411" s="1417" t="str">
        <f t="shared" si="836"/>
        <v>-</v>
      </c>
      <c r="CQ411" s="1417" t="str">
        <f t="shared" si="836"/>
        <v>-</v>
      </c>
      <c r="CR411" s="1419" t="str">
        <f t="shared" si="836"/>
        <v>-</v>
      </c>
      <c r="CS411" s="1378"/>
      <c r="CT411" s="1412" t="str">
        <f t="shared" si="749"/>
        <v>Price</v>
      </c>
      <c r="CU411" s="1413" t="str">
        <f t="shared" si="750"/>
        <v>[Service]</v>
      </c>
      <c r="CV411" s="1426" t="str">
        <f t="shared" si="751"/>
        <v>[Price]</v>
      </c>
      <c r="CW411" s="1427" t="str">
        <f t="shared" si="775"/>
        <v>-</v>
      </c>
      <c r="CX411" s="1417" t="str">
        <f t="shared" si="776"/>
        <v>-</v>
      </c>
      <c r="CY411" s="1417" t="str">
        <f t="shared" si="777"/>
        <v>-</v>
      </c>
      <c r="CZ411" s="1419" t="str">
        <f t="shared" si="778"/>
        <v>-</v>
      </c>
      <c r="DA411" s="1417" t="str">
        <f t="shared" si="779"/>
        <v>-</v>
      </c>
      <c r="DB411" s="1417" t="str">
        <f t="shared" si="780"/>
        <v>-</v>
      </c>
      <c r="DC411" s="1417" t="str">
        <f t="shared" si="781"/>
        <v>-</v>
      </c>
      <c r="DD411" s="1417" t="str">
        <f t="shared" si="782"/>
        <v>-</v>
      </c>
      <c r="DE411" s="1419" t="str">
        <f t="shared" si="783"/>
        <v>-</v>
      </c>
      <c r="DF411" s="1378"/>
      <c r="DG411" s="1412" t="str">
        <f t="shared" si="784"/>
        <v>Price</v>
      </c>
      <c r="DH411" s="1413" t="str">
        <f t="shared" si="784"/>
        <v>[Service]</v>
      </c>
      <c r="DI411" s="1426" t="str">
        <f t="shared" si="784"/>
        <v>[Price]</v>
      </c>
      <c r="DJ411" s="1426"/>
      <c r="DK411" s="1427" t="str">
        <f t="shared" si="785"/>
        <v>-</v>
      </c>
      <c r="DL411" s="1417" t="str">
        <f t="shared" si="786"/>
        <v>-</v>
      </c>
      <c r="DM411" s="1417" t="str">
        <f t="shared" si="787"/>
        <v>-</v>
      </c>
      <c r="DN411" s="1418" t="str">
        <f t="shared" si="788"/>
        <v>-</v>
      </c>
      <c r="DO411" s="1417" t="str">
        <f t="shared" si="789"/>
        <v>-</v>
      </c>
      <c r="DP411" s="1417" t="str">
        <f t="shared" si="790"/>
        <v>-</v>
      </c>
      <c r="DQ411" s="1417" t="str">
        <f t="shared" si="791"/>
        <v>-</v>
      </c>
      <c r="DR411" s="1419" t="str">
        <f t="shared" si="792"/>
        <v>-</v>
      </c>
    </row>
    <row r="412" spans="4:122">
      <c r="E412" s="742" t="s">
        <v>45</v>
      </c>
      <c r="F412" s="722" t="str">
        <f>+F411</f>
        <v>[Service]</v>
      </c>
      <c r="G412" s="723">
        <f>+G411</f>
        <v>0</v>
      </c>
      <c r="H412" s="723">
        <f>+H411</f>
        <v>0</v>
      </c>
      <c r="I412" s="724" t="str">
        <f>+I411</f>
        <v>[Price]</v>
      </c>
      <c r="J412" s="782" t="s">
        <v>322</v>
      </c>
      <c r="K412" s="1540"/>
      <c r="L412" s="1541"/>
      <c r="M412" s="1541"/>
      <c r="N412" s="1542"/>
      <c r="O412" s="2031"/>
      <c r="P412" s="1543"/>
      <c r="Q412" s="1543"/>
      <c r="R412" s="1543"/>
      <c r="S412" s="1543"/>
      <c r="T412" s="1543"/>
      <c r="U412" s="1543"/>
      <c r="V412" s="1543"/>
      <c r="W412" s="1543"/>
      <c r="X412" s="1544"/>
      <c r="Y412" s="1543"/>
      <c r="Z412" s="1543"/>
      <c r="AA412" s="1543"/>
      <c r="AB412" s="1543"/>
      <c r="AC412" s="1544"/>
      <c r="AD412" s="1543"/>
      <c r="AE412" s="1543"/>
      <c r="AF412" s="1543"/>
      <c r="AG412" s="788"/>
      <c r="AH412" s="697"/>
      <c r="AI412" s="707"/>
      <c r="AJ412" s="709">
        <f t="shared" si="796"/>
        <v>0</v>
      </c>
      <c r="AK412" s="710">
        <f t="shared" si="797"/>
        <v>0</v>
      </c>
      <c r="AL412" s="710">
        <f t="shared" si="798"/>
        <v>0</v>
      </c>
      <c r="AM412" s="710">
        <f t="shared" si="799"/>
        <v>0</v>
      </c>
      <c r="AN412" s="710">
        <f t="shared" si="800"/>
        <v>0</v>
      </c>
      <c r="AO412" s="711">
        <f t="shared" si="801"/>
        <v>0</v>
      </c>
      <c r="AP412" s="707">
        <f t="shared" si="802"/>
        <v>0</v>
      </c>
      <c r="AQ412" s="707">
        <f t="shared" si="803"/>
        <v>0</v>
      </c>
      <c r="AR412" s="707">
        <f t="shared" si="804"/>
        <v>0</v>
      </c>
      <c r="AS412" s="712">
        <f t="shared" si="805"/>
        <v>0</v>
      </c>
      <c r="AV412" s="1559"/>
      <c r="AW412" s="1392" t="str">
        <f t="shared" si="753"/>
        <v>Qty</v>
      </c>
      <c r="AX412" s="1393" t="str">
        <f t="shared" si="753"/>
        <v>[Service]</v>
      </c>
      <c r="AY412" s="1394" t="str">
        <f t="shared" si="754"/>
        <v>[Price]</v>
      </c>
      <c r="AZ412" s="1395" t="str">
        <f t="shared" si="823"/>
        <v>-</v>
      </c>
      <c r="BA412" s="1395" t="str">
        <f t="shared" si="823"/>
        <v>-</v>
      </c>
      <c r="BB412" s="1395" t="str">
        <f t="shared" si="823"/>
        <v>-</v>
      </c>
      <c r="BC412" s="1395" t="str">
        <f t="shared" si="756"/>
        <v>-</v>
      </c>
      <c r="BD412" s="1395" t="str">
        <f t="shared" si="757"/>
        <v>-</v>
      </c>
      <c r="BE412" s="1395" t="str">
        <f t="shared" si="758"/>
        <v>-</v>
      </c>
      <c r="BF412" s="1395" t="str">
        <f t="shared" si="759"/>
        <v>-</v>
      </c>
      <c r="BG412" s="1396" t="str">
        <f t="shared" si="760"/>
        <v>-</v>
      </c>
      <c r="BH412" s="1395" t="str">
        <f t="shared" si="761"/>
        <v>-</v>
      </c>
      <c r="BI412" s="1395" t="str">
        <f t="shared" si="762"/>
        <v>-</v>
      </c>
      <c r="BJ412" s="1395" t="str">
        <f t="shared" si="763"/>
        <v>-</v>
      </c>
      <c r="BK412" s="1395" t="str">
        <f t="shared" si="764"/>
        <v>-</v>
      </c>
      <c r="BL412" s="1397" t="str">
        <f t="shared" si="765"/>
        <v>-</v>
      </c>
      <c r="BM412" s="1395" t="str">
        <f t="shared" si="766"/>
        <v>-</v>
      </c>
      <c r="BN412" s="1395" t="str">
        <f t="shared" si="767"/>
        <v>-</v>
      </c>
      <c r="BO412" s="1395" t="str">
        <f t="shared" si="768"/>
        <v>-</v>
      </c>
      <c r="BP412" s="1395" t="str">
        <f t="shared" si="769"/>
        <v>-</v>
      </c>
      <c r="BQ412" s="1398" t="str">
        <f t="shared" si="770"/>
        <v>-</v>
      </c>
      <c r="BR412" s="1378"/>
      <c r="BS412" s="1329"/>
      <c r="BT412" s="1399"/>
      <c r="BU412" s="1331"/>
      <c r="BV412" s="1400"/>
      <c r="BW412" s="1378"/>
      <c r="BX412" s="1392" t="str">
        <f t="shared" si="771"/>
        <v>Qty</v>
      </c>
      <c r="BY412" s="1393" t="str">
        <f t="shared" si="772"/>
        <v>[Service]</v>
      </c>
      <c r="BZ412" s="1394" t="str">
        <f t="shared" si="773"/>
        <v>[Price]</v>
      </c>
      <c r="CA412" s="1401" t="str">
        <f t="shared" ref="CA412:CR412" si="837">IFERROR((P412/O412-1)*(O413/O$13),"-")</f>
        <v>-</v>
      </c>
      <c r="CB412" s="1395" t="str">
        <f t="shared" si="837"/>
        <v>-</v>
      </c>
      <c r="CC412" s="1395" t="str">
        <f t="shared" si="837"/>
        <v>-</v>
      </c>
      <c r="CD412" s="1395" t="str">
        <f t="shared" si="837"/>
        <v>-</v>
      </c>
      <c r="CE412" s="1395" t="str">
        <f t="shared" si="837"/>
        <v>-</v>
      </c>
      <c r="CF412" s="1395" t="str">
        <f t="shared" si="837"/>
        <v>-</v>
      </c>
      <c r="CG412" s="1395" t="str">
        <f t="shared" si="837"/>
        <v>-</v>
      </c>
      <c r="CH412" s="1397" t="str">
        <f t="shared" si="837"/>
        <v>-</v>
      </c>
      <c r="CI412" s="1395" t="str">
        <f t="shared" si="837"/>
        <v>-</v>
      </c>
      <c r="CJ412" s="1395" t="str">
        <f t="shared" si="837"/>
        <v>-</v>
      </c>
      <c r="CK412" s="1395" t="str">
        <f t="shared" si="837"/>
        <v>-</v>
      </c>
      <c r="CL412" s="1395" t="str">
        <f t="shared" si="837"/>
        <v>-</v>
      </c>
      <c r="CM412" s="1397" t="str">
        <f t="shared" si="837"/>
        <v>-</v>
      </c>
      <c r="CN412" s="1395" t="str">
        <f t="shared" si="837"/>
        <v>-</v>
      </c>
      <c r="CO412" s="1395" t="str">
        <f t="shared" si="837"/>
        <v>-</v>
      </c>
      <c r="CP412" s="1395" t="str">
        <f t="shared" si="837"/>
        <v>-</v>
      </c>
      <c r="CQ412" s="1395" t="str">
        <f t="shared" si="837"/>
        <v>-</v>
      </c>
      <c r="CR412" s="1398" t="str">
        <f t="shared" si="837"/>
        <v>-</v>
      </c>
      <c r="CS412" s="1378"/>
      <c r="CT412" s="1392" t="str">
        <f t="shared" si="749"/>
        <v>Qty</v>
      </c>
      <c r="CU412" s="1393" t="str">
        <f t="shared" si="750"/>
        <v>[Service]</v>
      </c>
      <c r="CV412" s="1393" t="str">
        <f t="shared" si="751"/>
        <v>[Price]</v>
      </c>
      <c r="CW412" s="1401" t="str">
        <f t="shared" si="775"/>
        <v>-</v>
      </c>
      <c r="CX412" s="1395" t="str">
        <f t="shared" si="776"/>
        <v>-</v>
      </c>
      <c r="CY412" s="1395" t="str">
        <f t="shared" si="777"/>
        <v>-</v>
      </c>
      <c r="CZ412" s="1398" t="str">
        <f t="shared" si="778"/>
        <v>-</v>
      </c>
      <c r="DA412" s="1395" t="str">
        <f t="shared" si="779"/>
        <v>-</v>
      </c>
      <c r="DB412" s="1395" t="str">
        <f t="shared" si="780"/>
        <v>-</v>
      </c>
      <c r="DC412" s="1395" t="str">
        <f t="shared" si="781"/>
        <v>-</v>
      </c>
      <c r="DD412" s="1395" t="str">
        <f t="shared" si="782"/>
        <v>-</v>
      </c>
      <c r="DE412" s="1398" t="str">
        <f t="shared" si="783"/>
        <v>-</v>
      </c>
      <c r="DF412" s="1378"/>
      <c r="DG412" s="1392" t="str">
        <f t="shared" si="784"/>
        <v>Qty</v>
      </c>
      <c r="DH412" s="1393" t="str">
        <f t="shared" si="784"/>
        <v>[Service]</v>
      </c>
      <c r="DI412" s="1393" t="str">
        <f t="shared" si="784"/>
        <v>[Price]</v>
      </c>
      <c r="DJ412" s="1393"/>
      <c r="DK412" s="1401" t="str">
        <f t="shared" si="785"/>
        <v>-</v>
      </c>
      <c r="DL412" s="1395" t="str">
        <f t="shared" si="786"/>
        <v>-</v>
      </c>
      <c r="DM412" s="1395" t="str">
        <f t="shared" si="787"/>
        <v>-</v>
      </c>
      <c r="DN412" s="1397" t="str">
        <f t="shared" si="788"/>
        <v>-</v>
      </c>
      <c r="DO412" s="1395" t="str">
        <f t="shared" si="789"/>
        <v>-</v>
      </c>
      <c r="DP412" s="1395" t="str">
        <f t="shared" si="790"/>
        <v>-</v>
      </c>
      <c r="DQ412" s="1395" t="str">
        <f t="shared" si="791"/>
        <v>-</v>
      </c>
      <c r="DR412" s="1398" t="str">
        <f t="shared" si="792"/>
        <v>-</v>
      </c>
    </row>
    <row r="413" spans="4:122" ht="12.75" thickBot="1">
      <c r="E413" s="743" t="s">
        <v>46</v>
      </c>
      <c r="F413" s="732" t="str">
        <f>+F411</f>
        <v>[Service]</v>
      </c>
      <c r="G413" s="733">
        <f>+G411</f>
        <v>0</v>
      </c>
      <c r="H413" s="733">
        <f>+H411</f>
        <v>0</v>
      </c>
      <c r="I413" s="734" t="str">
        <f>+I411</f>
        <v>[Price]</v>
      </c>
      <c r="J413" s="735" t="s">
        <v>344</v>
      </c>
      <c r="K413" s="736">
        <f t="shared" ref="K413:AG413" si="838">K411*K412/10^6</f>
        <v>0</v>
      </c>
      <c r="L413" s="737">
        <f t="shared" si="838"/>
        <v>0</v>
      </c>
      <c r="M413" s="737">
        <f t="shared" si="838"/>
        <v>0</v>
      </c>
      <c r="N413" s="738">
        <f t="shared" si="838"/>
        <v>0</v>
      </c>
      <c r="O413" s="1923">
        <f t="shared" si="838"/>
        <v>0</v>
      </c>
      <c r="P413" s="737">
        <f t="shared" si="838"/>
        <v>0</v>
      </c>
      <c r="Q413" s="737">
        <f t="shared" si="838"/>
        <v>0</v>
      </c>
      <c r="R413" s="737">
        <f t="shared" si="838"/>
        <v>0</v>
      </c>
      <c r="S413" s="737">
        <f t="shared" si="838"/>
        <v>0</v>
      </c>
      <c r="T413" s="737">
        <f t="shared" si="838"/>
        <v>0</v>
      </c>
      <c r="U413" s="737">
        <f t="shared" si="838"/>
        <v>0</v>
      </c>
      <c r="V413" s="737">
        <f t="shared" si="838"/>
        <v>0</v>
      </c>
      <c r="W413" s="737">
        <f t="shared" si="838"/>
        <v>0</v>
      </c>
      <c r="X413" s="738">
        <f t="shared" si="838"/>
        <v>0</v>
      </c>
      <c r="Y413" s="737">
        <f t="shared" si="838"/>
        <v>0</v>
      </c>
      <c r="Z413" s="737">
        <f t="shared" si="838"/>
        <v>0</v>
      </c>
      <c r="AA413" s="737">
        <f t="shared" si="838"/>
        <v>0</v>
      </c>
      <c r="AB413" s="737">
        <f t="shared" si="838"/>
        <v>0</v>
      </c>
      <c r="AC413" s="738">
        <f t="shared" si="838"/>
        <v>0</v>
      </c>
      <c r="AD413" s="737">
        <f t="shared" si="838"/>
        <v>0</v>
      </c>
      <c r="AE413" s="737">
        <f t="shared" si="838"/>
        <v>0</v>
      </c>
      <c r="AF413" s="737">
        <f t="shared" si="838"/>
        <v>0</v>
      </c>
      <c r="AG413" s="739">
        <f t="shared" si="838"/>
        <v>0</v>
      </c>
      <c r="AH413" s="697"/>
      <c r="AI413" s="707"/>
      <c r="AJ413" s="709">
        <f t="shared" si="796"/>
        <v>0</v>
      </c>
      <c r="AK413" s="710">
        <f t="shared" si="797"/>
        <v>0</v>
      </c>
      <c r="AL413" s="710">
        <f t="shared" si="798"/>
        <v>0</v>
      </c>
      <c r="AM413" s="710">
        <f t="shared" si="799"/>
        <v>0</v>
      </c>
      <c r="AN413" s="710">
        <f t="shared" si="800"/>
        <v>0</v>
      </c>
      <c r="AO413" s="711">
        <f t="shared" si="801"/>
        <v>0</v>
      </c>
      <c r="AP413" s="707">
        <f t="shared" si="802"/>
        <v>0</v>
      </c>
      <c r="AQ413" s="707">
        <f t="shared" si="803"/>
        <v>0</v>
      </c>
      <c r="AR413" s="707">
        <f t="shared" si="804"/>
        <v>0</v>
      </c>
      <c r="AS413" s="712">
        <f t="shared" si="805"/>
        <v>0</v>
      </c>
      <c r="AV413" s="1559"/>
      <c r="AW413" s="1428" t="str">
        <f t="shared" si="753"/>
        <v>Rev</v>
      </c>
      <c r="AX413" s="1429" t="str">
        <f t="shared" si="753"/>
        <v>[Service]</v>
      </c>
      <c r="AY413" s="1430" t="str">
        <f t="shared" si="754"/>
        <v>[Price]</v>
      </c>
      <c r="AZ413" s="1431" t="str">
        <f t="shared" si="823"/>
        <v>-</v>
      </c>
      <c r="BA413" s="1431" t="str">
        <f t="shared" si="823"/>
        <v>-</v>
      </c>
      <c r="BB413" s="1431" t="str">
        <f t="shared" si="823"/>
        <v>-</v>
      </c>
      <c r="BC413" s="1431" t="str">
        <f t="shared" si="756"/>
        <v>-</v>
      </c>
      <c r="BD413" s="1431" t="str">
        <f t="shared" si="757"/>
        <v>-</v>
      </c>
      <c r="BE413" s="1431" t="str">
        <f t="shared" si="758"/>
        <v>-</v>
      </c>
      <c r="BF413" s="1431" t="str">
        <f t="shared" si="759"/>
        <v>-</v>
      </c>
      <c r="BG413" s="1432" t="str">
        <f t="shared" si="760"/>
        <v>-</v>
      </c>
      <c r="BH413" s="1431" t="str">
        <f t="shared" si="761"/>
        <v>-</v>
      </c>
      <c r="BI413" s="1431" t="str">
        <f t="shared" si="762"/>
        <v>-</v>
      </c>
      <c r="BJ413" s="1431" t="str">
        <f t="shared" si="763"/>
        <v>-</v>
      </c>
      <c r="BK413" s="1431" t="str">
        <f t="shared" si="764"/>
        <v>-</v>
      </c>
      <c r="BL413" s="1433" t="str">
        <f t="shared" si="765"/>
        <v>-</v>
      </c>
      <c r="BM413" s="1431" t="str">
        <f t="shared" si="766"/>
        <v>-</v>
      </c>
      <c r="BN413" s="1431" t="str">
        <f t="shared" si="767"/>
        <v>-</v>
      </c>
      <c r="BO413" s="1431" t="str">
        <f t="shared" si="768"/>
        <v>-</v>
      </c>
      <c r="BP413" s="1431" t="str">
        <f t="shared" si="769"/>
        <v>-</v>
      </c>
      <c r="BQ413" s="1434" t="str">
        <f t="shared" si="770"/>
        <v>-</v>
      </c>
      <c r="BR413" s="1378"/>
      <c r="BS413" s="1407"/>
      <c r="BT413" s="1408"/>
      <c r="BU413" s="1409"/>
      <c r="BV413" s="1410"/>
      <c r="BW413" s="1378"/>
      <c r="BX413" s="1428" t="str">
        <f t="shared" si="771"/>
        <v>Rev</v>
      </c>
      <c r="BY413" s="1429" t="str">
        <f t="shared" si="772"/>
        <v>[Service]</v>
      </c>
      <c r="BZ413" s="1430" t="str">
        <f t="shared" si="773"/>
        <v>[Price]</v>
      </c>
      <c r="CA413" s="1435" t="str">
        <f t="shared" ref="CA413:CR413" si="839">IFERROR((P413/O413-1)*(O413/O$13),"-")</f>
        <v>-</v>
      </c>
      <c r="CB413" s="1431" t="str">
        <f t="shared" si="839"/>
        <v>-</v>
      </c>
      <c r="CC413" s="1431" t="str">
        <f t="shared" si="839"/>
        <v>-</v>
      </c>
      <c r="CD413" s="1431" t="str">
        <f t="shared" si="839"/>
        <v>-</v>
      </c>
      <c r="CE413" s="1431" t="str">
        <f t="shared" si="839"/>
        <v>-</v>
      </c>
      <c r="CF413" s="1431" t="str">
        <f t="shared" si="839"/>
        <v>-</v>
      </c>
      <c r="CG413" s="1431" t="str">
        <f t="shared" si="839"/>
        <v>-</v>
      </c>
      <c r="CH413" s="1433" t="str">
        <f t="shared" si="839"/>
        <v>-</v>
      </c>
      <c r="CI413" s="1431" t="str">
        <f t="shared" si="839"/>
        <v>-</v>
      </c>
      <c r="CJ413" s="1431" t="str">
        <f t="shared" si="839"/>
        <v>-</v>
      </c>
      <c r="CK413" s="1431" t="str">
        <f t="shared" si="839"/>
        <v>-</v>
      </c>
      <c r="CL413" s="1431" t="str">
        <f t="shared" si="839"/>
        <v>-</v>
      </c>
      <c r="CM413" s="1433" t="str">
        <f t="shared" si="839"/>
        <v>-</v>
      </c>
      <c r="CN413" s="1431" t="str">
        <f t="shared" si="839"/>
        <v>-</v>
      </c>
      <c r="CO413" s="1431" t="str">
        <f t="shared" si="839"/>
        <v>-</v>
      </c>
      <c r="CP413" s="1431" t="str">
        <f t="shared" si="839"/>
        <v>-</v>
      </c>
      <c r="CQ413" s="1431" t="str">
        <f t="shared" si="839"/>
        <v>-</v>
      </c>
      <c r="CR413" s="1434" t="str">
        <f t="shared" si="839"/>
        <v>-</v>
      </c>
      <c r="CS413" s="1378"/>
      <c r="CT413" s="1428" t="str">
        <f t="shared" si="749"/>
        <v>Rev</v>
      </c>
      <c r="CU413" s="1429" t="str">
        <f t="shared" si="750"/>
        <v>[Service]</v>
      </c>
      <c r="CV413" s="1429" t="str">
        <f t="shared" si="751"/>
        <v>[Price]</v>
      </c>
      <c r="CW413" s="1435" t="str">
        <f t="shared" si="775"/>
        <v>-</v>
      </c>
      <c r="CX413" s="1431" t="str">
        <f t="shared" si="776"/>
        <v>-</v>
      </c>
      <c r="CY413" s="1431" t="str">
        <f t="shared" si="777"/>
        <v>-</v>
      </c>
      <c r="CZ413" s="1434" t="str">
        <f t="shared" si="778"/>
        <v>-</v>
      </c>
      <c r="DA413" s="1431" t="str">
        <f t="shared" si="779"/>
        <v>-</v>
      </c>
      <c r="DB413" s="1431" t="str">
        <f t="shared" si="780"/>
        <v>-</v>
      </c>
      <c r="DC413" s="1431" t="str">
        <f t="shared" si="781"/>
        <v>-</v>
      </c>
      <c r="DD413" s="1431" t="str">
        <f t="shared" si="782"/>
        <v>-</v>
      </c>
      <c r="DE413" s="1434" t="str">
        <f t="shared" si="783"/>
        <v>-</v>
      </c>
      <c r="DF413" s="1378"/>
      <c r="DG413" s="1428" t="str">
        <f t="shared" si="784"/>
        <v>Rev</v>
      </c>
      <c r="DH413" s="1429" t="str">
        <f t="shared" si="784"/>
        <v>[Service]</v>
      </c>
      <c r="DI413" s="1429" t="str">
        <f t="shared" si="784"/>
        <v>[Price]</v>
      </c>
      <c r="DJ413" s="1429"/>
      <c r="DK413" s="1435" t="str">
        <f t="shared" si="785"/>
        <v>-</v>
      </c>
      <c r="DL413" s="1431" t="str">
        <f t="shared" si="786"/>
        <v>-</v>
      </c>
      <c r="DM413" s="1431" t="str">
        <f t="shared" si="787"/>
        <v>-</v>
      </c>
      <c r="DN413" s="1433" t="str">
        <f t="shared" si="788"/>
        <v>-</v>
      </c>
      <c r="DO413" s="1431" t="str">
        <f t="shared" si="789"/>
        <v>-</v>
      </c>
      <c r="DP413" s="1431" t="str">
        <f t="shared" si="790"/>
        <v>-</v>
      </c>
      <c r="DQ413" s="1431" t="str">
        <f t="shared" si="791"/>
        <v>-</v>
      </c>
      <c r="DR413" s="1434" t="str">
        <f t="shared" si="792"/>
        <v>-</v>
      </c>
    </row>
    <row r="414" spans="4:122">
      <c r="D414" s="70">
        <f>D411+1</f>
        <v>117</v>
      </c>
      <c r="E414" s="713" t="s">
        <v>44</v>
      </c>
      <c r="F414" s="1532" t="s">
        <v>27</v>
      </c>
      <c r="G414" s="1532"/>
      <c r="H414" s="1532"/>
      <c r="I414" s="781" t="s">
        <v>318</v>
      </c>
      <c r="J414" s="781" t="s">
        <v>345</v>
      </c>
      <c r="K414" s="1533"/>
      <c r="L414" s="1534"/>
      <c r="M414" s="1534"/>
      <c r="N414" s="1535"/>
      <c r="O414" s="2071"/>
      <c r="P414" s="1547"/>
      <c r="Q414" s="1547"/>
      <c r="R414" s="1547"/>
      <c r="S414" s="1547"/>
      <c r="T414" s="1547"/>
      <c r="U414" s="1547"/>
      <c r="V414" s="1547"/>
      <c r="W414" s="1547"/>
      <c r="X414" s="1548"/>
      <c r="Y414" s="1547"/>
      <c r="Z414" s="1547"/>
      <c r="AA414" s="1547"/>
      <c r="AB414" s="1547"/>
      <c r="AC414" s="1548"/>
      <c r="AD414" s="1547"/>
      <c r="AE414" s="1547"/>
      <c r="AF414" s="1547"/>
      <c r="AG414" s="785"/>
      <c r="AH414" s="697"/>
      <c r="AI414" s="707"/>
      <c r="AJ414" s="709">
        <f t="shared" si="796"/>
        <v>0</v>
      </c>
      <c r="AK414" s="710">
        <f t="shared" si="797"/>
        <v>0</v>
      </c>
      <c r="AL414" s="710">
        <f t="shared" si="798"/>
        <v>0</v>
      </c>
      <c r="AM414" s="710">
        <f t="shared" si="799"/>
        <v>0</v>
      </c>
      <c r="AN414" s="710">
        <f t="shared" si="800"/>
        <v>0</v>
      </c>
      <c r="AO414" s="711">
        <f t="shared" si="801"/>
        <v>0</v>
      </c>
      <c r="AP414" s="707">
        <f t="shared" si="802"/>
        <v>0</v>
      </c>
      <c r="AQ414" s="707">
        <f t="shared" si="803"/>
        <v>0</v>
      </c>
      <c r="AR414" s="707">
        <f t="shared" si="804"/>
        <v>0</v>
      </c>
      <c r="AS414" s="712">
        <f t="shared" si="805"/>
        <v>0</v>
      </c>
      <c r="AU414" s="1369"/>
      <c r="AV414" s="1559"/>
      <c r="AW414" s="1412" t="str">
        <f t="shared" si="753"/>
        <v>Price</v>
      </c>
      <c r="AX414" s="1413" t="str">
        <f t="shared" si="753"/>
        <v>[Service]</v>
      </c>
      <c r="AY414" s="1414" t="str">
        <f t="shared" si="754"/>
        <v>[Price]</v>
      </c>
      <c r="AZ414" s="1415" t="str">
        <f t="shared" si="823"/>
        <v>-</v>
      </c>
      <c r="BA414" s="1415" t="str">
        <f t="shared" si="823"/>
        <v>-</v>
      </c>
      <c r="BB414" s="1415" t="str">
        <f t="shared" si="823"/>
        <v>-</v>
      </c>
      <c r="BC414" s="1415" t="str">
        <f t="shared" si="756"/>
        <v>-</v>
      </c>
      <c r="BD414" s="1415" t="str">
        <f t="shared" si="757"/>
        <v>-</v>
      </c>
      <c r="BE414" s="1415" t="str">
        <f t="shared" si="758"/>
        <v>-</v>
      </c>
      <c r="BF414" s="1415" t="str">
        <f t="shared" si="759"/>
        <v>-</v>
      </c>
      <c r="BG414" s="1416" t="str">
        <f t="shared" si="760"/>
        <v>-</v>
      </c>
      <c r="BH414" s="1417" t="str">
        <f t="shared" si="761"/>
        <v>-</v>
      </c>
      <c r="BI414" s="1417" t="str">
        <f t="shared" si="762"/>
        <v>-</v>
      </c>
      <c r="BJ414" s="1417" t="str">
        <f t="shared" si="763"/>
        <v>-</v>
      </c>
      <c r="BK414" s="1417" t="str">
        <f t="shared" si="764"/>
        <v>-</v>
      </c>
      <c r="BL414" s="1418" t="str">
        <f t="shared" si="765"/>
        <v>-</v>
      </c>
      <c r="BM414" s="1417" t="str">
        <f t="shared" si="766"/>
        <v>-</v>
      </c>
      <c r="BN414" s="1417" t="str">
        <f t="shared" si="767"/>
        <v>-</v>
      </c>
      <c r="BO414" s="1417" t="str">
        <f t="shared" si="768"/>
        <v>-</v>
      </c>
      <c r="BP414" s="1417" t="str">
        <f t="shared" si="769"/>
        <v>-</v>
      </c>
      <c r="BQ414" s="1419" t="str">
        <f t="shared" si="770"/>
        <v>-</v>
      </c>
      <c r="BR414" s="1378"/>
      <c r="BS414" s="1420"/>
      <c r="BT414" s="1421"/>
      <c r="BU414" s="1422"/>
      <c r="BV414" s="1423"/>
      <c r="BW414" s="1378"/>
      <c r="BX414" s="1412" t="str">
        <f t="shared" si="771"/>
        <v>Price</v>
      </c>
      <c r="BY414" s="1413" t="str">
        <f t="shared" si="772"/>
        <v>[Service]</v>
      </c>
      <c r="BZ414" s="1414" t="str">
        <f t="shared" si="773"/>
        <v>[Price]</v>
      </c>
      <c r="CA414" s="1424" t="str">
        <f t="shared" ref="CA414:CR414" si="840">IFERROR((P414/O414-1)*(O416/O$13),"-")</f>
        <v>-</v>
      </c>
      <c r="CB414" s="1415" t="str">
        <f t="shared" si="840"/>
        <v>-</v>
      </c>
      <c r="CC414" s="1415" t="str">
        <f t="shared" si="840"/>
        <v>-</v>
      </c>
      <c r="CD414" s="1415" t="str">
        <f t="shared" si="840"/>
        <v>-</v>
      </c>
      <c r="CE414" s="1415" t="str">
        <f t="shared" si="840"/>
        <v>-</v>
      </c>
      <c r="CF414" s="1415" t="str">
        <f t="shared" si="840"/>
        <v>-</v>
      </c>
      <c r="CG414" s="1415" t="str">
        <f t="shared" si="840"/>
        <v>-</v>
      </c>
      <c r="CH414" s="1425" t="str">
        <f t="shared" si="840"/>
        <v>-</v>
      </c>
      <c r="CI414" s="1417" t="str">
        <f t="shared" si="840"/>
        <v>-</v>
      </c>
      <c r="CJ414" s="1417" t="str">
        <f t="shared" si="840"/>
        <v>-</v>
      </c>
      <c r="CK414" s="1417" t="str">
        <f t="shared" si="840"/>
        <v>-</v>
      </c>
      <c r="CL414" s="1417" t="str">
        <f t="shared" si="840"/>
        <v>-</v>
      </c>
      <c r="CM414" s="1418" t="str">
        <f t="shared" si="840"/>
        <v>-</v>
      </c>
      <c r="CN414" s="1417" t="str">
        <f t="shared" si="840"/>
        <v>-</v>
      </c>
      <c r="CO414" s="1417" t="str">
        <f t="shared" si="840"/>
        <v>-</v>
      </c>
      <c r="CP414" s="1417" t="str">
        <f t="shared" si="840"/>
        <v>-</v>
      </c>
      <c r="CQ414" s="1417" t="str">
        <f t="shared" si="840"/>
        <v>-</v>
      </c>
      <c r="CR414" s="1419" t="str">
        <f t="shared" si="840"/>
        <v>-</v>
      </c>
      <c r="CS414" s="1378"/>
      <c r="CT414" s="1412" t="str">
        <f t="shared" si="749"/>
        <v>Price</v>
      </c>
      <c r="CU414" s="1413" t="str">
        <f t="shared" si="750"/>
        <v>[Service]</v>
      </c>
      <c r="CV414" s="1426" t="str">
        <f t="shared" si="751"/>
        <v>[Price]</v>
      </c>
      <c r="CW414" s="1427" t="str">
        <f t="shared" si="775"/>
        <v>-</v>
      </c>
      <c r="CX414" s="1417" t="str">
        <f t="shared" si="776"/>
        <v>-</v>
      </c>
      <c r="CY414" s="1417" t="str">
        <f t="shared" si="777"/>
        <v>-</v>
      </c>
      <c r="CZ414" s="1419" t="str">
        <f t="shared" si="778"/>
        <v>-</v>
      </c>
      <c r="DA414" s="1417" t="str">
        <f t="shared" si="779"/>
        <v>-</v>
      </c>
      <c r="DB414" s="1417" t="str">
        <f t="shared" si="780"/>
        <v>-</v>
      </c>
      <c r="DC414" s="1417" t="str">
        <f t="shared" si="781"/>
        <v>-</v>
      </c>
      <c r="DD414" s="1417" t="str">
        <f t="shared" si="782"/>
        <v>-</v>
      </c>
      <c r="DE414" s="1419" t="str">
        <f t="shared" si="783"/>
        <v>-</v>
      </c>
      <c r="DF414" s="1378"/>
      <c r="DG414" s="1412" t="str">
        <f t="shared" si="784"/>
        <v>Price</v>
      </c>
      <c r="DH414" s="1413" t="str">
        <f t="shared" si="784"/>
        <v>[Service]</v>
      </c>
      <c r="DI414" s="1426" t="str">
        <f t="shared" si="784"/>
        <v>[Price]</v>
      </c>
      <c r="DJ414" s="1426"/>
      <c r="DK414" s="1427" t="str">
        <f t="shared" si="785"/>
        <v>-</v>
      </c>
      <c r="DL414" s="1417" t="str">
        <f t="shared" si="786"/>
        <v>-</v>
      </c>
      <c r="DM414" s="1417" t="str">
        <f t="shared" si="787"/>
        <v>-</v>
      </c>
      <c r="DN414" s="1418" t="str">
        <f t="shared" si="788"/>
        <v>-</v>
      </c>
      <c r="DO414" s="1417" t="str">
        <f t="shared" si="789"/>
        <v>-</v>
      </c>
      <c r="DP414" s="1417" t="str">
        <f t="shared" si="790"/>
        <v>-</v>
      </c>
      <c r="DQ414" s="1417" t="str">
        <f t="shared" si="791"/>
        <v>-</v>
      </c>
      <c r="DR414" s="1419" t="str">
        <f t="shared" si="792"/>
        <v>-</v>
      </c>
    </row>
    <row r="415" spans="4:122">
      <c r="E415" s="742" t="s">
        <v>45</v>
      </c>
      <c r="F415" s="722" t="str">
        <f>+F414</f>
        <v>[Service]</v>
      </c>
      <c r="G415" s="723">
        <f>+G414</f>
        <v>0</v>
      </c>
      <c r="H415" s="723">
        <f>+H414</f>
        <v>0</v>
      </c>
      <c r="I415" s="724" t="str">
        <f>+I414</f>
        <v>[Price]</v>
      </c>
      <c r="J415" s="782" t="s">
        <v>322</v>
      </c>
      <c r="K415" s="1540"/>
      <c r="L415" s="1541"/>
      <c r="M415" s="1541"/>
      <c r="N415" s="1542"/>
      <c r="O415" s="2031"/>
      <c r="P415" s="1543"/>
      <c r="Q415" s="1543"/>
      <c r="R415" s="1543"/>
      <c r="S415" s="1543"/>
      <c r="T415" s="1543"/>
      <c r="U415" s="1543"/>
      <c r="V415" s="1543"/>
      <c r="W415" s="1543"/>
      <c r="X415" s="1544"/>
      <c r="Y415" s="1543"/>
      <c r="Z415" s="1543"/>
      <c r="AA415" s="1543"/>
      <c r="AB415" s="1543"/>
      <c r="AC415" s="1544"/>
      <c r="AD415" s="1543"/>
      <c r="AE415" s="1543"/>
      <c r="AF415" s="1543"/>
      <c r="AG415" s="788"/>
      <c r="AH415" s="697"/>
      <c r="AI415" s="707"/>
      <c r="AJ415" s="709">
        <f t="shared" si="796"/>
        <v>0</v>
      </c>
      <c r="AK415" s="710">
        <f t="shared" si="797"/>
        <v>0</v>
      </c>
      <c r="AL415" s="710">
        <f t="shared" si="798"/>
        <v>0</v>
      </c>
      <c r="AM415" s="710">
        <f t="shared" si="799"/>
        <v>0</v>
      </c>
      <c r="AN415" s="710">
        <f t="shared" si="800"/>
        <v>0</v>
      </c>
      <c r="AO415" s="711">
        <f t="shared" si="801"/>
        <v>0</v>
      </c>
      <c r="AP415" s="707">
        <f t="shared" si="802"/>
        <v>0</v>
      </c>
      <c r="AQ415" s="707">
        <f t="shared" si="803"/>
        <v>0</v>
      </c>
      <c r="AR415" s="707">
        <f t="shared" si="804"/>
        <v>0</v>
      </c>
      <c r="AS415" s="712">
        <f t="shared" si="805"/>
        <v>0</v>
      </c>
      <c r="AV415" s="1559"/>
      <c r="AW415" s="1392" t="str">
        <f t="shared" si="753"/>
        <v>Qty</v>
      </c>
      <c r="AX415" s="1393" t="str">
        <f t="shared" si="753"/>
        <v>[Service]</v>
      </c>
      <c r="AY415" s="1394" t="str">
        <f t="shared" si="754"/>
        <v>[Price]</v>
      </c>
      <c r="AZ415" s="1395" t="str">
        <f t="shared" si="823"/>
        <v>-</v>
      </c>
      <c r="BA415" s="1395" t="str">
        <f t="shared" si="823"/>
        <v>-</v>
      </c>
      <c r="BB415" s="1395" t="str">
        <f t="shared" si="823"/>
        <v>-</v>
      </c>
      <c r="BC415" s="1395" t="str">
        <f t="shared" si="756"/>
        <v>-</v>
      </c>
      <c r="BD415" s="1395" t="str">
        <f t="shared" si="757"/>
        <v>-</v>
      </c>
      <c r="BE415" s="1395" t="str">
        <f t="shared" si="758"/>
        <v>-</v>
      </c>
      <c r="BF415" s="1395" t="str">
        <f t="shared" si="759"/>
        <v>-</v>
      </c>
      <c r="BG415" s="1396" t="str">
        <f t="shared" si="760"/>
        <v>-</v>
      </c>
      <c r="BH415" s="1395" t="str">
        <f t="shared" si="761"/>
        <v>-</v>
      </c>
      <c r="BI415" s="1395" t="str">
        <f t="shared" si="762"/>
        <v>-</v>
      </c>
      <c r="BJ415" s="1395" t="str">
        <f t="shared" si="763"/>
        <v>-</v>
      </c>
      <c r="BK415" s="1395" t="str">
        <f t="shared" si="764"/>
        <v>-</v>
      </c>
      <c r="BL415" s="1397" t="str">
        <f t="shared" si="765"/>
        <v>-</v>
      </c>
      <c r="BM415" s="1395" t="str">
        <f t="shared" si="766"/>
        <v>-</v>
      </c>
      <c r="BN415" s="1395" t="str">
        <f t="shared" si="767"/>
        <v>-</v>
      </c>
      <c r="BO415" s="1395" t="str">
        <f t="shared" si="768"/>
        <v>-</v>
      </c>
      <c r="BP415" s="1395" t="str">
        <f t="shared" si="769"/>
        <v>-</v>
      </c>
      <c r="BQ415" s="1398" t="str">
        <f t="shared" si="770"/>
        <v>-</v>
      </c>
      <c r="BR415" s="1378"/>
      <c r="BS415" s="1329"/>
      <c r="BT415" s="1399"/>
      <c r="BU415" s="1331"/>
      <c r="BV415" s="1400"/>
      <c r="BW415" s="1378"/>
      <c r="BX415" s="1392" t="str">
        <f t="shared" si="771"/>
        <v>Qty</v>
      </c>
      <c r="BY415" s="1393" t="str">
        <f t="shared" si="772"/>
        <v>[Service]</v>
      </c>
      <c r="BZ415" s="1394" t="str">
        <f t="shared" si="773"/>
        <v>[Price]</v>
      </c>
      <c r="CA415" s="1401" t="str">
        <f t="shared" ref="CA415:CR415" si="841">IFERROR((P415/O415-1)*(O416/O$13),"-")</f>
        <v>-</v>
      </c>
      <c r="CB415" s="1395" t="str">
        <f t="shared" si="841"/>
        <v>-</v>
      </c>
      <c r="CC415" s="1395" t="str">
        <f t="shared" si="841"/>
        <v>-</v>
      </c>
      <c r="CD415" s="1395" t="str">
        <f t="shared" si="841"/>
        <v>-</v>
      </c>
      <c r="CE415" s="1395" t="str">
        <f t="shared" si="841"/>
        <v>-</v>
      </c>
      <c r="CF415" s="1395" t="str">
        <f t="shared" si="841"/>
        <v>-</v>
      </c>
      <c r="CG415" s="1395" t="str">
        <f t="shared" si="841"/>
        <v>-</v>
      </c>
      <c r="CH415" s="1397" t="str">
        <f t="shared" si="841"/>
        <v>-</v>
      </c>
      <c r="CI415" s="1395" t="str">
        <f t="shared" si="841"/>
        <v>-</v>
      </c>
      <c r="CJ415" s="1395" t="str">
        <f t="shared" si="841"/>
        <v>-</v>
      </c>
      <c r="CK415" s="1395" t="str">
        <f t="shared" si="841"/>
        <v>-</v>
      </c>
      <c r="CL415" s="1395" t="str">
        <f t="shared" si="841"/>
        <v>-</v>
      </c>
      <c r="CM415" s="1397" t="str">
        <f t="shared" si="841"/>
        <v>-</v>
      </c>
      <c r="CN415" s="1395" t="str">
        <f t="shared" si="841"/>
        <v>-</v>
      </c>
      <c r="CO415" s="1395" t="str">
        <f t="shared" si="841"/>
        <v>-</v>
      </c>
      <c r="CP415" s="1395" t="str">
        <f t="shared" si="841"/>
        <v>-</v>
      </c>
      <c r="CQ415" s="1395" t="str">
        <f t="shared" si="841"/>
        <v>-</v>
      </c>
      <c r="CR415" s="1398" t="str">
        <f t="shared" si="841"/>
        <v>-</v>
      </c>
      <c r="CS415" s="1378"/>
      <c r="CT415" s="1392" t="str">
        <f t="shared" si="749"/>
        <v>Qty</v>
      </c>
      <c r="CU415" s="1393" t="str">
        <f t="shared" si="750"/>
        <v>[Service]</v>
      </c>
      <c r="CV415" s="1393" t="str">
        <f t="shared" si="751"/>
        <v>[Price]</v>
      </c>
      <c r="CW415" s="1401" t="str">
        <f t="shared" si="775"/>
        <v>-</v>
      </c>
      <c r="CX415" s="1395" t="str">
        <f t="shared" si="776"/>
        <v>-</v>
      </c>
      <c r="CY415" s="1395" t="str">
        <f t="shared" si="777"/>
        <v>-</v>
      </c>
      <c r="CZ415" s="1398" t="str">
        <f t="shared" si="778"/>
        <v>-</v>
      </c>
      <c r="DA415" s="1395" t="str">
        <f t="shared" si="779"/>
        <v>-</v>
      </c>
      <c r="DB415" s="1395" t="str">
        <f t="shared" si="780"/>
        <v>-</v>
      </c>
      <c r="DC415" s="1395" t="str">
        <f t="shared" si="781"/>
        <v>-</v>
      </c>
      <c r="DD415" s="1395" t="str">
        <f t="shared" si="782"/>
        <v>-</v>
      </c>
      <c r="DE415" s="1398" t="str">
        <f t="shared" si="783"/>
        <v>-</v>
      </c>
      <c r="DF415" s="1378"/>
      <c r="DG415" s="1392" t="str">
        <f t="shared" si="784"/>
        <v>Qty</v>
      </c>
      <c r="DH415" s="1393" t="str">
        <f t="shared" si="784"/>
        <v>[Service]</v>
      </c>
      <c r="DI415" s="1393" t="str">
        <f t="shared" si="784"/>
        <v>[Price]</v>
      </c>
      <c r="DJ415" s="1393"/>
      <c r="DK415" s="1401" t="str">
        <f t="shared" si="785"/>
        <v>-</v>
      </c>
      <c r="DL415" s="1395" t="str">
        <f t="shared" si="786"/>
        <v>-</v>
      </c>
      <c r="DM415" s="1395" t="str">
        <f t="shared" si="787"/>
        <v>-</v>
      </c>
      <c r="DN415" s="1397" t="str">
        <f t="shared" si="788"/>
        <v>-</v>
      </c>
      <c r="DO415" s="1395" t="str">
        <f t="shared" si="789"/>
        <v>-</v>
      </c>
      <c r="DP415" s="1395" t="str">
        <f t="shared" si="790"/>
        <v>-</v>
      </c>
      <c r="DQ415" s="1395" t="str">
        <f t="shared" si="791"/>
        <v>-</v>
      </c>
      <c r="DR415" s="1398" t="str">
        <f t="shared" si="792"/>
        <v>-</v>
      </c>
    </row>
    <row r="416" spans="4:122" ht="12.75" thickBot="1">
      <c r="E416" s="743" t="s">
        <v>46</v>
      </c>
      <c r="F416" s="732" t="str">
        <f>+F414</f>
        <v>[Service]</v>
      </c>
      <c r="G416" s="733">
        <f>+G414</f>
        <v>0</v>
      </c>
      <c r="H416" s="733">
        <f>+H414</f>
        <v>0</v>
      </c>
      <c r="I416" s="734" t="str">
        <f>+I414</f>
        <v>[Price]</v>
      </c>
      <c r="J416" s="735" t="s">
        <v>344</v>
      </c>
      <c r="K416" s="736">
        <f t="shared" ref="K416:AG416" si="842">K414*K415/10^6</f>
        <v>0</v>
      </c>
      <c r="L416" s="737">
        <f t="shared" si="842"/>
        <v>0</v>
      </c>
      <c r="M416" s="737">
        <f t="shared" si="842"/>
        <v>0</v>
      </c>
      <c r="N416" s="738">
        <f t="shared" si="842"/>
        <v>0</v>
      </c>
      <c r="O416" s="1923">
        <f t="shared" si="842"/>
        <v>0</v>
      </c>
      <c r="P416" s="737">
        <f t="shared" si="842"/>
        <v>0</v>
      </c>
      <c r="Q416" s="737">
        <f t="shared" si="842"/>
        <v>0</v>
      </c>
      <c r="R416" s="737">
        <f t="shared" si="842"/>
        <v>0</v>
      </c>
      <c r="S416" s="737">
        <f t="shared" si="842"/>
        <v>0</v>
      </c>
      <c r="T416" s="737">
        <f t="shared" si="842"/>
        <v>0</v>
      </c>
      <c r="U416" s="737">
        <f t="shared" si="842"/>
        <v>0</v>
      </c>
      <c r="V416" s="737">
        <f t="shared" si="842"/>
        <v>0</v>
      </c>
      <c r="W416" s="737">
        <f t="shared" si="842"/>
        <v>0</v>
      </c>
      <c r="X416" s="738">
        <f t="shared" si="842"/>
        <v>0</v>
      </c>
      <c r="Y416" s="737">
        <f t="shared" si="842"/>
        <v>0</v>
      </c>
      <c r="Z416" s="737">
        <f t="shared" si="842"/>
        <v>0</v>
      </c>
      <c r="AA416" s="737">
        <f t="shared" si="842"/>
        <v>0</v>
      </c>
      <c r="AB416" s="737">
        <f t="shared" si="842"/>
        <v>0</v>
      </c>
      <c r="AC416" s="738">
        <f t="shared" si="842"/>
        <v>0</v>
      </c>
      <c r="AD416" s="737">
        <f t="shared" si="842"/>
        <v>0</v>
      </c>
      <c r="AE416" s="737">
        <f t="shared" si="842"/>
        <v>0</v>
      </c>
      <c r="AF416" s="737">
        <f t="shared" si="842"/>
        <v>0</v>
      </c>
      <c r="AG416" s="739">
        <f t="shared" si="842"/>
        <v>0</v>
      </c>
      <c r="AH416" s="697"/>
      <c r="AI416" s="707"/>
      <c r="AJ416" s="709">
        <f t="shared" si="796"/>
        <v>0</v>
      </c>
      <c r="AK416" s="710">
        <f t="shared" si="797"/>
        <v>0</v>
      </c>
      <c r="AL416" s="710">
        <f t="shared" si="798"/>
        <v>0</v>
      </c>
      <c r="AM416" s="710">
        <f t="shared" si="799"/>
        <v>0</v>
      </c>
      <c r="AN416" s="710">
        <f t="shared" si="800"/>
        <v>0</v>
      </c>
      <c r="AO416" s="711">
        <f t="shared" si="801"/>
        <v>0</v>
      </c>
      <c r="AP416" s="707">
        <f t="shared" si="802"/>
        <v>0</v>
      </c>
      <c r="AQ416" s="707">
        <f t="shared" si="803"/>
        <v>0</v>
      </c>
      <c r="AR416" s="707">
        <f t="shared" si="804"/>
        <v>0</v>
      </c>
      <c r="AS416" s="712">
        <f t="shared" si="805"/>
        <v>0</v>
      </c>
      <c r="AV416" s="1559"/>
      <c r="AW416" s="1428" t="str">
        <f t="shared" si="753"/>
        <v>Rev</v>
      </c>
      <c r="AX416" s="1429" t="str">
        <f t="shared" si="753"/>
        <v>[Service]</v>
      </c>
      <c r="AY416" s="1430" t="str">
        <f t="shared" si="754"/>
        <v>[Price]</v>
      </c>
      <c r="AZ416" s="1431" t="str">
        <f t="shared" si="823"/>
        <v>-</v>
      </c>
      <c r="BA416" s="1431" t="str">
        <f t="shared" si="823"/>
        <v>-</v>
      </c>
      <c r="BB416" s="1431" t="str">
        <f t="shared" si="823"/>
        <v>-</v>
      </c>
      <c r="BC416" s="1431" t="str">
        <f t="shared" si="756"/>
        <v>-</v>
      </c>
      <c r="BD416" s="1431" t="str">
        <f t="shared" si="757"/>
        <v>-</v>
      </c>
      <c r="BE416" s="1431" t="str">
        <f t="shared" si="758"/>
        <v>-</v>
      </c>
      <c r="BF416" s="1431" t="str">
        <f t="shared" si="759"/>
        <v>-</v>
      </c>
      <c r="BG416" s="1432" t="str">
        <f t="shared" si="760"/>
        <v>-</v>
      </c>
      <c r="BH416" s="1431" t="str">
        <f t="shared" si="761"/>
        <v>-</v>
      </c>
      <c r="BI416" s="1431" t="str">
        <f t="shared" si="762"/>
        <v>-</v>
      </c>
      <c r="BJ416" s="1431" t="str">
        <f t="shared" si="763"/>
        <v>-</v>
      </c>
      <c r="BK416" s="1431" t="str">
        <f t="shared" si="764"/>
        <v>-</v>
      </c>
      <c r="BL416" s="1433" t="str">
        <f t="shared" si="765"/>
        <v>-</v>
      </c>
      <c r="BM416" s="1431" t="str">
        <f t="shared" si="766"/>
        <v>-</v>
      </c>
      <c r="BN416" s="1431" t="str">
        <f t="shared" si="767"/>
        <v>-</v>
      </c>
      <c r="BO416" s="1431" t="str">
        <f t="shared" si="768"/>
        <v>-</v>
      </c>
      <c r="BP416" s="1431" t="str">
        <f t="shared" si="769"/>
        <v>-</v>
      </c>
      <c r="BQ416" s="1434" t="str">
        <f t="shared" si="770"/>
        <v>-</v>
      </c>
      <c r="BR416" s="1378"/>
      <c r="BS416" s="1407"/>
      <c r="BT416" s="1408"/>
      <c r="BU416" s="1409"/>
      <c r="BV416" s="1410"/>
      <c r="BW416" s="1378"/>
      <c r="BX416" s="1428" t="str">
        <f t="shared" si="771"/>
        <v>Rev</v>
      </c>
      <c r="BY416" s="1429" t="str">
        <f t="shared" si="772"/>
        <v>[Service]</v>
      </c>
      <c r="BZ416" s="1430" t="str">
        <f t="shared" si="773"/>
        <v>[Price]</v>
      </c>
      <c r="CA416" s="1435" t="str">
        <f t="shared" ref="CA416:CR416" si="843">IFERROR((P416/O416-1)*(O416/O$13),"-")</f>
        <v>-</v>
      </c>
      <c r="CB416" s="1431" t="str">
        <f t="shared" si="843"/>
        <v>-</v>
      </c>
      <c r="CC416" s="1431" t="str">
        <f t="shared" si="843"/>
        <v>-</v>
      </c>
      <c r="CD416" s="1431" t="str">
        <f t="shared" si="843"/>
        <v>-</v>
      </c>
      <c r="CE416" s="1431" t="str">
        <f t="shared" si="843"/>
        <v>-</v>
      </c>
      <c r="CF416" s="1431" t="str">
        <f t="shared" si="843"/>
        <v>-</v>
      </c>
      <c r="CG416" s="1431" t="str">
        <f t="shared" si="843"/>
        <v>-</v>
      </c>
      <c r="CH416" s="1433" t="str">
        <f t="shared" si="843"/>
        <v>-</v>
      </c>
      <c r="CI416" s="1431" t="str">
        <f t="shared" si="843"/>
        <v>-</v>
      </c>
      <c r="CJ416" s="1431" t="str">
        <f t="shared" si="843"/>
        <v>-</v>
      </c>
      <c r="CK416" s="1431" t="str">
        <f t="shared" si="843"/>
        <v>-</v>
      </c>
      <c r="CL416" s="1431" t="str">
        <f t="shared" si="843"/>
        <v>-</v>
      </c>
      <c r="CM416" s="1433" t="str">
        <f t="shared" si="843"/>
        <v>-</v>
      </c>
      <c r="CN416" s="1431" t="str">
        <f t="shared" si="843"/>
        <v>-</v>
      </c>
      <c r="CO416" s="1431" t="str">
        <f t="shared" si="843"/>
        <v>-</v>
      </c>
      <c r="CP416" s="1431" t="str">
        <f t="shared" si="843"/>
        <v>-</v>
      </c>
      <c r="CQ416" s="1431" t="str">
        <f t="shared" si="843"/>
        <v>-</v>
      </c>
      <c r="CR416" s="1434" t="str">
        <f t="shared" si="843"/>
        <v>-</v>
      </c>
      <c r="CS416" s="1378"/>
      <c r="CT416" s="1428" t="str">
        <f t="shared" si="749"/>
        <v>Rev</v>
      </c>
      <c r="CU416" s="1429" t="str">
        <f t="shared" si="750"/>
        <v>[Service]</v>
      </c>
      <c r="CV416" s="1429" t="str">
        <f t="shared" si="751"/>
        <v>[Price]</v>
      </c>
      <c r="CW416" s="1435" t="str">
        <f t="shared" si="775"/>
        <v>-</v>
      </c>
      <c r="CX416" s="1431" t="str">
        <f t="shared" si="776"/>
        <v>-</v>
      </c>
      <c r="CY416" s="1431" t="str">
        <f t="shared" si="777"/>
        <v>-</v>
      </c>
      <c r="CZ416" s="1434" t="str">
        <f t="shared" si="778"/>
        <v>-</v>
      </c>
      <c r="DA416" s="1431" t="str">
        <f t="shared" si="779"/>
        <v>-</v>
      </c>
      <c r="DB416" s="1431" t="str">
        <f t="shared" si="780"/>
        <v>-</v>
      </c>
      <c r="DC416" s="1431" t="str">
        <f t="shared" si="781"/>
        <v>-</v>
      </c>
      <c r="DD416" s="1431" t="str">
        <f t="shared" si="782"/>
        <v>-</v>
      </c>
      <c r="DE416" s="1434" t="str">
        <f t="shared" si="783"/>
        <v>-</v>
      </c>
      <c r="DF416" s="1378"/>
      <c r="DG416" s="1428" t="str">
        <f t="shared" si="784"/>
        <v>Rev</v>
      </c>
      <c r="DH416" s="1429" t="str">
        <f t="shared" si="784"/>
        <v>[Service]</v>
      </c>
      <c r="DI416" s="1429" t="str">
        <f t="shared" si="784"/>
        <v>[Price]</v>
      </c>
      <c r="DJ416" s="1429"/>
      <c r="DK416" s="1435" t="str">
        <f t="shared" si="785"/>
        <v>-</v>
      </c>
      <c r="DL416" s="1431" t="str">
        <f t="shared" si="786"/>
        <v>-</v>
      </c>
      <c r="DM416" s="1431" t="str">
        <f t="shared" si="787"/>
        <v>-</v>
      </c>
      <c r="DN416" s="1433" t="str">
        <f t="shared" si="788"/>
        <v>-</v>
      </c>
      <c r="DO416" s="1431" t="str">
        <f t="shared" si="789"/>
        <v>-</v>
      </c>
      <c r="DP416" s="1431" t="str">
        <f t="shared" si="790"/>
        <v>-</v>
      </c>
      <c r="DQ416" s="1431" t="str">
        <f t="shared" si="791"/>
        <v>-</v>
      </c>
      <c r="DR416" s="1434" t="str">
        <f t="shared" si="792"/>
        <v>-</v>
      </c>
    </row>
    <row r="417" spans="4:122">
      <c r="D417" s="70">
        <f>D414+1</f>
        <v>118</v>
      </c>
      <c r="E417" s="713" t="s">
        <v>44</v>
      </c>
      <c r="F417" s="1532" t="s">
        <v>27</v>
      </c>
      <c r="G417" s="1532"/>
      <c r="H417" s="1532"/>
      <c r="I417" s="781" t="s">
        <v>318</v>
      </c>
      <c r="J417" s="781" t="s">
        <v>345</v>
      </c>
      <c r="K417" s="1533"/>
      <c r="L417" s="1534"/>
      <c r="M417" s="1534"/>
      <c r="N417" s="1535"/>
      <c r="O417" s="2071"/>
      <c r="P417" s="1547"/>
      <c r="Q417" s="1547"/>
      <c r="R417" s="1547"/>
      <c r="S417" s="1547"/>
      <c r="T417" s="1547"/>
      <c r="U417" s="1547"/>
      <c r="V417" s="1547"/>
      <c r="W417" s="1547"/>
      <c r="X417" s="1548"/>
      <c r="Y417" s="1547"/>
      <c r="Z417" s="1547"/>
      <c r="AA417" s="1547"/>
      <c r="AB417" s="1547"/>
      <c r="AC417" s="1548"/>
      <c r="AD417" s="1547"/>
      <c r="AE417" s="1547"/>
      <c r="AF417" s="1547"/>
      <c r="AG417" s="785"/>
      <c r="AH417" s="697"/>
      <c r="AI417" s="707"/>
      <c r="AJ417" s="709">
        <f t="shared" si="796"/>
        <v>0</v>
      </c>
      <c r="AK417" s="710">
        <f t="shared" si="797"/>
        <v>0</v>
      </c>
      <c r="AL417" s="710">
        <f t="shared" si="798"/>
        <v>0</v>
      </c>
      <c r="AM417" s="710">
        <f t="shared" si="799"/>
        <v>0</v>
      </c>
      <c r="AN417" s="710">
        <f t="shared" si="800"/>
        <v>0</v>
      </c>
      <c r="AO417" s="711">
        <f t="shared" si="801"/>
        <v>0</v>
      </c>
      <c r="AP417" s="707">
        <f t="shared" si="802"/>
        <v>0</v>
      </c>
      <c r="AQ417" s="707">
        <f t="shared" si="803"/>
        <v>0</v>
      </c>
      <c r="AR417" s="707">
        <f t="shared" si="804"/>
        <v>0</v>
      </c>
      <c r="AS417" s="712">
        <f t="shared" si="805"/>
        <v>0</v>
      </c>
      <c r="AU417" s="1369"/>
      <c r="AV417" s="1559"/>
      <c r="AW417" s="1412" t="str">
        <f t="shared" si="753"/>
        <v>Price</v>
      </c>
      <c r="AX417" s="1413" t="str">
        <f t="shared" si="753"/>
        <v>[Service]</v>
      </c>
      <c r="AY417" s="1414" t="str">
        <f t="shared" si="754"/>
        <v>[Price]</v>
      </c>
      <c r="AZ417" s="1415" t="str">
        <f t="shared" si="823"/>
        <v>-</v>
      </c>
      <c r="BA417" s="1415" t="str">
        <f t="shared" si="823"/>
        <v>-</v>
      </c>
      <c r="BB417" s="1415" t="str">
        <f t="shared" si="823"/>
        <v>-</v>
      </c>
      <c r="BC417" s="1415" t="str">
        <f t="shared" si="756"/>
        <v>-</v>
      </c>
      <c r="BD417" s="1415" t="str">
        <f t="shared" si="757"/>
        <v>-</v>
      </c>
      <c r="BE417" s="1415" t="str">
        <f t="shared" si="758"/>
        <v>-</v>
      </c>
      <c r="BF417" s="1415" t="str">
        <f t="shared" si="759"/>
        <v>-</v>
      </c>
      <c r="BG417" s="1416" t="str">
        <f t="shared" si="760"/>
        <v>-</v>
      </c>
      <c r="BH417" s="1417" t="str">
        <f t="shared" si="761"/>
        <v>-</v>
      </c>
      <c r="BI417" s="1417" t="str">
        <f t="shared" si="762"/>
        <v>-</v>
      </c>
      <c r="BJ417" s="1417" t="str">
        <f t="shared" si="763"/>
        <v>-</v>
      </c>
      <c r="BK417" s="1417" t="str">
        <f t="shared" si="764"/>
        <v>-</v>
      </c>
      <c r="BL417" s="1418" t="str">
        <f t="shared" si="765"/>
        <v>-</v>
      </c>
      <c r="BM417" s="1417" t="str">
        <f t="shared" si="766"/>
        <v>-</v>
      </c>
      <c r="BN417" s="1417" t="str">
        <f t="shared" si="767"/>
        <v>-</v>
      </c>
      <c r="BO417" s="1417" t="str">
        <f t="shared" si="768"/>
        <v>-</v>
      </c>
      <c r="BP417" s="1417" t="str">
        <f t="shared" si="769"/>
        <v>-</v>
      </c>
      <c r="BQ417" s="1419" t="str">
        <f t="shared" si="770"/>
        <v>-</v>
      </c>
      <c r="BR417" s="1378"/>
      <c r="BS417" s="1420"/>
      <c r="BT417" s="1421"/>
      <c r="BU417" s="1422"/>
      <c r="BV417" s="1423"/>
      <c r="BW417" s="1378"/>
      <c r="BX417" s="1412" t="str">
        <f t="shared" si="771"/>
        <v>Price</v>
      </c>
      <c r="BY417" s="1413" t="str">
        <f t="shared" si="772"/>
        <v>[Service]</v>
      </c>
      <c r="BZ417" s="1414" t="str">
        <f t="shared" si="773"/>
        <v>[Price]</v>
      </c>
      <c r="CA417" s="1424" t="str">
        <f t="shared" ref="CA417:CR417" si="844">IFERROR((P417/O417-1)*(O419/O$13),"-")</f>
        <v>-</v>
      </c>
      <c r="CB417" s="1415" t="str">
        <f t="shared" si="844"/>
        <v>-</v>
      </c>
      <c r="CC417" s="1415" t="str">
        <f t="shared" si="844"/>
        <v>-</v>
      </c>
      <c r="CD417" s="1415" t="str">
        <f t="shared" si="844"/>
        <v>-</v>
      </c>
      <c r="CE417" s="1415" t="str">
        <f t="shared" si="844"/>
        <v>-</v>
      </c>
      <c r="CF417" s="1415" t="str">
        <f t="shared" si="844"/>
        <v>-</v>
      </c>
      <c r="CG417" s="1415" t="str">
        <f t="shared" si="844"/>
        <v>-</v>
      </c>
      <c r="CH417" s="1425" t="str">
        <f t="shared" si="844"/>
        <v>-</v>
      </c>
      <c r="CI417" s="1417" t="str">
        <f t="shared" si="844"/>
        <v>-</v>
      </c>
      <c r="CJ417" s="1417" t="str">
        <f t="shared" si="844"/>
        <v>-</v>
      </c>
      <c r="CK417" s="1417" t="str">
        <f t="shared" si="844"/>
        <v>-</v>
      </c>
      <c r="CL417" s="1417" t="str">
        <f t="shared" si="844"/>
        <v>-</v>
      </c>
      <c r="CM417" s="1418" t="str">
        <f t="shared" si="844"/>
        <v>-</v>
      </c>
      <c r="CN417" s="1417" t="str">
        <f t="shared" si="844"/>
        <v>-</v>
      </c>
      <c r="CO417" s="1417" t="str">
        <f t="shared" si="844"/>
        <v>-</v>
      </c>
      <c r="CP417" s="1417" t="str">
        <f t="shared" si="844"/>
        <v>-</v>
      </c>
      <c r="CQ417" s="1417" t="str">
        <f t="shared" si="844"/>
        <v>-</v>
      </c>
      <c r="CR417" s="1419" t="str">
        <f t="shared" si="844"/>
        <v>-</v>
      </c>
      <c r="CS417" s="1378"/>
      <c r="CT417" s="1412" t="str">
        <f t="shared" si="749"/>
        <v>Price</v>
      </c>
      <c r="CU417" s="1413" t="str">
        <f t="shared" si="750"/>
        <v>[Service]</v>
      </c>
      <c r="CV417" s="1426" t="str">
        <f t="shared" si="751"/>
        <v>[Price]</v>
      </c>
      <c r="CW417" s="1427" t="str">
        <f t="shared" si="775"/>
        <v>-</v>
      </c>
      <c r="CX417" s="1417" t="str">
        <f t="shared" si="776"/>
        <v>-</v>
      </c>
      <c r="CY417" s="1417" t="str">
        <f t="shared" si="777"/>
        <v>-</v>
      </c>
      <c r="CZ417" s="1419" t="str">
        <f t="shared" si="778"/>
        <v>-</v>
      </c>
      <c r="DA417" s="1417" t="str">
        <f t="shared" si="779"/>
        <v>-</v>
      </c>
      <c r="DB417" s="1417" t="str">
        <f t="shared" si="780"/>
        <v>-</v>
      </c>
      <c r="DC417" s="1417" t="str">
        <f t="shared" si="781"/>
        <v>-</v>
      </c>
      <c r="DD417" s="1417" t="str">
        <f t="shared" si="782"/>
        <v>-</v>
      </c>
      <c r="DE417" s="1419" t="str">
        <f t="shared" si="783"/>
        <v>-</v>
      </c>
      <c r="DF417" s="1378"/>
      <c r="DG417" s="1412" t="str">
        <f t="shared" si="784"/>
        <v>Price</v>
      </c>
      <c r="DH417" s="1413" t="str">
        <f t="shared" si="784"/>
        <v>[Service]</v>
      </c>
      <c r="DI417" s="1426" t="str">
        <f t="shared" si="784"/>
        <v>[Price]</v>
      </c>
      <c r="DJ417" s="1426"/>
      <c r="DK417" s="1427" t="str">
        <f t="shared" si="785"/>
        <v>-</v>
      </c>
      <c r="DL417" s="1417" t="str">
        <f t="shared" si="786"/>
        <v>-</v>
      </c>
      <c r="DM417" s="1417" t="str">
        <f t="shared" si="787"/>
        <v>-</v>
      </c>
      <c r="DN417" s="1418" t="str">
        <f t="shared" si="788"/>
        <v>-</v>
      </c>
      <c r="DO417" s="1417" t="str">
        <f t="shared" si="789"/>
        <v>-</v>
      </c>
      <c r="DP417" s="1417" t="str">
        <f t="shared" si="790"/>
        <v>-</v>
      </c>
      <c r="DQ417" s="1417" t="str">
        <f t="shared" si="791"/>
        <v>-</v>
      </c>
      <c r="DR417" s="1419" t="str">
        <f t="shared" si="792"/>
        <v>-</v>
      </c>
    </row>
    <row r="418" spans="4:122">
      <c r="E418" s="742" t="s">
        <v>45</v>
      </c>
      <c r="F418" s="722" t="str">
        <f>+F417</f>
        <v>[Service]</v>
      </c>
      <c r="G418" s="723">
        <f>+G417</f>
        <v>0</v>
      </c>
      <c r="H418" s="723">
        <f>+H417</f>
        <v>0</v>
      </c>
      <c r="I418" s="724" t="str">
        <f>+I417</f>
        <v>[Price]</v>
      </c>
      <c r="J418" s="782" t="s">
        <v>322</v>
      </c>
      <c r="K418" s="1540"/>
      <c r="L418" s="1541"/>
      <c r="M418" s="1541"/>
      <c r="N418" s="1542"/>
      <c r="O418" s="2031"/>
      <c r="P418" s="1543"/>
      <c r="Q418" s="1543"/>
      <c r="R418" s="1543"/>
      <c r="S418" s="1543"/>
      <c r="T418" s="1543"/>
      <c r="U418" s="1543"/>
      <c r="V418" s="1543"/>
      <c r="W418" s="1543"/>
      <c r="X418" s="1544"/>
      <c r="Y418" s="1543"/>
      <c r="Z418" s="1543"/>
      <c r="AA418" s="1543"/>
      <c r="AB418" s="1543"/>
      <c r="AC418" s="1544"/>
      <c r="AD418" s="1543"/>
      <c r="AE418" s="1543"/>
      <c r="AF418" s="1543"/>
      <c r="AG418" s="788"/>
      <c r="AH418" s="697"/>
      <c r="AI418" s="707"/>
      <c r="AJ418" s="709">
        <f t="shared" si="796"/>
        <v>0</v>
      </c>
      <c r="AK418" s="710">
        <f t="shared" si="797"/>
        <v>0</v>
      </c>
      <c r="AL418" s="710">
        <f t="shared" si="798"/>
        <v>0</v>
      </c>
      <c r="AM418" s="710">
        <f t="shared" si="799"/>
        <v>0</v>
      </c>
      <c r="AN418" s="710">
        <f t="shared" si="800"/>
        <v>0</v>
      </c>
      <c r="AO418" s="711">
        <f t="shared" si="801"/>
        <v>0</v>
      </c>
      <c r="AP418" s="707">
        <f t="shared" si="802"/>
        <v>0</v>
      </c>
      <c r="AQ418" s="707">
        <f t="shared" si="803"/>
        <v>0</v>
      </c>
      <c r="AR418" s="707">
        <f t="shared" si="804"/>
        <v>0</v>
      </c>
      <c r="AS418" s="712">
        <f t="shared" si="805"/>
        <v>0</v>
      </c>
      <c r="AV418" s="1559"/>
      <c r="AW418" s="1392" t="str">
        <f t="shared" si="753"/>
        <v>Qty</v>
      </c>
      <c r="AX418" s="1393" t="str">
        <f t="shared" si="753"/>
        <v>[Service]</v>
      </c>
      <c r="AY418" s="1394" t="str">
        <f t="shared" si="754"/>
        <v>[Price]</v>
      </c>
      <c r="AZ418" s="1395" t="str">
        <f t="shared" ref="AZ418:BB433" si="845">IFERROR(P418/O418-1,"-")</f>
        <v>-</v>
      </c>
      <c r="BA418" s="1395" t="str">
        <f t="shared" si="845"/>
        <v>-</v>
      </c>
      <c r="BB418" s="1395" t="str">
        <f t="shared" si="845"/>
        <v>-</v>
      </c>
      <c r="BC418" s="1395" t="str">
        <f t="shared" si="756"/>
        <v>-</v>
      </c>
      <c r="BD418" s="1395" t="str">
        <f t="shared" si="757"/>
        <v>-</v>
      </c>
      <c r="BE418" s="1395" t="str">
        <f t="shared" si="758"/>
        <v>-</v>
      </c>
      <c r="BF418" s="1395" t="str">
        <f t="shared" si="759"/>
        <v>-</v>
      </c>
      <c r="BG418" s="1396" t="str">
        <f t="shared" si="760"/>
        <v>-</v>
      </c>
      <c r="BH418" s="1395" t="str">
        <f t="shared" si="761"/>
        <v>-</v>
      </c>
      <c r="BI418" s="1395" t="str">
        <f t="shared" si="762"/>
        <v>-</v>
      </c>
      <c r="BJ418" s="1395" t="str">
        <f t="shared" si="763"/>
        <v>-</v>
      </c>
      <c r="BK418" s="1395" t="str">
        <f t="shared" si="764"/>
        <v>-</v>
      </c>
      <c r="BL418" s="1397" t="str">
        <f t="shared" si="765"/>
        <v>-</v>
      </c>
      <c r="BM418" s="1395" t="str">
        <f t="shared" si="766"/>
        <v>-</v>
      </c>
      <c r="BN418" s="1395" t="str">
        <f t="shared" si="767"/>
        <v>-</v>
      </c>
      <c r="BO418" s="1395" t="str">
        <f t="shared" si="768"/>
        <v>-</v>
      </c>
      <c r="BP418" s="1395" t="str">
        <f t="shared" si="769"/>
        <v>-</v>
      </c>
      <c r="BQ418" s="1398" t="str">
        <f t="shared" si="770"/>
        <v>-</v>
      </c>
      <c r="BR418" s="1378"/>
      <c r="BS418" s="1329"/>
      <c r="BT418" s="1399"/>
      <c r="BU418" s="1331"/>
      <c r="BV418" s="1400"/>
      <c r="BW418" s="1378"/>
      <c r="BX418" s="1392" t="str">
        <f t="shared" si="771"/>
        <v>Qty</v>
      </c>
      <c r="BY418" s="1393" t="str">
        <f t="shared" si="772"/>
        <v>[Service]</v>
      </c>
      <c r="BZ418" s="1394" t="str">
        <f t="shared" si="773"/>
        <v>[Price]</v>
      </c>
      <c r="CA418" s="1401" t="str">
        <f t="shared" ref="CA418:CR418" si="846">IFERROR((P418/O418-1)*(O419/O$13),"-")</f>
        <v>-</v>
      </c>
      <c r="CB418" s="1395" t="str">
        <f t="shared" si="846"/>
        <v>-</v>
      </c>
      <c r="CC418" s="1395" t="str">
        <f t="shared" si="846"/>
        <v>-</v>
      </c>
      <c r="CD418" s="1395" t="str">
        <f t="shared" si="846"/>
        <v>-</v>
      </c>
      <c r="CE418" s="1395" t="str">
        <f t="shared" si="846"/>
        <v>-</v>
      </c>
      <c r="CF418" s="1395" t="str">
        <f t="shared" si="846"/>
        <v>-</v>
      </c>
      <c r="CG418" s="1395" t="str">
        <f t="shared" si="846"/>
        <v>-</v>
      </c>
      <c r="CH418" s="1397" t="str">
        <f t="shared" si="846"/>
        <v>-</v>
      </c>
      <c r="CI418" s="1395" t="str">
        <f t="shared" si="846"/>
        <v>-</v>
      </c>
      <c r="CJ418" s="1395" t="str">
        <f t="shared" si="846"/>
        <v>-</v>
      </c>
      <c r="CK418" s="1395" t="str">
        <f t="shared" si="846"/>
        <v>-</v>
      </c>
      <c r="CL418" s="1395" t="str">
        <f t="shared" si="846"/>
        <v>-</v>
      </c>
      <c r="CM418" s="1397" t="str">
        <f t="shared" si="846"/>
        <v>-</v>
      </c>
      <c r="CN418" s="1395" t="str">
        <f t="shared" si="846"/>
        <v>-</v>
      </c>
      <c r="CO418" s="1395" t="str">
        <f t="shared" si="846"/>
        <v>-</v>
      </c>
      <c r="CP418" s="1395" t="str">
        <f t="shared" si="846"/>
        <v>-</v>
      </c>
      <c r="CQ418" s="1395" t="str">
        <f t="shared" si="846"/>
        <v>-</v>
      </c>
      <c r="CR418" s="1398" t="str">
        <f t="shared" si="846"/>
        <v>-</v>
      </c>
      <c r="CS418" s="1378"/>
      <c r="CT418" s="1392" t="str">
        <f t="shared" si="749"/>
        <v>Qty</v>
      </c>
      <c r="CU418" s="1393" t="str">
        <f t="shared" si="750"/>
        <v>[Service]</v>
      </c>
      <c r="CV418" s="1393" t="str">
        <f t="shared" si="751"/>
        <v>[Price]</v>
      </c>
      <c r="CW418" s="1401" t="str">
        <f t="shared" si="775"/>
        <v>-</v>
      </c>
      <c r="CX418" s="1395" t="str">
        <f t="shared" si="776"/>
        <v>-</v>
      </c>
      <c r="CY418" s="1395" t="str">
        <f t="shared" si="777"/>
        <v>-</v>
      </c>
      <c r="CZ418" s="1398" t="str">
        <f t="shared" si="778"/>
        <v>-</v>
      </c>
      <c r="DA418" s="1395" t="str">
        <f t="shared" si="779"/>
        <v>-</v>
      </c>
      <c r="DB418" s="1395" t="str">
        <f t="shared" si="780"/>
        <v>-</v>
      </c>
      <c r="DC418" s="1395" t="str">
        <f t="shared" si="781"/>
        <v>-</v>
      </c>
      <c r="DD418" s="1395" t="str">
        <f t="shared" si="782"/>
        <v>-</v>
      </c>
      <c r="DE418" s="1398" t="str">
        <f t="shared" si="783"/>
        <v>-</v>
      </c>
      <c r="DF418" s="1378"/>
      <c r="DG418" s="1392" t="str">
        <f t="shared" si="784"/>
        <v>Qty</v>
      </c>
      <c r="DH418" s="1393" t="str">
        <f t="shared" si="784"/>
        <v>[Service]</v>
      </c>
      <c r="DI418" s="1393" t="str">
        <f t="shared" si="784"/>
        <v>[Price]</v>
      </c>
      <c r="DJ418" s="1393"/>
      <c r="DK418" s="1401" t="str">
        <f t="shared" si="785"/>
        <v>-</v>
      </c>
      <c r="DL418" s="1395" t="str">
        <f t="shared" si="786"/>
        <v>-</v>
      </c>
      <c r="DM418" s="1395" t="str">
        <f t="shared" si="787"/>
        <v>-</v>
      </c>
      <c r="DN418" s="1397" t="str">
        <f t="shared" si="788"/>
        <v>-</v>
      </c>
      <c r="DO418" s="1395" t="str">
        <f t="shared" si="789"/>
        <v>-</v>
      </c>
      <c r="DP418" s="1395" t="str">
        <f t="shared" si="790"/>
        <v>-</v>
      </c>
      <c r="DQ418" s="1395" t="str">
        <f t="shared" si="791"/>
        <v>-</v>
      </c>
      <c r="DR418" s="1398" t="str">
        <f t="shared" si="792"/>
        <v>-</v>
      </c>
    </row>
    <row r="419" spans="4:122" ht="12.75" thickBot="1">
      <c r="E419" s="743" t="s">
        <v>46</v>
      </c>
      <c r="F419" s="732" t="str">
        <f>+F417</f>
        <v>[Service]</v>
      </c>
      <c r="G419" s="733">
        <f>+G417</f>
        <v>0</v>
      </c>
      <c r="H419" s="733">
        <f>+H417</f>
        <v>0</v>
      </c>
      <c r="I419" s="734" t="str">
        <f>+I417</f>
        <v>[Price]</v>
      </c>
      <c r="J419" s="735" t="s">
        <v>344</v>
      </c>
      <c r="K419" s="736">
        <f t="shared" ref="K419:AG419" si="847">K417*K418/10^6</f>
        <v>0</v>
      </c>
      <c r="L419" s="737">
        <f t="shared" si="847"/>
        <v>0</v>
      </c>
      <c r="M419" s="737">
        <f t="shared" si="847"/>
        <v>0</v>
      </c>
      <c r="N419" s="738">
        <f t="shared" si="847"/>
        <v>0</v>
      </c>
      <c r="O419" s="1923">
        <f t="shared" si="847"/>
        <v>0</v>
      </c>
      <c r="P419" s="737">
        <f t="shared" si="847"/>
        <v>0</v>
      </c>
      <c r="Q419" s="737">
        <f t="shared" si="847"/>
        <v>0</v>
      </c>
      <c r="R419" s="737">
        <f t="shared" si="847"/>
        <v>0</v>
      </c>
      <c r="S419" s="737">
        <f t="shared" si="847"/>
        <v>0</v>
      </c>
      <c r="T419" s="737">
        <f t="shared" si="847"/>
        <v>0</v>
      </c>
      <c r="U419" s="737">
        <f t="shared" si="847"/>
        <v>0</v>
      </c>
      <c r="V419" s="737">
        <f t="shared" si="847"/>
        <v>0</v>
      </c>
      <c r="W419" s="737">
        <f t="shared" si="847"/>
        <v>0</v>
      </c>
      <c r="X419" s="738">
        <f t="shared" si="847"/>
        <v>0</v>
      </c>
      <c r="Y419" s="737">
        <f t="shared" si="847"/>
        <v>0</v>
      </c>
      <c r="Z419" s="737">
        <f t="shared" si="847"/>
        <v>0</v>
      </c>
      <c r="AA419" s="737">
        <f t="shared" si="847"/>
        <v>0</v>
      </c>
      <c r="AB419" s="737">
        <f t="shared" si="847"/>
        <v>0</v>
      </c>
      <c r="AC419" s="738">
        <f t="shared" si="847"/>
        <v>0</v>
      </c>
      <c r="AD419" s="737">
        <f t="shared" si="847"/>
        <v>0</v>
      </c>
      <c r="AE419" s="737">
        <f t="shared" si="847"/>
        <v>0</v>
      </c>
      <c r="AF419" s="737">
        <f t="shared" si="847"/>
        <v>0</v>
      </c>
      <c r="AG419" s="739">
        <f t="shared" si="847"/>
        <v>0</v>
      </c>
      <c r="AH419" s="697"/>
      <c r="AI419" s="707"/>
      <c r="AJ419" s="709">
        <f t="shared" si="796"/>
        <v>0</v>
      </c>
      <c r="AK419" s="710">
        <f t="shared" si="797"/>
        <v>0</v>
      </c>
      <c r="AL419" s="710">
        <f t="shared" si="798"/>
        <v>0</v>
      </c>
      <c r="AM419" s="710">
        <f t="shared" si="799"/>
        <v>0</v>
      </c>
      <c r="AN419" s="710">
        <f t="shared" si="800"/>
        <v>0</v>
      </c>
      <c r="AO419" s="711">
        <f t="shared" si="801"/>
        <v>0</v>
      </c>
      <c r="AP419" s="707">
        <f t="shared" si="802"/>
        <v>0</v>
      </c>
      <c r="AQ419" s="707">
        <f t="shared" si="803"/>
        <v>0</v>
      </c>
      <c r="AR419" s="707">
        <f t="shared" si="804"/>
        <v>0</v>
      </c>
      <c r="AS419" s="712">
        <f t="shared" si="805"/>
        <v>0</v>
      </c>
      <c r="AV419" s="1559"/>
      <c r="AW419" s="1428" t="str">
        <f t="shared" si="753"/>
        <v>Rev</v>
      </c>
      <c r="AX419" s="1429" t="str">
        <f t="shared" si="753"/>
        <v>[Service]</v>
      </c>
      <c r="AY419" s="1430" t="str">
        <f t="shared" si="754"/>
        <v>[Price]</v>
      </c>
      <c r="AZ419" s="1431" t="str">
        <f t="shared" si="845"/>
        <v>-</v>
      </c>
      <c r="BA419" s="1431" t="str">
        <f t="shared" si="845"/>
        <v>-</v>
      </c>
      <c r="BB419" s="1431" t="str">
        <f t="shared" si="845"/>
        <v>-</v>
      </c>
      <c r="BC419" s="1431" t="str">
        <f t="shared" si="756"/>
        <v>-</v>
      </c>
      <c r="BD419" s="1431" t="str">
        <f t="shared" si="757"/>
        <v>-</v>
      </c>
      <c r="BE419" s="1431" t="str">
        <f t="shared" si="758"/>
        <v>-</v>
      </c>
      <c r="BF419" s="1431" t="str">
        <f t="shared" si="759"/>
        <v>-</v>
      </c>
      <c r="BG419" s="1432" t="str">
        <f t="shared" si="760"/>
        <v>-</v>
      </c>
      <c r="BH419" s="1431" t="str">
        <f t="shared" si="761"/>
        <v>-</v>
      </c>
      <c r="BI419" s="1431" t="str">
        <f t="shared" si="762"/>
        <v>-</v>
      </c>
      <c r="BJ419" s="1431" t="str">
        <f t="shared" si="763"/>
        <v>-</v>
      </c>
      <c r="BK419" s="1431" t="str">
        <f t="shared" si="764"/>
        <v>-</v>
      </c>
      <c r="BL419" s="1433" t="str">
        <f t="shared" si="765"/>
        <v>-</v>
      </c>
      <c r="BM419" s="1431" t="str">
        <f t="shared" si="766"/>
        <v>-</v>
      </c>
      <c r="BN419" s="1431" t="str">
        <f t="shared" si="767"/>
        <v>-</v>
      </c>
      <c r="BO419" s="1431" t="str">
        <f t="shared" si="768"/>
        <v>-</v>
      </c>
      <c r="BP419" s="1431" t="str">
        <f t="shared" si="769"/>
        <v>-</v>
      </c>
      <c r="BQ419" s="1434" t="str">
        <f t="shared" si="770"/>
        <v>-</v>
      </c>
      <c r="BR419" s="1378"/>
      <c r="BS419" s="1407"/>
      <c r="BT419" s="1408"/>
      <c r="BU419" s="1409"/>
      <c r="BV419" s="1410"/>
      <c r="BW419" s="1378"/>
      <c r="BX419" s="1428" t="str">
        <f t="shared" si="771"/>
        <v>Rev</v>
      </c>
      <c r="BY419" s="1429" t="str">
        <f t="shared" si="772"/>
        <v>[Service]</v>
      </c>
      <c r="BZ419" s="1430" t="str">
        <f t="shared" si="773"/>
        <v>[Price]</v>
      </c>
      <c r="CA419" s="1435" t="str">
        <f t="shared" ref="CA419:CR419" si="848">IFERROR((P419/O419-1)*(O419/O$13),"-")</f>
        <v>-</v>
      </c>
      <c r="CB419" s="1431" t="str">
        <f t="shared" si="848"/>
        <v>-</v>
      </c>
      <c r="CC419" s="1431" t="str">
        <f t="shared" si="848"/>
        <v>-</v>
      </c>
      <c r="CD419" s="1431" t="str">
        <f t="shared" si="848"/>
        <v>-</v>
      </c>
      <c r="CE419" s="1431" t="str">
        <f t="shared" si="848"/>
        <v>-</v>
      </c>
      <c r="CF419" s="1431" t="str">
        <f t="shared" si="848"/>
        <v>-</v>
      </c>
      <c r="CG419" s="1431" t="str">
        <f t="shared" si="848"/>
        <v>-</v>
      </c>
      <c r="CH419" s="1433" t="str">
        <f t="shared" si="848"/>
        <v>-</v>
      </c>
      <c r="CI419" s="1431" t="str">
        <f t="shared" si="848"/>
        <v>-</v>
      </c>
      <c r="CJ419" s="1431" t="str">
        <f t="shared" si="848"/>
        <v>-</v>
      </c>
      <c r="CK419" s="1431" t="str">
        <f t="shared" si="848"/>
        <v>-</v>
      </c>
      <c r="CL419" s="1431" t="str">
        <f t="shared" si="848"/>
        <v>-</v>
      </c>
      <c r="CM419" s="1433" t="str">
        <f t="shared" si="848"/>
        <v>-</v>
      </c>
      <c r="CN419" s="1431" t="str">
        <f t="shared" si="848"/>
        <v>-</v>
      </c>
      <c r="CO419" s="1431" t="str">
        <f t="shared" si="848"/>
        <v>-</v>
      </c>
      <c r="CP419" s="1431" t="str">
        <f t="shared" si="848"/>
        <v>-</v>
      </c>
      <c r="CQ419" s="1431" t="str">
        <f t="shared" si="848"/>
        <v>-</v>
      </c>
      <c r="CR419" s="1434" t="str">
        <f t="shared" si="848"/>
        <v>-</v>
      </c>
      <c r="CS419" s="1378"/>
      <c r="CT419" s="1428" t="str">
        <f t="shared" si="749"/>
        <v>Rev</v>
      </c>
      <c r="CU419" s="1429" t="str">
        <f t="shared" si="750"/>
        <v>[Service]</v>
      </c>
      <c r="CV419" s="1429" t="str">
        <f t="shared" si="751"/>
        <v>[Price]</v>
      </c>
      <c r="CW419" s="1435" t="str">
        <f t="shared" si="775"/>
        <v>-</v>
      </c>
      <c r="CX419" s="1431" t="str">
        <f t="shared" si="776"/>
        <v>-</v>
      </c>
      <c r="CY419" s="1431" t="str">
        <f t="shared" si="777"/>
        <v>-</v>
      </c>
      <c r="CZ419" s="1434" t="str">
        <f t="shared" si="778"/>
        <v>-</v>
      </c>
      <c r="DA419" s="1431" t="str">
        <f t="shared" si="779"/>
        <v>-</v>
      </c>
      <c r="DB419" s="1431" t="str">
        <f t="shared" si="780"/>
        <v>-</v>
      </c>
      <c r="DC419" s="1431" t="str">
        <f t="shared" si="781"/>
        <v>-</v>
      </c>
      <c r="DD419" s="1431" t="str">
        <f t="shared" si="782"/>
        <v>-</v>
      </c>
      <c r="DE419" s="1434" t="str">
        <f t="shared" si="783"/>
        <v>-</v>
      </c>
      <c r="DF419" s="1378"/>
      <c r="DG419" s="1428" t="str">
        <f t="shared" si="784"/>
        <v>Rev</v>
      </c>
      <c r="DH419" s="1429" t="str">
        <f t="shared" si="784"/>
        <v>[Service]</v>
      </c>
      <c r="DI419" s="1429" t="str">
        <f t="shared" si="784"/>
        <v>[Price]</v>
      </c>
      <c r="DJ419" s="1429"/>
      <c r="DK419" s="1435" t="str">
        <f t="shared" si="785"/>
        <v>-</v>
      </c>
      <c r="DL419" s="1431" t="str">
        <f t="shared" si="786"/>
        <v>-</v>
      </c>
      <c r="DM419" s="1431" t="str">
        <f t="shared" si="787"/>
        <v>-</v>
      </c>
      <c r="DN419" s="1433" t="str">
        <f t="shared" si="788"/>
        <v>-</v>
      </c>
      <c r="DO419" s="1431" t="str">
        <f t="shared" si="789"/>
        <v>-</v>
      </c>
      <c r="DP419" s="1431" t="str">
        <f t="shared" si="790"/>
        <v>-</v>
      </c>
      <c r="DQ419" s="1431" t="str">
        <f t="shared" si="791"/>
        <v>-</v>
      </c>
      <c r="DR419" s="1434" t="str">
        <f t="shared" si="792"/>
        <v>-</v>
      </c>
    </row>
    <row r="420" spans="4:122">
      <c r="D420" s="70">
        <f>D417+1</f>
        <v>119</v>
      </c>
      <c r="E420" s="713" t="s">
        <v>44</v>
      </c>
      <c r="F420" s="1532" t="s">
        <v>27</v>
      </c>
      <c r="G420" s="1532"/>
      <c r="H420" s="1532"/>
      <c r="I420" s="781" t="s">
        <v>318</v>
      </c>
      <c r="J420" s="781" t="s">
        <v>345</v>
      </c>
      <c r="K420" s="1533"/>
      <c r="L420" s="1534"/>
      <c r="M420" s="1534"/>
      <c r="N420" s="1535"/>
      <c r="O420" s="2071"/>
      <c r="P420" s="1547"/>
      <c r="Q420" s="1547"/>
      <c r="R420" s="1547"/>
      <c r="S420" s="1547"/>
      <c r="T420" s="1547"/>
      <c r="U420" s="1547"/>
      <c r="V420" s="1547"/>
      <c r="W420" s="1547"/>
      <c r="X420" s="1548"/>
      <c r="Y420" s="1547"/>
      <c r="Z420" s="1547"/>
      <c r="AA420" s="1547"/>
      <c r="AB420" s="1547"/>
      <c r="AC420" s="1548"/>
      <c r="AD420" s="1547"/>
      <c r="AE420" s="1547"/>
      <c r="AF420" s="1547"/>
      <c r="AG420" s="785"/>
      <c r="AH420" s="697"/>
      <c r="AI420" s="707"/>
      <c r="AJ420" s="709">
        <f t="shared" si="796"/>
        <v>0</v>
      </c>
      <c r="AK420" s="710">
        <f t="shared" si="797"/>
        <v>0</v>
      </c>
      <c r="AL420" s="710">
        <f t="shared" si="798"/>
        <v>0</v>
      </c>
      <c r="AM420" s="710">
        <f t="shared" si="799"/>
        <v>0</v>
      </c>
      <c r="AN420" s="710">
        <f t="shared" si="800"/>
        <v>0</v>
      </c>
      <c r="AO420" s="711">
        <f t="shared" si="801"/>
        <v>0</v>
      </c>
      <c r="AP420" s="707">
        <f t="shared" si="802"/>
        <v>0</v>
      </c>
      <c r="AQ420" s="707">
        <f t="shared" si="803"/>
        <v>0</v>
      </c>
      <c r="AR420" s="707">
        <f t="shared" si="804"/>
        <v>0</v>
      </c>
      <c r="AS420" s="712">
        <f t="shared" si="805"/>
        <v>0</v>
      </c>
      <c r="AU420" s="1369"/>
      <c r="AV420" s="1559"/>
      <c r="AW420" s="1412" t="str">
        <f t="shared" si="753"/>
        <v>Price</v>
      </c>
      <c r="AX420" s="1413" t="str">
        <f t="shared" si="753"/>
        <v>[Service]</v>
      </c>
      <c r="AY420" s="1414" t="str">
        <f t="shared" si="754"/>
        <v>[Price]</v>
      </c>
      <c r="AZ420" s="1415" t="str">
        <f t="shared" si="845"/>
        <v>-</v>
      </c>
      <c r="BA420" s="1415" t="str">
        <f t="shared" si="845"/>
        <v>-</v>
      </c>
      <c r="BB420" s="1415" t="str">
        <f t="shared" si="845"/>
        <v>-</v>
      </c>
      <c r="BC420" s="1415" t="str">
        <f t="shared" si="756"/>
        <v>-</v>
      </c>
      <c r="BD420" s="1415" t="str">
        <f t="shared" si="757"/>
        <v>-</v>
      </c>
      <c r="BE420" s="1415" t="str">
        <f t="shared" si="758"/>
        <v>-</v>
      </c>
      <c r="BF420" s="1415" t="str">
        <f t="shared" si="759"/>
        <v>-</v>
      </c>
      <c r="BG420" s="1416" t="str">
        <f t="shared" si="760"/>
        <v>-</v>
      </c>
      <c r="BH420" s="1417" t="str">
        <f t="shared" si="761"/>
        <v>-</v>
      </c>
      <c r="BI420" s="1417" t="str">
        <f t="shared" si="762"/>
        <v>-</v>
      </c>
      <c r="BJ420" s="1417" t="str">
        <f t="shared" si="763"/>
        <v>-</v>
      </c>
      <c r="BK420" s="1417" t="str">
        <f t="shared" si="764"/>
        <v>-</v>
      </c>
      <c r="BL420" s="1418" t="str">
        <f t="shared" si="765"/>
        <v>-</v>
      </c>
      <c r="BM420" s="1417" t="str">
        <f t="shared" si="766"/>
        <v>-</v>
      </c>
      <c r="BN420" s="1417" t="str">
        <f t="shared" si="767"/>
        <v>-</v>
      </c>
      <c r="BO420" s="1417" t="str">
        <f t="shared" si="768"/>
        <v>-</v>
      </c>
      <c r="BP420" s="1417" t="str">
        <f t="shared" si="769"/>
        <v>-</v>
      </c>
      <c r="BQ420" s="1419" t="str">
        <f t="shared" si="770"/>
        <v>-</v>
      </c>
      <c r="BR420" s="1378"/>
      <c r="BS420" s="1420"/>
      <c r="BT420" s="1421"/>
      <c r="BU420" s="1422"/>
      <c r="BV420" s="1423"/>
      <c r="BW420" s="1378"/>
      <c r="BX420" s="1412" t="str">
        <f t="shared" si="771"/>
        <v>Price</v>
      </c>
      <c r="BY420" s="1413" t="str">
        <f t="shared" si="772"/>
        <v>[Service]</v>
      </c>
      <c r="BZ420" s="1414" t="str">
        <f t="shared" si="773"/>
        <v>[Price]</v>
      </c>
      <c r="CA420" s="1424" t="str">
        <f t="shared" ref="CA420:CR420" si="849">IFERROR((P420/O420-1)*(O422/O$13),"-")</f>
        <v>-</v>
      </c>
      <c r="CB420" s="1415" t="str">
        <f t="shared" si="849"/>
        <v>-</v>
      </c>
      <c r="CC420" s="1415" t="str">
        <f t="shared" si="849"/>
        <v>-</v>
      </c>
      <c r="CD420" s="1415" t="str">
        <f t="shared" si="849"/>
        <v>-</v>
      </c>
      <c r="CE420" s="1415" t="str">
        <f t="shared" si="849"/>
        <v>-</v>
      </c>
      <c r="CF420" s="1415" t="str">
        <f t="shared" si="849"/>
        <v>-</v>
      </c>
      <c r="CG420" s="1415" t="str">
        <f t="shared" si="849"/>
        <v>-</v>
      </c>
      <c r="CH420" s="1425" t="str">
        <f t="shared" si="849"/>
        <v>-</v>
      </c>
      <c r="CI420" s="1417" t="str">
        <f t="shared" si="849"/>
        <v>-</v>
      </c>
      <c r="CJ420" s="1417" t="str">
        <f t="shared" si="849"/>
        <v>-</v>
      </c>
      <c r="CK420" s="1417" t="str">
        <f t="shared" si="849"/>
        <v>-</v>
      </c>
      <c r="CL420" s="1417" t="str">
        <f t="shared" si="849"/>
        <v>-</v>
      </c>
      <c r="CM420" s="1418" t="str">
        <f t="shared" si="849"/>
        <v>-</v>
      </c>
      <c r="CN420" s="1417" t="str">
        <f t="shared" si="849"/>
        <v>-</v>
      </c>
      <c r="CO420" s="1417" t="str">
        <f t="shared" si="849"/>
        <v>-</v>
      </c>
      <c r="CP420" s="1417" t="str">
        <f t="shared" si="849"/>
        <v>-</v>
      </c>
      <c r="CQ420" s="1417" t="str">
        <f t="shared" si="849"/>
        <v>-</v>
      </c>
      <c r="CR420" s="1419" t="str">
        <f t="shared" si="849"/>
        <v>-</v>
      </c>
      <c r="CS420" s="1378"/>
      <c r="CT420" s="1412" t="str">
        <f t="shared" si="749"/>
        <v>Price</v>
      </c>
      <c r="CU420" s="1413" t="str">
        <f t="shared" si="750"/>
        <v>[Service]</v>
      </c>
      <c r="CV420" s="1426" t="str">
        <f t="shared" si="751"/>
        <v>[Price]</v>
      </c>
      <c r="CW420" s="1427" t="str">
        <f t="shared" si="775"/>
        <v>-</v>
      </c>
      <c r="CX420" s="1417" t="str">
        <f t="shared" si="776"/>
        <v>-</v>
      </c>
      <c r="CY420" s="1417" t="str">
        <f t="shared" si="777"/>
        <v>-</v>
      </c>
      <c r="CZ420" s="1419" t="str">
        <f t="shared" si="778"/>
        <v>-</v>
      </c>
      <c r="DA420" s="1417" t="str">
        <f t="shared" si="779"/>
        <v>-</v>
      </c>
      <c r="DB420" s="1417" t="str">
        <f t="shared" si="780"/>
        <v>-</v>
      </c>
      <c r="DC420" s="1417" t="str">
        <f t="shared" si="781"/>
        <v>-</v>
      </c>
      <c r="DD420" s="1417" t="str">
        <f t="shared" si="782"/>
        <v>-</v>
      </c>
      <c r="DE420" s="1419" t="str">
        <f t="shared" si="783"/>
        <v>-</v>
      </c>
      <c r="DF420" s="1378"/>
      <c r="DG420" s="1412" t="str">
        <f t="shared" si="784"/>
        <v>Price</v>
      </c>
      <c r="DH420" s="1413" t="str">
        <f t="shared" si="784"/>
        <v>[Service]</v>
      </c>
      <c r="DI420" s="1426" t="str">
        <f t="shared" si="784"/>
        <v>[Price]</v>
      </c>
      <c r="DJ420" s="1426"/>
      <c r="DK420" s="1427" t="str">
        <f t="shared" si="785"/>
        <v>-</v>
      </c>
      <c r="DL420" s="1417" t="str">
        <f t="shared" si="786"/>
        <v>-</v>
      </c>
      <c r="DM420" s="1417" t="str">
        <f t="shared" si="787"/>
        <v>-</v>
      </c>
      <c r="DN420" s="1418" t="str">
        <f t="shared" si="788"/>
        <v>-</v>
      </c>
      <c r="DO420" s="1417" t="str">
        <f t="shared" si="789"/>
        <v>-</v>
      </c>
      <c r="DP420" s="1417" t="str">
        <f t="shared" si="790"/>
        <v>-</v>
      </c>
      <c r="DQ420" s="1417" t="str">
        <f t="shared" si="791"/>
        <v>-</v>
      </c>
      <c r="DR420" s="1419" t="str">
        <f t="shared" si="792"/>
        <v>-</v>
      </c>
    </row>
    <row r="421" spans="4:122">
      <c r="E421" s="742" t="s">
        <v>45</v>
      </c>
      <c r="F421" s="722" t="str">
        <f>+F420</f>
        <v>[Service]</v>
      </c>
      <c r="G421" s="723">
        <f>+G420</f>
        <v>0</v>
      </c>
      <c r="H421" s="723">
        <f>+H420</f>
        <v>0</v>
      </c>
      <c r="I421" s="724" t="str">
        <f>+I420</f>
        <v>[Price]</v>
      </c>
      <c r="J421" s="782" t="s">
        <v>322</v>
      </c>
      <c r="K421" s="1540"/>
      <c r="L421" s="1541"/>
      <c r="M421" s="1541"/>
      <c r="N421" s="1542"/>
      <c r="O421" s="2031"/>
      <c r="P421" s="1543"/>
      <c r="Q421" s="1543"/>
      <c r="R421" s="1543"/>
      <c r="S421" s="1543"/>
      <c r="T421" s="1543"/>
      <c r="U421" s="1543"/>
      <c r="V421" s="1543"/>
      <c r="W421" s="1543"/>
      <c r="X421" s="1544"/>
      <c r="Y421" s="1543"/>
      <c r="Z421" s="1543"/>
      <c r="AA421" s="1543"/>
      <c r="AB421" s="1543"/>
      <c r="AC421" s="1544"/>
      <c r="AD421" s="1543"/>
      <c r="AE421" s="1543"/>
      <c r="AF421" s="1543"/>
      <c r="AG421" s="788"/>
      <c r="AH421" s="697"/>
      <c r="AI421" s="707"/>
      <c r="AJ421" s="709">
        <f t="shared" si="796"/>
        <v>0</v>
      </c>
      <c r="AK421" s="710">
        <f t="shared" si="797"/>
        <v>0</v>
      </c>
      <c r="AL421" s="710">
        <f t="shared" si="798"/>
        <v>0</v>
      </c>
      <c r="AM421" s="710">
        <f t="shared" si="799"/>
        <v>0</v>
      </c>
      <c r="AN421" s="710">
        <f t="shared" si="800"/>
        <v>0</v>
      </c>
      <c r="AO421" s="711">
        <f t="shared" si="801"/>
        <v>0</v>
      </c>
      <c r="AP421" s="707">
        <f t="shared" si="802"/>
        <v>0</v>
      </c>
      <c r="AQ421" s="707">
        <f t="shared" si="803"/>
        <v>0</v>
      </c>
      <c r="AR421" s="707">
        <f t="shared" si="804"/>
        <v>0</v>
      </c>
      <c r="AS421" s="712">
        <f t="shared" si="805"/>
        <v>0</v>
      </c>
      <c r="AV421" s="1559"/>
      <c r="AW421" s="1392" t="str">
        <f t="shared" si="753"/>
        <v>Qty</v>
      </c>
      <c r="AX421" s="1393" t="str">
        <f t="shared" si="753"/>
        <v>[Service]</v>
      </c>
      <c r="AY421" s="1394" t="str">
        <f t="shared" si="754"/>
        <v>[Price]</v>
      </c>
      <c r="AZ421" s="1395" t="str">
        <f t="shared" si="845"/>
        <v>-</v>
      </c>
      <c r="BA421" s="1395" t="str">
        <f t="shared" si="845"/>
        <v>-</v>
      </c>
      <c r="BB421" s="1395" t="str">
        <f t="shared" si="845"/>
        <v>-</v>
      </c>
      <c r="BC421" s="1395" t="str">
        <f t="shared" si="756"/>
        <v>-</v>
      </c>
      <c r="BD421" s="1395" t="str">
        <f t="shared" si="757"/>
        <v>-</v>
      </c>
      <c r="BE421" s="1395" t="str">
        <f t="shared" si="758"/>
        <v>-</v>
      </c>
      <c r="BF421" s="1395" t="str">
        <f t="shared" si="759"/>
        <v>-</v>
      </c>
      <c r="BG421" s="1396" t="str">
        <f t="shared" si="760"/>
        <v>-</v>
      </c>
      <c r="BH421" s="1395" t="str">
        <f t="shared" si="761"/>
        <v>-</v>
      </c>
      <c r="BI421" s="1395" t="str">
        <f t="shared" si="762"/>
        <v>-</v>
      </c>
      <c r="BJ421" s="1395" t="str">
        <f t="shared" si="763"/>
        <v>-</v>
      </c>
      <c r="BK421" s="1395" t="str">
        <f t="shared" si="764"/>
        <v>-</v>
      </c>
      <c r="BL421" s="1397" t="str">
        <f t="shared" si="765"/>
        <v>-</v>
      </c>
      <c r="BM421" s="1395" t="str">
        <f t="shared" si="766"/>
        <v>-</v>
      </c>
      <c r="BN421" s="1395" t="str">
        <f t="shared" si="767"/>
        <v>-</v>
      </c>
      <c r="BO421" s="1395" t="str">
        <f t="shared" si="768"/>
        <v>-</v>
      </c>
      <c r="BP421" s="1395" t="str">
        <f t="shared" si="769"/>
        <v>-</v>
      </c>
      <c r="BQ421" s="1398" t="str">
        <f t="shared" si="770"/>
        <v>-</v>
      </c>
      <c r="BR421" s="1378"/>
      <c r="BS421" s="1329"/>
      <c r="BT421" s="1399"/>
      <c r="BU421" s="1331"/>
      <c r="BV421" s="1400"/>
      <c r="BW421" s="1378"/>
      <c r="BX421" s="1392" t="str">
        <f t="shared" si="771"/>
        <v>Qty</v>
      </c>
      <c r="BY421" s="1393" t="str">
        <f t="shared" si="772"/>
        <v>[Service]</v>
      </c>
      <c r="BZ421" s="1394" t="str">
        <f t="shared" si="773"/>
        <v>[Price]</v>
      </c>
      <c r="CA421" s="1401" t="str">
        <f t="shared" ref="CA421:CR421" si="850">IFERROR((P421/O421-1)*(O422/O$13),"-")</f>
        <v>-</v>
      </c>
      <c r="CB421" s="1395" t="str">
        <f t="shared" si="850"/>
        <v>-</v>
      </c>
      <c r="CC421" s="1395" t="str">
        <f t="shared" si="850"/>
        <v>-</v>
      </c>
      <c r="CD421" s="1395" t="str">
        <f t="shared" si="850"/>
        <v>-</v>
      </c>
      <c r="CE421" s="1395" t="str">
        <f t="shared" si="850"/>
        <v>-</v>
      </c>
      <c r="CF421" s="1395" t="str">
        <f t="shared" si="850"/>
        <v>-</v>
      </c>
      <c r="CG421" s="1395" t="str">
        <f t="shared" si="850"/>
        <v>-</v>
      </c>
      <c r="CH421" s="1397" t="str">
        <f t="shared" si="850"/>
        <v>-</v>
      </c>
      <c r="CI421" s="1395" t="str">
        <f t="shared" si="850"/>
        <v>-</v>
      </c>
      <c r="CJ421" s="1395" t="str">
        <f t="shared" si="850"/>
        <v>-</v>
      </c>
      <c r="CK421" s="1395" t="str">
        <f t="shared" si="850"/>
        <v>-</v>
      </c>
      <c r="CL421" s="1395" t="str">
        <f t="shared" si="850"/>
        <v>-</v>
      </c>
      <c r="CM421" s="1397" t="str">
        <f t="shared" si="850"/>
        <v>-</v>
      </c>
      <c r="CN421" s="1395" t="str">
        <f t="shared" si="850"/>
        <v>-</v>
      </c>
      <c r="CO421" s="1395" t="str">
        <f t="shared" si="850"/>
        <v>-</v>
      </c>
      <c r="CP421" s="1395" t="str">
        <f t="shared" si="850"/>
        <v>-</v>
      </c>
      <c r="CQ421" s="1395" t="str">
        <f t="shared" si="850"/>
        <v>-</v>
      </c>
      <c r="CR421" s="1398" t="str">
        <f t="shared" si="850"/>
        <v>-</v>
      </c>
      <c r="CS421" s="1378"/>
      <c r="CT421" s="1392" t="str">
        <f t="shared" si="749"/>
        <v>Qty</v>
      </c>
      <c r="CU421" s="1393" t="str">
        <f t="shared" si="750"/>
        <v>[Service]</v>
      </c>
      <c r="CV421" s="1393" t="str">
        <f t="shared" si="751"/>
        <v>[Price]</v>
      </c>
      <c r="CW421" s="1401" t="str">
        <f t="shared" si="775"/>
        <v>-</v>
      </c>
      <c r="CX421" s="1395" t="str">
        <f t="shared" si="776"/>
        <v>-</v>
      </c>
      <c r="CY421" s="1395" t="str">
        <f t="shared" si="777"/>
        <v>-</v>
      </c>
      <c r="CZ421" s="1398" t="str">
        <f t="shared" si="778"/>
        <v>-</v>
      </c>
      <c r="DA421" s="1395" t="str">
        <f t="shared" si="779"/>
        <v>-</v>
      </c>
      <c r="DB421" s="1395" t="str">
        <f t="shared" si="780"/>
        <v>-</v>
      </c>
      <c r="DC421" s="1395" t="str">
        <f t="shared" si="781"/>
        <v>-</v>
      </c>
      <c r="DD421" s="1395" t="str">
        <f t="shared" si="782"/>
        <v>-</v>
      </c>
      <c r="DE421" s="1398" t="str">
        <f t="shared" si="783"/>
        <v>-</v>
      </c>
      <c r="DF421" s="1378"/>
      <c r="DG421" s="1392" t="str">
        <f t="shared" si="784"/>
        <v>Qty</v>
      </c>
      <c r="DH421" s="1393" t="str">
        <f t="shared" si="784"/>
        <v>[Service]</v>
      </c>
      <c r="DI421" s="1393" t="str">
        <f t="shared" si="784"/>
        <v>[Price]</v>
      </c>
      <c r="DJ421" s="1393"/>
      <c r="DK421" s="1401" t="str">
        <f t="shared" si="785"/>
        <v>-</v>
      </c>
      <c r="DL421" s="1395" t="str">
        <f t="shared" si="786"/>
        <v>-</v>
      </c>
      <c r="DM421" s="1395" t="str">
        <f t="shared" si="787"/>
        <v>-</v>
      </c>
      <c r="DN421" s="1397" t="str">
        <f t="shared" si="788"/>
        <v>-</v>
      </c>
      <c r="DO421" s="1395" t="str">
        <f t="shared" si="789"/>
        <v>-</v>
      </c>
      <c r="DP421" s="1395" t="str">
        <f t="shared" si="790"/>
        <v>-</v>
      </c>
      <c r="DQ421" s="1395" t="str">
        <f t="shared" si="791"/>
        <v>-</v>
      </c>
      <c r="DR421" s="1398" t="str">
        <f t="shared" si="792"/>
        <v>-</v>
      </c>
    </row>
    <row r="422" spans="4:122" ht="12.75" thickBot="1">
      <c r="E422" s="743" t="s">
        <v>46</v>
      </c>
      <c r="F422" s="732" t="str">
        <f>+F420</f>
        <v>[Service]</v>
      </c>
      <c r="G422" s="733">
        <f>+G420</f>
        <v>0</v>
      </c>
      <c r="H422" s="733">
        <f>+H420</f>
        <v>0</v>
      </c>
      <c r="I422" s="734" t="str">
        <f>+I420</f>
        <v>[Price]</v>
      </c>
      <c r="J422" s="735" t="s">
        <v>344</v>
      </c>
      <c r="K422" s="736">
        <f t="shared" ref="K422:AG422" si="851">K420*K421/10^6</f>
        <v>0</v>
      </c>
      <c r="L422" s="737">
        <f t="shared" si="851"/>
        <v>0</v>
      </c>
      <c r="M422" s="737">
        <f t="shared" si="851"/>
        <v>0</v>
      </c>
      <c r="N422" s="738">
        <f t="shared" si="851"/>
        <v>0</v>
      </c>
      <c r="O422" s="1923">
        <f t="shared" si="851"/>
        <v>0</v>
      </c>
      <c r="P422" s="737">
        <f t="shared" si="851"/>
        <v>0</v>
      </c>
      <c r="Q422" s="737">
        <f t="shared" si="851"/>
        <v>0</v>
      </c>
      <c r="R422" s="737">
        <f t="shared" si="851"/>
        <v>0</v>
      </c>
      <c r="S422" s="737">
        <f t="shared" si="851"/>
        <v>0</v>
      </c>
      <c r="T422" s="737">
        <f t="shared" si="851"/>
        <v>0</v>
      </c>
      <c r="U422" s="737">
        <f t="shared" si="851"/>
        <v>0</v>
      </c>
      <c r="V422" s="737">
        <f t="shared" si="851"/>
        <v>0</v>
      </c>
      <c r="W422" s="737">
        <f t="shared" si="851"/>
        <v>0</v>
      </c>
      <c r="X422" s="738">
        <f t="shared" si="851"/>
        <v>0</v>
      </c>
      <c r="Y422" s="737">
        <f t="shared" si="851"/>
        <v>0</v>
      </c>
      <c r="Z422" s="737">
        <f t="shared" si="851"/>
        <v>0</v>
      </c>
      <c r="AA422" s="737">
        <f t="shared" si="851"/>
        <v>0</v>
      </c>
      <c r="AB422" s="737">
        <f t="shared" si="851"/>
        <v>0</v>
      </c>
      <c r="AC422" s="738">
        <f t="shared" si="851"/>
        <v>0</v>
      </c>
      <c r="AD422" s="737">
        <f t="shared" si="851"/>
        <v>0</v>
      </c>
      <c r="AE422" s="737">
        <f t="shared" si="851"/>
        <v>0</v>
      </c>
      <c r="AF422" s="737">
        <f t="shared" si="851"/>
        <v>0</v>
      </c>
      <c r="AG422" s="739">
        <f t="shared" si="851"/>
        <v>0</v>
      </c>
      <c r="AH422" s="697"/>
      <c r="AI422" s="707"/>
      <c r="AJ422" s="709">
        <f t="shared" si="796"/>
        <v>0</v>
      </c>
      <c r="AK422" s="710">
        <f t="shared" si="797"/>
        <v>0</v>
      </c>
      <c r="AL422" s="710">
        <f t="shared" si="798"/>
        <v>0</v>
      </c>
      <c r="AM422" s="710">
        <f t="shared" si="799"/>
        <v>0</v>
      </c>
      <c r="AN422" s="710">
        <f t="shared" si="800"/>
        <v>0</v>
      </c>
      <c r="AO422" s="711">
        <f t="shared" si="801"/>
        <v>0</v>
      </c>
      <c r="AP422" s="707">
        <f t="shared" si="802"/>
        <v>0</v>
      </c>
      <c r="AQ422" s="707">
        <f t="shared" si="803"/>
        <v>0</v>
      </c>
      <c r="AR422" s="707">
        <f t="shared" si="804"/>
        <v>0</v>
      </c>
      <c r="AS422" s="712">
        <f t="shared" si="805"/>
        <v>0</v>
      </c>
      <c r="AV422" s="1559"/>
      <c r="AW422" s="1428" t="str">
        <f t="shared" si="753"/>
        <v>Rev</v>
      </c>
      <c r="AX422" s="1429" t="str">
        <f t="shared" si="753"/>
        <v>[Service]</v>
      </c>
      <c r="AY422" s="1430" t="str">
        <f t="shared" si="754"/>
        <v>[Price]</v>
      </c>
      <c r="AZ422" s="1431" t="str">
        <f t="shared" si="845"/>
        <v>-</v>
      </c>
      <c r="BA422" s="1431" t="str">
        <f t="shared" si="845"/>
        <v>-</v>
      </c>
      <c r="BB422" s="1431" t="str">
        <f t="shared" si="845"/>
        <v>-</v>
      </c>
      <c r="BC422" s="1431" t="str">
        <f t="shared" si="756"/>
        <v>-</v>
      </c>
      <c r="BD422" s="1431" t="str">
        <f t="shared" si="757"/>
        <v>-</v>
      </c>
      <c r="BE422" s="1431" t="str">
        <f t="shared" si="758"/>
        <v>-</v>
      </c>
      <c r="BF422" s="1431" t="str">
        <f t="shared" si="759"/>
        <v>-</v>
      </c>
      <c r="BG422" s="1432" t="str">
        <f t="shared" si="760"/>
        <v>-</v>
      </c>
      <c r="BH422" s="1431" t="str">
        <f t="shared" si="761"/>
        <v>-</v>
      </c>
      <c r="BI422" s="1431" t="str">
        <f t="shared" si="762"/>
        <v>-</v>
      </c>
      <c r="BJ422" s="1431" t="str">
        <f t="shared" si="763"/>
        <v>-</v>
      </c>
      <c r="BK422" s="1431" t="str">
        <f t="shared" si="764"/>
        <v>-</v>
      </c>
      <c r="BL422" s="1433" t="str">
        <f t="shared" si="765"/>
        <v>-</v>
      </c>
      <c r="BM422" s="1431" t="str">
        <f t="shared" si="766"/>
        <v>-</v>
      </c>
      <c r="BN422" s="1431" t="str">
        <f t="shared" si="767"/>
        <v>-</v>
      </c>
      <c r="BO422" s="1431" t="str">
        <f t="shared" si="768"/>
        <v>-</v>
      </c>
      <c r="BP422" s="1431" t="str">
        <f t="shared" si="769"/>
        <v>-</v>
      </c>
      <c r="BQ422" s="1434" t="str">
        <f t="shared" si="770"/>
        <v>-</v>
      </c>
      <c r="BR422" s="1378"/>
      <c r="BS422" s="1407"/>
      <c r="BT422" s="1408"/>
      <c r="BU422" s="1409"/>
      <c r="BV422" s="1410"/>
      <c r="BW422" s="1378"/>
      <c r="BX422" s="1428" t="str">
        <f t="shared" si="771"/>
        <v>Rev</v>
      </c>
      <c r="BY422" s="1429" t="str">
        <f t="shared" si="772"/>
        <v>[Service]</v>
      </c>
      <c r="BZ422" s="1430" t="str">
        <f t="shared" si="773"/>
        <v>[Price]</v>
      </c>
      <c r="CA422" s="1435" t="str">
        <f t="shared" ref="CA422:CR422" si="852">IFERROR((P422/O422-1)*(O422/O$13),"-")</f>
        <v>-</v>
      </c>
      <c r="CB422" s="1431" t="str">
        <f t="shared" si="852"/>
        <v>-</v>
      </c>
      <c r="CC422" s="1431" t="str">
        <f t="shared" si="852"/>
        <v>-</v>
      </c>
      <c r="CD422" s="1431" t="str">
        <f t="shared" si="852"/>
        <v>-</v>
      </c>
      <c r="CE422" s="1431" t="str">
        <f t="shared" si="852"/>
        <v>-</v>
      </c>
      <c r="CF422" s="1431" t="str">
        <f t="shared" si="852"/>
        <v>-</v>
      </c>
      <c r="CG422" s="1431" t="str">
        <f t="shared" si="852"/>
        <v>-</v>
      </c>
      <c r="CH422" s="1433" t="str">
        <f t="shared" si="852"/>
        <v>-</v>
      </c>
      <c r="CI422" s="1431" t="str">
        <f t="shared" si="852"/>
        <v>-</v>
      </c>
      <c r="CJ422" s="1431" t="str">
        <f t="shared" si="852"/>
        <v>-</v>
      </c>
      <c r="CK422" s="1431" t="str">
        <f t="shared" si="852"/>
        <v>-</v>
      </c>
      <c r="CL422" s="1431" t="str">
        <f t="shared" si="852"/>
        <v>-</v>
      </c>
      <c r="CM422" s="1433" t="str">
        <f t="shared" si="852"/>
        <v>-</v>
      </c>
      <c r="CN422" s="1431" t="str">
        <f t="shared" si="852"/>
        <v>-</v>
      </c>
      <c r="CO422" s="1431" t="str">
        <f t="shared" si="852"/>
        <v>-</v>
      </c>
      <c r="CP422" s="1431" t="str">
        <f t="shared" si="852"/>
        <v>-</v>
      </c>
      <c r="CQ422" s="1431" t="str">
        <f t="shared" si="852"/>
        <v>-</v>
      </c>
      <c r="CR422" s="1434" t="str">
        <f t="shared" si="852"/>
        <v>-</v>
      </c>
      <c r="CS422" s="1378"/>
      <c r="CT422" s="1428" t="str">
        <f t="shared" si="749"/>
        <v>Rev</v>
      </c>
      <c r="CU422" s="1429" t="str">
        <f t="shared" si="750"/>
        <v>[Service]</v>
      </c>
      <c r="CV422" s="1429" t="str">
        <f t="shared" si="751"/>
        <v>[Price]</v>
      </c>
      <c r="CW422" s="1435" t="str">
        <f t="shared" si="775"/>
        <v>-</v>
      </c>
      <c r="CX422" s="1431" t="str">
        <f t="shared" si="776"/>
        <v>-</v>
      </c>
      <c r="CY422" s="1431" t="str">
        <f t="shared" si="777"/>
        <v>-</v>
      </c>
      <c r="CZ422" s="1434" t="str">
        <f t="shared" si="778"/>
        <v>-</v>
      </c>
      <c r="DA422" s="1431" t="str">
        <f t="shared" si="779"/>
        <v>-</v>
      </c>
      <c r="DB422" s="1431" t="str">
        <f t="shared" si="780"/>
        <v>-</v>
      </c>
      <c r="DC422" s="1431" t="str">
        <f t="shared" si="781"/>
        <v>-</v>
      </c>
      <c r="DD422" s="1431" t="str">
        <f t="shared" si="782"/>
        <v>-</v>
      </c>
      <c r="DE422" s="1434" t="str">
        <f t="shared" si="783"/>
        <v>-</v>
      </c>
      <c r="DF422" s="1378"/>
      <c r="DG422" s="1428" t="str">
        <f t="shared" si="784"/>
        <v>Rev</v>
      </c>
      <c r="DH422" s="1429" t="str">
        <f t="shared" si="784"/>
        <v>[Service]</v>
      </c>
      <c r="DI422" s="1429" t="str">
        <f t="shared" si="784"/>
        <v>[Price]</v>
      </c>
      <c r="DJ422" s="1429"/>
      <c r="DK422" s="1435" t="str">
        <f t="shared" si="785"/>
        <v>-</v>
      </c>
      <c r="DL422" s="1431" t="str">
        <f t="shared" si="786"/>
        <v>-</v>
      </c>
      <c r="DM422" s="1431" t="str">
        <f t="shared" si="787"/>
        <v>-</v>
      </c>
      <c r="DN422" s="1433" t="str">
        <f t="shared" si="788"/>
        <v>-</v>
      </c>
      <c r="DO422" s="1431" t="str">
        <f t="shared" si="789"/>
        <v>-</v>
      </c>
      <c r="DP422" s="1431" t="str">
        <f t="shared" si="790"/>
        <v>-</v>
      </c>
      <c r="DQ422" s="1431" t="str">
        <f t="shared" si="791"/>
        <v>-</v>
      </c>
      <c r="DR422" s="1434" t="str">
        <f t="shared" si="792"/>
        <v>-</v>
      </c>
    </row>
    <row r="423" spans="4:122">
      <c r="D423" s="70">
        <f>D420+1</f>
        <v>120</v>
      </c>
      <c r="E423" s="713" t="s">
        <v>44</v>
      </c>
      <c r="F423" s="789" t="s">
        <v>27</v>
      </c>
      <c r="G423" s="789"/>
      <c r="H423" s="789"/>
      <c r="I423" s="781" t="s">
        <v>318</v>
      </c>
      <c r="J423" s="781" t="s">
        <v>345</v>
      </c>
      <c r="K423" s="714"/>
      <c r="L423" s="715"/>
      <c r="M423" s="715"/>
      <c r="N423" s="716"/>
      <c r="O423" s="2072"/>
      <c r="P423" s="783"/>
      <c r="Q423" s="783"/>
      <c r="R423" s="783"/>
      <c r="S423" s="783"/>
      <c r="T423" s="783"/>
      <c r="U423" s="783"/>
      <c r="V423" s="783"/>
      <c r="W423" s="783"/>
      <c r="X423" s="784"/>
      <c r="Y423" s="783"/>
      <c r="Z423" s="783"/>
      <c r="AA423" s="783"/>
      <c r="AB423" s="783"/>
      <c r="AC423" s="784"/>
      <c r="AD423" s="783"/>
      <c r="AE423" s="783"/>
      <c r="AF423" s="783"/>
      <c r="AG423" s="785"/>
      <c r="AH423" s="697"/>
      <c r="AI423" s="707"/>
      <c r="AJ423" s="709">
        <f t="shared" si="796"/>
        <v>0</v>
      </c>
      <c r="AK423" s="710">
        <f t="shared" si="797"/>
        <v>0</v>
      </c>
      <c r="AL423" s="710">
        <f t="shared" si="798"/>
        <v>0</v>
      </c>
      <c r="AM423" s="710">
        <f t="shared" si="799"/>
        <v>0</v>
      </c>
      <c r="AN423" s="710">
        <f t="shared" si="800"/>
        <v>0</v>
      </c>
      <c r="AO423" s="711">
        <f t="shared" si="801"/>
        <v>0</v>
      </c>
      <c r="AP423" s="707">
        <f t="shared" si="802"/>
        <v>0</v>
      </c>
      <c r="AQ423" s="707">
        <f t="shared" si="803"/>
        <v>0</v>
      </c>
      <c r="AR423" s="707">
        <f t="shared" si="804"/>
        <v>0</v>
      </c>
      <c r="AS423" s="712">
        <f t="shared" si="805"/>
        <v>0</v>
      </c>
      <c r="AU423" s="1369"/>
      <c r="AV423" s="1559"/>
      <c r="AW423" s="1412" t="str">
        <f t="shared" si="753"/>
        <v>Price</v>
      </c>
      <c r="AX423" s="1413" t="str">
        <f t="shared" si="753"/>
        <v>[Service]</v>
      </c>
      <c r="AY423" s="1414" t="str">
        <f t="shared" si="754"/>
        <v>[Price]</v>
      </c>
      <c r="AZ423" s="1415" t="str">
        <f t="shared" si="845"/>
        <v>-</v>
      </c>
      <c r="BA423" s="1415" t="str">
        <f t="shared" si="845"/>
        <v>-</v>
      </c>
      <c r="BB423" s="1415" t="str">
        <f t="shared" si="845"/>
        <v>-</v>
      </c>
      <c r="BC423" s="1415" t="str">
        <f t="shared" si="756"/>
        <v>-</v>
      </c>
      <c r="BD423" s="1415" t="str">
        <f t="shared" si="757"/>
        <v>-</v>
      </c>
      <c r="BE423" s="1415" t="str">
        <f t="shared" si="758"/>
        <v>-</v>
      </c>
      <c r="BF423" s="1415" t="str">
        <f t="shared" si="759"/>
        <v>-</v>
      </c>
      <c r="BG423" s="1416" t="str">
        <f t="shared" si="760"/>
        <v>-</v>
      </c>
      <c r="BH423" s="1417" t="str">
        <f t="shared" si="761"/>
        <v>-</v>
      </c>
      <c r="BI423" s="1417" t="str">
        <f t="shared" si="762"/>
        <v>-</v>
      </c>
      <c r="BJ423" s="1417" t="str">
        <f t="shared" si="763"/>
        <v>-</v>
      </c>
      <c r="BK423" s="1417" t="str">
        <f t="shared" si="764"/>
        <v>-</v>
      </c>
      <c r="BL423" s="1418" t="str">
        <f t="shared" si="765"/>
        <v>-</v>
      </c>
      <c r="BM423" s="1417" t="str">
        <f t="shared" si="766"/>
        <v>-</v>
      </c>
      <c r="BN423" s="1417" t="str">
        <f t="shared" si="767"/>
        <v>-</v>
      </c>
      <c r="BO423" s="1417" t="str">
        <f t="shared" si="768"/>
        <v>-</v>
      </c>
      <c r="BP423" s="1417" t="str">
        <f t="shared" si="769"/>
        <v>-</v>
      </c>
      <c r="BQ423" s="1419" t="str">
        <f t="shared" si="770"/>
        <v>-</v>
      </c>
      <c r="BR423" s="1378"/>
      <c r="BS423" s="1420"/>
      <c r="BT423" s="1421"/>
      <c r="BU423" s="1422"/>
      <c r="BV423" s="1423"/>
      <c r="BW423" s="1378"/>
      <c r="BX423" s="1412" t="str">
        <f t="shared" si="771"/>
        <v>Price</v>
      </c>
      <c r="BY423" s="1413" t="str">
        <f t="shared" si="772"/>
        <v>[Service]</v>
      </c>
      <c r="BZ423" s="1414" t="str">
        <f t="shared" si="773"/>
        <v>[Price]</v>
      </c>
      <c r="CA423" s="1424" t="str">
        <f t="shared" ref="CA423:CR423" si="853">IFERROR((P423/O423-1)*(O425/O$13),"-")</f>
        <v>-</v>
      </c>
      <c r="CB423" s="1415" t="str">
        <f t="shared" si="853"/>
        <v>-</v>
      </c>
      <c r="CC423" s="1415" t="str">
        <f t="shared" si="853"/>
        <v>-</v>
      </c>
      <c r="CD423" s="1415" t="str">
        <f t="shared" si="853"/>
        <v>-</v>
      </c>
      <c r="CE423" s="1415" t="str">
        <f t="shared" si="853"/>
        <v>-</v>
      </c>
      <c r="CF423" s="1415" t="str">
        <f t="shared" si="853"/>
        <v>-</v>
      </c>
      <c r="CG423" s="1415" t="str">
        <f t="shared" si="853"/>
        <v>-</v>
      </c>
      <c r="CH423" s="1425" t="str">
        <f t="shared" si="853"/>
        <v>-</v>
      </c>
      <c r="CI423" s="1417" t="str">
        <f t="shared" si="853"/>
        <v>-</v>
      </c>
      <c r="CJ423" s="1417" t="str">
        <f t="shared" si="853"/>
        <v>-</v>
      </c>
      <c r="CK423" s="1417" t="str">
        <f t="shared" si="853"/>
        <v>-</v>
      </c>
      <c r="CL423" s="1417" t="str">
        <f t="shared" si="853"/>
        <v>-</v>
      </c>
      <c r="CM423" s="1418" t="str">
        <f t="shared" si="853"/>
        <v>-</v>
      </c>
      <c r="CN423" s="1417" t="str">
        <f t="shared" si="853"/>
        <v>-</v>
      </c>
      <c r="CO423" s="1417" t="str">
        <f t="shared" si="853"/>
        <v>-</v>
      </c>
      <c r="CP423" s="1417" t="str">
        <f t="shared" si="853"/>
        <v>-</v>
      </c>
      <c r="CQ423" s="1417" t="str">
        <f t="shared" si="853"/>
        <v>-</v>
      </c>
      <c r="CR423" s="1419" t="str">
        <f t="shared" si="853"/>
        <v>-</v>
      </c>
      <c r="CS423" s="1378"/>
      <c r="CT423" s="1412" t="str">
        <f t="shared" si="749"/>
        <v>Price</v>
      </c>
      <c r="CU423" s="1413" t="str">
        <f t="shared" si="750"/>
        <v>[Service]</v>
      </c>
      <c r="CV423" s="1426" t="str">
        <f t="shared" si="751"/>
        <v>[Price]</v>
      </c>
      <c r="CW423" s="1427" t="str">
        <f t="shared" si="775"/>
        <v>-</v>
      </c>
      <c r="CX423" s="1417" t="str">
        <f t="shared" si="776"/>
        <v>-</v>
      </c>
      <c r="CY423" s="1417" t="str">
        <f t="shared" si="777"/>
        <v>-</v>
      </c>
      <c r="CZ423" s="1419" t="str">
        <f t="shared" si="778"/>
        <v>-</v>
      </c>
      <c r="DA423" s="1417" t="str">
        <f t="shared" si="779"/>
        <v>-</v>
      </c>
      <c r="DB423" s="1417" t="str">
        <f t="shared" si="780"/>
        <v>-</v>
      </c>
      <c r="DC423" s="1417" t="str">
        <f t="shared" si="781"/>
        <v>-</v>
      </c>
      <c r="DD423" s="1417" t="str">
        <f t="shared" si="782"/>
        <v>-</v>
      </c>
      <c r="DE423" s="1419" t="str">
        <f t="shared" si="783"/>
        <v>-</v>
      </c>
      <c r="DF423" s="1378"/>
      <c r="DG423" s="1412" t="str">
        <f t="shared" si="784"/>
        <v>Price</v>
      </c>
      <c r="DH423" s="1413" t="str">
        <f t="shared" si="784"/>
        <v>[Service]</v>
      </c>
      <c r="DI423" s="1426" t="str">
        <f t="shared" si="784"/>
        <v>[Price]</v>
      </c>
      <c r="DJ423" s="1426"/>
      <c r="DK423" s="1427" t="str">
        <f t="shared" si="785"/>
        <v>-</v>
      </c>
      <c r="DL423" s="1417" t="str">
        <f t="shared" si="786"/>
        <v>-</v>
      </c>
      <c r="DM423" s="1417" t="str">
        <f t="shared" si="787"/>
        <v>-</v>
      </c>
      <c r="DN423" s="1418" t="str">
        <f t="shared" si="788"/>
        <v>-</v>
      </c>
      <c r="DO423" s="1417" t="str">
        <f t="shared" si="789"/>
        <v>-</v>
      </c>
      <c r="DP423" s="1417" t="str">
        <f t="shared" si="790"/>
        <v>-</v>
      </c>
      <c r="DQ423" s="1417" t="str">
        <f t="shared" si="791"/>
        <v>-</v>
      </c>
      <c r="DR423" s="1419" t="str">
        <f t="shared" si="792"/>
        <v>-</v>
      </c>
    </row>
    <row r="424" spans="4:122">
      <c r="E424" s="742" t="s">
        <v>45</v>
      </c>
      <c r="F424" s="722" t="str">
        <f>+F423</f>
        <v>[Service]</v>
      </c>
      <c r="G424" s="723">
        <f>+G423</f>
        <v>0</v>
      </c>
      <c r="H424" s="723">
        <f>+H423</f>
        <v>0</v>
      </c>
      <c r="I424" s="724" t="str">
        <f>+I423</f>
        <v>[Price]</v>
      </c>
      <c r="J424" s="782" t="s">
        <v>322</v>
      </c>
      <c r="K424" s="725"/>
      <c r="L424" s="726"/>
      <c r="M424" s="726"/>
      <c r="N424" s="727"/>
      <c r="O424" s="2122"/>
      <c r="P424" s="786"/>
      <c r="Q424" s="786"/>
      <c r="R424" s="786"/>
      <c r="S424" s="786"/>
      <c r="T424" s="786"/>
      <c r="U424" s="786"/>
      <c r="V424" s="786"/>
      <c r="W424" s="786"/>
      <c r="X424" s="787"/>
      <c r="Y424" s="786"/>
      <c r="Z424" s="786"/>
      <c r="AA424" s="786"/>
      <c r="AB424" s="786"/>
      <c r="AC424" s="787"/>
      <c r="AD424" s="786"/>
      <c r="AE424" s="786"/>
      <c r="AF424" s="786"/>
      <c r="AG424" s="788"/>
      <c r="AH424" s="697"/>
      <c r="AI424" s="707"/>
      <c r="AJ424" s="709">
        <f t="shared" si="796"/>
        <v>0</v>
      </c>
      <c r="AK424" s="710">
        <f t="shared" si="797"/>
        <v>0</v>
      </c>
      <c r="AL424" s="710">
        <f t="shared" si="798"/>
        <v>0</v>
      </c>
      <c r="AM424" s="710">
        <f t="shared" si="799"/>
        <v>0</v>
      </c>
      <c r="AN424" s="710">
        <f t="shared" si="800"/>
        <v>0</v>
      </c>
      <c r="AO424" s="711">
        <f t="shared" si="801"/>
        <v>0</v>
      </c>
      <c r="AP424" s="707">
        <f t="shared" si="802"/>
        <v>0</v>
      </c>
      <c r="AQ424" s="707">
        <f t="shared" si="803"/>
        <v>0</v>
      </c>
      <c r="AR424" s="707">
        <f t="shared" si="804"/>
        <v>0</v>
      </c>
      <c r="AS424" s="712">
        <f t="shared" si="805"/>
        <v>0</v>
      </c>
      <c r="AV424" s="1559"/>
      <c r="AW424" s="1392" t="str">
        <f t="shared" si="753"/>
        <v>Qty</v>
      </c>
      <c r="AX424" s="1393" t="str">
        <f t="shared" si="753"/>
        <v>[Service]</v>
      </c>
      <c r="AY424" s="1394" t="str">
        <f t="shared" si="754"/>
        <v>[Price]</v>
      </c>
      <c r="AZ424" s="1395" t="str">
        <f t="shared" si="845"/>
        <v>-</v>
      </c>
      <c r="BA424" s="1395" t="str">
        <f t="shared" si="845"/>
        <v>-</v>
      </c>
      <c r="BB424" s="1395" t="str">
        <f t="shared" si="845"/>
        <v>-</v>
      </c>
      <c r="BC424" s="1395" t="str">
        <f t="shared" si="756"/>
        <v>-</v>
      </c>
      <c r="BD424" s="1395" t="str">
        <f t="shared" si="757"/>
        <v>-</v>
      </c>
      <c r="BE424" s="1395" t="str">
        <f t="shared" si="758"/>
        <v>-</v>
      </c>
      <c r="BF424" s="1395" t="str">
        <f t="shared" si="759"/>
        <v>-</v>
      </c>
      <c r="BG424" s="1396" t="str">
        <f t="shared" si="760"/>
        <v>-</v>
      </c>
      <c r="BH424" s="1395" t="str">
        <f t="shared" si="761"/>
        <v>-</v>
      </c>
      <c r="BI424" s="1395" t="str">
        <f t="shared" si="762"/>
        <v>-</v>
      </c>
      <c r="BJ424" s="1395" t="str">
        <f t="shared" si="763"/>
        <v>-</v>
      </c>
      <c r="BK424" s="1395" t="str">
        <f t="shared" si="764"/>
        <v>-</v>
      </c>
      <c r="BL424" s="1397" t="str">
        <f t="shared" si="765"/>
        <v>-</v>
      </c>
      <c r="BM424" s="1395" t="str">
        <f t="shared" si="766"/>
        <v>-</v>
      </c>
      <c r="BN424" s="1395" t="str">
        <f t="shared" si="767"/>
        <v>-</v>
      </c>
      <c r="BO424" s="1395" t="str">
        <f t="shared" si="768"/>
        <v>-</v>
      </c>
      <c r="BP424" s="1395" t="str">
        <f t="shared" si="769"/>
        <v>-</v>
      </c>
      <c r="BQ424" s="1398" t="str">
        <f t="shared" si="770"/>
        <v>-</v>
      </c>
      <c r="BR424" s="1378"/>
      <c r="BS424" s="1329"/>
      <c r="BT424" s="1399"/>
      <c r="BU424" s="1331"/>
      <c r="BV424" s="1400"/>
      <c r="BW424" s="1378"/>
      <c r="BX424" s="1392" t="str">
        <f t="shared" si="771"/>
        <v>Qty</v>
      </c>
      <c r="BY424" s="1393" t="str">
        <f t="shared" si="772"/>
        <v>[Service]</v>
      </c>
      <c r="BZ424" s="1394" t="str">
        <f t="shared" si="773"/>
        <v>[Price]</v>
      </c>
      <c r="CA424" s="1401" t="str">
        <f t="shared" ref="CA424:CR424" si="854">IFERROR((P424/O424-1)*(O425/O$13),"-")</f>
        <v>-</v>
      </c>
      <c r="CB424" s="1395" t="str">
        <f t="shared" si="854"/>
        <v>-</v>
      </c>
      <c r="CC424" s="1395" t="str">
        <f t="shared" si="854"/>
        <v>-</v>
      </c>
      <c r="CD424" s="1395" t="str">
        <f t="shared" si="854"/>
        <v>-</v>
      </c>
      <c r="CE424" s="1395" t="str">
        <f t="shared" si="854"/>
        <v>-</v>
      </c>
      <c r="CF424" s="1395" t="str">
        <f t="shared" si="854"/>
        <v>-</v>
      </c>
      <c r="CG424" s="1395" t="str">
        <f t="shared" si="854"/>
        <v>-</v>
      </c>
      <c r="CH424" s="1397" t="str">
        <f t="shared" si="854"/>
        <v>-</v>
      </c>
      <c r="CI424" s="1395" t="str">
        <f t="shared" si="854"/>
        <v>-</v>
      </c>
      <c r="CJ424" s="1395" t="str">
        <f t="shared" si="854"/>
        <v>-</v>
      </c>
      <c r="CK424" s="1395" t="str">
        <f t="shared" si="854"/>
        <v>-</v>
      </c>
      <c r="CL424" s="1395" t="str">
        <f t="shared" si="854"/>
        <v>-</v>
      </c>
      <c r="CM424" s="1397" t="str">
        <f t="shared" si="854"/>
        <v>-</v>
      </c>
      <c r="CN424" s="1395" t="str">
        <f t="shared" si="854"/>
        <v>-</v>
      </c>
      <c r="CO424" s="1395" t="str">
        <f t="shared" si="854"/>
        <v>-</v>
      </c>
      <c r="CP424" s="1395" t="str">
        <f t="shared" si="854"/>
        <v>-</v>
      </c>
      <c r="CQ424" s="1395" t="str">
        <f t="shared" si="854"/>
        <v>-</v>
      </c>
      <c r="CR424" s="1398" t="str">
        <f t="shared" si="854"/>
        <v>-</v>
      </c>
      <c r="CS424" s="1378"/>
      <c r="CT424" s="1392" t="str">
        <f t="shared" si="749"/>
        <v>Qty</v>
      </c>
      <c r="CU424" s="1393" t="str">
        <f t="shared" si="750"/>
        <v>[Service]</v>
      </c>
      <c r="CV424" s="1393" t="str">
        <f t="shared" si="751"/>
        <v>[Price]</v>
      </c>
      <c r="CW424" s="1401" t="str">
        <f t="shared" si="775"/>
        <v>-</v>
      </c>
      <c r="CX424" s="1395" t="str">
        <f t="shared" si="776"/>
        <v>-</v>
      </c>
      <c r="CY424" s="1395" t="str">
        <f t="shared" si="777"/>
        <v>-</v>
      </c>
      <c r="CZ424" s="1398" t="str">
        <f t="shared" si="778"/>
        <v>-</v>
      </c>
      <c r="DA424" s="1395" t="str">
        <f t="shared" si="779"/>
        <v>-</v>
      </c>
      <c r="DB424" s="1395" t="str">
        <f t="shared" si="780"/>
        <v>-</v>
      </c>
      <c r="DC424" s="1395" t="str">
        <f t="shared" si="781"/>
        <v>-</v>
      </c>
      <c r="DD424" s="1395" t="str">
        <f t="shared" si="782"/>
        <v>-</v>
      </c>
      <c r="DE424" s="1398" t="str">
        <f t="shared" si="783"/>
        <v>-</v>
      </c>
      <c r="DF424" s="1378"/>
      <c r="DG424" s="1392" t="str">
        <f t="shared" si="784"/>
        <v>Qty</v>
      </c>
      <c r="DH424" s="1393" t="str">
        <f t="shared" si="784"/>
        <v>[Service]</v>
      </c>
      <c r="DI424" s="1393" t="str">
        <f t="shared" si="784"/>
        <v>[Price]</v>
      </c>
      <c r="DJ424" s="1393"/>
      <c r="DK424" s="1401" t="str">
        <f t="shared" si="785"/>
        <v>-</v>
      </c>
      <c r="DL424" s="1395" t="str">
        <f t="shared" si="786"/>
        <v>-</v>
      </c>
      <c r="DM424" s="1395" t="str">
        <f t="shared" si="787"/>
        <v>-</v>
      </c>
      <c r="DN424" s="1397" t="str">
        <f t="shared" si="788"/>
        <v>-</v>
      </c>
      <c r="DO424" s="1395" t="str">
        <f t="shared" si="789"/>
        <v>-</v>
      </c>
      <c r="DP424" s="1395" t="str">
        <f t="shared" si="790"/>
        <v>-</v>
      </c>
      <c r="DQ424" s="1395" t="str">
        <f t="shared" si="791"/>
        <v>-</v>
      </c>
      <c r="DR424" s="1398" t="str">
        <f t="shared" si="792"/>
        <v>-</v>
      </c>
    </row>
    <row r="425" spans="4:122" ht="12.75" thickBot="1">
      <c r="E425" s="743" t="s">
        <v>46</v>
      </c>
      <c r="F425" s="732" t="str">
        <f>+F423</f>
        <v>[Service]</v>
      </c>
      <c r="G425" s="733">
        <f>+G423</f>
        <v>0</v>
      </c>
      <c r="H425" s="733">
        <f>+H423</f>
        <v>0</v>
      </c>
      <c r="I425" s="734" t="str">
        <f>+I423</f>
        <v>[Price]</v>
      </c>
      <c r="J425" s="735" t="s">
        <v>344</v>
      </c>
      <c r="K425" s="736">
        <f t="shared" ref="K425:AG425" si="855">K423*K424/10^6</f>
        <v>0</v>
      </c>
      <c r="L425" s="737">
        <f t="shared" si="855"/>
        <v>0</v>
      </c>
      <c r="M425" s="737">
        <f t="shared" si="855"/>
        <v>0</v>
      </c>
      <c r="N425" s="738">
        <f t="shared" si="855"/>
        <v>0</v>
      </c>
      <c r="O425" s="1923">
        <f t="shared" si="855"/>
        <v>0</v>
      </c>
      <c r="P425" s="737">
        <f t="shared" si="855"/>
        <v>0</v>
      </c>
      <c r="Q425" s="737">
        <f t="shared" si="855"/>
        <v>0</v>
      </c>
      <c r="R425" s="737">
        <f t="shared" si="855"/>
        <v>0</v>
      </c>
      <c r="S425" s="737">
        <f t="shared" si="855"/>
        <v>0</v>
      </c>
      <c r="T425" s="737">
        <f t="shared" si="855"/>
        <v>0</v>
      </c>
      <c r="U425" s="737">
        <f t="shared" si="855"/>
        <v>0</v>
      </c>
      <c r="V425" s="737">
        <f t="shared" si="855"/>
        <v>0</v>
      </c>
      <c r="W425" s="737">
        <f t="shared" si="855"/>
        <v>0</v>
      </c>
      <c r="X425" s="738">
        <f t="shared" si="855"/>
        <v>0</v>
      </c>
      <c r="Y425" s="737">
        <f t="shared" si="855"/>
        <v>0</v>
      </c>
      <c r="Z425" s="737">
        <f t="shared" si="855"/>
        <v>0</v>
      </c>
      <c r="AA425" s="737">
        <f t="shared" si="855"/>
        <v>0</v>
      </c>
      <c r="AB425" s="737">
        <f t="shared" si="855"/>
        <v>0</v>
      </c>
      <c r="AC425" s="738">
        <f t="shared" si="855"/>
        <v>0</v>
      </c>
      <c r="AD425" s="737">
        <f t="shared" si="855"/>
        <v>0</v>
      </c>
      <c r="AE425" s="737">
        <f t="shared" si="855"/>
        <v>0</v>
      </c>
      <c r="AF425" s="737">
        <f t="shared" si="855"/>
        <v>0</v>
      </c>
      <c r="AG425" s="739">
        <f t="shared" si="855"/>
        <v>0</v>
      </c>
      <c r="AH425" s="697"/>
      <c r="AI425" s="707"/>
      <c r="AJ425" s="709">
        <f t="shared" si="796"/>
        <v>0</v>
      </c>
      <c r="AK425" s="710">
        <f t="shared" si="797"/>
        <v>0</v>
      </c>
      <c r="AL425" s="710">
        <f t="shared" si="798"/>
        <v>0</v>
      </c>
      <c r="AM425" s="710">
        <f t="shared" si="799"/>
        <v>0</v>
      </c>
      <c r="AN425" s="710">
        <f t="shared" si="800"/>
        <v>0</v>
      </c>
      <c r="AO425" s="711">
        <f t="shared" si="801"/>
        <v>0</v>
      </c>
      <c r="AP425" s="707">
        <f t="shared" si="802"/>
        <v>0</v>
      </c>
      <c r="AQ425" s="707">
        <f t="shared" si="803"/>
        <v>0</v>
      </c>
      <c r="AR425" s="707">
        <f t="shared" si="804"/>
        <v>0</v>
      </c>
      <c r="AS425" s="712">
        <f t="shared" si="805"/>
        <v>0</v>
      </c>
      <c r="AV425" s="1559"/>
      <c r="AW425" s="1428" t="str">
        <f t="shared" si="753"/>
        <v>Rev</v>
      </c>
      <c r="AX425" s="1429" t="str">
        <f t="shared" si="753"/>
        <v>[Service]</v>
      </c>
      <c r="AY425" s="1430" t="str">
        <f t="shared" si="754"/>
        <v>[Price]</v>
      </c>
      <c r="AZ425" s="1431" t="str">
        <f t="shared" si="845"/>
        <v>-</v>
      </c>
      <c r="BA425" s="1431" t="str">
        <f t="shared" si="845"/>
        <v>-</v>
      </c>
      <c r="BB425" s="1431" t="str">
        <f t="shared" si="845"/>
        <v>-</v>
      </c>
      <c r="BC425" s="1431" t="str">
        <f t="shared" si="756"/>
        <v>-</v>
      </c>
      <c r="BD425" s="1431" t="str">
        <f t="shared" si="757"/>
        <v>-</v>
      </c>
      <c r="BE425" s="1431" t="str">
        <f t="shared" si="758"/>
        <v>-</v>
      </c>
      <c r="BF425" s="1431" t="str">
        <f t="shared" si="759"/>
        <v>-</v>
      </c>
      <c r="BG425" s="1432" t="str">
        <f t="shared" si="760"/>
        <v>-</v>
      </c>
      <c r="BH425" s="1431" t="str">
        <f t="shared" si="761"/>
        <v>-</v>
      </c>
      <c r="BI425" s="1431" t="str">
        <f t="shared" si="762"/>
        <v>-</v>
      </c>
      <c r="BJ425" s="1431" t="str">
        <f t="shared" si="763"/>
        <v>-</v>
      </c>
      <c r="BK425" s="1431" t="str">
        <f t="shared" si="764"/>
        <v>-</v>
      </c>
      <c r="BL425" s="1433" t="str">
        <f t="shared" si="765"/>
        <v>-</v>
      </c>
      <c r="BM425" s="1431" t="str">
        <f t="shared" si="766"/>
        <v>-</v>
      </c>
      <c r="BN425" s="1431" t="str">
        <f t="shared" si="767"/>
        <v>-</v>
      </c>
      <c r="BO425" s="1431" t="str">
        <f t="shared" si="768"/>
        <v>-</v>
      </c>
      <c r="BP425" s="1431" t="str">
        <f t="shared" si="769"/>
        <v>-</v>
      </c>
      <c r="BQ425" s="1434" t="str">
        <f t="shared" si="770"/>
        <v>-</v>
      </c>
      <c r="BR425" s="1378"/>
      <c r="BS425" s="1407"/>
      <c r="BT425" s="1408"/>
      <c r="BU425" s="1409"/>
      <c r="BV425" s="1410"/>
      <c r="BW425" s="1378"/>
      <c r="BX425" s="1428" t="str">
        <f t="shared" si="771"/>
        <v>Rev</v>
      </c>
      <c r="BY425" s="1429" t="str">
        <f t="shared" si="772"/>
        <v>[Service]</v>
      </c>
      <c r="BZ425" s="1430" t="str">
        <f t="shared" si="773"/>
        <v>[Price]</v>
      </c>
      <c r="CA425" s="1435" t="str">
        <f t="shared" ref="CA425:CR425" si="856">IFERROR((P425/O425-1)*(O425/O$13),"-")</f>
        <v>-</v>
      </c>
      <c r="CB425" s="1431" t="str">
        <f t="shared" si="856"/>
        <v>-</v>
      </c>
      <c r="CC425" s="1431" t="str">
        <f t="shared" si="856"/>
        <v>-</v>
      </c>
      <c r="CD425" s="1431" t="str">
        <f t="shared" si="856"/>
        <v>-</v>
      </c>
      <c r="CE425" s="1431" t="str">
        <f t="shared" si="856"/>
        <v>-</v>
      </c>
      <c r="CF425" s="1431" t="str">
        <f t="shared" si="856"/>
        <v>-</v>
      </c>
      <c r="CG425" s="1431" t="str">
        <f t="shared" si="856"/>
        <v>-</v>
      </c>
      <c r="CH425" s="1433" t="str">
        <f t="shared" si="856"/>
        <v>-</v>
      </c>
      <c r="CI425" s="1431" t="str">
        <f t="shared" si="856"/>
        <v>-</v>
      </c>
      <c r="CJ425" s="1431" t="str">
        <f t="shared" si="856"/>
        <v>-</v>
      </c>
      <c r="CK425" s="1431" t="str">
        <f t="shared" si="856"/>
        <v>-</v>
      </c>
      <c r="CL425" s="1431" t="str">
        <f t="shared" si="856"/>
        <v>-</v>
      </c>
      <c r="CM425" s="1433" t="str">
        <f t="shared" si="856"/>
        <v>-</v>
      </c>
      <c r="CN425" s="1431" t="str">
        <f t="shared" si="856"/>
        <v>-</v>
      </c>
      <c r="CO425" s="1431" t="str">
        <f t="shared" si="856"/>
        <v>-</v>
      </c>
      <c r="CP425" s="1431" t="str">
        <f t="shared" si="856"/>
        <v>-</v>
      </c>
      <c r="CQ425" s="1431" t="str">
        <f t="shared" si="856"/>
        <v>-</v>
      </c>
      <c r="CR425" s="1434" t="str">
        <f t="shared" si="856"/>
        <v>-</v>
      </c>
      <c r="CS425" s="1378"/>
      <c r="CT425" s="1428" t="str">
        <f t="shared" si="749"/>
        <v>Rev</v>
      </c>
      <c r="CU425" s="1429" t="str">
        <f t="shared" si="750"/>
        <v>[Service]</v>
      </c>
      <c r="CV425" s="1429" t="str">
        <f t="shared" si="751"/>
        <v>[Price]</v>
      </c>
      <c r="CW425" s="1435" t="str">
        <f t="shared" si="775"/>
        <v>-</v>
      </c>
      <c r="CX425" s="1431" t="str">
        <f t="shared" si="776"/>
        <v>-</v>
      </c>
      <c r="CY425" s="1431" t="str">
        <f t="shared" si="777"/>
        <v>-</v>
      </c>
      <c r="CZ425" s="1434" t="str">
        <f t="shared" si="778"/>
        <v>-</v>
      </c>
      <c r="DA425" s="1431" t="str">
        <f t="shared" si="779"/>
        <v>-</v>
      </c>
      <c r="DB425" s="1431" t="str">
        <f t="shared" si="780"/>
        <v>-</v>
      </c>
      <c r="DC425" s="1431" t="str">
        <f t="shared" si="781"/>
        <v>-</v>
      </c>
      <c r="DD425" s="1431" t="str">
        <f t="shared" si="782"/>
        <v>-</v>
      </c>
      <c r="DE425" s="1434" t="str">
        <f t="shared" si="783"/>
        <v>-</v>
      </c>
      <c r="DF425" s="1378"/>
      <c r="DG425" s="1428" t="str">
        <f t="shared" si="784"/>
        <v>Rev</v>
      </c>
      <c r="DH425" s="1429" t="str">
        <f t="shared" si="784"/>
        <v>[Service]</v>
      </c>
      <c r="DI425" s="1429" t="str">
        <f t="shared" si="784"/>
        <v>[Price]</v>
      </c>
      <c r="DJ425" s="1429"/>
      <c r="DK425" s="1435" t="str">
        <f t="shared" si="785"/>
        <v>-</v>
      </c>
      <c r="DL425" s="1431" t="str">
        <f t="shared" si="786"/>
        <v>-</v>
      </c>
      <c r="DM425" s="1431" t="str">
        <f t="shared" si="787"/>
        <v>-</v>
      </c>
      <c r="DN425" s="1433" t="str">
        <f t="shared" si="788"/>
        <v>-</v>
      </c>
      <c r="DO425" s="1431" t="str">
        <f t="shared" si="789"/>
        <v>-</v>
      </c>
      <c r="DP425" s="1431" t="str">
        <f t="shared" si="790"/>
        <v>-</v>
      </c>
      <c r="DQ425" s="1431" t="str">
        <f t="shared" si="791"/>
        <v>-</v>
      </c>
      <c r="DR425" s="1434" t="str">
        <f t="shared" si="792"/>
        <v>-</v>
      </c>
    </row>
    <row r="426" spans="4:122">
      <c r="D426" s="70">
        <f>D423+1</f>
        <v>121</v>
      </c>
      <c r="E426" s="713" t="s">
        <v>44</v>
      </c>
      <c r="F426" s="789" t="s">
        <v>27</v>
      </c>
      <c r="G426" s="789"/>
      <c r="H426" s="789"/>
      <c r="I426" s="781" t="s">
        <v>318</v>
      </c>
      <c r="J426" s="781" t="s">
        <v>345</v>
      </c>
      <c r="K426" s="714"/>
      <c r="L426" s="715"/>
      <c r="M426" s="715"/>
      <c r="N426" s="716"/>
      <c r="O426" s="2072"/>
      <c r="P426" s="783"/>
      <c r="Q426" s="783"/>
      <c r="R426" s="783"/>
      <c r="S426" s="783"/>
      <c r="T426" s="783"/>
      <c r="U426" s="783"/>
      <c r="V426" s="783"/>
      <c r="W426" s="783"/>
      <c r="X426" s="784"/>
      <c r="Y426" s="783"/>
      <c r="Z426" s="783"/>
      <c r="AA426" s="783"/>
      <c r="AB426" s="783"/>
      <c r="AC426" s="784"/>
      <c r="AD426" s="783"/>
      <c r="AE426" s="783"/>
      <c r="AF426" s="783"/>
      <c r="AG426" s="785"/>
      <c r="AH426" s="697"/>
      <c r="AI426" s="707"/>
      <c r="AJ426" s="709">
        <f t="shared" si="796"/>
        <v>0</v>
      </c>
      <c r="AK426" s="710">
        <f t="shared" si="797"/>
        <v>0</v>
      </c>
      <c r="AL426" s="710">
        <f t="shared" si="798"/>
        <v>0</v>
      </c>
      <c r="AM426" s="710">
        <f t="shared" si="799"/>
        <v>0</v>
      </c>
      <c r="AN426" s="710">
        <f t="shared" si="800"/>
        <v>0</v>
      </c>
      <c r="AO426" s="711">
        <f t="shared" si="801"/>
        <v>0</v>
      </c>
      <c r="AP426" s="707">
        <f t="shared" si="802"/>
        <v>0</v>
      </c>
      <c r="AQ426" s="707">
        <f t="shared" si="803"/>
        <v>0</v>
      </c>
      <c r="AR426" s="707">
        <f t="shared" si="804"/>
        <v>0</v>
      </c>
      <c r="AS426" s="712">
        <f t="shared" si="805"/>
        <v>0</v>
      </c>
      <c r="AU426" s="1369"/>
      <c r="AV426" s="1559"/>
      <c r="AW426" s="1412" t="str">
        <f t="shared" si="753"/>
        <v>Price</v>
      </c>
      <c r="AX426" s="1413" t="str">
        <f t="shared" si="753"/>
        <v>[Service]</v>
      </c>
      <c r="AY426" s="1414" t="str">
        <f t="shared" si="754"/>
        <v>[Price]</v>
      </c>
      <c r="AZ426" s="1415" t="str">
        <f t="shared" si="845"/>
        <v>-</v>
      </c>
      <c r="BA426" s="1415" t="str">
        <f t="shared" si="845"/>
        <v>-</v>
      </c>
      <c r="BB426" s="1415" t="str">
        <f t="shared" si="845"/>
        <v>-</v>
      </c>
      <c r="BC426" s="1415" t="str">
        <f t="shared" si="756"/>
        <v>-</v>
      </c>
      <c r="BD426" s="1415" t="str">
        <f t="shared" si="757"/>
        <v>-</v>
      </c>
      <c r="BE426" s="1415" t="str">
        <f t="shared" si="758"/>
        <v>-</v>
      </c>
      <c r="BF426" s="1415" t="str">
        <f t="shared" si="759"/>
        <v>-</v>
      </c>
      <c r="BG426" s="1416" t="str">
        <f t="shared" si="760"/>
        <v>-</v>
      </c>
      <c r="BH426" s="1417" t="str">
        <f t="shared" si="761"/>
        <v>-</v>
      </c>
      <c r="BI426" s="1417" t="str">
        <f t="shared" si="762"/>
        <v>-</v>
      </c>
      <c r="BJ426" s="1417" t="str">
        <f t="shared" si="763"/>
        <v>-</v>
      </c>
      <c r="BK426" s="1417" t="str">
        <f t="shared" si="764"/>
        <v>-</v>
      </c>
      <c r="BL426" s="1418" t="str">
        <f t="shared" si="765"/>
        <v>-</v>
      </c>
      <c r="BM426" s="1417" t="str">
        <f t="shared" si="766"/>
        <v>-</v>
      </c>
      <c r="BN426" s="1417" t="str">
        <f t="shared" si="767"/>
        <v>-</v>
      </c>
      <c r="BO426" s="1417" t="str">
        <f t="shared" si="768"/>
        <v>-</v>
      </c>
      <c r="BP426" s="1417" t="str">
        <f t="shared" si="769"/>
        <v>-</v>
      </c>
      <c r="BQ426" s="1419" t="str">
        <f t="shared" si="770"/>
        <v>-</v>
      </c>
      <c r="BR426" s="1378"/>
      <c r="BS426" s="1420"/>
      <c r="BT426" s="1421"/>
      <c r="BU426" s="1422"/>
      <c r="BV426" s="1423"/>
      <c r="BW426" s="1378"/>
      <c r="BX426" s="1412" t="str">
        <f t="shared" si="771"/>
        <v>Price</v>
      </c>
      <c r="BY426" s="1413" t="str">
        <f t="shared" si="772"/>
        <v>[Service]</v>
      </c>
      <c r="BZ426" s="1414" t="str">
        <f t="shared" si="773"/>
        <v>[Price]</v>
      </c>
      <c r="CA426" s="1424" t="str">
        <f t="shared" ref="CA426:CR426" si="857">IFERROR((P426/O426-1)*(O428/O$13),"-")</f>
        <v>-</v>
      </c>
      <c r="CB426" s="1415" t="str">
        <f t="shared" si="857"/>
        <v>-</v>
      </c>
      <c r="CC426" s="1415" t="str">
        <f t="shared" si="857"/>
        <v>-</v>
      </c>
      <c r="CD426" s="1415" t="str">
        <f t="shared" si="857"/>
        <v>-</v>
      </c>
      <c r="CE426" s="1415" t="str">
        <f t="shared" si="857"/>
        <v>-</v>
      </c>
      <c r="CF426" s="1415" t="str">
        <f t="shared" si="857"/>
        <v>-</v>
      </c>
      <c r="CG426" s="1415" t="str">
        <f t="shared" si="857"/>
        <v>-</v>
      </c>
      <c r="CH426" s="1425" t="str">
        <f t="shared" si="857"/>
        <v>-</v>
      </c>
      <c r="CI426" s="1417" t="str">
        <f t="shared" si="857"/>
        <v>-</v>
      </c>
      <c r="CJ426" s="1417" t="str">
        <f t="shared" si="857"/>
        <v>-</v>
      </c>
      <c r="CK426" s="1417" t="str">
        <f t="shared" si="857"/>
        <v>-</v>
      </c>
      <c r="CL426" s="1417" t="str">
        <f t="shared" si="857"/>
        <v>-</v>
      </c>
      <c r="CM426" s="1418" t="str">
        <f t="shared" si="857"/>
        <v>-</v>
      </c>
      <c r="CN426" s="1417" t="str">
        <f t="shared" si="857"/>
        <v>-</v>
      </c>
      <c r="CO426" s="1417" t="str">
        <f t="shared" si="857"/>
        <v>-</v>
      </c>
      <c r="CP426" s="1417" t="str">
        <f t="shared" si="857"/>
        <v>-</v>
      </c>
      <c r="CQ426" s="1417" t="str">
        <f t="shared" si="857"/>
        <v>-</v>
      </c>
      <c r="CR426" s="1419" t="str">
        <f t="shared" si="857"/>
        <v>-</v>
      </c>
      <c r="CS426" s="1378"/>
      <c r="CT426" s="1412" t="str">
        <f t="shared" si="749"/>
        <v>Price</v>
      </c>
      <c r="CU426" s="1413" t="str">
        <f t="shared" si="750"/>
        <v>[Service]</v>
      </c>
      <c r="CV426" s="1426" t="str">
        <f t="shared" si="751"/>
        <v>[Price]</v>
      </c>
      <c r="CW426" s="1427" t="str">
        <f t="shared" si="775"/>
        <v>-</v>
      </c>
      <c r="CX426" s="1417" t="str">
        <f t="shared" si="776"/>
        <v>-</v>
      </c>
      <c r="CY426" s="1417" t="str">
        <f t="shared" si="777"/>
        <v>-</v>
      </c>
      <c r="CZ426" s="1419" t="str">
        <f t="shared" si="778"/>
        <v>-</v>
      </c>
      <c r="DA426" s="1417" t="str">
        <f t="shared" si="779"/>
        <v>-</v>
      </c>
      <c r="DB426" s="1417" t="str">
        <f t="shared" si="780"/>
        <v>-</v>
      </c>
      <c r="DC426" s="1417" t="str">
        <f t="shared" si="781"/>
        <v>-</v>
      </c>
      <c r="DD426" s="1417" t="str">
        <f t="shared" si="782"/>
        <v>-</v>
      </c>
      <c r="DE426" s="1419" t="str">
        <f t="shared" si="783"/>
        <v>-</v>
      </c>
      <c r="DF426" s="1378"/>
      <c r="DG426" s="1412" t="str">
        <f t="shared" si="784"/>
        <v>Price</v>
      </c>
      <c r="DH426" s="1413" t="str">
        <f t="shared" si="784"/>
        <v>[Service]</v>
      </c>
      <c r="DI426" s="1426" t="str">
        <f t="shared" si="784"/>
        <v>[Price]</v>
      </c>
      <c r="DJ426" s="1426"/>
      <c r="DK426" s="1427" t="str">
        <f t="shared" si="785"/>
        <v>-</v>
      </c>
      <c r="DL426" s="1417" t="str">
        <f t="shared" si="786"/>
        <v>-</v>
      </c>
      <c r="DM426" s="1417" t="str">
        <f t="shared" si="787"/>
        <v>-</v>
      </c>
      <c r="DN426" s="1418" t="str">
        <f t="shared" si="788"/>
        <v>-</v>
      </c>
      <c r="DO426" s="1417" t="str">
        <f t="shared" si="789"/>
        <v>-</v>
      </c>
      <c r="DP426" s="1417" t="str">
        <f t="shared" si="790"/>
        <v>-</v>
      </c>
      <c r="DQ426" s="1417" t="str">
        <f t="shared" si="791"/>
        <v>-</v>
      </c>
      <c r="DR426" s="1419" t="str">
        <f t="shared" si="792"/>
        <v>-</v>
      </c>
    </row>
    <row r="427" spans="4:122">
      <c r="E427" s="742" t="s">
        <v>45</v>
      </c>
      <c r="F427" s="722" t="str">
        <f>+F426</f>
        <v>[Service]</v>
      </c>
      <c r="G427" s="723">
        <f>+G426</f>
        <v>0</v>
      </c>
      <c r="H427" s="723">
        <f>+H426</f>
        <v>0</v>
      </c>
      <c r="I427" s="724" t="str">
        <f>+I426</f>
        <v>[Price]</v>
      </c>
      <c r="J427" s="782" t="s">
        <v>322</v>
      </c>
      <c r="K427" s="725"/>
      <c r="L427" s="726"/>
      <c r="M427" s="726"/>
      <c r="N427" s="727"/>
      <c r="O427" s="2122"/>
      <c r="P427" s="786"/>
      <c r="Q427" s="786"/>
      <c r="R427" s="786"/>
      <c r="S427" s="786"/>
      <c r="T427" s="786"/>
      <c r="U427" s="786"/>
      <c r="V427" s="786"/>
      <c r="W427" s="786"/>
      <c r="X427" s="787"/>
      <c r="Y427" s="786"/>
      <c r="Z427" s="786"/>
      <c r="AA427" s="786"/>
      <c r="AB427" s="786"/>
      <c r="AC427" s="787"/>
      <c r="AD427" s="786"/>
      <c r="AE427" s="786"/>
      <c r="AF427" s="786"/>
      <c r="AG427" s="788"/>
      <c r="AH427" s="697"/>
      <c r="AI427" s="707"/>
      <c r="AJ427" s="709">
        <f t="shared" si="796"/>
        <v>0</v>
      </c>
      <c r="AK427" s="710">
        <f t="shared" si="797"/>
        <v>0</v>
      </c>
      <c r="AL427" s="710">
        <f t="shared" si="798"/>
        <v>0</v>
      </c>
      <c r="AM427" s="710">
        <f t="shared" si="799"/>
        <v>0</v>
      </c>
      <c r="AN427" s="710">
        <f t="shared" si="800"/>
        <v>0</v>
      </c>
      <c r="AO427" s="711">
        <f t="shared" si="801"/>
        <v>0</v>
      </c>
      <c r="AP427" s="707">
        <f t="shared" si="802"/>
        <v>0</v>
      </c>
      <c r="AQ427" s="707">
        <f t="shared" si="803"/>
        <v>0</v>
      </c>
      <c r="AR427" s="707">
        <f t="shared" si="804"/>
        <v>0</v>
      </c>
      <c r="AS427" s="712">
        <f t="shared" si="805"/>
        <v>0</v>
      </c>
      <c r="AV427" s="1559"/>
      <c r="AW427" s="1392" t="str">
        <f t="shared" si="753"/>
        <v>Qty</v>
      </c>
      <c r="AX427" s="1393" t="str">
        <f t="shared" si="753"/>
        <v>[Service]</v>
      </c>
      <c r="AY427" s="1394" t="str">
        <f t="shared" si="754"/>
        <v>[Price]</v>
      </c>
      <c r="AZ427" s="1395" t="str">
        <f t="shared" si="845"/>
        <v>-</v>
      </c>
      <c r="BA427" s="1395" t="str">
        <f t="shared" si="845"/>
        <v>-</v>
      </c>
      <c r="BB427" s="1395" t="str">
        <f t="shared" si="845"/>
        <v>-</v>
      </c>
      <c r="BC427" s="1395" t="str">
        <f t="shared" si="756"/>
        <v>-</v>
      </c>
      <c r="BD427" s="1395" t="str">
        <f t="shared" si="757"/>
        <v>-</v>
      </c>
      <c r="BE427" s="1395" t="str">
        <f t="shared" si="758"/>
        <v>-</v>
      </c>
      <c r="BF427" s="1395" t="str">
        <f t="shared" si="759"/>
        <v>-</v>
      </c>
      <c r="BG427" s="1396" t="str">
        <f t="shared" si="760"/>
        <v>-</v>
      </c>
      <c r="BH427" s="1395" t="str">
        <f t="shared" si="761"/>
        <v>-</v>
      </c>
      <c r="BI427" s="1395" t="str">
        <f t="shared" si="762"/>
        <v>-</v>
      </c>
      <c r="BJ427" s="1395" t="str">
        <f t="shared" si="763"/>
        <v>-</v>
      </c>
      <c r="BK427" s="1395" t="str">
        <f t="shared" si="764"/>
        <v>-</v>
      </c>
      <c r="BL427" s="1397" t="str">
        <f t="shared" si="765"/>
        <v>-</v>
      </c>
      <c r="BM427" s="1395" t="str">
        <f t="shared" si="766"/>
        <v>-</v>
      </c>
      <c r="BN427" s="1395" t="str">
        <f t="shared" si="767"/>
        <v>-</v>
      </c>
      <c r="BO427" s="1395" t="str">
        <f t="shared" si="768"/>
        <v>-</v>
      </c>
      <c r="BP427" s="1395" t="str">
        <f t="shared" si="769"/>
        <v>-</v>
      </c>
      <c r="BQ427" s="1398" t="str">
        <f t="shared" si="770"/>
        <v>-</v>
      </c>
      <c r="BR427" s="1378"/>
      <c r="BS427" s="1329"/>
      <c r="BT427" s="1399"/>
      <c r="BU427" s="1331"/>
      <c r="BV427" s="1400"/>
      <c r="BW427" s="1378"/>
      <c r="BX427" s="1392" t="str">
        <f t="shared" si="771"/>
        <v>Qty</v>
      </c>
      <c r="BY427" s="1393" t="str">
        <f t="shared" si="772"/>
        <v>[Service]</v>
      </c>
      <c r="BZ427" s="1394" t="str">
        <f t="shared" si="773"/>
        <v>[Price]</v>
      </c>
      <c r="CA427" s="1401" t="str">
        <f t="shared" ref="CA427:CR427" si="858">IFERROR((P427/O427-1)*(O428/O$13),"-")</f>
        <v>-</v>
      </c>
      <c r="CB427" s="1395" t="str">
        <f t="shared" si="858"/>
        <v>-</v>
      </c>
      <c r="CC427" s="1395" t="str">
        <f t="shared" si="858"/>
        <v>-</v>
      </c>
      <c r="CD427" s="1395" t="str">
        <f t="shared" si="858"/>
        <v>-</v>
      </c>
      <c r="CE427" s="1395" t="str">
        <f t="shared" si="858"/>
        <v>-</v>
      </c>
      <c r="CF427" s="1395" t="str">
        <f t="shared" si="858"/>
        <v>-</v>
      </c>
      <c r="CG427" s="1395" t="str">
        <f t="shared" si="858"/>
        <v>-</v>
      </c>
      <c r="CH427" s="1397" t="str">
        <f t="shared" si="858"/>
        <v>-</v>
      </c>
      <c r="CI427" s="1395" t="str">
        <f t="shared" si="858"/>
        <v>-</v>
      </c>
      <c r="CJ427" s="1395" t="str">
        <f t="shared" si="858"/>
        <v>-</v>
      </c>
      <c r="CK427" s="1395" t="str">
        <f t="shared" si="858"/>
        <v>-</v>
      </c>
      <c r="CL427" s="1395" t="str">
        <f t="shared" si="858"/>
        <v>-</v>
      </c>
      <c r="CM427" s="1397" t="str">
        <f t="shared" si="858"/>
        <v>-</v>
      </c>
      <c r="CN427" s="1395" t="str">
        <f t="shared" si="858"/>
        <v>-</v>
      </c>
      <c r="CO427" s="1395" t="str">
        <f t="shared" si="858"/>
        <v>-</v>
      </c>
      <c r="CP427" s="1395" t="str">
        <f t="shared" si="858"/>
        <v>-</v>
      </c>
      <c r="CQ427" s="1395" t="str">
        <f t="shared" si="858"/>
        <v>-</v>
      </c>
      <c r="CR427" s="1398" t="str">
        <f t="shared" si="858"/>
        <v>-</v>
      </c>
      <c r="CS427" s="1378"/>
      <c r="CT427" s="1392" t="str">
        <f t="shared" si="749"/>
        <v>Qty</v>
      </c>
      <c r="CU427" s="1393" t="str">
        <f t="shared" si="750"/>
        <v>[Service]</v>
      </c>
      <c r="CV427" s="1393" t="str">
        <f t="shared" si="751"/>
        <v>[Price]</v>
      </c>
      <c r="CW427" s="1401" t="str">
        <f t="shared" si="775"/>
        <v>-</v>
      </c>
      <c r="CX427" s="1395" t="str">
        <f t="shared" si="776"/>
        <v>-</v>
      </c>
      <c r="CY427" s="1395" t="str">
        <f t="shared" si="777"/>
        <v>-</v>
      </c>
      <c r="CZ427" s="1398" t="str">
        <f t="shared" si="778"/>
        <v>-</v>
      </c>
      <c r="DA427" s="1395" t="str">
        <f t="shared" si="779"/>
        <v>-</v>
      </c>
      <c r="DB427" s="1395" t="str">
        <f t="shared" si="780"/>
        <v>-</v>
      </c>
      <c r="DC427" s="1395" t="str">
        <f t="shared" si="781"/>
        <v>-</v>
      </c>
      <c r="DD427" s="1395" t="str">
        <f t="shared" si="782"/>
        <v>-</v>
      </c>
      <c r="DE427" s="1398" t="str">
        <f t="shared" si="783"/>
        <v>-</v>
      </c>
      <c r="DF427" s="1378"/>
      <c r="DG427" s="1392" t="str">
        <f t="shared" si="784"/>
        <v>Qty</v>
      </c>
      <c r="DH427" s="1393" t="str">
        <f t="shared" si="784"/>
        <v>[Service]</v>
      </c>
      <c r="DI427" s="1393" t="str">
        <f t="shared" si="784"/>
        <v>[Price]</v>
      </c>
      <c r="DJ427" s="1393"/>
      <c r="DK427" s="1401" t="str">
        <f t="shared" si="785"/>
        <v>-</v>
      </c>
      <c r="DL427" s="1395" t="str">
        <f t="shared" si="786"/>
        <v>-</v>
      </c>
      <c r="DM427" s="1395" t="str">
        <f t="shared" si="787"/>
        <v>-</v>
      </c>
      <c r="DN427" s="1397" t="str">
        <f t="shared" si="788"/>
        <v>-</v>
      </c>
      <c r="DO427" s="1395" t="str">
        <f t="shared" si="789"/>
        <v>-</v>
      </c>
      <c r="DP427" s="1395" t="str">
        <f t="shared" si="790"/>
        <v>-</v>
      </c>
      <c r="DQ427" s="1395" t="str">
        <f t="shared" si="791"/>
        <v>-</v>
      </c>
      <c r="DR427" s="1398" t="str">
        <f t="shared" si="792"/>
        <v>-</v>
      </c>
    </row>
    <row r="428" spans="4:122" ht="12.75" thickBot="1">
      <c r="E428" s="743" t="s">
        <v>46</v>
      </c>
      <c r="F428" s="732" t="str">
        <f>+F426</f>
        <v>[Service]</v>
      </c>
      <c r="G428" s="733">
        <f>+G426</f>
        <v>0</v>
      </c>
      <c r="H428" s="733">
        <f>+H426</f>
        <v>0</v>
      </c>
      <c r="I428" s="734" t="str">
        <f>+I426</f>
        <v>[Price]</v>
      </c>
      <c r="J428" s="735" t="s">
        <v>344</v>
      </c>
      <c r="K428" s="736">
        <f t="shared" ref="K428:AG428" si="859">K426*K427/10^6</f>
        <v>0</v>
      </c>
      <c r="L428" s="737">
        <f t="shared" si="859"/>
        <v>0</v>
      </c>
      <c r="M428" s="737">
        <f t="shared" si="859"/>
        <v>0</v>
      </c>
      <c r="N428" s="738">
        <f t="shared" si="859"/>
        <v>0</v>
      </c>
      <c r="O428" s="1923">
        <f t="shared" si="859"/>
        <v>0</v>
      </c>
      <c r="P428" s="737">
        <f t="shared" si="859"/>
        <v>0</v>
      </c>
      <c r="Q428" s="737">
        <f t="shared" si="859"/>
        <v>0</v>
      </c>
      <c r="R428" s="737">
        <f t="shared" si="859"/>
        <v>0</v>
      </c>
      <c r="S428" s="737">
        <f t="shared" si="859"/>
        <v>0</v>
      </c>
      <c r="T428" s="737">
        <f t="shared" si="859"/>
        <v>0</v>
      </c>
      <c r="U428" s="737">
        <f t="shared" si="859"/>
        <v>0</v>
      </c>
      <c r="V428" s="737">
        <f t="shared" si="859"/>
        <v>0</v>
      </c>
      <c r="W428" s="737">
        <f t="shared" si="859"/>
        <v>0</v>
      </c>
      <c r="X428" s="738">
        <f t="shared" si="859"/>
        <v>0</v>
      </c>
      <c r="Y428" s="737">
        <f t="shared" si="859"/>
        <v>0</v>
      </c>
      <c r="Z428" s="737">
        <f t="shared" si="859"/>
        <v>0</v>
      </c>
      <c r="AA428" s="737">
        <f t="shared" si="859"/>
        <v>0</v>
      </c>
      <c r="AB428" s="737">
        <f t="shared" si="859"/>
        <v>0</v>
      </c>
      <c r="AC428" s="738">
        <f t="shared" si="859"/>
        <v>0</v>
      </c>
      <c r="AD428" s="737">
        <f t="shared" si="859"/>
        <v>0</v>
      </c>
      <c r="AE428" s="737">
        <f t="shared" si="859"/>
        <v>0</v>
      </c>
      <c r="AF428" s="737">
        <f t="shared" si="859"/>
        <v>0</v>
      </c>
      <c r="AG428" s="739">
        <f t="shared" si="859"/>
        <v>0</v>
      </c>
      <c r="AH428" s="697"/>
      <c r="AI428" s="707"/>
      <c r="AJ428" s="709">
        <f t="shared" si="796"/>
        <v>0</v>
      </c>
      <c r="AK428" s="710">
        <f t="shared" si="797"/>
        <v>0</v>
      </c>
      <c r="AL428" s="710">
        <f t="shared" si="798"/>
        <v>0</v>
      </c>
      <c r="AM428" s="710">
        <f t="shared" si="799"/>
        <v>0</v>
      </c>
      <c r="AN428" s="710">
        <f t="shared" si="800"/>
        <v>0</v>
      </c>
      <c r="AO428" s="711">
        <f t="shared" si="801"/>
        <v>0</v>
      </c>
      <c r="AP428" s="707">
        <f t="shared" si="802"/>
        <v>0</v>
      </c>
      <c r="AQ428" s="707">
        <f t="shared" si="803"/>
        <v>0</v>
      </c>
      <c r="AR428" s="707">
        <f t="shared" si="804"/>
        <v>0</v>
      </c>
      <c r="AS428" s="712">
        <f t="shared" si="805"/>
        <v>0</v>
      </c>
      <c r="AV428" s="1559"/>
      <c r="AW428" s="1428" t="str">
        <f t="shared" si="753"/>
        <v>Rev</v>
      </c>
      <c r="AX428" s="1429" t="str">
        <f t="shared" si="753"/>
        <v>[Service]</v>
      </c>
      <c r="AY428" s="1430" t="str">
        <f t="shared" si="754"/>
        <v>[Price]</v>
      </c>
      <c r="AZ428" s="1431" t="str">
        <f t="shared" si="845"/>
        <v>-</v>
      </c>
      <c r="BA428" s="1431" t="str">
        <f t="shared" si="845"/>
        <v>-</v>
      </c>
      <c r="BB428" s="1431" t="str">
        <f t="shared" si="845"/>
        <v>-</v>
      </c>
      <c r="BC428" s="1431" t="str">
        <f t="shared" si="756"/>
        <v>-</v>
      </c>
      <c r="BD428" s="1431" t="str">
        <f t="shared" si="757"/>
        <v>-</v>
      </c>
      <c r="BE428" s="1431" t="str">
        <f t="shared" si="758"/>
        <v>-</v>
      </c>
      <c r="BF428" s="1431" t="str">
        <f t="shared" si="759"/>
        <v>-</v>
      </c>
      <c r="BG428" s="1432" t="str">
        <f t="shared" si="760"/>
        <v>-</v>
      </c>
      <c r="BH428" s="1431" t="str">
        <f t="shared" si="761"/>
        <v>-</v>
      </c>
      <c r="BI428" s="1431" t="str">
        <f t="shared" si="762"/>
        <v>-</v>
      </c>
      <c r="BJ428" s="1431" t="str">
        <f t="shared" si="763"/>
        <v>-</v>
      </c>
      <c r="BK428" s="1431" t="str">
        <f t="shared" si="764"/>
        <v>-</v>
      </c>
      <c r="BL428" s="1433" t="str">
        <f t="shared" si="765"/>
        <v>-</v>
      </c>
      <c r="BM428" s="1431" t="str">
        <f t="shared" si="766"/>
        <v>-</v>
      </c>
      <c r="BN428" s="1431" t="str">
        <f t="shared" si="767"/>
        <v>-</v>
      </c>
      <c r="BO428" s="1431" t="str">
        <f t="shared" si="768"/>
        <v>-</v>
      </c>
      <c r="BP428" s="1431" t="str">
        <f t="shared" si="769"/>
        <v>-</v>
      </c>
      <c r="BQ428" s="1434" t="str">
        <f t="shared" si="770"/>
        <v>-</v>
      </c>
      <c r="BR428" s="1378"/>
      <c r="BS428" s="1407"/>
      <c r="BT428" s="1408"/>
      <c r="BU428" s="1409"/>
      <c r="BV428" s="1410"/>
      <c r="BW428" s="1378"/>
      <c r="BX428" s="1428" t="str">
        <f t="shared" si="771"/>
        <v>Rev</v>
      </c>
      <c r="BY428" s="1429" t="str">
        <f t="shared" si="772"/>
        <v>[Service]</v>
      </c>
      <c r="BZ428" s="1430" t="str">
        <f t="shared" si="773"/>
        <v>[Price]</v>
      </c>
      <c r="CA428" s="1435" t="str">
        <f t="shared" ref="CA428:CR428" si="860">IFERROR((P428/O428-1)*(O428/O$13),"-")</f>
        <v>-</v>
      </c>
      <c r="CB428" s="1431" t="str">
        <f t="shared" si="860"/>
        <v>-</v>
      </c>
      <c r="CC428" s="1431" t="str">
        <f t="shared" si="860"/>
        <v>-</v>
      </c>
      <c r="CD428" s="1431" t="str">
        <f t="shared" si="860"/>
        <v>-</v>
      </c>
      <c r="CE428" s="1431" t="str">
        <f t="shared" si="860"/>
        <v>-</v>
      </c>
      <c r="CF428" s="1431" t="str">
        <f t="shared" si="860"/>
        <v>-</v>
      </c>
      <c r="CG428" s="1431" t="str">
        <f t="shared" si="860"/>
        <v>-</v>
      </c>
      <c r="CH428" s="1433" t="str">
        <f t="shared" si="860"/>
        <v>-</v>
      </c>
      <c r="CI428" s="1431" t="str">
        <f t="shared" si="860"/>
        <v>-</v>
      </c>
      <c r="CJ428" s="1431" t="str">
        <f t="shared" si="860"/>
        <v>-</v>
      </c>
      <c r="CK428" s="1431" t="str">
        <f t="shared" si="860"/>
        <v>-</v>
      </c>
      <c r="CL428" s="1431" t="str">
        <f t="shared" si="860"/>
        <v>-</v>
      </c>
      <c r="CM428" s="1433" t="str">
        <f t="shared" si="860"/>
        <v>-</v>
      </c>
      <c r="CN428" s="1431" t="str">
        <f t="shared" si="860"/>
        <v>-</v>
      </c>
      <c r="CO428" s="1431" t="str">
        <f t="shared" si="860"/>
        <v>-</v>
      </c>
      <c r="CP428" s="1431" t="str">
        <f t="shared" si="860"/>
        <v>-</v>
      </c>
      <c r="CQ428" s="1431" t="str">
        <f t="shared" si="860"/>
        <v>-</v>
      </c>
      <c r="CR428" s="1434" t="str">
        <f t="shared" si="860"/>
        <v>-</v>
      </c>
      <c r="CS428" s="1378"/>
      <c r="CT428" s="1428" t="str">
        <f t="shared" si="749"/>
        <v>Rev</v>
      </c>
      <c r="CU428" s="1429" t="str">
        <f t="shared" si="750"/>
        <v>[Service]</v>
      </c>
      <c r="CV428" s="1429" t="str">
        <f t="shared" si="751"/>
        <v>[Price]</v>
      </c>
      <c r="CW428" s="1435" t="str">
        <f t="shared" si="775"/>
        <v>-</v>
      </c>
      <c r="CX428" s="1431" t="str">
        <f t="shared" si="776"/>
        <v>-</v>
      </c>
      <c r="CY428" s="1431" t="str">
        <f t="shared" si="777"/>
        <v>-</v>
      </c>
      <c r="CZ428" s="1434" t="str">
        <f t="shared" si="778"/>
        <v>-</v>
      </c>
      <c r="DA428" s="1431" t="str">
        <f t="shared" si="779"/>
        <v>-</v>
      </c>
      <c r="DB428" s="1431" t="str">
        <f t="shared" si="780"/>
        <v>-</v>
      </c>
      <c r="DC428" s="1431" t="str">
        <f t="shared" si="781"/>
        <v>-</v>
      </c>
      <c r="DD428" s="1431" t="str">
        <f t="shared" si="782"/>
        <v>-</v>
      </c>
      <c r="DE428" s="1434" t="str">
        <f t="shared" si="783"/>
        <v>-</v>
      </c>
      <c r="DF428" s="1378"/>
      <c r="DG428" s="1428" t="str">
        <f t="shared" si="784"/>
        <v>Rev</v>
      </c>
      <c r="DH428" s="1429" t="str">
        <f t="shared" si="784"/>
        <v>[Service]</v>
      </c>
      <c r="DI428" s="1429" t="str">
        <f t="shared" si="784"/>
        <v>[Price]</v>
      </c>
      <c r="DJ428" s="1429"/>
      <c r="DK428" s="1435" t="str">
        <f t="shared" si="785"/>
        <v>-</v>
      </c>
      <c r="DL428" s="1431" t="str">
        <f t="shared" si="786"/>
        <v>-</v>
      </c>
      <c r="DM428" s="1431" t="str">
        <f t="shared" si="787"/>
        <v>-</v>
      </c>
      <c r="DN428" s="1433" t="str">
        <f t="shared" si="788"/>
        <v>-</v>
      </c>
      <c r="DO428" s="1431" t="str">
        <f t="shared" si="789"/>
        <v>-</v>
      </c>
      <c r="DP428" s="1431" t="str">
        <f t="shared" si="790"/>
        <v>-</v>
      </c>
      <c r="DQ428" s="1431" t="str">
        <f t="shared" si="791"/>
        <v>-</v>
      </c>
      <c r="DR428" s="1434" t="str">
        <f t="shared" si="792"/>
        <v>-</v>
      </c>
    </row>
    <row r="429" spans="4:122">
      <c r="D429" s="70">
        <f>D426+1</f>
        <v>122</v>
      </c>
      <c r="E429" s="713" t="s">
        <v>44</v>
      </c>
      <c r="F429" s="789" t="s">
        <v>27</v>
      </c>
      <c r="G429" s="789"/>
      <c r="H429" s="789"/>
      <c r="I429" s="781" t="s">
        <v>318</v>
      </c>
      <c r="J429" s="781" t="s">
        <v>345</v>
      </c>
      <c r="K429" s="714"/>
      <c r="L429" s="715"/>
      <c r="M429" s="715"/>
      <c r="N429" s="716"/>
      <c r="O429" s="2072"/>
      <c r="P429" s="783"/>
      <c r="Q429" s="783"/>
      <c r="R429" s="783"/>
      <c r="S429" s="783"/>
      <c r="T429" s="783"/>
      <c r="U429" s="783"/>
      <c r="V429" s="783"/>
      <c r="W429" s="783"/>
      <c r="X429" s="784"/>
      <c r="Y429" s="783"/>
      <c r="Z429" s="783"/>
      <c r="AA429" s="783"/>
      <c r="AB429" s="783"/>
      <c r="AC429" s="784"/>
      <c r="AD429" s="783"/>
      <c r="AE429" s="783"/>
      <c r="AF429" s="783"/>
      <c r="AG429" s="785"/>
      <c r="AH429" s="697"/>
      <c r="AI429" s="707"/>
      <c r="AJ429" s="709">
        <f t="shared" si="796"/>
        <v>0</v>
      </c>
      <c r="AK429" s="710">
        <f t="shared" si="797"/>
        <v>0</v>
      </c>
      <c r="AL429" s="710">
        <f t="shared" si="798"/>
        <v>0</v>
      </c>
      <c r="AM429" s="710">
        <f t="shared" si="799"/>
        <v>0</v>
      </c>
      <c r="AN429" s="710">
        <f t="shared" si="800"/>
        <v>0</v>
      </c>
      <c r="AO429" s="711">
        <f t="shared" si="801"/>
        <v>0</v>
      </c>
      <c r="AP429" s="707">
        <f t="shared" si="802"/>
        <v>0</v>
      </c>
      <c r="AQ429" s="707">
        <f t="shared" si="803"/>
        <v>0</v>
      </c>
      <c r="AR429" s="707">
        <f t="shared" si="804"/>
        <v>0</v>
      </c>
      <c r="AS429" s="712">
        <f t="shared" si="805"/>
        <v>0</v>
      </c>
      <c r="AU429" s="1369"/>
      <c r="AV429" s="1559"/>
      <c r="AW429" s="1412" t="str">
        <f t="shared" si="753"/>
        <v>Price</v>
      </c>
      <c r="AX429" s="1413" t="str">
        <f t="shared" si="753"/>
        <v>[Service]</v>
      </c>
      <c r="AY429" s="1414" t="str">
        <f t="shared" si="754"/>
        <v>[Price]</v>
      </c>
      <c r="AZ429" s="1415" t="str">
        <f t="shared" si="845"/>
        <v>-</v>
      </c>
      <c r="BA429" s="1415" t="str">
        <f t="shared" si="845"/>
        <v>-</v>
      </c>
      <c r="BB429" s="1415" t="str">
        <f t="shared" si="845"/>
        <v>-</v>
      </c>
      <c r="BC429" s="1415" t="str">
        <f t="shared" si="756"/>
        <v>-</v>
      </c>
      <c r="BD429" s="1415" t="str">
        <f t="shared" si="757"/>
        <v>-</v>
      </c>
      <c r="BE429" s="1415" t="str">
        <f t="shared" si="758"/>
        <v>-</v>
      </c>
      <c r="BF429" s="1415" t="str">
        <f t="shared" si="759"/>
        <v>-</v>
      </c>
      <c r="BG429" s="1416" t="str">
        <f t="shared" si="760"/>
        <v>-</v>
      </c>
      <c r="BH429" s="1417" t="str">
        <f t="shared" si="761"/>
        <v>-</v>
      </c>
      <c r="BI429" s="1417" t="str">
        <f t="shared" si="762"/>
        <v>-</v>
      </c>
      <c r="BJ429" s="1417" t="str">
        <f t="shared" si="763"/>
        <v>-</v>
      </c>
      <c r="BK429" s="1417" t="str">
        <f t="shared" si="764"/>
        <v>-</v>
      </c>
      <c r="BL429" s="1418" t="str">
        <f t="shared" si="765"/>
        <v>-</v>
      </c>
      <c r="BM429" s="1417" t="str">
        <f t="shared" si="766"/>
        <v>-</v>
      </c>
      <c r="BN429" s="1417" t="str">
        <f t="shared" si="767"/>
        <v>-</v>
      </c>
      <c r="BO429" s="1417" t="str">
        <f t="shared" si="768"/>
        <v>-</v>
      </c>
      <c r="BP429" s="1417" t="str">
        <f t="shared" si="769"/>
        <v>-</v>
      </c>
      <c r="BQ429" s="1419" t="str">
        <f t="shared" si="770"/>
        <v>-</v>
      </c>
      <c r="BR429" s="1378"/>
      <c r="BS429" s="1420"/>
      <c r="BT429" s="1421"/>
      <c r="BU429" s="1422"/>
      <c r="BV429" s="1423"/>
      <c r="BW429" s="1378"/>
      <c r="BX429" s="1412" t="str">
        <f t="shared" si="771"/>
        <v>Price</v>
      </c>
      <c r="BY429" s="1413" t="str">
        <f t="shared" si="772"/>
        <v>[Service]</v>
      </c>
      <c r="BZ429" s="1414" t="str">
        <f t="shared" si="773"/>
        <v>[Price]</v>
      </c>
      <c r="CA429" s="1424" t="str">
        <f t="shared" ref="CA429:CR429" si="861">IFERROR((P429/O429-1)*(O431/O$13),"-")</f>
        <v>-</v>
      </c>
      <c r="CB429" s="1415" t="str">
        <f t="shared" si="861"/>
        <v>-</v>
      </c>
      <c r="CC429" s="1415" t="str">
        <f t="shared" si="861"/>
        <v>-</v>
      </c>
      <c r="CD429" s="1415" t="str">
        <f t="shared" si="861"/>
        <v>-</v>
      </c>
      <c r="CE429" s="1415" t="str">
        <f t="shared" si="861"/>
        <v>-</v>
      </c>
      <c r="CF429" s="1415" t="str">
        <f t="shared" si="861"/>
        <v>-</v>
      </c>
      <c r="CG429" s="1415" t="str">
        <f t="shared" si="861"/>
        <v>-</v>
      </c>
      <c r="CH429" s="1425" t="str">
        <f t="shared" si="861"/>
        <v>-</v>
      </c>
      <c r="CI429" s="1417" t="str">
        <f t="shared" si="861"/>
        <v>-</v>
      </c>
      <c r="CJ429" s="1417" t="str">
        <f t="shared" si="861"/>
        <v>-</v>
      </c>
      <c r="CK429" s="1417" t="str">
        <f t="shared" si="861"/>
        <v>-</v>
      </c>
      <c r="CL429" s="1417" t="str">
        <f t="shared" si="861"/>
        <v>-</v>
      </c>
      <c r="CM429" s="1418" t="str">
        <f t="shared" si="861"/>
        <v>-</v>
      </c>
      <c r="CN429" s="1417" t="str">
        <f t="shared" si="861"/>
        <v>-</v>
      </c>
      <c r="CO429" s="1417" t="str">
        <f t="shared" si="861"/>
        <v>-</v>
      </c>
      <c r="CP429" s="1417" t="str">
        <f t="shared" si="861"/>
        <v>-</v>
      </c>
      <c r="CQ429" s="1417" t="str">
        <f t="shared" si="861"/>
        <v>-</v>
      </c>
      <c r="CR429" s="1419" t="str">
        <f t="shared" si="861"/>
        <v>-</v>
      </c>
      <c r="CS429" s="1378"/>
      <c r="CT429" s="1412" t="str">
        <f t="shared" si="749"/>
        <v>Price</v>
      </c>
      <c r="CU429" s="1413" t="str">
        <f t="shared" si="750"/>
        <v>[Service]</v>
      </c>
      <c r="CV429" s="1426" t="str">
        <f t="shared" si="751"/>
        <v>[Price]</v>
      </c>
      <c r="CW429" s="1427" t="str">
        <f t="shared" si="775"/>
        <v>-</v>
      </c>
      <c r="CX429" s="1417" t="str">
        <f t="shared" si="776"/>
        <v>-</v>
      </c>
      <c r="CY429" s="1417" t="str">
        <f t="shared" si="777"/>
        <v>-</v>
      </c>
      <c r="CZ429" s="1419" t="str">
        <f t="shared" si="778"/>
        <v>-</v>
      </c>
      <c r="DA429" s="1417" t="str">
        <f t="shared" si="779"/>
        <v>-</v>
      </c>
      <c r="DB429" s="1417" t="str">
        <f t="shared" si="780"/>
        <v>-</v>
      </c>
      <c r="DC429" s="1417" t="str">
        <f t="shared" si="781"/>
        <v>-</v>
      </c>
      <c r="DD429" s="1417" t="str">
        <f t="shared" si="782"/>
        <v>-</v>
      </c>
      <c r="DE429" s="1419" t="str">
        <f t="shared" si="783"/>
        <v>-</v>
      </c>
      <c r="DF429" s="1378"/>
      <c r="DG429" s="1412" t="str">
        <f t="shared" si="784"/>
        <v>Price</v>
      </c>
      <c r="DH429" s="1413" t="str">
        <f t="shared" si="784"/>
        <v>[Service]</v>
      </c>
      <c r="DI429" s="1426" t="str">
        <f t="shared" si="784"/>
        <v>[Price]</v>
      </c>
      <c r="DJ429" s="1426"/>
      <c r="DK429" s="1427" t="str">
        <f t="shared" si="785"/>
        <v>-</v>
      </c>
      <c r="DL429" s="1417" t="str">
        <f t="shared" si="786"/>
        <v>-</v>
      </c>
      <c r="DM429" s="1417" t="str">
        <f t="shared" si="787"/>
        <v>-</v>
      </c>
      <c r="DN429" s="1418" t="str">
        <f t="shared" si="788"/>
        <v>-</v>
      </c>
      <c r="DO429" s="1417" t="str">
        <f t="shared" si="789"/>
        <v>-</v>
      </c>
      <c r="DP429" s="1417" t="str">
        <f t="shared" si="790"/>
        <v>-</v>
      </c>
      <c r="DQ429" s="1417" t="str">
        <f t="shared" si="791"/>
        <v>-</v>
      </c>
      <c r="DR429" s="1419" t="str">
        <f t="shared" si="792"/>
        <v>-</v>
      </c>
    </row>
    <row r="430" spans="4:122">
      <c r="E430" s="742" t="s">
        <v>45</v>
      </c>
      <c r="F430" s="722" t="str">
        <f>+F429</f>
        <v>[Service]</v>
      </c>
      <c r="G430" s="723">
        <f>+G429</f>
        <v>0</v>
      </c>
      <c r="H430" s="723">
        <f>+H429</f>
        <v>0</v>
      </c>
      <c r="I430" s="724" t="str">
        <f>+I429</f>
        <v>[Price]</v>
      </c>
      <c r="J430" s="782" t="s">
        <v>322</v>
      </c>
      <c r="K430" s="725"/>
      <c r="L430" s="726"/>
      <c r="M430" s="726"/>
      <c r="N430" s="727"/>
      <c r="O430" s="2122"/>
      <c r="P430" s="786"/>
      <c r="Q430" s="786"/>
      <c r="R430" s="786"/>
      <c r="S430" s="786"/>
      <c r="T430" s="786"/>
      <c r="U430" s="786"/>
      <c r="V430" s="786"/>
      <c r="W430" s="786"/>
      <c r="X430" s="787"/>
      <c r="Y430" s="786"/>
      <c r="Z430" s="786"/>
      <c r="AA430" s="786"/>
      <c r="AB430" s="786"/>
      <c r="AC430" s="787"/>
      <c r="AD430" s="786"/>
      <c r="AE430" s="786"/>
      <c r="AF430" s="786"/>
      <c r="AG430" s="788"/>
      <c r="AH430" s="697"/>
      <c r="AI430" s="707"/>
      <c r="AJ430" s="709">
        <f t="shared" si="796"/>
        <v>0</v>
      </c>
      <c r="AK430" s="710">
        <f t="shared" si="797"/>
        <v>0</v>
      </c>
      <c r="AL430" s="710">
        <f t="shared" si="798"/>
        <v>0</v>
      </c>
      <c r="AM430" s="710">
        <f t="shared" si="799"/>
        <v>0</v>
      </c>
      <c r="AN430" s="710">
        <f t="shared" si="800"/>
        <v>0</v>
      </c>
      <c r="AO430" s="711">
        <f t="shared" si="801"/>
        <v>0</v>
      </c>
      <c r="AP430" s="707">
        <f t="shared" si="802"/>
        <v>0</v>
      </c>
      <c r="AQ430" s="707">
        <f t="shared" si="803"/>
        <v>0</v>
      </c>
      <c r="AR430" s="707">
        <f t="shared" si="804"/>
        <v>0</v>
      </c>
      <c r="AS430" s="712">
        <f t="shared" si="805"/>
        <v>0</v>
      </c>
      <c r="AV430" s="1559"/>
      <c r="AW430" s="1392" t="str">
        <f t="shared" si="753"/>
        <v>Qty</v>
      </c>
      <c r="AX430" s="1393" t="str">
        <f t="shared" si="753"/>
        <v>[Service]</v>
      </c>
      <c r="AY430" s="1394" t="str">
        <f t="shared" si="754"/>
        <v>[Price]</v>
      </c>
      <c r="AZ430" s="1395" t="str">
        <f t="shared" si="845"/>
        <v>-</v>
      </c>
      <c r="BA430" s="1395" t="str">
        <f t="shared" si="845"/>
        <v>-</v>
      </c>
      <c r="BB430" s="1395" t="str">
        <f t="shared" si="845"/>
        <v>-</v>
      </c>
      <c r="BC430" s="1395" t="str">
        <f t="shared" si="756"/>
        <v>-</v>
      </c>
      <c r="BD430" s="1395" t="str">
        <f t="shared" si="757"/>
        <v>-</v>
      </c>
      <c r="BE430" s="1395" t="str">
        <f t="shared" si="758"/>
        <v>-</v>
      </c>
      <c r="BF430" s="1395" t="str">
        <f t="shared" si="759"/>
        <v>-</v>
      </c>
      <c r="BG430" s="1396" t="str">
        <f t="shared" si="760"/>
        <v>-</v>
      </c>
      <c r="BH430" s="1395" t="str">
        <f t="shared" si="761"/>
        <v>-</v>
      </c>
      <c r="BI430" s="1395" t="str">
        <f t="shared" si="762"/>
        <v>-</v>
      </c>
      <c r="BJ430" s="1395" t="str">
        <f t="shared" si="763"/>
        <v>-</v>
      </c>
      <c r="BK430" s="1395" t="str">
        <f t="shared" si="764"/>
        <v>-</v>
      </c>
      <c r="BL430" s="1397" t="str">
        <f t="shared" si="765"/>
        <v>-</v>
      </c>
      <c r="BM430" s="1395" t="str">
        <f t="shared" si="766"/>
        <v>-</v>
      </c>
      <c r="BN430" s="1395" t="str">
        <f t="shared" si="767"/>
        <v>-</v>
      </c>
      <c r="BO430" s="1395" t="str">
        <f t="shared" si="768"/>
        <v>-</v>
      </c>
      <c r="BP430" s="1395" t="str">
        <f t="shared" si="769"/>
        <v>-</v>
      </c>
      <c r="BQ430" s="1398" t="str">
        <f t="shared" si="770"/>
        <v>-</v>
      </c>
      <c r="BR430" s="1378"/>
      <c r="BS430" s="1329"/>
      <c r="BT430" s="1399"/>
      <c r="BU430" s="1331"/>
      <c r="BV430" s="1400"/>
      <c r="BW430" s="1378"/>
      <c r="BX430" s="1392" t="str">
        <f t="shared" si="771"/>
        <v>Qty</v>
      </c>
      <c r="BY430" s="1393" t="str">
        <f t="shared" si="772"/>
        <v>[Service]</v>
      </c>
      <c r="BZ430" s="1394" t="str">
        <f t="shared" si="773"/>
        <v>[Price]</v>
      </c>
      <c r="CA430" s="1401" t="str">
        <f t="shared" ref="CA430:CR430" si="862">IFERROR((P430/O430-1)*(O431/O$13),"-")</f>
        <v>-</v>
      </c>
      <c r="CB430" s="1395" t="str">
        <f t="shared" si="862"/>
        <v>-</v>
      </c>
      <c r="CC430" s="1395" t="str">
        <f t="shared" si="862"/>
        <v>-</v>
      </c>
      <c r="CD430" s="1395" t="str">
        <f t="shared" si="862"/>
        <v>-</v>
      </c>
      <c r="CE430" s="1395" t="str">
        <f t="shared" si="862"/>
        <v>-</v>
      </c>
      <c r="CF430" s="1395" t="str">
        <f t="shared" si="862"/>
        <v>-</v>
      </c>
      <c r="CG430" s="1395" t="str">
        <f t="shared" si="862"/>
        <v>-</v>
      </c>
      <c r="CH430" s="1397" t="str">
        <f t="shared" si="862"/>
        <v>-</v>
      </c>
      <c r="CI430" s="1395" t="str">
        <f t="shared" si="862"/>
        <v>-</v>
      </c>
      <c r="CJ430" s="1395" t="str">
        <f t="shared" si="862"/>
        <v>-</v>
      </c>
      <c r="CK430" s="1395" t="str">
        <f t="shared" si="862"/>
        <v>-</v>
      </c>
      <c r="CL430" s="1395" t="str">
        <f t="shared" si="862"/>
        <v>-</v>
      </c>
      <c r="CM430" s="1397" t="str">
        <f t="shared" si="862"/>
        <v>-</v>
      </c>
      <c r="CN430" s="1395" t="str">
        <f t="shared" si="862"/>
        <v>-</v>
      </c>
      <c r="CO430" s="1395" t="str">
        <f t="shared" si="862"/>
        <v>-</v>
      </c>
      <c r="CP430" s="1395" t="str">
        <f t="shared" si="862"/>
        <v>-</v>
      </c>
      <c r="CQ430" s="1395" t="str">
        <f t="shared" si="862"/>
        <v>-</v>
      </c>
      <c r="CR430" s="1398" t="str">
        <f t="shared" si="862"/>
        <v>-</v>
      </c>
      <c r="CS430" s="1378"/>
      <c r="CT430" s="1392" t="str">
        <f t="shared" si="749"/>
        <v>Qty</v>
      </c>
      <c r="CU430" s="1393" t="str">
        <f t="shared" si="750"/>
        <v>[Service]</v>
      </c>
      <c r="CV430" s="1393" t="str">
        <f t="shared" si="751"/>
        <v>[Price]</v>
      </c>
      <c r="CW430" s="1401" t="str">
        <f t="shared" si="775"/>
        <v>-</v>
      </c>
      <c r="CX430" s="1395" t="str">
        <f t="shared" si="776"/>
        <v>-</v>
      </c>
      <c r="CY430" s="1395" t="str">
        <f t="shared" si="777"/>
        <v>-</v>
      </c>
      <c r="CZ430" s="1398" t="str">
        <f t="shared" si="778"/>
        <v>-</v>
      </c>
      <c r="DA430" s="1395" t="str">
        <f t="shared" si="779"/>
        <v>-</v>
      </c>
      <c r="DB430" s="1395" t="str">
        <f t="shared" si="780"/>
        <v>-</v>
      </c>
      <c r="DC430" s="1395" t="str">
        <f t="shared" si="781"/>
        <v>-</v>
      </c>
      <c r="DD430" s="1395" t="str">
        <f t="shared" si="782"/>
        <v>-</v>
      </c>
      <c r="DE430" s="1398" t="str">
        <f t="shared" si="783"/>
        <v>-</v>
      </c>
      <c r="DF430" s="1378"/>
      <c r="DG430" s="1392" t="str">
        <f t="shared" si="784"/>
        <v>Qty</v>
      </c>
      <c r="DH430" s="1393" t="str">
        <f t="shared" si="784"/>
        <v>[Service]</v>
      </c>
      <c r="DI430" s="1393" t="str">
        <f t="shared" si="784"/>
        <v>[Price]</v>
      </c>
      <c r="DJ430" s="1393"/>
      <c r="DK430" s="1401" t="str">
        <f t="shared" si="785"/>
        <v>-</v>
      </c>
      <c r="DL430" s="1395" t="str">
        <f t="shared" si="786"/>
        <v>-</v>
      </c>
      <c r="DM430" s="1395" t="str">
        <f t="shared" si="787"/>
        <v>-</v>
      </c>
      <c r="DN430" s="1397" t="str">
        <f t="shared" si="788"/>
        <v>-</v>
      </c>
      <c r="DO430" s="1395" t="str">
        <f t="shared" si="789"/>
        <v>-</v>
      </c>
      <c r="DP430" s="1395" t="str">
        <f t="shared" si="790"/>
        <v>-</v>
      </c>
      <c r="DQ430" s="1395" t="str">
        <f t="shared" si="791"/>
        <v>-</v>
      </c>
      <c r="DR430" s="1398" t="str">
        <f t="shared" si="792"/>
        <v>-</v>
      </c>
    </row>
    <row r="431" spans="4:122" ht="12.75" thickBot="1">
      <c r="E431" s="743" t="s">
        <v>46</v>
      </c>
      <c r="F431" s="732" t="str">
        <f>+F429</f>
        <v>[Service]</v>
      </c>
      <c r="G431" s="733">
        <f>+G429</f>
        <v>0</v>
      </c>
      <c r="H431" s="733">
        <f>+H429</f>
        <v>0</v>
      </c>
      <c r="I431" s="734" t="str">
        <f>+I429</f>
        <v>[Price]</v>
      </c>
      <c r="J431" s="735" t="s">
        <v>344</v>
      </c>
      <c r="K431" s="736">
        <f t="shared" ref="K431:AG431" si="863">K429*K430/10^6</f>
        <v>0</v>
      </c>
      <c r="L431" s="737">
        <f t="shared" si="863"/>
        <v>0</v>
      </c>
      <c r="M431" s="737">
        <f t="shared" si="863"/>
        <v>0</v>
      </c>
      <c r="N431" s="738">
        <f t="shared" si="863"/>
        <v>0</v>
      </c>
      <c r="O431" s="1923">
        <f t="shared" si="863"/>
        <v>0</v>
      </c>
      <c r="P431" s="737">
        <f t="shared" si="863"/>
        <v>0</v>
      </c>
      <c r="Q431" s="737">
        <f t="shared" si="863"/>
        <v>0</v>
      </c>
      <c r="R431" s="737">
        <f t="shared" si="863"/>
        <v>0</v>
      </c>
      <c r="S431" s="737">
        <f t="shared" si="863"/>
        <v>0</v>
      </c>
      <c r="T431" s="737">
        <f t="shared" si="863"/>
        <v>0</v>
      </c>
      <c r="U431" s="737">
        <f t="shared" si="863"/>
        <v>0</v>
      </c>
      <c r="V431" s="737">
        <f t="shared" si="863"/>
        <v>0</v>
      </c>
      <c r="W431" s="737">
        <f t="shared" si="863"/>
        <v>0</v>
      </c>
      <c r="X431" s="738">
        <f t="shared" si="863"/>
        <v>0</v>
      </c>
      <c r="Y431" s="737">
        <f t="shared" si="863"/>
        <v>0</v>
      </c>
      <c r="Z431" s="737">
        <f t="shared" si="863"/>
        <v>0</v>
      </c>
      <c r="AA431" s="737">
        <f t="shared" si="863"/>
        <v>0</v>
      </c>
      <c r="AB431" s="737">
        <f t="shared" si="863"/>
        <v>0</v>
      </c>
      <c r="AC431" s="738">
        <f t="shared" si="863"/>
        <v>0</v>
      </c>
      <c r="AD431" s="737">
        <f t="shared" si="863"/>
        <v>0</v>
      </c>
      <c r="AE431" s="737">
        <f t="shared" si="863"/>
        <v>0</v>
      </c>
      <c r="AF431" s="737">
        <f t="shared" si="863"/>
        <v>0</v>
      </c>
      <c r="AG431" s="739">
        <f t="shared" si="863"/>
        <v>0</v>
      </c>
      <c r="AH431" s="697"/>
      <c r="AI431" s="707"/>
      <c r="AJ431" s="709">
        <f t="shared" si="796"/>
        <v>0</v>
      </c>
      <c r="AK431" s="710">
        <f t="shared" si="797"/>
        <v>0</v>
      </c>
      <c r="AL431" s="710">
        <f t="shared" si="798"/>
        <v>0</v>
      </c>
      <c r="AM431" s="710">
        <f t="shared" si="799"/>
        <v>0</v>
      </c>
      <c r="AN431" s="710">
        <f t="shared" si="800"/>
        <v>0</v>
      </c>
      <c r="AO431" s="711">
        <f t="shared" si="801"/>
        <v>0</v>
      </c>
      <c r="AP431" s="707">
        <f t="shared" si="802"/>
        <v>0</v>
      </c>
      <c r="AQ431" s="707">
        <f t="shared" si="803"/>
        <v>0</v>
      </c>
      <c r="AR431" s="707">
        <f t="shared" si="804"/>
        <v>0</v>
      </c>
      <c r="AS431" s="712">
        <f t="shared" si="805"/>
        <v>0</v>
      </c>
      <c r="AV431" s="1559"/>
      <c r="AW431" s="1428" t="str">
        <f t="shared" si="753"/>
        <v>Rev</v>
      </c>
      <c r="AX431" s="1429" t="str">
        <f t="shared" si="753"/>
        <v>[Service]</v>
      </c>
      <c r="AY431" s="1430" t="str">
        <f t="shared" si="754"/>
        <v>[Price]</v>
      </c>
      <c r="AZ431" s="1431" t="str">
        <f t="shared" si="845"/>
        <v>-</v>
      </c>
      <c r="BA431" s="1431" t="str">
        <f t="shared" si="845"/>
        <v>-</v>
      </c>
      <c r="BB431" s="1431" t="str">
        <f t="shared" si="845"/>
        <v>-</v>
      </c>
      <c r="BC431" s="1431" t="str">
        <f t="shared" si="756"/>
        <v>-</v>
      </c>
      <c r="BD431" s="1431" t="str">
        <f t="shared" si="757"/>
        <v>-</v>
      </c>
      <c r="BE431" s="1431" t="str">
        <f t="shared" si="758"/>
        <v>-</v>
      </c>
      <c r="BF431" s="1431" t="str">
        <f t="shared" si="759"/>
        <v>-</v>
      </c>
      <c r="BG431" s="1432" t="str">
        <f t="shared" si="760"/>
        <v>-</v>
      </c>
      <c r="BH431" s="1431" t="str">
        <f t="shared" si="761"/>
        <v>-</v>
      </c>
      <c r="BI431" s="1431" t="str">
        <f t="shared" si="762"/>
        <v>-</v>
      </c>
      <c r="BJ431" s="1431" t="str">
        <f t="shared" si="763"/>
        <v>-</v>
      </c>
      <c r="BK431" s="1431" t="str">
        <f t="shared" si="764"/>
        <v>-</v>
      </c>
      <c r="BL431" s="1433" t="str">
        <f t="shared" si="765"/>
        <v>-</v>
      </c>
      <c r="BM431" s="1431" t="str">
        <f t="shared" si="766"/>
        <v>-</v>
      </c>
      <c r="BN431" s="1431" t="str">
        <f t="shared" si="767"/>
        <v>-</v>
      </c>
      <c r="BO431" s="1431" t="str">
        <f t="shared" si="768"/>
        <v>-</v>
      </c>
      <c r="BP431" s="1431" t="str">
        <f t="shared" si="769"/>
        <v>-</v>
      </c>
      <c r="BQ431" s="1434" t="str">
        <f t="shared" si="770"/>
        <v>-</v>
      </c>
      <c r="BR431" s="1378"/>
      <c r="BS431" s="1407"/>
      <c r="BT431" s="1408"/>
      <c r="BU431" s="1409"/>
      <c r="BV431" s="1410"/>
      <c r="BW431" s="1378"/>
      <c r="BX431" s="1428" t="str">
        <f t="shared" si="771"/>
        <v>Rev</v>
      </c>
      <c r="BY431" s="1429" t="str">
        <f t="shared" si="772"/>
        <v>[Service]</v>
      </c>
      <c r="BZ431" s="1430" t="str">
        <f t="shared" si="773"/>
        <v>[Price]</v>
      </c>
      <c r="CA431" s="1435" t="str">
        <f t="shared" ref="CA431:CR431" si="864">IFERROR((P431/O431-1)*(O431/O$13),"-")</f>
        <v>-</v>
      </c>
      <c r="CB431" s="1431" t="str">
        <f t="shared" si="864"/>
        <v>-</v>
      </c>
      <c r="CC431" s="1431" t="str">
        <f t="shared" si="864"/>
        <v>-</v>
      </c>
      <c r="CD431" s="1431" t="str">
        <f t="shared" si="864"/>
        <v>-</v>
      </c>
      <c r="CE431" s="1431" t="str">
        <f t="shared" si="864"/>
        <v>-</v>
      </c>
      <c r="CF431" s="1431" t="str">
        <f t="shared" si="864"/>
        <v>-</v>
      </c>
      <c r="CG431" s="1431" t="str">
        <f t="shared" si="864"/>
        <v>-</v>
      </c>
      <c r="CH431" s="1433" t="str">
        <f t="shared" si="864"/>
        <v>-</v>
      </c>
      <c r="CI431" s="1431" t="str">
        <f t="shared" si="864"/>
        <v>-</v>
      </c>
      <c r="CJ431" s="1431" t="str">
        <f t="shared" si="864"/>
        <v>-</v>
      </c>
      <c r="CK431" s="1431" t="str">
        <f t="shared" si="864"/>
        <v>-</v>
      </c>
      <c r="CL431" s="1431" t="str">
        <f t="shared" si="864"/>
        <v>-</v>
      </c>
      <c r="CM431" s="1433" t="str">
        <f t="shared" si="864"/>
        <v>-</v>
      </c>
      <c r="CN431" s="1431" t="str">
        <f t="shared" si="864"/>
        <v>-</v>
      </c>
      <c r="CO431" s="1431" t="str">
        <f t="shared" si="864"/>
        <v>-</v>
      </c>
      <c r="CP431" s="1431" t="str">
        <f t="shared" si="864"/>
        <v>-</v>
      </c>
      <c r="CQ431" s="1431" t="str">
        <f t="shared" si="864"/>
        <v>-</v>
      </c>
      <c r="CR431" s="1434" t="str">
        <f t="shared" si="864"/>
        <v>-</v>
      </c>
      <c r="CS431" s="1378"/>
      <c r="CT431" s="1428" t="str">
        <f t="shared" si="749"/>
        <v>Rev</v>
      </c>
      <c r="CU431" s="1429" t="str">
        <f t="shared" si="750"/>
        <v>[Service]</v>
      </c>
      <c r="CV431" s="1429" t="str">
        <f t="shared" si="751"/>
        <v>[Price]</v>
      </c>
      <c r="CW431" s="1435" t="str">
        <f t="shared" si="775"/>
        <v>-</v>
      </c>
      <c r="CX431" s="1431" t="str">
        <f t="shared" si="776"/>
        <v>-</v>
      </c>
      <c r="CY431" s="1431" t="str">
        <f t="shared" si="777"/>
        <v>-</v>
      </c>
      <c r="CZ431" s="1434" t="str">
        <f t="shared" si="778"/>
        <v>-</v>
      </c>
      <c r="DA431" s="1431" t="str">
        <f t="shared" si="779"/>
        <v>-</v>
      </c>
      <c r="DB431" s="1431" t="str">
        <f t="shared" si="780"/>
        <v>-</v>
      </c>
      <c r="DC431" s="1431" t="str">
        <f t="shared" si="781"/>
        <v>-</v>
      </c>
      <c r="DD431" s="1431" t="str">
        <f t="shared" si="782"/>
        <v>-</v>
      </c>
      <c r="DE431" s="1434" t="str">
        <f t="shared" si="783"/>
        <v>-</v>
      </c>
      <c r="DF431" s="1378"/>
      <c r="DG431" s="1428" t="str">
        <f t="shared" si="784"/>
        <v>Rev</v>
      </c>
      <c r="DH431" s="1429" t="str">
        <f t="shared" si="784"/>
        <v>[Service]</v>
      </c>
      <c r="DI431" s="1429" t="str">
        <f t="shared" si="784"/>
        <v>[Price]</v>
      </c>
      <c r="DJ431" s="1429"/>
      <c r="DK431" s="1435" t="str">
        <f t="shared" si="785"/>
        <v>-</v>
      </c>
      <c r="DL431" s="1431" t="str">
        <f t="shared" si="786"/>
        <v>-</v>
      </c>
      <c r="DM431" s="1431" t="str">
        <f t="shared" si="787"/>
        <v>-</v>
      </c>
      <c r="DN431" s="1433" t="str">
        <f t="shared" si="788"/>
        <v>-</v>
      </c>
      <c r="DO431" s="1431" t="str">
        <f t="shared" si="789"/>
        <v>-</v>
      </c>
      <c r="DP431" s="1431" t="str">
        <f t="shared" si="790"/>
        <v>-</v>
      </c>
      <c r="DQ431" s="1431" t="str">
        <f t="shared" si="791"/>
        <v>-</v>
      </c>
      <c r="DR431" s="1434" t="str">
        <f t="shared" si="792"/>
        <v>-</v>
      </c>
    </row>
    <row r="432" spans="4:122">
      <c r="D432" s="70">
        <f>D429+1</f>
        <v>123</v>
      </c>
      <c r="E432" s="713" t="s">
        <v>44</v>
      </c>
      <c r="F432" s="789" t="s">
        <v>27</v>
      </c>
      <c r="G432" s="789"/>
      <c r="H432" s="789"/>
      <c r="I432" s="781" t="s">
        <v>318</v>
      </c>
      <c r="J432" s="781" t="s">
        <v>345</v>
      </c>
      <c r="K432" s="714"/>
      <c r="L432" s="715"/>
      <c r="M432" s="715"/>
      <c r="N432" s="716"/>
      <c r="O432" s="2072"/>
      <c r="P432" s="783"/>
      <c r="Q432" s="783"/>
      <c r="R432" s="783"/>
      <c r="S432" s="783"/>
      <c r="T432" s="783"/>
      <c r="U432" s="783"/>
      <c r="V432" s="783"/>
      <c r="W432" s="783"/>
      <c r="X432" s="784"/>
      <c r="Y432" s="783"/>
      <c r="Z432" s="783"/>
      <c r="AA432" s="783"/>
      <c r="AB432" s="783"/>
      <c r="AC432" s="784"/>
      <c r="AD432" s="783"/>
      <c r="AE432" s="783"/>
      <c r="AF432" s="783"/>
      <c r="AG432" s="785"/>
      <c r="AH432" s="697"/>
      <c r="AI432" s="707"/>
      <c r="AJ432" s="709">
        <f t="shared" si="796"/>
        <v>0</v>
      </c>
      <c r="AK432" s="710">
        <f t="shared" si="797"/>
        <v>0</v>
      </c>
      <c r="AL432" s="710">
        <f t="shared" si="798"/>
        <v>0</v>
      </c>
      <c r="AM432" s="710">
        <f t="shared" si="799"/>
        <v>0</v>
      </c>
      <c r="AN432" s="710">
        <f t="shared" si="800"/>
        <v>0</v>
      </c>
      <c r="AO432" s="711">
        <f t="shared" si="801"/>
        <v>0</v>
      </c>
      <c r="AP432" s="707">
        <f t="shared" si="802"/>
        <v>0</v>
      </c>
      <c r="AQ432" s="707">
        <f t="shared" si="803"/>
        <v>0</v>
      </c>
      <c r="AR432" s="707">
        <f t="shared" si="804"/>
        <v>0</v>
      </c>
      <c r="AS432" s="712">
        <f t="shared" si="805"/>
        <v>0</v>
      </c>
      <c r="AU432" s="1369"/>
      <c r="AV432" s="1559"/>
      <c r="AW432" s="1412" t="str">
        <f t="shared" si="753"/>
        <v>Price</v>
      </c>
      <c r="AX432" s="1413" t="str">
        <f t="shared" si="753"/>
        <v>[Service]</v>
      </c>
      <c r="AY432" s="1414" t="str">
        <f t="shared" si="754"/>
        <v>[Price]</v>
      </c>
      <c r="AZ432" s="1415" t="str">
        <f t="shared" si="845"/>
        <v>-</v>
      </c>
      <c r="BA432" s="1415" t="str">
        <f t="shared" si="845"/>
        <v>-</v>
      </c>
      <c r="BB432" s="1415" t="str">
        <f t="shared" si="845"/>
        <v>-</v>
      </c>
      <c r="BC432" s="1415" t="str">
        <f t="shared" si="756"/>
        <v>-</v>
      </c>
      <c r="BD432" s="1415" t="str">
        <f t="shared" si="757"/>
        <v>-</v>
      </c>
      <c r="BE432" s="1415" t="str">
        <f t="shared" si="758"/>
        <v>-</v>
      </c>
      <c r="BF432" s="1415" t="str">
        <f t="shared" si="759"/>
        <v>-</v>
      </c>
      <c r="BG432" s="1416" t="str">
        <f t="shared" si="760"/>
        <v>-</v>
      </c>
      <c r="BH432" s="1417" t="str">
        <f t="shared" si="761"/>
        <v>-</v>
      </c>
      <c r="BI432" s="1417" t="str">
        <f t="shared" si="762"/>
        <v>-</v>
      </c>
      <c r="BJ432" s="1417" t="str">
        <f t="shared" si="763"/>
        <v>-</v>
      </c>
      <c r="BK432" s="1417" t="str">
        <f t="shared" si="764"/>
        <v>-</v>
      </c>
      <c r="BL432" s="1418" t="str">
        <f t="shared" si="765"/>
        <v>-</v>
      </c>
      <c r="BM432" s="1417" t="str">
        <f t="shared" si="766"/>
        <v>-</v>
      </c>
      <c r="BN432" s="1417" t="str">
        <f t="shared" si="767"/>
        <v>-</v>
      </c>
      <c r="BO432" s="1417" t="str">
        <f t="shared" si="768"/>
        <v>-</v>
      </c>
      <c r="BP432" s="1417" t="str">
        <f t="shared" si="769"/>
        <v>-</v>
      </c>
      <c r="BQ432" s="1419" t="str">
        <f t="shared" si="770"/>
        <v>-</v>
      </c>
      <c r="BR432" s="1378"/>
      <c r="BS432" s="1420"/>
      <c r="BT432" s="1421"/>
      <c r="BU432" s="1422"/>
      <c r="BV432" s="1423"/>
      <c r="BW432" s="1378"/>
      <c r="BX432" s="1412" t="str">
        <f t="shared" si="771"/>
        <v>Price</v>
      </c>
      <c r="BY432" s="1413" t="str">
        <f t="shared" si="772"/>
        <v>[Service]</v>
      </c>
      <c r="BZ432" s="1414" t="str">
        <f t="shared" si="773"/>
        <v>[Price]</v>
      </c>
      <c r="CA432" s="1424" t="str">
        <f t="shared" ref="CA432:CR432" si="865">IFERROR((P432/O432-1)*(O434/O$13),"-")</f>
        <v>-</v>
      </c>
      <c r="CB432" s="1415" t="str">
        <f t="shared" si="865"/>
        <v>-</v>
      </c>
      <c r="CC432" s="1415" t="str">
        <f t="shared" si="865"/>
        <v>-</v>
      </c>
      <c r="CD432" s="1415" t="str">
        <f t="shared" si="865"/>
        <v>-</v>
      </c>
      <c r="CE432" s="1415" t="str">
        <f t="shared" si="865"/>
        <v>-</v>
      </c>
      <c r="CF432" s="1415" t="str">
        <f t="shared" si="865"/>
        <v>-</v>
      </c>
      <c r="CG432" s="1415" t="str">
        <f t="shared" si="865"/>
        <v>-</v>
      </c>
      <c r="CH432" s="1425" t="str">
        <f t="shared" si="865"/>
        <v>-</v>
      </c>
      <c r="CI432" s="1417" t="str">
        <f t="shared" si="865"/>
        <v>-</v>
      </c>
      <c r="CJ432" s="1417" t="str">
        <f t="shared" si="865"/>
        <v>-</v>
      </c>
      <c r="CK432" s="1417" t="str">
        <f t="shared" si="865"/>
        <v>-</v>
      </c>
      <c r="CL432" s="1417" t="str">
        <f t="shared" si="865"/>
        <v>-</v>
      </c>
      <c r="CM432" s="1418" t="str">
        <f t="shared" si="865"/>
        <v>-</v>
      </c>
      <c r="CN432" s="1417" t="str">
        <f t="shared" si="865"/>
        <v>-</v>
      </c>
      <c r="CO432" s="1417" t="str">
        <f t="shared" si="865"/>
        <v>-</v>
      </c>
      <c r="CP432" s="1417" t="str">
        <f t="shared" si="865"/>
        <v>-</v>
      </c>
      <c r="CQ432" s="1417" t="str">
        <f t="shared" si="865"/>
        <v>-</v>
      </c>
      <c r="CR432" s="1419" t="str">
        <f t="shared" si="865"/>
        <v>-</v>
      </c>
      <c r="CS432" s="1378"/>
      <c r="CT432" s="1412" t="str">
        <f t="shared" si="749"/>
        <v>Price</v>
      </c>
      <c r="CU432" s="1413" t="str">
        <f t="shared" si="750"/>
        <v>[Service]</v>
      </c>
      <c r="CV432" s="1426" t="str">
        <f t="shared" si="751"/>
        <v>[Price]</v>
      </c>
      <c r="CW432" s="1427" t="str">
        <f t="shared" si="775"/>
        <v>-</v>
      </c>
      <c r="CX432" s="1417" t="str">
        <f t="shared" si="776"/>
        <v>-</v>
      </c>
      <c r="CY432" s="1417" t="str">
        <f t="shared" si="777"/>
        <v>-</v>
      </c>
      <c r="CZ432" s="1419" t="str">
        <f t="shared" si="778"/>
        <v>-</v>
      </c>
      <c r="DA432" s="1417" t="str">
        <f t="shared" si="779"/>
        <v>-</v>
      </c>
      <c r="DB432" s="1417" t="str">
        <f t="shared" si="780"/>
        <v>-</v>
      </c>
      <c r="DC432" s="1417" t="str">
        <f t="shared" si="781"/>
        <v>-</v>
      </c>
      <c r="DD432" s="1417" t="str">
        <f t="shared" si="782"/>
        <v>-</v>
      </c>
      <c r="DE432" s="1419" t="str">
        <f t="shared" si="783"/>
        <v>-</v>
      </c>
      <c r="DF432" s="1378"/>
      <c r="DG432" s="1412" t="str">
        <f t="shared" si="784"/>
        <v>Price</v>
      </c>
      <c r="DH432" s="1413" t="str">
        <f t="shared" si="784"/>
        <v>[Service]</v>
      </c>
      <c r="DI432" s="1426" t="str">
        <f t="shared" si="784"/>
        <v>[Price]</v>
      </c>
      <c r="DJ432" s="1426"/>
      <c r="DK432" s="1427" t="str">
        <f t="shared" si="785"/>
        <v>-</v>
      </c>
      <c r="DL432" s="1417" t="str">
        <f t="shared" si="786"/>
        <v>-</v>
      </c>
      <c r="DM432" s="1417" t="str">
        <f t="shared" si="787"/>
        <v>-</v>
      </c>
      <c r="DN432" s="1418" t="str">
        <f t="shared" si="788"/>
        <v>-</v>
      </c>
      <c r="DO432" s="1417" t="str">
        <f t="shared" si="789"/>
        <v>-</v>
      </c>
      <c r="DP432" s="1417" t="str">
        <f t="shared" si="790"/>
        <v>-</v>
      </c>
      <c r="DQ432" s="1417" t="str">
        <f t="shared" si="791"/>
        <v>-</v>
      </c>
      <c r="DR432" s="1419" t="str">
        <f t="shared" si="792"/>
        <v>-</v>
      </c>
    </row>
    <row r="433" spans="4:122">
      <c r="E433" s="742" t="s">
        <v>45</v>
      </c>
      <c r="F433" s="722" t="str">
        <f>+F432</f>
        <v>[Service]</v>
      </c>
      <c r="G433" s="723">
        <f>+G432</f>
        <v>0</v>
      </c>
      <c r="H433" s="723">
        <f>+H432</f>
        <v>0</v>
      </c>
      <c r="I433" s="724" t="str">
        <f>+I432</f>
        <v>[Price]</v>
      </c>
      <c r="J433" s="782" t="s">
        <v>322</v>
      </c>
      <c r="K433" s="725"/>
      <c r="L433" s="726"/>
      <c r="M433" s="726"/>
      <c r="N433" s="727"/>
      <c r="O433" s="2122"/>
      <c r="P433" s="786"/>
      <c r="Q433" s="786"/>
      <c r="R433" s="786"/>
      <c r="S433" s="786"/>
      <c r="T433" s="786"/>
      <c r="U433" s="786"/>
      <c r="V433" s="786"/>
      <c r="W433" s="786"/>
      <c r="X433" s="787"/>
      <c r="Y433" s="786"/>
      <c r="Z433" s="786"/>
      <c r="AA433" s="786"/>
      <c r="AB433" s="786"/>
      <c r="AC433" s="787"/>
      <c r="AD433" s="786"/>
      <c r="AE433" s="786"/>
      <c r="AF433" s="786"/>
      <c r="AG433" s="788"/>
      <c r="AH433" s="697"/>
      <c r="AI433" s="707"/>
      <c r="AJ433" s="709">
        <f t="shared" si="796"/>
        <v>0</v>
      </c>
      <c r="AK433" s="710">
        <f t="shared" si="797"/>
        <v>0</v>
      </c>
      <c r="AL433" s="710">
        <f t="shared" si="798"/>
        <v>0</v>
      </c>
      <c r="AM433" s="710">
        <f t="shared" si="799"/>
        <v>0</v>
      </c>
      <c r="AN433" s="710">
        <f t="shared" si="800"/>
        <v>0</v>
      </c>
      <c r="AO433" s="711">
        <f t="shared" si="801"/>
        <v>0</v>
      </c>
      <c r="AP433" s="707">
        <f t="shared" si="802"/>
        <v>0</v>
      </c>
      <c r="AQ433" s="707">
        <f t="shared" si="803"/>
        <v>0</v>
      </c>
      <c r="AR433" s="707">
        <f t="shared" si="804"/>
        <v>0</v>
      </c>
      <c r="AS433" s="712">
        <f t="shared" si="805"/>
        <v>0</v>
      </c>
      <c r="AV433" s="1559"/>
      <c r="AW433" s="1392" t="str">
        <f t="shared" si="753"/>
        <v>Qty</v>
      </c>
      <c r="AX433" s="1393" t="str">
        <f t="shared" si="753"/>
        <v>[Service]</v>
      </c>
      <c r="AY433" s="1394" t="str">
        <f t="shared" si="754"/>
        <v>[Price]</v>
      </c>
      <c r="AZ433" s="1395" t="str">
        <f t="shared" si="845"/>
        <v>-</v>
      </c>
      <c r="BA433" s="1395" t="str">
        <f t="shared" si="845"/>
        <v>-</v>
      </c>
      <c r="BB433" s="1395" t="str">
        <f t="shared" si="845"/>
        <v>-</v>
      </c>
      <c r="BC433" s="1395" t="str">
        <f t="shared" si="756"/>
        <v>-</v>
      </c>
      <c r="BD433" s="1395" t="str">
        <f t="shared" si="757"/>
        <v>-</v>
      </c>
      <c r="BE433" s="1395" t="str">
        <f t="shared" si="758"/>
        <v>-</v>
      </c>
      <c r="BF433" s="1395" t="str">
        <f t="shared" si="759"/>
        <v>-</v>
      </c>
      <c r="BG433" s="1396" t="str">
        <f t="shared" si="760"/>
        <v>-</v>
      </c>
      <c r="BH433" s="1395" t="str">
        <f t="shared" si="761"/>
        <v>-</v>
      </c>
      <c r="BI433" s="1395" t="str">
        <f t="shared" si="762"/>
        <v>-</v>
      </c>
      <c r="BJ433" s="1395" t="str">
        <f t="shared" si="763"/>
        <v>-</v>
      </c>
      <c r="BK433" s="1395" t="str">
        <f t="shared" si="764"/>
        <v>-</v>
      </c>
      <c r="BL433" s="1397" t="str">
        <f t="shared" si="765"/>
        <v>-</v>
      </c>
      <c r="BM433" s="1395" t="str">
        <f t="shared" si="766"/>
        <v>-</v>
      </c>
      <c r="BN433" s="1395" t="str">
        <f t="shared" si="767"/>
        <v>-</v>
      </c>
      <c r="BO433" s="1395" t="str">
        <f t="shared" si="768"/>
        <v>-</v>
      </c>
      <c r="BP433" s="1395" t="str">
        <f t="shared" si="769"/>
        <v>-</v>
      </c>
      <c r="BQ433" s="1398" t="str">
        <f t="shared" si="770"/>
        <v>-</v>
      </c>
      <c r="BR433" s="1378"/>
      <c r="BS433" s="1329"/>
      <c r="BT433" s="1399"/>
      <c r="BU433" s="1331"/>
      <c r="BV433" s="1400"/>
      <c r="BW433" s="1378"/>
      <c r="BX433" s="1392" t="str">
        <f t="shared" si="771"/>
        <v>Qty</v>
      </c>
      <c r="BY433" s="1393" t="str">
        <f t="shared" si="772"/>
        <v>[Service]</v>
      </c>
      <c r="BZ433" s="1394" t="str">
        <f t="shared" si="773"/>
        <v>[Price]</v>
      </c>
      <c r="CA433" s="1401" t="str">
        <f>IFERROR((P433/O433-1)*(O434/O$13),"-")</f>
        <v>-</v>
      </c>
      <c r="CB433" s="1395" t="str">
        <f>IFERROR((Q433/P433-1)*(P434/P$13),"-")</f>
        <v>-</v>
      </c>
      <c r="CC433" s="1395" t="str">
        <f>IFERROR((R433/Q433-1)*(Q434/Q$13),"-")</f>
        <v>-</v>
      </c>
      <c r="CD433" s="1395" t="str">
        <f t="shared" ref="CD433:CR433" si="866">IFERROR((S433/R433-1)*(R434/R$13),"-")</f>
        <v>-</v>
      </c>
      <c r="CE433" s="1395" t="str">
        <f t="shared" si="866"/>
        <v>-</v>
      </c>
      <c r="CF433" s="1395" t="str">
        <f t="shared" si="866"/>
        <v>-</v>
      </c>
      <c r="CG433" s="1395" t="str">
        <f t="shared" si="866"/>
        <v>-</v>
      </c>
      <c r="CH433" s="1397" t="str">
        <f t="shared" si="866"/>
        <v>-</v>
      </c>
      <c r="CI433" s="1395" t="str">
        <f t="shared" si="866"/>
        <v>-</v>
      </c>
      <c r="CJ433" s="1395" t="str">
        <f t="shared" si="866"/>
        <v>-</v>
      </c>
      <c r="CK433" s="1395" t="str">
        <f t="shared" si="866"/>
        <v>-</v>
      </c>
      <c r="CL433" s="1395" t="str">
        <f t="shared" si="866"/>
        <v>-</v>
      </c>
      <c r="CM433" s="1397" t="str">
        <f t="shared" si="866"/>
        <v>-</v>
      </c>
      <c r="CN433" s="1395" t="str">
        <f t="shared" si="866"/>
        <v>-</v>
      </c>
      <c r="CO433" s="1395" t="str">
        <f t="shared" si="866"/>
        <v>-</v>
      </c>
      <c r="CP433" s="1395" t="str">
        <f t="shared" si="866"/>
        <v>-</v>
      </c>
      <c r="CQ433" s="1395" t="str">
        <f t="shared" si="866"/>
        <v>-</v>
      </c>
      <c r="CR433" s="1398" t="str">
        <f t="shared" si="866"/>
        <v>-</v>
      </c>
      <c r="CS433" s="1378"/>
      <c r="CT433" s="1392" t="str">
        <f t="shared" si="749"/>
        <v>Qty</v>
      </c>
      <c r="CU433" s="1393" t="str">
        <f t="shared" si="750"/>
        <v>[Service]</v>
      </c>
      <c r="CV433" s="1393" t="str">
        <f t="shared" si="751"/>
        <v>[Price]</v>
      </c>
      <c r="CW433" s="1401" t="str">
        <f t="shared" si="775"/>
        <v>-</v>
      </c>
      <c r="CX433" s="1395" t="str">
        <f t="shared" si="776"/>
        <v>-</v>
      </c>
      <c r="CY433" s="1395" t="str">
        <f t="shared" si="777"/>
        <v>-</v>
      </c>
      <c r="CZ433" s="1398" t="str">
        <f t="shared" si="778"/>
        <v>-</v>
      </c>
      <c r="DA433" s="1395" t="str">
        <f t="shared" si="779"/>
        <v>-</v>
      </c>
      <c r="DB433" s="1395" t="str">
        <f t="shared" si="780"/>
        <v>-</v>
      </c>
      <c r="DC433" s="1395" t="str">
        <f t="shared" si="781"/>
        <v>-</v>
      </c>
      <c r="DD433" s="1395" t="str">
        <f t="shared" si="782"/>
        <v>-</v>
      </c>
      <c r="DE433" s="1398" t="str">
        <f t="shared" si="783"/>
        <v>-</v>
      </c>
      <c r="DF433" s="1378"/>
      <c r="DG433" s="1392" t="str">
        <f t="shared" si="784"/>
        <v>Qty</v>
      </c>
      <c r="DH433" s="1393" t="str">
        <f t="shared" si="784"/>
        <v>[Service]</v>
      </c>
      <c r="DI433" s="1393" t="str">
        <f t="shared" si="784"/>
        <v>[Price]</v>
      </c>
      <c r="DJ433" s="1393"/>
      <c r="DK433" s="1401" t="str">
        <f t="shared" si="785"/>
        <v>-</v>
      </c>
      <c r="DL433" s="1395" t="str">
        <f t="shared" si="786"/>
        <v>-</v>
      </c>
      <c r="DM433" s="1395" t="str">
        <f t="shared" si="787"/>
        <v>-</v>
      </c>
      <c r="DN433" s="1397" t="str">
        <f t="shared" si="788"/>
        <v>-</v>
      </c>
      <c r="DO433" s="1395" t="str">
        <f t="shared" si="789"/>
        <v>-</v>
      </c>
      <c r="DP433" s="1395" t="str">
        <f t="shared" si="790"/>
        <v>-</v>
      </c>
      <c r="DQ433" s="1395" t="str">
        <f t="shared" si="791"/>
        <v>-</v>
      </c>
      <c r="DR433" s="1398" t="str">
        <f t="shared" si="792"/>
        <v>-</v>
      </c>
    </row>
    <row r="434" spans="4:122" ht="12.75" thickBot="1">
      <c r="E434" s="743" t="s">
        <v>46</v>
      </c>
      <c r="F434" s="732" t="str">
        <f>+F432</f>
        <v>[Service]</v>
      </c>
      <c r="G434" s="733">
        <f>+G432</f>
        <v>0</v>
      </c>
      <c r="H434" s="733">
        <f>+H432</f>
        <v>0</v>
      </c>
      <c r="I434" s="734" t="str">
        <f>+I432</f>
        <v>[Price]</v>
      </c>
      <c r="J434" s="735" t="s">
        <v>344</v>
      </c>
      <c r="K434" s="736">
        <f t="shared" ref="K434:AG434" si="867">K432*K433/10^6</f>
        <v>0</v>
      </c>
      <c r="L434" s="737">
        <f t="shared" si="867"/>
        <v>0</v>
      </c>
      <c r="M434" s="737">
        <f t="shared" si="867"/>
        <v>0</v>
      </c>
      <c r="N434" s="738">
        <f t="shared" si="867"/>
        <v>0</v>
      </c>
      <c r="O434" s="1923">
        <f t="shared" si="867"/>
        <v>0</v>
      </c>
      <c r="P434" s="737">
        <f t="shared" si="867"/>
        <v>0</v>
      </c>
      <c r="Q434" s="737">
        <f t="shared" si="867"/>
        <v>0</v>
      </c>
      <c r="R434" s="737">
        <f t="shared" si="867"/>
        <v>0</v>
      </c>
      <c r="S434" s="737">
        <f t="shared" si="867"/>
        <v>0</v>
      </c>
      <c r="T434" s="737">
        <f t="shared" si="867"/>
        <v>0</v>
      </c>
      <c r="U434" s="737">
        <f t="shared" si="867"/>
        <v>0</v>
      </c>
      <c r="V434" s="737">
        <f t="shared" si="867"/>
        <v>0</v>
      </c>
      <c r="W434" s="737">
        <f t="shared" si="867"/>
        <v>0</v>
      </c>
      <c r="X434" s="738">
        <f t="shared" si="867"/>
        <v>0</v>
      </c>
      <c r="Y434" s="737">
        <f t="shared" si="867"/>
        <v>0</v>
      </c>
      <c r="Z434" s="737">
        <f t="shared" si="867"/>
        <v>0</v>
      </c>
      <c r="AA434" s="737">
        <f t="shared" si="867"/>
        <v>0</v>
      </c>
      <c r="AB434" s="737">
        <f t="shared" si="867"/>
        <v>0</v>
      </c>
      <c r="AC434" s="738">
        <f t="shared" si="867"/>
        <v>0</v>
      </c>
      <c r="AD434" s="737">
        <f t="shared" si="867"/>
        <v>0</v>
      </c>
      <c r="AE434" s="737">
        <f t="shared" si="867"/>
        <v>0</v>
      </c>
      <c r="AF434" s="737">
        <f t="shared" si="867"/>
        <v>0</v>
      </c>
      <c r="AG434" s="739">
        <f t="shared" si="867"/>
        <v>0</v>
      </c>
      <c r="AH434" s="697"/>
      <c r="AI434" s="707"/>
      <c r="AJ434" s="709">
        <f t="shared" si="796"/>
        <v>0</v>
      </c>
      <c r="AK434" s="710">
        <f t="shared" si="797"/>
        <v>0</v>
      </c>
      <c r="AL434" s="710">
        <f t="shared" si="798"/>
        <v>0</v>
      </c>
      <c r="AM434" s="710">
        <f t="shared" si="799"/>
        <v>0</v>
      </c>
      <c r="AN434" s="710">
        <f t="shared" si="800"/>
        <v>0</v>
      </c>
      <c r="AO434" s="711">
        <f t="shared" si="801"/>
        <v>0</v>
      </c>
      <c r="AP434" s="707">
        <f t="shared" si="802"/>
        <v>0</v>
      </c>
      <c r="AQ434" s="707">
        <f t="shared" si="803"/>
        <v>0</v>
      </c>
      <c r="AR434" s="707">
        <f t="shared" si="804"/>
        <v>0</v>
      </c>
      <c r="AS434" s="712">
        <f t="shared" si="805"/>
        <v>0</v>
      </c>
      <c r="AV434" s="1559"/>
      <c r="AW434" s="1428" t="str">
        <f t="shared" si="753"/>
        <v>Rev</v>
      </c>
      <c r="AX434" s="1429" t="str">
        <f t="shared" si="753"/>
        <v>[Service]</v>
      </c>
      <c r="AY434" s="1430" t="str">
        <f t="shared" si="754"/>
        <v>[Price]</v>
      </c>
      <c r="AZ434" s="1431" t="str">
        <f t="shared" ref="AZ434:BB440" si="868">IFERROR(P434/O434-1,"-")</f>
        <v>-</v>
      </c>
      <c r="BA434" s="1431" t="str">
        <f t="shared" si="868"/>
        <v>-</v>
      </c>
      <c r="BB434" s="1431" t="str">
        <f t="shared" si="868"/>
        <v>-</v>
      </c>
      <c r="BC434" s="1431" t="str">
        <f t="shared" si="756"/>
        <v>-</v>
      </c>
      <c r="BD434" s="1431" t="str">
        <f t="shared" si="757"/>
        <v>-</v>
      </c>
      <c r="BE434" s="1431" t="str">
        <f t="shared" si="758"/>
        <v>-</v>
      </c>
      <c r="BF434" s="1431" t="str">
        <f t="shared" si="759"/>
        <v>-</v>
      </c>
      <c r="BG434" s="1432" t="str">
        <f t="shared" si="760"/>
        <v>-</v>
      </c>
      <c r="BH434" s="1431" t="str">
        <f t="shared" si="761"/>
        <v>-</v>
      </c>
      <c r="BI434" s="1431" t="str">
        <f t="shared" si="762"/>
        <v>-</v>
      </c>
      <c r="BJ434" s="1431" t="str">
        <f t="shared" si="763"/>
        <v>-</v>
      </c>
      <c r="BK434" s="1431" t="str">
        <f t="shared" si="764"/>
        <v>-</v>
      </c>
      <c r="BL434" s="1433" t="str">
        <f t="shared" si="765"/>
        <v>-</v>
      </c>
      <c r="BM434" s="1431" t="str">
        <f t="shared" si="766"/>
        <v>-</v>
      </c>
      <c r="BN434" s="1431" t="str">
        <f t="shared" si="767"/>
        <v>-</v>
      </c>
      <c r="BO434" s="1431" t="str">
        <f t="shared" si="768"/>
        <v>-</v>
      </c>
      <c r="BP434" s="1431" t="str">
        <f t="shared" si="769"/>
        <v>-</v>
      </c>
      <c r="BQ434" s="1434" t="str">
        <f t="shared" si="770"/>
        <v>-</v>
      </c>
      <c r="BR434" s="1378"/>
      <c r="BS434" s="1407"/>
      <c r="BT434" s="1408"/>
      <c r="BU434" s="1409"/>
      <c r="BV434" s="1410"/>
      <c r="BW434" s="1378"/>
      <c r="BX434" s="1428" t="str">
        <f t="shared" si="771"/>
        <v>Rev</v>
      </c>
      <c r="BY434" s="1429" t="str">
        <f t="shared" si="772"/>
        <v>[Service]</v>
      </c>
      <c r="BZ434" s="1430" t="str">
        <f t="shared" si="773"/>
        <v>[Price]</v>
      </c>
      <c r="CA434" s="1435" t="str">
        <f>IFERROR((P434/O434-1)*(O434/O$13),"-")</f>
        <v>-</v>
      </c>
      <c r="CB434" s="1431" t="str">
        <f>IFERROR((Q434/P434-1)*(P434/P$13),"-")</f>
        <v>-</v>
      </c>
      <c r="CC434" s="1431" t="str">
        <f>IFERROR((R434/Q434-1)*(Q434/Q$13),"-")</f>
        <v>-</v>
      </c>
      <c r="CD434" s="1431" t="str">
        <f t="shared" ref="CD434:CR434" si="869">IFERROR((S434/R434-1)*(R434/R$13),"-")</f>
        <v>-</v>
      </c>
      <c r="CE434" s="1431" t="str">
        <f t="shared" si="869"/>
        <v>-</v>
      </c>
      <c r="CF434" s="1431" t="str">
        <f t="shared" si="869"/>
        <v>-</v>
      </c>
      <c r="CG434" s="1431" t="str">
        <f t="shared" si="869"/>
        <v>-</v>
      </c>
      <c r="CH434" s="1433" t="str">
        <f t="shared" si="869"/>
        <v>-</v>
      </c>
      <c r="CI434" s="1431" t="str">
        <f t="shared" si="869"/>
        <v>-</v>
      </c>
      <c r="CJ434" s="1431" t="str">
        <f t="shared" si="869"/>
        <v>-</v>
      </c>
      <c r="CK434" s="1431" t="str">
        <f t="shared" si="869"/>
        <v>-</v>
      </c>
      <c r="CL434" s="1431" t="str">
        <f t="shared" si="869"/>
        <v>-</v>
      </c>
      <c r="CM434" s="1433" t="str">
        <f t="shared" si="869"/>
        <v>-</v>
      </c>
      <c r="CN434" s="1431" t="str">
        <f t="shared" si="869"/>
        <v>-</v>
      </c>
      <c r="CO434" s="1431" t="str">
        <f t="shared" si="869"/>
        <v>-</v>
      </c>
      <c r="CP434" s="1431" t="str">
        <f t="shared" si="869"/>
        <v>-</v>
      </c>
      <c r="CQ434" s="1431" t="str">
        <f t="shared" si="869"/>
        <v>-</v>
      </c>
      <c r="CR434" s="1434" t="str">
        <f t="shared" si="869"/>
        <v>-</v>
      </c>
      <c r="CS434" s="1378"/>
      <c r="CT434" s="1428" t="str">
        <f t="shared" si="749"/>
        <v>Rev</v>
      </c>
      <c r="CU434" s="1429" t="str">
        <f t="shared" si="750"/>
        <v>[Service]</v>
      </c>
      <c r="CV434" s="1429" t="str">
        <f t="shared" si="751"/>
        <v>[Price]</v>
      </c>
      <c r="CW434" s="1435" t="str">
        <f t="shared" si="775"/>
        <v>-</v>
      </c>
      <c r="CX434" s="1431" t="str">
        <f t="shared" si="776"/>
        <v>-</v>
      </c>
      <c r="CY434" s="1431" t="str">
        <f t="shared" si="777"/>
        <v>-</v>
      </c>
      <c r="CZ434" s="1434" t="str">
        <f t="shared" si="778"/>
        <v>-</v>
      </c>
      <c r="DA434" s="1431" t="str">
        <f t="shared" si="779"/>
        <v>-</v>
      </c>
      <c r="DB434" s="1431" t="str">
        <f t="shared" si="780"/>
        <v>-</v>
      </c>
      <c r="DC434" s="1431" t="str">
        <f t="shared" si="781"/>
        <v>-</v>
      </c>
      <c r="DD434" s="1431" t="str">
        <f t="shared" si="782"/>
        <v>-</v>
      </c>
      <c r="DE434" s="1434" t="str">
        <f t="shared" si="783"/>
        <v>-</v>
      </c>
      <c r="DF434" s="1378"/>
      <c r="DG434" s="1428" t="str">
        <f t="shared" si="784"/>
        <v>Rev</v>
      </c>
      <c r="DH434" s="1429" t="str">
        <f t="shared" si="784"/>
        <v>[Service]</v>
      </c>
      <c r="DI434" s="1429" t="str">
        <f t="shared" si="784"/>
        <v>[Price]</v>
      </c>
      <c r="DJ434" s="1429"/>
      <c r="DK434" s="1435" t="str">
        <f t="shared" si="785"/>
        <v>-</v>
      </c>
      <c r="DL434" s="1431" t="str">
        <f t="shared" si="786"/>
        <v>-</v>
      </c>
      <c r="DM434" s="1431" t="str">
        <f t="shared" si="787"/>
        <v>-</v>
      </c>
      <c r="DN434" s="1433" t="str">
        <f t="shared" si="788"/>
        <v>-</v>
      </c>
      <c r="DO434" s="1431" t="str">
        <f t="shared" si="789"/>
        <v>-</v>
      </c>
      <c r="DP434" s="1431" t="str">
        <f t="shared" si="790"/>
        <v>-</v>
      </c>
      <c r="DQ434" s="1431" t="str">
        <f t="shared" si="791"/>
        <v>-</v>
      </c>
      <c r="DR434" s="1434" t="str">
        <f t="shared" si="792"/>
        <v>-</v>
      </c>
    </row>
    <row r="435" spans="4:122">
      <c r="D435" s="70">
        <f>D432+1</f>
        <v>124</v>
      </c>
      <c r="E435" s="713" t="s">
        <v>44</v>
      </c>
      <c r="F435" s="789" t="s">
        <v>27</v>
      </c>
      <c r="G435" s="789"/>
      <c r="H435" s="789"/>
      <c r="I435" s="781" t="s">
        <v>318</v>
      </c>
      <c r="J435" s="781" t="s">
        <v>345</v>
      </c>
      <c r="K435" s="714"/>
      <c r="L435" s="715"/>
      <c r="M435" s="715"/>
      <c r="N435" s="716"/>
      <c r="O435" s="2072"/>
      <c r="P435" s="783"/>
      <c r="Q435" s="783"/>
      <c r="R435" s="783"/>
      <c r="S435" s="783"/>
      <c r="T435" s="783"/>
      <c r="U435" s="783"/>
      <c r="V435" s="783"/>
      <c r="W435" s="783"/>
      <c r="X435" s="784"/>
      <c r="Y435" s="783"/>
      <c r="Z435" s="783"/>
      <c r="AA435" s="783"/>
      <c r="AB435" s="783"/>
      <c r="AC435" s="784"/>
      <c r="AD435" s="783"/>
      <c r="AE435" s="783"/>
      <c r="AF435" s="783"/>
      <c r="AG435" s="785"/>
      <c r="AH435" s="697"/>
      <c r="AI435" s="707"/>
      <c r="AJ435" s="709">
        <f t="shared" si="796"/>
        <v>0</v>
      </c>
      <c r="AK435" s="710">
        <f t="shared" si="797"/>
        <v>0</v>
      </c>
      <c r="AL435" s="710">
        <f t="shared" si="798"/>
        <v>0</v>
      </c>
      <c r="AM435" s="710">
        <f t="shared" si="799"/>
        <v>0</v>
      </c>
      <c r="AN435" s="710">
        <f t="shared" si="800"/>
        <v>0</v>
      </c>
      <c r="AO435" s="711">
        <f t="shared" si="801"/>
        <v>0</v>
      </c>
      <c r="AP435" s="707">
        <f t="shared" si="802"/>
        <v>0</v>
      </c>
      <c r="AQ435" s="707">
        <f t="shared" si="803"/>
        <v>0</v>
      </c>
      <c r="AR435" s="707">
        <f t="shared" si="804"/>
        <v>0</v>
      </c>
      <c r="AS435" s="712">
        <f t="shared" si="805"/>
        <v>0</v>
      </c>
      <c r="AU435" s="1369"/>
      <c r="AV435" s="1559"/>
      <c r="AW435" s="1412" t="str">
        <f t="shared" si="753"/>
        <v>Price</v>
      </c>
      <c r="AX435" s="1413" t="str">
        <f t="shared" si="753"/>
        <v>[Service]</v>
      </c>
      <c r="AY435" s="1414" t="str">
        <f t="shared" si="754"/>
        <v>[Price]</v>
      </c>
      <c r="AZ435" s="1415" t="str">
        <f t="shared" si="868"/>
        <v>-</v>
      </c>
      <c r="BA435" s="1415" t="str">
        <f t="shared" si="868"/>
        <v>-</v>
      </c>
      <c r="BB435" s="1415" t="str">
        <f t="shared" si="868"/>
        <v>-</v>
      </c>
      <c r="BC435" s="1415" t="str">
        <f t="shared" si="756"/>
        <v>-</v>
      </c>
      <c r="BD435" s="1415" t="str">
        <f t="shared" si="757"/>
        <v>-</v>
      </c>
      <c r="BE435" s="1415" t="str">
        <f t="shared" si="758"/>
        <v>-</v>
      </c>
      <c r="BF435" s="1415" t="str">
        <f t="shared" si="759"/>
        <v>-</v>
      </c>
      <c r="BG435" s="1416" t="str">
        <f t="shared" si="760"/>
        <v>-</v>
      </c>
      <c r="BH435" s="1417" t="str">
        <f t="shared" si="761"/>
        <v>-</v>
      </c>
      <c r="BI435" s="1417" t="str">
        <f t="shared" si="762"/>
        <v>-</v>
      </c>
      <c r="BJ435" s="1417" t="str">
        <f t="shared" si="763"/>
        <v>-</v>
      </c>
      <c r="BK435" s="1417" t="str">
        <f t="shared" si="764"/>
        <v>-</v>
      </c>
      <c r="BL435" s="1418" t="str">
        <f t="shared" si="765"/>
        <v>-</v>
      </c>
      <c r="BM435" s="1417" t="str">
        <f t="shared" si="766"/>
        <v>-</v>
      </c>
      <c r="BN435" s="1417" t="str">
        <f t="shared" si="767"/>
        <v>-</v>
      </c>
      <c r="BO435" s="1417" t="str">
        <f t="shared" si="768"/>
        <v>-</v>
      </c>
      <c r="BP435" s="1417" t="str">
        <f t="shared" si="769"/>
        <v>-</v>
      </c>
      <c r="BQ435" s="1419" t="str">
        <f t="shared" si="770"/>
        <v>-</v>
      </c>
      <c r="BR435" s="1378"/>
      <c r="BS435" s="1420"/>
      <c r="BT435" s="1421"/>
      <c r="BU435" s="1422"/>
      <c r="BV435" s="1423"/>
      <c r="BW435" s="1378"/>
      <c r="BX435" s="1412" t="str">
        <f t="shared" si="771"/>
        <v>Price</v>
      </c>
      <c r="BY435" s="1413" t="str">
        <f t="shared" si="772"/>
        <v>[Service]</v>
      </c>
      <c r="BZ435" s="1414" t="str">
        <f t="shared" si="773"/>
        <v>[Price]</v>
      </c>
      <c r="CA435" s="1424" t="str">
        <f>IFERROR((P435/O435-1)*(O437/O$13),"-")</f>
        <v>-</v>
      </c>
      <c r="CB435" s="1415" t="str">
        <f>IFERROR((Q435/P435-1)*(P437/P$13),"-")</f>
        <v>-</v>
      </c>
      <c r="CC435" s="1415" t="str">
        <f>IFERROR((R435/Q435-1)*(Q437/Q$13),"-")</f>
        <v>-</v>
      </c>
      <c r="CD435" s="1415" t="str">
        <f t="shared" ref="CD435:CR435" si="870">IFERROR((S435/R435-1)*(R437/R$13),"-")</f>
        <v>-</v>
      </c>
      <c r="CE435" s="1415" t="str">
        <f t="shared" si="870"/>
        <v>-</v>
      </c>
      <c r="CF435" s="1415" t="str">
        <f t="shared" si="870"/>
        <v>-</v>
      </c>
      <c r="CG435" s="1415" t="str">
        <f t="shared" si="870"/>
        <v>-</v>
      </c>
      <c r="CH435" s="1425" t="str">
        <f t="shared" si="870"/>
        <v>-</v>
      </c>
      <c r="CI435" s="1417" t="str">
        <f t="shared" si="870"/>
        <v>-</v>
      </c>
      <c r="CJ435" s="1417" t="str">
        <f t="shared" si="870"/>
        <v>-</v>
      </c>
      <c r="CK435" s="1417" t="str">
        <f t="shared" si="870"/>
        <v>-</v>
      </c>
      <c r="CL435" s="1417" t="str">
        <f t="shared" si="870"/>
        <v>-</v>
      </c>
      <c r="CM435" s="1418" t="str">
        <f t="shared" si="870"/>
        <v>-</v>
      </c>
      <c r="CN435" s="1417" t="str">
        <f t="shared" si="870"/>
        <v>-</v>
      </c>
      <c r="CO435" s="1417" t="str">
        <f t="shared" si="870"/>
        <v>-</v>
      </c>
      <c r="CP435" s="1417" t="str">
        <f t="shared" si="870"/>
        <v>-</v>
      </c>
      <c r="CQ435" s="1417" t="str">
        <f t="shared" si="870"/>
        <v>-</v>
      </c>
      <c r="CR435" s="1419" t="str">
        <f t="shared" si="870"/>
        <v>-</v>
      </c>
      <c r="CS435" s="1378"/>
      <c r="CT435" s="1412" t="str">
        <f t="shared" si="749"/>
        <v>Price</v>
      </c>
      <c r="CU435" s="1413" t="str">
        <f t="shared" si="750"/>
        <v>[Service]</v>
      </c>
      <c r="CV435" s="1426" t="str">
        <f t="shared" si="751"/>
        <v>[Price]</v>
      </c>
      <c r="CW435" s="1427" t="str">
        <f t="shared" si="775"/>
        <v>-</v>
      </c>
      <c r="CX435" s="1417" t="str">
        <f t="shared" si="776"/>
        <v>-</v>
      </c>
      <c r="CY435" s="1417" t="str">
        <f t="shared" si="777"/>
        <v>-</v>
      </c>
      <c r="CZ435" s="1419" t="str">
        <f t="shared" si="778"/>
        <v>-</v>
      </c>
      <c r="DA435" s="1417" t="str">
        <f t="shared" si="779"/>
        <v>-</v>
      </c>
      <c r="DB435" s="1417" t="str">
        <f t="shared" si="780"/>
        <v>-</v>
      </c>
      <c r="DC435" s="1417" t="str">
        <f t="shared" si="781"/>
        <v>-</v>
      </c>
      <c r="DD435" s="1417" t="str">
        <f t="shared" si="782"/>
        <v>-</v>
      </c>
      <c r="DE435" s="1419" t="str">
        <f t="shared" si="783"/>
        <v>-</v>
      </c>
      <c r="DF435" s="1378"/>
      <c r="DG435" s="1412" t="str">
        <f t="shared" si="784"/>
        <v>Price</v>
      </c>
      <c r="DH435" s="1413" t="str">
        <f t="shared" si="784"/>
        <v>[Service]</v>
      </c>
      <c r="DI435" s="1426" t="str">
        <f t="shared" si="784"/>
        <v>[Price]</v>
      </c>
      <c r="DJ435" s="1426"/>
      <c r="DK435" s="1427" t="str">
        <f t="shared" si="785"/>
        <v>-</v>
      </c>
      <c r="DL435" s="1417" t="str">
        <f t="shared" si="786"/>
        <v>-</v>
      </c>
      <c r="DM435" s="1417" t="str">
        <f t="shared" si="787"/>
        <v>-</v>
      </c>
      <c r="DN435" s="1418" t="str">
        <f t="shared" si="788"/>
        <v>-</v>
      </c>
      <c r="DO435" s="1417" t="str">
        <f t="shared" si="789"/>
        <v>-</v>
      </c>
      <c r="DP435" s="1417" t="str">
        <f t="shared" si="790"/>
        <v>-</v>
      </c>
      <c r="DQ435" s="1417" t="str">
        <f t="shared" si="791"/>
        <v>-</v>
      </c>
      <c r="DR435" s="1419" t="str">
        <f t="shared" si="792"/>
        <v>-</v>
      </c>
    </row>
    <row r="436" spans="4:122">
      <c r="E436" s="742" t="s">
        <v>45</v>
      </c>
      <c r="F436" s="722" t="str">
        <f>+F435</f>
        <v>[Service]</v>
      </c>
      <c r="G436" s="723">
        <f>+G435</f>
        <v>0</v>
      </c>
      <c r="H436" s="723">
        <f>+H435</f>
        <v>0</v>
      </c>
      <c r="I436" s="724" t="str">
        <f>+I435</f>
        <v>[Price]</v>
      </c>
      <c r="J436" s="782" t="s">
        <v>322</v>
      </c>
      <c r="K436" s="725"/>
      <c r="L436" s="726"/>
      <c r="M436" s="726"/>
      <c r="N436" s="727"/>
      <c r="O436" s="2122"/>
      <c r="P436" s="786"/>
      <c r="Q436" s="786"/>
      <c r="R436" s="786"/>
      <c r="S436" s="786"/>
      <c r="T436" s="786"/>
      <c r="U436" s="786"/>
      <c r="V436" s="786"/>
      <c r="W436" s="786"/>
      <c r="X436" s="787"/>
      <c r="Y436" s="786"/>
      <c r="Z436" s="786"/>
      <c r="AA436" s="786"/>
      <c r="AB436" s="786"/>
      <c r="AC436" s="787"/>
      <c r="AD436" s="786"/>
      <c r="AE436" s="786"/>
      <c r="AF436" s="786"/>
      <c r="AG436" s="788"/>
      <c r="AH436" s="697"/>
      <c r="AI436" s="707"/>
      <c r="AJ436" s="709">
        <f t="shared" si="796"/>
        <v>0</v>
      </c>
      <c r="AK436" s="710">
        <f t="shared" si="797"/>
        <v>0</v>
      </c>
      <c r="AL436" s="710">
        <f t="shared" si="798"/>
        <v>0</v>
      </c>
      <c r="AM436" s="710">
        <f t="shared" si="799"/>
        <v>0</v>
      </c>
      <c r="AN436" s="710">
        <f t="shared" si="800"/>
        <v>0</v>
      </c>
      <c r="AO436" s="711">
        <f t="shared" si="801"/>
        <v>0</v>
      </c>
      <c r="AP436" s="707">
        <f t="shared" si="802"/>
        <v>0</v>
      </c>
      <c r="AQ436" s="707">
        <f t="shared" si="803"/>
        <v>0</v>
      </c>
      <c r="AR436" s="707">
        <f t="shared" si="804"/>
        <v>0</v>
      </c>
      <c r="AS436" s="712">
        <f t="shared" si="805"/>
        <v>0</v>
      </c>
      <c r="AV436" s="1559"/>
      <c r="AW436" s="1392" t="str">
        <f t="shared" si="753"/>
        <v>Qty</v>
      </c>
      <c r="AX436" s="1393" t="str">
        <f t="shared" si="753"/>
        <v>[Service]</v>
      </c>
      <c r="AY436" s="1394" t="str">
        <f t="shared" si="754"/>
        <v>[Price]</v>
      </c>
      <c r="AZ436" s="1395" t="str">
        <f t="shared" si="868"/>
        <v>-</v>
      </c>
      <c r="BA436" s="1395" t="str">
        <f t="shared" si="868"/>
        <v>-</v>
      </c>
      <c r="BB436" s="1395" t="str">
        <f t="shared" si="868"/>
        <v>-</v>
      </c>
      <c r="BC436" s="1395" t="str">
        <f t="shared" si="756"/>
        <v>-</v>
      </c>
      <c r="BD436" s="1395" t="str">
        <f t="shared" si="757"/>
        <v>-</v>
      </c>
      <c r="BE436" s="1395" t="str">
        <f t="shared" si="758"/>
        <v>-</v>
      </c>
      <c r="BF436" s="1395" t="str">
        <f t="shared" si="759"/>
        <v>-</v>
      </c>
      <c r="BG436" s="1396" t="str">
        <f t="shared" si="760"/>
        <v>-</v>
      </c>
      <c r="BH436" s="1395" t="str">
        <f t="shared" si="761"/>
        <v>-</v>
      </c>
      <c r="BI436" s="1395" t="str">
        <f t="shared" si="762"/>
        <v>-</v>
      </c>
      <c r="BJ436" s="1395" t="str">
        <f t="shared" si="763"/>
        <v>-</v>
      </c>
      <c r="BK436" s="1395" t="str">
        <f t="shared" si="764"/>
        <v>-</v>
      </c>
      <c r="BL436" s="1397" t="str">
        <f t="shared" si="765"/>
        <v>-</v>
      </c>
      <c r="BM436" s="1395" t="str">
        <f t="shared" si="766"/>
        <v>-</v>
      </c>
      <c r="BN436" s="1395" t="str">
        <f t="shared" si="767"/>
        <v>-</v>
      </c>
      <c r="BO436" s="1395" t="str">
        <f t="shared" si="768"/>
        <v>-</v>
      </c>
      <c r="BP436" s="1395" t="str">
        <f t="shared" si="769"/>
        <v>-</v>
      </c>
      <c r="BQ436" s="1398" t="str">
        <f t="shared" si="770"/>
        <v>-</v>
      </c>
      <c r="BR436" s="1378"/>
      <c r="BS436" s="1329"/>
      <c r="BT436" s="1399"/>
      <c r="BU436" s="1331"/>
      <c r="BV436" s="1400"/>
      <c r="BW436" s="1378"/>
      <c r="BX436" s="1392" t="str">
        <f t="shared" si="771"/>
        <v>Qty</v>
      </c>
      <c r="BY436" s="1393" t="str">
        <f t="shared" si="772"/>
        <v>[Service]</v>
      </c>
      <c r="BZ436" s="1394" t="str">
        <f t="shared" si="773"/>
        <v>[Price]</v>
      </c>
      <c r="CA436" s="1401" t="str">
        <f>IFERROR((P436/O436-1)*(O437/O$13),"-")</f>
        <v>-</v>
      </c>
      <c r="CB436" s="1395" t="str">
        <f>IFERROR((Q436/P436-1)*(P437/P$13),"-")</f>
        <v>-</v>
      </c>
      <c r="CC436" s="1395" t="str">
        <f>IFERROR((R436/Q436-1)*(Q437/Q$13),"-")</f>
        <v>-</v>
      </c>
      <c r="CD436" s="1395" t="str">
        <f t="shared" ref="CD436:CR436" si="871">IFERROR((S436/R436-1)*(R437/R$13),"-")</f>
        <v>-</v>
      </c>
      <c r="CE436" s="1395" t="str">
        <f t="shared" si="871"/>
        <v>-</v>
      </c>
      <c r="CF436" s="1395" t="str">
        <f t="shared" si="871"/>
        <v>-</v>
      </c>
      <c r="CG436" s="1395" t="str">
        <f t="shared" si="871"/>
        <v>-</v>
      </c>
      <c r="CH436" s="1397" t="str">
        <f t="shared" si="871"/>
        <v>-</v>
      </c>
      <c r="CI436" s="1395" t="str">
        <f t="shared" si="871"/>
        <v>-</v>
      </c>
      <c r="CJ436" s="1395" t="str">
        <f t="shared" si="871"/>
        <v>-</v>
      </c>
      <c r="CK436" s="1395" t="str">
        <f t="shared" si="871"/>
        <v>-</v>
      </c>
      <c r="CL436" s="1395" t="str">
        <f t="shared" si="871"/>
        <v>-</v>
      </c>
      <c r="CM436" s="1397" t="str">
        <f t="shared" si="871"/>
        <v>-</v>
      </c>
      <c r="CN436" s="1395" t="str">
        <f t="shared" si="871"/>
        <v>-</v>
      </c>
      <c r="CO436" s="1395" t="str">
        <f t="shared" si="871"/>
        <v>-</v>
      </c>
      <c r="CP436" s="1395" t="str">
        <f t="shared" si="871"/>
        <v>-</v>
      </c>
      <c r="CQ436" s="1395" t="str">
        <f t="shared" si="871"/>
        <v>-</v>
      </c>
      <c r="CR436" s="1398" t="str">
        <f t="shared" si="871"/>
        <v>-</v>
      </c>
      <c r="CS436" s="1378"/>
      <c r="CT436" s="1392" t="str">
        <f t="shared" si="749"/>
        <v>Qty</v>
      </c>
      <c r="CU436" s="1393" t="str">
        <f t="shared" si="750"/>
        <v>[Service]</v>
      </c>
      <c r="CV436" s="1393" t="str">
        <f t="shared" si="751"/>
        <v>[Price]</v>
      </c>
      <c r="CW436" s="1401" t="str">
        <f t="shared" si="775"/>
        <v>-</v>
      </c>
      <c r="CX436" s="1395" t="str">
        <f t="shared" si="776"/>
        <v>-</v>
      </c>
      <c r="CY436" s="1395" t="str">
        <f t="shared" si="777"/>
        <v>-</v>
      </c>
      <c r="CZ436" s="1398" t="str">
        <f t="shared" si="778"/>
        <v>-</v>
      </c>
      <c r="DA436" s="1395" t="str">
        <f t="shared" si="779"/>
        <v>-</v>
      </c>
      <c r="DB436" s="1395" t="str">
        <f t="shared" si="780"/>
        <v>-</v>
      </c>
      <c r="DC436" s="1395" t="str">
        <f t="shared" si="781"/>
        <v>-</v>
      </c>
      <c r="DD436" s="1395" t="str">
        <f t="shared" si="782"/>
        <v>-</v>
      </c>
      <c r="DE436" s="1398" t="str">
        <f t="shared" si="783"/>
        <v>-</v>
      </c>
      <c r="DF436" s="1378"/>
      <c r="DG436" s="1392" t="str">
        <f t="shared" si="784"/>
        <v>Qty</v>
      </c>
      <c r="DH436" s="1393" t="str">
        <f t="shared" si="784"/>
        <v>[Service]</v>
      </c>
      <c r="DI436" s="1393" t="str">
        <f t="shared" si="784"/>
        <v>[Price]</v>
      </c>
      <c r="DJ436" s="1393"/>
      <c r="DK436" s="1401" t="str">
        <f t="shared" si="785"/>
        <v>-</v>
      </c>
      <c r="DL436" s="1395" t="str">
        <f t="shared" si="786"/>
        <v>-</v>
      </c>
      <c r="DM436" s="1395" t="str">
        <f t="shared" si="787"/>
        <v>-</v>
      </c>
      <c r="DN436" s="1397" t="str">
        <f t="shared" si="788"/>
        <v>-</v>
      </c>
      <c r="DO436" s="1395" t="str">
        <f t="shared" si="789"/>
        <v>-</v>
      </c>
      <c r="DP436" s="1395" t="str">
        <f t="shared" si="790"/>
        <v>-</v>
      </c>
      <c r="DQ436" s="1395" t="str">
        <f t="shared" si="791"/>
        <v>-</v>
      </c>
      <c r="DR436" s="1398" t="str">
        <f t="shared" si="792"/>
        <v>-</v>
      </c>
    </row>
    <row r="437" spans="4:122" ht="12.75" thickBot="1">
      <c r="E437" s="743" t="s">
        <v>46</v>
      </c>
      <c r="F437" s="732" t="str">
        <f>+F435</f>
        <v>[Service]</v>
      </c>
      <c r="G437" s="733">
        <f>+G435</f>
        <v>0</v>
      </c>
      <c r="H437" s="733">
        <f>+H435</f>
        <v>0</v>
      </c>
      <c r="I437" s="734" t="str">
        <f>+I435</f>
        <v>[Price]</v>
      </c>
      <c r="J437" s="735" t="s">
        <v>344</v>
      </c>
      <c r="K437" s="736">
        <f t="shared" ref="K437:AG437" si="872">K435*K436/10^6</f>
        <v>0</v>
      </c>
      <c r="L437" s="737">
        <f t="shared" si="872"/>
        <v>0</v>
      </c>
      <c r="M437" s="737">
        <f t="shared" si="872"/>
        <v>0</v>
      </c>
      <c r="N437" s="738">
        <f t="shared" si="872"/>
        <v>0</v>
      </c>
      <c r="O437" s="1923">
        <f t="shared" si="872"/>
        <v>0</v>
      </c>
      <c r="P437" s="737">
        <f t="shared" si="872"/>
        <v>0</v>
      </c>
      <c r="Q437" s="737">
        <f t="shared" si="872"/>
        <v>0</v>
      </c>
      <c r="R437" s="737">
        <f t="shared" si="872"/>
        <v>0</v>
      </c>
      <c r="S437" s="737">
        <f t="shared" si="872"/>
        <v>0</v>
      </c>
      <c r="T437" s="737">
        <f t="shared" si="872"/>
        <v>0</v>
      </c>
      <c r="U437" s="737">
        <f t="shared" si="872"/>
        <v>0</v>
      </c>
      <c r="V437" s="737">
        <f t="shared" si="872"/>
        <v>0</v>
      </c>
      <c r="W437" s="737">
        <f t="shared" si="872"/>
        <v>0</v>
      </c>
      <c r="X437" s="738">
        <f t="shared" si="872"/>
        <v>0</v>
      </c>
      <c r="Y437" s="737">
        <f t="shared" si="872"/>
        <v>0</v>
      </c>
      <c r="Z437" s="737">
        <f t="shared" si="872"/>
        <v>0</v>
      </c>
      <c r="AA437" s="737">
        <f t="shared" si="872"/>
        <v>0</v>
      </c>
      <c r="AB437" s="737">
        <f t="shared" si="872"/>
        <v>0</v>
      </c>
      <c r="AC437" s="738">
        <f t="shared" si="872"/>
        <v>0</v>
      </c>
      <c r="AD437" s="737">
        <f t="shared" si="872"/>
        <v>0</v>
      </c>
      <c r="AE437" s="737">
        <f t="shared" si="872"/>
        <v>0</v>
      </c>
      <c r="AF437" s="737">
        <f t="shared" si="872"/>
        <v>0</v>
      </c>
      <c r="AG437" s="739">
        <f t="shared" si="872"/>
        <v>0</v>
      </c>
      <c r="AH437" s="697"/>
      <c r="AI437" s="707"/>
      <c r="AJ437" s="709">
        <f t="shared" si="796"/>
        <v>0</v>
      </c>
      <c r="AK437" s="710">
        <f t="shared" si="797"/>
        <v>0</v>
      </c>
      <c r="AL437" s="710">
        <f t="shared" si="798"/>
        <v>0</v>
      </c>
      <c r="AM437" s="710">
        <f t="shared" si="799"/>
        <v>0</v>
      </c>
      <c r="AN437" s="710">
        <f t="shared" si="800"/>
        <v>0</v>
      </c>
      <c r="AO437" s="711">
        <f t="shared" si="801"/>
        <v>0</v>
      </c>
      <c r="AP437" s="707">
        <f t="shared" si="802"/>
        <v>0</v>
      </c>
      <c r="AQ437" s="707">
        <f t="shared" si="803"/>
        <v>0</v>
      </c>
      <c r="AR437" s="707">
        <f t="shared" si="804"/>
        <v>0</v>
      </c>
      <c r="AS437" s="712">
        <f t="shared" si="805"/>
        <v>0</v>
      </c>
      <c r="AV437" s="1559"/>
      <c r="AW437" s="1428" t="str">
        <f t="shared" si="753"/>
        <v>Rev</v>
      </c>
      <c r="AX437" s="1429" t="str">
        <f t="shared" si="753"/>
        <v>[Service]</v>
      </c>
      <c r="AY437" s="1430" t="str">
        <f t="shared" si="754"/>
        <v>[Price]</v>
      </c>
      <c r="AZ437" s="1431" t="str">
        <f t="shared" si="868"/>
        <v>-</v>
      </c>
      <c r="BA437" s="1431" t="str">
        <f t="shared" si="868"/>
        <v>-</v>
      </c>
      <c r="BB437" s="1431" t="str">
        <f t="shared" si="868"/>
        <v>-</v>
      </c>
      <c r="BC437" s="1431" t="str">
        <f t="shared" si="756"/>
        <v>-</v>
      </c>
      <c r="BD437" s="1431" t="str">
        <f t="shared" si="757"/>
        <v>-</v>
      </c>
      <c r="BE437" s="1431" t="str">
        <f t="shared" si="758"/>
        <v>-</v>
      </c>
      <c r="BF437" s="1431" t="str">
        <f t="shared" si="759"/>
        <v>-</v>
      </c>
      <c r="BG437" s="1432" t="str">
        <f t="shared" si="760"/>
        <v>-</v>
      </c>
      <c r="BH437" s="1431" t="str">
        <f t="shared" si="761"/>
        <v>-</v>
      </c>
      <c r="BI437" s="1431" t="str">
        <f t="shared" si="762"/>
        <v>-</v>
      </c>
      <c r="BJ437" s="1431" t="str">
        <f t="shared" si="763"/>
        <v>-</v>
      </c>
      <c r="BK437" s="1431" t="str">
        <f t="shared" si="764"/>
        <v>-</v>
      </c>
      <c r="BL437" s="1433" t="str">
        <f t="shared" si="765"/>
        <v>-</v>
      </c>
      <c r="BM437" s="1431" t="str">
        <f t="shared" si="766"/>
        <v>-</v>
      </c>
      <c r="BN437" s="1431" t="str">
        <f t="shared" si="767"/>
        <v>-</v>
      </c>
      <c r="BO437" s="1431" t="str">
        <f t="shared" si="768"/>
        <v>-</v>
      </c>
      <c r="BP437" s="1431" t="str">
        <f t="shared" si="769"/>
        <v>-</v>
      </c>
      <c r="BQ437" s="1434" t="str">
        <f t="shared" si="770"/>
        <v>-</v>
      </c>
      <c r="BR437" s="1378"/>
      <c r="BS437" s="1407"/>
      <c r="BT437" s="1408"/>
      <c r="BU437" s="1409"/>
      <c r="BV437" s="1410"/>
      <c r="BW437" s="1378"/>
      <c r="BX437" s="1428" t="str">
        <f t="shared" si="771"/>
        <v>Rev</v>
      </c>
      <c r="BY437" s="1429" t="str">
        <f t="shared" si="772"/>
        <v>[Service]</v>
      </c>
      <c r="BZ437" s="1430" t="str">
        <f t="shared" si="773"/>
        <v>[Price]</v>
      </c>
      <c r="CA437" s="1435" t="str">
        <f>IFERROR((P437/O437-1)*(O437/O$13),"-")</f>
        <v>-</v>
      </c>
      <c r="CB437" s="1431" t="str">
        <f>IFERROR((Q437/P437-1)*(P437/P$13),"-")</f>
        <v>-</v>
      </c>
      <c r="CC437" s="1431" t="str">
        <f>IFERROR((R437/Q437-1)*(Q437/Q$13),"-")</f>
        <v>-</v>
      </c>
      <c r="CD437" s="1431" t="str">
        <f t="shared" ref="CD437:CR437" si="873">IFERROR((S437/R437-1)*(R437/R$13),"-")</f>
        <v>-</v>
      </c>
      <c r="CE437" s="1431" t="str">
        <f t="shared" si="873"/>
        <v>-</v>
      </c>
      <c r="CF437" s="1431" t="str">
        <f t="shared" si="873"/>
        <v>-</v>
      </c>
      <c r="CG437" s="1431" t="str">
        <f t="shared" si="873"/>
        <v>-</v>
      </c>
      <c r="CH437" s="1433" t="str">
        <f t="shared" si="873"/>
        <v>-</v>
      </c>
      <c r="CI437" s="1431" t="str">
        <f t="shared" si="873"/>
        <v>-</v>
      </c>
      <c r="CJ437" s="1431" t="str">
        <f t="shared" si="873"/>
        <v>-</v>
      </c>
      <c r="CK437" s="1431" t="str">
        <f t="shared" si="873"/>
        <v>-</v>
      </c>
      <c r="CL437" s="1431" t="str">
        <f t="shared" si="873"/>
        <v>-</v>
      </c>
      <c r="CM437" s="1433" t="str">
        <f t="shared" si="873"/>
        <v>-</v>
      </c>
      <c r="CN437" s="1431" t="str">
        <f t="shared" si="873"/>
        <v>-</v>
      </c>
      <c r="CO437" s="1431" t="str">
        <f t="shared" si="873"/>
        <v>-</v>
      </c>
      <c r="CP437" s="1431" t="str">
        <f t="shared" si="873"/>
        <v>-</v>
      </c>
      <c r="CQ437" s="1431" t="str">
        <f t="shared" si="873"/>
        <v>-</v>
      </c>
      <c r="CR437" s="1434" t="str">
        <f t="shared" si="873"/>
        <v>-</v>
      </c>
      <c r="CS437" s="1378"/>
      <c r="CT437" s="1428" t="str">
        <f t="shared" si="749"/>
        <v>Rev</v>
      </c>
      <c r="CU437" s="1429" t="str">
        <f t="shared" si="750"/>
        <v>[Service]</v>
      </c>
      <c r="CV437" s="1429" t="str">
        <f t="shared" si="751"/>
        <v>[Price]</v>
      </c>
      <c r="CW437" s="1435" t="str">
        <f t="shared" si="775"/>
        <v>-</v>
      </c>
      <c r="CX437" s="1431" t="str">
        <f t="shared" si="776"/>
        <v>-</v>
      </c>
      <c r="CY437" s="1431" t="str">
        <f t="shared" si="777"/>
        <v>-</v>
      </c>
      <c r="CZ437" s="1434" t="str">
        <f t="shared" si="778"/>
        <v>-</v>
      </c>
      <c r="DA437" s="1431" t="str">
        <f t="shared" si="779"/>
        <v>-</v>
      </c>
      <c r="DB437" s="1431" t="str">
        <f t="shared" si="780"/>
        <v>-</v>
      </c>
      <c r="DC437" s="1431" t="str">
        <f t="shared" si="781"/>
        <v>-</v>
      </c>
      <c r="DD437" s="1431" t="str">
        <f t="shared" si="782"/>
        <v>-</v>
      </c>
      <c r="DE437" s="1434" t="str">
        <f t="shared" si="783"/>
        <v>-</v>
      </c>
      <c r="DF437" s="1378"/>
      <c r="DG437" s="1428" t="str">
        <f t="shared" si="784"/>
        <v>Rev</v>
      </c>
      <c r="DH437" s="1429" t="str">
        <f t="shared" si="784"/>
        <v>[Service]</v>
      </c>
      <c r="DI437" s="1429" t="str">
        <f t="shared" si="784"/>
        <v>[Price]</v>
      </c>
      <c r="DJ437" s="1429"/>
      <c r="DK437" s="1435" t="str">
        <f t="shared" si="785"/>
        <v>-</v>
      </c>
      <c r="DL437" s="1431" t="str">
        <f t="shared" si="786"/>
        <v>-</v>
      </c>
      <c r="DM437" s="1431" t="str">
        <f t="shared" si="787"/>
        <v>-</v>
      </c>
      <c r="DN437" s="1433" t="str">
        <f t="shared" si="788"/>
        <v>-</v>
      </c>
      <c r="DO437" s="1431" t="str">
        <f t="shared" si="789"/>
        <v>-</v>
      </c>
      <c r="DP437" s="1431" t="str">
        <f t="shared" si="790"/>
        <v>-</v>
      </c>
      <c r="DQ437" s="1431" t="str">
        <f t="shared" si="791"/>
        <v>-</v>
      </c>
      <c r="DR437" s="1434" t="str">
        <f t="shared" si="792"/>
        <v>-</v>
      </c>
    </row>
    <row r="438" spans="4:122">
      <c r="D438" s="70">
        <f>D435+1</f>
        <v>125</v>
      </c>
      <c r="E438" s="713" t="s">
        <v>44</v>
      </c>
      <c r="F438" s="789" t="s">
        <v>27</v>
      </c>
      <c r="G438" s="789"/>
      <c r="H438" s="789"/>
      <c r="I438" s="781" t="s">
        <v>318</v>
      </c>
      <c r="J438" s="781" t="s">
        <v>345</v>
      </c>
      <c r="K438" s="714"/>
      <c r="L438" s="715"/>
      <c r="M438" s="715"/>
      <c r="N438" s="716"/>
      <c r="O438" s="2072"/>
      <c r="P438" s="783"/>
      <c r="Q438" s="783"/>
      <c r="R438" s="783"/>
      <c r="S438" s="783"/>
      <c r="T438" s="783"/>
      <c r="U438" s="783"/>
      <c r="V438" s="783"/>
      <c r="W438" s="783"/>
      <c r="X438" s="784"/>
      <c r="Y438" s="783"/>
      <c r="Z438" s="783"/>
      <c r="AA438" s="783"/>
      <c r="AB438" s="783"/>
      <c r="AC438" s="784"/>
      <c r="AD438" s="783"/>
      <c r="AE438" s="783"/>
      <c r="AF438" s="783"/>
      <c r="AG438" s="785"/>
      <c r="AH438" s="697"/>
      <c r="AI438" s="707"/>
      <c r="AJ438" s="709">
        <f t="shared" si="796"/>
        <v>0</v>
      </c>
      <c r="AK438" s="710">
        <f t="shared" si="797"/>
        <v>0</v>
      </c>
      <c r="AL438" s="710">
        <f t="shared" si="798"/>
        <v>0</v>
      </c>
      <c r="AM438" s="710">
        <f t="shared" si="799"/>
        <v>0</v>
      </c>
      <c r="AN438" s="710">
        <f t="shared" si="800"/>
        <v>0</v>
      </c>
      <c r="AO438" s="711">
        <f t="shared" si="801"/>
        <v>0</v>
      </c>
      <c r="AP438" s="707">
        <f t="shared" si="802"/>
        <v>0</v>
      </c>
      <c r="AQ438" s="707">
        <f t="shared" si="803"/>
        <v>0</v>
      </c>
      <c r="AR438" s="707">
        <f t="shared" si="804"/>
        <v>0</v>
      </c>
      <c r="AS438" s="712">
        <f t="shared" si="805"/>
        <v>0</v>
      </c>
      <c r="AU438" s="1369"/>
      <c r="AV438" s="1559"/>
      <c r="AW438" s="1412" t="str">
        <f t="shared" si="753"/>
        <v>Price</v>
      </c>
      <c r="AX438" s="1413" t="str">
        <f t="shared" si="753"/>
        <v>[Service]</v>
      </c>
      <c r="AY438" s="1414" t="str">
        <f t="shared" si="754"/>
        <v>[Price]</v>
      </c>
      <c r="AZ438" s="1415" t="str">
        <f t="shared" si="868"/>
        <v>-</v>
      </c>
      <c r="BA438" s="1415" t="str">
        <f t="shared" si="868"/>
        <v>-</v>
      </c>
      <c r="BB438" s="1415" t="str">
        <f t="shared" si="868"/>
        <v>-</v>
      </c>
      <c r="BC438" s="1415" t="str">
        <f t="shared" si="756"/>
        <v>-</v>
      </c>
      <c r="BD438" s="1415" t="str">
        <f t="shared" si="757"/>
        <v>-</v>
      </c>
      <c r="BE438" s="1415" t="str">
        <f t="shared" si="758"/>
        <v>-</v>
      </c>
      <c r="BF438" s="1415" t="str">
        <f t="shared" si="759"/>
        <v>-</v>
      </c>
      <c r="BG438" s="1416" t="str">
        <f t="shared" si="760"/>
        <v>-</v>
      </c>
      <c r="BH438" s="1417" t="str">
        <f t="shared" si="761"/>
        <v>-</v>
      </c>
      <c r="BI438" s="1417" t="str">
        <f t="shared" si="762"/>
        <v>-</v>
      </c>
      <c r="BJ438" s="1417" t="str">
        <f t="shared" si="763"/>
        <v>-</v>
      </c>
      <c r="BK438" s="1417" t="str">
        <f t="shared" si="764"/>
        <v>-</v>
      </c>
      <c r="BL438" s="1418" t="str">
        <f t="shared" si="765"/>
        <v>-</v>
      </c>
      <c r="BM438" s="1417" t="str">
        <f t="shared" si="766"/>
        <v>-</v>
      </c>
      <c r="BN438" s="1417" t="str">
        <f t="shared" si="767"/>
        <v>-</v>
      </c>
      <c r="BO438" s="1417" t="str">
        <f t="shared" si="768"/>
        <v>-</v>
      </c>
      <c r="BP438" s="1417" t="str">
        <f t="shared" si="769"/>
        <v>-</v>
      </c>
      <c r="BQ438" s="1419" t="str">
        <f t="shared" si="770"/>
        <v>-</v>
      </c>
      <c r="BR438" s="1378"/>
      <c r="BS438" s="1420"/>
      <c r="BT438" s="1421"/>
      <c r="BU438" s="1422"/>
      <c r="BV438" s="1423"/>
      <c r="BW438" s="1378"/>
      <c r="BX438" s="1412" t="str">
        <f t="shared" si="771"/>
        <v>Price</v>
      </c>
      <c r="BY438" s="1413" t="str">
        <f t="shared" si="772"/>
        <v>[Service]</v>
      </c>
      <c r="BZ438" s="1414" t="str">
        <f t="shared" si="773"/>
        <v>[Price]</v>
      </c>
      <c r="CA438" s="1415" t="str">
        <f>IFERROR((P438/O438-1)*(O440/O$13),"-")</f>
        <v>-</v>
      </c>
      <c r="CB438" s="1415" t="str">
        <f>IFERROR((Q438/P438-1)*(P440/P$13),"-")</f>
        <v>-</v>
      </c>
      <c r="CC438" s="1415" t="str">
        <f>IFERROR((R438/Q438-1)*(Q440/Q$13),"-")</f>
        <v>-</v>
      </c>
      <c r="CD438" s="1415" t="str">
        <f t="shared" ref="CD438:CR438" si="874">IFERROR((S438/R438-1)*(R440/R$13),"-")</f>
        <v>-</v>
      </c>
      <c r="CE438" s="1415" t="str">
        <f t="shared" si="874"/>
        <v>-</v>
      </c>
      <c r="CF438" s="1415" t="str">
        <f t="shared" si="874"/>
        <v>-</v>
      </c>
      <c r="CG438" s="1415" t="str">
        <f t="shared" si="874"/>
        <v>-</v>
      </c>
      <c r="CH438" s="1425" t="str">
        <f t="shared" si="874"/>
        <v>-</v>
      </c>
      <c r="CI438" s="1417" t="str">
        <f t="shared" si="874"/>
        <v>-</v>
      </c>
      <c r="CJ438" s="1417" t="str">
        <f t="shared" si="874"/>
        <v>-</v>
      </c>
      <c r="CK438" s="1417" t="str">
        <f t="shared" si="874"/>
        <v>-</v>
      </c>
      <c r="CL438" s="1417" t="str">
        <f t="shared" si="874"/>
        <v>-</v>
      </c>
      <c r="CM438" s="1418" t="str">
        <f t="shared" si="874"/>
        <v>-</v>
      </c>
      <c r="CN438" s="1417" t="str">
        <f t="shared" si="874"/>
        <v>-</v>
      </c>
      <c r="CO438" s="1417" t="str">
        <f t="shared" si="874"/>
        <v>-</v>
      </c>
      <c r="CP438" s="1417" t="str">
        <f t="shared" si="874"/>
        <v>-</v>
      </c>
      <c r="CQ438" s="1417" t="str">
        <f t="shared" si="874"/>
        <v>-</v>
      </c>
      <c r="CR438" s="1419" t="str">
        <f t="shared" si="874"/>
        <v>-</v>
      </c>
      <c r="CS438" s="1378"/>
      <c r="CT438" s="1412" t="str">
        <f t="shared" si="749"/>
        <v>Price</v>
      </c>
      <c r="CU438" s="1413" t="str">
        <f t="shared" si="750"/>
        <v>[Service]</v>
      </c>
      <c r="CV438" s="1426" t="str">
        <f t="shared" si="751"/>
        <v>[Price]</v>
      </c>
      <c r="CW438" s="1427" t="str">
        <f t="shared" si="775"/>
        <v>-</v>
      </c>
      <c r="CX438" s="1417" t="str">
        <f t="shared" si="776"/>
        <v>-</v>
      </c>
      <c r="CY438" s="1417" t="str">
        <f t="shared" si="777"/>
        <v>-</v>
      </c>
      <c r="CZ438" s="1419" t="str">
        <f t="shared" si="778"/>
        <v>-</v>
      </c>
      <c r="DA438" s="1417" t="str">
        <f t="shared" si="779"/>
        <v>-</v>
      </c>
      <c r="DB438" s="1417" t="str">
        <f t="shared" si="780"/>
        <v>-</v>
      </c>
      <c r="DC438" s="1417" t="str">
        <f t="shared" si="781"/>
        <v>-</v>
      </c>
      <c r="DD438" s="1417" t="str">
        <f t="shared" si="782"/>
        <v>-</v>
      </c>
      <c r="DE438" s="1419" t="str">
        <f t="shared" si="783"/>
        <v>-</v>
      </c>
      <c r="DF438" s="1378"/>
      <c r="DG438" s="1412" t="str">
        <f t="shared" si="784"/>
        <v>Price</v>
      </c>
      <c r="DH438" s="1413" t="str">
        <f t="shared" si="784"/>
        <v>[Service]</v>
      </c>
      <c r="DI438" s="1426" t="str">
        <f t="shared" si="784"/>
        <v>[Price]</v>
      </c>
      <c r="DJ438" s="1426"/>
      <c r="DK438" s="1427" t="str">
        <f t="shared" si="785"/>
        <v>-</v>
      </c>
      <c r="DL438" s="1417" t="str">
        <f t="shared" si="786"/>
        <v>-</v>
      </c>
      <c r="DM438" s="1417" t="str">
        <f t="shared" si="787"/>
        <v>-</v>
      </c>
      <c r="DN438" s="1418" t="str">
        <f t="shared" si="788"/>
        <v>-</v>
      </c>
      <c r="DO438" s="1417" t="str">
        <f t="shared" si="789"/>
        <v>-</v>
      </c>
      <c r="DP438" s="1417" t="str">
        <f t="shared" si="790"/>
        <v>-</v>
      </c>
      <c r="DQ438" s="1417" t="str">
        <f t="shared" si="791"/>
        <v>-</v>
      </c>
      <c r="DR438" s="1419" t="str">
        <f t="shared" si="792"/>
        <v>-</v>
      </c>
    </row>
    <row r="439" spans="4:122">
      <c r="E439" s="742" t="s">
        <v>45</v>
      </c>
      <c r="F439" s="722" t="str">
        <f>+F438</f>
        <v>[Service]</v>
      </c>
      <c r="G439" s="723">
        <f>+G438</f>
        <v>0</v>
      </c>
      <c r="H439" s="723">
        <f>+H438</f>
        <v>0</v>
      </c>
      <c r="I439" s="724" t="str">
        <f>+I438</f>
        <v>[Price]</v>
      </c>
      <c r="J439" s="782" t="s">
        <v>322</v>
      </c>
      <c r="K439" s="725"/>
      <c r="L439" s="726"/>
      <c r="M439" s="726"/>
      <c r="N439" s="727"/>
      <c r="O439" s="2122"/>
      <c r="P439" s="786"/>
      <c r="Q439" s="786"/>
      <c r="R439" s="786"/>
      <c r="S439" s="786"/>
      <c r="T439" s="786"/>
      <c r="U439" s="786"/>
      <c r="V439" s="786"/>
      <c r="W439" s="786"/>
      <c r="X439" s="787"/>
      <c r="Y439" s="786"/>
      <c r="Z439" s="786"/>
      <c r="AA439" s="786"/>
      <c r="AB439" s="786"/>
      <c r="AC439" s="787"/>
      <c r="AD439" s="786"/>
      <c r="AE439" s="786"/>
      <c r="AF439" s="786"/>
      <c r="AG439" s="788"/>
      <c r="AH439" s="697"/>
      <c r="AI439" s="707"/>
      <c r="AJ439" s="709">
        <f t="shared" si="796"/>
        <v>0</v>
      </c>
      <c r="AK439" s="710">
        <f t="shared" si="797"/>
        <v>0</v>
      </c>
      <c r="AL439" s="710">
        <f t="shared" si="798"/>
        <v>0</v>
      </c>
      <c r="AM439" s="710">
        <f t="shared" si="799"/>
        <v>0</v>
      </c>
      <c r="AN439" s="710">
        <f t="shared" si="800"/>
        <v>0</v>
      </c>
      <c r="AO439" s="711">
        <f t="shared" si="801"/>
        <v>0</v>
      </c>
      <c r="AP439" s="707">
        <f t="shared" si="802"/>
        <v>0</v>
      </c>
      <c r="AQ439" s="707">
        <f t="shared" si="803"/>
        <v>0</v>
      </c>
      <c r="AR439" s="707">
        <f t="shared" si="804"/>
        <v>0</v>
      </c>
      <c r="AS439" s="712">
        <f t="shared" si="805"/>
        <v>0</v>
      </c>
      <c r="AV439" s="1559"/>
      <c r="AW439" s="1392" t="str">
        <f t="shared" si="753"/>
        <v>Qty</v>
      </c>
      <c r="AX439" s="1393" t="str">
        <f t="shared" si="753"/>
        <v>[Service]</v>
      </c>
      <c r="AY439" s="1394" t="str">
        <f t="shared" si="754"/>
        <v>[Price]</v>
      </c>
      <c r="AZ439" s="1395" t="str">
        <f t="shared" si="868"/>
        <v>-</v>
      </c>
      <c r="BA439" s="1395" t="str">
        <f t="shared" si="868"/>
        <v>-</v>
      </c>
      <c r="BB439" s="1395" t="str">
        <f t="shared" si="868"/>
        <v>-</v>
      </c>
      <c r="BC439" s="1395" t="str">
        <f t="shared" si="756"/>
        <v>-</v>
      </c>
      <c r="BD439" s="1395" t="str">
        <f t="shared" si="757"/>
        <v>-</v>
      </c>
      <c r="BE439" s="1395" t="str">
        <f t="shared" si="758"/>
        <v>-</v>
      </c>
      <c r="BF439" s="1395" t="str">
        <f t="shared" si="759"/>
        <v>-</v>
      </c>
      <c r="BG439" s="1396" t="str">
        <f t="shared" si="760"/>
        <v>-</v>
      </c>
      <c r="BH439" s="1395" t="str">
        <f t="shared" si="761"/>
        <v>-</v>
      </c>
      <c r="BI439" s="1395" t="str">
        <f t="shared" si="762"/>
        <v>-</v>
      </c>
      <c r="BJ439" s="1395" t="str">
        <f t="shared" si="763"/>
        <v>-</v>
      </c>
      <c r="BK439" s="1395" t="str">
        <f t="shared" si="764"/>
        <v>-</v>
      </c>
      <c r="BL439" s="1397" t="str">
        <f t="shared" si="765"/>
        <v>-</v>
      </c>
      <c r="BM439" s="1395" t="str">
        <f t="shared" si="766"/>
        <v>-</v>
      </c>
      <c r="BN439" s="1395" t="str">
        <f t="shared" si="767"/>
        <v>-</v>
      </c>
      <c r="BO439" s="1395" t="str">
        <f t="shared" si="768"/>
        <v>-</v>
      </c>
      <c r="BP439" s="1395" t="str">
        <f t="shared" si="769"/>
        <v>-</v>
      </c>
      <c r="BQ439" s="1398" t="str">
        <f t="shared" si="770"/>
        <v>-</v>
      </c>
      <c r="BR439" s="1378"/>
      <c r="BS439" s="1329"/>
      <c r="BT439" s="1399"/>
      <c r="BU439" s="1331"/>
      <c r="BV439" s="1400"/>
      <c r="BW439" s="1378"/>
      <c r="BX439" s="1392" t="str">
        <f t="shared" si="771"/>
        <v>Qty</v>
      </c>
      <c r="BY439" s="1393" t="str">
        <f t="shared" si="772"/>
        <v>[Service]</v>
      </c>
      <c r="BZ439" s="1394" t="str">
        <f t="shared" si="773"/>
        <v>[Price]</v>
      </c>
      <c r="CA439" s="1395" t="str">
        <f>IFERROR((P439/O439-1)*(O440/O$13),"-")</f>
        <v>-</v>
      </c>
      <c r="CB439" s="1395" t="str">
        <f>IFERROR((Q439/P439-1)*(P440/P$13),"-")</f>
        <v>-</v>
      </c>
      <c r="CC439" s="1395" t="str">
        <f>IFERROR((R439/Q439-1)*(Q440/Q$13),"-")</f>
        <v>-</v>
      </c>
      <c r="CD439" s="1395" t="str">
        <f t="shared" ref="CD439:CR439" si="875">IFERROR((S439/R439-1)*(R440/R$13),"-")</f>
        <v>-</v>
      </c>
      <c r="CE439" s="1395" t="str">
        <f t="shared" si="875"/>
        <v>-</v>
      </c>
      <c r="CF439" s="1395" t="str">
        <f t="shared" si="875"/>
        <v>-</v>
      </c>
      <c r="CG439" s="1395" t="str">
        <f t="shared" si="875"/>
        <v>-</v>
      </c>
      <c r="CH439" s="1397" t="str">
        <f t="shared" si="875"/>
        <v>-</v>
      </c>
      <c r="CI439" s="1395" t="str">
        <f t="shared" si="875"/>
        <v>-</v>
      </c>
      <c r="CJ439" s="1395" t="str">
        <f t="shared" si="875"/>
        <v>-</v>
      </c>
      <c r="CK439" s="1395" t="str">
        <f t="shared" si="875"/>
        <v>-</v>
      </c>
      <c r="CL439" s="1395" t="str">
        <f t="shared" si="875"/>
        <v>-</v>
      </c>
      <c r="CM439" s="1397" t="str">
        <f t="shared" si="875"/>
        <v>-</v>
      </c>
      <c r="CN439" s="1395" t="str">
        <f t="shared" si="875"/>
        <v>-</v>
      </c>
      <c r="CO439" s="1395" t="str">
        <f t="shared" si="875"/>
        <v>-</v>
      </c>
      <c r="CP439" s="1395" t="str">
        <f t="shared" si="875"/>
        <v>-</v>
      </c>
      <c r="CQ439" s="1395" t="str">
        <f t="shared" si="875"/>
        <v>-</v>
      </c>
      <c r="CR439" s="1398" t="str">
        <f t="shared" si="875"/>
        <v>-</v>
      </c>
      <c r="CS439" s="1378"/>
      <c r="CT439" s="1392" t="str">
        <f t="shared" si="749"/>
        <v>Qty</v>
      </c>
      <c r="CU439" s="1393" t="str">
        <f t="shared" si="750"/>
        <v>[Service]</v>
      </c>
      <c r="CV439" s="1393" t="str">
        <f t="shared" si="751"/>
        <v>[Price]</v>
      </c>
      <c r="CW439" s="1401" t="str">
        <f t="shared" si="775"/>
        <v>-</v>
      </c>
      <c r="CX439" s="1395" t="str">
        <f t="shared" si="776"/>
        <v>-</v>
      </c>
      <c r="CY439" s="1395" t="str">
        <f t="shared" si="777"/>
        <v>-</v>
      </c>
      <c r="CZ439" s="1398" t="str">
        <f t="shared" si="778"/>
        <v>-</v>
      </c>
      <c r="DA439" s="1395" t="str">
        <f t="shared" si="779"/>
        <v>-</v>
      </c>
      <c r="DB439" s="1395" t="str">
        <f t="shared" si="780"/>
        <v>-</v>
      </c>
      <c r="DC439" s="1395" t="str">
        <f t="shared" si="781"/>
        <v>-</v>
      </c>
      <c r="DD439" s="1395" t="str">
        <f t="shared" si="782"/>
        <v>-</v>
      </c>
      <c r="DE439" s="1398" t="str">
        <f t="shared" si="783"/>
        <v>-</v>
      </c>
      <c r="DF439" s="1378"/>
      <c r="DG439" s="1392" t="str">
        <f t="shared" si="784"/>
        <v>Qty</v>
      </c>
      <c r="DH439" s="1393" t="str">
        <f t="shared" si="784"/>
        <v>[Service]</v>
      </c>
      <c r="DI439" s="1393" t="str">
        <f t="shared" si="784"/>
        <v>[Price]</v>
      </c>
      <c r="DJ439" s="1393"/>
      <c r="DK439" s="1401" t="str">
        <f t="shared" si="785"/>
        <v>-</v>
      </c>
      <c r="DL439" s="1395" t="str">
        <f t="shared" si="786"/>
        <v>-</v>
      </c>
      <c r="DM439" s="1395" t="str">
        <f t="shared" si="787"/>
        <v>-</v>
      </c>
      <c r="DN439" s="1397" t="str">
        <f t="shared" si="788"/>
        <v>-</v>
      </c>
      <c r="DO439" s="1395" t="str">
        <f t="shared" si="789"/>
        <v>-</v>
      </c>
      <c r="DP439" s="1395" t="str">
        <f t="shared" si="790"/>
        <v>-</v>
      </c>
      <c r="DQ439" s="1395" t="str">
        <f t="shared" si="791"/>
        <v>-</v>
      </c>
      <c r="DR439" s="1398" t="str">
        <f t="shared" si="792"/>
        <v>-</v>
      </c>
    </row>
    <row r="440" spans="4:122" ht="12.75" thickBot="1">
      <c r="E440" s="743" t="s">
        <v>46</v>
      </c>
      <c r="F440" s="732" t="str">
        <f>+F438</f>
        <v>[Service]</v>
      </c>
      <c r="G440" s="733">
        <f>+G438</f>
        <v>0</v>
      </c>
      <c r="H440" s="733">
        <f>+H438</f>
        <v>0</v>
      </c>
      <c r="I440" s="734" t="str">
        <f>+I438</f>
        <v>[Price]</v>
      </c>
      <c r="J440" s="735" t="s">
        <v>344</v>
      </c>
      <c r="K440" s="736">
        <f t="shared" ref="K440:AG440" si="876">K438*K439/10^6</f>
        <v>0</v>
      </c>
      <c r="L440" s="737">
        <f t="shared" si="876"/>
        <v>0</v>
      </c>
      <c r="M440" s="737">
        <f t="shared" si="876"/>
        <v>0</v>
      </c>
      <c r="N440" s="738">
        <f t="shared" si="876"/>
        <v>0</v>
      </c>
      <c r="O440" s="1923">
        <f t="shared" si="876"/>
        <v>0</v>
      </c>
      <c r="P440" s="737">
        <f t="shared" si="876"/>
        <v>0</v>
      </c>
      <c r="Q440" s="737">
        <f t="shared" si="876"/>
        <v>0</v>
      </c>
      <c r="R440" s="737">
        <f t="shared" si="876"/>
        <v>0</v>
      </c>
      <c r="S440" s="737">
        <f t="shared" si="876"/>
        <v>0</v>
      </c>
      <c r="T440" s="737">
        <f t="shared" si="876"/>
        <v>0</v>
      </c>
      <c r="U440" s="737">
        <f t="shared" si="876"/>
        <v>0</v>
      </c>
      <c r="V440" s="737">
        <f t="shared" si="876"/>
        <v>0</v>
      </c>
      <c r="W440" s="737">
        <f t="shared" si="876"/>
        <v>0</v>
      </c>
      <c r="X440" s="738">
        <f t="shared" si="876"/>
        <v>0</v>
      </c>
      <c r="Y440" s="737">
        <f t="shared" si="876"/>
        <v>0</v>
      </c>
      <c r="Z440" s="737">
        <f t="shared" si="876"/>
        <v>0</v>
      </c>
      <c r="AA440" s="737">
        <f t="shared" si="876"/>
        <v>0</v>
      </c>
      <c r="AB440" s="737">
        <f t="shared" si="876"/>
        <v>0</v>
      </c>
      <c r="AC440" s="738">
        <f t="shared" si="876"/>
        <v>0</v>
      </c>
      <c r="AD440" s="737">
        <f t="shared" si="876"/>
        <v>0</v>
      </c>
      <c r="AE440" s="737">
        <f t="shared" si="876"/>
        <v>0</v>
      </c>
      <c r="AF440" s="737">
        <f t="shared" si="876"/>
        <v>0</v>
      </c>
      <c r="AG440" s="739">
        <f t="shared" si="876"/>
        <v>0</v>
      </c>
      <c r="AH440" s="697"/>
      <c r="AI440" s="707"/>
      <c r="AJ440" s="709">
        <f t="shared" si="796"/>
        <v>0</v>
      </c>
      <c r="AK440" s="710">
        <f t="shared" si="797"/>
        <v>0</v>
      </c>
      <c r="AL440" s="710">
        <f t="shared" si="798"/>
        <v>0</v>
      </c>
      <c r="AM440" s="710">
        <f t="shared" si="799"/>
        <v>0</v>
      </c>
      <c r="AN440" s="710">
        <f t="shared" si="800"/>
        <v>0</v>
      </c>
      <c r="AO440" s="711">
        <f t="shared" si="801"/>
        <v>0</v>
      </c>
      <c r="AP440" s="707">
        <f t="shared" si="802"/>
        <v>0</v>
      </c>
      <c r="AQ440" s="707">
        <f t="shared" si="803"/>
        <v>0</v>
      </c>
      <c r="AR440" s="707">
        <f t="shared" si="804"/>
        <v>0</v>
      </c>
      <c r="AS440" s="712">
        <f t="shared" si="805"/>
        <v>0</v>
      </c>
      <c r="AV440" s="1559"/>
      <c r="AW440" s="743" t="str">
        <f t="shared" si="753"/>
        <v>Rev</v>
      </c>
      <c r="AX440" s="1436" t="str">
        <f t="shared" si="753"/>
        <v>[Service]</v>
      </c>
      <c r="AY440" s="1437" t="str">
        <f t="shared" si="754"/>
        <v>[Price]</v>
      </c>
      <c r="AZ440" s="1438" t="str">
        <f t="shared" si="868"/>
        <v>-</v>
      </c>
      <c r="BA440" s="1438" t="str">
        <f t="shared" si="868"/>
        <v>-</v>
      </c>
      <c r="BB440" s="1438" t="str">
        <f t="shared" si="868"/>
        <v>-</v>
      </c>
      <c r="BC440" s="1438" t="str">
        <f t="shared" ref="BC440:BQ440" si="877">IFERROR(S440/R440-1,"-")</f>
        <v>-</v>
      </c>
      <c r="BD440" s="1438" t="str">
        <f t="shared" si="877"/>
        <v>-</v>
      </c>
      <c r="BE440" s="1438" t="str">
        <f t="shared" si="877"/>
        <v>-</v>
      </c>
      <c r="BF440" s="1438" t="str">
        <f t="shared" si="877"/>
        <v>-</v>
      </c>
      <c r="BG440" s="1439" t="str">
        <f t="shared" si="877"/>
        <v>-</v>
      </c>
      <c r="BH440" s="1438" t="str">
        <f t="shared" si="877"/>
        <v>-</v>
      </c>
      <c r="BI440" s="1438" t="str">
        <f t="shared" si="877"/>
        <v>-</v>
      </c>
      <c r="BJ440" s="1438" t="str">
        <f t="shared" si="877"/>
        <v>-</v>
      </c>
      <c r="BK440" s="1438" t="str">
        <f t="shared" si="877"/>
        <v>-</v>
      </c>
      <c r="BL440" s="1440" t="str">
        <f t="shared" si="877"/>
        <v>-</v>
      </c>
      <c r="BM440" s="1438" t="str">
        <f t="shared" si="877"/>
        <v>-</v>
      </c>
      <c r="BN440" s="1438" t="str">
        <f t="shared" si="877"/>
        <v>-</v>
      </c>
      <c r="BO440" s="1438" t="str">
        <f t="shared" si="877"/>
        <v>-</v>
      </c>
      <c r="BP440" s="1438" t="str">
        <f t="shared" si="877"/>
        <v>-</v>
      </c>
      <c r="BQ440" s="1441" t="str">
        <f t="shared" si="877"/>
        <v>-</v>
      </c>
      <c r="BR440" s="1378"/>
      <c r="BS440" s="182"/>
      <c r="BT440" s="1442"/>
      <c r="BU440" s="186"/>
      <c r="BV440" s="1443"/>
      <c r="BW440" s="1378"/>
      <c r="BX440" s="743" t="str">
        <f t="shared" si="771"/>
        <v>Rev</v>
      </c>
      <c r="BY440" s="1436" t="str">
        <f t="shared" si="772"/>
        <v>[Service]</v>
      </c>
      <c r="BZ440" s="1437" t="str">
        <f t="shared" si="773"/>
        <v>[Price]</v>
      </c>
      <c r="CA440" s="1438" t="str">
        <f>IFERROR((P440/O440-1)*(O440/O$13),"-")</f>
        <v>-</v>
      </c>
      <c r="CB440" s="1438" t="str">
        <f>IFERROR((Q440/P440-1)*(P440/P$13),"-")</f>
        <v>-</v>
      </c>
      <c r="CC440" s="1438" t="str">
        <f>IFERROR((R440/Q440-1)*(Q440/Q$13),"-")</f>
        <v>-</v>
      </c>
      <c r="CD440" s="1438" t="str">
        <f t="shared" ref="CD440:CR440" si="878">IFERROR((S440/R440-1)*(R440/R$13),"-")</f>
        <v>-</v>
      </c>
      <c r="CE440" s="1438" t="str">
        <f t="shared" si="878"/>
        <v>-</v>
      </c>
      <c r="CF440" s="1438" t="str">
        <f t="shared" si="878"/>
        <v>-</v>
      </c>
      <c r="CG440" s="1438" t="str">
        <f t="shared" si="878"/>
        <v>-</v>
      </c>
      <c r="CH440" s="1440" t="str">
        <f t="shared" si="878"/>
        <v>-</v>
      </c>
      <c r="CI440" s="1438" t="str">
        <f t="shared" si="878"/>
        <v>-</v>
      </c>
      <c r="CJ440" s="1438" t="str">
        <f t="shared" si="878"/>
        <v>-</v>
      </c>
      <c r="CK440" s="1438" t="str">
        <f t="shared" si="878"/>
        <v>-</v>
      </c>
      <c r="CL440" s="1438" t="str">
        <f t="shared" si="878"/>
        <v>-</v>
      </c>
      <c r="CM440" s="1440" t="str">
        <f t="shared" si="878"/>
        <v>-</v>
      </c>
      <c r="CN440" s="1438" t="str">
        <f t="shared" si="878"/>
        <v>-</v>
      </c>
      <c r="CO440" s="1438" t="str">
        <f t="shared" si="878"/>
        <v>-</v>
      </c>
      <c r="CP440" s="1438" t="str">
        <f t="shared" si="878"/>
        <v>-</v>
      </c>
      <c r="CQ440" s="1438" t="str">
        <f t="shared" si="878"/>
        <v>-</v>
      </c>
      <c r="CR440" s="1441" t="str">
        <f t="shared" si="878"/>
        <v>-</v>
      </c>
      <c r="CS440" s="1378"/>
      <c r="CT440" s="743" t="str">
        <f t="shared" si="749"/>
        <v>Rev</v>
      </c>
      <c r="CU440" s="1436" t="str">
        <f t="shared" si="750"/>
        <v>[Service]</v>
      </c>
      <c r="CV440" s="1436" t="str">
        <f t="shared" si="751"/>
        <v>[Price]</v>
      </c>
      <c r="CW440" s="1444" t="str">
        <f t="shared" si="775"/>
        <v>-</v>
      </c>
      <c r="CX440" s="1438" t="str">
        <f t="shared" si="776"/>
        <v>-</v>
      </c>
      <c r="CY440" s="1438" t="str">
        <f t="shared" si="777"/>
        <v>-</v>
      </c>
      <c r="CZ440" s="1441" t="str">
        <f t="shared" si="778"/>
        <v>-</v>
      </c>
      <c r="DA440" s="1438" t="str">
        <f t="shared" si="779"/>
        <v>-</v>
      </c>
      <c r="DB440" s="1438" t="str">
        <f t="shared" si="780"/>
        <v>-</v>
      </c>
      <c r="DC440" s="1438" t="str">
        <f t="shared" si="781"/>
        <v>-</v>
      </c>
      <c r="DD440" s="1438" t="str">
        <f t="shared" si="782"/>
        <v>-</v>
      </c>
      <c r="DE440" s="1441" t="str">
        <f t="shared" si="783"/>
        <v>-</v>
      </c>
      <c r="DF440" s="1378"/>
      <c r="DG440" s="743" t="str">
        <f t="shared" si="784"/>
        <v>Rev</v>
      </c>
      <c r="DH440" s="1436" t="str">
        <f t="shared" si="784"/>
        <v>[Service]</v>
      </c>
      <c r="DI440" s="1436" t="str">
        <f t="shared" si="784"/>
        <v>[Price]</v>
      </c>
      <c r="DJ440" s="1436"/>
      <c r="DK440" s="1444" t="str">
        <f t="shared" si="785"/>
        <v>-</v>
      </c>
      <c r="DL440" s="1438" t="str">
        <f t="shared" si="786"/>
        <v>-</v>
      </c>
      <c r="DM440" s="1438" t="str">
        <f t="shared" si="787"/>
        <v>-</v>
      </c>
      <c r="DN440" s="1440" t="str">
        <f t="shared" si="788"/>
        <v>-</v>
      </c>
      <c r="DO440" s="1438" t="str">
        <f t="shared" si="789"/>
        <v>-</v>
      </c>
      <c r="DP440" s="1438" t="str">
        <f t="shared" si="790"/>
        <v>-</v>
      </c>
      <c r="DQ440" s="1438" t="str">
        <f t="shared" si="791"/>
        <v>-</v>
      </c>
      <c r="DR440" s="1441" t="str">
        <f t="shared" si="792"/>
        <v>-</v>
      </c>
    </row>
    <row r="441" spans="4:122">
      <c r="AG441" s="745"/>
      <c r="AH441" s="745"/>
      <c r="AI441" s="745"/>
      <c r="AJ441" s="745"/>
      <c r="AK441" s="745"/>
      <c r="AL441" s="745"/>
      <c r="AM441" s="745"/>
      <c r="AN441" s="745"/>
      <c r="AO441" s="120"/>
      <c r="AP441" s="745"/>
      <c r="AQ441" s="745"/>
      <c r="AR441" s="745"/>
      <c r="AS441" s="745"/>
      <c r="AT441" s="745"/>
      <c r="AU441" s="1369"/>
      <c r="AV441" s="1445"/>
      <c r="BW441" s="1378"/>
      <c r="BX441" s="591"/>
      <c r="BY441" s="1449"/>
      <c r="BZ441" s="4"/>
      <c r="CA441" s="4"/>
      <c r="CB441" s="4"/>
      <c r="CC441" s="4"/>
      <c r="CD441" s="1450"/>
      <c r="CE441" s="1450"/>
      <c r="CF441" s="1450"/>
      <c r="CG441" s="1450"/>
      <c r="CH441" s="1450"/>
      <c r="CI441" s="1378"/>
      <c r="CJ441" s="1378"/>
      <c r="CK441" s="1378"/>
      <c r="CL441" s="1378"/>
      <c r="CM441" s="1378"/>
      <c r="CN441" s="1378"/>
      <c r="CO441" s="1378"/>
      <c r="CP441" s="1378"/>
      <c r="CQ441" s="1378"/>
      <c r="CR441" s="1378"/>
      <c r="CS441" s="1378"/>
    </row>
    <row r="442" spans="4:122">
      <c r="J442" s="152"/>
      <c r="R442" s="1733"/>
      <c r="AF442" s="702"/>
      <c r="AG442" s="745"/>
      <c r="AH442" s="745"/>
      <c r="AI442" s="745"/>
      <c r="AJ442" s="745"/>
      <c r="AK442" s="745"/>
      <c r="AL442" s="745"/>
      <c r="AM442" s="745"/>
      <c r="AN442" s="745"/>
      <c r="AO442" s="120"/>
      <c r="AP442" s="745"/>
      <c r="AQ442" s="745"/>
      <c r="AR442" s="745"/>
      <c r="AS442" s="745"/>
      <c r="AT442" s="745"/>
      <c r="AV442" s="1445"/>
      <c r="BW442" s="1378"/>
      <c r="BX442" s="591"/>
      <c r="BY442" s="1402"/>
      <c r="BZ442" s="1402"/>
      <c r="CA442" s="1402"/>
      <c r="CB442" s="1402"/>
      <c r="CC442" s="1402"/>
      <c r="CD442" s="1378"/>
      <c r="CE442" s="1378"/>
      <c r="CF442" s="1378"/>
      <c r="CG442" s="1378"/>
      <c r="CH442" s="1378"/>
      <c r="CI442" s="1378"/>
      <c r="CJ442" s="1378"/>
      <c r="CK442" s="1378"/>
      <c r="CL442" s="1378"/>
      <c r="CM442" s="1378"/>
      <c r="CN442" s="1378"/>
      <c r="CO442" s="1378"/>
      <c r="CP442" s="1378"/>
      <c r="CQ442" s="1378"/>
      <c r="CR442" s="1378"/>
      <c r="CS442" s="1378"/>
    </row>
    <row r="443" spans="4:122">
      <c r="J443" s="152"/>
      <c r="AF443" s="702"/>
      <c r="AG443" s="745"/>
      <c r="AH443" s="745"/>
      <c r="AI443" s="745"/>
      <c r="AJ443" s="745"/>
      <c r="AK443" s="745"/>
      <c r="AL443" s="745"/>
      <c r="AM443" s="745"/>
      <c r="AN443" s="745"/>
      <c r="AO443" s="120"/>
      <c r="AP443" s="745"/>
      <c r="AQ443" s="745"/>
      <c r="AR443" s="745"/>
      <c r="AS443" s="745"/>
      <c r="AT443" s="745"/>
      <c r="AV443" s="1445"/>
      <c r="BW443" s="1378"/>
      <c r="BX443" s="591"/>
      <c r="BY443" s="1402"/>
      <c r="BZ443" s="1402"/>
      <c r="CA443" s="1402"/>
      <c r="CB443" s="1402"/>
      <c r="CC443" s="1402"/>
      <c r="CD443" s="1378"/>
      <c r="CE443" s="1378"/>
      <c r="CF443" s="1378"/>
      <c r="CG443" s="1378"/>
      <c r="CH443" s="1378"/>
      <c r="CI443" s="1378"/>
      <c r="CJ443" s="1378"/>
      <c r="CK443" s="1378"/>
      <c r="CL443" s="1378"/>
      <c r="CM443" s="1378"/>
      <c r="CN443" s="1378"/>
      <c r="CO443" s="1378"/>
      <c r="CP443" s="1378"/>
      <c r="CQ443" s="1378"/>
      <c r="CR443" s="1378"/>
      <c r="CS443" s="1378"/>
    </row>
    <row r="444" spans="4:122">
      <c r="I444" s="75" t="s">
        <v>695</v>
      </c>
      <c r="J444" s="749"/>
      <c r="K444" s="75"/>
      <c r="L444" s="75"/>
      <c r="M444" s="75"/>
      <c r="N444" s="75"/>
      <c r="O444" s="75"/>
      <c r="P444" s="75"/>
      <c r="Q444" s="75"/>
      <c r="R444" s="75"/>
      <c r="S444" s="75"/>
      <c r="T444" s="75"/>
      <c r="U444" s="75"/>
      <c r="V444" s="75"/>
      <c r="W444" s="75"/>
      <c r="X444" s="75"/>
      <c r="Y444" s="75"/>
      <c r="Z444" s="75"/>
      <c r="AA444" s="75"/>
      <c r="AB444" s="75"/>
      <c r="AC444" s="75"/>
      <c r="AD444" s="75"/>
      <c r="AE444" s="75"/>
      <c r="AF444" s="750"/>
      <c r="AG444" s="751"/>
      <c r="AH444" s="745"/>
      <c r="AI444" s="745"/>
      <c r="AJ444" s="745"/>
      <c r="AK444" s="745"/>
      <c r="AL444" s="745"/>
      <c r="AM444" s="745"/>
      <c r="AN444" s="745"/>
      <c r="AO444" s="120"/>
      <c r="AP444" s="745"/>
      <c r="AQ444" s="745"/>
      <c r="AR444" s="745"/>
      <c r="AS444" s="745"/>
      <c r="AT444" s="745"/>
      <c r="AV444" s="1445"/>
    </row>
    <row r="445" spans="4:122">
      <c r="I445" s="752" t="s">
        <v>20</v>
      </c>
      <c r="J445" s="423"/>
      <c r="K445" s="753">
        <f t="shared" ref="K445:T450" si="879">+SUMIFS(K$66:K$441,$E$66:$E$441,$E$68,$F$66:$F$441,$I445)</f>
        <v>0</v>
      </c>
      <c r="L445" s="753">
        <f t="shared" si="879"/>
        <v>0</v>
      </c>
      <c r="M445" s="753">
        <f t="shared" si="879"/>
        <v>0</v>
      </c>
      <c r="N445" s="754">
        <f t="shared" si="879"/>
        <v>0</v>
      </c>
      <c r="O445" s="810">
        <f>+SUMIFS(O$66:O$441,$E$66:$E$441,$E$68,$F$66:$F$441,$I445)</f>
        <v>53.722327979925616</v>
      </c>
      <c r="P445" s="753">
        <f>+SUMIFS(P$66:P$441,$E$66:$E$441,$E$68,$F$66:$F$441,$I445)</f>
        <v>56.684846209923258</v>
      </c>
      <c r="Q445" s="753">
        <f t="shared" si="879"/>
        <v>55.291429426442932</v>
      </c>
      <c r="R445" s="753">
        <f t="shared" si="879"/>
        <v>53.678399969500504</v>
      </c>
      <c r="S445" s="753">
        <f t="shared" si="879"/>
        <v>50.760935484816045</v>
      </c>
      <c r="T445" s="753">
        <f t="shared" si="879"/>
        <v>52.42228006282641</v>
      </c>
      <c r="U445" s="753">
        <f t="shared" ref="U445:AG450" si="880">+SUMIFS(U$66:U$441,$E$66:$E$441,$E$68,$F$66:$F$441,$I445)</f>
        <v>56.584096284404509</v>
      </c>
      <c r="V445" s="753">
        <f t="shared" si="880"/>
        <v>60.450390540267882</v>
      </c>
      <c r="W445" s="753">
        <f t="shared" si="880"/>
        <v>58.483369513299998</v>
      </c>
      <c r="X445" s="754">
        <f t="shared" si="880"/>
        <v>61.462968585093549</v>
      </c>
      <c r="Y445" s="753">
        <f t="shared" si="880"/>
        <v>64.757722413937699</v>
      </c>
      <c r="Z445" s="753">
        <f t="shared" si="880"/>
        <v>68.244173455064185</v>
      </c>
      <c r="AA445" s="753">
        <f t="shared" si="880"/>
        <v>71.953100187861153</v>
      </c>
      <c r="AB445" s="755">
        <f t="shared" si="880"/>
        <v>75.860142877698749</v>
      </c>
      <c r="AC445" s="753">
        <f t="shared" si="880"/>
        <v>77.968768408158112</v>
      </c>
      <c r="AD445" s="753">
        <f t="shared" si="880"/>
        <v>80.162023675481521</v>
      </c>
      <c r="AE445" s="753">
        <f t="shared" si="880"/>
        <v>82.398728922459824</v>
      </c>
      <c r="AF445" s="753">
        <f t="shared" si="880"/>
        <v>84.754116577819076</v>
      </c>
      <c r="AG445" s="753">
        <f t="shared" si="880"/>
        <v>87.127197755843468</v>
      </c>
      <c r="AH445" s="745"/>
      <c r="AI445" s="745"/>
      <c r="AJ445" s="745"/>
      <c r="AK445" s="745"/>
      <c r="AL445" s="745"/>
      <c r="AM445" s="745"/>
      <c r="AN445" s="745"/>
      <c r="AO445" s="120"/>
      <c r="AP445" s="745"/>
      <c r="AQ445" s="745"/>
      <c r="AR445" s="745"/>
      <c r="AS445" s="745"/>
      <c r="AT445" s="745"/>
      <c r="AV445" s="1445"/>
    </row>
    <row r="446" spans="4:122">
      <c r="I446" s="752" t="s">
        <v>21</v>
      </c>
      <c r="J446" s="423"/>
      <c r="K446" s="753">
        <f t="shared" si="879"/>
        <v>0</v>
      </c>
      <c r="L446" s="753">
        <f t="shared" si="879"/>
        <v>0</v>
      </c>
      <c r="M446" s="753">
        <f t="shared" si="879"/>
        <v>0</v>
      </c>
      <c r="N446" s="754">
        <f t="shared" si="879"/>
        <v>0</v>
      </c>
      <c r="O446" s="755">
        <f>+SUMIFS(O$66:O$441,$E$66:$E$441,$E$68,$F$66:$F$441,$I446)</f>
        <v>15.157098175248867</v>
      </c>
      <c r="P446" s="753">
        <f t="shared" si="879"/>
        <v>15.223297829920067</v>
      </c>
      <c r="Q446" s="753">
        <f t="shared" si="879"/>
        <v>15.227091554601229</v>
      </c>
      <c r="R446" s="753">
        <f t="shared" si="879"/>
        <v>15.23640991319991</v>
      </c>
      <c r="S446" s="753">
        <f t="shared" si="879"/>
        <v>15.20780572577598</v>
      </c>
      <c r="T446" s="753">
        <f t="shared" si="879"/>
        <v>15.226206969491525</v>
      </c>
      <c r="U446" s="753">
        <f t="shared" si="880"/>
        <v>15.616497587601806</v>
      </c>
      <c r="V446" s="753">
        <f t="shared" si="880"/>
        <v>15.851374162244461</v>
      </c>
      <c r="W446" s="753">
        <f t="shared" si="880"/>
        <v>16.512982218940909</v>
      </c>
      <c r="X446" s="754">
        <f t="shared" si="880"/>
        <v>18.241033641608613</v>
      </c>
      <c r="Y446" s="753">
        <f t="shared" si="880"/>
        <v>20.107620662402997</v>
      </c>
      <c r="Z446" s="753">
        <f t="shared" si="880"/>
        <v>22.119972147677881</v>
      </c>
      <c r="AA446" s="753">
        <f t="shared" si="880"/>
        <v>24.288294969532142</v>
      </c>
      <c r="AB446" s="755">
        <f t="shared" si="880"/>
        <v>26.623443949264381</v>
      </c>
      <c r="AC446" s="753">
        <f t="shared" si="880"/>
        <v>27.441114513161899</v>
      </c>
      <c r="AD446" s="753">
        <f t="shared" si="880"/>
        <v>28.286661142335561</v>
      </c>
      <c r="AE446" s="753">
        <f t="shared" si="880"/>
        <v>29.161142452742119</v>
      </c>
      <c r="AF446" s="753">
        <f t="shared" si="880"/>
        <v>30.065661725105635</v>
      </c>
      <c r="AG446" s="753">
        <f t="shared" si="880"/>
        <v>31.001368963226238</v>
      </c>
      <c r="AH446" s="745"/>
      <c r="AI446" s="745"/>
      <c r="AJ446" s="745"/>
      <c r="AK446" s="745"/>
      <c r="AL446" s="745"/>
      <c r="AM446" s="745"/>
      <c r="AN446" s="745"/>
      <c r="AO446" s="120"/>
      <c r="AP446" s="745"/>
      <c r="AQ446" s="745"/>
      <c r="AR446" s="745"/>
      <c r="AS446" s="745"/>
      <c r="AT446" s="745"/>
      <c r="AV446" s="1445"/>
    </row>
    <row r="447" spans="4:122">
      <c r="I447" s="752" t="s">
        <v>275</v>
      </c>
      <c r="J447" s="423"/>
      <c r="K447" s="753">
        <f t="shared" si="879"/>
        <v>0</v>
      </c>
      <c r="L447" s="753">
        <f t="shared" si="879"/>
        <v>0</v>
      </c>
      <c r="M447" s="753">
        <f t="shared" si="879"/>
        <v>0</v>
      </c>
      <c r="N447" s="754">
        <f t="shared" si="879"/>
        <v>0</v>
      </c>
      <c r="O447" s="755">
        <f t="shared" si="879"/>
        <v>0</v>
      </c>
      <c r="P447" s="753">
        <f t="shared" si="879"/>
        <v>0</v>
      </c>
      <c r="Q447" s="753">
        <f t="shared" si="879"/>
        <v>0</v>
      </c>
      <c r="R447" s="753">
        <f t="shared" si="879"/>
        <v>0</v>
      </c>
      <c r="S447" s="753">
        <f t="shared" si="879"/>
        <v>0</v>
      </c>
      <c r="T447" s="753">
        <f t="shared" si="879"/>
        <v>0</v>
      </c>
      <c r="U447" s="753">
        <f t="shared" si="880"/>
        <v>0</v>
      </c>
      <c r="V447" s="753">
        <f t="shared" si="880"/>
        <v>0</v>
      </c>
      <c r="W447" s="753">
        <f t="shared" si="880"/>
        <v>0</v>
      </c>
      <c r="X447" s="754">
        <f t="shared" si="880"/>
        <v>0</v>
      </c>
      <c r="Y447" s="753">
        <f t="shared" si="880"/>
        <v>0</v>
      </c>
      <c r="Z447" s="753">
        <f t="shared" si="880"/>
        <v>0</v>
      </c>
      <c r="AA447" s="753">
        <f t="shared" si="880"/>
        <v>0</v>
      </c>
      <c r="AB447" s="755">
        <f t="shared" si="880"/>
        <v>0</v>
      </c>
      <c r="AC447" s="753">
        <f t="shared" si="880"/>
        <v>0</v>
      </c>
      <c r="AD447" s="753">
        <f t="shared" si="880"/>
        <v>0</v>
      </c>
      <c r="AE447" s="753">
        <f t="shared" si="880"/>
        <v>0</v>
      </c>
      <c r="AF447" s="753">
        <f t="shared" si="880"/>
        <v>0</v>
      </c>
      <c r="AG447" s="753">
        <f t="shared" si="880"/>
        <v>0</v>
      </c>
      <c r="AH447" s="745"/>
      <c r="AI447" s="745"/>
      <c r="AJ447" s="745"/>
      <c r="AK447" s="745"/>
      <c r="AL447" s="745"/>
      <c r="AM447" s="745"/>
      <c r="AN447" s="745"/>
      <c r="AO447" s="120"/>
      <c r="AP447" s="745"/>
      <c r="AQ447" s="745"/>
      <c r="AR447" s="745"/>
      <c r="AS447" s="745"/>
      <c r="AT447" s="745"/>
      <c r="AV447" s="1445"/>
    </row>
    <row r="448" spans="4:122">
      <c r="I448" s="752" t="s">
        <v>316</v>
      </c>
      <c r="J448" s="423"/>
      <c r="K448" s="753">
        <f t="shared" si="879"/>
        <v>0</v>
      </c>
      <c r="L448" s="753">
        <f t="shared" si="879"/>
        <v>0</v>
      </c>
      <c r="M448" s="753">
        <f t="shared" si="879"/>
        <v>0</v>
      </c>
      <c r="N448" s="754">
        <f t="shared" si="879"/>
        <v>0</v>
      </c>
      <c r="O448" s="755">
        <f t="shared" si="879"/>
        <v>6.5233665175221489</v>
      </c>
      <c r="P448" s="753">
        <f t="shared" si="879"/>
        <v>5.4509385119071103</v>
      </c>
      <c r="Q448" s="753">
        <f t="shared" si="879"/>
        <v>5.4692395655190964</v>
      </c>
      <c r="R448" s="753">
        <f t="shared" si="879"/>
        <v>5.6892122321887584</v>
      </c>
      <c r="S448" s="753">
        <f t="shared" si="879"/>
        <v>6.1116839155023168</v>
      </c>
      <c r="T448" s="753">
        <f t="shared" si="879"/>
        <v>6.9893790039623829</v>
      </c>
      <c r="U448" s="753">
        <f t="shared" si="880"/>
        <v>6.2150671851637069</v>
      </c>
      <c r="V448" s="753">
        <f t="shared" si="880"/>
        <v>5.8437637661469513</v>
      </c>
      <c r="W448" s="753">
        <f t="shared" si="880"/>
        <v>5.6765635076631327</v>
      </c>
      <c r="X448" s="754">
        <f t="shared" si="880"/>
        <v>7.0788222815155768</v>
      </c>
      <c r="Y448" s="753">
        <f t="shared" si="880"/>
        <v>7.4594466327453715</v>
      </c>
      <c r="Z448" s="753">
        <f t="shared" si="880"/>
        <v>7.860714696060394</v>
      </c>
      <c r="AA448" s="753">
        <f t="shared" si="880"/>
        <v>8.2837588780147584</v>
      </c>
      <c r="AB448" s="755">
        <f t="shared" si="880"/>
        <v>8.7297746118949693</v>
      </c>
      <c r="AC448" s="753">
        <f t="shared" si="880"/>
        <v>8.8809732184956545</v>
      </c>
      <c r="AD448" s="753">
        <f t="shared" si="880"/>
        <v>9.0350094895712232</v>
      </c>
      <c r="AE448" s="753">
        <f t="shared" si="880"/>
        <v>9.1919440271927382</v>
      </c>
      <c r="AF448" s="753">
        <f t="shared" si="880"/>
        <v>9.3518389551080254</v>
      </c>
      <c r="AG448" s="753">
        <f t="shared" si="880"/>
        <v>9.5147579631387647</v>
      </c>
      <c r="AH448" s="745"/>
      <c r="AI448" s="745"/>
      <c r="AJ448" s="745"/>
      <c r="AK448" s="745"/>
      <c r="AL448" s="745"/>
      <c r="AM448" s="745"/>
      <c r="AN448" s="745"/>
      <c r="AO448" s="120"/>
      <c r="AP448" s="745"/>
      <c r="AQ448" s="745"/>
      <c r="AR448" s="745"/>
      <c r="AS448" s="745"/>
      <c r="AT448" s="745"/>
      <c r="AV448" s="1445"/>
    </row>
    <row r="449" spans="1:112">
      <c r="I449" s="752" t="s">
        <v>350</v>
      </c>
      <c r="J449" s="423"/>
      <c r="K449" s="753">
        <f t="shared" si="879"/>
        <v>0</v>
      </c>
      <c r="L449" s="753">
        <f t="shared" si="879"/>
        <v>0</v>
      </c>
      <c r="M449" s="753">
        <f t="shared" si="879"/>
        <v>0</v>
      </c>
      <c r="N449" s="754">
        <f t="shared" si="879"/>
        <v>0</v>
      </c>
      <c r="O449" s="755">
        <f t="shared" si="879"/>
        <v>0</v>
      </c>
      <c r="P449" s="753">
        <f t="shared" si="879"/>
        <v>0</v>
      </c>
      <c r="Q449" s="753">
        <f t="shared" si="879"/>
        <v>0</v>
      </c>
      <c r="R449" s="753">
        <f t="shared" si="879"/>
        <v>0</v>
      </c>
      <c r="S449" s="753">
        <f t="shared" si="879"/>
        <v>0</v>
      </c>
      <c r="T449" s="753">
        <f t="shared" si="879"/>
        <v>0</v>
      </c>
      <c r="U449" s="753">
        <f t="shared" si="880"/>
        <v>0</v>
      </c>
      <c r="V449" s="753">
        <f t="shared" si="880"/>
        <v>0</v>
      </c>
      <c r="W449" s="753">
        <f t="shared" si="880"/>
        <v>0</v>
      </c>
      <c r="X449" s="754">
        <f t="shared" si="880"/>
        <v>0</v>
      </c>
      <c r="Y449" s="753">
        <f t="shared" si="880"/>
        <v>0</v>
      </c>
      <c r="Z449" s="753">
        <f t="shared" si="880"/>
        <v>0</v>
      </c>
      <c r="AA449" s="753">
        <f t="shared" si="880"/>
        <v>0</v>
      </c>
      <c r="AB449" s="755">
        <f t="shared" si="880"/>
        <v>0</v>
      </c>
      <c r="AC449" s="753">
        <f t="shared" si="880"/>
        <v>0</v>
      </c>
      <c r="AD449" s="753">
        <f t="shared" si="880"/>
        <v>0</v>
      </c>
      <c r="AE449" s="753">
        <f t="shared" si="880"/>
        <v>0</v>
      </c>
      <c r="AF449" s="753">
        <f t="shared" si="880"/>
        <v>0</v>
      </c>
      <c r="AG449" s="753">
        <f t="shared" si="880"/>
        <v>0</v>
      </c>
      <c r="AH449" s="745"/>
      <c r="AI449" s="745"/>
      <c r="AJ449" s="745"/>
      <c r="AK449" s="745"/>
      <c r="AL449" s="745"/>
      <c r="AM449" s="745"/>
      <c r="AN449" s="745"/>
      <c r="AO449" s="120"/>
      <c r="AP449" s="745"/>
      <c r="AQ449" s="745"/>
      <c r="AR449" s="745"/>
      <c r="AS449" s="745"/>
      <c r="AT449" s="745"/>
      <c r="AV449" s="1445"/>
    </row>
    <row r="450" spans="1:112">
      <c r="I450" s="756" t="s">
        <v>351</v>
      </c>
      <c r="J450" s="426"/>
      <c r="K450" s="757">
        <f t="shared" si="879"/>
        <v>0</v>
      </c>
      <c r="L450" s="757">
        <f t="shared" si="879"/>
        <v>0</v>
      </c>
      <c r="M450" s="757">
        <f t="shared" si="879"/>
        <v>0</v>
      </c>
      <c r="N450" s="758">
        <f t="shared" si="879"/>
        <v>0</v>
      </c>
      <c r="O450" s="759">
        <f t="shared" si="879"/>
        <v>0</v>
      </c>
      <c r="P450" s="757">
        <f t="shared" si="879"/>
        <v>0</v>
      </c>
      <c r="Q450" s="757">
        <f t="shared" si="879"/>
        <v>0</v>
      </c>
      <c r="R450" s="757">
        <f t="shared" si="879"/>
        <v>0</v>
      </c>
      <c r="S450" s="757">
        <f t="shared" si="879"/>
        <v>0</v>
      </c>
      <c r="T450" s="757">
        <f t="shared" si="879"/>
        <v>0</v>
      </c>
      <c r="U450" s="757">
        <f t="shared" si="880"/>
        <v>0</v>
      </c>
      <c r="V450" s="757">
        <f t="shared" si="880"/>
        <v>0</v>
      </c>
      <c r="W450" s="757">
        <f t="shared" si="880"/>
        <v>0</v>
      </c>
      <c r="X450" s="758">
        <f t="shared" si="880"/>
        <v>0</v>
      </c>
      <c r="Y450" s="757">
        <f t="shared" si="880"/>
        <v>0</v>
      </c>
      <c r="Z450" s="757">
        <f t="shared" si="880"/>
        <v>0</v>
      </c>
      <c r="AA450" s="757">
        <f t="shared" si="880"/>
        <v>0</v>
      </c>
      <c r="AB450" s="759">
        <f t="shared" si="880"/>
        <v>0</v>
      </c>
      <c r="AC450" s="757">
        <f t="shared" si="880"/>
        <v>0</v>
      </c>
      <c r="AD450" s="757">
        <f t="shared" si="880"/>
        <v>0</v>
      </c>
      <c r="AE450" s="757">
        <f t="shared" si="880"/>
        <v>0</v>
      </c>
      <c r="AF450" s="757">
        <f t="shared" si="880"/>
        <v>0</v>
      </c>
      <c r="AG450" s="757">
        <f t="shared" si="880"/>
        <v>0</v>
      </c>
      <c r="AH450" s="745"/>
      <c r="AI450" s="745"/>
      <c r="AJ450" s="745"/>
      <c r="AK450" s="745"/>
      <c r="AL450" s="745"/>
      <c r="AM450" s="745"/>
      <c r="AN450" s="745"/>
      <c r="AO450" s="120"/>
      <c r="AP450" s="745"/>
      <c r="AQ450" s="745"/>
      <c r="AR450" s="745"/>
      <c r="AS450" s="745"/>
      <c r="AT450" s="745"/>
      <c r="AV450" s="1445"/>
    </row>
    <row r="451" spans="1:112">
      <c r="I451" s="104" t="s">
        <v>690</v>
      </c>
      <c r="K451" s="760">
        <f>SUM(K445:K450)</f>
        <v>0</v>
      </c>
      <c r="L451" s="760">
        <f t="shared" ref="L451:AG451" si="881">SUM(L445:L450)</f>
        <v>0</v>
      </c>
      <c r="M451" s="761">
        <f t="shared" si="881"/>
        <v>0</v>
      </c>
      <c r="N451" s="760">
        <f t="shared" si="881"/>
        <v>0</v>
      </c>
      <c r="O451" s="761">
        <f t="shared" si="881"/>
        <v>75.402792672696634</v>
      </c>
      <c r="P451" s="760">
        <f t="shared" si="881"/>
        <v>77.359082551750433</v>
      </c>
      <c r="Q451" s="760">
        <f t="shared" si="881"/>
        <v>75.987760546563266</v>
      </c>
      <c r="R451" s="760">
        <f>SUM(R445:R450)</f>
        <v>74.604022114889176</v>
      </c>
      <c r="S451" s="760">
        <f t="shared" si="881"/>
        <v>72.08042512609434</v>
      </c>
      <c r="T451" s="760">
        <f t="shared" si="881"/>
        <v>74.637866036280315</v>
      </c>
      <c r="U451" s="760">
        <f t="shared" si="881"/>
        <v>78.415661057170027</v>
      </c>
      <c r="V451" s="760">
        <f t="shared" si="881"/>
        <v>82.145528468659293</v>
      </c>
      <c r="W451" s="761">
        <f t="shared" si="881"/>
        <v>80.672915239904043</v>
      </c>
      <c r="X451" s="760">
        <f t="shared" si="881"/>
        <v>86.782824508217729</v>
      </c>
      <c r="Y451" s="760">
        <f t="shared" si="881"/>
        <v>92.324789709086062</v>
      </c>
      <c r="Z451" s="760">
        <f t="shared" si="881"/>
        <v>98.224860298802469</v>
      </c>
      <c r="AA451" s="760">
        <f t="shared" si="881"/>
        <v>104.52515403540806</v>
      </c>
      <c r="AB451" s="761">
        <f t="shared" si="881"/>
        <v>111.2133614388581</v>
      </c>
      <c r="AC451" s="760">
        <f t="shared" si="881"/>
        <v>114.29085613981567</v>
      </c>
      <c r="AD451" s="760">
        <f t="shared" si="881"/>
        <v>117.4836943073883</v>
      </c>
      <c r="AE451" s="760">
        <f t="shared" si="881"/>
        <v>120.75181540239467</v>
      </c>
      <c r="AF451" s="760">
        <f t="shared" si="881"/>
        <v>124.17161725803273</v>
      </c>
      <c r="AG451" s="760">
        <f t="shared" si="881"/>
        <v>127.64332468220847</v>
      </c>
      <c r="AH451" s="745"/>
      <c r="AI451" s="745"/>
      <c r="AJ451" s="745"/>
      <c r="AK451" s="745"/>
      <c r="AL451" s="745"/>
      <c r="AM451" s="745"/>
      <c r="AN451" s="745"/>
      <c r="AO451" s="120"/>
      <c r="AP451" s="745"/>
      <c r="AQ451" s="745"/>
      <c r="AR451" s="745"/>
      <c r="AS451" s="745"/>
      <c r="AT451" s="745"/>
      <c r="AV451" s="1445"/>
    </row>
    <row r="452" spans="1:112">
      <c r="I452" s="70" t="s">
        <v>691</v>
      </c>
      <c r="K452" s="128">
        <f>+K13</f>
        <v>0</v>
      </c>
      <c r="L452" s="128">
        <f t="shared" ref="L452:AG452" si="882">+L13</f>
        <v>0</v>
      </c>
      <c r="M452" s="649">
        <f t="shared" si="882"/>
        <v>0</v>
      </c>
      <c r="N452" s="128">
        <f t="shared" si="882"/>
        <v>0</v>
      </c>
      <c r="O452" s="649">
        <f>+O13-O62</f>
        <v>75.402792672696677</v>
      </c>
      <c r="P452" s="128">
        <f t="shared" ref="P452:W452" si="883">+P13-P62</f>
        <v>77.359082551750447</v>
      </c>
      <c r="Q452" s="128">
        <f t="shared" si="883"/>
        <v>75.987760546563237</v>
      </c>
      <c r="R452" s="128">
        <f>+R13-R62</f>
        <v>74.604022114889148</v>
      </c>
      <c r="S452" s="128">
        <f t="shared" si="883"/>
        <v>72.080425126094354</v>
      </c>
      <c r="T452" s="128">
        <f t="shared" si="883"/>
        <v>74.637866036280315</v>
      </c>
      <c r="U452" s="128">
        <f t="shared" si="883"/>
        <v>78.415661057170041</v>
      </c>
      <c r="V452" s="128">
        <f t="shared" si="883"/>
        <v>82.145528468659293</v>
      </c>
      <c r="W452" s="649">
        <f t="shared" si="883"/>
        <v>80.672915239904029</v>
      </c>
      <c r="X452" s="1732">
        <f t="shared" si="882"/>
        <v>86.782824508217715</v>
      </c>
      <c r="Y452" s="128">
        <f t="shared" si="882"/>
        <v>92.324789709086062</v>
      </c>
      <c r="Z452" s="128">
        <f t="shared" si="882"/>
        <v>98.224860298802454</v>
      </c>
      <c r="AA452" s="128">
        <f t="shared" si="882"/>
        <v>104.52515403540806</v>
      </c>
      <c r="AB452" s="649">
        <f t="shared" si="882"/>
        <v>111.2133614388581</v>
      </c>
      <c r="AC452" s="128">
        <f t="shared" si="882"/>
        <v>114.29085613981566</v>
      </c>
      <c r="AD452" s="128">
        <f t="shared" si="882"/>
        <v>117.48369430738835</v>
      </c>
      <c r="AE452" s="128">
        <f t="shared" si="882"/>
        <v>120.75181540239468</v>
      </c>
      <c r="AF452" s="128">
        <f t="shared" si="882"/>
        <v>124.17161725803277</v>
      </c>
      <c r="AG452" s="128">
        <f t="shared" si="882"/>
        <v>127.64332468220849</v>
      </c>
      <c r="AH452" s="745"/>
      <c r="AI452" s="745"/>
      <c r="AJ452" s="745"/>
      <c r="AK452" s="745"/>
      <c r="AL452" s="745"/>
      <c r="AM452" s="745"/>
      <c r="AN452" s="745"/>
      <c r="AO452" s="120"/>
      <c r="AP452" s="745"/>
      <c r="AQ452" s="745"/>
      <c r="AR452" s="745"/>
      <c r="AS452" s="745"/>
      <c r="AT452" s="745"/>
      <c r="AV452" s="1445"/>
    </row>
    <row r="453" spans="1:112">
      <c r="I453" s="75" t="s">
        <v>469</v>
      </c>
      <c r="J453" s="75"/>
      <c r="K453" s="762">
        <f>+K452-K451</f>
        <v>0</v>
      </c>
      <c r="L453" s="762">
        <f t="shared" ref="L453:AG453" si="884">+L452-L451</f>
        <v>0</v>
      </c>
      <c r="M453" s="763">
        <f t="shared" si="884"/>
        <v>0</v>
      </c>
      <c r="N453" s="762">
        <f t="shared" si="884"/>
        <v>0</v>
      </c>
      <c r="O453" s="763">
        <f t="shared" si="884"/>
        <v>0</v>
      </c>
      <c r="P453" s="762">
        <f t="shared" si="884"/>
        <v>0</v>
      </c>
      <c r="Q453" s="762">
        <f t="shared" si="884"/>
        <v>0</v>
      </c>
      <c r="R453" s="762">
        <f>+R452-R451</f>
        <v>0</v>
      </c>
      <c r="S453" s="762">
        <f t="shared" si="884"/>
        <v>0</v>
      </c>
      <c r="T453" s="762">
        <f t="shared" si="884"/>
        <v>0</v>
      </c>
      <c r="U453" s="762">
        <f t="shared" si="884"/>
        <v>0</v>
      </c>
      <c r="V453" s="762">
        <f t="shared" si="884"/>
        <v>0</v>
      </c>
      <c r="W453" s="763">
        <f t="shared" si="884"/>
        <v>0</v>
      </c>
      <c r="X453" s="762">
        <f t="shared" si="884"/>
        <v>0</v>
      </c>
      <c r="Y453" s="762">
        <f t="shared" si="884"/>
        <v>0</v>
      </c>
      <c r="Z453" s="762">
        <f t="shared" si="884"/>
        <v>0</v>
      </c>
      <c r="AA453" s="762">
        <f t="shared" si="884"/>
        <v>0</v>
      </c>
      <c r="AB453" s="763">
        <f t="shared" si="884"/>
        <v>0</v>
      </c>
      <c r="AC453" s="762">
        <f t="shared" si="884"/>
        <v>0</v>
      </c>
      <c r="AD453" s="762">
        <f t="shared" si="884"/>
        <v>0</v>
      </c>
      <c r="AE453" s="762">
        <f t="shared" si="884"/>
        <v>0</v>
      </c>
      <c r="AF453" s="762">
        <f t="shared" si="884"/>
        <v>0</v>
      </c>
      <c r="AG453" s="762">
        <f t="shared" si="884"/>
        <v>0</v>
      </c>
      <c r="AH453" s="85"/>
      <c r="AI453" s="85"/>
      <c r="AJ453" s="745"/>
      <c r="AK453" s="745"/>
      <c r="AL453" s="745"/>
      <c r="AM453" s="745"/>
      <c r="AN453" s="745"/>
      <c r="AO453" s="120"/>
      <c r="AP453" s="745"/>
      <c r="AQ453" s="745"/>
      <c r="AR453" s="745"/>
      <c r="AS453" s="745"/>
      <c r="AT453" s="745"/>
      <c r="AV453" s="1445"/>
    </row>
    <row r="454" spans="1:112">
      <c r="AH454" s="745"/>
      <c r="AI454" s="745"/>
      <c r="AJ454" s="745"/>
      <c r="AK454" s="745"/>
      <c r="AL454" s="745"/>
      <c r="AM454" s="745"/>
      <c r="AN454" s="745"/>
      <c r="AO454" s="120"/>
      <c r="AP454" s="745"/>
      <c r="AQ454" s="745"/>
      <c r="AR454" s="745"/>
      <c r="AS454" s="745"/>
      <c r="AT454" s="745"/>
      <c r="AV454" s="1445"/>
    </row>
    <row r="455" spans="1:112">
      <c r="K455" s="113" t="b">
        <f>+K451=K460</f>
        <v>1</v>
      </c>
      <c r="L455" s="113" t="b">
        <f>+L451=L460</f>
        <v>1</v>
      </c>
      <c r="M455" s="113" t="b">
        <f>+M451=M460</f>
        <v>1</v>
      </c>
      <c r="N455" s="113" t="b">
        <f>+N451=N460</f>
        <v>1</v>
      </c>
      <c r="O455" s="1734">
        <f>IF(ROUND(+O451,5)=ROUND(O460,5),0,1)</f>
        <v>0</v>
      </c>
      <c r="P455" s="1734">
        <f t="shared" ref="P455:AG455" si="885">IF(ROUND(+P451,5)=ROUND(P460,5),0,1)</f>
        <v>0</v>
      </c>
      <c r="Q455" s="1734">
        <f t="shared" si="885"/>
        <v>0</v>
      </c>
      <c r="R455" s="1734">
        <f t="shared" si="885"/>
        <v>0</v>
      </c>
      <c r="S455" s="1734">
        <f t="shared" si="885"/>
        <v>0</v>
      </c>
      <c r="T455" s="1734">
        <f t="shared" si="885"/>
        <v>0</v>
      </c>
      <c r="U455" s="1734">
        <f t="shared" si="885"/>
        <v>0</v>
      </c>
      <c r="V455" s="1734">
        <f t="shared" si="885"/>
        <v>0</v>
      </c>
      <c r="W455" s="1734">
        <f t="shared" si="885"/>
        <v>0</v>
      </c>
      <c r="X455" s="1734">
        <f t="shared" si="885"/>
        <v>0</v>
      </c>
      <c r="Y455" s="1734">
        <f t="shared" si="885"/>
        <v>0</v>
      </c>
      <c r="Z455" s="1734">
        <f t="shared" si="885"/>
        <v>0</v>
      </c>
      <c r="AA455" s="1734">
        <f t="shared" si="885"/>
        <v>0</v>
      </c>
      <c r="AB455" s="1734">
        <f t="shared" si="885"/>
        <v>0</v>
      </c>
      <c r="AC455" s="1734">
        <f t="shared" si="885"/>
        <v>0</v>
      </c>
      <c r="AD455" s="1734">
        <f t="shared" si="885"/>
        <v>0</v>
      </c>
      <c r="AE455" s="1734">
        <f t="shared" si="885"/>
        <v>0</v>
      </c>
      <c r="AF455" s="1734">
        <f t="shared" si="885"/>
        <v>0</v>
      </c>
      <c r="AG455" s="1734">
        <f t="shared" si="885"/>
        <v>0</v>
      </c>
      <c r="AH455" s="745"/>
      <c r="AI455" s="745"/>
      <c r="AJ455" s="745"/>
      <c r="AK455" s="745"/>
      <c r="AL455" s="745"/>
      <c r="AM455" s="745"/>
      <c r="AN455" s="745"/>
      <c r="AO455" s="120"/>
      <c r="AP455" s="745"/>
      <c r="AQ455" s="745"/>
      <c r="AR455" s="745"/>
      <c r="AS455" s="745"/>
      <c r="AT455" s="745"/>
      <c r="AV455" s="1445"/>
    </row>
    <row r="456" spans="1:112">
      <c r="AH456" s="745"/>
      <c r="AI456" s="745"/>
      <c r="AJ456" s="745"/>
      <c r="AK456" s="745"/>
      <c r="AL456" s="745"/>
      <c r="AM456" s="745"/>
      <c r="AN456" s="745"/>
      <c r="AO456" s="120"/>
      <c r="AP456" s="745"/>
      <c r="AQ456" s="745"/>
      <c r="AR456" s="745"/>
      <c r="AS456" s="745"/>
      <c r="AT456" s="745"/>
      <c r="AV456" s="1445"/>
    </row>
    <row r="457" spans="1:112">
      <c r="I457" s="70" t="s">
        <v>694</v>
      </c>
      <c r="J457" s="751"/>
      <c r="K457" s="751"/>
      <c r="L457" s="751"/>
      <c r="M457" s="751"/>
      <c r="N457" s="751"/>
      <c r="O457" s="751"/>
      <c r="P457" s="751"/>
      <c r="Q457" s="751"/>
      <c r="R457" s="751"/>
      <c r="S457" s="751"/>
      <c r="T457" s="751"/>
      <c r="U457" s="751"/>
      <c r="V457" s="751"/>
      <c r="W457" s="751"/>
      <c r="X457" s="751"/>
      <c r="Y457" s="751"/>
      <c r="Z457" s="751"/>
      <c r="AA457" s="751"/>
      <c r="AB457" s="751"/>
      <c r="AC457" s="751"/>
      <c r="AD457" s="751"/>
      <c r="AE457" s="751"/>
      <c r="AF457" s="751"/>
      <c r="AG457" s="751"/>
      <c r="AH457" s="745"/>
      <c r="AI457" s="745"/>
      <c r="AJ457" s="745"/>
      <c r="AK457" s="745"/>
      <c r="AL457" s="745"/>
      <c r="AM457" s="745"/>
      <c r="AN457" s="745"/>
      <c r="AO457" s="120"/>
      <c r="AP457" s="745"/>
      <c r="AQ457" s="745"/>
      <c r="AR457" s="745"/>
      <c r="AS457" s="745"/>
      <c r="AT457" s="745"/>
      <c r="AV457" s="1445"/>
    </row>
    <row r="458" spans="1:112">
      <c r="I458" s="764" t="s">
        <v>319</v>
      </c>
      <c r="J458" s="765"/>
      <c r="K458" s="766">
        <f t="shared" ref="K458:T459" si="886">+SUMIFS(K$66:K$441,$E$66:$E$441,$E$68,$I$66:$I$441,$I458)</f>
        <v>0</v>
      </c>
      <c r="L458" s="767">
        <f t="shared" si="886"/>
        <v>0</v>
      </c>
      <c r="M458" s="767">
        <f t="shared" si="886"/>
        <v>0</v>
      </c>
      <c r="N458" s="768">
        <f t="shared" si="886"/>
        <v>0</v>
      </c>
      <c r="O458" s="810">
        <f>+SUMIFS(O$66:O$441,$E$66:$E$441,$E$68,$I$66:$I$441,$I458)</f>
        <v>31.369227565778647</v>
      </c>
      <c r="P458" s="767">
        <f t="shared" si="886"/>
        <v>31.485013759869492</v>
      </c>
      <c r="Q458" s="767">
        <f t="shared" si="886"/>
        <v>31.451468024927806</v>
      </c>
      <c r="R458" s="767">
        <f t="shared" si="886"/>
        <v>31.47076177365787</v>
      </c>
      <c r="S458" s="767">
        <f t="shared" si="886"/>
        <v>31.244175553663617</v>
      </c>
      <c r="T458" s="767">
        <f t="shared" si="886"/>
        <v>31.389056009760299</v>
      </c>
      <c r="U458" s="767">
        <f t="shared" ref="U458:AG459" si="887">+SUMIFS(U$66:U$441,$E$66:$E$441,$E$68,$I$66:$I$441,$I458)</f>
        <v>32.239024534977361</v>
      </c>
      <c r="V458" s="767">
        <f t="shared" si="887"/>
        <v>32.609186146207328</v>
      </c>
      <c r="W458" s="767">
        <f t="shared" si="887"/>
        <v>33.938833749540905</v>
      </c>
      <c r="X458" s="768">
        <f t="shared" si="887"/>
        <v>37.469760831387802</v>
      </c>
      <c r="Y458" s="767">
        <f t="shared" si="887"/>
        <v>41.269520329340594</v>
      </c>
      <c r="Z458" s="767">
        <f t="shared" si="887"/>
        <v>45.362697949634644</v>
      </c>
      <c r="AA458" s="767">
        <f t="shared" si="887"/>
        <v>49.786147626585951</v>
      </c>
      <c r="AB458" s="767">
        <f t="shared" si="887"/>
        <v>54.525079605962475</v>
      </c>
      <c r="AC458" s="768">
        <f t="shared" si="887"/>
        <v>56.190578890344554</v>
      </c>
      <c r="AD458" s="767">
        <f t="shared" si="887"/>
        <v>57.933189874058272</v>
      </c>
      <c r="AE458" s="767">
        <f t="shared" si="887"/>
        <v>59.711748439096667</v>
      </c>
      <c r="AF458" s="767">
        <f t="shared" si="887"/>
        <v>61.601498725350197</v>
      </c>
      <c r="AG458" s="767">
        <f t="shared" si="887"/>
        <v>63.501490306232327</v>
      </c>
      <c r="AH458" s="745"/>
      <c r="AI458" s="745"/>
      <c r="AJ458" s="745"/>
      <c r="AK458" s="745"/>
      <c r="AL458" s="745"/>
      <c r="AM458" s="745"/>
      <c r="AN458" s="745"/>
      <c r="AO458" s="120"/>
      <c r="AP458" s="745"/>
      <c r="AQ458" s="745"/>
      <c r="AR458" s="745"/>
      <c r="AS458" s="745"/>
      <c r="AT458" s="745"/>
      <c r="AV458" s="1445"/>
    </row>
    <row r="459" spans="1:112">
      <c r="I459" s="769" t="s">
        <v>320</v>
      </c>
      <c r="J459" s="770"/>
      <c r="K459" s="771">
        <f t="shared" si="886"/>
        <v>0</v>
      </c>
      <c r="L459" s="757">
        <f t="shared" si="886"/>
        <v>0</v>
      </c>
      <c r="M459" s="757">
        <f t="shared" si="886"/>
        <v>0</v>
      </c>
      <c r="N459" s="758">
        <f t="shared" si="886"/>
        <v>0</v>
      </c>
      <c r="O459" s="759">
        <f t="shared" si="886"/>
        <v>44.033565106917969</v>
      </c>
      <c r="P459" s="757">
        <f t="shared" si="886"/>
        <v>45.874068791880937</v>
      </c>
      <c r="Q459" s="757">
        <f t="shared" si="886"/>
        <v>44.536292521635474</v>
      </c>
      <c r="R459" s="757">
        <f t="shared" si="886"/>
        <v>43.133260341231306</v>
      </c>
      <c r="S459" s="757">
        <f t="shared" si="886"/>
        <v>40.836249572430731</v>
      </c>
      <c r="T459" s="757">
        <f t="shared" si="886"/>
        <v>43.248810026520019</v>
      </c>
      <c r="U459" s="757">
        <f t="shared" si="887"/>
        <v>46.176636522192659</v>
      </c>
      <c r="V459" s="757">
        <f t="shared" si="887"/>
        <v>49.536342322451958</v>
      </c>
      <c r="W459" s="757">
        <f t="shared" si="887"/>
        <v>46.734081490363145</v>
      </c>
      <c r="X459" s="758">
        <f t="shared" si="887"/>
        <v>49.313063676829941</v>
      </c>
      <c r="Y459" s="757">
        <f t="shared" si="887"/>
        <v>51.055269379745461</v>
      </c>
      <c r="Z459" s="757">
        <f t="shared" si="887"/>
        <v>52.862162349167818</v>
      </c>
      <c r="AA459" s="757">
        <f t="shared" si="887"/>
        <v>54.739006408822092</v>
      </c>
      <c r="AB459" s="757">
        <f t="shared" si="887"/>
        <v>56.688281832895619</v>
      </c>
      <c r="AC459" s="758">
        <f t="shared" si="887"/>
        <v>58.100277249471098</v>
      </c>
      <c r="AD459" s="757">
        <f t="shared" si="887"/>
        <v>59.550504433330005</v>
      </c>
      <c r="AE459" s="757">
        <f t="shared" si="887"/>
        <v>61.040066963298003</v>
      </c>
      <c r="AF459" s="757">
        <f t="shared" si="887"/>
        <v>62.570118532682514</v>
      </c>
      <c r="AG459" s="757">
        <f t="shared" si="887"/>
        <v>64.14183437597616</v>
      </c>
      <c r="AH459" s="745"/>
      <c r="AI459" s="745"/>
      <c r="AJ459" s="745"/>
      <c r="AK459" s="745"/>
      <c r="AL459" s="745"/>
      <c r="AM459" s="745"/>
      <c r="AN459" s="745"/>
      <c r="AO459" s="745"/>
      <c r="AP459" s="745"/>
      <c r="AQ459" s="745"/>
      <c r="AR459" s="745"/>
      <c r="AS459" s="745"/>
      <c r="AT459" s="745"/>
      <c r="AV459" s="1445"/>
    </row>
    <row r="460" spans="1:112">
      <c r="H460" s="772"/>
      <c r="I460" s="112" t="s">
        <v>690</v>
      </c>
      <c r="J460" s="120"/>
      <c r="K460" s="773">
        <f>SUM(K458:K459)</f>
        <v>0</v>
      </c>
      <c r="L460" s="773">
        <f t="shared" ref="L460:AG460" si="888">SUM(L458:L459)</f>
        <v>0</v>
      </c>
      <c r="M460" s="774">
        <f t="shared" si="888"/>
        <v>0</v>
      </c>
      <c r="N460" s="773">
        <f t="shared" si="888"/>
        <v>0</v>
      </c>
      <c r="O460" s="1924">
        <f t="shared" si="888"/>
        <v>75.40279267269662</v>
      </c>
      <c r="P460" s="773">
        <f t="shared" si="888"/>
        <v>77.359082551750433</v>
      </c>
      <c r="Q460" s="773">
        <f t="shared" si="888"/>
        <v>75.98776054656328</v>
      </c>
      <c r="R460" s="773">
        <f>SUM(R458:R459)</f>
        <v>74.604022114889176</v>
      </c>
      <c r="S460" s="773">
        <f t="shared" si="888"/>
        <v>72.080425126094354</v>
      </c>
      <c r="T460" s="773">
        <f t="shared" si="888"/>
        <v>74.637866036280315</v>
      </c>
      <c r="U460" s="773">
        <f t="shared" si="888"/>
        <v>78.415661057170013</v>
      </c>
      <c r="V460" s="773">
        <f t="shared" si="888"/>
        <v>82.145528468659279</v>
      </c>
      <c r="W460" s="774">
        <f t="shared" si="888"/>
        <v>80.672915239904057</v>
      </c>
      <c r="X460" s="773">
        <f t="shared" si="888"/>
        <v>86.782824508217743</v>
      </c>
      <c r="Y460" s="773">
        <f t="shared" si="888"/>
        <v>92.324789709086048</v>
      </c>
      <c r="Z460" s="773">
        <f t="shared" si="888"/>
        <v>98.224860298802469</v>
      </c>
      <c r="AA460" s="773">
        <f t="shared" si="888"/>
        <v>104.52515403540804</v>
      </c>
      <c r="AB460" s="774">
        <f t="shared" si="888"/>
        <v>111.2133614388581</v>
      </c>
      <c r="AC460" s="773">
        <f t="shared" si="888"/>
        <v>114.29085613981565</v>
      </c>
      <c r="AD460" s="773">
        <f t="shared" si="888"/>
        <v>117.48369430738828</v>
      </c>
      <c r="AE460" s="773">
        <f t="shared" si="888"/>
        <v>120.75181540239467</v>
      </c>
      <c r="AF460" s="773">
        <f t="shared" si="888"/>
        <v>124.17161725803271</v>
      </c>
      <c r="AG460" s="773">
        <f t="shared" si="888"/>
        <v>127.64332468220849</v>
      </c>
      <c r="AH460" s="745"/>
      <c r="AI460" s="745"/>
      <c r="AJ460" s="745"/>
      <c r="AK460" s="745"/>
      <c r="AL460" s="745"/>
      <c r="AM460" s="745"/>
      <c r="AN460" s="745"/>
      <c r="AO460" s="745"/>
      <c r="AP460" s="745"/>
      <c r="AQ460" s="745"/>
      <c r="AR460" s="745"/>
      <c r="AS460" s="745"/>
      <c r="AT460" s="745"/>
      <c r="AV460" s="1445"/>
    </row>
    <row r="461" spans="1:112">
      <c r="I461" s="775" t="s">
        <v>689</v>
      </c>
      <c r="J461" s="120"/>
      <c r="K461" s="776" t="str">
        <f>IFERROR(K458/K460,"")</f>
        <v/>
      </c>
      <c r="L461" s="776" t="str">
        <f t="shared" ref="L461:AG461" si="889">IFERROR(L458/L460,"")</f>
        <v/>
      </c>
      <c r="M461" s="777" t="str">
        <f t="shared" si="889"/>
        <v/>
      </c>
      <c r="N461" s="776" t="str">
        <f t="shared" si="889"/>
        <v/>
      </c>
      <c r="O461" s="777">
        <f>IFERROR(O458/O460,"")</f>
        <v>0.41602209220478192</v>
      </c>
      <c r="P461" s="776">
        <f>IFERROR(P458/P460,"")</f>
        <v>0.40699828283003686</v>
      </c>
      <c r="Q461" s="776">
        <f>IFERROR(Q458/Q460,"")</f>
        <v>0.41390176258260936</v>
      </c>
      <c r="R461" s="776">
        <f t="shared" si="889"/>
        <v>0.42183733371899607</v>
      </c>
      <c r="S461" s="776">
        <f t="shared" si="889"/>
        <v>0.43346269807657789</v>
      </c>
      <c r="T461" s="776">
        <f t="shared" si="889"/>
        <v>0.42055135920556147</v>
      </c>
      <c r="U461" s="776">
        <f t="shared" si="889"/>
        <v>0.41112992099209694</v>
      </c>
      <c r="V461" s="776">
        <f t="shared" si="889"/>
        <v>0.39696848695359732</v>
      </c>
      <c r="W461" s="777">
        <f t="shared" si="889"/>
        <v>0.42069675613697666</v>
      </c>
      <c r="X461" s="776">
        <f t="shared" si="889"/>
        <v>0.43176470740289941</v>
      </c>
      <c r="Y461" s="776">
        <f t="shared" si="889"/>
        <v>0.44700367538751185</v>
      </c>
      <c r="Z461" s="776">
        <f t="shared" si="889"/>
        <v>0.46182501875431725</v>
      </c>
      <c r="AA461" s="776">
        <f t="shared" si="889"/>
        <v>0.4763078139996888</v>
      </c>
      <c r="AB461" s="777">
        <f t="shared" si="889"/>
        <v>0.49027453986218006</v>
      </c>
      <c r="AC461" s="776">
        <f t="shared" si="889"/>
        <v>0.49164544556044648</v>
      </c>
      <c r="AD461" s="776">
        <f t="shared" si="889"/>
        <v>0.49311685519932608</v>
      </c>
      <c r="AE461" s="776">
        <f t="shared" si="889"/>
        <v>0.49449979894805379</v>
      </c>
      <c r="AF461" s="776">
        <f t="shared" si="889"/>
        <v>0.4960996730624862</v>
      </c>
      <c r="AG461" s="776">
        <f t="shared" si="889"/>
        <v>0.49749166644108461</v>
      </c>
      <c r="AH461" s="745"/>
      <c r="AI461" s="745"/>
      <c r="AJ461" s="745"/>
      <c r="AK461" s="745"/>
      <c r="AL461" s="745"/>
      <c r="AM461" s="745"/>
      <c r="AN461" s="745"/>
      <c r="AO461" s="745"/>
      <c r="AP461" s="745"/>
      <c r="AQ461" s="745"/>
      <c r="AR461" s="745"/>
      <c r="AS461" s="745"/>
      <c r="AT461" s="745"/>
      <c r="AV461" s="1445"/>
    </row>
    <row r="462" spans="1:112">
      <c r="I462" s="778" t="s">
        <v>693</v>
      </c>
      <c r="J462" s="122"/>
      <c r="K462" s="779" t="str">
        <f>IFERROR(K459/K460,"")</f>
        <v/>
      </c>
      <c r="L462" s="779" t="str">
        <f t="shared" ref="L462:AG462" si="890">IFERROR(L459/L460,"")</f>
        <v/>
      </c>
      <c r="M462" s="780" t="str">
        <f t="shared" si="890"/>
        <v/>
      </c>
      <c r="N462" s="779" t="str">
        <f t="shared" si="890"/>
        <v/>
      </c>
      <c r="O462" s="780">
        <f t="shared" si="890"/>
        <v>0.58397790779521808</v>
      </c>
      <c r="P462" s="779">
        <f>IFERROR(P459/P460,"")</f>
        <v>0.59300171716996308</v>
      </c>
      <c r="Q462" s="779">
        <f>IFERROR(Q459/Q460,"")</f>
        <v>0.58609823741739064</v>
      </c>
      <c r="R462" s="779">
        <f t="shared" si="890"/>
        <v>0.57816266628100388</v>
      </c>
      <c r="S462" s="779">
        <f t="shared" si="890"/>
        <v>0.566537301923422</v>
      </c>
      <c r="T462" s="779">
        <f t="shared" si="890"/>
        <v>0.57944864079443859</v>
      </c>
      <c r="U462" s="779">
        <f t="shared" si="890"/>
        <v>0.58887007900790311</v>
      </c>
      <c r="V462" s="779">
        <f t="shared" si="890"/>
        <v>0.60303151304640279</v>
      </c>
      <c r="W462" s="780">
        <f t="shared" si="890"/>
        <v>0.57930324386302323</v>
      </c>
      <c r="X462" s="779">
        <f t="shared" si="890"/>
        <v>0.56823529259710059</v>
      </c>
      <c r="Y462" s="779">
        <f t="shared" si="890"/>
        <v>0.55299632461248827</v>
      </c>
      <c r="Z462" s="779">
        <f t="shared" si="890"/>
        <v>0.53817498124568264</v>
      </c>
      <c r="AA462" s="779">
        <f t="shared" si="890"/>
        <v>0.52369218600031131</v>
      </c>
      <c r="AB462" s="780">
        <f t="shared" si="890"/>
        <v>0.50972546013781983</v>
      </c>
      <c r="AC462" s="779">
        <f t="shared" si="890"/>
        <v>0.50835455443955357</v>
      </c>
      <c r="AD462" s="779">
        <f t="shared" si="890"/>
        <v>0.50688314480067398</v>
      </c>
      <c r="AE462" s="779">
        <f t="shared" si="890"/>
        <v>0.50550020105194626</v>
      </c>
      <c r="AF462" s="779">
        <f t="shared" si="890"/>
        <v>0.50390032693751385</v>
      </c>
      <c r="AG462" s="779">
        <f t="shared" si="890"/>
        <v>0.50250833355891544</v>
      </c>
      <c r="AH462" s="745"/>
      <c r="AI462" s="745"/>
      <c r="AJ462" s="745"/>
      <c r="AK462" s="745"/>
      <c r="AL462" s="745"/>
      <c r="AM462" s="745"/>
      <c r="AN462" s="745"/>
      <c r="AO462" s="745"/>
      <c r="AP462" s="745"/>
      <c r="AQ462" s="745"/>
      <c r="AR462" s="745"/>
      <c r="AS462" s="745"/>
      <c r="AT462" s="745"/>
      <c r="AV462" s="1445"/>
    </row>
    <row r="463" spans="1:112">
      <c r="AG463" s="745"/>
      <c r="AH463" s="745"/>
      <c r="AI463" s="745"/>
      <c r="AJ463" s="745"/>
      <c r="AK463" s="745"/>
      <c r="AL463" s="745"/>
      <c r="AM463" s="745"/>
      <c r="AN463" s="745"/>
      <c r="AO463" s="745"/>
      <c r="AP463" s="745"/>
      <c r="AQ463" s="745"/>
      <c r="AR463" s="745"/>
      <c r="AS463" s="745"/>
      <c r="AT463" s="745"/>
      <c r="AV463" s="1445"/>
      <c r="CU463" s="113"/>
      <c r="DH463" s="113"/>
    </row>
    <row r="464" spans="1:112">
      <c r="A464" s="1239"/>
      <c r="B464" s="1239"/>
      <c r="C464" s="1239"/>
      <c r="D464" s="1239"/>
      <c r="E464" s="1239"/>
      <c r="F464" s="1239"/>
      <c r="G464" s="1239"/>
      <c r="H464" s="1239"/>
      <c r="I464" s="1239"/>
      <c r="J464" s="1239"/>
      <c r="K464" s="1239"/>
      <c r="L464" s="1239"/>
      <c r="M464" s="1239"/>
      <c r="N464" s="1239"/>
      <c r="O464" s="1239"/>
      <c r="P464" s="1239"/>
      <c r="Q464" s="1239"/>
      <c r="R464" s="1239"/>
      <c r="S464" s="1239"/>
      <c r="T464" s="1239"/>
      <c r="U464" s="1239"/>
      <c r="V464" s="1239"/>
      <c r="W464" s="1239"/>
      <c r="X464" s="1239"/>
      <c r="Y464" s="1239"/>
      <c r="Z464" s="1239"/>
      <c r="AA464" s="1239"/>
      <c r="AB464" s="1239"/>
      <c r="AC464" s="1239"/>
      <c r="AD464" s="1239"/>
      <c r="AE464" s="1239"/>
      <c r="AF464" s="1239"/>
      <c r="AG464" s="1239"/>
      <c r="AH464" s="1239"/>
      <c r="AI464" s="1239"/>
      <c r="AJ464" s="1239"/>
      <c r="AK464" s="1239"/>
      <c r="AL464" s="1239"/>
      <c r="AM464" s="1239"/>
      <c r="AN464" s="1239"/>
      <c r="AO464" s="1239"/>
      <c r="AP464" s="1239"/>
      <c r="AQ464" s="1239"/>
      <c r="AR464" s="1239"/>
      <c r="AS464" s="1239"/>
      <c r="AT464" s="1239"/>
      <c r="AV464" s="1445"/>
      <c r="CU464" s="113"/>
      <c r="DH464" s="113"/>
    </row>
    <row r="465" spans="1:112">
      <c r="A465" s="1240" t="s">
        <v>839</v>
      </c>
      <c r="B465" s="1241"/>
      <c r="C465" s="414"/>
      <c r="D465" s="414"/>
      <c r="AV465" s="1445"/>
      <c r="CU465" s="113"/>
      <c r="DH465" s="113"/>
    </row>
    <row r="466" spans="1:112" ht="12.75" thickBot="1">
      <c r="AV466" s="1445"/>
      <c r="CU466" s="113"/>
      <c r="DH466" s="113"/>
    </row>
    <row r="467" spans="1:112" ht="12.75" thickBot="1">
      <c r="I467" s="2235" t="s">
        <v>840</v>
      </c>
      <c r="J467" s="2236"/>
      <c r="K467" s="2236"/>
      <c r="L467" s="2236"/>
      <c r="M467" s="2236"/>
      <c r="N467" s="2236"/>
      <c r="O467" s="2236"/>
      <c r="P467" s="2236"/>
      <c r="Q467" s="2236"/>
      <c r="R467" s="2236"/>
      <c r="S467" s="2236"/>
      <c r="T467" s="2236"/>
      <c r="U467" s="2236"/>
      <c r="V467" s="2236"/>
      <c r="W467" s="2236"/>
      <c r="X467" s="2236"/>
      <c r="Y467" s="2236"/>
      <c r="Z467" s="2236"/>
      <c r="AA467" s="2236"/>
      <c r="AB467" s="2236"/>
      <c r="AC467" s="2236"/>
      <c r="AD467" s="2236"/>
      <c r="AE467" s="2236"/>
      <c r="AF467" s="2236"/>
      <c r="AG467" s="2237"/>
      <c r="CU467" s="113"/>
      <c r="DH467" s="113"/>
    </row>
    <row r="468" spans="1:112" s="104" customFormat="1">
      <c r="H468" s="1242"/>
      <c r="I468" s="1243" t="str">
        <f>I445</f>
        <v>Water</v>
      </c>
      <c r="J468" s="1244"/>
      <c r="K468" s="1245">
        <f t="shared" ref="K468:Q468" si="891">+SUMIFS(K$69:K$444,$E$69:$E$444,$E$71,$I$69:$I$444,$I468)</f>
        <v>0</v>
      </c>
      <c r="L468" s="1245">
        <f t="shared" si="891"/>
        <v>0</v>
      </c>
      <c r="M468" s="1246">
        <f t="shared" si="891"/>
        <v>0</v>
      </c>
      <c r="N468" s="1245">
        <f t="shared" si="891"/>
        <v>0</v>
      </c>
      <c r="O468" s="1925">
        <f t="shared" si="891"/>
        <v>0</v>
      </c>
      <c r="P468" s="1245">
        <f t="shared" si="891"/>
        <v>0</v>
      </c>
      <c r="Q468" s="1245">
        <f t="shared" si="891"/>
        <v>0</v>
      </c>
      <c r="R468" s="1245">
        <f t="shared" ref="R468:AG468" si="892">SUM(R469:R470)</f>
        <v>53.678399969500511</v>
      </c>
      <c r="S468" s="1926">
        <f t="shared" si="892"/>
        <v>50.760935484816031</v>
      </c>
      <c r="T468" s="1245">
        <f t="shared" si="892"/>
        <v>52.42228006282641</v>
      </c>
      <c r="U468" s="1245">
        <f t="shared" si="892"/>
        <v>56.584096284404524</v>
      </c>
      <c r="V468" s="1245">
        <f t="shared" si="892"/>
        <v>60.450390540267882</v>
      </c>
      <c r="W468" s="1246">
        <f t="shared" si="892"/>
        <v>58.483369513300005</v>
      </c>
      <c r="X468" s="1245">
        <f t="shared" si="892"/>
        <v>61.462968585093549</v>
      </c>
      <c r="Y468" s="1245">
        <f t="shared" si="892"/>
        <v>64.757722413937685</v>
      </c>
      <c r="Z468" s="1245">
        <f t="shared" si="892"/>
        <v>68.244173455064185</v>
      </c>
      <c r="AA468" s="1245">
        <f t="shared" si="892"/>
        <v>71.953100187861139</v>
      </c>
      <c r="AB468" s="1246">
        <f t="shared" si="892"/>
        <v>75.860142877698749</v>
      </c>
      <c r="AC468" s="1245">
        <f t="shared" si="892"/>
        <v>77.968768408158112</v>
      </c>
      <c r="AD468" s="1245">
        <f t="shared" si="892"/>
        <v>80.162023675481507</v>
      </c>
      <c r="AE468" s="1245">
        <f t="shared" si="892"/>
        <v>82.39872892245981</v>
      </c>
      <c r="AF468" s="1245">
        <f t="shared" si="892"/>
        <v>84.754116577819062</v>
      </c>
      <c r="AG468" s="1247">
        <f t="shared" si="892"/>
        <v>87.127197755843468</v>
      </c>
      <c r="AU468" s="1239"/>
      <c r="AW468" s="70"/>
      <c r="BW468" s="70"/>
      <c r="BX468" s="70"/>
      <c r="BY468" s="70"/>
      <c r="BZ468" s="70"/>
      <c r="CA468" s="70"/>
      <c r="CB468" s="70"/>
      <c r="CC468" s="70"/>
      <c r="CD468" s="70"/>
      <c r="CE468" s="70"/>
      <c r="CF468" s="70"/>
      <c r="CG468" s="70"/>
      <c r="CH468" s="70"/>
      <c r="CI468" s="70"/>
      <c r="CJ468" s="70"/>
      <c r="CK468" s="70"/>
      <c r="CL468" s="70"/>
      <c r="CM468" s="70"/>
      <c r="CN468" s="70"/>
      <c r="CO468" s="70"/>
      <c r="CP468" s="70"/>
      <c r="CQ468" s="70"/>
      <c r="CR468" s="70"/>
      <c r="CS468" s="70"/>
      <c r="CU468" s="628"/>
      <c r="DH468" s="628"/>
    </row>
    <row r="469" spans="1:112">
      <c r="H469" s="1249"/>
      <c r="I469" s="1250" t="str">
        <f>I458</f>
        <v>Fixed</v>
      </c>
      <c r="J469" s="1251"/>
      <c r="K469" s="828"/>
      <c r="L469" s="828"/>
      <c r="M469" s="829"/>
      <c r="N469" s="828"/>
      <c r="O469" s="829">
        <f t="shared" ref="O469:AG470" si="893">+SUMIFS(O$66:O$442,$E$66:$E$442,$E$68,$F$66:$F$442,$I$468,$I$66:$I$442,$I469)</f>
        <v>15.920217911294117</v>
      </c>
      <c r="P469" s="828">
        <f t="shared" si="893"/>
        <v>15.94894021510213</v>
      </c>
      <c r="Q469" s="828">
        <f t="shared" si="893"/>
        <v>15.902579820214727</v>
      </c>
      <c r="R469" s="828">
        <f t="shared" si="893"/>
        <v>15.900809828700687</v>
      </c>
      <c r="S469" s="828">
        <f t="shared" si="893"/>
        <v>15.688323828167936</v>
      </c>
      <c r="T469" s="828">
        <f t="shared" si="893"/>
        <v>15.808463884845052</v>
      </c>
      <c r="U469" s="828">
        <f t="shared" si="893"/>
        <v>16.249944041651585</v>
      </c>
      <c r="V469" s="828">
        <f t="shared" si="893"/>
        <v>16.369698171364625</v>
      </c>
      <c r="W469" s="829">
        <f t="shared" si="893"/>
        <v>17.028201695000003</v>
      </c>
      <c r="X469" s="828">
        <f t="shared" si="893"/>
        <v>18.801830208770802</v>
      </c>
      <c r="Y469" s="828">
        <f t="shared" si="893"/>
        <v>20.703604412976052</v>
      </c>
      <c r="Z469" s="828">
        <f t="shared" si="893"/>
        <v>22.750722932066346</v>
      </c>
      <c r="AA469" s="828">
        <f t="shared" si="893"/>
        <v>24.969662976082944</v>
      </c>
      <c r="AB469" s="829">
        <f t="shared" si="893"/>
        <v>27.334597624691835</v>
      </c>
      <c r="AC469" s="828">
        <f t="shared" si="893"/>
        <v>28.16183152385393</v>
      </c>
      <c r="AD469" s="828">
        <f t="shared" si="893"/>
        <v>29.03755305316108</v>
      </c>
      <c r="AE469" s="828">
        <f t="shared" si="893"/>
        <v>29.919512311147564</v>
      </c>
      <c r="AF469" s="828">
        <f t="shared" si="893"/>
        <v>30.88182200275406</v>
      </c>
      <c r="AG469" s="1252">
        <f>+SUMIFS(AG$66:AG$442,$E$66:$E$442,$E$68,$F$66:$F$442,$I$468,$I$66:$I$442,$I469)</f>
        <v>31.822352520806714</v>
      </c>
      <c r="CU469" s="113"/>
      <c r="DH469" s="113"/>
    </row>
    <row r="470" spans="1:112">
      <c r="H470" s="1249"/>
      <c r="I470" s="1250" t="str">
        <f>I459</f>
        <v>Variable</v>
      </c>
      <c r="J470" s="1251"/>
      <c r="K470" s="828"/>
      <c r="L470" s="828"/>
      <c r="M470" s="829"/>
      <c r="N470" s="828"/>
      <c r="O470" s="829">
        <f t="shared" si="893"/>
        <v>37.802110068631485</v>
      </c>
      <c r="P470" s="828">
        <f t="shared" si="893"/>
        <v>40.735905994821131</v>
      </c>
      <c r="Q470" s="828">
        <f t="shared" si="893"/>
        <v>39.38884960622822</v>
      </c>
      <c r="R470" s="828">
        <f t="shared" si="893"/>
        <v>37.777590140799823</v>
      </c>
      <c r="S470" s="828">
        <f t="shared" si="893"/>
        <v>35.072611656648093</v>
      </c>
      <c r="T470" s="828">
        <f t="shared" si="893"/>
        <v>36.613816177981356</v>
      </c>
      <c r="U470" s="828">
        <f t="shared" si="893"/>
        <v>40.334152242752936</v>
      </c>
      <c r="V470" s="828">
        <f t="shared" si="893"/>
        <v>44.080692368903257</v>
      </c>
      <c r="W470" s="829">
        <f t="shared" si="893"/>
        <v>41.455167818300005</v>
      </c>
      <c r="X470" s="828">
        <f t="shared" si="893"/>
        <v>42.661138376322747</v>
      </c>
      <c r="Y470" s="828">
        <f t="shared" si="893"/>
        <v>44.054118000961637</v>
      </c>
      <c r="Z470" s="828">
        <f t="shared" si="893"/>
        <v>45.49345052299784</v>
      </c>
      <c r="AA470" s="828">
        <f t="shared" si="893"/>
        <v>46.983437211778202</v>
      </c>
      <c r="AB470" s="829">
        <f t="shared" si="893"/>
        <v>48.525545253006918</v>
      </c>
      <c r="AC470" s="828">
        <f t="shared" si="893"/>
        <v>49.806936884304179</v>
      </c>
      <c r="AD470" s="828">
        <f t="shared" si="893"/>
        <v>51.124470622320423</v>
      </c>
      <c r="AE470" s="828">
        <f t="shared" si="893"/>
        <v>52.479216611312253</v>
      </c>
      <c r="AF470" s="828">
        <f t="shared" si="893"/>
        <v>53.872294575065006</v>
      </c>
      <c r="AG470" s="1252">
        <f t="shared" si="893"/>
        <v>55.304845235036751</v>
      </c>
      <c r="CU470" s="113"/>
      <c r="DH470" s="113"/>
    </row>
    <row r="471" spans="1:112" s="1253" customFormat="1">
      <c r="H471" s="1254"/>
      <c r="I471" s="1255" t="s">
        <v>691</v>
      </c>
      <c r="J471" s="1256"/>
      <c r="K471" s="1257"/>
      <c r="L471" s="1257"/>
      <c r="M471" s="1258"/>
      <c r="N471" s="1257"/>
      <c r="O471" s="1258"/>
      <c r="P471" s="1257"/>
      <c r="Q471" s="1257"/>
      <c r="R471" s="1260">
        <f>R468-R445</f>
        <v>0</v>
      </c>
      <c r="S471" s="1260">
        <f t="shared" ref="S471:AG471" si="894">S468-S445</f>
        <v>0</v>
      </c>
      <c r="T471" s="1260">
        <f t="shared" si="894"/>
        <v>0</v>
      </c>
      <c r="U471" s="1260">
        <f t="shared" si="894"/>
        <v>0</v>
      </c>
      <c r="V471" s="1260">
        <f t="shared" si="894"/>
        <v>0</v>
      </c>
      <c r="W471" s="1259">
        <f t="shared" si="894"/>
        <v>0</v>
      </c>
      <c r="X471" s="1260">
        <f t="shared" si="894"/>
        <v>0</v>
      </c>
      <c r="Y471" s="1260">
        <f t="shared" si="894"/>
        <v>0</v>
      </c>
      <c r="Z471" s="1260">
        <f t="shared" si="894"/>
        <v>0</v>
      </c>
      <c r="AA471" s="1260">
        <f t="shared" si="894"/>
        <v>0</v>
      </c>
      <c r="AB471" s="1259">
        <f t="shared" si="894"/>
        <v>0</v>
      </c>
      <c r="AC471" s="1260">
        <f t="shared" si="894"/>
        <v>0</v>
      </c>
      <c r="AD471" s="1260">
        <f t="shared" si="894"/>
        <v>0</v>
      </c>
      <c r="AE471" s="1260">
        <f t="shared" si="894"/>
        <v>0</v>
      </c>
      <c r="AF471" s="1260">
        <f t="shared" si="894"/>
        <v>0</v>
      </c>
      <c r="AG471" s="1261">
        <f t="shared" si="894"/>
        <v>0</v>
      </c>
      <c r="AU471" s="1239"/>
      <c r="AW471" s="70"/>
      <c r="BW471" s="70"/>
      <c r="BX471" s="70"/>
      <c r="BY471" s="70"/>
      <c r="BZ471" s="70"/>
      <c r="CA471" s="70"/>
      <c r="CB471" s="70"/>
      <c r="CC471" s="70"/>
      <c r="CD471" s="70"/>
      <c r="CE471" s="70"/>
      <c r="CF471" s="70"/>
      <c r="CG471" s="70"/>
      <c r="CH471" s="70"/>
      <c r="CI471" s="70"/>
      <c r="CJ471" s="70"/>
      <c r="CK471" s="70"/>
      <c r="CL471" s="70"/>
      <c r="CM471" s="70"/>
      <c r="CN471" s="70"/>
      <c r="CO471" s="70"/>
      <c r="CP471" s="70"/>
      <c r="CQ471" s="70"/>
      <c r="CR471" s="70"/>
      <c r="CS471" s="70"/>
      <c r="CU471" s="1446"/>
      <c r="DH471" s="1446"/>
    </row>
    <row r="472" spans="1:112" s="104" customFormat="1">
      <c r="H472" s="1242"/>
      <c r="I472" s="1243" t="str">
        <f>I446</f>
        <v>Sewerage</v>
      </c>
      <c r="J472" s="1244"/>
      <c r="K472" s="1245">
        <f t="shared" ref="K472:Q472" si="895">+SUMIFS(K$69:K$444,$E$69:$E$444,$E$71,$I$69:$I$444,$I472)</f>
        <v>0</v>
      </c>
      <c r="L472" s="1245">
        <f t="shared" si="895"/>
        <v>0</v>
      </c>
      <c r="M472" s="1246">
        <f t="shared" si="895"/>
        <v>0</v>
      </c>
      <c r="N472" s="1245">
        <f t="shared" si="895"/>
        <v>0</v>
      </c>
      <c r="O472" s="1246">
        <f t="shared" si="895"/>
        <v>0</v>
      </c>
      <c r="P472" s="1245">
        <f t="shared" si="895"/>
        <v>0</v>
      </c>
      <c r="Q472" s="1245">
        <f t="shared" si="895"/>
        <v>0</v>
      </c>
      <c r="R472" s="1245">
        <f>SUM(R473:R474)</f>
        <v>15.23640991319991</v>
      </c>
      <c r="S472" s="1245">
        <f t="shared" ref="S472:AG472" si="896">SUM(S473:S474)</f>
        <v>15.20780572577598</v>
      </c>
      <c r="T472" s="1245">
        <f t="shared" si="896"/>
        <v>15.226206969491525</v>
      </c>
      <c r="U472" s="1245">
        <f t="shared" si="896"/>
        <v>15.616497587601806</v>
      </c>
      <c r="V472" s="1245">
        <f t="shared" si="896"/>
        <v>15.851374162244461</v>
      </c>
      <c r="W472" s="1246">
        <f t="shared" si="896"/>
        <v>16.512982218940909</v>
      </c>
      <c r="X472" s="1245">
        <f t="shared" si="896"/>
        <v>18.241033641608613</v>
      </c>
      <c r="Y472" s="1245">
        <f t="shared" si="896"/>
        <v>20.107620662402997</v>
      </c>
      <c r="Z472" s="1245">
        <f t="shared" si="896"/>
        <v>22.119972147677881</v>
      </c>
      <c r="AA472" s="1245">
        <f t="shared" si="896"/>
        <v>24.288294969532142</v>
      </c>
      <c r="AB472" s="1246">
        <f t="shared" si="896"/>
        <v>26.623443949264381</v>
      </c>
      <c r="AC472" s="1245">
        <f t="shared" si="896"/>
        <v>27.441114513161899</v>
      </c>
      <c r="AD472" s="1245">
        <f t="shared" si="896"/>
        <v>28.286661142335561</v>
      </c>
      <c r="AE472" s="1245">
        <f t="shared" si="896"/>
        <v>29.161142452742119</v>
      </c>
      <c r="AF472" s="1245">
        <f t="shared" si="896"/>
        <v>30.065661725105635</v>
      </c>
      <c r="AG472" s="1247">
        <f t="shared" si="896"/>
        <v>31.001368963226238</v>
      </c>
      <c r="AU472" s="1239"/>
      <c r="AW472" s="70"/>
      <c r="BW472" s="70"/>
      <c r="BX472" s="70"/>
      <c r="BY472" s="70"/>
      <c r="BZ472" s="70"/>
      <c r="CA472" s="70"/>
      <c r="CB472" s="70"/>
      <c r="CC472" s="70"/>
      <c r="CD472" s="70"/>
      <c r="CE472" s="70"/>
      <c r="CF472" s="70"/>
      <c r="CG472" s="70"/>
      <c r="CH472" s="70"/>
      <c r="CI472" s="70"/>
      <c r="CJ472" s="70"/>
      <c r="CK472" s="70"/>
      <c r="CL472" s="70"/>
      <c r="CM472" s="70"/>
      <c r="CN472" s="70"/>
      <c r="CO472" s="70"/>
      <c r="CP472" s="70"/>
      <c r="CQ472" s="70"/>
      <c r="CR472" s="70"/>
      <c r="CS472" s="70"/>
      <c r="CU472" s="628"/>
      <c r="DH472" s="628"/>
    </row>
    <row r="473" spans="1:112">
      <c r="H473" s="1249"/>
      <c r="I473" s="1250" t="str">
        <f>I469</f>
        <v>Fixed</v>
      </c>
      <c r="J473" s="1251"/>
      <c r="K473" s="828"/>
      <c r="L473" s="828"/>
      <c r="M473" s="829"/>
      <c r="N473" s="828"/>
      <c r="O473" s="829">
        <f t="shared" ref="O473:AG474" si="897">+SUMIFS(O$66:O$442,$E$66:$E$442,$E$68,$F$66:$F$442,$I$472,$I$66:$I$442,$I473)</f>
        <v>15.157098175248867</v>
      </c>
      <c r="P473" s="828">
        <f t="shared" si="897"/>
        <v>15.223297829920067</v>
      </c>
      <c r="Q473" s="828">
        <f t="shared" si="897"/>
        <v>15.227091554601229</v>
      </c>
      <c r="R473" s="828">
        <f t="shared" si="897"/>
        <v>15.23640991319991</v>
      </c>
      <c r="S473" s="828">
        <f t="shared" si="897"/>
        <v>15.20780572577598</v>
      </c>
      <c r="T473" s="828">
        <f t="shared" si="897"/>
        <v>15.226206969491525</v>
      </c>
      <c r="U473" s="828">
        <f t="shared" si="897"/>
        <v>15.616497587601806</v>
      </c>
      <c r="V473" s="828">
        <f t="shared" si="897"/>
        <v>15.851374162244461</v>
      </c>
      <c r="W473" s="829">
        <f t="shared" si="897"/>
        <v>16.512982218940909</v>
      </c>
      <c r="X473" s="828">
        <f t="shared" si="897"/>
        <v>18.241033641608613</v>
      </c>
      <c r="Y473" s="828">
        <f t="shared" si="897"/>
        <v>20.107620662402997</v>
      </c>
      <c r="Z473" s="828">
        <f t="shared" si="897"/>
        <v>22.119972147677881</v>
      </c>
      <c r="AA473" s="828">
        <f t="shared" si="897"/>
        <v>24.288294969532142</v>
      </c>
      <c r="AB473" s="829">
        <f t="shared" si="897"/>
        <v>26.623443949264381</v>
      </c>
      <c r="AC473" s="828">
        <f t="shared" si="897"/>
        <v>27.441114513161899</v>
      </c>
      <c r="AD473" s="828">
        <f t="shared" si="897"/>
        <v>28.286661142335561</v>
      </c>
      <c r="AE473" s="828">
        <f t="shared" si="897"/>
        <v>29.161142452742119</v>
      </c>
      <c r="AF473" s="828">
        <f t="shared" si="897"/>
        <v>30.065661725105635</v>
      </c>
      <c r="AG473" s="1252">
        <f>+SUMIFS(AG$66:AG$442,$E$66:$E$442,$E$68,$F$66:$F$442,$I$472,$I$66:$I$442,$I473)</f>
        <v>31.001368963226238</v>
      </c>
      <c r="AU473" s="1248"/>
      <c r="BW473" s="104"/>
      <c r="BX473" s="104"/>
      <c r="BY473" s="104"/>
      <c r="BZ473" s="104"/>
      <c r="CA473" s="104"/>
      <c r="CB473" s="104"/>
      <c r="CC473" s="104"/>
      <c r="CD473" s="104"/>
      <c r="CE473" s="104"/>
      <c r="CF473" s="104"/>
      <c r="CG473" s="104"/>
      <c r="CH473" s="104"/>
      <c r="CI473" s="104"/>
      <c r="CJ473" s="104"/>
      <c r="CK473" s="104"/>
      <c r="CL473" s="104"/>
      <c r="CM473" s="104"/>
      <c r="CN473" s="104"/>
      <c r="CO473" s="104"/>
      <c r="CP473" s="104"/>
      <c r="CQ473" s="104"/>
      <c r="CR473" s="104"/>
      <c r="CS473" s="104"/>
      <c r="CU473" s="113"/>
      <c r="DH473" s="113"/>
    </row>
    <row r="474" spans="1:112">
      <c r="H474" s="1249"/>
      <c r="I474" s="1250" t="str">
        <f>I470</f>
        <v>Variable</v>
      </c>
      <c r="J474" s="1251"/>
      <c r="K474" s="828"/>
      <c r="L474" s="828"/>
      <c r="M474" s="829"/>
      <c r="N474" s="828"/>
      <c r="O474" s="829">
        <f t="shared" si="897"/>
        <v>0</v>
      </c>
      <c r="P474" s="828">
        <f t="shared" si="897"/>
        <v>0</v>
      </c>
      <c r="Q474" s="828">
        <f t="shared" si="897"/>
        <v>0</v>
      </c>
      <c r="R474" s="828">
        <f>+SUMIFS(R$66:R$442,$E$66:$E$442,$E$68,$F$66:$F$442,$I$472,$I$66:$I$442,$I474)</f>
        <v>0</v>
      </c>
      <c r="S474" s="828">
        <f t="shared" si="897"/>
        <v>0</v>
      </c>
      <c r="T474" s="828">
        <f t="shared" si="897"/>
        <v>0</v>
      </c>
      <c r="U474" s="828">
        <f t="shared" si="897"/>
        <v>0</v>
      </c>
      <c r="V474" s="828">
        <f t="shared" si="897"/>
        <v>0</v>
      </c>
      <c r="W474" s="829">
        <f t="shared" si="897"/>
        <v>0</v>
      </c>
      <c r="X474" s="828">
        <f t="shared" si="897"/>
        <v>0</v>
      </c>
      <c r="Y474" s="828">
        <f t="shared" si="897"/>
        <v>0</v>
      </c>
      <c r="Z474" s="828">
        <f t="shared" si="897"/>
        <v>0</v>
      </c>
      <c r="AA474" s="828">
        <f t="shared" si="897"/>
        <v>0</v>
      </c>
      <c r="AB474" s="829">
        <f t="shared" si="897"/>
        <v>0</v>
      </c>
      <c r="AC474" s="828">
        <f t="shared" si="897"/>
        <v>0</v>
      </c>
      <c r="AD474" s="828">
        <f t="shared" si="897"/>
        <v>0</v>
      </c>
      <c r="AE474" s="828">
        <f t="shared" si="897"/>
        <v>0</v>
      </c>
      <c r="AF474" s="828">
        <f t="shared" si="897"/>
        <v>0</v>
      </c>
      <c r="AG474" s="1252">
        <f t="shared" si="897"/>
        <v>0</v>
      </c>
      <c r="CU474" s="113"/>
      <c r="DH474" s="113"/>
    </row>
    <row r="475" spans="1:112" s="1253" customFormat="1">
      <c r="H475" s="1254"/>
      <c r="I475" s="1255" t="s">
        <v>691</v>
      </c>
      <c r="J475" s="1256"/>
      <c r="K475" s="1257"/>
      <c r="L475" s="1257"/>
      <c r="M475" s="1258"/>
      <c r="N475" s="1257"/>
      <c r="O475" s="1259">
        <f>O472-O446</f>
        <v>-15.157098175248867</v>
      </c>
      <c r="P475" s="1260">
        <f>P472-P446</f>
        <v>-15.223297829920067</v>
      </c>
      <c r="Q475" s="1260">
        <f>Q472-Q446</f>
        <v>-15.227091554601229</v>
      </c>
      <c r="R475" s="1260">
        <f>R472-R446</f>
        <v>0</v>
      </c>
      <c r="S475" s="1260">
        <f t="shared" ref="S475:AG475" si="898">S472-S446</f>
        <v>0</v>
      </c>
      <c r="T475" s="1260">
        <f t="shared" si="898"/>
        <v>0</v>
      </c>
      <c r="U475" s="1260">
        <f t="shared" si="898"/>
        <v>0</v>
      </c>
      <c r="V475" s="1260">
        <f t="shared" si="898"/>
        <v>0</v>
      </c>
      <c r="W475" s="1259">
        <f t="shared" si="898"/>
        <v>0</v>
      </c>
      <c r="X475" s="1260">
        <f t="shared" si="898"/>
        <v>0</v>
      </c>
      <c r="Y475" s="1260">
        <f t="shared" si="898"/>
        <v>0</v>
      </c>
      <c r="Z475" s="1260">
        <f t="shared" si="898"/>
        <v>0</v>
      </c>
      <c r="AA475" s="1260">
        <f t="shared" si="898"/>
        <v>0</v>
      </c>
      <c r="AB475" s="1259">
        <f t="shared" si="898"/>
        <v>0</v>
      </c>
      <c r="AC475" s="1260">
        <f t="shared" si="898"/>
        <v>0</v>
      </c>
      <c r="AD475" s="1260">
        <f t="shared" si="898"/>
        <v>0</v>
      </c>
      <c r="AE475" s="1260">
        <f t="shared" si="898"/>
        <v>0</v>
      </c>
      <c r="AF475" s="1260">
        <f t="shared" si="898"/>
        <v>0</v>
      </c>
      <c r="AG475" s="1261">
        <f t="shared" si="898"/>
        <v>0</v>
      </c>
      <c r="AU475" s="1239"/>
      <c r="AW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U475" s="1446"/>
      <c r="DH475" s="1446"/>
    </row>
    <row r="476" spans="1:112" s="104" customFormat="1">
      <c r="H476" s="1242"/>
      <c r="I476" s="1263" t="str">
        <f>I447</f>
        <v>Recycled Water</v>
      </c>
      <c r="J476" s="1264"/>
      <c r="K476" s="1245">
        <f t="shared" ref="K476:Q476" si="899">+SUMIFS(K$69:K$444,$E$69:$E$444,$E$71,$I$69:$I$444,$I476)</f>
        <v>0</v>
      </c>
      <c r="L476" s="1245">
        <f t="shared" si="899"/>
        <v>0</v>
      </c>
      <c r="M476" s="1246">
        <f t="shared" si="899"/>
        <v>0</v>
      </c>
      <c r="N476" s="1245">
        <f t="shared" si="899"/>
        <v>0</v>
      </c>
      <c r="O476" s="1246">
        <f t="shared" si="899"/>
        <v>0</v>
      </c>
      <c r="P476" s="1245">
        <f t="shared" si="899"/>
        <v>0</v>
      </c>
      <c r="Q476" s="1245">
        <f t="shared" si="899"/>
        <v>0</v>
      </c>
      <c r="R476" s="1245">
        <f t="shared" ref="R476:AG476" si="900">SUM(R477:R478)</f>
        <v>0</v>
      </c>
      <c r="S476" s="1245">
        <f t="shared" si="900"/>
        <v>0</v>
      </c>
      <c r="T476" s="1245">
        <f t="shared" si="900"/>
        <v>0</v>
      </c>
      <c r="U476" s="1245">
        <f t="shared" si="900"/>
        <v>0</v>
      </c>
      <c r="V476" s="1245">
        <f t="shared" si="900"/>
        <v>0</v>
      </c>
      <c r="W476" s="1246">
        <f t="shared" si="900"/>
        <v>0</v>
      </c>
      <c r="X476" s="1245">
        <f t="shared" si="900"/>
        <v>0</v>
      </c>
      <c r="Y476" s="1245">
        <f t="shared" si="900"/>
        <v>0</v>
      </c>
      <c r="Z476" s="1245">
        <f t="shared" si="900"/>
        <v>0</v>
      </c>
      <c r="AA476" s="1245">
        <f t="shared" si="900"/>
        <v>0</v>
      </c>
      <c r="AB476" s="1246">
        <f t="shared" si="900"/>
        <v>0</v>
      </c>
      <c r="AC476" s="1245">
        <f t="shared" si="900"/>
        <v>0</v>
      </c>
      <c r="AD476" s="1245">
        <f t="shared" si="900"/>
        <v>0</v>
      </c>
      <c r="AE476" s="1245">
        <f t="shared" si="900"/>
        <v>0</v>
      </c>
      <c r="AF476" s="1245">
        <f t="shared" si="900"/>
        <v>0</v>
      </c>
      <c r="AG476" s="1247">
        <f t="shared" si="900"/>
        <v>0</v>
      </c>
      <c r="AU476" s="1239"/>
      <c r="AW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U476" s="628"/>
      <c r="DH476" s="628"/>
    </row>
    <row r="477" spans="1:112">
      <c r="H477" s="1051"/>
      <c r="I477" s="1250" t="str">
        <f>I473</f>
        <v>Fixed</v>
      </c>
      <c r="J477" s="1251"/>
      <c r="K477" s="828"/>
      <c r="L477" s="828"/>
      <c r="M477" s="829"/>
      <c r="N477" s="828"/>
      <c r="O477" s="829">
        <f t="shared" ref="O477:Q478" si="901">+SUMIFS(O$66:O$442,$E$66:$E$442,$E$68,$F$66:$F$442,$I$476,$I$66:$I$442,$I477)</f>
        <v>0</v>
      </c>
      <c r="P477" s="828">
        <f t="shared" si="901"/>
        <v>0</v>
      </c>
      <c r="Q477" s="828">
        <f t="shared" si="901"/>
        <v>0</v>
      </c>
      <c r="R477" s="828">
        <f t="shared" ref="R477:AG478" si="902">+SUMIFS(R$66:R$442,$E$66:$E$442,$E$68,$F$66:$F$442,$I$476,$I$66:$I$442,$I477)</f>
        <v>0</v>
      </c>
      <c r="S477" s="828">
        <f t="shared" si="902"/>
        <v>0</v>
      </c>
      <c r="T477" s="828">
        <f t="shared" si="902"/>
        <v>0</v>
      </c>
      <c r="U477" s="828">
        <f t="shared" si="902"/>
        <v>0</v>
      </c>
      <c r="V477" s="828">
        <f t="shared" si="902"/>
        <v>0</v>
      </c>
      <c r="W477" s="829">
        <f t="shared" si="902"/>
        <v>0</v>
      </c>
      <c r="X477" s="828">
        <f t="shared" si="902"/>
        <v>0</v>
      </c>
      <c r="Y477" s="828">
        <f t="shared" si="902"/>
        <v>0</v>
      </c>
      <c r="Z477" s="828">
        <f t="shared" si="902"/>
        <v>0</v>
      </c>
      <c r="AA477" s="828">
        <f t="shared" si="902"/>
        <v>0</v>
      </c>
      <c r="AB477" s="829">
        <f t="shared" si="902"/>
        <v>0</v>
      </c>
      <c r="AC477" s="828">
        <f t="shared" si="902"/>
        <v>0</v>
      </c>
      <c r="AD477" s="828">
        <f t="shared" si="902"/>
        <v>0</v>
      </c>
      <c r="AE477" s="828">
        <f t="shared" si="902"/>
        <v>0</v>
      </c>
      <c r="AF477" s="828">
        <f t="shared" si="902"/>
        <v>0</v>
      </c>
      <c r="AG477" s="1252">
        <f>+SUMIFS(AG$66:AG$442,$E$66:$E$442,$E$68,$F$66:$F$442,$I$476,$I$66:$I$442,$I477)</f>
        <v>0</v>
      </c>
      <c r="CU477" s="113"/>
      <c r="DH477" s="113"/>
    </row>
    <row r="478" spans="1:112">
      <c r="H478" s="1051"/>
      <c r="I478" s="1250" t="str">
        <f>I474</f>
        <v>Variable</v>
      </c>
      <c r="J478" s="1251"/>
      <c r="K478" s="828"/>
      <c r="L478" s="828"/>
      <c r="M478" s="829"/>
      <c r="N478" s="828"/>
      <c r="O478" s="829">
        <f t="shared" si="901"/>
        <v>0</v>
      </c>
      <c r="P478" s="828">
        <f t="shared" si="901"/>
        <v>0</v>
      </c>
      <c r="Q478" s="828">
        <f t="shared" si="901"/>
        <v>0</v>
      </c>
      <c r="R478" s="828">
        <f t="shared" si="902"/>
        <v>0</v>
      </c>
      <c r="S478" s="828">
        <f t="shared" si="902"/>
        <v>0</v>
      </c>
      <c r="T478" s="828">
        <f t="shared" si="902"/>
        <v>0</v>
      </c>
      <c r="U478" s="828">
        <f t="shared" si="902"/>
        <v>0</v>
      </c>
      <c r="V478" s="828">
        <f t="shared" si="902"/>
        <v>0</v>
      </c>
      <c r="W478" s="829">
        <f t="shared" si="902"/>
        <v>0</v>
      </c>
      <c r="X478" s="828">
        <f t="shared" si="902"/>
        <v>0</v>
      </c>
      <c r="Y478" s="828">
        <f t="shared" si="902"/>
        <v>0</v>
      </c>
      <c r="Z478" s="828">
        <f t="shared" si="902"/>
        <v>0</v>
      </c>
      <c r="AA478" s="828">
        <f t="shared" si="902"/>
        <v>0</v>
      </c>
      <c r="AB478" s="829">
        <f t="shared" si="902"/>
        <v>0</v>
      </c>
      <c r="AC478" s="828">
        <f t="shared" si="902"/>
        <v>0</v>
      </c>
      <c r="AD478" s="828">
        <f t="shared" si="902"/>
        <v>0</v>
      </c>
      <c r="AE478" s="828">
        <f t="shared" si="902"/>
        <v>0</v>
      </c>
      <c r="AF478" s="828">
        <f t="shared" si="902"/>
        <v>0</v>
      </c>
      <c r="AG478" s="1252">
        <f t="shared" si="902"/>
        <v>0</v>
      </c>
      <c r="AU478" s="1262"/>
      <c r="BW478" s="1253"/>
      <c r="BX478" s="1253"/>
      <c r="BY478" s="1253"/>
      <c r="BZ478" s="1253"/>
      <c r="CA478" s="1253"/>
      <c r="CB478" s="1253"/>
      <c r="CC478" s="1253"/>
      <c r="CD478" s="1253"/>
      <c r="CE478" s="1253"/>
      <c r="CF478" s="1253"/>
      <c r="CG478" s="1253"/>
      <c r="CH478" s="1253"/>
      <c r="CI478" s="1253"/>
      <c r="CJ478" s="1253"/>
      <c r="CK478" s="1253"/>
      <c r="CL478" s="1253"/>
      <c r="CM478" s="1253"/>
      <c r="CN478" s="1253"/>
      <c r="CO478" s="1253"/>
      <c r="CP478" s="1253"/>
      <c r="CQ478" s="1253"/>
      <c r="CR478" s="1253"/>
      <c r="CS478" s="1253"/>
      <c r="CU478" s="113"/>
      <c r="DH478" s="113"/>
    </row>
    <row r="479" spans="1:112" s="1253" customFormat="1">
      <c r="H479" s="1254"/>
      <c r="I479" s="1255" t="s">
        <v>691</v>
      </c>
      <c r="J479" s="1256"/>
      <c r="K479" s="1257"/>
      <c r="L479" s="1257"/>
      <c r="M479" s="1258"/>
      <c r="N479" s="1257"/>
      <c r="O479" s="1259">
        <f>O476-O447</f>
        <v>0</v>
      </c>
      <c r="P479" s="1260">
        <f>P476-P447</f>
        <v>0</v>
      </c>
      <c r="Q479" s="1260">
        <f>Q476-Q447</f>
        <v>0</v>
      </c>
      <c r="R479" s="1260">
        <f>R476-R447</f>
        <v>0</v>
      </c>
      <c r="S479" s="1260">
        <f t="shared" ref="S479:AG479" si="903">S476-S447</f>
        <v>0</v>
      </c>
      <c r="T479" s="1260">
        <f t="shared" si="903"/>
        <v>0</v>
      </c>
      <c r="U479" s="1260">
        <f t="shared" si="903"/>
        <v>0</v>
      </c>
      <c r="V479" s="1260">
        <f t="shared" si="903"/>
        <v>0</v>
      </c>
      <c r="W479" s="1259">
        <f t="shared" si="903"/>
        <v>0</v>
      </c>
      <c r="X479" s="1260">
        <f t="shared" si="903"/>
        <v>0</v>
      </c>
      <c r="Y479" s="1260">
        <f t="shared" si="903"/>
        <v>0</v>
      </c>
      <c r="Z479" s="1260">
        <f t="shared" si="903"/>
        <v>0</v>
      </c>
      <c r="AA479" s="1260">
        <f t="shared" si="903"/>
        <v>0</v>
      </c>
      <c r="AB479" s="1259">
        <f t="shared" si="903"/>
        <v>0</v>
      </c>
      <c r="AC479" s="1260">
        <f t="shared" si="903"/>
        <v>0</v>
      </c>
      <c r="AD479" s="1260">
        <f t="shared" si="903"/>
        <v>0</v>
      </c>
      <c r="AE479" s="1260">
        <f t="shared" si="903"/>
        <v>0</v>
      </c>
      <c r="AF479" s="1260">
        <f t="shared" si="903"/>
        <v>0</v>
      </c>
      <c r="AG479" s="1261">
        <f t="shared" si="903"/>
        <v>0</v>
      </c>
      <c r="AU479" s="1248"/>
      <c r="AW479" s="70"/>
      <c r="BW479" s="104"/>
      <c r="BX479" s="104"/>
      <c r="BY479" s="104"/>
      <c r="BZ479" s="104"/>
      <c r="CA479" s="104"/>
      <c r="CB479" s="104"/>
      <c r="CC479" s="104"/>
      <c r="CD479" s="104"/>
      <c r="CE479" s="104"/>
      <c r="CF479" s="104"/>
      <c r="CG479" s="104"/>
      <c r="CH479" s="104"/>
      <c r="CI479" s="104"/>
      <c r="CJ479" s="104"/>
      <c r="CK479" s="104"/>
      <c r="CL479" s="104"/>
      <c r="CM479" s="104"/>
      <c r="CN479" s="104"/>
      <c r="CO479" s="104"/>
      <c r="CP479" s="104"/>
      <c r="CQ479" s="104"/>
      <c r="CR479" s="104"/>
      <c r="CS479" s="104"/>
      <c r="CU479" s="1446"/>
      <c r="DH479" s="1446"/>
    </row>
    <row r="480" spans="1:112" s="104" customFormat="1">
      <c r="H480" s="1242"/>
      <c r="I480" s="1263" t="str">
        <f>I448</f>
        <v>Trade Waste</v>
      </c>
      <c r="J480" s="1264"/>
      <c r="K480" s="1245"/>
      <c r="L480" s="1245"/>
      <c r="M480" s="1246"/>
      <c r="N480" s="1245"/>
      <c r="O480" s="1246">
        <f>SUM(O481:O482)</f>
        <v>6.523366517522148</v>
      </c>
      <c r="P480" s="1245">
        <f>SUM(P481:P482)</f>
        <v>5.4509385119071094</v>
      </c>
      <c r="Q480" s="1245">
        <f>SUM(Q481:Q482)</f>
        <v>5.4692395655190964</v>
      </c>
      <c r="R480" s="1245">
        <f t="shared" ref="R480:AG480" si="904">SUM(R481:R482)</f>
        <v>5.6892122321887584</v>
      </c>
      <c r="S480" s="1245">
        <f t="shared" si="904"/>
        <v>6.1116839155023168</v>
      </c>
      <c r="T480" s="1245">
        <f t="shared" si="904"/>
        <v>6.9893790039623829</v>
      </c>
      <c r="U480" s="1245">
        <f t="shared" si="904"/>
        <v>6.215067185163706</v>
      </c>
      <c r="V480" s="1245">
        <f t="shared" si="904"/>
        <v>5.8437637661469504</v>
      </c>
      <c r="W480" s="1246">
        <f t="shared" si="904"/>
        <v>5.6765635076631327</v>
      </c>
      <c r="X480" s="1245">
        <f t="shared" si="904"/>
        <v>7.0788222815155777</v>
      </c>
      <c r="Y480" s="1245">
        <f t="shared" si="904"/>
        <v>7.4594466327453715</v>
      </c>
      <c r="Z480" s="1245">
        <f t="shared" si="904"/>
        <v>7.8607146960603949</v>
      </c>
      <c r="AA480" s="1245">
        <f t="shared" si="904"/>
        <v>8.2837588780147584</v>
      </c>
      <c r="AB480" s="1246">
        <f t="shared" si="904"/>
        <v>8.7297746118949675</v>
      </c>
      <c r="AC480" s="1245">
        <f t="shared" si="904"/>
        <v>8.8809732184956545</v>
      </c>
      <c r="AD480" s="1245">
        <f t="shared" si="904"/>
        <v>9.035009489571225</v>
      </c>
      <c r="AE480" s="1245">
        <f t="shared" si="904"/>
        <v>9.1919440271927382</v>
      </c>
      <c r="AF480" s="1245">
        <f t="shared" si="904"/>
        <v>9.3518389551080254</v>
      </c>
      <c r="AG480" s="1247">
        <f t="shared" si="904"/>
        <v>9.5147579631387629</v>
      </c>
      <c r="AU480" s="1239"/>
      <c r="AW480" s="70"/>
      <c r="BW480" s="70"/>
      <c r="BX480" s="70"/>
      <c r="BY480" s="70"/>
      <c r="BZ480" s="70"/>
      <c r="CA480" s="70"/>
      <c r="CB480" s="70"/>
      <c r="CC480" s="70"/>
      <c r="CD480" s="70"/>
      <c r="CE480" s="70"/>
      <c r="CF480" s="70"/>
      <c r="CG480" s="70"/>
      <c r="CH480" s="70"/>
      <c r="CI480" s="70"/>
      <c r="CJ480" s="70"/>
      <c r="CK480" s="70"/>
      <c r="CL480" s="70"/>
      <c r="CM480" s="70"/>
      <c r="CN480" s="70"/>
      <c r="CO480" s="70"/>
      <c r="CP480" s="70"/>
      <c r="CQ480" s="70"/>
      <c r="CR480" s="70"/>
      <c r="CS480" s="70"/>
      <c r="CU480" s="628"/>
      <c r="DH480" s="628"/>
    </row>
    <row r="481" spans="8:112">
      <c r="H481" s="1051"/>
      <c r="I481" s="1250" t="str">
        <f>I477</f>
        <v>Fixed</v>
      </c>
      <c r="J481" s="1251"/>
      <c r="K481" s="828"/>
      <c r="L481" s="828"/>
      <c r="M481" s="829"/>
      <c r="N481" s="828"/>
      <c r="O481" s="829">
        <f t="shared" ref="O481:Q482" si="905">+SUMIFS(O$66:O$442,$E$66:$E$442,$E$68,$F$66:$F$442,$I$480,$I$66:$I$442,$I481)</f>
        <v>0.29191147923566096</v>
      </c>
      <c r="P481" s="828">
        <f t="shared" si="905"/>
        <v>0.31277571484729488</v>
      </c>
      <c r="Q481" s="828">
        <f t="shared" si="905"/>
        <v>0.32179665011185066</v>
      </c>
      <c r="R481" s="828">
        <f>+SUMIFS(R$66:R$442,$E$66:$E$442,$E$68,$F$66:$F$442,$I$480,$I$66:$I$442,$I481)</f>
        <v>0.33354203175726671</v>
      </c>
      <c r="S481" s="828">
        <f t="shared" ref="R481:AG482" si="906">+SUMIFS(S$66:S$442,$E$66:$E$442,$E$68,$F$66:$F$442,$I$480,$I$66:$I$442,$I481)</f>
        <v>0.34804599971968914</v>
      </c>
      <c r="T481" s="828">
        <f t="shared" si="906"/>
        <v>0.35438515542372873</v>
      </c>
      <c r="U481" s="828">
        <f t="shared" si="906"/>
        <v>0.37258290572398189</v>
      </c>
      <c r="V481" s="828">
        <f t="shared" si="906"/>
        <v>0.38811381259825323</v>
      </c>
      <c r="W481" s="829">
        <f t="shared" si="906"/>
        <v>0.3976498356</v>
      </c>
      <c r="X481" s="828">
        <f t="shared" si="906"/>
        <v>0.42689698100838003</v>
      </c>
      <c r="Y481" s="828">
        <f t="shared" si="906"/>
        <v>0.45829525396154636</v>
      </c>
      <c r="Z481" s="828">
        <f t="shared" si="906"/>
        <v>0.49200286989041819</v>
      </c>
      <c r="AA481" s="828">
        <f t="shared" si="906"/>
        <v>0.52818968097085839</v>
      </c>
      <c r="AB481" s="829">
        <f t="shared" si="906"/>
        <v>0.56703803200626512</v>
      </c>
      <c r="AC481" s="828">
        <f t="shared" si="906"/>
        <v>0.58763285332873261</v>
      </c>
      <c r="AD481" s="828">
        <f t="shared" si="906"/>
        <v>0.60897567856163226</v>
      </c>
      <c r="AE481" s="828">
        <f t="shared" si="906"/>
        <v>0.63109367520699067</v>
      </c>
      <c r="AF481" s="828">
        <f t="shared" si="906"/>
        <v>0.65401499749050851</v>
      </c>
      <c r="AG481" s="1252">
        <f>+SUMIFS(AG$66:AG$442,$E$66:$E$442,$E$68,$F$66:$F$442,$I$480,$I$66:$I$442,$I481)</f>
        <v>0.67776882219936385</v>
      </c>
      <c r="CU481" s="113"/>
      <c r="DH481" s="113"/>
    </row>
    <row r="482" spans="8:112">
      <c r="H482" s="1051"/>
      <c r="I482" s="1250" t="str">
        <f>I478</f>
        <v>Variable</v>
      </c>
      <c r="J482" s="1251"/>
      <c r="K482" s="828"/>
      <c r="L482" s="828"/>
      <c r="M482" s="829"/>
      <c r="N482" s="828"/>
      <c r="O482" s="829">
        <f t="shared" si="905"/>
        <v>6.2314550382864873</v>
      </c>
      <c r="P482" s="828">
        <f t="shared" si="905"/>
        <v>5.1381627970598149</v>
      </c>
      <c r="Q482" s="828">
        <f t="shared" si="905"/>
        <v>5.1474429154072459</v>
      </c>
      <c r="R482" s="828">
        <f t="shared" si="906"/>
        <v>5.3556702004314918</v>
      </c>
      <c r="S482" s="828">
        <f t="shared" si="906"/>
        <v>5.7636379157826276</v>
      </c>
      <c r="T482" s="828">
        <f t="shared" si="906"/>
        <v>6.6349938485386541</v>
      </c>
      <c r="U482" s="828">
        <f t="shared" si="906"/>
        <v>5.8424842794397245</v>
      </c>
      <c r="V482" s="828">
        <f t="shared" si="906"/>
        <v>5.4556499535486971</v>
      </c>
      <c r="W482" s="829">
        <f t="shared" si="906"/>
        <v>5.2789136720631324</v>
      </c>
      <c r="X482" s="828">
        <f t="shared" si="906"/>
        <v>6.6519253005071972</v>
      </c>
      <c r="Y482" s="828">
        <f t="shared" si="906"/>
        <v>7.0011513787838249</v>
      </c>
      <c r="Z482" s="828">
        <f t="shared" si="906"/>
        <v>7.3687118261699762</v>
      </c>
      <c r="AA482" s="828">
        <f t="shared" si="906"/>
        <v>7.7555691970438998</v>
      </c>
      <c r="AB482" s="829">
        <f t="shared" si="906"/>
        <v>8.162736579888703</v>
      </c>
      <c r="AC482" s="828">
        <f t="shared" si="906"/>
        <v>8.2933403651669213</v>
      </c>
      <c r="AD482" s="828">
        <f t="shared" si="906"/>
        <v>8.4260338110095923</v>
      </c>
      <c r="AE482" s="828">
        <f t="shared" si="906"/>
        <v>8.5608503519857475</v>
      </c>
      <c r="AF482" s="828">
        <f t="shared" si="906"/>
        <v>8.6978239576175174</v>
      </c>
      <c r="AG482" s="1252">
        <f t="shared" si="906"/>
        <v>8.8369891409393997</v>
      </c>
      <c r="CU482" s="113"/>
      <c r="DH482" s="113"/>
    </row>
    <row r="483" spans="8:112" s="1253" customFormat="1">
      <c r="H483" s="1254"/>
      <c r="I483" s="1255" t="s">
        <v>691</v>
      </c>
      <c r="J483" s="1256"/>
      <c r="K483" s="1257"/>
      <c r="L483" s="1257"/>
      <c r="M483" s="1258"/>
      <c r="N483" s="1257"/>
      <c r="O483" s="1259">
        <f>O480-O448</f>
        <v>0</v>
      </c>
      <c r="P483" s="1260">
        <f>P480-P448</f>
        <v>0</v>
      </c>
      <c r="Q483" s="1260">
        <f>Q480-Q448</f>
        <v>0</v>
      </c>
      <c r="R483" s="1260">
        <f>R480-R448</f>
        <v>0</v>
      </c>
      <c r="S483" s="1260">
        <f t="shared" ref="S483:AG483" si="907">S480-S448</f>
        <v>0</v>
      </c>
      <c r="T483" s="1260">
        <f t="shared" si="907"/>
        <v>0</v>
      </c>
      <c r="U483" s="1260">
        <f t="shared" si="907"/>
        <v>0</v>
      </c>
      <c r="V483" s="1260">
        <f t="shared" si="907"/>
        <v>0</v>
      </c>
      <c r="W483" s="1259">
        <f t="shared" si="907"/>
        <v>0</v>
      </c>
      <c r="X483" s="1260">
        <f t="shared" si="907"/>
        <v>0</v>
      </c>
      <c r="Y483" s="1260">
        <f t="shared" si="907"/>
        <v>0</v>
      </c>
      <c r="Z483" s="1260">
        <f t="shared" si="907"/>
        <v>0</v>
      </c>
      <c r="AA483" s="1260">
        <f t="shared" si="907"/>
        <v>0</v>
      </c>
      <c r="AB483" s="1259">
        <f t="shared" si="907"/>
        <v>0</v>
      </c>
      <c r="AC483" s="1260">
        <f t="shared" si="907"/>
        <v>0</v>
      </c>
      <c r="AD483" s="1260">
        <f t="shared" si="907"/>
        <v>0</v>
      </c>
      <c r="AE483" s="1260">
        <f t="shared" si="907"/>
        <v>0</v>
      </c>
      <c r="AF483" s="1260">
        <f t="shared" si="907"/>
        <v>0</v>
      </c>
      <c r="AG483" s="1261">
        <f t="shared" si="907"/>
        <v>0</v>
      </c>
      <c r="AU483" s="1239"/>
      <c r="AW483" s="70"/>
      <c r="BW483" s="70"/>
      <c r="BX483" s="70"/>
      <c r="BY483" s="70"/>
      <c r="BZ483" s="70"/>
      <c r="CA483" s="70"/>
      <c r="CB483" s="70"/>
      <c r="CC483" s="70"/>
      <c r="CD483" s="70"/>
      <c r="CE483" s="70"/>
      <c r="CF483" s="70"/>
      <c r="CG483" s="70"/>
      <c r="CH483" s="70"/>
      <c r="CI483" s="70"/>
      <c r="CJ483" s="70"/>
      <c r="CK483" s="70"/>
      <c r="CL483" s="70"/>
      <c r="CM483" s="70"/>
      <c r="CN483" s="70"/>
      <c r="CO483" s="70"/>
      <c r="CP483" s="70"/>
      <c r="CQ483" s="70"/>
      <c r="CR483" s="70"/>
      <c r="CS483" s="70"/>
      <c r="CU483" s="1446"/>
      <c r="DH483" s="1446"/>
    </row>
    <row r="484" spans="8:112" s="104" customFormat="1">
      <c r="H484" s="1242"/>
      <c r="I484" s="1263" t="str">
        <f>I449</f>
        <v>Rural Water</v>
      </c>
      <c r="J484" s="1264"/>
      <c r="K484" s="1245"/>
      <c r="L484" s="1245"/>
      <c r="M484" s="1246"/>
      <c r="N484" s="1245"/>
      <c r="O484" s="1246">
        <f>SUM(O485:O486)</f>
        <v>0</v>
      </c>
      <c r="P484" s="1245">
        <f>SUM(P485:P486)</f>
        <v>0</v>
      </c>
      <c r="Q484" s="1245">
        <f>SUM(Q485:Q486)</f>
        <v>0</v>
      </c>
      <c r="R484" s="1245">
        <f t="shared" ref="R484:AG484" si="908">SUM(R485:R486)</f>
        <v>0</v>
      </c>
      <c r="S484" s="1245">
        <f t="shared" si="908"/>
        <v>0</v>
      </c>
      <c r="T484" s="1245">
        <f t="shared" si="908"/>
        <v>0</v>
      </c>
      <c r="U484" s="1245">
        <f t="shared" si="908"/>
        <v>0</v>
      </c>
      <c r="V484" s="1245">
        <f t="shared" si="908"/>
        <v>0</v>
      </c>
      <c r="W484" s="1246">
        <f t="shared" si="908"/>
        <v>0</v>
      </c>
      <c r="X484" s="1245">
        <f t="shared" si="908"/>
        <v>0</v>
      </c>
      <c r="Y484" s="1245">
        <f t="shared" si="908"/>
        <v>0</v>
      </c>
      <c r="Z484" s="1245">
        <f t="shared" si="908"/>
        <v>0</v>
      </c>
      <c r="AA484" s="1245">
        <f t="shared" si="908"/>
        <v>0</v>
      </c>
      <c r="AB484" s="1246">
        <f t="shared" si="908"/>
        <v>0</v>
      </c>
      <c r="AC484" s="1245">
        <f t="shared" si="908"/>
        <v>0</v>
      </c>
      <c r="AD484" s="1245">
        <f t="shared" si="908"/>
        <v>0</v>
      </c>
      <c r="AE484" s="1245">
        <f t="shared" si="908"/>
        <v>0</v>
      </c>
      <c r="AF484" s="1245">
        <f t="shared" si="908"/>
        <v>0</v>
      </c>
      <c r="AG484" s="1247">
        <f t="shared" si="908"/>
        <v>0</v>
      </c>
      <c r="AU484" s="1262"/>
      <c r="AW484" s="70"/>
      <c r="BW484" s="1253"/>
      <c r="BX484" s="1253"/>
      <c r="BY484" s="1253"/>
      <c r="BZ484" s="1253"/>
      <c r="CA484" s="1253"/>
      <c r="CB484" s="1253"/>
      <c r="CC484" s="1253"/>
      <c r="CD484" s="1253"/>
      <c r="CE484" s="1253"/>
      <c r="CF484" s="1253"/>
      <c r="CG484" s="1253"/>
      <c r="CH484" s="1253"/>
      <c r="CI484" s="1253"/>
      <c r="CJ484" s="1253"/>
      <c r="CK484" s="1253"/>
      <c r="CL484" s="1253"/>
      <c r="CM484" s="1253"/>
      <c r="CN484" s="1253"/>
      <c r="CO484" s="1253"/>
      <c r="CP484" s="1253"/>
      <c r="CQ484" s="1253"/>
      <c r="CR484" s="1253"/>
      <c r="CS484" s="1253"/>
      <c r="CU484" s="628"/>
      <c r="DH484" s="628"/>
    </row>
    <row r="485" spans="8:112">
      <c r="H485" s="1051"/>
      <c r="I485" s="1250" t="str">
        <f>I481</f>
        <v>Fixed</v>
      </c>
      <c r="J485" s="1251"/>
      <c r="K485" s="828"/>
      <c r="L485" s="828"/>
      <c r="M485" s="829"/>
      <c r="N485" s="828"/>
      <c r="O485" s="829">
        <f t="shared" ref="O485:Q486" si="909">+SUMIFS(O$66:O$442,$E$66:$E$442,$E$68,$F$66:$F$442,$I$484,$I$66:$I$442,$I485)</f>
        <v>0</v>
      </c>
      <c r="P485" s="828">
        <f t="shared" si="909"/>
        <v>0</v>
      </c>
      <c r="Q485" s="828">
        <f t="shared" si="909"/>
        <v>0</v>
      </c>
      <c r="R485" s="828">
        <f t="shared" ref="R485:AG486" si="910">+SUMIFS(R$66:R$442,$E$66:$E$442,$E$68,$F$66:$F$442,$I$484,$I$66:$I$442,$I485)</f>
        <v>0</v>
      </c>
      <c r="S485" s="828">
        <f t="shared" si="910"/>
        <v>0</v>
      </c>
      <c r="T485" s="828">
        <f t="shared" si="910"/>
        <v>0</v>
      </c>
      <c r="U485" s="828">
        <f t="shared" si="910"/>
        <v>0</v>
      </c>
      <c r="V485" s="828">
        <f t="shared" si="910"/>
        <v>0</v>
      </c>
      <c r="W485" s="829">
        <f t="shared" si="910"/>
        <v>0</v>
      </c>
      <c r="X485" s="828">
        <f t="shared" si="910"/>
        <v>0</v>
      </c>
      <c r="Y485" s="828">
        <f t="shared" si="910"/>
        <v>0</v>
      </c>
      <c r="Z485" s="828">
        <f t="shared" si="910"/>
        <v>0</v>
      </c>
      <c r="AA485" s="828">
        <f t="shared" si="910"/>
        <v>0</v>
      </c>
      <c r="AB485" s="829">
        <f t="shared" si="910"/>
        <v>0</v>
      </c>
      <c r="AC485" s="828">
        <f t="shared" si="910"/>
        <v>0</v>
      </c>
      <c r="AD485" s="828">
        <f t="shared" si="910"/>
        <v>0</v>
      </c>
      <c r="AE485" s="828">
        <f t="shared" si="910"/>
        <v>0</v>
      </c>
      <c r="AF485" s="828">
        <f t="shared" si="910"/>
        <v>0</v>
      </c>
      <c r="AG485" s="1252">
        <f>+SUMIFS(AG$66:AG$442,$E$66:$E$442,$E$68,$F$66:$F$442,$I$484,$I$66:$I$442,$I485)</f>
        <v>0</v>
      </c>
      <c r="AU485" s="1248"/>
      <c r="BW485" s="104"/>
      <c r="BX485" s="104"/>
      <c r="BY485" s="104"/>
      <c r="BZ485" s="104"/>
      <c r="CA485" s="104"/>
      <c r="CB485" s="104"/>
      <c r="CC485" s="104"/>
      <c r="CD485" s="104"/>
      <c r="CE485" s="104"/>
      <c r="CF485" s="104"/>
      <c r="CG485" s="104"/>
      <c r="CH485" s="104"/>
      <c r="CI485" s="104"/>
      <c r="CJ485" s="104"/>
      <c r="CK485" s="104"/>
      <c r="CL485" s="104"/>
      <c r="CM485" s="104"/>
      <c r="CN485" s="104"/>
      <c r="CO485" s="104"/>
      <c r="CP485" s="104"/>
      <c r="CQ485" s="104"/>
      <c r="CR485" s="104"/>
      <c r="CS485" s="104"/>
      <c r="CU485" s="113"/>
      <c r="DH485" s="113"/>
    </row>
    <row r="486" spans="8:112">
      <c r="H486" s="1051"/>
      <c r="I486" s="1250" t="str">
        <f>I482</f>
        <v>Variable</v>
      </c>
      <c r="J486" s="1251"/>
      <c r="K486" s="828"/>
      <c r="L486" s="828"/>
      <c r="M486" s="829"/>
      <c r="N486" s="828"/>
      <c r="O486" s="829">
        <f t="shared" si="909"/>
        <v>0</v>
      </c>
      <c r="P486" s="828">
        <f t="shared" si="909"/>
        <v>0</v>
      </c>
      <c r="Q486" s="828">
        <f t="shared" si="909"/>
        <v>0</v>
      </c>
      <c r="R486" s="828">
        <f t="shared" si="910"/>
        <v>0</v>
      </c>
      <c r="S486" s="828">
        <f t="shared" si="910"/>
        <v>0</v>
      </c>
      <c r="T486" s="828">
        <f t="shared" si="910"/>
        <v>0</v>
      </c>
      <c r="U486" s="828">
        <f t="shared" si="910"/>
        <v>0</v>
      </c>
      <c r="V486" s="828">
        <f t="shared" si="910"/>
        <v>0</v>
      </c>
      <c r="W486" s="829">
        <f t="shared" si="910"/>
        <v>0</v>
      </c>
      <c r="X486" s="828">
        <f t="shared" si="910"/>
        <v>0</v>
      </c>
      <c r="Y486" s="828">
        <f t="shared" si="910"/>
        <v>0</v>
      </c>
      <c r="Z486" s="828">
        <f t="shared" si="910"/>
        <v>0</v>
      </c>
      <c r="AA486" s="828">
        <f t="shared" si="910"/>
        <v>0</v>
      </c>
      <c r="AB486" s="829">
        <f t="shared" si="910"/>
        <v>0</v>
      </c>
      <c r="AC486" s="828">
        <f t="shared" si="910"/>
        <v>0</v>
      </c>
      <c r="AD486" s="828">
        <f t="shared" si="910"/>
        <v>0</v>
      </c>
      <c r="AE486" s="828">
        <f t="shared" si="910"/>
        <v>0</v>
      </c>
      <c r="AF486" s="828">
        <f t="shared" si="910"/>
        <v>0</v>
      </c>
      <c r="AG486" s="1252">
        <f t="shared" si="910"/>
        <v>0</v>
      </c>
      <c r="CU486" s="113"/>
      <c r="DH486" s="113"/>
    </row>
    <row r="487" spans="8:112" s="1253" customFormat="1">
      <c r="H487" s="1254"/>
      <c r="I487" s="1255" t="s">
        <v>691</v>
      </c>
      <c r="J487" s="1256"/>
      <c r="K487" s="1257"/>
      <c r="L487" s="1257"/>
      <c r="M487" s="1258"/>
      <c r="N487" s="1257"/>
      <c r="O487" s="1258"/>
      <c r="P487" s="1257"/>
      <c r="Q487" s="1257"/>
      <c r="R487" s="1260">
        <f>R484-R449</f>
        <v>0</v>
      </c>
      <c r="S487" s="1260">
        <f t="shared" ref="S487:AG487" si="911">S484-S449</f>
        <v>0</v>
      </c>
      <c r="T487" s="1260">
        <f t="shared" si="911"/>
        <v>0</v>
      </c>
      <c r="U487" s="1260">
        <f t="shared" si="911"/>
        <v>0</v>
      </c>
      <c r="V487" s="1260">
        <f t="shared" si="911"/>
        <v>0</v>
      </c>
      <c r="W487" s="1259">
        <f t="shared" si="911"/>
        <v>0</v>
      </c>
      <c r="X487" s="1260">
        <f t="shared" si="911"/>
        <v>0</v>
      </c>
      <c r="Y487" s="1260">
        <f t="shared" si="911"/>
        <v>0</v>
      </c>
      <c r="Z487" s="1260">
        <f t="shared" si="911"/>
        <v>0</v>
      </c>
      <c r="AA487" s="1260">
        <f t="shared" si="911"/>
        <v>0</v>
      </c>
      <c r="AB487" s="1259">
        <f t="shared" si="911"/>
        <v>0</v>
      </c>
      <c r="AC487" s="1260">
        <f t="shared" si="911"/>
        <v>0</v>
      </c>
      <c r="AD487" s="1260">
        <f t="shared" si="911"/>
        <v>0</v>
      </c>
      <c r="AE487" s="1260">
        <f t="shared" si="911"/>
        <v>0</v>
      </c>
      <c r="AF487" s="1260">
        <f t="shared" si="911"/>
        <v>0</v>
      </c>
      <c r="AG487" s="1261">
        <f t="shared" si="911"/>
        <v>0</v>
      </c>
      <c r="AU487" s="1239"/>
      <c r="AW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U487" s="1446"/>
      <c r="DH487" s="1446"/>
    </row>
    <row r="488" spans="8:112" s="104" customFormat="1">
      <c r="H488" s="1242"/>
      <c r="I488" s="1263" t="str">
        <f>I450</f>
        <v>Bulk Water</v>
      </c>
      <c r="J488" s="1264"/>
      <c r="K488" s="1245">
        <f t="shared" ref="K488:Q488" si="912">+SUMIFS(K$69:K$444,$E$69:$E$444,$E$71,$I$69:$I$444,$I488)</f>
        <v>0</v>
      </c>
      <c r="L488" s="1245">
        <f t="shared" si="912"/>
        <v>0</v>
      </c>
      <c r="M488" s="1246">
        <f t="shared" si="912"/>
        <v>0</v>
      </c>
      <c r="N488" s="1245">
        <f t="shared" si="912"/>
        <v>0</v>
      </c>
      <c r="O488" s="1246">
        <f t="shared" si="912"/>
        <v>0</v>
      </c>
      <c r="P488" s="1245">
        <f t="shared" si="912"/>
        <v>0</v>
      </c>
      <c r="Q488" s="1245">
        <f t="shared" si="912"/>
        <v>0</v>
      </c>
      <c r="R488" s="1245">
        <f t="shared" ref="R488:AG488" si="913">SUM(R489:R490)</f>
        <v>0</v>
      </c>
      <c r="S488" s="1245">
        <f t="shared" si="913"/>
        <v>0</v>
      </c>
      <c r="T488" s="1245">
        <f t="shared" si="913"/>
        <v>0</v>
      </c>
      <c r="U488" s="1245">
        <f t="shared" si="913"/>
        <v>0</v>
      </c>
      <c r="V488" s="1245">
        <f t="shared" si="913"/>
        <v>0</v>
      </c>
      <c r="W488" s="1246">
        <f t="shared" si="913"/>
        <v>0</v>
      </c>
      <c r="X488" s="1245">
        <f t="shared" si="913"/>
        <v>0</v>
      </c>
      <c r="Y488" s="1245">
        <f t="shared" si="913"/>
        <v>0</v>
      </c>
      <c r="Z488" s="1245">
        <f t="shared" si="913"/>
        <v>0</v>
      </c>
      <c r="AA488" s="1245">
        <f t="shared" si="913"/>
        <v>0</v>
      </c>
      <c r="AB488" s="1246">
        <f t="shared" si="913"/>
        <v>0</v>
      </c>
      <c r="AC488" s="1245">
        <f t="shared" si="913"/>
        <v>0</v>
      </c>
      <c r="AD488" s="1245">
        <f t="shared" si="913"/>
        <v>0</v>
      </c>
      <c r="AE488" s="1245">
        <f t="shared" si="913"/>
        <v>0</v>
      </c>
      <c r="AF488" s="1245">
        <f t="shared" si="913"/>
        <v>0</v>
      </c>
      <c r="AG488" s="1247">
        <f t="shared" si="913"/>
        <v>0</v>
      </c>
      <c r="AU488" s="1239"/>
      <c r="AW488" s="70"/>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U488" s="628"/>
      <c r="DH488" s="628"/>
    </row>
    <row r="489" spans="8:112">
      <c r="H489" s="1051"/>
      <c r="I489" s="1250" t="str">
        <f>I485</f>
        <v>Fixed</v>
      </c>
      <c r="J489" s="1251"/>
      <c r="K489" s="828"/>
      <c r="L489" s="828"/>
      <c r="M489" s="829"/>
      <c r="N489" s="828"/>
      <c r="O489" s="829">
        <f t="shared" ref="O489:Q490" si="914">+SUMIFS(O$66:O$442,$E$66:$E$442,$E$68,$F$66:$F$442,$I$488,$I$66:$I$442,$I489)</f>
        <v>0</v>
      </c>
      <c r="P489" s="828">
        <f t="shared" si="914"/>
        <v>0</v>
      </c>
      <c r="Q489" s="828">
        <f t="shared" si="914"/>
        <v>0</v>
      </c>
      <c r="R489" s="828">
        <f t="shared" ref="R489:AG490" si="915">+SUMIFS(R$66:R$442,$E$66:$E$442,$E$68,$F$66:$F$442,$I$488,$I$66:$I$442,$I489)</f>
        <v>0</v>
      </c>
      <c r="S489" s="828">
        <f t="shared" si="915"/>
        <v>0</v>
      </c>
      <c r="T489" s="828">
        <f t="shared" si="915"/>
        <v>0</v>
      </c>
      <c r="U489" s="828">
        <f t="shared" si="915"/>
        <v>0</v>
      </c>
      <c r="V489" s="828">
        <f t="shared" si="915"/>
        <v>0</v>
      </c>
      <c r="W489" s="829">
        <f t="shared" si="915"/>
        <v>0</v>
      </c>
      <c r="X489" s="828">
        <f t="shared" si="915"/>
        <v>0</v>
      </c>
      <c r="Y489" s="828">
        <f t="shared" si="915"/>
        <v>0</v>
      </c>
      <c r="Z489" s="828">
        <f t="shared" si="915"/>
        <v>0</v>
      </c>
      <c r="AA489" s="828">
        <f t="shared" si="915"/>
        <v>0</v>
      </c>
      <c r="AB489" s="829">
        <f t="shared" si="915"/>
        <v>0</v>
      </c>
      <c r="AC489" s="828">
        <f t="shared" si="915"/>
        <v>0</v>
      </c>
      <c r="AD489" s="828">
        <f t="shared" si="915"/>
        <v>0</v>
      </c>
      <c r="AE489" s="828">
        <f t="shared" si="915"/>
        <v>0</v>
      </c>
      <c r="AF489" s="828">
        <f t="shared" si="915"/>
        <v>0</v>
      </c>
      <c r="AG489" s="1252">
        <f>+SUMIFS(AG$66:AG$442,$E$66:$E$442,$E$68,$F$66:$F$442,$I$488,$I$66:$I$442,$I489)</f>
        <v>0</v>
      </c>
      <c r="CU489" s="113"/>
      <c r="DH489" s="113"/>
    </row>
    <row r="490" spans="8:112">
      <c r="H490" s="1051"/>
      <c r="I490" s="1250" t="str">
        <f>I486</f>
        <v>Variable</v>
      </c>
      <c r="J490" s="1251"/>
      <c r="K490" s="828"/>
      <c r="L490" s="828"/>
      <c r="M490" s="829"/>
      <c r="N490" s="828"/>
      <c r="O490" s="829">
        <f t="shared" si="914"/>
        <v>0</v>
      </c>
      <c r="P490" s="828">
        <f t="shared" si="914"/>
        <v>0</v>
      </c>
      <c r="Q490" s="828">
        <f t="shared" si="914"/>
        <v>0</v>
      </c>
      <c r="R490" s="828">
        <f t="shared" si="915"/>
        <v>0</v>
      </c>
      <c r="S490" s="828">
        <f t="shared" si="915"/>
        <v>0</v>
      </c>
      <c r="T490" s="828">
        <f t="shared" si="915"/>
        <v>0</v>
      </c>
      <c r="U490" s="828">
        <f t="shared" si="915"/>
        <v>0</v>
      </c>
      <c r="V490" s="828">
        <f t="shared" si="915"/>
        <v>0</v>
      </c>
      <c r="W490" s="829">
        <f t="shared" si="915"/>
        <v>0</v>
      </c>
      <c r="X490" s="828">
        <f t="shared" si="915"/>
        <v>0</v>
      </c>
      <c r="Y490" s="828">
        <f t="shared" si="915"/>
        <v>0</v>
      </c>
      <c r="Z490" s="828">
        <f t="shared" si="915"/>
        <v>0</v>
      </c>
      <c r="AA490" s="828">
        <f t="shared" si="915"/>
        <v>0</v>
      </c>
      <c r="AB490" s="829">
        <f t="shared" si="915"/>
        <v>0</v>
      </c>
      <c r="AC490" s="828">
        <f t="shared" si="915"/>
        <v>0</v>
      </c>
      <c r="AD490" s="828">
        <f t="shared" si="915"/>
        <v>0</v>
      </c>
      <c r="AE490" s="828">
        <f t="shared" si="915"/>
        <v>0</v>
      </c>
      <c r="AF490" s="828">
        <f t="shared" si="915"/>
        <v>0</v>
      </c>
      <c r="AG490" s="1252">
        <f t="shared" si="915"/>
        <v>0</v>
      </c>
      <c r="AU490" s="1262"/>
      <c r="BW490" s="1253"/>
      <c r="BX490" s="1253"/>
      <c r="BY490" s="1253"/>
      <c r="BZ490" s="1253"/>
      <c r="CA490" s="1253"/>
      <c r="CB490" s="1253"/>
      <c r="CC490" s="1253"/>
      <c r="CD490" s="1253"/>
      <c r="CE490" s="1253"/>
      <c r="CF490" s="1253"/>
      <c r="CG490" s="1253"/>
      <c r="CH490" s="1253"/>
      <c r="CI490" s="1253"/>
      <c r="CJ490" s="1253"/>
      <c r="CK490" s="1253"/>
      <c r="CL490" s="1253"/>
      <c r="CM490" s="1253"/>
      <c r="CN490" s="1253"/>
      <c r="CO490" s="1253"/>
      <c r="CP490" s="1253"/>
      <c r="CQ490" s="1253"/>
      <c r="CR490" s="1253"/>
      <c r="CS490" s="1253"/>
      <c r="CU490" s="113"/>
      <c r="DH490" s="113"/>
    </row>
    <row r="491" spans="8:112" s="1253" customFormat="1">
      <c r="H491" s="1254"/>
      <c r="I491" s="1265" t="s">
        <v>691</v>
      </c>
      <c r="J491" s="1266"/>
      <c r="K491" s="1267"/>
      <c r="L491" s="1267"/>
      <c r="M491" s="1268"/>
      <c r="N491" s="1267"/>
      <c r="O491" s="1269">
        <f>O488-O450</f>
        <v>0</v>
      </c>
      <c r="P491" s="1270">
        <f>P488-P450</f>
        <v>0</v>
      </c>
      <c r="Q491" s="1270">
        <f>Q488-Q450</f>
        <v>0</v>
      </c>
      <c r="R491" s="1270">
        <f>R488-R450</f>
        <v>0</v>
      </c>
      <c r="S491" s="1270">
        <f t="shared" ref="S491:AG491" si="916">S488-S450</f>
        <v>0</v>
      </c>
      <c r="T491" s="1270">
        <f t="shared" si="916"/>
        <v>0</v>
      </c>
      <c r="U491" s="1270">
        <f t="shared" si="916"/>
        <v>0</v>
      </c>
      <c r="V491" s="1270">
        <f t="shared" si="916"/>
        <v>0</v>
      </c>
      <c r="W491" s="1269">
        <f t="shared" si="916"/>
        <v>0</v>
      </c>
      <c r="X491" s="1270">
        <f t="shared" si="916"/>
        <v>0</v>
      </c>
      <c r="Y491" s="1270">
        <f t="shared" si="916"/>
        <v>0</v>
      </c>
      <c r="Z491" s="1270">
        <f t="shared" si="916"/>
        <v>0</v>
      </c>
      <c r="AA491" s="1270">
        <f t="shared" si="916"/>
        <v>0</v>
      </c>
      <c r="AB491" s="1269">
        <f t="shared" si="916"/>
        <v>0</v>
      </c>
      <c r="AC491" s="1270">
        <f t="shared" si="916"/>
        <v>0</v>
      </c>
      <c r="AD491" s="1270">
        <f t="shared" si="916"/>
        <v>0</v>
      </c>
      <c r="AE491" s="1270">
        <f t="shared" si="916"/>
        <v>0</v>
      </c>
      <c r="AF491" s="1270">
        <f t="shared" si="916"/>
        <v>0</v>
      </c>
      <c r="AG491" s="1271">
        <f t="shared" si="916"/>
        <v>0</v>
      </c>
      <c r="AU491" s="1248"/>
      <c r="AW491" s="70"/>
      <c r="BW491" s="104"/>
      <c r="BX491" s="104"/>
      <c r="BY491" s="104"/>
      <c r="BZ491" s="104"/>
      <c r="CA491" s="104"/>
      <c r="CB491" s="104"/>
      <c r="CC491" s="104"/>
      <c r="CD491" s="104"/>
      <c r="CE491" s="104"/>
      <c r="CF491" s="104"/>
      <c r="CG491" s="104"/>
      <c r="CH491" s="104"/>
      <c r="CI491" s="104"/>
      <c r="CJ491" s="104"/>
      <c r="CK491" s="104"/>
      <c r="CL491" s="104"/>
      <c r="CM491" s="104"/>
      <c r="CN491" s="104"/>
      <c r="CO491" s="104"/>
      <c r="CP491" s="104"/>
      <c r="CQ491" s="104"/>
      <c r="CR491" s="104"/>
      <c r="CS491" s="104"/>
      <c r="CU491" s="1446"/>
      <c r="DH491" s="1446"/>
    </row>
    <row r="492" spans="8:112" ht="12.75" thickBot="1">
      <c r="I492" s="1272" t="s">
        <v>690</v>
      </c>
      <c r="J492" s="1273"/>
      <c r="K492" s="1274">
        <f>SUM(K468:K488)</f>
        <v>0</v>
      </c>
      <c r="L492" s="1274">
        <f>SUM(L468:L488)</f>
        <v>0</v>
      </c>
      <c r="M492" s="1275">
        <f>SUM(M468:M488)</f>
        <v>0</v>
      </c>
      <c r="N492" s="1274">
        <f>SUM(N468:N488)</f>
        <v>0</v>
      </c>
      <c r="O492" s="1275">
        <f>SUM(O469:O470,O473:O474,O477:O478,O481:O482,O485:O486,O489:O490)</f>
        <v>75.40279267269662</v>
      </c>
      <c r="P492" s="1274">
        <f>SUM(P469:P470,P473:P474,P477:P478,P481:P482,P485:P486,P489:P490)</f>
        <v>77.359082551750447</v>
      </c>
      <c r="Q492" s="1274">
        <f>SUM(Q469:Q470,Q473:Q474,Q477:Q478,Q481:Q482,Q485:Q486,Q489:Q490)</f>
        <v>75.987760546563266</v>
      </c>
      <c r="R492" s="1274">
        <f>SUM(R469:R470,R473:R474,R477:R478,R481:R482,R485:R486,R489:R490)</f>
        <v>74.604022114889176</v>
      </c>
      <c r="S492" s="1274">
        <f t="shared" ref="S492:AG492" si="917">SUM(S469:S470,S473:S474,S477:S478,S481:S482,S485:S486,S489:S490)</f>
        <v>72.080425126094326</v>
      </c>
      <c r="T492" s="1274">
        <f t="shared" si="917"/>
        <v>74.637866036280315</v>
      </c>
      <c r="U492" s="1274">
        <f t="shared" si="917"/>
        <v>78.415661057170041</v>
      </c>
      <c r="V492" s="1274">
        <f t="shared" si="917"/>
        <v>82.145528468659293</v>
      </c>
      <c r="W492" s="1275">
        <f t="shared" si="917"/>
        <v>80.672915239904043</v>
      </c>
      <c r="X492" s="1274">
        <f t="shared" si="917"/>
        <v>86.782824508217743</v>
      </c>
      <c r="Y492" s="1274">
        <f t="shared" si="917"/>
        <v>92.324789709086062</v>
      </c>
      <c r="Z492" s="1274">
        <f t="shared" si="917"/>
        <v>98.224860298802454</v>
      </c>
      <c r="AA492" s="1274">
        <f t="shared" si="917"/>
        <v>104.52515403540804</v>
      </c>
      <c r="AB492" s="1275">
        <f t="shared" si="917"/>
        <v>111.2133614388581</v>
      </c>
      <c r="AC492" s="1274">
        <f t="shared" si="917"/>
        <v>114.29085613981567</v>
      </c>
      <c r="AD492" s="1274">
        <f t="shared" si="917"/>
        <v>117.48369430738829</v>
      </c>
      <c r="AE492" s="1274">
        <f t="shared" si="917"/>
        <v>120.75181540239467</v>
      </c>
      <c r="AF492" s="1274">
        <f t="shared" si="917"/>
        <v>124.17161725803273</v>
      </c>
      <c r="AG492" s="1276">
        <f t="shared" si="917"/>
        <v>127.64332468220847</v>
      </c>
      <c r="CU492" s="113"/>
      <c r="DH492" s="113"/>
    </row>
    <row r="493" spans="8:112" s="1253" customFormat="1">
      <c r="H493" s="1277"/>
      <c r="I493" s="1278" t="s">
        <v>691</v>
      </c>
      <c r="J493" s="1279"/>
      <c r="K493" s="1280"/>
      <c r="L493" s="1280"/>
      <c r="M493" s="1281"/>
      <c r="N493" s="1280"/>
      <c r="O493" s="1281"/>
      <c r="P493" s="1280"/>
      <c r="Q493" s="1280"/>
      <c r="R493" s="1283">
        <f>R492-R452</f>
        <v>0</v>
      </c>
      <c r="S493" s="1283">
        <f t="shared" ref="S493:AG493" si="918">S492-S452</f>
        <v>0</v>
      </c>
      <c r="T493" s="1283">
        <f t="shared" si="918"/>
        <v>0</v>
      </c>
      <c r="U493" s="1283">
        <f t="shared" si="918"/>
        <v>0</v>
      </c>
      <c r="V493" s="1283">
        <f t="shared" si="918"/>
        <v>0</v>
      </c>
      <c r="W493" s="1282">
        <f t="shared" si="918"/>
        <v>0</v>
      </c>
      <c r="X493" s="1283">
        <f t="shared" si="918"/>
        <v>0</v>
      </c>
      <c r="Y493" s="1283">
        <f t="shared" si="918"/>
        <v>0</v>
      </c>
      <c r="Z493" s="1283">
        <f t="shared" si="918"/>
        <v>0</v>
      </c>
      <c r="AA493" s="1283">
        <f t="shared" si="918"/>
        <v>0</v>
      </c>
      <c r="AB493" s="1282">
        <f t="shared" si="918"/>
        <v>0</v>
      </c>
      <c r="AC493" s="1283">
        <f t="shared" si="918"/>
        <v>0</v>
      </c>
      <c r="AD493" s="1283">
        <f t="shared" si="918"/>
        <v>0</v>
      </c>
      <c r="AE493" s="1283">
        <f t="shared" si="918"/>
        <v>0</v>
      </c>
      <c r="AF493" s="1283">
        <f t="shared" si="918"/>
        <v>0</v>
      </c>
      <c r="AG493" s="1284">
        <f t="shared" si="918"/>
        <v>0</v>
      </c>
      <c r="AU493" s="1239"/>
      <c r="AW493" s="70"/>
      <c r="BW493" s="70"/>
      <c r="BX493" s="70"/>
      <c r="BY493" s="70"/>
      <c r="BZ493" s="70"/>
      <c r="CA493" s="70"/>
      <c r="CB493" s="70"/>
      <c r="CC493" s="70"/>
      <c r="CD493" s="70"/>
      <c r="CE493" s="70"/>
      <c r="CF493" s="70"/>
      <c r="CG493" s="70"/>
      <c r="CH493" s="70"/>
      <c r="CI493" s="70"/>
      <c r="CJ493" s="70"/>
      <c r="CK493" s="70"/>
      <c r="CL493" s="70"/>
      <c r="CM493" s="70"/>
      <c r="CN493" s="70"/>
      <c r="CO493" s="70"/>
      <c r="CP493" s="70"/>
      <c r="CQ493" s="70"/>
      <c r="CR493" s="70"/>
      <c r="CS493" s="70"/>
      <c r="CU493" s="1446"/>
      <c r="DH493" s="1446"/>
    </row>
    <row r="494" spans="8:112" s="1253" customFormat="1">
      <c r="H494" s="1277"/>
      <c r="I494" s="1255"/>
      <c r="J494" s="1256"/>
      <c r="K494" s="1257"/>
      <c r="L494" s="1257"/>
      <c r="M494" s="1258"/>
      <c r="N494" s="1257"/>
      <c r="O494" s="1258"/>
      <c r="P494" s="1257"/>
      <c r="Q494" s="1257"/>
      <c r="R494" s="1260"/>
      <c r="S494" s="1260"/>
      <c r="T494" s="1260"/>
      <c r="U494" s="1260"/>
      <c r="V494" s="1260"/>
      <c r="W494" s="1259"/>
      <c r="X494" s="1260"/>
      <c r="Y494" s="1260"/>
      <c r="Z494" s="1260"/>
      <c r="AA494" s="1260"/>
      <c r="AB494" s="1259"/>
      <c r="AC494" s="1260"/>
      <c r="AD494" s="1260"/>
      <c r="AE494" s="1260"/>
      <c r="AF494" s="1260"/>
      <c r="AG494" s="1261"/>
      <c r="AU494" s="1239"/>
      <c r="AW494" s="70"/>
      <c r="BW494" s="70"/>
      <c r="BX494" s="70"/>
      <c r="BY494" s="70"/>
      <c r="BZ494" s="70"/>
      <c r="CA494" s="70"/>
      <c r="CB494" s="70"/>
      <c r="CC494" s="70"/>
      <c r="CD494" s="70"/>
      <c r="CE494" s="70"/>
      <c r="CF494" s="70"/>
      <c r="CG494" s="70"/>
      <c r="CH494" s="70"/>
      <c r="CI494" s="70"/>
      <c r="CJ494" s="70"/>
      <c r="CK494" s="70"/>
      <c r="CL494" s="70"/>
      <c r="CM494" s="70"/>
      <c r="CN494" s="70"/>
      <c r="CO494" s="70"/>
      <c r="CP494" s="70"/>
      <c r="CQ494" s="70"/>
      <c r="CR494" s="70"/>
      <c r="CS494" s="70"/>
      <c r="CU494" s="1446"/>
      <c r="DH494" s="1446"/>
    </row>
    <row r="495" spans="8:112" s="104" customFormat="1">
      <c r="H495" s="1285"/>
      <c r="I495" s="1243" t="str">
        <f>I468</f>
        <v>Water</v>
      </c>
      <c r="J495" s="1244"/>
      <c r="K495" s="1245">
        <f t="shared" ref="K495:Q495" si="919">+SUMIFS(K$69:K$444,$E$69:$E$444,$E$71,$I$69:$I$444,$I495)</f>
        <v>0</v>
      </c>
      <c r="L495" s="1245">
        <f t="shared" si="919"/>
        <v>0</v>
      </c>
      <c r="M495" s="1246">
        <f t="shared" si="919"/>
        <v>0</v>
      </c>
      <c r="N495" s="1245">
        <f t="shared" si="919"/>
        <v>0</v>
      </c>
      <c r="O495" s="1246">
        <f t="shared" si="919"/>
        <v>0</v>
      </c>
      <c r="P495" s="1245">
        <f t="shared" si="919"/>
        <v>0</v>
      </c>
      <c r="Q495" s="1245">
        <f t="shared" si="919"/>
        <v>0</v>
      </c>
      <c r="R495" s="1287">
        <f>IFERROR(R468/R$492,"")</f>
        <v>0.71951080448231741</v>
      </c>
      <c r="S495" s="1287">
        <f t="shared" ref="S495:AG495" si="920">IFERROR(S468/S$492,"")</f>
        <v>0.70422636098520619</v>
      </c>
      <c r="T495" s="1287">
        <f t="shared" si="920"/>
        <v>0.70235502227977353</v>
      </c>
      <c r="U495" s="1287">
        <f t="shared" si="920"/>
        <v>0.72159177798872465</v>
      </c>
      <c r="V495" s="1287">
        <f t="shared" si="920"/>
        <v>0.735893866253856</v>
      </c>
      <c r="W495" s="1286">
        <f t="shared" si="920"/>
        <v>0.72494429312964503</v>
      </c>
      <c r="X495" s="1287">
        <f t="shared" si="920"/>
        <v>0.70823885870727132</v>
      </c>
      <c r="Y495" s="1287">
        <f t="shared" si="920"/>
        <v>0.70141207597643318</v>
      </c>
      <c r="Z495" s="1287">
        <f t="shared" si="920"/>
        <v>0.69477496071222422</v>
      </c>
      <c r="AA495" s="1287">
        <f t="shared" si="920"/>
        <v>0.68838071421054237</v>
      </c>
      <c r="AB495" s="1286">
        <f t="shared" si="920"/>
        <v>0.68211356887548502</v>
      </c>
      <c r="AC495" s="1287">
        <f t="shared" si="920"/>
        <v>0.68219603073737078</v>
      </c>
      <c r="AD495" s="1287">
        <f t="shared" si="920"/>
        <v>0.68232467618649184</v>
      </c>
      <c r="AE495" s="1287">
        <f t="shared" si="920"/>
        <v>0.68238087061360841</v>
      </c>
      <c r="AF495" s="1287">
        <f t="shared" si="920"/>
        <v>0.68255627533381646</v>
      </c>
      <c r="AG495" s="1288">
        <f t="shared" si="920"/>
        <v>0.6825832684377553</v>
      </c>
      <c r="AU495" s="1239"/>
      <c r="AW495" s="70"/>
      <c r="BW495" s="70"/>
      <c r="BX495" s="70"/>
      <c r="BY495" s="70"/>
      <c r="BZ495" s="70"/>
      <c r="CA495" s="70"/>
      <c r="CB495" s="70"/>
      <c r="CC495" s="70"/>
      <c r="CD495" s="70"/>
      <c r="CE495" s="70"/>
      <c r="CF495" s="70"/>
      <c r="CG495" s="70"/>
      <c r="CH495" s="70"/>
      <c r="CI495" s="70"/>
      <c r="CJ495" s="70"/>
      <c r="CK495" s="70"/>
      <c r="CL495" s="70"/>
      <c r="CM495" s="70"/>
      <c r="CN495" s="70"/>
      <c r="CO495" s="70"/>
      <c r="CP495" s="70"/>
      <c r="CQ495" s="70"/>
      <c r="CR495" s="70"/>
      <c r="CS495" s="70"/>
      <c r="CU495" s="628"/>
      <c r="DH495" s="628"/>
    </row>
    <row r="496" spans="8:112">
      <c r="H496" s="1289"/>
      <c r="I496" s="1250" t="str">
        <f>I469</f>
        <v>Fixed</v>
      </c>
      <c r="J496" s="1251"/>
      <c r="K496" s="828"/>
      <c r="L496" s="828"/>
      <c r="M496" s="829"/>
      <c r="N496" s="828"/>
      <c r="O496" s="829"/>
      <c r="P496" s="828"/>
      <c r="Q496" s="828"/>
      <c r="R496" s="1291">
        <f>IFERROR(R469/R$468,"")</f>
        <v>0.29622361765133381</v>
      </c>
      <c r="S496" s="1291">
        <f t="shared" ref="S496:AG497" si="921">IFERROR(S469/S$468,"")</f>
        <v>0.30906293744055874</v>
      </c>
      <c r="T496" s="1291">
        <f t="shared" si="921"/>
        <v>0.30156002115701797</v>
      </c>
      <c r="U496" s="1291">
        <f t="shared" si="921"/>
        <v>0.28718217853963196</v>
      </c>
      <c r="V496" s="1291">
        <f t="shared" si="921"/>
        <v>0.2707955734456382</v>
      </c>
      <c r="W496" s="1290">
        <f t="shared" si="921"/>
        <v>0.29116314324412401</v>
      </c>
      <c r="X496" s="1291">
        <f t="shared" si="921"/>
        <v>0.3059050130769434</v>
      </c>
      <c r="Y496" s="1291">
        <f t="shared" si="921"/>
        <v>0.31970865622228944</v>
      </c>
      <c r="Z496" s="1291">
        <f t="shared" si="921"/>
        <v>0.33337238595243163</v>
      </c>
      <c r="AA496" s="1291">
        <f t="shared" si="921"/>
        <v>0.34702692324430873</v>
      </c>
      <c r="AB496" s="1290">
        <f t="shared" si="921"/>
        <v>0.36032884447318408</v>
      </c>
      <c r="AC496" s="1291">
        <f t="shared" si="921"/>
        <v>0.36119374589104414</v>
      </c>
      <c r="AD496" s="1291">
        <f t="shared" si="921"/>
        <v>0.36223577851169636</v>
      </c>
      <c r="AE496" s="1291">
        <f t="shared" si="921"/>
        <v>0.36310647873346336</v>
      </c>
      <c r="AF496" s="1291">
        <f t="shared" si="921"/>
        <v>0.36436958167570727</v>
      </c>
      <c r="AG496" s="1292">
        <f t="shared" si="921"/>
        <v>0.36524017000962761</v>
      </c>
      <c r="AU496" s="1262"/>
      <c r="BW496" s="1253"/>
      <c r="BX496" s="1253"/>
      <c r="BY496" s="1253"/>
      <c r="BZ496" s="1253"/>
      <c r="CA496" s="1253"/>
      <c r="CB496" s="1253"/>
      <c r="CC496" s="1253"/>
      <c r="CD496" s="1253"/>
      <c r="CE496" s="1253"/>
      <c r="CF496" s="1253"/>
      <c r="CG496" s="1253"/>
      <c r="CH496" s="1253"/>
      <c r="CI496" s="1253"/>
      <c r="CJ496" s="1253"/>
      <c r="CK496" s="1253"/>
      <c r="CL496" s="1253"/>
      <c r="CM496" s="1253"/>
      <c r="CN496" s="1253"/>
      <c r="CO496" s="1253"/>
      <c r="CP496" s="1253"/>
      <c r="CQ496" s="1253"/>
      <c r="CR496" s="1253"/>
      <c r="CS496" s="1253"/>
      <c r="CU496" s="113"/>
      <c r="DH496" s="113"/>
    </row>
    <row r="497" spans="8:112">
      <c r="H497" s="1289"/>
      <c r="I497" s="1250" t="str">
        <f>I470</f>
        <v>Variable</v>
      </c>
      <c r="J497" s="1251"/>
      <c r="K497" s="828"/>
      <c r="L497" s="828"/>
      <c r="M497" s="829"/>
      <c r="N497" s="828"/>
      <c r="O497" s="829"/>
      <c r="P497" s="828"/>
      <c r="Q497" s="828"/>
      <c r="R497" s="1291">
        <f>IFERROR(R470/R$468,"")</f>
        <v>0.70377638234866624</v>
      </c>
      <c r="S497" s="1291">
        <f t="shared" si="921"/>
        <v>0.69093706255944121</v>
      </c>
      <c r="T497" s="1291">
        <f t="shared" si="921"/>
        <v>0.69843997884298203</v>
      </c>
      <c r="U497" s="1291">
        <f t="shared" si="921"/>
        <v>0.71281782146036798</v>
      </c>
      <c r="V497" s="1291">
        <f t="shared" si="921"/>
        <v>0.7292044265543618</v>
      </c>
      <c r="W497" s="1290">
        <f t="shared" si="921"/>
        <v>0.70883685675587604</v>
      </c>
      <c r="X497" s="1291">
        <f t="shared" si="921"/>
        <v>0.6940949869230566</v>
      </c>
      <c r="Y497" s="1291">
        <f t="shared" si="921"/>
        <v>0.68029134377771061</v>
      </c>
      <c r="Z497" s="1291">
        <f t="shared" si="921"/>
        <v>0.66662761404756843</v>
      </c>
      <c r="AA497" s="1291">
        <f t="shared" si="921"/>
        <v>0.65297307675569138</v>
      </c>
      <c r="AB497" s="1290">
        <f t="shared" si="921"/>
        <v>0.63967115552681597</v>
      </c>
      <c r="AC497" s="1291">
        <f t="shared" si="921"/>
        <v>0.63880625410895586</v>
      </c>
      <c r="AD497" s="1291">
        <f t="shared" si="921"/>
        <v>0.63776422148830358</v>
      </c>
      <c r="AE497" s="1291">
        <f t="shared" si="921"/>
        <v>0.63689352126653676</v>
      </c>
      <c r="AF497" s="1291">
        <f t="shared" si="921"/>
        <v>0.63563041832429279</v>
      </c>
      <c r="AG497" s="1292">
        <f t="shared" si="921"/>
        <v>0.63475982999037239</v>
      </c>
      <c r="AU497" s="1248"/>
      <c r="BW497" s="104"/>
      <c r="BX497" s="104"/>
      <c r="BY497" s="104"/>
      <c r="BZ497" s="104"/>
      <c r="CA497" s="104"/>
      <c r="CB497" s="104"/>
      <c r="CC497" s="104"/>
      <c r="CD497" s="104"/>
      <c r="CE497" s="104"/>
      <c r="CF497" s="104"/>
      <c r="CG497" s="104"/>
      <c r="CH497" s="104"/>
      <c r="CI497" s="104"/>
      <c r="CJ497" s="104"/>
      <c r="CK497" s="104"/>
      <c r="CL497" s="104"/>
      <c r="CM497" s="104"/>
      <c r="CN497" s="104"/>
      <c r="CO497" s="104"/>
      <c r="CP497" s="104"/>
      <c r="CQ497" s="104"/>
      <c r="CR497" s="104"/>
      <c r="CS497" s="104"/>
      <c r="CU497" s="113"/>
      <c r="DH497" s="113"/>
    </row>
    <row r="498" spans="8:112" s="1253" customFormat="1">
      <c r="H498" s="1277"/>
      <c r="I498" s="1255"/>
      <c r="J498" s="1256"/>
      <c r="K498" s="1257"/>
      <c r="L498" s="1257"/>
      <c r="M498" s="1258"/>
      <c r="N498" s="1257"/>
      <c r="O498" s="1258"/>
      <c r="P498" s="1257"/>
      <c r="Q498" s="1257"/>
      <c r="R498" s="1260"/>
      <c r="S498" s="1260"/>
      <c r="T498" s="1260"/>
      <c r="U498" s="1260"/>
      <c r="V498" s="1260"/>
      <c r="W498" s="1259"/>
      <c r="X498" s="1260"/>
      <c r="Y498" s="1260"/>
      <c r="Z498" s="1260"/>
      <c r="AA498" s="1260"/>
      <c r="AB498" s="1259"/>
      <c r="AC498" s="1260"/>
      <c r="AD498" s="1260"/>
      <c r="AE498" s="1260"/>
      <c r="AF498" s="1260"/>
      <c r="AG498" s="1261"/>
      <c r="AU498" s="1239"/>
      <c r="AW498" s="70"/>
      <c r="BW498" s="70"/>
      <c r="BX498" s="70"/>
      <c r="BY498" s="70"/>
      <c r="BZ498" s="70"/>
      <c r="CA498" s="70"/>
      <c r="CB498" s="70"/>
      <c r="CC498" s="70"/>
      <c r="CD498" s="70"/>
      <c r="CE498" s="70"/>
      <c r="CF498" s="70"/>
      <c r="CG498" s="70"/>
      <c r="CH498" s="70"/>
      <c r="CI498" s="70"/>
      <c r="CJ498" s="70"/>
      <c r="CK498" s="70"/>
      <c r="CL498" s="70"/>
      <c r="CM498" s="70"/>
      <c r="CN498" s="70"/>
      <c r="CO498" s="70"/>
      <c r="CP498" s="70"/>
      <c r="CQ498" s="70"/>
      <c r="CR498" s="70"/>
      <c r="CS498" s="70"/>
      <c r="CU498" s="1446"/>
      <c r="DH498" s="1446"/>
    </row>
    <row r="499" spans="8:112" s="104" customFormat="1">
      <c r="H499" s="1285"/>
      <c r="I499" s="1243" t="str">
        <f>I472</f>
        <v>Sewerage</v>
      </c>
      <c r="J499" s="1244"/>
      <c r="K499" s="1245">
        <f t="shared" ref="K499:Q499" si="922">+SUMIFS(K$69:K$444,$E$69:$E$444,$E$71,$I$69:$I$444,$I499)</f>
        <v>0</v>
      </c>
      <c r="L499" s="1245">
        <f t="shared" si="922"/>
        <v>0</v>
      </c>
      <c r="M499" s="1246">
        <f t="shared" si="922"/>
        <v>0</v>
      </c>
      <c r="N499" s="1245">
        <f t="shared" si="922"/>
        <v>0</v>
      </c>
      <c r="O499" s="1246">
        <f t="shared" si="922"/>
        <v>0</v>
      </c>
      <c r="P499" s="1245">
        <f t="shared" si="922"/>
        <v>0</v>
      </c>
      <c r="Q499" s="1245">
        <f t="shared" si="922"/>
        <v>0</v>
      </c>
      <c r="R499" s="1287">
        <f>IFERROR(R472/R$492,"")</f>
        <v>0.20423040851250684</v>
      </c>
      <c r="S499" s="1287">
        <f t="shared" ref="S499:AG499" si="923">IFERROR(S472/S$492,"")</f>
        <v>0.21098385170692477</v>
      </c>
      <c r="T499" s="1287">
        <f t="shared" si="923"/>
        <v>0.20400110263187723</v>
      </c>
      <c r="U499" s="1287">
        <f t="shared" si="923"/>
        <v>0.19915023832058726</v>
      </c>
      <c r="V499" s="1287">
        <f t="shared" si="923"/>
        <v>0.19296697529059276</v>
      </c>
      <c r="W499" s="1286">
        <f t="shared" si="923"/>
        <v>0.20469053547692956</v>
      </c>
      <c r="X499" s="1287">
        <f t="shared" si="923"/>
        <v>0.21019174871268809</v>
      </c>
      <c r="Y499" s="1287">
        <f t="shared" si="923"/>
        <v>0.21779221729897016</v>
      </c>
      <c r="Z499" s="1287">
        <f t="shared" si="923"/>
        <v>0.22519728794104038</v>
      </c>
      <c r="AA499" s="1287">
        <f t="shared" si="923"/>
        <v>0.23236794237399019</v>
      </c>
      <c r="AB499" s="1286">
        <f t="shared" si="923"/>
        <v>0.23939069554966363</v>
      </c>
      <c r="AC499" s="1287">
        <f t="shared" si="923"/>
        <v>0.24009894964468814</v>
      </c>
      <c r="AD499" s="1287">
        <f t="shared" si="923"/>
        <v>0.24077095386807798</v>
      </c>
      <c r="AE499" s="1287">
        <f t="shared" si="923"/>
        <v>0.24149651378379042</v>
      </c>
      <c r="AF499" s="1287">
        <f t="shared" si="923"/>
        <v>0.24212990366895357</v>
      </c>
      <c r="AG499" s="1288">
        <f t="shared" si="923"/>
        <v>0.2428749724312638</v>
      </c>
      <c r="AU499" s="1239"/>
      <c r="AW499" s="70"/>
      <c r="BW499" s="70"/>
      <c r="BX499" s="70"/>
      <c r="BY499" s="70"/>
      <c r="BZ499" s="70"/>
      <c r="CA499" s="70"/>
      <c r="CB499" s="70"/>
      <c r="CC499" s="70"/>
      <c r="CD499" s="70"/>
      <c r="CE499" s="70"/>
      <c r="CF499" s="70"/>
      <c r="CG499" s="70"/>
      <c r="CH499" s="70"/>
      <c r="CI499" s="70"/>
      <c r="CJ499" s="70"/>
      <c r="CK499" s="70"/>
      <c r="CL499" s="70"/>
      <c r="CM499" s="70"/>
      <c r="CN499" s="70"/>
      <c r="CO499" s="70"/>
      <c r="CP499" s="70"/>
      <c r="CQ499" s="70"/>
      <c r="CR499" s="70"/>
      <c r="CS499" s="70"/>
      <c r="CU499" s="628"/>
      <c r="DH499" s="628"/>
    </row>
    <row r="500" spans="8:112">
      <c r="H500" s="1289"/>
      <c r="I500" s="1250" t="str">
        <f>I473</f>
        <v>Fixed</v>
      </c>
      <c r="J500" s="1251"/>
      <c r="K500" s="828"/>
      <c r="L500" s="828"/>
      <c r="M500" s="829"/>
      <c r="N500" s="828"/>
      <c r="O500" s="829"/>
      <c r="P500" s="828"/>
      <c r="Q500" s="828"/>
      <c r="R500" s="1291">
        <f>IFERROR(R473/R$472,"")</f>
        <v>1</v>
      </c>
      <c r="S500" s="1291">
        <f t="shared" ref="S500:AG501" si="924">IFERROR(S473/S$472,"")</f>
        <v>1</v>
      </c>
      <c r="T500" s="1291">
        <f t="shared" si="924"/>
        <v>1</v>
      </c>
      <c r="U500" s="1291">
        <f t="shared" si="924"/>
        <v>1</v>
      </c>
      <c r="V500" s="1291">
        <f t="shared" si="924"/>
        <v>1</v>
      </c>
      <c r="W500" s="1290">
        <f t="shared" si="924"/>
        <v>1</v>
      </c>
      <c r="X500" s="1291">
        <f t="shared" si="924"/>
        <v>1</v>
      </c>
      <c r="Y500" s="1291">
        <f t="shared" si="924"/>
        <v>1</v>
      </c>
      <c r="Z500" s="1291">
        <f t="shared" si="924"/>
        <v>1</v>
      </c>
      <c r="AA500" s="1291">
        <f t="shared" si="924"/>
        <v>1</v>
      </c>
      <c r="AB500" s="1290">
        <f t="shared" si="924"/>
        <v>1</v>
      </c>
      <c r="AC500" s="1291">
        <f t="shared" si="924"/>
        <v>1</v>
      </c>
      <c r="AD500" s="1291">
        <f t="shared" si="924"/>
        <v>1</v>
      </c>
      <c r="AE500" s="1291">
        <f t="shared" si="924"/>
        <v>1</v>
      </c>
      <c r="AF500" s="1291">
        <f t="shared" si="924"/>
        <v>1</v>
      </c>
      <c r="AG500" s="1292">
        <f t="shared" si="924"/>
        <v>1</v>
      </c>
      <c r="CU500" s="113"/>
      <c r="DH500" s="113"/>
    </row>
    <row r="501" spans="8:112">
      <c r="H501" s="1289"/>
      <c r="I501" s="1250" t="str">
        <f>I474</f>
        <v>Variable</v>
      </c>
      <c r="J501" s="1251"/>
      <c r="K501" s="828"/>
      <c r="L501" s="828"/>
      <c r="M501" s="829"/>
      <c r="N501" s="828"/>
      <c r="O501" s="829"/>
      <c r="P501" s="828"/>
      <c r="Q501" s="828"/>
      <c r="R501" s="1291">
        <f>IFERROR(R474/R$472,"")</f>
        <v>0</v>
      </c>
      <c r="S501" s="1291">
        <f t="shared" si="924"/>
        <v>0</v>
      </c>
      <c r="T501" s="1291">
        <f t="shared" si="924"/>
        <v>0</v>
      </c>
      <c r="U501" s="1291">
        <f t="shared" si="924"/>
        <v>0</v>
      </c>
      <c r="V501" s="1291">
        <f t="shared" si="924"/>
        <v>0</v>
      </c>
      <c r="W501" s="1290">
        <f t="shared" si="924"/>
        <v>0</v>
      </c>
      <c r="X501" s="1291">
        <f t="shared" si="924"/>
        <v>0</v>
      </c>
      <c r="Y501" s="1291">
        <f t="shared" si="924"/>
        <v>0</v>
      </c>
      <c r="Z501" s="1291">
        <f t="shared" si="924"/>
        <v>0</v>
      </c>
      <c r="AA501" s="1291">
        <f t="shared" si="924"/>
        <v>0</v>
      </c>
      <c r="AB501" s="1290">
        <f t="shared" si="924"/>
        <v>0</v>
      </c>
      <c r="AC501" s="1291">
        <f t="shared" si="924"/>
        <v>0</v>
      </c>
      <c r="AD501" s="1291">
        <f t="shared" si="924"/>
        <v>0</v>
      </c>
      <c r="AE501" s="1291">
        <f t="shared" si="924"/>
        <v>0</v>
      </c>
      <c r="AF501" s="1291">
        <f t="shared" si="924"/>
        <v>0</v>
      </c>
      <c r="AG501" s="1292">
        <f t="shared" si="924"/>
        <v>0</v>
      </c>
      <c r="CU501" s="113"/>
      <c r="DH501" s="113"/>
    </row>
    <row r="502" spans="8:112" s="1253" customFormat="1">
      <c r="H502" s="1277"/>
      <c r="I502" s="1255"/>
      <c r="J502" s="1256"/>
      <c r="K502" s="1257"/>
      <c r="L502" s="1257"/>
      <c r="M502" s="1258"/>
      <c r="N502" s="1257"/>
      <c r="O502" s="1258"/>
      <c r="P502" s="1257"/>
      <c r="Q502" s="1257"/>
      <c r="R502" s="1260"/>
      <c r="S502" s="1260"/>
      <c r="T502" s="1260"/>
      <c r="U502" s="1260"/>
      <c r="V502" s="1260"/>
      <c r="W502" s="1259"/>
      <c r="X502" s="1260"/>
      <c r="Y502" s="1260"/>
      <c r="Z502" s="1260"/>
      <c r="AA502" s="1260"/>
      <c r="AB502" s="1259"/>
      <c r="AC502" s="1260"/>
      <c r="AD502" s="1260"/>
      <c r="AE502" s="1260"/>
      <c r="AF502" s="1260"/>
      <c r="AG502" s="1261"/>
      <c r="AU502" s="1262"/>
      <c r="AW502" s="70"/>
      <c r="CU502" s="1446"/>
      <c r="DH502" s="1446"/>
    </row>
    <row r="503" spans="8:112" s="104" customFormat="1">
      <c r="H503" s="1285"/>
      <c r="I503" s="1263" t="str">
        <f>I476</f>
        <v>Recycled Water</v>
      </c>
      <c r="J503" s="1264"/>
      <c r="K503" s="1245">
        <f t="shared" ref="K503:Q503" si="925">+SUMIFS(K$69:K$444,$E$69:$E$444,$E$71,$I$69:$I$444,$I503)</f>
        <v>0</v>
      </c>
      <c r="L503" s="1245">
        <f t="shared" si="925"/>
        <v>0</v>
      </c>
      <c r="M503" s="1246">
        <f t="shared" si="925"/>
        <v>0</v>
      </c>
      <c r="N503" s="1245">
        <f t="shared" si="925"/>
        <v>0</v>
      </c>
      <c r="O503" s="1246">
        <f t="shared" si="925"/>
        <v>0</v>
      </c>
      <c r="P503" s="1245">
        <f t="shared" si="925"/>
        <v>0</v>
      </c>
      <c r="Q503" s="1245">
        <f t="shared" si="925"/>
        <v>0</v>
      </c>
      <c r="R503" s="1287">
        <f>IFERROR(R476/R$492,"")</f>
        <v>0</v>
      </c>
      <c r="S503" s="1287">
        <f t="shared" ref="S503:AG503" si="926">IFERROR(S476/S$492,"")</f>
        <v>0</v>
      </c>
      <c r="T503" s="1287">
        <f t="shared" si="926"/>
        <v>0</v>
      </c>
      <c r="U503" s="1287">
        <f t="shared" si="926"/>
        <v>0</v>
      </c>
      <c r="V503" s="1287">
        <f t="shared" si="926"/>
        <v>0</v>
      </c>
      <c r="W503" s="1286">
        <f t="shared" si="926"/>
        <v>0</v>
      </c>
      <c r="X503" s="1287">
        <f t="shared" si="926"/>
        <v>0</v>
      </c>
      <c r="Y503" s="1287">
        <f t="shared" si="926"/>
        <v>0</v>
      </c>
      <c r="Z503" s="1287">
        <f t="shared" si="926"/>
        <v>0</v>
      </c>
      <c r="AA503" s="1287">
        <f t="shared" si="926"/>
        <v>0</v>
      </c>
      <c r="AB503" s="1286">
        <f t="shared" si="926"/>
        <v>0</v>
      </c>
      <c r="AC503" s="1287">
        <f t="shared" si="926"/>
        <v>0</v>
      </c>
      <c r="AD503" s="1287">
        <f t="shared" si="926"/>
        <v>0</v>
      </c>
      <c r="AE503" s="1287">
        <f t="shared" si="926"/>
        <v>0</v>
      </c>
      <c r="AF503" s="1287">
        <f t="shared" si="926"/>
        <v>0</v>
      </c>
      <c r="AG503" s="1288">
        <f t="shared" si="926"/>
        <v>0</v>
      </c>
      <c r="AU503" s="1248"/>
      <c r="AW503" s="70"/>
      <c r="CU503" s="628"/>
      <c r="DH503" s="628"/>
    </row>
    <row r="504" spans="8:112">
      <c r="H504" s="1301"/>
      <c r="I504" s="1250" t="str">
        <f>I477</f>
        <v>Fixed</v>
      </c>
      <c r="J504" s="1251"/>
      <c r="K504" s="828"/>
      <c r="L504" s="828"/>
      <c r="M504" s="829"/>
      <c r="N504" s="828"/>
      <c r="O504" s="829"/>
      <c r="P504" s="828"/>
      <c r="Q504" s="828"/>
      <c r="R504" s="1291" t="str">
        <f>IFERROR(R477/R$476,"")</f>
        <v/>
      </c>
      <c r="S504" s="1291" t="str">
        <f t="shared" ref="S504:AG505" si="927">IFERROR(S477/S$476,"")</f>
        <v/>
      </c>
      <c r="T504" s="1291" t="str">
        <f t="shared" si="927"/>
        <v/>
      </c>
      <c r="U504" s="1291" t="str">
        <f t="shared" si="927"/>
        <v/>
      </c>
      <c r="V504" s="1291" t="str">
        <f t="shared" si="927"/>
        <v/>
      </c>
      <c r="W504" s="1290" t="str">
        <f t="shared" si="927"/>
        <v/>
      </c>
      <c r="X504" s="1291" t="str">
        <f t="shared" si="927"/>
        <v/>
      </c>
      <c r="Y504" s="1291" t="str">
        <f t="shared" si="927"/>
        <v/>
      </c>
      <c r="Z504" s="1291" t="str">
        <f t="shared" si="927"/>
        <v/>
      </c>
      <c r="AA504" s="1291" t="str">
        <f t="shared" si="927"/>
        <v/>
      </c>
      <c r="AB504" s="1290" t="str">
        <f t="shared" si="927"/>
        <v/>
      </c>
      <c r="AC504" s="1291" t="str">
        <f t="shared" si="927"/>
        <v/>
      </c>
      <c r="AD504" s="1291" t="str">
        <f t="shared" si="927"/>
        <v/>
      </c>
      <c r="AE504" s="1291" t="str">
        <f t="shared" si="927"/>
        <v/>
      </c>
      <c r="AF504" s="1291" t="str">
        <f t="shared" si="927"/>
        <v/>
      </c>
      <c r="AG504" s="1292" t="str">
        <f t="shared" si="927"/>
        <v/>
      </c>
      <c r="CU504" s="113"/>
      <c r="DH504" s="113"/>
    </row>
    <row r="505" spans="8:112">
      <c r="H505" s="1301"/>
      <c r="I505" s="1250" t="str">
        <f>I478</f>
        <v>Variable</v>
      </c>
      <c r="J505" s="1251"/>
      <c r="K505" s="828"/>
      <c r="L505" s="828"/>
      <c r="M505" s="829"/>
      <c r="N505" s="828"/>
      <c r="O505" s="829"/>
      <c r="P505" s="828"/>
      <c r="Q505" s="828"/>
      <c r="R505" s="1291" t="str">
        <f>IFERROR(R478/R$476,"")</f>
        <v/>
      </c>
      <c r="S505" s="1291" t="str">
        <f t="shared" si="927"/>
        <v/>
      </c>
      <c r="T505" s="1291" t="str">
        <f t="shared" si="927"/>
        <v/>
      </c>
      <c r="U505" s="1291" t="str">
        <f t="shared" si="927"/>
        <v/>
      </c>
      <c r="V505" s="1291" t="str">
        <f t="shared" si="927"/>
        <v/>
      </c>
      <c r="W505" s="1290" t="str">
        <f t="shared" si="927"/>
        <v/>
      </c>
      <c r="X505" s="1291" t="str">
        <f t="shared" si="927"/>
        <v/>
      </c>
      <c r="Y505" s="1291" t="str">
        <f t="shared" si="927"/>
        <v/>
      </c>
      <c r="Z505" s="1291" t="str">
        <f t="shared" si="927"/>
        <v/>
      </c>
      <c r="AA505" s="1291" t="str">
        <f t="shared" si="927"/>
        <v/>
      </c>
      <c r="AB505" s="1290" t="str">
        <f t="shared" si="927"/>
        <v/>
      </c>
      <c r="AC505" s="1291" t="str">
        <f t="shared" si="927"/>
        <v/>
      </c>
      <c r="AD505" s="1291" t="str">
        <f t="shared" si="927"/>
        <v/>
      </c>
      <c r="AE505" s="1291" t="str">
        <f t="shared" si="927"/>
        <v/>
      </c>
      <c r="AF505" s="1291" t="str">
        <f t="shared" si="927"/>
        <v/>
      </c>
      <c r="AG505" s="1292" t="str">
        <f t="shared" si="927"/>
        <v/>
      </c>
      <c r="CU505" s="113"/>
      <c r="DH505" s="113"/>
    </row>
    <row r="506" spans="8:112" s="1253" customFormat="1">
      <c r="H506" s="1277"/>
      <c r="I506" s="1255"/>
      <c r="J506" s="1256"/>
      <c r="K506" s="1257"/>
      <c r="L506" s="1257"/>
      <c r="M506" s="1258"/>
      <c r="N506" s="1257"/>
      <c r="O506" s="1258"/>
      <c r="P506" s="1257"/>
      <c r="Q506" s="1257"/>
      <c r="R506" s="1260"/>
      <c r="S506" s="1260"/>
      <c r="T506" s="1260"/>
      <c r="U506" s="1260"/>
      <c r="V506" s="1260"/>
      <c r="W506" s="1259"/>
      <c r="X506" s="1260"/>
      <c r="Y506" s="1260"/>
      <c r="Z506" s="1260"/>
      <c r="AA506" s="1260"/>
      <c r="AB506" s="1259"/>
      <c r="AC506" s="1260"/>
      <c r="AD506" s="1260"/>
      <c r="AE506" s="1260"/>
      <c r="AF506" s="1260"/>
      <c r="AG506" s="1261"/>
      <c r="AU506" s="1239"/>
      <c r="AW506" s="70"/>
      <c r="BW506" s="70"/>
      <c r="BX506" s="70"/>
      <c r="BY506" s="70"/>
      <c r="BZ506" s="70"/>
      <c r="CA506" s="70"/>
      <c r="CB506" s="70"/>
      <c r="CC506" s="70"/>
      <c r="CD506" s="70"/>
      <c r="CE506" s="70"/>
      <c r="CF506" s="70"/>
      <c r="CG506" s="70"/>
      <c r="CH506" s="70"/>
      <c r="CI506" s="70"/>
      <c r="CJ506" s="70"/>
      <c r="CK506" s="70"/>
      <c r="CL506" s="70"/>
      <c r="CM506" s="70"/>
      <c r="CN506" s="70"/>
      <c r="CO506" s="70"/>
      <c r="CP506" s="70"/>
      <c r="CQ506" s="70"/>
      <c r="CR506" s="70"/>
      <c r="CS506" s="70"/>
      <c r="CU506" s="1446"/>
      <c r="DH506" s="1446"/>
    </row>
    <row r="507" spans="8:112" s="104" customFormat="1">
      <c r="H507" s="1285"/>
      <c r="I507" s="1263" t="str">
        <f>I480</f>
        <v>Trade Waste</v>
      </c>
      <c r="J507" s="1264"/>
      <c r="K507" s="1245"/>
      <c r="L507" s="1245"/>
      <c r="M507" s="1246"/>
      <c r="N507" s="1245"/>
      <c r="O507" s="1246"/>
      <c r="P507" s="1245"/>
      <c r="Q507" s="1245"/>
      <c r="R507" s="1287">
        <f>IFERROR(R480/R$492,"")</f>
        <v>7.6258787005175799E-2</v>
      </c>
      <c r="S507" s="1287">
        <f>IFERROR(S480/S$492,"")</f>
        <v>8.4789787307869027E-2</v>
      </c>
      <c r="T507" s="1287">
        <f t="shared" ref="T507:AG507" si="928">IFERROR(T480/T$492,"")</f>
        <v>9.3643875088349302E-2</v>
      </c>
      <c r="U507" s="1287">
        <f t="shared" si="928"/>
        <v>7.9257983690688066E-2</v>
      </c>
      <c r="V507" s="1287">
        <f t="shared" si="928"/>
        <v>7.1139158455551257E-2</v>
      </c>
      <c r="W507" s="1286">
        <f t="shared" si="928"/>
        <v>7.0365171393425463E-2</v>
      </c>
      <c r="X507" s="1287">
        <f t="shared" si="928"/>
        <v>8.1569392580040548E-2</v>
      </c>
      <c r="Y507" s="1287">
        <f t="shared" si="928"/>
        <v>8.07957067245966E-2</v>
      </c>
      <c r="Z507" s="1287">
        <f t="shared" si="928"/>
        <v>8.0027751346735509E-2</v>
      </c>
      <c r="AA507" s="1287">
        <f t="shared" si="928"/>
        <v>7.9251343415467482E-2</v>
      </c>
      <c r="AB507" s="1286">
        <f t="shared" si="928"/>
        <v>7.8495735574851275E-2</v>
      </c>
      <c r="AC507" s="1287">
        <f t="shared" si="928"/>
        <v>7.7705019617941046E-2</v>
      </c>
      <c r="AD507" s="1287">
        <f t="shared" si="928"/>
        <v>7.6904369945430234E-2</v>
      </c>
      <c r="AE507" s="1287">
        <f t="shared" si="928"/>
        <v>7.6122615602601112E-2</v>
      </c>
      <c r="AF507" s="1287">
        <f t="shared" si="928"/>
        <v>7.5313820997229941E-2</v>
      </c>
      <c r="AG507" s="1288">
        <f t="shared" si="928"/>
        <v>7.4541759130980823E-2</v>
      </c>
      <c r="AU507" s="1239"/>
      <c r="AW507" s="70"/>
      <c r="BW507" s="70"/>
      <c r="BX507" s="70"/>
      <c r="BY507" s="70"/>
      <c r="BZ507" s="70"/>
      <c r="CA507" s="70"/>
      <c r="CB507" s="70"/>
      <c r="CC507" s="70"/>
      <c r="CD507" s="70"/>
      <c r="CE507" s="70"/>
      <c r="CF507" s="70"/>
      <c r="CG507" s="70"/>
      <c r="CH507" s="70"/>
      <c r="CI507" s="70"/>
      <c r="CJ507" s="70"/>
      <c r="CK507" s="70"/>
      <c r="CL507" s="70"/>
      <c r="CM507" s="70"/>
      <c r="CN507" s="70"/>
      <c r="CO507" s="70"/>
      <c r="CP507" s="70"/>
      <c r="CQ507" s="70"/>
      <c r="CR507" s="70"/>
      <c r="CS507" s="70"/>
      <c r="CU507" s="628"/>
      <c r="DH507" s="628"/>
    </row>
    <row r="508" spans="8:112">
      <c r="H508" s="1301"/>
      <c r="I508" s="1250" t="str">
        <f>I481</f>
        <v>Fixed</v>
      </c>
      <c r="J508" s="1251"/>
      <c r="K508" s="828"/>
      <c r="L508" s="828"/>
      <c r="M508" s="829"/>
      <c r="N508" s="828"/>
      <c r="O508" s="829"/>
      <c r="P508" s="828"/>
      <c r="Q508" s="828"/>
      <c r="R508" s="1291">
        <f>IFERROR(R481/R$480,"")</f>
        <v>5.8627103040757217E-2</v>
      </c>
      <c r="S508" s="1291">
        <f t="shared" ref="S508:AG509" si="929">IFERROR(S481/S$480,"")</f>
        <v>5.6947643976951873E-2</v>
      </c>
      <c r="T508" s="1291">
        <f t="shared" si="929"/>
        <v>5.070338226369217E-2</v>
      </c>
      <c r="U508" s="1291">
        <f t="shared" si="929"/>
        <v>5.9948331148115819E-2</v>
      </c>
      <c r="V508" s="1291">
        <f t="shared" si="929"/>
        <v>6.6415041423577889E-2</v>
      </c>
      <c r="W508" s="1290">
        <f t="shared" si="929"/>
        <v>7.0051155961382033E-2</v>
      </c>
      <c r="X508" s="1291">
        <f t="shared" si="929"/>
        <v>6.0306215360584142E-2</v>
      </c>
      <c r="Y508" s="1291">
        <f t="shared" si="929"/>
        <v>6.143823751613537E-2</v>
      </c>
      <c r="Z508" s="1291">
        <f t="shared" si="929"/>
        <v>6.2590093765519619E-2</v>
      </c>
      <c r="AA508" s="1291">
        <f t="shared" si="929"/>
        <v>6.3762078151825871E-2</v>
      </c>
      <c r="AB508" s="1290">
        <f t="shared" si="929"/>
        <v>6.4954487053266369E-2</v>
      </c>
      <c r="AC508" s="1291">
        <f t="shared" si="929"/>
        <v>6.6167619119143289E-2</v>
      </c>
      <c r="AD508" s="1291">
        <f t="shared" si="929"/>
        <v>6.7401775201736111E-2</v>
      </c>
      <c r="AE508" s="1291">
        <f t="shared" si="929"/>
        <v>6.8657258283994313E-2</v>
      </c>
      <c r="AF508" s="1291">
        <f t="shared" si="929"/>
        <v>6.9934373402921135E-2</v>
      </c>
      <c r="AG508" s="1292">
        <f t="shared" si="929"/>
        <v>7.1233427568532598E-2</v>
      </c>
      <c r="AU508" s="1262"/>
      <c r="BW508" s="1253"/>
      <c r="BX508" s="1253"/>
      <c r="BY508" s="1253"/>
      <c r="BZ508" s="1253"/>
      <c r="CA508" s="1253"/>
      <c r="CB508" s="1253"/>
      <c r="CC508" s="1253"/>
      <c r="CD508" s="1253"/>
      <c r="CE508" s="1253"/>
      <c r="CF508" s="1253"/>
      <c r="CG508" s="1253"/>
      <c r="CH508" s="1253"/>
      <c r="CI508" s="1253"/>
      <c r="CJ508" s="1253"/>
      <c r="CK508" s="1253"/>
      <c r="CL508" s="1253"/>
      <c r="CM508" s="1253"/>
      <c r="CN508" s="1253"/>
      <c r="CO508" s="1253"/>
      <c r="CP508" s="1253"/>
      <c r="CQ508" s="1253"/>
      <c r="CR508" s="1253"/>
      <c r="CS508" s="1253"/>
      <c r="CU508" s="113"/>
      <c r="DH508" s="113"/>
    </row>
    <row r="509" spans="8:112">
      <c r="H509" s="1301"/>
      <c r="I509" s="1250" t="str">
        <f>I482</f>
        <v>Variable</v>
      </c>
      <c r="J509" s="1251"/>
      <c r="K509" s="828"/>
      <c r="L509" s="828"/>
      <c r="M509" s="829"/>
      <c r="N509" s="828"/>
      <c r="O509" s="829"/>
      <c r="P509" s="828"/>
      <c r="Q509" s="828"/>
      <c r="R509" s="1291">
        <f>IFERROR(R482/R$480,"")</f>
        <v>0.94137289695924276</v>
      </c>
      <c r="S509" s="1291">
        <f t="shared" si="929"/>
        <v>0.94305235602304816</v>
      </c>
      <c r="T509" s="1291">
        <f t="shared" si="929"/>
        <v>0.9492966177363078</v>
      </c>
      <c r="U509" s="1291">
        <f t="shared" si="929"/>
        <v>0.94005166885188418</v>
      </c>
      <c r="V509" s="1291">
        <f t="shared" si="929"/>
        <v>0.9335849585764221</v>
      </c>
      <c r="W509" s="1290">
        <f t="shared" si="929"/>
        <v>0.92994884403861788</v>
      </c>
      <c r="X509" s="1291">
        <f t="shared" si="929"/>
        <v>0.93969378463941577</v>
      </c>
      <c r="Y509" s="1291">
        <f t="shared" si="929"/>
        <v>0.93856176248386458</v>
      </c>
      <c r="Z509" s="1291">
        <f t="shared" si="929"/>
        <v>0.93740990623448028</v>
      </c>
      <c r="AA509" s="1291">
        <f t="shared" si="929"/>
        <v>0.93623792184817411</v>
      </c>
      <c r="AB509" s="1290">
        <f t="shared" si="929"/>
        <v>0.93504551294673366</v>
      </c>
      <c r="AC509" s="1291">
        <f t="shared" si="929"/>
        <v>0.93383238088085663</v>
      </c>
      <c r="AD509" s="1291">
        <f t="shared" si="929"/>
        <v>0.93259822479826382</v>
      </c>
      <c r="AE509" s="1291">
        <f t="shared" si="929"/>
        <v>0.93134274171600573</v>
      </c>
      <c r="AF509" s="1291">
        <f t="shared" si="929"/>
        <v>0.93006562659707892</v>
      </c>
      <c r="AG509" s="1292">
        <f t="shared" si="929"/>
        <v>0.92876657243146743</v>
      </c>
      <c r="CU509" s="113"/>
      <c r="DH509" s="113"/>
    </row>
    <row r="510" spans="8:112" s="1253" customFormat="1">
      <c r="H510" s="1277"/>
      <c r="I510" s="1255"/>
      <c r="J510" s="1256"/>
      <c r="K510" s="1257"/>
      <c r="L510" s="1257"/>
      <c r="M510" s="1258"/>
      <c r="N510" s="1257"/>
      <c r="O510" s="1258"/>
      <c r="P510" s="1257"/>
      <c r="Q510" s="1257"/>
      <c r="R510" s="1260"/>
      <c r="S510" s="1260"/>
      <c r="T510" s="1260"/>
      <c r="U510" s="1260"/>
      <c r="V510" s="1260"/>
      <c r="W510" s="1259"/>
      <c r="X510" s="1260"/>
      <c r="Y510" s="1260"/>
      <c r="Z510" s="1260"/>
      <c r="AA510" s="1260"/>
      <c r="AB510" s="1259"/>
      <c r="AC510" s="1260"/>
      <c r="AD510" s="1260"/>
      <c r="AE510" s="1260"/>
      <c r="AF510" s="1260"/>
      <c r="AG510" s="1261"/>
      <c r="AU510" s="1262"/>
      <c r="AW510" s="70"/>
      <c r="CU510" s="1446"/>
      <c r="DH510" s="1446"/>
    </row>
    <row r="511" spans="8:112" s="104" customFormat="1">
      <c r="H511" s="1285"/>
      <c r="I511" s="1263" t="str">
        <f>I484</f>
        <v>Rural Water</v>
      </c>
      <c r="J511" s="1264"/>
      <c r="K511" s="1245"/>
      <c r="L511" s="1245"/>
      <c r="M511" s="1246"/>
      <c r="N511" s="1245"/>
      <c r="O511" s="1246"/>
      <c r="P511" s="1245"/>
      <c r="Q511" s="1245"/>
      <c r="R511" s="1287">
        <f>IFERROR(R484/R$492,"")</f>
        <v>0</v>
      </c>
      <c r="S511" s="1287">
        <f>IFERROR(S484/S$492,"")</f>
        <v>0</v>
      </c>
      <c r="T511" s="1287">
        <f t="shared" ref="T511:AG511" si="930">IFERROR(T484/T$492,"")</f>
        <v>0</v>
      </c>
      <c r="U511" s="1287">
        <f t="shared" si="930"/>
        <v>0</v>
      </c>
      <c r="V511" s="1287">
        <f t="shared" si="930"/>
        <v>0</v>
      </c>
      <c r="W511" s="1286">
        <f t="shared" si="930"/>
        <v>0</v>
      </c>
      <c r="X511" s="1287">
        <f t="shared" si="930"/>
        <v>0</v>
      </c>
      <c r="Y511" s="1287">
        <f t="shared" si="930"/>
        <v>0</v>
      </c>
      <c r="Z511" s="1287">
        <f t="shared" si="930"/>
        <v>0</v>
      </c>
      <c r="AA511" s="1287">
        <f t="shared" si="930"/>
        <v>0</v>
      </c>
      <c r="AB511" s="1286">
        <f t="shared" si="930"/>
        <v>0</v>
      </c>
      <c r="AC511" s="1287">
        <f t="shared" si="930"/>
        <v>0</v>
      </c>
      <c r="AD511" s="1287">
        <f t="shared" si="930"/>
        <v>0</v>
      </c>
      <c r="AE511" s="1287">
        <f t="shared" si="930"/>
        <v>0</v>
      </c>
      <c r="AF511" s="1287">
        <f t="shared" si="930"/>
        <v>0</v>
      </c>
      <c r="AG511" s="1288">
        <f t="shared" si="930"/>
        <v>0</v>
      </c>
      <c r="AU511" s="1262"/>
      <c r="AW511" s="70"/>
      <c r="BW511" s="1253"/>
      <c r="BX511" s="1253"/>
      <c r="BY511" s="1253"/>
      <c r="BZ511" s="1253"/>
      <c r="CA511" s="1253"/>
      <c r="CB511" s="1253"/>
      <c r="CC511" s="1253"/>
      <c r="CD511" s="1253"/>
      <c r="CE511" s="1253"/>
      <c r="CF511" s="1253"/>
      <c r="CG511" s="1253"/>
      <c r="CH511" s="1253"/>
      <c r="CI511" s="1253"/>
      <c r="CJ511" s="1253"/>
      <c r="CK511" s="1253"/>
      <c r="CL511" s="1253"/>
      <c r="CM511" s="1253"/>
      <c r="CN511" s="1253"/>
      <c r="CO511" s="1253"/>
      <c r="CP511" s="1253"/>
      <c r="CQ511" s="1253"/>
      <c r="CR511" s="1253"/>
      <c r="CS511" s="1253"/>
      <c r="CU511" s="628"/>
      <c r="DH511" s="628"/>
    </row>
    <row r="512" spans="8:112">
      <c r="H512" s="1301"/>
      <c r="I512" s="1250" t="str">
        <f>I485</f>
        <v>Fixed</v>
      </c>
      <c r="J512" s="1251"/>
      <c r="K512" s="828"/>
      <c r="L512" s="828"/>
      <c r="M512" s="829"/>
      <c r="N512" s="828"/>
      <c r="O512" s="829"/>
      <c r="P512" s="828"/>
      <c r="Q512" s="828"/>
      <c r="R512" s="1291" t="str">
        <f>IFERROR(R485/R$484,"")</f>
        <v/>
      </c>
      <c r="S512" s="1291" t="str">
        <f t="shared" ref="S512:AG513" si="931">IFERROR(S485/S$484,"")</f>
        <v/>
      </c>
      <c r="T512" s="1291" t="str">
        <f t="shared" si="931"/>
        <v/>
      </c>
      <c r="U512" s="1291" t="str">
        <f t="shared" si="931"/>
        <v/>
      </c>
      <c r="V512" s="1291" t="str">
        <f t="shared" si="931"/>
        <v/>
      </c>
      <c r="W512" s="1290" t="str">
        <f t="shared" si="931"/>
        <v/>
      </c>
      <c r="X512" s="1291" t="str">
        <f t="shared" si="931"/>
        <v/>
      </c>
      <c r="Y512" s="1291" t="str">
        <f t="shared" si="931"/>
        <v/>
      </c>
      <c r="Z512" s="1291" t="str">
        <f t="shared" si="931"/>
        <v/>
      </c>
      <c r="AA512" s="1291" t="str">
        <f t="shared" si="931"/>
        <v/>
      </c>
      <c r="AB512" s="1290" t="str">
        <f t="shared" si="931"/>
        <v/>
      </c>
      <c r="AC512" s="1291" t="str">
        <f t="shared" si="931"/>
        <v/>
      </c>
      <c r="AD512" s="1291" t="str">
        <f t="shared" si="931"/>
        <v/>
      </c>
      <c r="AE512" s="1291" t="str">
        <f t="shared" si="931"/>
        <v/>
      </c>
      <c r="AF512" s="1291" t="str">
        <f t="shared" si="931"/>
        <v/>
      </c>
      <c r="AG512" s="1292" t="str">
        <f t="shared" si="931"/>
        <v/>
      </c>
      <c r="AU512" s="1248"/>
      <c r="BW512" s="104"/>
      <c r="BX512" s="104"/>
      <c r="BY512" s="104"/>
      <c r="BZ512" s="104"/>
      <c r="CA512" s="104"/>
      <c r="CB512" s="104"/>
      <c r="CC512" s="104"/>
      <c r="CD512" s="104"/>
      <c r="CE512" s="104"/>
      <c r="CF512" s="104"/>
      <c r="CG512" s="104"/>
      <c r="CH512" s="104"/>
      <c r="CI512" s="104"/>
      <c r="CJ512" s="104"/>
      <c r="CK512" s="104"/>
      <c r="CL512" s="104"/>
      <c r="CM512" s="104"/>
      <c r="CN512" s="104"/>
      <c r="CO512" s="104"/>
      <c r="CP512" s="104"/>
      <c r="CQ512" s="104"/>
      <c r="CR512" s="104"/>
      <c r="CS512" s="104"/>
      <c r="CU512" s="113"/>
      <c r="DH512" s="113"/>
    </row>
    <row r="513" spans="8:112">
      <c r="H513" s="1301"/>
      <c r="I513" s="1250" t="str">
        <f>I486</f>
        <v>Variable</v>
      </c>
      <c r="J513" s="1251"/>
      <c r="K513" s="828"/>
      <c r="L513" s="828"/>
      <c r="M513" s="829"/>
      <c r="N513" s="828"/>
      <c r="O513" s="829"/>
      <c r="P513" s="828"/>
      <c r="Q513" s="828"/>
      <c r="R513" s="1291" t="str">
        <f>IFERROR(R486/R$484,"")</f>
        <v/>
      </c>
      <c r="S513" s="1291" t="str">
        <f t="shared" si="931"/>
        <v/>
      </c>
      <c r="T513" s="1291" t="str">
        <f t="shared" si="931"/>
        <v/>
      </c>
      <c r="U513" s="1291" t="str">
        <f t="shared" si="931"/>
        <v/>
      </c>
      <c r="V513" s="1291" t="str">
        <f t="shared" si="931"/>
        <v/>
      </c>
      <c r="W513" s="1290" t="str">
        <f t="shared" si="931"/>
        <v/>
      </c>
      <c r="X513" s="1291" t="str">
        <f t="shared" si="931"/>
        <v/>
      </c>
      <c r="Y513" s="1291" t="str">
        <f t="shared" si="931"/>
        <v/>
      </c>
      <c r="Z513" s="1291" t="str">
        <f t="shared" si="931"/>
        <v/>
      </c>
      <c r="AA513" s="1291" t="str">
        <f t="shared" si="931"/>
        <v/>
      </c>
      <c r="AB513" s="1290" t="str">
        <f t="shared" si="931"/>
        <v/>
      </c>
      <c r="AC513" s="1291" t="str">
        <f t="shared" si="931"/>
        <v/>
      </c>
      <c r="AD513" s="1291" t="str">
        <f t="shared" si="931"/>
        <v/>
      </c>
      <c r="AE513" s="1291" t="str">
        <f t="shared" si="931"/>
        <v/>
      </c>
      <c r="AF513" s="1291" t="str">
        <f t="shared" si="931"/>
        <v/>
      </c>
      <c r="AG513" s="1292" t="str">
        <f t="shared" si="931"/>
        <v/>
      </c>
      <c r="CU513" s="113"/>
      <c r="DH513" s="113"/>
    </row>
    <row r="514" spans="8:112" s="1253" customFormat="1">
      <c r="H514" s="1277"/>
      <c r="I514" s="1255"/>
      <c r="J514" s="1256"/>
      <c r="K514" s="1257"/>
      <c r="L514" s="1257"/>
      <c r="M514" s="1258"/>
      <c r="N514" s="1257"/>
      <c r="O514" s="1258"/>
      <c r="P514" s="1257"/>
      <c r="Q514" s="1257"/>
      <c r="R514" s="1260"/>
      <c r="S514" s="1260"/>
      <c r="T514" s="1260"/>
      <c r="U514" s="1260"/>
      <c r="V514" s="1260"/>
      <c r="W514" s="1259"/>
      <c r="X514" s="1260"/>
      <c r="Y514" s="1260"/>
      <c r="Z514" s="1260"/>
      <c r="AA514" s="1260"/>
      <c r="AB514" s="1259"/>
      <c r="AC514" s="1260"/>
      <c r="AD514" s="1260"/>
      <c r="AE514" s="1260"/>
      <c r="AF514" s="1260"/>
      <c r="AG514" s="1261"/>
      <c r="AU514" s="1239"/>
      <c r="AW514" s="70"/>
      <c r="BW514" s="70"/>
      <c r="BX514" s="70"/>
      <c r="BY514" s="70"/>
      <c r="BZ514" s="70"/>
      <c r="CA514" s="70"/>
      <c r="CB514" s="70"/>
      <c r="CC514" s="70"/>
      <c r="CD514" s="70"/>
      <c r="CE514" s="70"/>
      <c r="CF514" s="70"/>
      <c r="CG514" s="70"/>
      <c r="CH514" s="70"/>
      <c r="CI514" s="70"/>
      <c r="CJ514" s="70"/>
      <c r="CK514" s="70"/>
      <c r="CL514" s="70"/>
      <c r="CM514" s="70"/>
      <c r="CN514" s="70"/>
      <c r="CO514" s="70"/>
      <c r="CP514" s="70"/>
      <c r="CQ514" s="70"/>
      <c r="CR514" s="70"/>
      <c r="CS514" s="70"/>
      <c r="CU514" s="1446"/>
      <c r="DH514" s="1446"/>
    </row>
    <row r="515" spans="8:112" s="104" customFormat="1">
      <c r="H515" s="1285"/>
      <c r="I515" s="1263" t="str">
        <f>I488</f>
        <v>Bulk Water</v>
      </c>
      <c r="J515" s="1264"/>
      <c r="K515" s="1245">
        <f t="shared" ref="K515:Q515" si="932">+SUMIFS(K$69:K$444,$E$69:$E$444,$E$71,$I$69:$I$444,$I515)</f>
        <v>0</v>
      </c>
      <c r="L515" s="1245">
        <f t="shared" si="932"/>
        <v>0</v>
      </c>
      <c r="M515" s="1246">
        <f t="shared" si="932"/>
        <v>0</v>
      </c>
      <c r="N515" s="1245">
        <f t="shared" si="932"/>
        <v>0</v>
      </c>
      <c r="O515" s="1246">
        <f t="shared" si="932"/>
        <v>0</v>
      </c>
      <c r="P515" s="1245">
        <f t="shared" si="932"/>
        <v>0</v>
      </c>
      <c r="Q515" s="1245">
        <f t="shared" si="932"/>
        <v>0</v>
      </c>
      <c r="R515" s="1287">
        <f>IFERROR(R488/R$492,"")</f>
        <v>0</v>
      </c>
      <c r="S515" s="1287">
        <f>IFERROR(S488/S$492,"")</f>
        <v>0</v>
      </c>
      <c r="T515" s="1287">
        <f t="shared" ref="T515:AG515" si="933">IFERROR(T488/T$492,"")</f>
        <v>0</v>
      </c>
      <c r="U515" s="1287">
        <f t="shared" si="933"/>
        <v>0</v>
      </c>
      <c r="V515" s="1287">
        <f t="shared" si="933"/>
        <v>0</v>
      </c>
      <c r="W515" s="1286">
        <f t="shared" si="933"/>
        <v>0</v>
      </c>
      <c r="X515" s="1287">
        <f t="shared" si="933"/>
        <v>0</v>
      </c>
      <c r="Y515" s="1287">
        <f t="shared" si="933"/>
        <v>0</v>
      </c>
      <c r="Z515" s="1287">
        <f t="shared" si="933"/>
        <v>0</v>
      </c>
      <c r="AA515" s="1287">
        <f t="shared" si="933"/>
        <v>0</v>
      </c>
      <c r="AB515" s="1286">
        <f t="shared" si="933"/>
        <v>0</v>
      </c>
      <c r="AC515" s="1287">
        <f t="shared" si="933"/>
        <v>0</v>
      </c>
      <c r="AD515" s="1287">
        <f t="shared" si="933"/>
        <v>0</v>
      </c>
      <c r="AE515" s="1287">
        <f t="shared" si="933"/>
        <v>0</v>
      </c>
      <c r="AF515" s="1287">
        <f t="shared" si="933"/>
        <v>0</v>
      </c>
      <c r="AG515" s="1288">
        <f t="shared" si="933"/>
        <v>0</v>
      </c>
      <c r="AU515" s="1239"/>
      <c r="AW515" s="70"/>
      <c r="BW515" s="70"/>
      <c r="BX515" s="70"/>
      <c r="BY515" s="70"/>
      <c r="BZ515" s="70"/>
      <c r="CA515" s="70"/>
      <c r="CB515" s="70"/>
      <c r="CC515" s="70"/>
      <c r="CD515" s="70"/>
      <c r="CE515" s="70"/>
      <c r="CF515" s="70"/>
      <c r="CG515" s="70"/>
      <c r="CH515" s="70"/>
      <c r="CI515" s="70"/>
      <c r="CJ515" s="70"/>
      <c r="CK515" s="70"/>
      <c r="CL515" s="70"/>
      <c r="CM515" s="70"/>
      <c r="CN515" s="70"/>
      <c r="CO515" s="70"/>
      <c r="CP515" s="70"/>
      <c r="CQ515" s="70"/>
      <c r="CR515" s="70"/>
      <c r="CS515" s="70"/>
      <c r="CU515" s="628"/>
      <c r="DH515" s="628"/>
    </row>
    <row r="516" spans="8:112">
      <c r="H516" s="1301"/>
      <c r="I516" s="1250" t="str">
        <f>I489</f>
        <v>Fixed</v>
      </c>
      <c r="J516" s="1251"/>
      <c r="K516" s="828"/>
      <c r="L516" s="828"/>
      <c r="M516" s="829"/>
      <c r="N516" s="828"/>
      <c r="O516" s="829"/>
      <c r="P516" s="828"/>
      <c r="Q516" s="828"/>
      <c r="R516" s="1291" t="str">
        <f>IFERROR(R489/R$488,"")</f>
        <v/>
      </c>
      <c r="S516" s="1291" t="str">
        <f t="shared" ref="S516:AG517" si="934">IFERROR(S489/S$488,"")</f>
        <v/>
      </c>
      <c r="T516" s="1291" t="str">
        <f t="shared" si="934"/>
        <v/>
      </c>
      <c r="U516" s="1291" t="str">
        <f t="shared" si="934"/>
        <v/>
      </c>
      <c r="V516" s="1291" t="str">
        <f t="shared" si="934"/>
        <v/>
      </c>
      <c r="W516" s="1290" t="str">
        <f t="shared" si="934"/>
        <v/>
      </c>
      <c r="X516" s="1291" t="str">
        <f t="shared" si="934"/>
        <v/>
      </c>
      <c r="Y516" s="1291" t="str">
        <f t="shared" si="934"/>
        <v/>
      </c>
      <c r="Z516" s="1291" t="str">
        <f t="shared" si="934"/>
        <v/>
      </c>
      <c r="AA516" s="1291" t="str">
        <f t="shared" si="934"/>
        <v/>
      </c>
      <c r="AB516" s="1290" t="str">
        <f t="shared" si="934"/>
        <v/>
      </c>
      <c r="AC516" s="1291" t="str">
        <f t="shared" si="934"/>
        <v/>
      </c>
      <c r="AD516" s="1291" t="str">
        <f t="shared" si="934"/>
        <v/>
      </c>
      <c r="AE516" s="1291" t="str">
        <f t="shared" si="934"/>
        <v/>
      </c>
      <c r="AF516" s="1291" t="str">
        <f t="shared" si="934"/>
        <v/>
      </c>
      <c r="AG516" s="1292" t="str">
        <f t="shared" si="934"/>
        <v/>
      </c>
      <c r="CU516" s="113"/>
      <c r="DH516" s="113"/>
    </row>
    <row r="517" spans="8:112">
      <c r="H517" s="1301"/>
      <c r="I517" s="1250" t="str">
        <f>I490</f>
        <v>Variable</v>
      </c>
      <c r="J517" s="1251"/>
      <c r="K517" s="828"/>
      <c r="L517" s="828"/>
      <c r="M517" s="829"/>
      <c r="N517" s="828"/>
      <c r="O517" s="829"/>
      <c r="P517" s="828"/>
      <c r="Q517" s="828"/>
      <c r="R517" s="1291" t="str">
        <f>IFERROR(R490/R$488,"")</f>
        <v/>
      </c>
      <c r="S517" s="1291" t="str">
        <f t="shared" si="934"/>
        <v/>
      </c>
      <c r="T517" s="1291" t="str">
        <f t="shared" si="934"/>
        <v/>
      </c>
      <c r="U517" s="1291" t="str">
        <f t="shared" si="934"/>
        <v/>
      </c>
      <c r="V517" s="1291" t="str">
        <f t="shared" si="934"/>
        <v/>
      </c>
      <c r="W517" s="1290" t="str">
        <f t="shared" si="934"/>
        <v/>
      </c>
      <c r="X517" s="1291" t="str">
        <f t="shared" si="934"/>
        <v/>
      </c>
      <c r="Y517" s="1291" t="str">
        <f t="shared" si="934"/>
        <v/>
      </c>
      <c r="Z517" s="1291" t="str">
        <f t="shared" si="934"/>
        <v/>
      </c>
      <c r="AA517" s="1291" t="str">
        <f t="shared" si="934"/>
        <v/>
      </c>
      <c r="AB517" s="1290" t="str">
        <f t="shared" si="934"/>
        <v/>
      </c>
      <c r="AC517" s="1291" t="str">
        <f t="shared" si="934"/>
        <v/>
      </c>
      <c r="AD517" s="1291" t="str">
        <f t="shared" si="934"/>
        <v/>
      </c>
      <c r="AE517" s="1291" t="str">
        <f t="shared" si="934"/>
        <v/>
      </c>
      <c r="AF517" s="1291" t="str">
        <f t="shared" si="934"/>
        <v/>
      </c>
      <c r="AG517" s="1292" t="str">
        <f t="shared" si="934"/>
        <v/>
      </c>
      <c r="CU517" s="113"/>
      <c r="DH517" s="113"/>
    </row>
    <row r="518" spans="8:112" s="1253" customFormat="1" ht="12.75" thickBot="1">
      <c r="H518" s="1277"/>
      <c r="I518" s="1302"/>
      <c r="J518" s="1303"/>
      <c r="K518" s="1304"/>
      <c r="L518" s="1304"/>
      <c r="M518" s="1305"/>
      <c r="N518" s="1304"/>
      <c r="O518" s="1305"/>
      <c r="P518" s="1304"/>
      <c r="Q518" s="1304"/>
      <c r="R518" s="1307"/>
      <c r="S518" s="1307"/>
      <c r="T518" s="1307"/>
      <c r="U518" s="1307"/>
      <c r="V518" s="1307"/>
      <c r="W518" s="1306"/>
      <c r="X518" s="1307"/>
      <c r="Y518" s="1307"/>
      <c r="Z518" s="1307"/>
      <c r="AA518" s="1307"/>
      <c r="AB518" s="1306"/>
      <c r="AC518" s="1307"/>
      <c r="AD518" s="1307"/>
      <c r="AE518" s="1307"/>
      <c r="AF518" s="1307"/>
      <c r="AG518" s="1308"/>
      <c r="AU518" s="1300"/>
      <c r="AW518" s="70"/>
      <c r="BW518" s="84"/>
      <c r="BX518" s="84"/>
      <c r="BY518" s="84"/>
      <c r="BZ518" s="84"/>
      <c r="CA518" s="84"/>
      <c r="CB518" s="84"/>
      <c r="CC518" s="84"/>
      <c r="CD518" s="84"/>
      <c r="CE518" s="84"/>
      <c r="CF518" s="84"/>
      <c r="CG518" s="84"/>
      <c r="CH518" s="84"/>
      <c r="CI518" s="84"/>
      <c r="CJ518" s="84"/>
      <c r="CK518" s="84"/>
      <c r="CL518" s="84"/>
      <c r="CM518" s="84"/>
      <c r="CN518" s="84"/>
      <c r="CO518" s="84"/>
      <c r="CP518" s="84"/>
      <c r="CQ518" s="84"/>
      <c r="CR518" s="84"/>
      <c r="CS518" s="84"/>
      <c r="CU518" s="1446"/>
      <c r="DH518" s="1446"/>
    </row>
    <row r="519" spans="8:112">
      <c r="AU519" s="1300"/>
      <c r="BW519" s="84"/>
      <c r="BX519" s="84"/>
      <c r="BY519" s="84"/>
      <c r="BZ519" s="84"/>
      <c r="CA519" s="84"/>
      <c r="CB519" s="84"/>
      <c r="CC519" s="84"/>
      <c r="CD519" s="84"/>
      <c r="CE519" s="84"/>
      <c r="CF519" s="84"/>
      <c r="CG519" s="84"/>
      <c r="CH519" s="84"/>
      <c r="CI519" s="84"/>
      <c r="CJ519" s="84"/>
      <c r="CK519" s="84"/>
      <c r="CL519" s="84"/>
      <c r="CM519" s="84"/>
      <c r="CN519" s="84"/>
      <c r="CO519" s="84"/>
      <c r="CP519" s="84"/>
      <c r="CQ519" s="84"/>
      <c r="CR519" s="84"/>
      <c r="CS519" s="84"/>
      <c r="CU519" s="113"/>
      <c r="DH519" s="113"/>
    </row>
    <row r="520" spans="8:112">
      <c r="AU520" s="1262"/>
      <c r="BW520" s="1253"/>
      <c r="BX520" s="1253"/>
      <c r="BY520" s="1253"/>
      <c r="BZ520" s="1253"/>
      <c r="CA520" s="1253"/>
      <c r="CB520" s="1253"/>
      <c r="CC520" s="1253"/>
      <c r="CD520" s="1253"/>
      <c r="CE520" s="1253"/>
      <c r="CF520" s="1253"/>
      <c r="CG520" s="1253"/>
      <c r="CH520" s="1253"/>
      <c r="CI520" s="1253"/>
      <c r="CJ520" s="1253"/>
      <c r="CK520" s="1253"/>
      <c r="CL520" s="1253"/>
      <c r="CM520" s="1253"/>
      <c r="CN520" s="1253"/>
      <c r="CO520" s="1253"/>
      <c r="CP520" s="1253"/>
      <c r="CQ520" s="1253"/>
      <c r="CR520" s="1253"/>
      <c r="CS520" s="1253"/>
    </row>
    <row r="521" spans="8:112">
      <c r="AU521" s="1248"/>
      <c r="BW521" s="104"/>
      <c r="BX521" s="104"/>
      <c r="BY521" s="104"/>
      <c r="BZ521" s="104"/>
      <c r="CA521" s="104"/>
      <c r="CB521" s="104"/>
      <c r="CC521" s="104"/>
      <c r="CD521" s="104"/>
      <c r="CE521" s="104"/>
      <c r="CF521" s="104"/>
      <c r="CG521" s="104"/>
      <c r="CH521" s="104"/>
      <c r="CI521" s="104"/>
      <c r="CJ521" s="104"/>
      <c r="CK521" s="104"/>
      <c r="CL521" s="104"/>
      <c r="CM521" s="104"/>
      <c r="CN521" s="104"/>
      <c r="CO521" s="104"/>
      <c r="CP521" s="104"/>
      <c r="CQ521" s="104"/>
      <c r="CR521" s="104"/>
      <c r="CS521" s="104"/>
    </row>
    <row r="525" spans="8:112">
      <c r="AU525" s="1300"/>
      <c r="BW525" s="84"/>
      <c r="BX525" s="84"/>
      <c r="BY525" s="84"/>
      <c r="BZ525" s="84"/>
      <c r="CA525" s="84"/>
      <c r="CB525" s="84"/>
      <c r="CC525" s="84"/>
      <c r="CD525" s="84"/>
      <c r="CE525" s="84"/>
      <c r="CF525" s="84"/>
      <c r="CG525" s="84"/>
      <c r="CH525" s="84"/>
      <c r="CI525" s="84"/>
      <c r="CJ525" s="84"/>
      <c r="CK525" s="84"/>
      <c r="CL525" s="84"/>
      <c r="CM525" s="84"/>
      <c r="CN525" s="84"/>
      <c r="CO525" s="84"/>
      <c r="CP525" s="84"/>
      <c r="CQ525" s="84"/>
      <c r="CR525" s="84"/>
      <c r="CS525" s="84"/>
    </row>
    <row r="526" spans="8:112">
      <c r="AU526" s="1300"/>
      <c r="BW526" s="84"/>
      <c r="BX526" s="84"/>
      <c r="BY526" s="84"/>
      <c r="BZ526" s="84"/>
      <c r="CA526" s="84"/>
      <c r="CB526" s="84"/>
      <c r="CC526" s="84"/>
      <c r="CD526" s="84"/>
      <c r="CE526" s="84"/>
      <c r="CF526" s="84"/>
      <c r="CG526" s="84"/>
      <c r="CH526" s="84"/>
      <c r="CI526" s="84"/>
      <c r="CJ526" s="84"/>
      <c r="CK526" s="84"/>
      <c r="CL526" s="84"/>
      <c r="CM526" s="84"/>
      <c r="CN526" s="84"/>
      <c r="CO526" s="84"/>
      <c r="CP526" s="84"/>
      <c r="CQ526" s="84"/>
      <c r="CR526" s="84"/>
      <c r="CS526" s="84"/>
    </row>
    <row r="527" spans="8:112">
      <c r="AU527" s="1262"/>
      <c r="BW527" s="1253"/>
      <c r="BX527" s="1253"/>
      <c r="BY527" s="1253"/>
      <c r="BZ527" s="1253"/>
      <c r="CA527" s="1253"/>
      <c r="CB527" s="1253"/>
      <c r="CC527" s="1253"/>
      <c r="CD527" s="1253"/>
      <c r="CE527" s="1253"/>
      <c r="CF527" s="1253"/>
      <c r="CG527" s="1253"/>
      <c r="CH527" s="1253"/>
      <c r="CI527" s="1253"/>
      <c r="CJ527" s="1253"/>
      <c r="CK527" s="1253"/>
      <c r="CL527" s="1253"/>
      <c r="CM527" s="1253"/>
      <c r="CN527" s="1253"/>
      <c r="CO527" s="1253"/>
      <c r="CP527" s="1253"/>
      <c r="CQ527" s="1253"/>
      <c r="CR527" s="1253"/>
      <c r="CS527" s="1253"/>
    </row>
    <row r="528" spans="8:112">
      <c r="AU528" s="1248"/>
      <c r="BW528" s="104"/>
      <c r="BX528" s="104"/>
      <c r="BY528" s="104"/>
      <c r="BZ528" s="104"/>
      <c r="CA528" s="104"/>
      <c r="CB528" s="104"/>
      <c r="CC528" s="104"/>
      <c r="CD528" s="104"/>
      <c r="CE528" s="104"/>
      <c r="CF528" s="104"/>
      <c r="CG528" s="104"/>
      <c r="CH528" s="104"/>
      <c r="CI528" s="104"/>
      <c r="CJ528" s="104"/>
      <c r="CK528" s="104"/>
      <c r="CL528" s="104"/>
      <c r="CM528" s="104"/>
      <c r="CN528" s="104"/>
      <c r="CO528" s="104"/>
      <c r="CP528" s="104"/>
      <c r="CQ528" s="104"/>
      <c r="CR528" s="104"/>
      <c r="CS528" s="104"/>
    </row>
    <row r="534" spans="47:97">
      <c r="AU534" s="1300"/>
      <c r="BW534" s="84"/>
      <c r="BX534" s="84"/>
      <c r="BY534" s="84"/>
      <c r="BZ534" s="84"/>
      <c r="CA534" s="84"/>
      <c r="CB534" s="84"/>
      <c r="CC534" s="84"/>
      <c r="CD534" s="84"/>
      <c r="CE534" s="84"/>
      <c r="CF534" s="84"/>
      <c r="CG534" s="84"/>
      <c r="CH534" s="84"/>
      <c r="CI534" s="84"/>
      <c r="CJ534" s="84"/>
      <c r="CK534" s="84"/>
      <c r="CL534" s="84"/>
      <c r="CM534" s="84"/>
      <c r="CN534" s="84"/>
      <c r="CO534" s="84"/>
      <c r="CP534" s="84"/>
      <c r="CQ534" s="84"/>
      <c r="CR534" s="84"/>
      <c r="CS534" s="84"/>
    </row>
    <row r="535" spans="47:97">
      <c r="AU535" s="1300"/>
      <c r="BW535" s="84"/>
      <c r="BX535" s="84"/>
      <c r="BY535" s="84"/>
      <c r="BZ535" s="84"/>
      <c r="CA535" s="84"/>
      <c r="CB535" s="84"/>
      <c r="CC535" s="84"/>
      <c r="CD535" s="84"/>
      <c r="CE535" s="84"/>
      <c r="CF535" s="84"/>
      <c r="CG535" s="84"/>
      <c r="CH535" s="84"/>
      <c r="CI535" s="84"/>
      <c r="CJ535" s="84"/>
      <c r="CK535" s="84"/>
      <c r="CL535" s="84"/>
      <c r="CM535" s="84"/>
      <c r="CN535" s="84"/>
      <c r="CO535" s="84"/>
      <c r="CP535" s="84"/>
      <c r="CQ535" s="84"/>
      <c r="CR535" s="84"/>
      <c r="CS535" s="84"/>
    </row>
    <row r="536" spans="47:97">
      <c r="AU536" s="1262"/>
      <c r="BW536" s="1253"/>
      <c r="BX536" s="1253"/>
      <c r="BY536" s="1253"/>
      <c r="BZ536" s="1253"/>
      <c r="CA536" s="1253"/>
      <c r="CB536" s="1253"/>
      <c r="CC536" s="1253"/>
      <c r="CD536" s="1253"/>
      <c r="CE536" s="1253"/>
      <c r="CF536" s="1253"/>
      <c r="CG536" s="1253"/>
      <c r="CH536" s="1253"/>
      <c r="CI536" s="1253"/>
      <c r="CJ536" s="1253"/>
      <c r="CK536" s="1253"/>
      <c r="CL536" s="1253"/>
      <c r="CM536" s="1253"/>
      <c r="CN536" s="1253"/>
      <c r="CO536" s="1253"/>
      <c r="CP536" s="1253"/>
      <c r="CQ536" s="1253"/>
      <c r="CR536" s="1253"/>
      <c r="CS536" s="1253"/>
    </row>
    <row r="537" spans="47:97">
      <c r="AU537" s="1248"/>
      <c r="BW537" s="104"/>
      <c r="BX537" s="104"/>
      <c r="BY537" s="104"/>
      <c r="BZ537" s="104"/>
      <c r="CA537" s="104"/>
      <c r="CB537" s="104"/>
      <c r="CC537" s="104"/>
      <c r="CD537" s="104"/>
      <c r="CE537" s="104"/>
      <c r="CF537" s="104"/>
      <c r="CG537" s="104"/>
      <c r="CH537" s="104"/>
      <c r="CI537" s="104"/>
      <c r="CJ537" s="104"/>
      <c r="CK537" s="104"/>
      <c r="CL537" s="104"/>
      <c r="CM537" s="104"/>
      <c r="CN537" s="104"/>
      <c r="CO537" s="104"/>
      <c r="CP537" s="104"/>
      <c r="CQ537" s="104"/>
      <c r="CR537" s="104"/>
      <c r="CS537" s="104"/>
    </row>
    <row r="543" spans="47:97">
      <c r="AU543" s="1300"/>
      <c r="BW543" s="84"/>
      <c r="BX543" s="84"/>
      <c r="BY543" s="84"/>
      <c r="BZ543" s="84"/>
      <c r="CA543" s="84"/>
      <c r="CB543" s="84"/>
      <c r="CC543" s="84"/>
      <c r="CD543" s="84"/>
      <c r="CE543" s="84"/>
      <c r="CF543" s="84"/>
      <c r="CG543" s="84"/>
      <c r="CH543" s="84"/>
      <c r="CI543" s="84"/>
      <c r="CJ543" s="84"/>
      <c r="CK543" s="84"/>
      <c r="CL543" s="84"/>
      <c r="CM543" s="84"/>
      <c r="CN543" s="84"/>
      <c r="CO543" s="84"/>
      <c r="CP543" s="84"/>
      <c r="CQ543" s="84"/>
      <c r="CR543" s="84"/>
      <c r="CS543" s="84"/>
    </row>
    <row r="544" spans="47:97">
      <c r="AU544" s="1300"/>
      <c r="BW544" s="84"/>
      <c r="BX544" s="84"/>
      <c r="BY544" s="84"/>
      <c r="BZ544" s="84"/>
      <c r="CA544" s="84"/>
      <c r="CB544" s="84"/>
      <c r="CC544" s="84"/>
      <c r="CD544" s="84"/>
      <c r="CE544" s="84"/>
      <c r="CF544" s="84"/>
      <c r="CG544" s="84"/>
      <c r="CH544" s="84"/>
      <c r="CI544" s="84"/>
      <c r="CJ544" s="84"/>
      <c r="CK544" s="84"/>
      <c r="CL544" s="84"/>
      <c r="CM544" s="84"/>
      <c r="CN544" s="84"/>
      <c r="CO544" s="84"/>
      <c r="CP544" s="84"/>
      <c r="CQ544" s="84"/>
      <c r="CR544" s="84"/>
      <c r="CS544" s="84"/>
    </row>
    <row r="545" spans="47:97">
      <c r="AU545" s="1262"/>
      <c r="BW545" s="1253"/>
      <c r="BX545" s="1253"/>
      <c r="BY545" s="1253"/>
      <c r="BZ545" s="1253"/>
      <c r="CA545" s="1253"/>
      <c r="CB545" s="1253"/>
      <c r="CC545" s="1253"/>
      <c r="CD545" s="1253"/>
      <c r="CE545" s="1253"/>
      <c r="CF545" s="1253"/>
      <c r="CG545" s="1253"/>
      <c r="CH545" s="1253"/>
      <c r="CI545" s="1253"/>
      <c r="CJ545" s="1253"/>
      <c r="CK545" s="1253"/>
      <c r="CL545" s="1253"/>
      <c r="CM545" s="1253"/>
      <c r="CN545" s="1253"/>
      <c r="CO545" s="1253"/>
      <c r="CP545" s="1253"/>
      <c r="CQ545" s="1253"/>
      <c r="CR545" s="1253"/>
      <c r="CS545" s="1253"/>
    </row>
    <row r="546" spans="47:97">
      <c r="AU546" s="1248"/>
      <c r="BW546" s="104"/>
      <c r="BX546" s="104"/>
      <c r="BY546" s="104"/>
      <c r="BZ546" s="104"/>
      <c r="CA546" s="104"/>
      <c r="CB546" s="104"/>
      <c r="CC546" s="104"/>
      <c r="CD546" s="104"/>
      <c r="CE546" s="104"/>
      <c r="CF546" s="104"/>
      <c r="CG546" s="104"/>
      <c r="CH546" s="104"/>
      <c r="CI546" s="104"/>
      <c r="CJ546" s="104"/>
      <c r="CK546" s="104"/>
      <c r="CL546" s="104"/>
      <c r="CM546" s="104"/>
      <c r="CN546" s="104"/>
      <c r="CO546" s="104"/>
      <c r="CP546" s="104"/>
      <c r="CQ546" s="104"/>
      <c r="CR546" s="104"/>
      <c r="CS546" s="104"/>
    </row>
    <row r="552" spans="47:97">
      <c r="AU552" s="1300"/>
      <c r="BW552" s="84"/>
      <c r="BX552" s="84"/>
      <c r="BY552" s="84"/>
      <c r="BZ552" s="84"/>
      <c r="CA552" s="84"/>
      <c r="CB552" s="84"/>
      <c r="CC552" s="84"/>
      <c r="CD552" s="84"/>
      <c r="CE552" s="84"/>
      <c r="CF552" s="84"/>
      <c r="CG552" s="84"/>
      <c r="CH552" s="84"/>
      <c r="CI552" s="84"/>
      <c r="CJ552" s="84"/>
      <c r="CK552" s="84"/>
      <c r="CL552" s="84"/>
      <c r="CM552" s="84"/>
      <c r="CN552" s="84"/>
      <c r="CO552" s="84"/>
      <c r="CP552" s="84"/>
      <c r="CQ552" s="84"/>
      <c r="CR552" s="84"/>
      <c r="CS552" s="84"/>
    </row>
    <row r="553" spans="47:97">
      <c r="AU553" s="1300"/>
      <c r="BW553" s="84"/>
      <c r="BX553" s="84"/>
      <c r="BY553" s="84"/>
      <c r="BZ553" s="84"/>
      <c r="CA553" s="84"/>
      <c r="CB553" s="84"/>
      <c r="CC553" s="84"/>
      <c r="CD553" s="84"/>
      <c r="CE553" s="84"/>
      <c r="CF553" s="84"/>
      <c r="CG553" s="84"/>
      <c r="CH553" s="84"/>
      <c r="CI553" s="84"/>
      <c r="CJ553" s="84"/>
      <c r="CK553" s="84"/>
      <c r="CL553" s="84"/>
      <c r="CM553" s="84"/>
      <c r="CN553" s="84"/>
      <c r="CO553" s="84"/>
      <c r="CP553" s="84"/>
      <c r="CQ553" s="84"/>
      <c r="CR553" s="84"/>
      <c r="CS553" s="84"/>
    </row>
    <row r="554" spans="47:97">
      <c r="AU554" s="1262"/>
      <c r="BW554" s="1253"/>
      <c r="BX554" s="1253"/>
      <c r="BY554" s="1253"/>
      <c r="BZ554" s="1253"/>
      <c r="CA554" s="1253"/>
      <c r="CB554" s="1253"/>
      <c r="CC554" s="1253"/>
      <c r="CD554" s="1253"/>
      <c r="CE554" s="1253"/>
      <c r="CF554" s="1253"/>
      <c r="CG554" s="1253"/>
      <c r="CH554" s="1253"/>
      <c r="CI554" s="1253"/>
      <c r="CJ554" s="1253"/>
      <c r="CK554" s="1253"/>
      <c r="CL554" s="1253"/>
      <c r="CM554" s="1253"/>
      <c r="CN554" s="1253"/>
      <c r="CO554" s="1253"/>
      <c r="CP554" s="1253"/>
      <c r="CQ554" s="1253"/>
      <c r="CR554" s="1253"/>
      <c r="CS554" s="1253"/>
    </row>
    <row r="555" spans="47:97">
      <c r="AU555" s="1248"/>
      <c r="BW555" s="104"/>
      <c r="BX555" s="104"/>
      <c r="BY555" s="104"/>
      <c r="BZ555" s="104"/>
      <c r="CA555" s="104"/>
      <c r="CB555" s="104"/>
      <c r="CC555" s="104"/>
      <c r="CD555" s="104"/>
      <c r="CE555" s="104"/>
      <c r="CF555" s="104"/>
      <c r="CG555" s="104"/>
      <c r="CH555" s="104"/>
      <c r="CI555" s="104"/>
      <c r="CJ555" s="104"/>
      <c r="CK555" s="104"/>
      <c r="CL555" s="104"/>
      <c r="CM555" s="104"/>
      <c r="CN555" s="104"/>
      <c r="CO555" s="104"/>
      <c r="CP555" s="104"/>
      <c r="CQ555" s="104"/>
      <c r="CR555" s="104"/>
      <c r="CS555" s="104"/>
    </row>
    <row r="561" spans="47:97">
      <c r="AU561" s="1300"/>
      <c r="BW561" s="84"/>
      <c r="BX561" s="84"/>
      <c r="BY561" s="84"/>
      <c r="BZ561" s="84"/>
      <c r="CA561" s="84"/>
      <c r="CB561" s="84"/>
      <c r="CC561" s="84"/>
      <c r="CD561" s="84"/>
      <c r="CE561" s="84"/>
      <c r="CF561" s="84"/>
      <c r="CG561" s="84"/>
      <c r="CH561" s="84"/>
      <c r="CI561" s="84"/>
      <c r="CJ561" s="84"/>
      <c r="CK561" s="84"/>
      <c r="CL561" s="84"/>
      <c r="CM561" s="84"/>
      <c r="CN561" s="84"/>
      <c r="CO561" s="84"/>
      <c r="CP561" s="84"/>
      <c r="CQ561" s="84"/>
      <c r="CR561" s="84"/>
      <c r="CS561" s="84"/>
    </row>
    <row r="562" spans="47:97">
      <c r="AU562" s="1300"/>
      <c r="BW562" s="84"/>
      <c r="BX562" s="84"/>
      <c r="BY562" s="84"/>
      <c r="BZ562" s="84"/>
      <c r="CA562" s="84"/>
      <c r="CB562" s="84"/>
      <c r="CC562" s="84"/>
      <c r="CD562" s="84"/>
      <c r="CE562" s="84"/>
      <c r="CF562" s="84"/>
      <c r="CG562" s="84"/>
      <c r="CH562" s="84"/>
      <c r="CI562" s="84"/>
      <c r="CJ562" s="84"/>
      <c r="CK562" s="84"/>
      <c r="CL562" s="84"/>
      <c r="CM562" s="84"/>
      <c r="CN562" s="84"/>
      <c r="CO562" s="84"/>
      <c r="CP562" s="84"/>
      <c r="CQ562" s="84"/>
      <c r="CR562" s="84"/>
      <c r="CS562" s="84"/>
    </row>
    <row r="563" spans="47:97">
      <c r="AU563" s="1262"/>
      <c r="BW563" s="1253"/>
      <c r="BX563" s="1253"/>
      <c r="BY563" s="1253"/>
      <c r="BZ563" s="1253"/>
      <c r="CA563" s="1253"/>
      <c r="CB563" s="1253"/>
      <c r="CC563" s="1253"/>
      <c r="CD563" s="1253"/>
      <c r="CE563" s="1253"/>
      <c r="CF563" s="1253"/>
      <c r="CG563" s="1253"/>
      <c r="CH563" s="1253"/>
      <c r="CI563" s="1253"/>
      <c r="CJ563" s="1253"/>
      <c r="CK563" s="1253"/>
      <c r="CL563" s="1253"/>
      <c r="CM563" s="1253"/>
      <c r="CN563" s="1253"/>
      <c r="CO563" s="1253"/>
      <c r="CP563" s="1253"/>
      <c r="CQ563" s="1253"/>
      <c r="CR563" s="1253"/>
      <c r="CS563" s="1253"/>
    </row>
  </sheetData>
  <sheetProtection algorithmName="SHA-512" hashValue="0BtCYb7mL/ELCzZmjD4B4ZJCeDLVpewko2D0A2ybxNHrroQAd7ENJmTZtk9byvE17VsW/au94WsYDn98zXauZQ==" saltValue="DK4us9qCqHDuIvGTxTrg7w==" spinCount="100000" sheet="1"/>
  <autoFilter ref="E65:AG440" xr:uid="{00000000-0001-0000-0B00-000000000000}"/>
  <mergeCells count="29">
    <mergeCell ref="DK62:DR63"/>
    <mergeCell ref="CN52:CR52"/>
    <mergeCell ref="CW64:CZ64"/>
    <mergeCell ref="DO64:DR64"/>
    <mergeCell ref="CI64:CM64"/>
    <mergeCell ref="CN64:CR64"/>
    <mergeCell ref="DA64:DE64"/>
    <mergeCell ref="DK64:DN64"/>
    <mergeCell ref="CI52:CM52"/>
    <mergeCell ref="CA52:CH52"/>
    <mergeCell ref="CA64:CH64"/>
    <mergeCell ref="AO64:AS64"/>
    <mergeCell ref="BH64:BL64"/>
    <mergeCell ref="BM64:BQ64"/>
    <mergeCell ref="BH52:BL52"/>
    <mergeCell ref="BM52:BQ52"/>
    <mergeCell ref="BG63:BQ63"/>
    <mergeCell ref="CH63:CR63"/>
    <mergeCell ref="BS62:BV63"/>
    <mergeCell ref="AZ63:BF63"/>
    <mergeCell ref="AZ62:BQ62"/>
    <mergeCell ref="CA63:CG63"/>
    <mergeCell ref="Y34:AA34"/>
    <mergeCell ref="AD34:AF34"/>
    <mergeCell ref="C3:G3"/>
    <mergeCell ref="I467:AG467"/>
    <mergeCell ref="AZ52:BG52"/>
    <mergeCell ref="AZ51:BQ51"/>
    <mergeCell ref="AZ64:BG64"/>
  </mergeCells>
  <phoneticPr fontId="0" type="noConversion"/>
  <conditionalFormatting sqref="K455:AG455">
    <cfRule type="containsText" dxfId="69" priority="20" operator="containsText" text="1">
      <formula>NOT(ISERROR(SEARCH("1",K455)))</formula>
    </cfRule>
  </conditionalFormatting>
  <conditionalFormatting sqref="O455:AG455">
    <cfRule type="cellIs" dxfId="68" priority="1" operator="equal">
      <formula>0</formula>
    </cfRule>
  </conditionalFormatting>
  <conditionalFormatting sqref="X35">
    <cfRule type="expression" dxfId="67" priority="42" stopIfTrue="1">
      <formula>X35="PRICE CONTROL OK"</formula>
    </cfRule>
    <cfRule type="expression" dxfId="66" priority="43" stopIfTrue="1">
      <formula>X35="BREACH"</formula>
    </cfRule>
    <cfRule type="expression" dxfId="65" priority="44" stopIfTrue="1">
      <formula>X35="INSUFFICIENT"</formula>
    </cfRule>
  </conditionalFormatting>
  <conditionalFormatting sqref="X59:AG59">
    <cfRule type="containsText" dxfId="64" priority="21" stopIfTrue="1" operator="containsText" text="CHECK">
      <formula>NOT(ISERROR(SEARCH("CHECK",X59)))</formula>
    </cfRule>
  </conditionalFormatting>
  <conditionalFormatting sqref="Y34">
    <cfRule type="cellIs" dxfId="63" priority="28" stopIfTrue="1" operator="equal">
      <formula>"BREACH"</formula>
    </cfRule>
    <cfRule type="cellIs" dxfId="62" priority="29" stopIfTrue="1" operator="equal">
      <formula>"PRICE CONTROL OK"</formula>
    </cfRule>
    <cfRule type="cellIs" dxfId="61" priority="30" stopIfTrue="1" operator="equal">
      <formula>"INSUFFICIENT REVENUE"</formula>
    </cfRule>
  </conditionalFormatting>
  <conditionalFormatting sqref="AC35">
    <cfRule type="expression" dxfId="60" priority="25" stopIfTrue="1">
      <formula>AC35="PRICE CONTROL OK"</formula>
    </cfRule>
    <cfRule type="expression" dxfId="59" priority="26" stopIfTrue="1">
      <formula>AC35="BREACH"</formula>
    </cfRule>
    <cfRule type="expression" dxfId="58" priority="27" stopIfTrue="1">
      <formula>AC35="INSUFFICIENT"</formula>
    </cfRule>
  </conditionalFormatting>
  <conditionalFormatting sqref="AD34">
    <cfRule type="cellIs" dxfId="57" priority="22" stopIfTrue="1" operator="equal">
      <formula>"BREACH"</formula>
    </cfRule>
    <cfRule type="cellIs" dxfId="56" priority="23" stopIfTrue="1" operator="equal">
      <formula>"PRICE CONTROL OK"</formula>
    </cfRule>
    <cfRule type="cellIs" dxfId="55" priority="24" stopIfTrue="1" operator="equal">
      <formula>"INSUFFICIENT REVENUE"</formula>
    </cfRule>
  </conditionalFormatting>
  <conditionalFormatting sqref="AY34:BB34">
    <cfRule type="expression" dxfId="54" priority="11" stopIfTrue="1">
      <formula>AY34="PRICE CONTROL OK"</formula>
    </cfRule>
    <cfRule type="expression" dxfId="53" priority="12" stopIfTrue="1">
      <formula>AY34="BREACH"</formula>
    </cfRule>
    <cfRule type="expression" dxfId="52" priority="13" stopIfTrue="1">
      <formula>AY34="INSUFFICIENT"</formula>
    </cfRule>
  </conditionalFormatting>
  <conditionalFormatting sqref="CV34">
    <cfRule type="expression" dxfId="51" priority="8" stopIfTrue="1">
      <formula>CV34="PRICE CONTROL OK"</formula>
    </cfRule>
    <cfRule type="expression" dxfId="50" priority="9" stopIfTrue="1">
      <formula>CV34="BREACH"</formula>
    </cfRule>
    <cfRule type="expression" dxfId="49" priority="10" stopIfTrue="1">
      <formula>CV34="INSUFFICIENT"</formula>
    </cfRule>
  </conditionalFormatting>
  <conditionalFormatting sqref="DI34:DJ34">
    <cfRule type="expression" dxfId="48" priority="5" stopIfTrue="1">
      <formula>DI34="PRICE CONTROL OK"</formula>
    </cfRule>
    <cfRule type="expression" dxfId="47" priority="6" stopIfTrue="1">
      <formula>DI34="BREACH"</formula>
    </cfRule>
    <cfRule type="expression" dxfId="46" priority="7" stopIfTrue="1">
      <formula>DI34="INSUFFICIENT"</formula>
    </cfRule>
  </conditionalFormatting>
  <dataValidations count="3">
    <dataValidation type="list" allowBlank="1" showInputMessage="1" showErrorMessage="1" sqref="F438 F432 F435 F426 F423 F429 F75 F72 F69 F78 F81 F96 F111 F126 F141 F156 F171 F186 F201 F216 F231 F246 F261 F276 F291 F306 F321 F336 F351 F366 F381 F396 F411 F90 F105 F120 F135 F150 F165 F180 F195 F210 F225 F240 F255 F270 F285 F300 F315 F330 F345 F360 F375 F390 F405 F420 F87 F102 F117 F132 F147 F162 F177 F192 F207 F222 F237 F252 F267 F282 F297 F312 F327 F342 F357 F372 F387 F402 F417 F84 F99 F114 F129 F144 F159 F174 F189 F204 F219 F234 F249 F264 F279 F294 F309 F324 F339 F354 F369 F384 F399 F414 F93 F108 F123 F138 F153 F168 F183 F198 F213 F228 F243 F258 F273 F288 F303 F318 F333 F348 F363 F378 F393 F408 F66" xr:uid="{00000000-0002-0000-0B00-000000000000}">
      <formula1>Price_Asset_Class</formula1>
    </dataValidation>
    <dataValidation type="list" allowBlank="1" showInputMessage="1" showErrorMessage="1" sqref="I426 I435 I432 I423 I429 I438 I69 I72 I75 I66 I78 I84 I99 I114 I129 I144 I159 I174 I189 I204 I219 I234 I249 I264 I279 I294 I309 I324 I339 I354 I369 I384 I399 I414 I87 I102 I117 I132 I147 I162 I177 I192 I207 I222 I237 I252 I267 I282 I297 I312 I327 I342 I357 I372 I387 I402 I417 I90 I105 I120 I135 I150 I165 I180 I195 I210 I225 I240 I255 I270 I285 I300 I315 I330 I345 I360 I375 I390 I405 I420 I81 I96 I111 I126 I141 I156 I171 I186 I201 I216 I231 I246 I261 I276 I291 I306 I321 I336 I351 I366 I381 I396 I411 I93 I108 I123 I138 I153 I168 I183 I198 I213 I228 I243 I258 I273 I288 I303 I318 I333 I348 I363 I378 I393 I408" xr:uid="{00000000-0002-0000-0B00-000001000000}">
      <formula1>Fixed_or_Var</formula1>
    </dataValidation>
    <dataValidation type="list" allowBlank="1" showInputMessage="1" showErrorMessage="1" sqref="J424 J439 J436 J433 J427 J430 J67 J76 J79 J70 J73 J82 J97 J112 J127 J142 J157 J172 J187 J202 J217 J232 J247 J262 J277 J292 J307 J322 J337 J352 J367 J382 J397 J412 J91 J106 J121 J136 J151 J166 J181 J196 J211 J226 J241 J256 J271 J286 J301 J316 J331 J346 J361 J376 J391 J406 J421 J94 J109 J124 J139 J154 J169 J184 J199 J214 J229 J244 J259 J274 J289 J304 J319 J334 J349 J364 J379 J394 J409 J85 J100 J115 J130 J145 J160 J175 J190 J205 J220 J235 J250 J265 J280 J295 J310 J325 J340 J355 J370 J385 J400 J415 J88 J103 J118 J133 J148 J163 J178 J193 J208 J223 J238 J253 J268 J283 J298 J313 J328 J343 J358 J373 J388 J403 J418" xr:uid="{00000000-0002-0000-0B00-000002000000}">
      <formula1>Pricing_Unit</formula1>
    </dataValidation>
  </dataValidations>
  <hyperlinks>
    <hyperlink ref="C3" location="HL_Home" tooltip="Go to Table of Contents" display="HL_Home" xr:uid="{00000000-0004-0000-0B00-000000000000}"/>
  </hyperlinks>
  <pageMargins left="0.39370078740157499" right="0.39370078740157499" top="0.59055118110236249" bottom="0.98425196850393748" header="0" footer="0.31496062992125973"/>
  <pageSetup paperSize="9" scale="68" orientation="landscape" r:id="rId1"/>
  <headerFooter alignWithMargins="0">
    <oddHeader>&amp;C&amp;"Calibri"&amp;12&amp;KFF0000 OFFICIAL&amp;1#_x000D_&amp;"Arial"&amp;8&amp;K000000&amp;B&amp;"Arial"&amp;12&amp;Kff0000​‌OFFICIAL‌​</oddHeader>
    <oddFooter>&amp;C&amp;"Arial,Bold"&amp;8Sheet k.
Page &amp;P of &amp;N&amp;L&amp;"Arial,Bold"&amp;7&amp;F
&amp;A
Printed: &amp;T on &amp;D</oddFooter>
  </headerFooter>
  <rowBreaks count="10" manualBreakCount="10">
    <brk id="59" min="2" max="24" man="1"/>
    <brk id="95" min="2" max="24" man="1"/>
    <brk id="125" min="2" max="24" man="1"/>
    <brk id="155" min="2" max="24" man="1"/>
    <brk id="182" min="2" max="24" man="1"/>
    <brk id="212" min="2" max="24" man="1"/>
    <brk id="242" min="2" max="24" man="1"/>
    <brk id="272" min="2" max="24" man="1"/>
    <brk id="302" min="2" max="24" man="1"/>
    <brk id="332" min="2" max="24" man="1"/>
  </rowBreaks>
  <extLst>
    <ext xmlns:x14="http://schemas.microsoft.com/office/spreadsheetml/2009/9/main" uri="{05C60535-1F16-4fd2-B633-F4F36F0B64E0}">
      <x14:sparklineGroups xmlns:xm="http://schemas.microsoft.com/office/excel/2006/main">
        <x14:sparklineGroup manualMax="0" manualMin="0" displayEmptyCellsAs="gap" xr2:uid="{00000000-0003-0000-0B00-000000000000}">
          <x14:colorSeries theme="9" tint="-0.249977111117893"/>
          <x14:colorNegative theme="4"/>
          <x14:colorAxis rgb="FF000000"/>
          <x14:colorMarkers theme="4" tint="-0.249977111117893"/>
          <x14:colorFirst theme="4" tint="-0.249977111117893"/>
          <x14:colorLast theme="4" tint="-0.249977111117893"/>
          <x14:colorHigh theme="4" tint="-0.249977111117893"/>
          <x14:colorLow theme="4" tint="-0.249977111117893"/>
          <x14:sparklines>
            <x14:sparkline>
              <xm:f>RevenuePriceCap_FO!AZ66:BG66</xm:f>
              <xm:sqref>BS66</xm:sqref>
            </x14:sparkline>
            <x14:sparkline>
              <xm:f>RevenuePriceCap_FO!AZ67:BG67</xm:f>
              <xm:sqref>BS67</xm:sqref>
            </x14:sparkline>
            <x14:sparkline>
              <xm:f>RevenuePriceCap_FO!AZ68:BG68</xm:f>
              <xm:sqref>BS68</xm:sqref>
            </x14:sparkline>
            <x14:sparkline>
              <xm:f>RevenuePriceCap_FO!AZ69:BG69</xm:f>
              <xm:sqref>BS69</xm:sqref>
            </x14:sparkline>
            <x14:sparkline>
              <xm:f>RevenuePriceCap_FO!AZ70:BG70</xm:f>
              <xm:sqref>BS70</xm:sqref>
            </x14:sparkline>
            <x14:sparkline>
              <xm:f>RevenuePriceCap_FO!AZ71:BG71</xm:f>
              <xm:sqref>BS71</xm:sqref>
            </x14:sparkline>
            <x14:sparkline>
              <xm:f>RevenuePriceCap_FO!AZ72:BG72</xm:f>
              <xm:sqref>BS72</xm:sqref>
            </x14:sparkline>
            <x14:sparkline>
              <xm:f>RevenuePriceCap_FO!AZ73:BG73</xm:f>
              <xm:sqref>BS73</xm:sqref>
            </x14:sparkline>
            <x14:sparkline>
              <xm:f>RevenuePriceCap_FO!AZ74:BG74</xm:f>
              <xm:sqref>BS74</xm:sqref>
            </x14:sparkline>
            <x14:sparkline>
              <xm:f>RevenuePriceCap_FO!AZ75:BG75</xm:f>
              <xm:sqref>BS75</xm:sqref>
            </x14:sparkline>
            <x14:sparkline>
              <xm:f>RevenuePriceCap_FO!AZ76:BG76</xm:f>
              <xm:sqref>BS76</xm:sqref>
            </x14:sparkline>
            <x14:sparkline>
              <xm:f>RevenuePriceCap_FO!AZ77:BG77</xm:f>
              <xm:sqref>BS77</xm:sqref>
            </x14:sparkline>
            <x14:sparkline>
              <xm:f>RevenuePriceCap_FO!AZ78:BG78</xm:f>
              <xm:sqref>BS78</xm:sqref>
            </x14:sparkline>
            <x14:sparkline>
              <xm:f>RevenuePriceCap_FO!AZ79:BG79</xm:f>
              <xm:sqref>BS79</xm:sqref>
            </x14:sparkline>
            <x14:sparkline>
              <xm:f>RevenuePriceCap_FO!AZ80:BG80</xm:f>
              <xm:sqref>BS80</xm:sqref>
            </x14:sparkline>
            <x14:sparkline>
              <xm:f>RevenuePriceCap_FO!AZ81:BG81</xm:f>
              <xm:sqref>BS81</xm:sqref>
            </x14:sparkline>
            <x14:sparkline>
              <xm:f>RevenuePriceCap_FO!AZ82:BG82</xm:f>
              <xm:sqref>BS82</xm:sqref>
            </x14:sparkline>
            <x14:sparkline>
              <xm:f>RevenuePriceCap_FO!AZ83:BG83</xm:f>
              <xm:sqref>BS83</xm:sqref>
            </x14:sparkline>
            <x14:sparkline>
              <xm:f>RevenuePriceCap_FO!AZ84:BG84</xm:f>
              <xm:sqref>BS84</xm:sqref>
            </x14:sparkline>
            <x14:sparkline>
              <xm:f>RevenuePriceCap_FO!AZ85:BG85</xm:f>
              <xm:sqref>BS85</xm:sqref>
            </x14:sparkline>
            <x14:sparkline>
              <xm:f>RevenuePriceCap_FO!AZ86:BG86</xm:f>
              <xm:sqref>BS86</xm:sqref>
            </x14:sparkline>
            <x14:sparkline>
              <xm:f>RevenuePriceCap_FO!AZ87:BG87</xm:f>
              <xm:sqref>BS87</xm:sqref>
            </x14:sparkline>
            <x14:sparkline>
              <xm:f>RevenuePriceCap_FO!AZ88:BG88</xm:f>
              <xm:sqref>BS88</xm:sqref>
            </x14:sparkline>
            <x14:sparkline>
              <xm:f>RevenuePriceCap_FO!AZ89:BG89</xm:f>
              <xm:sqref>BS89</xm:sqref>
            </x14:sparkline>
            <x14:sparkline>
              <xm:f>RevenuePriceCap_FO!AZ90:BG90</xm:f>
              <xm:sqref>BS90</xm:sqref>
            </x14:sparkline>
            <x14:sparkline>
              <xm:f>RevenuePriceCap_FO!AZ91:BG91</xm:f>
              <xm:sqref>BS91</xm:sqref>
            </x14:sparkline>
            <x14:sparkline>
              <xm:f>RevenuePriceCap_FO!AZ92:BG92</xm:f>
              <xm:sqref>BS92</xm:sqref>
            </x14:sparkline>
            <x14:sparkline>
              <xm:f>RevenuePriceCap_FO!AZ93:BG93</xm:f>
              <xm:sqref>BS93</xm:sqref>
            </x14:sparkline>
            <x14:sparkline>
              <xm:f>RevenuePriceCap_FO!AZ94:BG94</xm:f>
              <xm:sqref>BS94</xm:sqref>
            </x14:sparkline>
            <x14:sparkline>
              <xm:f>RevenuePriceCap_FO!AZ95:BG95</xm:f>
              <xm:sqref>BS95</xm:sqref>
            </x14:sparkline>
            <x14:sparkline>
              <xm:f>RevenuePriceCap_FO!AZ96:BG96</xm:f>
              <xm:sqref>BS96</xm:sqref>
            </x14:sparkline>
            <x14:sparkline>
              <xm:f>RevenuePriceCap_FO!AZ97:BG97</xm:f>
              <xm:sqref>BS97</xm:sqref>
            </x14:sparkline>
            <x14:sparkline>
              <xm:f>RevenuePriceCap_FO!AZ98:BG98</xm:f>
              <xm:sqref>BS98</xm:sqref>
            </x14:sparkline>
            <x14:sparkline>
              <xm:f>RevenuePriceCap_FO!AZ99:BG99</xm:f>
              <xm:sqref>BS99</xm:sqref>
            </x14:sparkline>
            <x14:sparkline>
              <xm:f>RevenuePriceCap_FO!AZ100:BG100</xm:f>
              <xm:sqref>BS100</xm:sqref>
            </x14:sparkline>
            <x14:sparkline>
              <xm:f>RevenuePriceCap_FO!AZ101:BG101</xm:f>
              <xm:sqref>BS101</xm:sqref>
            </x14:sparkline>
            <x14:sparkline>
              <xm:f>RevenuePriceCap_FO!AZ102:BG102</xm:f>
              <xm:sqref>BS102</xm:sqref>
            </x14:sparkline>
            <x14:sparkline>
              <xm:f>RevenuePriceCap_FO!AZ103:BG103</xm:f>
              <xm:sqref>BS103</xm:sqref>
            </x14:sparkline>
            <x14:sparkline>
              <xm:f>RevenuePriceCap_FO!AZ104:BG104</xm:f>
              <xm:sqref>BS104</xm:sqref>
            </x14:sparkline>
            <x14:sparkline>
              <xm:f>RevenuePriceCap_FO!AZ105:BG105</xm:f>
              <xm:sqref>BS105</xm:sqref>
            </x14:sparkline>
            <x14:sparkline>
              <xm:f>RevenuePriceCap_FO!AZ106:BG106</xm:f>
              <xm:sqref>BS106</xm:sqref>
            </x14:sparkline>
            <x14:sparkline>
              <xm:f>RevenuePriceCap_FO!AZ107:BG107</xm:f>
              <xm:sqref>BS107</xm:sqref>
            </x14:sparkline>
            <x14:sparkline>
              <xm:f>RevenuePriceCap_FO!AZ108:BG108</xm:f>
              <xm:sqref>BS108</xm:sqref>
            </x14:sparkline>
            <x14:sparkline>
              <xm:f>RevenuePriceCap_FO!AZ109:BG109</xm:f>
              <xm:sqref>BS109</xm:sqref>
            </x14:sparkline>
            <x14:sparkline>
              <xm:f>RevenuePriceCap_FO!AZ110:BG110</xm:f>
              <xm:sqref>BS110</xm:sqref>
            </x14:sparkline>
            <x14:sparkline>
              <xm:f>RevenuePriceCap_FO!AZ111:BG111</xm:f>
              <xm:sqref>BS111</xm:sqref>
            </x14:sparkline>
            <x14:sparkline>
              <xm:f>RevenuePriceCap_FO!AZ112:BG112</xm:f>
              <xm:sqref>BS112</xm:sqref>
            </x14:sparkline>
            <x14:sparkline>
              <xm:f>RevenuePriceCap_FO!AZ113:BG113</xm:f>
              <xm:sqref>BS113</xm:sqref>
            </x14:sparkline>
            <x14:sparkline>
              <xm:f>RevenuePriceCap_FO!AZ114:BG114</xm:f>
              <xm:sqref>BS114</xm:sqref>
            </x14:sparkline>
            <x14:sparkline>
              <xm:f>RevenuePriceCap_FO!AZ115:BG115</xm:f>
              <xm:sqref>BS115</xm:sqref>
            </x14:sparkline>
            <x14:sparkline>
              <xm:f>RevenuePriceCap_FO!AZ116:BG116</xm:f>
              <xm:sqref>BS116</xm:sqref>
            </x14:sparkline>
            <x14:sparkline>
              <xm:f>RevenuePriceCap_FO!AZ117:BG117</xm:f>
              <xm:sqref>BS117</xm:sqref>
            </x14:sparkline>
            <x14:sparkline>
              <xm:f>RevenuePriceCap_FO!AZ118:BG118</xm:f>
              <xm:sqref>BS118</xm:sqref>
            </x14:sparkline>
            <x14:sparkline>
              <xm:f>RevenuePriceCap_FO!AZ119:BG119</xm:f>
              <xm:sqref>BS119</xm:sqref>
            </x14:sparkline>
            <x14:sparkline>
              <xm:f>RevenuePriceCap_FO!AZ120:BG120</xm:f>
              <xm:sqref>BS120</xm:sqref>
            </x14:sparkline>
            <x14:sparkline>
              <xm:f>RevenuePriceCap_FO!AZ121:BG121</xm:f>
              <xm:sqref>BS121</xm:sqref>
            </x14:sparkline>
            <x14:sparkline>
              <xm:f>RevenuePriceCap_FO!AZ122:BG122</xm:f>
              <xm:sqref>BS122</xm:sqref>
            </x14:sparkline>
            <x14:sparkline>
              <xm:f>RevenuePriceCap_FO!AZ123:BG123</xm:f>
              <xm:sqref>BS123</xm:sqref>
            </x14:sparkline>
            <x14:sparkline>
              <xm:f>RevenuePriceCap_FO!AZ124:BG124</xm:f>
              <xm:sqref>BS124</xm:sqref>
            </x14:sparkline>
            <x14:sparkline>
              <xm:f>RevenuePriceCap_FO!AZ125:BG125</xm:f>
              <xm:sqref>BS125</xm:sqref>
            </x14:sparkline>
            <x14:sparkline>
              <xm:f>RevenuePriceCap_FO!AZ126:BG126</xm:f>
              <xm:sqref>BS126</xm:sqref>
            </x14:sparkline>
            <x14:sparkline>
              <xm:f>RevenuePriceCap_FO!AZ127:BG127</xm:f>
              <xm:sqref>BS127</xm:sqref>
            </x14:sparkline>
            <x14:sparkline>
              <xm:f>RevenuePriceCap_FO!AZ128:BG128</xm:f>
              <xm:sqref>BS128</xm:sqref>
            </x14:sparkline>
            <x14:sparkline>
              <xm:f>RevenuePriceCap_FO!AZ129:BG129</xm:f>
              <xm:sqref>BS129</xm:sqref>
            </x14:sparkline>
            <x14:sparkline>
              <xm:f>RevenuePriceCap_FO!AZ130:BG130</xm:f>
              <xm:sqref>BS130</xm:sqref>
            </x14:sparkline>
            <x14:sparkline>
              <xm:f>RevenuePriceCap_FO!AZ131:BG131</xm:f>
              <xm:sqref>BS131</xm:sqref>
            </x14:sparkline>
            <x14:sparkline>
              <xm:f>RevenuePriceCap_FO!AZ132:BG132</xm:f>
              <xm:sqref>BS132</xm:sqref>
            </x14:sparkline>
            <x14:sparkline>
              <xm:f>RevenuePriceCap_FO!AZ133:BG133</xm:f>
              <xm:sqref>BS133</xm:sqref>
            </x14:sparkline>
            <x14:sparkline>
              <xm:f>RevenuePriceCap_FO!AZ134:BG134</xm:f>
              <xm:sqref>BS134</xm:sqref>
            </x14:sparkline>
            <x14:sparkline>
              <xm:f>RevenuePriceCap_FO!AZ135:BG135</xm:f>
              <xm:sqref>BS135</xm:sqref>
            </x14:sparkline>
            <x14:sparkline>
              <xm:f>RevenuePriceCap_FO!AZ136:BG136</xm:f>
              <xm:sqref>BS136</xm:sqref>
            </x14:sparkline>
            <x14:sparkline>
              <xm:f>RevenuePriceCap_FO!AZ137:BG137</xm:f>
              <xm:sqref>BS137</xm:sqref>
            </x14:sparkline>
            <x14:sparkline>
              <xm:f>RevenuePriceCap_FO!AZ138:BG138</xm:f>
              <xm:sqref>BS138</xm:sqref>
            </x14:sparkline>
            <x14:sparkline>
              <xm:f>RevenuePriceCap_FO!AZ139:BG139</xm:f>
              <xm:sqref>BS139</xm:sqref>
            </x14:sparkline>
            <x14:sparkline>
              <xm:f>RevenuePriceCap_FO!AZ140:BG140</xm:f>
              <xm:sqref>BS140</xm:sqref>
            </x14:sparkline>
            <x14:sparkline>
              <xm:f>RevenuePriceCap_FO!AZ141:BG141</xm:f>
              <xm:sqref>BS141</xm:sqref>
            </x14:sparkline>
            <x14:sparkline>
              <xm:f>RevenuePriceCap_FO!AZ142:BG142</xm:f>
              <xm:sqref>BS142</xm:sqref>
            </x14:sparkline>
            <x14:sparkline>
              <xm:f>RevenuePriceCap_FO!AZ143:BG143</xm:f>
              <xm:sqref>BS143</xm:sqref>
            </x14:sparkline>
            <x14:sparkline>
              <xm:f>RevenuePriceCap_FO!AZ144:BG144</xm:f>
              <xm:sqref>BS144</xm:sqref>
            </x14:sparkline>
            <x14:sparkline>
              <xm:f>RevenuePriceCap_FO!AZ145:BG145</xm:f>
              <xm:sqref>BS145</xm:sqref>
            </x14:sparkline>
            <x14:sparkline>
              <xm:f>RevenuePriceCap_FO!AZ146:BG146</xm:f>
              <xm:sqref>BS146</xm:sqref>
            </x14:sparkline>
            <x14:sparkline>
              <xm:f>RevenuePriceCap_FO!AZ147:BG147</xm:f>
              <xm:sqref>BS147</xm:sqref>
            </x14:sparkline>
            <x14:sparkline>
              <xm:f>RevenuePriceCap_FO!AZ148:BG148</xm:f>
              <xm:sqref>BS148</xm:sqref>
            </x14:sparkline>
            <x14:sparkline>
              <xm:f>RevenuePriceCap_FO!AZ149:BG149</xm:f>
              <xm:sqref>BS149</xm:sqref>
            </x14:sparkline>
            <x14:sparkline>
              <xm:f>RevenuePriceCap_FO!AZ150:BG150</xm:f>
              <xm:sqref>BS150</xm:sqref>
            </x14:sparkline>
            <x14:sparkline>
              <xm:f>RevenuePriceCap_FO!AZ151:BG151</xm:f>
              <xm:sqref>BS151</xm:sqref>
            </x14:sparkline>
            <x14:sparkline>
              <xm:f>RevenuePriceCap_FO!AZ152:BG152</xm:f>
              <xm:sqref>BS152</xm:sqref>
            </x14:sparkline>
            <x14:sparkline>
              <xm:f>RevenuePriceCap_FO!AZ153:BG153</xm:f>
              <xm:sqref>BS153</xm:sqref>
            </x14:sparkline>
            <x14:sparkline>
              <xm:f>RevenuePriceCap_FO!AZ154:BG154</xm:f>
              <xm:sqref>BS154</xm:sqref>
            </x14:sparkline>
            <x14:sparkline>
              <xm:f>RevenuePriceCap_FO!AZ155:BG155</xm:f>
              <xm:sqref>BS155</xm:sqref>
            </x14:sparkline>
            <x14:sparkline>
              <xm:f>RevenuePriceCap_FO!AZ156:BG156</xm:f>
              <xm:sqref>BS156</xm:sqref>
            </x14:sparkline>
            <x14:sparkline>
              <xm:f>RevenuePriceCap_FO!AZ157:BG157</xm:f>
              <xm:sqref>BS157</xm:sqref>
            </x14:sparkline>
            <x14:sparkline>
              <xm:f>RevenuePriceCap_FO!AZ158:BG158</xm:f>
              <xm:sqref>BS158</xm:sqref>
            </x14:sparkline>
            <x14:sparkline>
              <xm:f>RevenuePriceCap_FO!AZ159:BG159</xm:f>
              <xm:sqref>BS159</xm:sqref>
            </x14:sparkline>
            <x14:sparkline>
              <xm:f>RevenuePriceCap_FO!AZ160:BG160</xm:f>
              <xm:sqref>BS160</xm:sqref>
            </x14:sparkline>
            <x14:sparkline>
              <xm:f>RevenuePriceCap_FO!AZ161:BG161</xm:f>
              <xm:sqref>BS161</xm:sqref>
            </x14:sparkline>
            <x14:sparkline>
              <xm:f>RevenuePriceCap_FO!AZ162:BG162</xm:f>
              <xm:sqref>BS162</xm:sqref>
            </x14:sparkline>
            <x14:sparkline>
              <xm:f>RevenuePriceCap_FO!AZ163:BG163</xm:f>
              <xm:sqref>BS163</xm:sqref>
            </x14:sparkline>
            <x14:sparkline>
              <xm:f>RevenuePriceCap_FO!AZ164:BG164</xm:f>
              <xm:sqref>BS164</xm:sqref>
            </x14:sparkline>
            <x14:sparkline>
              <xm:f>RevenuePriceCap_FO!AZ165:BG165</xm:f>
              <xm:sqref>BS165</xm:sqref>
            </x14:sparkline>
            <x14:sparkline>
              <xm:f>RevenuePriceCap_FO!AZ166:BG166</xm:f>
              <xm:sqref>BS166</xm:sqref>
            </x14:sparkline>
            <x14:sparkline>
              <xm:f>RevenuePriceCap_FO!AZ167:BG167</xm:f>
              <xm:sqref>BS167</xm:sqref>
            </x14:sparkline>
            <x14:sparkline>
              <xm:f>RevenuePriceCap_FO!AZ168:BG168</xm:f>
              <xm:sqref>BS168</xm:sqref>
            </x14:sparkline>
            <x14:sparkline>
              <xm:f>RevenuePriceCap_FO!AZ169:BG169</xm:f>
              <xm:sqref>BS169</xm:sqref>
            </x14:sparkline>
            <x14:sparkline>
              <xm:f>RevenuePriceCap_FO!AZ170:BG170</xm:f>
              <xm:sqref>BS170</xm:sqref>
            </x14:sparkline>
            <x14:sparkline>
              <xm:f>RevenuePriceCap_FO!AZ171:BG171</xm:f>
              <xm:sqref>BS171</xm:sqref>
            </x14:sparkline>
            <x14:sparkline>
              <xm:f>RevenuePriceCap_FO!AZ172:BG172</xm:f>
              <xm:sqref>BS172</xm:sqref>
            </x14:sparkline>
            <x14:sparkline>
              <xm:f>RevenuePriceCap_FO!AZ173:BG173</xm:f>
              <xm:sqref>BS173</xm:sqref>
            </x14:sparkline>
            <x14:sparkline>
              <xm:f>RevenuePriceCap_FO!AZ174:BG174</xm:f>
              <xm:sqref>BS174</xm:sqref>
            </x14:sparkline>
            <x14:sparkline>
              <xm:f>RevenuePriceCap_FO!AZ175:BG175</xm:f>
              <xm:sqref>BS175</xm:sqref>
            </x14:sparkline>
            <x14:sparkline>
              <xm:f>RevenuePriceCap_FO!AZ176:BG176</xm:f>
              <xm:sqref>BS176</xm:sqref>
            </x14:sparkline>
            <x14:sparkline>
              <xm:f>RevenuePriceCap_FO!AZ177:BG177</xm:f>
              <xm:sqref>BS177</xm:sqref>
            </x14:sparkline>
            <x14:sparkline>
              <xm:f>RevenuePriceCap_FO!AZ178:BG178</xm:f>
              <xm:sqref>BS178</xm:sqref>
            </x14:sparkline>
            <x14:sparkline>
              <xm:f>RevenuePriceCap_FO!AZ179:BG179</xm:f>
              <xm:sqref>BS179</xm:sqref>
            </x14:sparkline>
            <x14:sparkline>
              <xm:f>RevenuePriceCap_FO!AZ180:BG180</xm:f>
              <xm:sqref>BS180</xm:sqref>
            </x14:sparkline>
            <x14:sparkline>
              <xm:f>RevenuePriceCap_FO!AZ181:BG181</xm:f>
              <xm:sqref>BS181</xm:sqref>
            </x14:sparkline>
            <x14:sparkline>
              <xm:f>RevenuePriceCap_FO!AZ182:BG182</xm:f>
              <xm:sqref>BS182</xm:sqref>
            </x14:sparkline>
            <x14:sparkline>
              <xm:f>RevenuePriceCap_FO!AZ183:BG183</xm:f>
              <xm:sqref>BS183</xm:sqref>
            </x14:sparkline>
            <x14:sparkline>
              <xm:f>RevenuePriceCap_FO!AZ184:BG184</xm:f>
              <xm:sqref>BS184</xm:sqref>
            </x14:sparkline>
            <x14:sparkline>
              <xm:f>RevenuePriceCap_FO!AZ185:BG185</xm:f>
              <xm:sqref>BS185</xm:sqref>
            </x14:sparkline>
            <x14:sparkline>
              <xm:f>RevenuePriceCap_FO!AZ186:BG186</xm:f>
              <xm:sqref>BS186</xm:sqref>
            </x14:sparkline>
            <x14:sparkline>
              <xm:f>RevenuePriceCap_FO!AZ187:BG187</xm:f>
              <xm:sqref>BS187</xm:sqref>
            </x14:sparkline>
            <x14:sparkline>
              <xm:f>RevenuePriceCap_FO!AZ188:BG188</xm:f>
              <xm:sqref>BS188</xm:sqref>
            </x14:sparkline>
            <x14:sparkline>
              <xm:f>RevenuePriceCap_FO!AZ189:BG189</xm:f>
              <xm:sqref>BS189</xm:sqref>
            </x14:sparkline>
            <x14:sparkline>
              <xm:f>RevenuePriceCap_FO!AZ190:BG190</xm:f>
              <xm:sqref>BS190</xm:sqref>
            </x14:sparkline>
            <x14:sparkline>
              <xm:f>RevenuePriceCap_FO!AZ191:BG191</xm:f>
              <xm:sqref>BS191</xm:sqref>
            </x14:sparkline>
            <x14:sparkline>
              <xm:f>RevenuePriceCap_FO!AZ192:BG192</xm:f>
              <xm:sqref>BS192</xm:sqref>
            </x14:sparkline>
            <x14:sparkline>
              <xm:f>RevenuePriceCap_FO!AZ193:BG193</xm:f>
              <xm:sqref>BS193</xm:sqref>
            </x14:sparkline>
            <x14:sparkline>
              <xm:f>RevenuePriceCap_FO!AZ194:BG194</xm:f>
              <xm:sqref>BS194</xm:sqref>
            </x14:sparkline>
            <x14:sparkline>
              <xm:f>RevenuePriceCap_FO!AZ195:BG195</xm:f>
              <xm:sqref>BS195</xm:sqref>
            </x14:sparkline>
            <x14:sparkline>
              <xm:f>RevenuePriceCap_FO!AZ196:BG196</xm:f>
              <xm:sqref>BS196</xm:sqref>
            </x14:sparkline>
            <x14:sparkline>
              <xm:f>RevenuePriceCap_FO!AZ197:BG197</xm:f>
              <xm:sqref>BS197</xm:sqref>
            </x14:sparkline>
            <x14:sparkline>
              <xm:f>RevenuePriceCap_FO!AZ198:BG198</xm:f>
              <xm:sqref>BS198</xm:sqref>
            </x14:sparkline>
            <x14:sparkline>
              <xm:f>RevenuePriceCap_FO!AZ199:BG199</xm:f>
              <xm:sqref>BS199</xm:sqref>
            </x14:sparkline>
            <x14:sparkline>
              <xm:f>RevenuePriceCap_FO!AZ200:BG200</xm:f>
              <xm:sqref>BS200</xm:sqref>
            </x14:sparkline>
            <x14:sparkline>
              <xm:f>RevenuePriceCap_FO!AZ201:BG201</xm:f>
              <xm:sqref>BS201</xm:sqref>
            </x14:sparkline>
            <x14:sparkline>
              <xm:f>RevenuePriceCap_FO!AZ202:BG202</xm:f>
              <xm:sqref>BS202</xm:sqref>
            </x14:sparkline>
            <x14:sparkline>
              <xm:f>RevenuePriceCap_FO!AZ203:BG203</xm:f>
              <xm:sqref>BS203</xm:sqref>
            </x14:sparkline>
            <x14:sparkline>
              <xm:f>RevenuePriceCap_FO!AZ204:BG204</xm:f>
              <xm:sqref>BS204</xm:sqref>
            </x14:sparkline>
            <x14:sparkline>
              <xm:f>RevenuePriceCap_FO!AZ205:BG205</xm:f>
              <xm:sqref>BS205</xm:sqref>
            </x14:sparkline>
            <x14:sparkline>
              <xm:f>RevenuePriceCap_FO!AZ206:BG206</xm:f>
              <xm:sqref>BS206</xm:sqref>
            </x14:sparkline>
            <x14:sparkline>
              <xm:f>RevenuePriceCap_FO!AZ207:BG207</xm:f>
              <xm:sqref>BS207</xm:sqref>
            </x14:sparkline>
            <x14:sparkline>
              <xm:f>RevenuePriceCap_FO!AZ208:BG208</xm:f>
              <xm:sqref>BS208</xm:sqref>
            </x14:sparkline>
            <x14:sparkline>
              <xm:f>RevenuePriceCap_FO!AZ209:BG209</xm:f>
              <xm:sqref>BS209</xm:sqref>
            </x14:sparkline>
            <x14:sparkline>
              <xm:f>RevenuePriceCap_FO!AZ210:BG210</xm:f>
              <xm:sqref>BS210</xm:sqref>
            </x14:sparkline>
            <x14:sparkline>
              <xm:f>RevenuePriceCap_FO!AZ211:BG211</xm:f>
              <xm:sqref>BS211</xm:sqref>
            </x14:sparkline>
            <x14:sparkline>
              <xm:f>RevenuePriceCap_FO!AZ212:BG212</xm:f>
              <xm:sqref>BS212</xm:sqref>
            </x14:sparkline>
            <x14:sparkline>
              <xm:f>RevenuePriceCap_FO!AZ213:BG213</xm:f>
              <xm:sqref>BS213</xm:sqref>
            </x14:sparkline>
            <x14:sparkline>
              <xm:f>RevenuePriceCap_FO!AZ214:BG214</xm:f>
              <xm:sqref>BS214</xm:sqref>
            </x14:sparkline>
            <x14:sparkline>
              <xm:f>RevenuePriceCap_FO!AZ215:BG215</xm:f>
              <xm:sqref>BS215</xm:sqref>
            </x14:sparkline>
            <x14:sparkline>
              <xm:f>RevenuePriceCap_FO!AZ216:BG216</xm:f>
              <xm:sqref>BS216</xm:sqref>
            </x14:sparkline>
            <x14:sparkline>
              <xm:f>RevenuePriceCap_FO!AZ217:BG217</xm:f>
              <xm:sqref>BS217</xm:sqref>
            </x14:sparkline>
            <x14:sparkline>
              <xm:f>RevenuePriceCap_FO!AZ218:BG218</xm:f>
              <xm:sqref>BS218</xm:sqref>
            </x14:sparkline>
            <x14:sparkline>
              <xm:f>RevenuePriceCap_FO!AZ219:BG219</xm:f>
              <xm:sqref>BS219</xm:sqref>
            </x14:sparkline>
            <x14:sparkline>
              <xm:f>RevenuePriceCap_FO!AZ220:BG220</xm:f>
              <xm:sqref>BS220</xm:sqref>
            </x14:sparkline>
            <x14:sparkline>
              <xm:f>RevenuePriceCap_FO!AZ221:BG221</xm:f>
              <xm:sqref>BS221</xm:sqref>
            </x14:sparkline>
            <x14:sparkline>
              <xm:f>RevenuePriceCap_FO!AZ222:BG222</xm:f>
              <xm:sqref>BS222</xm:sqref>
            </x14:sparkline>
            <x14:sparkline>
              <xm:f>RevenuePriceCap_FO!AZ223:BG223</xm:f>
              <xm:sqref>BS223</xm:sqref>
            </x14:sparkline>
            <x14:sparkline>
              <xm:f>RevenuePriceCap_FO!AZ224:BG224</xm:f>
              <xm:sqref>BS224</xm:sqref>
            </x14:sparkline>
            <x14:sparkline>
              <xm:f>RevenuePriceCap_FO!AZ225:BG225</xm:f>
              <xm:sqref>BS225</xm:sqref>
            </x14:sparkline>
            <x14:sparkline>
              <xm:f>RevenuePriceCap_FO!AZ226:BG226</xm:f>
              <xm:sqref>BS226</xm:sqref>
            </x14:sparkline>
            <x14:sparkline>
              <xm:f>RevenuePriceCap_FO!AZ227:BG227</xm:f>
              <xm:sqref>BS227</xm:sqref>
            </x14:sparkline>
            <x14:sparkline>
              <xm:f>RevenuePriceCap_FO!AZ228:BG228</xm:f>
              <xm:sqref>BS228</xm:sqref>
            </x14:sparkline>
            <x14:sparkline>
              <xm:f>RevenuePriceCap_FO!AZ229:BG229</xm:f>
              <xm:sqref>BS229</xm:sqref>
            </x14:sparkline>
            <x14:sparkline>
              <xm:f>RevenuePriceCap_FO!AZ230:BG230</xm:f>
              <xm:sqref>BS230</xm:sqref>
            </x14:sparkline>
            <x14:sparkline>
              <xm:f>RevenuePriceCap_FO!AZ231:BG231</xm:f>
              <xm:sqref>BS231</xm:sqref>
            </x14:sparkline>
            <x14:sparkline>
              <xm:f>RevenuePriceCap_FO!AZ232:BG232</xm:f>
              <xm:sqref>BS232</xm:sqref>
            </x14:sparkline>
            <x14:sparkline>
              <xm:f>RevenuePriceCap_FO!AZ233:BG233</xm:f>
              <xm:sqref>BS233</xm:sqref>
            </x14:sparkline>
            <x14:sparkline>
              <xm:f>RevenuePriceCap_FO!AZ234:BG234</xm:f>
              <xm:sqref>BS234</xm:sqref>
            </x14:sparkline>
            <x14:sparkline>
              <xm:f>RevenuePriceCap_FO!AZ235:BG235</xm:f>
              <xm:sqref>BS235</xm:sqref>
            </x14:sparkline>
            <x14:sparkline>
              <xm:f>RevenuePriceCap_FO!AZ236:BG236</xm:f>
              <xm:sqref>BS236</xm:sqref>
            </x14:sparkline>
            <x14:sparkline>
              <xm:f>RevenuePriceCap_FO!AZ237:BG237</xm:f>
              <xm:sqref>BS237</xm:sqref>
            </x14:sparkline>
            <x14:sparkline>
              <xm:f>RevenuePriceCap_FO!AZ238:BG238</xm:f>
              <xm:sqref>BS238</xm:sqref>
            </x14:sparkline>
            <x14:sparkline>
              <xm:f>RevenuePriceCap_FO!AZ239:BG239</xm:f>
              <xm:sqref>BS239</xm:sqref>
            </x14:sparkline>
            <x14:sparkline>
              <xm:f>RevenuePriceCap_FO!AZ240:BG240</xm:f>
              <xm:sqref>BS240</xm:sqref>
            </x14:sparkline>
            <x14:sparkline>
              <xm:f>RevenuePriceCap_FO!AZ241:BG241</xm:f>
              <xm:sqref>BS241</xm:sqref>
            </x14:sparkline>
            <x14:sparkline>
              <xm:f>RevenuePriceCap_FO!AZ242:BG242</xm:f>
              <xm:sqref>BS242</xm:sqref>
            </x14:sparkline>
            <x14:sparkline>
              <xm:f>RevenuePriceCap_FO!AZ243:BG243</xm:f>
              <xm:sqref>BS243</xm:sqref>
            </x14:sparkline>
            <x14:sparkline>
              <xm:f>RevenuePriceCap_FO!AZ244:BG244</xm:f>
              <xm:sqref>BS244</xm:sqref>
            </x14:sparkline>
            <x14:sparkline>
              <xm:f>RevenuePriceCap_FO!AZ245:BG245</xm:f>
              <xm:sqref>BS245</xm:sqref>
            </x14:sparkline>
            <x14:sparkline>
              <xm:f>RevenuePriceCap_FO!AZ246:BG246</xm:f>
              <xm:sqref>BS246</xm:sqref>
            </x14:sparkline>
            <x14:sparkline>
              <xm:f>RevenuePriceCap_FO!AZ247:BG247</xm:f>
              <xm:sqref>BS247</xm:sqref>
            </x14:sparkline>
            <x14:sparkline>
              <xm:f>RevenuePriceCap_FO!AZ248:BG248</xm:f>
              <xm:sqref>BS248</xm:sqref>
            </x14:sparkline>
            <x14:sparkline>
              <xm:f>RevenuePriceCap_FO!AZ249:BG249</xm:f>
              <xm:sqref>BS249</xm:sqref>
            </x14:sparkline>
            <x14:sparkline>
              <xm:f>RevenuePriceCap_FO!AZ250:BG250</xm:f>
              <xm:sqref>BS250</xm:sqref>
            </x14:sparkline>
            <x14:sparkline>
              <xm:f>RevenuePriceCap_FO!AZ251:BG251</xm:f>
              <xm:sqref>BS251</xm:sqref>
            </x14:sparkline>
            <x14:sparkline>
              <xm:f>RevenuePriceCap_FO!AZ252:BG252</xm:f>
              <xm:sqref>BS252</xm:sqref>
            </x14:sparkline>
            <x14:sparkline>
              <xm:f>RevenuePriceCap_FO!AZ253:BG253</xm:f>
              <xm:sqref>BS253</xm:sqref>
            </x14:sparkline>
            <x14:sparkline>
              <xm:f>RevenuePriceCap_FO!AZ254:BG254</xm:f>
              <xm:sqref>BS254</xm:sqref>
            </x14:sparkline>
            <x14:sparkline>
              <xm:f>RevenuePriceCap_FO!AZ255:BG255</xm:f>
              <xm:sqref>BS255</xm:sqref>
            </x14:sparkline>
            <x14:sparkline>
              <xm:f>RevenuePriceCap_FO!AZ256:BG256</xm:f>
              <xm:sqref>BS256</xm:sqref>
            </x14:sparkline>
            <x14:sparkline>
              <xm:f>RevenuePriceCap_FO!AZ257:BG257</xm:f>
              <xm:sqref>BS257</xm:sqref>
            </x14:sparkline>
            <x14:sparkline>
              <xm:f>RevenuePriceCap_FO!AZ258:BG258</xm:f>
              <xm:sqref>BS258</xm:sqref>
            </x14:sparkline>
            <x14:sparkline>
              <xm:f>RevenuePriceCap_FO!AZ259:BG259</xm:f>
              <xm:sqref>BS259</xm:sqref>
            </x14:sparkline>
            <x14:sparkline>
              <xm:f>RevenuePriceCap_FO!AZ260:BG260</xm:f>
              <xm:sqref>BS260</xm:sqref>
            </x14:sparkline>
            <x14:sparkline>
              <xm:f>RevenuePriceCap_FO!AZ261:BG261</xm:f>
              <xm:sqref>BS261</xm:sqref>
            </x14:sparkline>
            <x14:sparkline>
              <xm:f>RevenuePriceCap_FO!AZ262:BG262</xm:f>
              <xm:sqref>BS262</xm:sqref>
            </x14:sparkline>
            <x14:sparkline>
              <xm:f>RevenuePriceCap_FO!AZ263:BG263</xm:f>
              <xm:sqref>BS263</xm:sqref>
            </x14:sparkline>
            <x14:sparkline>
              <xm:f>RevenuePriceCap_FO!AZ264:BG264</xm:f>
              <xm:sqref>BS264</xm:sqref>
            </x14:sparkline>
            <x14:sparkline>
              <xm:f>RevenuePriceCap_FO!AZ265:BG265</xm:f>
              <xm:sqref>BS265</xm:sqref>
            </x14:sparkline>
            <x14:sparkline>
              <xm:f>RevenuePriceCap_FO!AZ266:BG266</xm:f>
              <xm:sqref>BS266</xm:sqref>
            </x14:sparkline>
            <x14:sparkline>
              <xm:f>RevenuePriceCap_FO!AZ267:BG267</xm:f>
              <xm:sqref>BS267</xm:sqref>
            </x14:sparkline>
            <x14:sparkline>
              <xm:f>RevenuePriceCap_FO!AZ268:BG268</xm:f>
              <xm:sqref>BS268</xm:sqref>
            </x14:sparkline>
            <x14:sparkline>
              <xm:f>RevenuePriceCap_FO!AZ269:BG269</xm:f>
              <xm:sqref>BS269</xm:sqref>
            </x14:sparkline>
            <x14:sparkline>
              <xm:f>RevenuePriceCap_FO!AZ270:BG270</xm:f>
              <xm:sqref>BS270</xm:sqref>
            </x14:sparkline>
            <x14:sparkline>
              <xm:f>RevenuePriceCap_FO!AZ271:BG271</xm:f>
              <xm:sqref>BS271</xm:sqref>
            </x14:sparkline>
            <x14:sparkline>
              <xm:f>RevenuePriceCap_FO!AZ272:BG272</xm:f>
              <xm:sqref>BS272</xm:sqref>
            </x14:sparkline>
            <x14:sparkline>
              <xm:f>RevenuePriceCap_FO!AZ273:BG273</xm:f>
              <xm:sqref>BS273</xm:sqref>
            </x14:sparkline>
            <x14:sparkline>
              <xm:f>RevenuePriceCap_FO!AZ274:BG274</xm:f>
              <xm:sqref>BS274</xm:sqref>
            </x14:sparkline>
            <x14:sparkline>
              <xm:f>RevenuePriceCap_FO!AZ275:BG275</xm:f>
              <xm:sqref>BS275</xm:sqref>
            </x14:sparkline>
            <x14:sparkline>
              <xm:f>RevenuePriceCap_FO!AZ276:BG276</xm:f>
              <xm:sqref>BS276</xm:sqref>
            </x14:sparkline>
            <x14:sparkline>
              <xm:f>RevenuePriceCap_FO!AZ277:BG277</xm:f>
              <xm:sqref>BS277</xm:sqref>
            </x14:sparkline>
            <x14:sparkline>
              <xm:f>RevenuePriceCap_FO!AZ278:BG278</xm:f>
              <xm:sqref>BS278</xm:sqref>
            </x14:sparkline>
            <x14:sparkline>
              <xm:f>RevenuePriceCap_FO!AZ279:BG279</xm:f>
              <xm:sqref>BS279</xm:sqref>
            </x14:sparkline>
            <x14:sparkline>
              <xm:f>RevenuePriceCap_FO!AZ280:BG280</xm:f>
              <xm:sqref>BS280</xm:sqref>
            </x14:sparkline>
            <x14:sparkline>
              <xm:f>RevenuePriceCap_FO!AZ281:BG281</xm:f>
              <xm:sqref>BS281</xm:sqref>
            </x14:sparkline>
            <x14:sparkline>
              <xm:f>RevenuePriceCap_FO!AZ282:BG282</xm:f>
              <xm:sqref>BS282</xm:sqref>
            </x14:sparkline>
            <x14:sparkline>
              <xm:f>RevenuePriceCap_FO!AZ283:BG283</xm:f>
              <xm:sqref>BS283</xm:sqref>
            </x14:sparkline>
            <x14:sparkline>
              <xm:f>RevenuePriceCap_FO!AZ284:BG284</xm:f>
              <xm:sqref>BS284</xm:sqref>
            </x14:sparkline>
            <x14:sparkline>
              <xm:f>RevenuePriceCap_FO!AZ285:BG285</xm:f>
              <xm:sqref>BS285</xm:sqref>
            </x14:sparkline>
            <x14:sparkline>
              <xm:f>RevenuePriceCap_FO!AZ286:BG286</xm:f>
              <xm:sqref>BS286</xm:sqref>
            </x14:sparkline>
            <x14:sparkline>
              <xm:f>RevenuePriceCap_FO!AZ287:BG287</xm:f>
              <xm:sqref>BS287</xm:sqref>
            </x14:sparkline>
            <x14:sparkline>
              <xm:f>RevenuePriceCap_FO!AZ288:BG288</xm:f>
              <xm:sqref>BS288</xm:sqref>
            </x14:sparkline>
            <x14:sparkline>
              <xm:f>RevenuePriceCap_FO!AZ289:BG289</xm:f>
              <xm:sqref>BS289</xm:sqref>
            </x14:sparkline>
            <x14:sparkline>
              <xm:f>RevenuePriceCap_FO!AZ290:BG290</xm:f>
              <xm:sqref>BS290</xm:sqref>
            </x14:sparkline>
            <x14:sparkline>
              <xm:f>RevenuePriceCap_FO!AZ291:BG291</xm:f>
              <xm:sqref>BS291</xm:sqref>
            </x14:sparkline>
            <x14:sparkline>
              <xm:f>RevenuePriceCap_FO!AZ292:BG292</xm:f>
              <xm:sqref>BS292</xm:sqref>
            </x14:sparkline>
            <x14:sparkline>
              <xm:f>RevenuePriceCap_FO!AZ293:BG293</xm:f>
              <xm:sqref>BS293</xm:sqref>
            </x14:sparkline>
            <x14:sparkline>
              <xm:f>RevenuePriceCap_FO!AZ294:BG294</xm:f>
              <xm:sqref>BS294</xm:sqref>
            </x14:sparkline>
            <x14:sparkline>
              <xm:f>RevenuePriceCap_FO!AZ295:BG295</xm:f>
              <xm:sqref>BS295</xm:sqref>
            </x14:sparkline>
            <x14:sparkline>
              <xm:f>RevenuePriceCap_FO!AZ296:BG296</xm:f>
              <xm:sqref>BS296</xm:sqref>
            </x14:sparkline>
            <x14:sparkline>
              <xm:f>RevenuePriceCap_FO!AZ297:BG297</xm:f>
              <xm:sqref>BS297</xm:sqref>
            </x14:sparkline>
            <x14:sparkline>
              <xm:f>RevenuePriceCap_FO!AZ298:BG298</xm:f>
              <xm:sqref>BS298</xm:sqref>
            </x14:sparkline>
            <x14:sparkline>
              <xm:f>RevenuePriceCap_FO!AZ299:BG299</xm:f>
              <xm:sqref>BS299</xm:sqref>
            </x14:sparkline>
            <x14:sparkline>
              <xm:f>RevenuePriceCap_FO!AZ300:BG300</xm:f>
              <xm:sqref>BS300</xm:sqref>
            </x14:sparkline>
            <x14:sparkline>
              <xm:f>RevenuePriceCap_FO!AZ301:BG301</xm:f>
              <xm:sqref>BS301</xm:sqref>
            </x14:sparkline>
            <x14:sparkline>
              <xm:f>RevenuePriceCap_FO!AZ302:BG302</xm:f>
              <xm:sqref>BS302</xm:sqref>
            </x14:sparkline>
            <x14:sparkline>
              <xm:f>RevenuePriceCap_FO!AZ303:BG303</xm:f>
              <xm:sqref>BS303</xm:sqref>
            </x14:sparkline>
            <x14:sparkline>
              <xm:f>RevenuePriceCap_FO!AZ304:BG304</xm:f>
              <xm:sqref>BS304</xm:sqref>
            </x14:sparkline>
            <x14:sparkline>
              <xm:f>RevenuePriceCap_FO!AZ305:BG305</xm:f>
              <xm:sqref>BS305</xm:sqref>
            </x14:sparkline>
            <x14:sparkline>
              <xm:f>RevenuePriceCap_FO!AZ306:BG306</xm:f>
              <xm:sqref>BS306</xm:sqref>
            </x14:sparkline>
            <x14:sparkline>
              <xm:f>RevenuePriceCap_FO!AZ307:BG307</xm:f>
              <xm:sqref>BS307</xm:sqref>
            </x14:sparkline>
            <x14:sparkline>
              <xm:f>RevenuePriceCap_FO!AZ308:BG308</xm:f>
              <xm:sqref>BS308</xm:sqref>
            </x14:sparkline>
            <x14:sparkline>
              <xm:f>RevenuePriceCap_FO!AZ309:BG309</xm:f>
              <xm:sqref>BS309</xm:sqref>
            </x14:sparkline>
            <x14:sparkline>
              <xm:f>RevenuePriceCap_FO!AZ310:BG310</xm:f>
              <xm:sqref>BS310</xm:sqref>
            </x14:sparkline>
            <x14:sparkline>
              <xm:f>RevenuePriceCap_FO!AZ311:BG311</xm:f>
              <xm:sqref>BS311</xm:sqref>
            </x14:sparkline>
            <x14:sparkline>
              <xm:f>RevenuePriceCap_FO!AZ312:BG312</xm:f>
              <xm:sqref>BS312</xm:sqref>
            </x14:sparkline>
            <x14:sparkline>
              <xm:f>RevenuePriceCap_FO!AZ313:BG313</xm:f>
              <xm:sqref>BS313</xm:sqref>
            </x14:sparkline>
            <x14:sparkline>
              <xm:f>RevenuePriceCap_FO!AZ314:BG314</xm:f>
              <xm:sqref>BS314</xm:sqref>
            </x14:sparkline>
            <x14:sparkline>
              <xm:f>RevenuePriceCap_FO!AZ315:BG315</xm:f>
              <xm:sqref>BS315</xm:sqref>
            </x14:sparkline>
            <x14:sparkline>
              <xm:f>RevenuePriceCap_FO!AZ316:BG316</xm:f>
              <xm:sqref>BS316</xm:sqref>
            </x14:sparkline>
            <x14:sparkline>
              <xm:f>RevenuePriceCap_FO!AZ317:BG317</xm:f>
              <xm:sqref>BS317</xm:sqref>
            </x14:sparkline>
            <x14:sparkline>
              <xm:f>RevenuePriceCap_FO!AZ318:BG318</xm:f>
              <xm:sqref>BS318</xm:sqref>
            </x14:sparkline>
            <x14:sparkline>
              <xm:f>RevenuePriceCap_FO!AZ319:BG319</xm:f>
              <xm:sqref>BS319</xm:sqref>
            </x14:sparkline>
            <x14:sparkline>
              <xm:f>RevenuePriceCap_FO!AZ320:BG320</xm:f>
              <xm:sqref>BS320</xm:sqref>
            </x14:sparkline>
            <x14:sparkline>
              <xm:f>RevenuePriceCap_FO!AZ321:BG321</xm:f>
              <xm:sqref>BS321</xm:sqref>
            </x14:sparkline>
            <x14:sparkline>
              <xm:f>RevenuePriceCap_FO!AZ322:BG322</xm:f>
              <xm:sqref>BS322</xm:sqref>
            </x14:sparkline>
            <x14:sparkline>
              <xm:f>RevenuePriceCap_FO!AZ323:BG323</xm:f>
              <xm:sqref>BS323</xm:sqref>
            </x14:sparkline>
            <x14:sparkline>
              <xm:f>RevenuePriceCap_FO!AZ324:BG324</xm:f>
              <xm:sqref>BS324</xm:sqref>
            </x14:sparkline>
            <x14:sparkline>
              <xm:f>RevenuePriceCap_FO!AZ325:BG325</xm:f>
              <xm:sqref>BS325</xm:sqref>
            </x14:sparkline>
            <x14:sparkline>
              <xm:f>RevenuePriceCap_FO!AZ326:BG326</xm:f>
              <xm:sqref>BS326</xm:sqref>
            </x14:sparkline>
            <x14:sparkline>
              <xm:f>RevenuePriceCap_FO!AZ327:BG327</xm:f>
              <xm:sqref>BS327</xm:sqref>
            </x14:sparkline>
            <x14:sparkline>
              <xm:f>RevenuePriceCap_FO!AZ328:BG328</xm:f>
              <xm:sqref>BS328</xm:sqref>
            </x14:sparkline>
            <x14:sparkline>
              <xm:f>RevenuePriceCap_FO!AZ329:BG329</xm:f>
              <xm:sqref>BS329</xm:sqref>
            </x14:sparkline>
            <x14:sparkline>
              <xm:f>RevenuePriceCap_FO!AZ330:BG330</xm:f>
              <xm:sqref>BS330</xm:sqref>
            </x14:sparkline>
            <x14:sparkline>
              <xm:f>RevenuePriceCap_FO!AZ331:BG331</xm:f>
              <xm:sqref>BS331</xm:sqref>
            </x14:sparkline>
            <x14:sparkline>
              <xm:f>RevenuePriceCap_FO!AZ332:BG332</xm:f>
              <xm:sqref>BS332</xm:sqref>
            </x14:sparkline>
            <x14:sparkline>
              <xm:f>RevenuePriceCap_FO!AZ333:BG333</xm:f>
              <xm:sqref>BS333</xm:sqref>
            </x14:sparkline>
            <x14:sparkline>
              <xm:f>RevenuePriceCap_FO!AZ334:BG334</xm:f>
              <xm:sqref>BS334</xm:sqref>
            </x14:sparkline>
            <x14:sparkline>
              <xm:f>RevenuePriceCap_FO!AZ335:BG335</xm:f>
              <xm:sqref>BS335</xm:sqref>
            </x14:sparkline>
            <x14:sparkline>
              <xm:f>RevenuePriceCap_FO!AZ336:BG336</xm:f>
              <xm:sqref>BS336</xm:sqref>
            </x14:sparkline>
            <x14:sparkline>
              <xm:f>RevenuePriceCap_FO!AZ337:BG337</xm:f>
              <xm:sqref>BS337</xm:sqref>
            </x14:sparkline>
            <x14:sparkline>
              <xm:f>RevenuePriceCap_FO!AZ338:BG338</xm:f>
              <xm:sqref>BS338</xm:sqref>
            </x14:sparkline>
            <x14:sparkline>
              <xm:f>RevenuePriceCap_FO!AZ339:BG339</xm:f>
              <xm:sqref>BS339</xm:sqref>
            </x14:sparkline>
            <x14:sparkline>
              <xm:f>RevenuePriceCap_FO!AZ340:BG340</xm:f>
              <xm:sqref>BS340</xm:sqref>
            </x14:sparkline>
            <x14:sparkline>
              <xm:f>RevenuePriceCap_FO!AZ341:BG341</xm:f>
              <xm:sqref>BS341</xm:sqref>
            </x14:sparkline>
            <x14:sparkline>
              <xm:f>RevenuePriceCap_FO!AZ342:BG342</xm:f>
              <xm:sqref>BS342</xm:sqref>
            </x14:sparkline>
            <x14:sparkline>
              <xm:f>RevenuePriceCap_FO!AZ343:BG343</xm:f>
              <xm:sqref>BS343</xm:sqref>
            </x14:sparkline>
            <x14:sparkline>
              <xm:f>RevenuePriceCap_FO!AZ344:BG344</xm:f>
              <xm:sqref>BS344</xm:sqref>
            </x14:sparkline>
            <x14:sparkline>
              <xm:f>RevenuePriceCap_FO!AZ345:BG345</xm:f>
              <xm:sqref>BS345</xm:sqref>
            </x14:sparkline>
            <x14:sparkline>
              <xm:f>RevenuePriceCap_FO!AZ346:BG346</xm:f>
              <xm:sqref>BS346</xm:sqref>
            </x14:sparkline>
            <x14:sparkline>
              <xm:f>RevenuePriceCap_FO!AZ347:BG347</xm:f>
              <xm:sqref>BS347</xm:sqref>
            </x14:sparkline>
            <x14:sparkline>
              <xm:f>RevenuePriceCap_FO!AZ348:BG348</xm:f>
              <xm:sqref>BS348</xm:sqref>
            </x14:sparkline>
            <x14:sparkline>
              <xm:f>RevenuePriceCap_FO!AZ349:BG349</xm:f>
              <xm:sqref>BS349</xm:sqref>
            </x14:sparkline>
            <x14:sparkline>
              <xm:f>RevenuePriceCap_FO!AZ350:BG350</xm:f>
              <xm:sqref>BS350</xm:sqref>
            </x14:sparkline>
            <x14:sparkline>
              <xm:f>RevenuePriceCap_FO!AZ351:BG351</xm:f>
              <xm:sqref>BS351</xm:sqref>
            </x14:sparkline>
            <x14:sparkline>
              <xm:f>RevenuePriceCap_FO!AZ352:BG352</xm:f>
              <xm:sqref>BS352</xm:sqref>
            </x14:sparkline>
            <x14:sparkline>
              <xm:f>RevenuePriceCap_FO!AZ353:BG353</xm:f>
              <xm:sqref>BS353</xm:sqref>
            </x14:sparkline>
            <x14:sparkline>
              <xm:f>RevenuePriceCap_FO!AZ354:BG354</xm:f>
              <xm:sqref>BS354</xm:sqref>
            </x14:sparkline>
            <x14:sparkline>
              <xm:f>RevenuePriceCap_FO!AZ355:BG355</xm:f>
              <xm:sqref>BS355</xm:sqref>
            </x14:sparkline>
            <x14:sparkline>
              <xm:f>RevenuePriceCap_FO!AZ356:BG356</xm:f>
              <xm:sqref>BS356</xm:sqref>
            </x14:sparkline>
            <x14:sparkline>
              <xm:f>RevenuePriceCap_FO!AZ357:BG357</xm:f>
              <xm:sqref>BS357</xm:sqref>
            </x14:sparkline>
            <x14:sparkline>
              <xm:f>RevenuePriceCap_FO!AZ358:BG358</xm:f>
              <xm:sqref>BS358</xm:sqref>
            </x14:sparkline>
            <x14:sparkline>
              <xm:f>RevenuePriceCap_FO!AZ359:BG359</xm:f>
              <xm:sqref>BS359</xm:sqref>
            </x14:sparkline>
            <x14:sparkline>
              <xm:f>RevenuePriceCap_FO!AZ360:BG360</xm:f>
              <xm:sqref>BS360</xm:sqref>
            </x14:sparkline>
            <x14:sparkline>
              <xm:f>RevenuePriceCap_FO!AZ361:BG361</xm:f>
              <xm:sqref>BS361</xm:sqref>
            </x14:sparkline>
            <x14:sparkline>
              <xm:f>RevenuePriceCap_FO!AZ362:BG362</xm:f>
              <xm:sqref>BS362</xm:sqref>
            </x14:sparkline>
            <x14:sparkline>
              <xm:f>RevenuePriceCap_FO!AZ363:BG363</xm:f>
              <xm:sqref>BS363</xm:sqref>
            </x14:sparkline>
            <x14:sparkline>
              <xm:f>RevenuePriceCap_FO!AZ364:BG364</xm:f>
              <xm:sqref>BS364</xm:sqref>
            </x14:sparkline>
            <x14:sparkline>
              <xm:f>RevenuePriceCap_FO!AZ365:BG365</xm:f>
              <xm:sqref>BS365</xm:sqref>
            </x14:sparkline>
            <x14:sparkline>
              <xm:f>RevenuePriceCap_FO!AZ366:BG366</xm:f>
              <xm:sqref>BS366</xm:sqref>
            </x14:sparkline>
            <x14:sparkline>
              <xm:f>RevenuePriceCap_FO!AZ367:BG367</xm:f>
              <xm:sqref>BS367</xm:sqref>
            </x14:sparkline>
            <x14:sparkline>
              <xm:f>RevenuePriceCap_FO!AZ368:BG368</xm:f>
              <xm:sqref>BS368</xm:sqref>
            </x14:sparkline>
            <x14:sparkline>
              <xm:f>RevenuePriceCap_FO!AZ369:BG369</xm:f>
              <xm:sqref>BS369</xm:sqref>
            </x14:sparkline>
            <x14:sparkline>
              <xm:f>RevenuePriceCap_FO!AZ370:BG370</xm:f>
              <xm:sqref>BS370</xm:sqref>
            </x14:sparkline>
            <x14:sparkline>
              <xm:f>RevenuePriceCap_FO!AZ371:BG371</xm:f>
              <xm:sqref>BS371</xm:sqref>
            </x14:sparkline>
            <x14:sparkline>
              <xm:f>RevenuePriceCap_FO!AZ372:BG372</xm:f>
              <xm:sqref>BS372</xm:sqref>
            </x14:sparkline>
            <x14:sparkline>
              <xm:f>RevenuePriceCap_FO!AZ373:BG373</xm:f>
              <xm:sqref>BS373</xm:sqref>
            </x14:sparkline>
            <x14:sparkline>
              <xm:f>RevenuePriceCap_FO!AZ374:BG374</xm:f>
              <xm:sqref>BS374</xm:sqref>
            </x14:sparkline>
            <x14:sparkline>
              <xm:f>RevenuePriceCap_FO!AZ375:BG375</xm:f>
              <xm:sqref>BS375</xm:sqref>
            </x14:sparkline>
            <x14:sparkline>
              <xm:f>RevenuePriceCap_FO!AZ376:BG376</xm:f>
              <xm:sqref>BS376</xm:sqref>
            </x14:sparkline>
            <x14:sparkline>
              <xm:f>RevenuePriceCap_FO!AZ377:BG377</xm:f>
              <xm:sqref>BS377</xm:sqref>
            </x14:sparkline>
            <x14:sparkline>
              <xm:f>RevenuePriceCap_FO!AZ378:BG378</xm:f>
              <xm:sqref>BS378</xm:sqref>
            </x14:sparkline>
            <x14:sparkline>
              <xm:f>RevenuePriceCap_FO!AZ379:BG379</xm:f>
              <xm:sqref>BS379</xm:sqref>
            </x14:sparkline>
            <x14:sparkline>
              <xm:f>RevenuePriceCap_FO!AZ380:BG380</xm:f>
              <xm:sqref>BS380</xm:sqref>
            </x14:sparkline>
            <x14:sparkline>
              <xm:f>RevenuePriceCap_FO!AZ381:BG381</xm:f>
              <xm:sqref>BS381</xm:sqref>
            </x14:sparkline>
            <x14:sparkline>
              <xm:f>RevenuePriceCap_FO!AZ382:BG382</xm:f>
              <xm:sqref>BS382</xm:sqref>
            </x14:sparkline>
            <x14:sparkline>
              <xm:f>RevenuePriceCap_FO!AZ383:BG383</xm:f>
              <xm:sqref>BS383</xm:sqref>
            </x14:sparkline>
            <x14:sparkline>
              <xm:f>RevenuePriceCap_FO!AZ384:BG384</xm:f>
              <xm:sqref>BS384</xm:sqref>
            </x14:sparkline>
            <x14:sparkline>
              <xm:f>RevenuePriceCap_FO!AZ385:BG385</xm:f>
              <xm:sqref>BS385</xm:sqref>
            </x14:sparkline>
            <x14:sparkline>
              <xm:f>RevenuePriceCap_FO!AZ386:BG386</xm:f>
              <xm:sqref>BS386</xm:sqref>
            </x14:sparkline>
            <x14:sparkline>
              <xm:f>RevenuePriceCap_FO!AZ387:BG387</xm:f>
              <xm:sqref>BS387</xm:sqref>
            </x14:sparkline>
            <x14:sparkline>
              <xm:f>RevenuePriceCap_FO!AZ388:BG388</xm:f>
              <xm:sqref>BS388</xm:sqref>
            </x14:sparkline>
            <x14:sparkline>
              <xm:f>RevenuePriceCap_FO!AZ389:BG389</xm:f>
              <xm:sqref>BS389</xm:sqref>
            </x14:sparkline>
            <x14:sparkline>
              <xm:f>RevenuePriceCap_FO!AZ390:BG390</xm:f>
              <xm:sqref>BS390</xm:sqref>
            </x14:sparkline>
            <x14:sparkline>
              <xm:f>RevenuePriceCap_FO!AZ391:BG391</xm:f>
              <xm:sqref>BS391</xm:sqref>
            </x14:sparkline>
            <x14:sparkline>
              <xm:f>RevenuePriceCap_FO!AZ392:BG392</xm:f>
              <xm:sqref>BS392</xm:sqref>
            </x14:sparkline>
            <x14:sparkline>
              <xm:f>RevenuePriceCap_FO!AZ393:BG393</xm:f>
              <xm:sqref>BS393</xm:sqref>
            </x14:sparkline>
            <x14:sparkline>
              <xm:f>RevenuePriceCap_FO!AZ394:BG394</xm:f>
              <xm:sqref>BS394</xm:sqref>
            </x14:sparkline>
            <x14:sparkline>
              <xm:f>RevenuePriceCap_FO!AZ395:BG395</xm:f>
              <xm:sqref>BS395</xm:sqref>
            </x14:sparkline>
            <x14:sparkline>
              <xm:f>RevenuePriceCap_FO!AZ396:BG396</xm:f>
              <xm:sqref>BS396</xm:sqref>
            </x14:sparkline>
            <x14:sparkline>
              <xm:f>RevenuePriceCap_FO!AZ397:BG397</xm:f>
              <xm:sqref>BS397</xm:sqref>
            </x14:sparkline>
            <x14:sparkline>
              <xm:f>RevenuePriceCap_FO!AZ398:BG398</xm:f>
              <xm:sqref>BS398</xm:sqref>
            </x14:sparkline>
            <x14:sparkline>
              <xm:f>RevenuePriceCap_FO!AZ399:BG399</xm:f>
              <xm:sqref>BS399</xm:sqref>
            </x14:sparkline>
            <x14:sparkline>
              <xm:f>RevenuePriceCap_FO!AZ400:BG400</xm:f>
              <xm:sqref>BS400</xm:sqref>
            </x14:sparkline>
            <x14:sparkline>
              <xm:f>RevenuePriceCap_FO!AZ401:BG401</xm:f>
              <xm:sqref>BS401</xm:sqref>
            </x14:sparkline>
            <x14:sparkline>
              <xm:f>RevenuePriceCap_FO!AZ402:BG402</xm:f>
              <xm:sqref>BS402</xm:sqref>
            </x14:sparkline>
            <x14:sparkline>
              <xm:f>RevenuePriceCap_FO!AZ403:BG403</xm:f>
              <xm:sqref>BS403</xm:sqref>
            </x14:sparkline>
            <x14:sparkline>
              <xm:f>RevenuePriceCap_FO!AZ404:BG404</xm:f>
              <xm:sqref>BS404</xm:sqref>
            </x14:sparkline>
            <x14:sparkline>
              <xm:f>RevenuePriceCap_FO!AZ405:BG405</xm:f>
              <xm:sqref>BS405</xm:sqref>
            </x14:sparkline>
            <x14:sparkline>
              <xm:f>RevenuePriceCap_FO!AZ406:BG406</xm:f>
              <xm:sqref>BS406</xm:sqref>
            </x14:sparkline>
            <x14:sparkline>
              <xm:f>RevenuePriceCap_FO!AZ407:BG407</xm:f>
              <xm:sqref>BS407</xm:sqref>
            </x14:sparkline>
            <x14:sparkline>
              <xm:f>RevenuePriceCap_FO!AZ408:BG408</xm:f>
              <xm:sqref>BS408</xm:sqref>
            </x14:sparkline>
            <x14:sparkline>
              <xm:f>RevenuePriceCap_FO!AZ409:BG409</xm:f>
              <xm:sqref>BS409</xm:sqref>
            </x14:sparkline>
            <x14:sparkline>
              <xm:f>RevenuePriceCap_FO!AZ410:BG410</xm:f>
              <xm:sqref>BS410</xm:sqref>
            </x14:sparkline>
            <x14:sparkline>
              <xm:f>RevenuePriceCap_FO!AZ411:BG411</xm:f>
              <xm:sqref>BS411</xm:sqref>
            </x14:sparkline>
            <x14:sparkline>
              <xm:f>RevenuePriceCap_FO!AZ412:BG412</xm:f>
              <xm:sqref>BS412</xm:sqref>
            </x14:sparkline>
            <x14:sparkline>
              <xm:f>RevenuePriceCap_FO!AZ413:BG413</xm:f>
              <xm:sqref>BS413</xm:sqref>
            </x14:sparkline>
            <x14:sparkline>
              <xm:f>RevenuePriceCap_FO!AZ414:BG414</xm:f>
              <xm:sqref>BS414</xm:sqref>
            </x14:sparkline>
            <x14:sparkline>
              <xm:f>RevenuePriceCap_FO!AZ415:BG415</xm:f>
              <xm:sqref>BS415</xm:sqref>
            </x14:sparkline>
            <x14:sparkline>
              <xm:f>RevenuePriceCap_FO!AZ416:BG416</xm:f>
              <xm:sqref>BS416</xm:sqref>
            </x14:sparkline>
            <x14:sparkline>
              <xm:f>RevenuePriceCap_FO!AZ417:BG417</xm:f>
              <xm:sqref>BS417</xm:sqref>
            </x14:sparkline>
            <x14:sparkline>
              <xm:f>RevenuePriceCap_FO!AZ418:BG418</xm:f>
              <xm:sqref>BS418</xm:sqref>
            </x14:sparkline>
            <x14:sparkline>
              <xm:f>RevenuePriceCap_FO!AZ419:BG419</xm:f>
              <xm:sqref>BS419</xm:sqref>
            </x14:sparkline>
            <x14:sparkline>
              <xm:f>RevenuePriceCap_FO!AZ420:BG420</xm:f>
              <xm:sqref>BS420</xm:sqref>
            </x14:sparkline>
            <x14:sparkline>
              <xm:f>RevenuePriceCap_FO!AZ421:BG421</xm:f>
              <xm:sqref>BS421</xm:sqref>
            </x14:sparkline>
            <x14:sparkline>
              <xm:f>RevenuePriceCap_FO!AZ422:BG422</xm:f>
              <xm:sqref>BS422</xm:sqref>
            </x14:sparkline>
            <x14:sparkline>
              <xm:f>RevenuePriceCap_FO!AZ423:BG423</xm:f>
              <xm:sqref>BS423</xm:sqref>
            </x14:sparkline>
            <x14:sparkline>
              <xm:f>RevenuePriceCap_FO!AZ424:BG424</xm:f>
              <xm:sqref>BS424</xm:sqref>
            </x14:sparkline>
            <x14:sparkline>
              <xm:f>RevenuePriceCap_FO!AZ425:BG425</xm:f>
              <xm:sqref>BS425</xm:sqref>
            </x14:sparkline>
            <x14:sparkline>
              <xm:f>RevenuePriceCap_FO!AZ426:BG426</xm:f>
              <xm:sqref>BS426</xm:sqref>
            </x14:sparkline>
            <x14:sparkline>
              <xm:f>RevenuePriceCap_FO!AZ427:BG427</xm:f>
              <xm:sqref>BS427</xm:sqref>
            </x14:sparkline>
            <x14:sparkline>
              <xm:f>RevenuePriceCap_FO!AZ428:BG428</xm:f>
              <xm:sqref>BS428</xm:sqref>
            </x14:sparkline>
            <x14:sparkline>
              <xm:f>RevenuePriceCap_FO!AZ429:BG429</xm:f>
              <xm:sqref>BS429</xm:sqref>
            </x14:sparkline>
            <x14:sparkline>
              <xm:f>RevenuePriceCap_FO!AZ430:BG430</xm:f>
              <xm:sqref>BS430</xm:sqref>
            </x14:sparkline>
            <x14:sparkline>
              <xm:f>RevenuePriceCap_FO!AZ431:BG431</xm:f>
              <xm:sqref>BS431</xm:sqref>
            </x14:sparkline>
            <x14:sparkline>
              <xm:f>RevenuePriceCap_FO!AZ432:BG432</xm:f>
              <xm:sqref>BS432</xm:sqref>
            </x14:sparkline>
            <x14:sparkline>
              <xm:f>RevenuePriceCap_FO!AZ433:BG433</xm:f>
              <xm:sqref>BS433</xm:sqref>
            </x14:sparkline>
            <x14:sparkline>
              <xm:f>RevenuePriceCap_FO!AZ434:BG434</xm:f>
              <xm:sqref>BS434</xm:sqref>
            </x14:sparkline>
            <x14:sparkline>
              <xm:f>RevenuePriceCap_FO!AZ435:BG435</xm:f>
              <xm:sqref>BS435</xm:sqref>
            </x14:sparkline>
            <x14:sparkline>
              <xm:f>RevenuePriceCap_FO!AZ436:BG436</xm:f>
              <xm:sqref>BS436</xm:sqref>
            </x14:sparkline>
            <x14:sparkline>
              <xm:f>RevenuePriceCap_FO!AZ437:BG437</xm:f>
              <xm:sqref>BS437</xm:sqref>
            </x14:sparkline>
            <x14:sparkline>
              <xm:f>RevenuePriceCap_FO!AZ438:BG438</xm:f>
              <xm:sqref>BS438</xm:sqref>
            </x14:sparkline>
            <x14:sparkline>
              <xm:f>RevenuePriceCap_FO!AZ439:BG439</xm:f>
              <xm:sqref>BS439</xm:sqref>
            </x14:sparkline>
            <x14:sparkline>
              <xm:f>RevenuePriceCap_FO!AZ440:BG440</xm:f>
              <xm:sqref>BS440</xm:sqref>
            </x14:sparkline>
          </x14:sparklines>
        </x14:sparklineGroup>
        <x14:sparklineGroup manualMax="0" manualMin="0" displayEmptyCellsAs="gap" xr2:uid="{00000000-0003-0000-0B00-000001000000}">
          <x14:colorSeries theme="5"/>
          <x14:colorNegative theme="6"/>
          <x14:colorAxis rgb="FF000000"/>
          <x14:colorMarkers theme="5" tint="-0.249977111117893"/>
          <x14:colorFirst theme="5" tint="-0.249977111117893"/>
          <x14:colorLast theme="5" tint="-0.249977111117893"/>
          <x14:colorHigh theme="5" tint="-0.249977111117893"/>
          <x14:colorLow theme="5" tint="-0.249977111117893"/>
          <x14:sparklines>
            <x14:sparkline>
              <xm:f>RevenuePriceCap_FO!BH66:BL66</xm:f>
              <xm:sqref>BT66</xm:sqref>
            </x14:sparkline>
            <x14:sparkline>
              <xm:f>RevenuePriceCap_FO!BH67:BL67</xm:f>
              <xm:sqref>BT67</xm:sqref>
            </x14:sparkline>
            <x14:sparkline>
              <xm:f>RevenuePriceCap_FO!BH68:BL68</xm:f>
              <xm:sqref>BT68</xm:sqref>
            </x14:sparkline>
            <x14:sparkline>
              <xm:f>RevenuePriceCap_FO!BH69:BL69</xm:f>
              <xm:sqref>BT69</xm:sqref>
            </x14:sparkline>
            <x14:sparkline>
              <xm:f>RevenuePriceCap_FO!BH70:BL70</xm:f>
              <xm:sqref>BT70</xm:sqref>
            </x14:sparkline>
            <x14:sparkline>
              <xm:f>RevenuePriceCap_FO!BH71:BL71</xm:f>
              <xm:sqref>BT71</xm:sqref>
            </x14:sparkline>
            <x14:sparkline>
              <xm:f>RevenuePriceCap_FO!BH72:BL72</xm:f>
              <xm:sqref>BT72</xm:sqref>
            </x14:sparkline>
            <x14:sparkline>
              <xm:f>RevenuePriceCap_FO!BH73:BL73</xm:f>
              <xm:sqref>BT73</xm:sqref>
            </x14:sparkline>
            <x14:sparkline>
              <xm:f>RevenuePriceCap_FO!BH74:BL74</xm:f>
              <xm:sqref>BT74</xm:sqref>
            </x14:sparkline>
            <x14:sparkline>
              <xm:f>RevenuePriceCap_FO!BH75:BL75</xm:f>
              <xm:sqref>BT75</xm:sqref>
            </x14:sparkline>
            <x14:sparkline>
              <xm:f>RevenuePriceCap_FO!BH76:BL76</xm:f>
              <xm:sqref>BT76</xm:sqref>
            </x14:sparkline>
            <x14:sparkline>
              <xm:f>RevenuePriceCap_FO!BH77:BL77</xm:f>
              <xm:sqref>BT77</xm:sqref>
            </x14:sparkline>
            <x14:sparkline>
              <xm:f>RevenuePriceCap_FO!BH78:BL78</xm:f>
              <xm:sqref>BT78</xm:sqref>
            </x14:sparkline>
            <x14:sparkline>
              <xm:f>RevenuePriceCap_FO!BH79:BL79</xm:f>
              <xm:sqref>BT79</xm:sqref>
            </x14:sparkline>
            <x14:sparkline>
              <xm:f>RevenuePriceCap_FO!BH80:BL80</xm:f>
              <xm:sqref>BT80</xm:sqref>
            </x14:sparkline>
            <x14:sparkline>
              <xm:f>RevenuePriceCap_FO!BH81:BL81</xm:f>
              <xm:sqref>BT81</xm:sqref>
            </x14:sparkline>
            <x14:sparkline>
              <xm:f>RevenuePriceCap_FO!BH82:BL82</xm:f>
              <xm:sqref>BT82</xm:sqref>
            </x14:sparkline>
            <x14:sparkline>
              <xm:f>RevenuePriceCap_FO!BH83:BL83</xm:f>
              <xm:sqref>BT83</xm:sqref>
            </x14:sparkline>
            <x14:sparkline>
              <xm:f>RevenuePriceCap_FO!BH84:BL84</xm:f>
              <xm:sqref>BT84</xm:sqref>
            </x14:sparkline>
            <x14:sparkline>
              <xm:f>RevenuePriceCap_FO!BH85:BL85</xm:f>
              <xm:sqref>BT85</xm:sqref>
            </x14:sparkline>
            <x14:sparkline>
              <xm:f>RevenuePriceCap_FO!BH86:BL86</xm:f>
              <xm:sqref>BT86</xm:sqref>
            </x14:sparkline>
            <x14:sparkline>
              <xm:f>RevenuePriceCap_FO!BH87:BL87</xm:f>
              <xm:sqref>BT87</xm:sqref>
            </x14:sparkline>
            <x14:sparkline>
              <xm:f>RevenuePriceCap_FO!BH88:BL88</xm:f>
              <xm:sqref>BT88</xm:sqref>
            </x14:sparkline>
            <x14:sparkline>
              <xm:f>RevenuePriceCap_FO!BH89:BL89</xm:f>
              <xm:sqref>BT89</xm:sqref>
            </x14:sparkline>
            <x14:sparkline>
              <xm:f>RevenuePriceCap_FO!BH90:BL90</xm:f>
              <xm:sqref>BT90</xm:sqref>
            </x14:sparkline>
            <x14:sparkline>
              <xm:f>RevenuePriceCap_FO!BH91:BL91</xm:f>
              <xm:sqref>BT91</xm:sqref>
            </x14:sparkline>
            <x14:sparkline>
              <xm:f>RevenuePriceCap_FO!BH92:BL92</xm:f>
              <xm:sqref>BT92</xm:sqref>
            </x14:sparkline>
            <x14:sparkline>
              <xm:f>RevenuePriceCap_FO!BH93:BL93</xm:f>
              <xm:sqref>BT93</xm:sqref>
            </x14:sparkline>
            <x14:sparkline>
              <xm:f>RevenuePriceCap_FO!BH94:BL94</xm:f>
              <xm:sqref>BT94</xm:sqref>
            </x14:sparkline>
            <x14:sparkline>
              <xm:f>RevenuePriceCap_FO!BH95:BL95</xm:f>
              <xm:sqref>BT95</xm:sqref>
            </x14:sparkline>
            <x14:sparkline>
              <xm:f>RevenuePriceCap_FO!BH96:BL96</xm:f>
              <xm:sqref>BT96</xm:sqref>
            </x14:sparkline>
            <x14:sparkline>
              <xm:f>RevenuePriceCap_FO!BH97:BL97</xm:f>
              <xm:sqref>BT97</xm:sqref>
            </x14:sparkline>
            <x14:sparkline>
              <xm:f>RevenuePriceCap_FO!BH98:BL98</xm:f>
              <xm:sqref>BT98</xm:sqref>
            </x14:sparkline>
            <x14:sparkline>
              <xm:f>RevenuePriceCap_FO!BH99:BL99</xm:f>
              <xm:sqref>BT99</xm:sqref>
            </x14:sparkline>
            <x14:sparkline>
              <xm:f>RevenuePriceCap_FO!BH100:BL100</xm:f>
              <xm:sqref>BT100</xm:sqref>
            </x14:sparkline>
            <x14:sparkline>
              <xm:f>RevenuePriceCap_FO!BH101:BL101</xm:f>
              <xm:sqref>BT101</xm:sqref>
            </x14:sparkline>
            <x14:sparkline>
              <xm:f>RevenuePriceCap_FO!BH102:BL102</xm:f>
              <xm:sqref>BT102</xm:sqref>
            </x14:sparkline>
            <x14:sparkline>
              <xm:f>RevenuePriceCap_FO!BH103:BL103</xm:f>
              <xm:sqref>BT103</xm:sqref>
            </x14:sparkline>
            <x14:sparkline>
              <xm:f>RevenuePriceCap_FO!BH104:BL104</xm:f>
              <xm:sqref>BT104</xm:sqref>
            </x14:sparkline>
            <x14:sparkline>
              <xm:f>RevenuePriceCap_FO!BH105:BL105</xm:f>
              <xm:sqref>BT105</xm:sqref>
            </x14:sparkline>
            <x14:sparkline>
              <xm:f>RevenuePriceCap_FO!BH106:BL106</xm:f>
              <xm:sqref>BT106</xm:sqref>
            </x14:sparkline>
            <x14:sparkline>
              <xm:f>RevenuePriceCap_FO!BH107:BL107</xm:f>
              <xm:sqref>BT107</xm:sqref>
            </x14:sparkline>
            <x14:sparkline>
              <xm:f>RevenuePriceCap_FO!BH108:BL108</xm:f>
              <xm:sqref>BT108</xm:sqref>
            </x14:sparkline>
            <x14:sparkline>
              <xm:f>RevenuePriceCap_FO!BH109:BL109</xm:f>
              <xm:sqref>BT109</xm:sqref>
            </x14:sparkline>
            <x14:sparkline>
              <xm:f>RevenuePriceCap_FO!BH110:BL110</xm:f>
              <xm:sqref>BT110</xm:sqref>
            </x14:sparkline>
            <x14:sparkline>
              <xm:f>RevenuePriceCap_FO!BH111:BL111</xm:f>
              <xm:sqref>BT111</xm:sqref>
            </x14:sparkline>
            <x14:sparkline>
              <xm:f>RevenuePriceCap_FO!BH112:BL112</xm:f>
              <xm:sqref>BT112</xm:sqref>
            </x14:sparkline>
            <x14:sparkline>
              <xm:f>RevenuePriceCap_FO!BH113:BL113</xm:f>
              <xm:sqref>BT113</xm:sqref>
            </x14:sparkline>
            <x14:sparkline>
              <xm:f>RevenuePriceCap_FO!BH114:BL114</xm:f>
              <xm:sqref>BT114</xm:sqref>
            </x14:sparkline>
            <x14:sparkline>
              <xm:f>RevenuePriceCap_FO!BH115:BL115</xm:f>
              <xm:sqref>BT115</xm:sqref>
            </x14:sparkline>
            <x14:sparkline>
              <xm:f>RevenuePriceCap_FO!BH116:BL116</xm:f>
              <xm:sqref>BT116</xm:sqref>
            </x14:sparkline>
            <x14:sparkline>
              <xm:f>RevenuePriceCap_FO!BH117:BL117</xm:f>
              <xm:sqref>BT117</xm:sqref>
            </x14:sparkline>
            <x14:sparkline>
              <xm:f>RevenuePriceCap_FO!BH118:BL118</xm:f>
              <xm:sqref>BT118</xm:sqref>
            </x14:sparkline>
            <x14:sparkline>
              <xm:f>RevenuePriceCap_FO!BH119:BL119</xm:f>
              <xm:sqref>BT119</xm:sqref>
            </x14:sparkline>
            <x14:sparkline>
              <xm:f>RevenuePriceCap_FO!BH120:BL120</xm:f>
              <xm:sqref>BT120</xm:sqref>
            </x14:sparkline>
            <x14:sparkline>
              <xm:f>RevenuePriceCap_FO!BH121:BL121</xm:f>
              <xm:sqref>BT121</xm:sqref>
            </x14:sparkline>
            <x14:sparkline>
              <xm:f>RevenuePriceCap_FO!BH122:BL122</xm:f>
              <xm:sqref>BT122</xm:sqref>
            </x14:sparkline>
            <x14:sparkline>
              <xm:f>RevenuePriceCap_FO!BH123:BL123</xm:f>
              <xm:sqref>BT123</xm:sqref>
            </x14:sparkline>
            <x14:sparkline>
              <xm:f>RevenuePriceCap_FO!BH124:BL124</xm:f>
              <xm:sqref>BT124</xm:sqref>
            </x14:sparkline>
            <x14:sparkline>
              <xm:f>RevenuePriceCap_FO!BH125:BL125</xm:f>
              <xm:sqref>BT125</xm:sqref>
            </x14:sparkline>
            <x14:sparkline>
              <xm:f>RevenuePriceCap_FO!BH126:BL126</xm:f>
              <xm:sqref>BT126</xm:sqref>
            </x14:sparkline>
            <x14:sparkline>
              <xm:f>RevenuePriceCap_FO!BH127:BL127</xm:f>
              <xm:sqref>BT127</xm:sqref>
            </x14:sparkline>
            <x14:sparkline>
              <xm:f>RevenuePriceCap_FO!BH128:BL128</xm:f>
              <xm:sqref>BT128</xm:sqref>
            </x14:sparkline>
            <x14:sparkline>
              <xm:f>RevenuePriceCap_FO!BH129:BL129</xm:f>
              <xm:sqref>BT129</xm:sqref>
            </x14:sparkline>
            <x14:sparkline>
              <xm:f>RevenuePriceCap_FO!BH130:BL130</xm:f>
              <xm:sqref>BT130</xm:sqref>
            </x14:sparkline>
            <x14:sparkline>
              <xm:f>RevenuePriceCap_FO!BH131:BL131</xm:f>
              <xm:sqref>BT131</xm:sqref>
            </x14:sparkline>
            <x14:sparkline>
              <xm:f>RevenuePriceCap_FO!BH132:BL132</xm:f>
              <xm:sqref>BT132</xm:sqref>
            </x14:sparkline>
            <x14:sparkline>
              <xm:f>RevenuePriceCap_FO!BH133:BL133</xm:f>
              <xm:sqref>BT133</xm:sqref>
            </x14:sparkline>
            <x14:sparkline>
              <xm:f>RevenuePriceCap_FO!BH134:BL134</xm:f>
              <xm:sqref>BT134</xm:sqref>
            </x14:sparkline>
            <x14:sparkline>
              <xm:f>RevenuePriceCap_FO!BH135:BL135</xm:f>
              <xm:sqref>BT135</xm:sqref>
            </x14:sparkline>
            <x14:sparkline>
              <xm:f>RevenuePriceCap_FO!BH136:BL136</xm:f>
              <xm:sqref>BT136</xm:sqref>
            </x14:sparkline>
            <x14:sparkline>
              <xm:f>RevenuePriceCap_FO!BH137:BL137</xm:f>
              <xm:sqref>BT137</xm:sqref>
            </x14:sparkline>
            <x14:sparkline>
              <xm:f>RevenuePriceCap_FO!BH138:BL138</xm:f>
              <xm:sqref>BT138</xm:sqref>
            </x14:sparkline>
            <x14:sparkline>
              <xm:f>RevenuePriceCap_FO!BH139:BL139</xm:f>
              <xm:sqref>BT139</xm:sqref>
            </x14:sparkline>
            <x14:sparkline>
              <xm:f>RevenuePriceCap_FO!BH140:BL140</xm:f>
              <xm:sqref>BT140</xm:sqref>
            </x14:sparkline>
            <x14:sparkline>
              <xm:f>RevenuePriceCap_FO!BH141:BL141</xm:f>
              <xm:sqref>BT141</xm:sqref>
            </x14:sparkline>
            <x14:sparkline>
              <xm:f>RevenuePriceCap_FO!BH142:BL142</xm:f>
              <xm:sqref>BT142</xm:sqref>
            </x14:sparkline>
            <x14:sparkline>
              <xm:f>RevenuePriceCap_FO!BH143:BL143</xm:f>
              <xm:sqref>BT143</xm:sqref>
            </x14:sparkline>
            <x14:sparkline>
              <xm:f>RevenuePriceCap_FO!BH144:BL144</xm:f>
              <xm:sqref>BT144</xm:sqref>
            </x14:sparkline>
            <x14:sparkline>
              <xm:f>RevenuePriceCap_FO!BH145:BL145</xm:f>
              <xm:sqref>BT145</xm:sqref>
            </x14:sparkline>
            <x14:sparkline>
              <xm:f>RevenuePriceCap_FO!BH146:BL146</xm:f>
              <xm:sqref>BT146</xm:sqref>
            </x14:sparkline>
            <x14:sparkline>
              <xm:f>RevenuePriceCap_FO!BH147:BL147</xm:f>
              <xm:sqref>BT147</xm:sqref>
            </x14:sparkline>
            <x14:sparkline>
              <xm:f>RevenuePriceCap_FO!BH148:BL148</xm:f>
              <xm:sqref>BT148</xm:sqref>
            </x14:sparkline>
            <x14:sparkline>
              <xm:f>RevenuePriceCap_FO!BH149:BL149</xm:f>
              <xm:sqref>BT149</xm:sqref>
            </x14:sparkline>
            <x14:sparkline>
              <xm:f>RevenuePriceCap_FO!BH150:BL150</xm:f>
              <xm:sqref>BT150</xm:sqref>
            </x14:sparkline>
            <x14:sparkline>
              <xm:f>RevenuePriceCap_FO!BH151:BL151</xm:f>
              <xm:sqref>BT151</xm:sqref>
            </x14:sparkline>
            <x14:sparkline>
              <xm:f>RevenuePriceCap_FO!BH152:BL152</xm:f>
              <xm:sqref>BT152</xm:sqref>
            </x14:sparkline>
            <x14:sparkline>
              <xm:f>RevenuePriceCap_FO!BH153:BL153</xm:f>
              <xm:sqref>BT153</xm:sqref>
            </x14:sparkline>
            <x14:sparkline>
              <xm:f>RevenuePriceCap_FO!BH154:BL154</xm:f>
              <xm:sqref>BT154</xm:sqref>
            </x14:sparkline>
            <x14:sparkline>
              <xm:f>RevenuePriceCap_FO!BH155:BL155</xm:f>
              <xm:sqref>BT155</xm:sqref>
            </x14:sparkline>
            <x14:sparkline>
              <xm:f>RevenuePriceCap_FO!BH156:BL156</xm:f>
              <xm:sqref>BT156</xm:sqref>
            </x14:sparkline>
            <x14:sparkline>
              <xm:f>RevenuePriceCap_FO!BH157:BL157</xm:f>
              <xm:sqref>BT157</xm:sqref>
            </x14:sparkline>
            <x14:sparkline>
              <xm:f>RevenuePriceCap_FO!BH158:BL158</xm:f>
              <xm:sqref>BT158</xm:sqref>
            </x14:sparkline>
            <x14:sparkline>
              <xm:f>RevenuePriceCap_FO!BH159:BL159</xm:f>
              <xm:sqref>BT159</xm:sqref>
            </x14:sparkline>
            <x14:sparkline>
              <xm:f>RevenuePriceCap_FO!BH160:BL160</xm:f>
              <xm:sqref>BT160</xm:sqref>
            </x14:sparkline>
            <x14:sparkline>
              <xm:f>RevenuePriceCap_FO!BH161:BL161</xm:f>
              <xm:sqref>BT161</xm:sqref>
            </x14:sparkline>
            <x14:sparkline>
              <xm:f>RevenuePriceCap_FO!BH162:BL162</xm:f>
              <xm:sqref>BT162</xm:sqref>
            </x14:sparkline>
            <x14:sparkline>
              <xm:f>RevenuePriceCap_FO!BH163:BL163</xm:f>
              <xm:sqref>BT163</xm:sqref>
            </x14:sparkline>
            <x14:sparkline>
              <xm:f>RevenuePriceCap_FO!BH164:BL164</xm:f>
              <xm:sqref>BT164</xm:sqref>
            </x14:sparkline>
            <x14:sparkline>
              <xm:f>RevenuePriceCap_FO!BH165:BL165</xm:f>
              <xm:sqref>BT165</xm:sqref>
            </x14:sparkline>
            <x14:sparkline>
              <xm:f>RevenuePriceCap_FO!BH166:BL166</xm:f>
              <xm:sqref>BT166</xm:sqref>
            </x14:sparkline>
            <x14:sparkline>
              <xm:f>RevenuePriceCap_FO!BH167:BL167</xm:f>
              <xm:sqref>BT167</xm:sqref>
            </x14:sparkline>
            <x14:sparkline>
              <xm:f>RevenuePriceCap_FO!BH168:BL168</xm:f>
              <xm:sqref>BT168</xm:sqref>
            </x14:sparkline>
            <x14:sparkline>
              <xm:f>RevenuePriceCap_FO!BH169:BL169</xm:f>
              <xm:sqref>BT169</xm:sqref>
            </x14:sparkline>
            <x14:sparkline>
              <xm:f>RevenuePriceCap_FO!BH170:BL170</xm:f>
              <xm:sqref>BT170</xm:sqref>
            </x14:sparkline>
            <x14:sparkline>
              <xm:f>RevenuePriceCap_FO!BH171:BL171</xm:f>
              <xm:sqref>BT171</xm:sqref>
            </x14:sparkline>
            <x14:sparkline>
              <xm:f>RevenuePriceCap_FO!BH172:BL172</xm:f>
              <xm:sqref>BT172</xm:sqref>
            </x14:sparkline>
            <x14:sparkline>
              <xm:f>RevenuePriceCap_FO!BH173:BL173</xm:f>
              <xm:sqref>BT173</xm:sqref>
            </x14:sparkline>
            <x14:sparkline>
              <xm:f>RevenuePriceCap_FO!BH174:BL174</xm:f>
              <xm:sqref>BT174</xm:sqref>
            </x14:sparkline>
            <x14:sparkline>
              <xm:f>RevenuePriceCap_FO!BH175:BL175</xm:f>
              <xm:sqref>BT175</xm:sqref>
            </x14:sparkline>
            <x14:sparkline>
              <xm:f>RevenuePriceCap_FO!BH176:BL176</xm:f>
              <xm:sqref>BT176</xm:sqref>
            </x14:sparkline>
            <x14:sparkline>
              <xm:f>RevenuePriceCap_FO!BH177:BL177</xm:f>
              <xm:sqref>BT177</xm:sqref>
            </x14:sparkline>
            <x14:sparkline>
              <xm:f>RevenuePriceCap_FO!BH178:BL178</xm:f>
              <xm:sqref>BT178</xm:sqref>
            </x14:sparkline>
            <x14:sparkline>
              <xm:f>RevenuePriceCap_FO!BH179:BL179</xm:f>
              <xm:sqref>BT179</xm:sqref>
            </x14:sparkline>
            <x14:sparkline>
              <xm:f>RevenuePriceCap_FO!BH180:BL180</xm:f>
              <xm:sqref>BT180</xm:sqref>
            </x14:sparkline>
            <x14:sparkline>
              <xm:f>RevenuePriceCap_FO!BH181:BL181</xm:f>
              <xm:sqref>BT181</xm:sqref>
            </x14:sparkline>
            <x14:sparkline>
              <xm:f>RevenuePriceCap_FO!BH182:BL182</xm:f>
              <xm:sqref>BT182</xm:sqref>
            </x14:sparkline>
            <x14:sparkline>
              <xm:f>RevenuePriceCap_FO!BH183:BL183</xm:f>
              <xm:sqref>BT183</xm:sqref>
            </x14:sparkline>
            <x14:sparkline>
              <xm:f>RevenuePriceCap_FO!BH184:BL184</xm:f>
              <xm:sqref>BT184</xm:sqref>
            </x14:sparkline>
            <x14:sparkline>
              <xm:f>RevenuePriceCap_FO!BH185:BL185</xm:f>
              <xm:sqref>BT185</xm:sqref>
            </x14:sparkline>
            <x14:sparkline>
              <xm:f>RevenuePriceCap_FO!BH186:BL186</xm:f>
              <xm:sqref>BT186</xm:sqref>
            </x14:sparkline>
            <x14:sparkline>
              <xm:f>RevenuePriceCap_FO!BH187:BL187</xm:f>
              <xm:sqref>BT187</xm:sqref>
            </x14:sparkline>
            <x14:sparkline>
              <xm:f>RevenuePriceCap_FO!BH188:BL188</xm:f>
              <xm:sqref>BT188</xm:sqref>
            </x14:sparkline>
            <x14:sparkline>
              <xm:f>RevenuePriceCap_FO!BH189:BL189</xm:f>
              <xm:sqref>BT189</xm:sqref>
            </x14:sparkline>
            <x14:sparkline>
              <xm:f>RevenuePriceCap_FO!BH190:BL190</xm:f>
              <xm:sqref>BT190</xm:sqref>
            </x14:sparkline>
            <x14:sparkline>
              <xm:f>RevenuePriceCap_FO!BH191:BL191</xm:f>
              <xm:sqref>BT191</xm:sqref>
            </x14:sparkline>
            <x14:sparkline>
              <xm:f>RevenuePriceCap_FO!BH192:BL192</xm:f>
              <xm:sqref>BT192</xm:sqref>
            </x14:sparkline>
            <x14:sparkline>
              <xm:f>RevenuePriceCap_FO!BH193:BL193</xm:f>
              <xm:sqref>BT193</xm:sqref>
            </x14:sparkline>
            <x14:sparkline>
              <xm:f>RevenuePriceCap_FO!BH194:BL194</xm:f>
              <xm:sqref>BT194</xm:sqref>
            </x14:sparkline>
            <x14:sparkline>
              <xm:f>RevenuePriceCap_FO!BH195:BL195</xm:f>
              <xm:sqref>BT195</xm:sqref>
            </x14:sparkline>
            <x14:sparkline>
              <xm:f>RevenuePriceCap_FO!BH196:BL196</xm:f>
              <xm:sqref>BT196</xm:sqref>
            </x14:sparkline>
            <x14:sparkline>
              <xm:f>RevenuePriceCap_FO!BH197:BL197</xm:f>
              <xm:sqref>BT197</xm:sqref>
            </x14:sparkline>
            <x14:sparkline>
              <xm:f>RevenuePriceCap_FO!BH198:BL198</xm:f>
              <xm:sqref>BT198</xm:sqref>
            </x14:sparkline>
            <x14:sparkline>
              <xm:f>RevenuePriceCap_FO!BH199:BL199</xm:f>
              <xm:sqref>BT199</xm:sqref>
            </x14:sparkline>
            <x14:sparkline>
              <xm:f>RevenuePriceCap_FO!BH200:BL200</xm:f>
              <xm:sqref>BT200</xm:sqref>
            </x14:sparkline>
            <x14:sparkline>
              <xm:f>RevenuePriceCap_FO!BH201:BL201</xm:f>
              <xm:sqref>BT201</xm:sqref>
            </x14:sparkline>
            <x14:sparkline>
              <xm:f>RevenuePriceCap_FO!BH202:BL202</xm:f>
              <xm:sqref>BT202</xm:sqref>
            </x14:sparkline>
            <x14:sparkline>
              <xm:f>RevenuePriceCap_FO!BH203:BL203</xm:f>
              <xm:sqref>BT203</xm:sqref>
            </x14:sparkline>
            <x14:sparkline>
              <xm:f>RevenuePriceCap_FO!BH204:BL204</xm:f>
              <xm:sqref>BT204</xm:sqref>
            </x14:sparkline>
            <x14:sparkline>
              <xm:f>RevenuePriceCap_FO!BH205:BL205</xm:f>
              <xm:sqref>BT205</xm:sqref>
            </x14:sparkline>
            <x14:sparkline>
              <xm:f>RevenuePriceCap_FO!BH206:BL206</xm:f>
              <xm:sqref>BT206</xm:sqref>
            </x14:sparkline>
            <x14:sparkline>
              <xm:f>RevenuePriceCap_FO!BH207:BL207</xm:f>
              <xm:sqref>BT207</xm:sqref>
            </x14:sparkline>
            <x14:sparkline>
              <xm:f>RevenuePriceCap_FO!BH208:BL208</xm:f>
              <xm:sqref>BT208</xm:sqref>
            </x14:sparkline>
            <x14:sparkline>
              <xm:f>RevenuePriceCap_FO!BH209:BL209</xm:f>
              <xm:sqref>BT209</xm:sqref>
            </x14:sparkline>
            <x14:sparkline>
              <xm:f>RevenuePriceCap_FO!BH210:BL210</xm:f>
              <xm:sqref>BT210</xm:sqref>
            </x14:sparkline>
            <x14:sparkline>
              <xm:f>RevenuePriceCap_FO!BH211:BL211</xm:f>
              <xm:sqref>BT211</xm:sqref>
            </x14:sparkline>
            <x14:sparkline>
              <xm:f>RevenuePriceCap_FO!BH212:BL212</xm:f>
              <xm:sqref>BT212</xm:sqref>
            </x14:sparkline>
            <x14:sparkline>
              <xm:f>RevenuePriceCap_FO!BH213:BL213</xm:f>
              <xm:sqref>BT213</xm:sqref>
            </x14:sparkline>
            <x14:sparkline>
              <xm:f>RevenuePriceCap_FO!BH214:BL214</xm:f>
              <xm:sqref>BT214</xm:sqref>
            </x14:sparkline>
            <x14:sparkline>
              <xm:f>RevenuePriceCap_FO!BH215:BL215</xm:f>
              <xm:sqref>BT215</xm:sqref>
            </x14:sparkline>
            <x14:sparkline>
              <xm:f>RevenuePriceCap_FO!BH216:BL216</xm:f>
              <xm:sqref>BT216</xm:sqref>
            </x14:sparkline>
            <x14:sparkline>
              <xm:f>RevenuePriceCap_FO!BH217:BL217</xm:f>
              <xm:sqref>BT217</xm:sqref>
            </x14:sparkline>
            <x14:sparkline>
              <xm:f>RevenuePriceCap_FO!BH218:BL218</xm:f>
              <xm:sqref>BT218</xm:sqref>
            </x14:sparkline>
            <x14:sparkline>
              <xm:f>RevenuePriceCap_FO!BH219:BL219</xm:f>
              <xm:sqref>BT219</xm:sqref>
            </x14:sparkline>
            <x14:sparkline>
              <xm:f>RevenuePriceCap_FO!BH220:BL220</xm:f>
              <xm:sqref>BT220</xm:sqref>
            </x14:sparkline>
            <x14:sparkline>
              <xm:f>RevenuePriceCap_FO!BH221:BL221</xm:f>
              <xm:sqref>BT221</xm:sqref>
            </x14:sparkline>
            <x14:sparkline>
              <xm:f>RevenuePriceCap_FO!BH222:BL222</xm:f>
              <xm:sqref>BT222</xm:sqref>
            </x14:sparkline>
            <x14:sparkline>
              <xm:f>RevenuePriceCap_FO!BH223:BL223</xm:f>
              <xm:sqref>BT223</xm:sqref>
            </x14:sparkline>
            <x14:sparkline>
              <xm:f>RevenuePriceCap_FO!BH224:BL224</xm:f>
              <xm:sqref>BT224</xm:sqref>
            </x14:sparkline>
            <x14:sparkline>
              <xm:f>RevenuePriceCap_FO!BH225:BL225</xm:f>
              <xm:sqref>BT225</xm:sqref>
            </x14:sparkline>
            <x14:sparkline>
              <xm:f>RevenuePriceCap_FO!BH226:BL226</xm:f>
              <xm:sqref>BT226</xm:sqref>
            </x14:sparkline>
            <x14:sparkline>
              <xm:f>RevenuePriceCap_FO!BH227:BL227</xm:f>
              <xm:sqref>BT227</xm:sqref>
            </x14:sparkline>
            <x14:sparkline>
              <xm:f>RevenuePriceCap_FO!BH228:BL228</xm:f>
              <xm:sqref>BT228</xm:sqref>
            </x14:sparkline>
            <x14:sparkline>
              <xm:f>RevenuePriceCap_FO!BH229:BL229</xm:f>
              <xm:sqref>BT229</xm:sqref>
            </x14:sparkline>
            <x14:sparkline>
              <xm:f>RevenuePriceCap_FO!BH230:BL230</xm:f>
              <xm:sqref>BT230</xm:sqref>
            </x14:sparkline>
            <x14:sparkline>
              <xm:f>RevenuePriceCap_FO!BH231:BL231</xm:f>
              <xm:sqref>BT231</xm:sqref>
            </x14:sparkline>
            <x14:sparkline>
              <xm:f>RevenuePriceCap_FO!BH232:BL232</xm:f>
              <xm:sqref>BT232</xm:sqref>
            </x14:sparkline>
            <x14:sparkline>
              <xm:f>RevenuePriceCap_FO!BH233:BL233</xm:f>
              <xm:sqref>BT233</xm:sqref>
            </x14:sparkline>
            <x14:sparkline>
              <xm:f>RevenuePriceCap_FO!BH234:BL234</xm:f>
              <xm:sqref>BT234</xm:sqref>
            </x14:sparkline>
            <x14:sparkline>
              <xm:f>RevenuePriceCap_FO!BH235:BL235</xm:f>
              <xm:sqref>BT235</xm:sqref>
            </x14:sparkline>
            <x14:sparkline>
              <xm:f>RevenuePriceCap_FO!BH236:BL236</xm:f>
              <xm:sqref>BT236</xm:sqref>
            </x14:sparkline>
            <x14:sparkline>
              <xm:f>RevenuePriceCap_FO!BH237:BL237</xm:f>
              <xm:sqref>BT237</xm:sqref>
            </x14:sparkline>
            <x14:sparkline>
              <xm:f>RevenuePriceCap_FO!BH238:BL238</xm:f>
              <xm:sqref>BT238</xm:sqref>
            </x14:sparkline>
            <x14:sparkline>
              <xm:f>RevenuePriceCap_FO!BH239:BL239</xm:f>
              <xm:sqref>BT239</xm:sqref>
            </x14:sparkline>
            <x14:sparkline>
              <xm:f>RevenuePriceCap_FO!BH240:BL240</xm:f>
              <xm:sqref>BT240</xm:sqref>
            </x14:sparkline>
            <x14:sparkline>
              <xm:f>RevenuePriceCap_FO!BH241:BL241</xm:f>
              <xm:sqref>BT241</xm:sqref>
            </x14:sparkline>
            <x14:sparkline>
              <xm:f>RevenuePriceCap_FO!BH242:BL242</xm:f>
              <xm:sqref>BT242</xm:sqref>
            </x14:sparkline>
            <x14:sparkline>
              <xm:f>RevenuePriceCap_FO!BH243:BL243</xm:f>
              <xm:sqref>BT243</xm:sqref>
            </x14:sparkline>
            <x14:sparkline>
              <xm:f>RevenuePriceCap_FO!BH244:BL244</xm:f>
              <xm:sqref>BT244</xm:sqref>
            </x14:sparkline>
            <x14:sparkline>
              <xm:f>RevenuePriceCap_FO!BH245:BL245</xm:f>
              <xm:sqref>BT245</xm:sqref>
            </x14:sparkline>
            <x14:sparkline>
              <xm:f>RevenuePriceCap_FO!BH246:BL246</xm:f>
              <xm:sqref>BT246</xm:sqref>
            </x14:sparkline>
            <x14:sparkline>
              <xm:f>RevenuePriceCap_FO!BH247:BL247</xm:f>
              <xm:sqref>BT247</xm:sqref>
            </x14:sparkline>
            <x14:sparkline>
              <xm:f>RevenuePriceCap_FO!BH248:BL248</xm:f>
              <xm:sqref>BT248</xm:sqref>
            </x14:sparkline>
            <x14:sparkline>
              <xm:f>RevenuePriceCap_FO!BH249:BL249</xm:f>
              <xm:sqref>BT249</xm:sqref>
            </x14:sparkline>
            <x14:sparkline>
              <xm:f>RevenuePriceCap_FO!BH250:BL250</xm:f>
              <xm:sqref>BT250</xm:sqref>
            </x14:sparkline>
            <x14:sparkline>
              <xm:f>RevenuePriceCap_FO!BH251:BL251</xm:f>
              <xm:sqref>BT251</xm:sqref>
            </x14:sparkline>
            <x14:sparkline>
              <xm:f>RevenuePriceCap_FO!BH252:BL252</xm:f>
              <xm:sqref>BT252</xm:sqref>
            </x14:sparkline>
            <x14:sparkline>
              <xm:f>RevenuePriceCap_FO!BH253:BL253</xm:f>
              <xm:sqref>BT253</xm:sqref>
            </x14:sparkline>
            <x14:sparkline>
              <xm:f>RevenuePriceCap_FO!BH254:BL254</xm:f>
              <xm:sqref>BT254</xm:sqref>
            </x14:sparkline>
            <x14:sparkline>
              <xm:f>RevenuePriceCap_FO!BH255:BL255</xm:f>
              <xm:sqref>BT255</xm:sqref>
            </x14:sparkline>
            <x14:sparkline>
              <xm:f>RevenuePriceCap_FO!BH256:BL256</xm:f>
              <xm:sqref>BT256</xm:sqref>
            </x14:sparkline>
            <x14:sparkline>
              <xm:f>RevenuePriceCap_FO!BH257:BL257</xm:f>
              <xm:sqref>BT257</xm:sqref>
            </x14:sparkline>
            <x14:sparkline>
              <xm:f>RevenuePriceCap_FO!BH258:BL258</xm:f>
              <xm:sqref>BT258</xm:sqref>
            </x14:sparkline>
            <x14:sparkline>
              <xm:f>RevenuePriceCap_FO!BH259:BL259</xm:f>
              <xm:sqref>BT259</xm:sqref>
            </x14:sparkline>
            <x14:sparkline>
              <xm:f>RevenuePriceCap_FO!BH260:BL260</xm:f>
              <xm:sqref>BT260</xm:sqref>
            </x14:sparkline>
            <x14:sparkline>
              <xm:f>RevenuePriceCap_FO!BH261:BL261</xm:f>
              <xm:sqref>BT261</xm:sqref>
            </x14:sparkline>
            <x14:sparkline>
              <xm:f>RevenuePriceCap_FO!BH262:BL262</xm:f>
              <xm:sqref>BT262</xm:sqref>
            </x14:sparkline>
            <x14:sparkline>
              <xm:f>RevenuePriceCap_FO!BH263:BL263</xm:f>
              <xm:sqref>BT263</xm:sqref>
            </x14:sparkline>
            <x14:sparkline>
              <xm:f>RevenuePriceCap_FO!BH264:BL264</xm:f>
              <xm:sqref>BT264</xm:sqref>
            </x14:sparkline>
            <x14:sparkline>
              <xm:f>RevenuePriceCap_FO!BH265:BL265</xm:f>
              <xm:sqref>BT265</xm:sqref>
            </x14:sparkline>
            <x14:sparkline>
              <xm:f>RevenuePriceCap_FO!BH266:BL266</xm:f>
              <xm:sqref>BT266</xm:sqref>
            </x14:sparkline>
            <x14:sparkline>
              <xm:f>RevenuePriceCap_FO!BH267:BL267</xm:f>
              <xm:sqref>BT267</xm:sqref>
            </x14:sparkline>
            <x14:sparkline>
              <xm:f>RevenuePriceCap_FO!BH268:BL268</xm:f>
              <xm:sqref>BT268</xm:sqref>
            </x14:sparkline>
            <x14:sparkline>
              <xm:f>RevenuePriceCap_FO!BH269:BL269</xm:f>
              <xm:sqref>BT269</xm:sqref>
            </x14:sparkline>
            <x14:sparkline>
              <xm:f>RevenuePriceCap_FO!BH270:BL270</xm:f>
              <xm:sqref>BT270</xm:sqref>
            </x14:sparkline>
            <x14:sparkline>
              <xm:f>RevenuePriceCap_FO!BH271:BL271</xm:f>
              <xm:sqref>BT271</xm:sqref>
            </x14:sparkline>
            <x14:sparkline>
              <xm:f>RevenuePriceCap_FO!BH272:BL272</xm:f>
              <xm:sqref>BT272</xm:sqref>
            </x14:sparkline>
            <x14:sparkline>
              <xm:f>RevenuePriceCap_FO!BH273:BL273</xm:f>
              <xm:sqref>BT273</xm:sqref>
            </x14:sparkline>
            <x14:sparkline>
              <xm:f>RevenuePriceCap_FO!BH274:BL274</xm:f>
              <xm:sqref>BT274</xm:sqref>
            </x14:sparkline>
            <x14:sparkline>
              <xm:f>RevenuePriceCap_FO!BH275:BL275</xm:f>
              <xm:sqref>BT275</xm:sqref>
            </x14:sparkline>
            <x14:sparkline>
              <xm:f>RevenuePriceCap_FO!BH276:BL276</xm:f>
              <xm:sqref>BT276</xm:sqref>
            </x14:sparkline>
            <x14:sparkline>
              <xm:f>RevenuePriceCap_FO!BH277:BL277</xm:f>
              <xm:sqref>BT277</xm:sqref>
            </x14:sparkline>
            <x14:sparkline>
              <xm:f>RevenuePriceCap_FO!BH278:BL278</xm:f>
              <xm:sqref>BT278</xm:sqref>
            </x14:sparkline>
            <x14:sparkline>
              <xm:f>RevenuePriceCap_FO!BH279:BL279</xm:f>
              <xm:sqref>BT279</xm:sqref>
            </x14:sparkline>
            <x14:sparkline>
              <xm:f>RevenuePriceCap_FO!BH280:BL280</xm:f>
              <xm:sqref>BT280</xm:sqref>
            </x14:sparkline>
            <x14:sparkline>
              <xm:f>RevenuePriceCap_FO!BH281:BL281</xm:f>
              <xm:sqref>BT281</xm:sqref>
            </x14:sparkline>
            <x14:sparkline>
              <xm:f>RevenuePriceCap_FO!BH282:BL282</xm:f>
              <xm:sqref>BT282</xm:sqref>
            </x14:sparkline>
            <x14:sparkline>
              <xm:f>RevenuePriceCap_FO!BH283:BL283</xm:f>
              <xm:sqref>BT283</xm:sqref>
            </x14:sparkline>
            <x14:sparkline>
              <xm:f>RevenuePriceCap_FO!BH284:BL284</xm:f>
              <xm:sqref>BT284</xm:sqref>
            </x14:sparkline>
            <x14:sparkline>
              <xm:f>RevenuePriceCap_FO!BH285:BL285</xm:f>
              <xm:sqref>BT285</xm:sqref>
            </x14:sparkline>
            <x14:sparkline>
              <xm:f>RevenuePriceCap_FO!BH286:BL286</xm:f>
              <xm:sqref>BT286</xm:sqref>
            </x14:sparkline>
            <x14:sparkline>
              <xm:f>RevenuePriceCap_FO!BH287:BL287</xm:f>
              <xm:sqref>BT287</xm:sqref>
            </x14:sparkline>
            <x14:sparkline>
              <xm:f>RevenuePriceCap_FO!BH288:BL288</xm:f>
              <xm:sqref>BT288</xm:sqref>
            </x14:sparkline>
            <x14:sparkline>
              <xm:f>RevenuePriceCap_FO!BH289:BL289</xm:f>
              <xm:sqref>BT289</xm:sqref>
            </x14:sparkline>
            <x14:sparkline>
              <xm:f>RevenuePriceCap_FO!BH290:BL290</xm:f>
              <xm:sqref>BT290</xm:sqref>
            </x14:sparkline>
            <x14:sparkline>
              <xm:f>RevenuePriceCap_FO!BH291:BL291</xm:f>
              <xm:sqref>BT291</xm:sqref>
            </x14:sparkline>
            <x14:sparkline>
              <xm:f>RevenuePriceCap_FO!BH292:BL292</xm:f>
              <xm:sqref>BT292</xm:sqref>
            </x14:sparkline>
            <x14:sparkline>
              <xm:f>RevenuePriceCap_FO!BH293:BL293</xm:f>
              <xm:sqref>BT293</xm:sqref>
            </x14:sparkline>
            <x14:sparkline>
              <xm:f>RevenuePriceCap_FO!BH294:BL294</xm:f>
              <xm:sqref>BT294</xm:sqref>
            </x14:sparkline>
            <x14:sparkline>
              <xm:f>RevenuePriceCap_FO!BH295:BL295</xm:f>
              <xm:sqref>BT295</xm:sqref>
            </x14:sparkline>
            <x14:sparkline>
              <xm:f>RevenuePriceCap_FO!BH296:BL296</xm:f>
              <xm:sqref>BT296</xm:sqref>
            </x14:sparkline>
            <x14:sparkline>
              <xm:f>RevenuePriceCap_FO!BH297:BL297</xm:f>
              <xm:sqref>BT297</xm:sqref>
            </x14:sparkline>
            <x14:sparkline>
              <xm:f>RevenuePriceCap_FO!BH298:BL298</xm:f>
              <xm:sqref>BT298</xm:sqref>
            </x14:sparkline>
            <x14:sparkline>
              <xm:f>RevenuePriceCap_FO!BH299:BL299</xm:f>
              <xm:sqref>BT299</xm:sqref>
            </x14:sparkline>
            <x14:sparkline>
              <xm:f>RevenuePriceCap_FO!BH300:BL300</xm:f>
              <xm:sqref>BT300</xm:sqref>
            </x14:sparkline>
            <x14:sparkline>
              <xm:f>RevenuePriceCap_FO!BH301:BL301</xm:f>
              <xm:sqref>BT301</xm:sqref>
            </x14:sparkline>
            <x14:sparkline>
              <xm:f>RevenuePriceCap_FO!BH302:BL302</xm:f>
              <xm:sqref>BT302</xm:sqref>
            </x14:sparkline>
            <x14:sparkline>
              <xm:f>RevenuePriceCap_FO!BH303:BL303</xm:f>
              <xm:sqref>BT303</xm:sqref>
            </x14:sparkline>
            <x14:sparkline>
              <xm:f>RevenuePriceCap_FO!BH304:BL304</xm:f>
              <xm:sqref>BT304</xm:sqref>
            </x14:sparkline>
            <x14:sparkline>
              <xm:f>RevenuePriceCap_FO!BH305:BL305</xm:f>
              <xm:sqref>BT305</xm:sqref>
            </x14:sparkline>
            <x14:sparkline>
              <xm:f>RevenuePriceCap_FO!BH306:BL306</xm:f>
              <xm:sqref>BT306</xm:sqref>
            </x14:sparkline>
            <x14:sparkline>
              <xm:f>RevenuePriceCap_FO!BH307:BL307</xm:f>
              <xm:sqref>BT307</xm:sqref>
            </x14:sparkline>
            <x14:sparkline>
              <xm:f>RevenuePriceCap_FO!BH308:BL308</xm:f>
              <xm:sqref>BT308</xm:sqref>
            </x14:sparkline>
            <x14:sparkline>
              <xm:f>RevenuePriceCap_FO!BH309:BL309</xm:f>
              <xm:sqref>BT309</xm:sqref>
            </x14:sparkline>
            <x14:sparkline>
              <xm:f>RevenuePriceCap_FO!BH310:BL310</xm:f>
              <xm:sqref>BT310</xm:sqref>
            </x14:sparkline>
            <x14:sparkline>
              <xm:f>RevenuePriceCap_FO!BH311:BL311</xm:f>
              <xm:sqref>BT311</xm:sqref>
            </x14:sparkline>
            <x14:sparkline>
              <xm:f>RevenuePriceCap_FO!BH312:BL312</xm:f>
              <xm:sqref>BT312</xm:sqref>
            </x14:sparkline>
            <x14:sparkline>
              <xm:f>RevenuePriceCap_FO!BH313:BL313</xm:f>
              <xm:sqref>BT313</xm:sqref>
            </x14:sparkline>
            <x14:sparkline>
              <xm:f>RevenuePriceCap_FO!BH314:BL314</xm:f>
              <xm:sqref>BT314</xm:sqref>
            </x14:sparkline>
            <x14:sparkline>
              <xm:f>RevenuePriceCap_FO!BH315:BL315</xm:f>
              <xm:sqref>BT315</xm:sqref>
            </x14:sparkline>
            <x14:sparkline>
              <xm:f>RevenuePriceCap_FO!BH316:BL316</xm:f>
              <xm:sqref>BT316</xm:sqref>
            </x14:sparkline>
            <x14:sparkline>
              <xm:f>RevenuePriceCap_FO!BH317:BL317</xm:f>
              <xm:sqref>BT317</xm:sqref>
            </x14:sparkline>
            <x14:sparkline>
              <xm:f>RevenuePriceCap_FO!BH318:BL318</xm:f>
              <xm:sqref>BT318</xm:sqref>
            </x14:sparkline>
            <x14:sparkline>
              <xm:f>RevenuePriceCap_FO!BH319:BL319</xm:f>
              <xm:sqref>BT319</xm:sqref>
            </x14:sparkline>
            <x14:sparkline>
              <xm:f>RevenuePriceCap_FO!BH320:BL320</xm:f>
              <xm:sqref>BT320</xm:sqref>
            </x14:sparkline>
            <x14:sparkline>
              <xm:f>RevenuePriceCap_FO!BH321:BL321</xm:f>
              <xm:sqref>BT321</xm:sqref>
            </x14:sparkline>
            <x14:sparkline>
              <xm:f>RevenuePriceCap_FO!BH322:BL322</xm:f>
              <xm:sqref>BT322</xm:sqref>
            </x14:sparkline>
            <x14:sparkline>
              <xm:f>RevenuePriceCap_FO!BH323:BL323</xm:f>
              <xm:sqref>BT323</xm:sqref>
            </x14:sparkline>
            <x14:sparkline>
              <xm:f>RevenuePriceCap_FO!BH324:BL324</xm:f>
              <xm:sqref>BT324</xm:sqref>
            </x14:sparkline>
            <x14:sparkline>
              <xm:f>RevenuePriceCap_FO!BH325:BL325</xm:f>
              <xm:sqref>BT325</xm:sqref>
            </x14:sparkline>
            <x14:sparkline>
              <xm:f>RevenuePriceCap_FO!BH326:BL326</xm:f>
              <xm:sqref>BT326</xm:sqref>
            </x14:sparkline>
            <x14:sparkline>
              <xm:f>RevenuePriceCap_FO!BH327:BL327</xm:f>
              <xm:sqref>BT327</xm:sqref>
            </x14:sparkline>
            <x14:sparkline>
              <xm:f>RevenuePriceCap_FO!BH328:BL328</xm:f>
              <xm:sqref>BT328</xm:sqref>
            </x14:sparkline>
            <x14:sparkline>
              <xm:f>RevenuePriceCap_FO!BH329:BL329</xm:f>
              <xm:sqref>BT329</xm:sqref>
            </x14:sparkline>
            <x14:sparkline>
              <xm:f>RevenuePriceCap_FO!BH330:BL330</xm:f>
              <xm:sqref>BT330</xm:sqref>
            </x14:sparkline>
            <x14:sparkline>
              <xm:f>RevenuePriceCap_FO!BH331:BL331</xm:f>
              <xm:sqref>BT331</xm:sqref>
            </x14:sparkline>
            <x14:sparkline>
              <xm:f>RevenuePriceCap_FO!BH332:BL332</xm:f>
              <xm:sqref>BT332</xm:sqref>
            </x14:sparkline>
            <x14:sparkline>
              <xm:f>RevenuePriceCap_FO!BH333:BL333</xm:f>
              <xm:sqref>BT333</xm:sqref>
            </x14:sparkline>
            <x14:sparkline>
              <xm:f>RevenuePriceCap_FO!BH334:BL334</xm:f>
              <xm:sqref>BT334</xm:sqref>
            </x14:sparkline>
            <x14:sparkline>
              <xm:f>RevenuePriceCap_FO!BH335:BL335</xm:f>
              <xm:sqref>BT335</xm:sqref>
            </x14:sparkline>
            <x14:sparkline>
              <xm:f>RevenuePriceCap_FO!BH336:BL336</xm:f>
              <xm:sqref>BT336</xm:sqref>
            </x14:sparkline>
            <x14:sparkline>
              <xm:f>RevenuePriceCap_FO!BH337:BL337</xm:f>
              <xm:sqref>BT337</xm:sqref>
            </x14:sparkline>
            <x14:sparkline>
              <xm:f>RevenuePriceCap_FO!BH338:BL338</xm:f>
              <xm:sqref>BT338</xm:sqref>
            </x14:sparkline>
            <x14:sparkline>
              <xm:f>RevenuePriceCap_FO!BH339:BL339</xm:f>
              <xm:sqref>BT339</xm:sqref>
            </x14:sparkline>
            <x14:sparkline>
              <xm:f>RevenuePriceCap_FO!BH340:BL340</xm:f>
              <xm:sqref>BT340</xm:sqref>
            </x14:sparkline>
            <x14:sparkline>
              <xm:f>RevenuePriceCap_FO!BH341:BL341</xm:f>
              <xm:sqref>BT341</xm:sqref>
            </x14:sparkline>
            <x14:sparkline>
              <xm:f>RevenuePriceCap_FO!BH342:BL342</xm:f>
              <xm:sqref>BT342</xm:sqref>
            </x14:sparkline>
            <x14:sparkline>
              <xm:f>RevenuePriceCap_FO!BH343:BL343</xm:f>
              <xm:sqref>BT343</xm:sqref>
            </x14:sparkline>
            <x14:sparkline>
              <xm:f>RevenuePriceCap_FO!BH344:BL344</xm:f>
              <xm:sqref>BT344</xm:sqref>
            </x14:sparkline>
            <x14:sparkline>
              <xm:f>RevenuePriceCap_FO!BH345:BL345</xm:f>
              <xm:sqref>BT345</xm:sqref>
            </x14:sparkline>
            <x14:sparkline>
              <xm:f>RevenuePriceCap_FO!BH346:BL346</xm:f>
              <xm:sqref>BT346</xm:sqref>
            </x14:sparkline>
            <x14:sparkline>
              <xm:f>RevenuePriceCap_FO!BH347:BL347</xm:f>
              <xm:sqref>BT347</xm:sqref>
            </x14:sparkline>
            <x14:sparkline>
              <xm:f>RevenuePriceCap_FO!BH348:BL348</xm:f>
              <xm:sqref>BT348</xm:sqref>
            </x14:sparkline>
            <x14:sparkline>
              <xm:f>RevenuePriceCap_FO!BH349:BL349</xm:f>
              <xm:sqref>BT349</xm:sqref>
            </x14:sparkline>
            <x14:sparkline>
              <xm:f>RevenuePriceCap_FO!BH350:BL350</xm:f>
              <xm:sqref>BT350</xm:sqref>
            </x14:sparkline>
            <x14:sparkline>
              <xm:f>RevenuePriceCap_FO!BH351:BL351</xm:f>
              <xm:sqref>BT351</xm:sqref>
            </x14:sparkline>
            <x14:sparkline>
              <xm:f>RevenuePriceCap_FO!BH352:BL352</xm:f>
              <xm:sqref>BT352</xm:sqref>
            </x14:sparkline>
            <x14:sparkline>
              <xm:f>RevenuePriceCap_FO!BH353:BL353</xm:f>
              <xm:sqref>BT353</xm:sqref>
            </x14:sparkline>
            <x14:sparkline>
              <xm:f>RevenuePriceCap_FO!BH354:BL354</xm:f>
              <xm:sqref>BT354</xm:sqref>
            </x14:sparkline>
            <x14:sparkline>
              <xm:f>RevenuePriceCap_FO!BH355:BL355</xm:f>
              <xm:sqref>BT355</xm:sqref>
            </x14:sparkline>
            <x14:sparkline>
              <xm:f>RevenuePriceCap_FO!BH356:BL356</xm:f>
              <xm:sqref>BT356</xm:sqref>
            </x14:sparkline>
            <x14:sparkline>
              <xm:f>RevenuePriceCap_FO!BH357:BL357</xm:f>
              <xm:sqref>BT357</xm:sqref>
            </x14:sparkline>
            <x14:sparkline>
              <xm:f>RevenuePriceCap_FO!BH358:BL358</xm:f>
              <xm:sqref>BT358</xm:sqref>
            </x14:sparkline>
            <x14:sparkline>
              <xm:f>RevenuePriceCap_FO!BH359:BL359</xm:f>
              <xm:sqref>BT359</xm:sqref>
            </x14:sparkline>
            <x14:sparkline>
              <xm:f>RevenuePriceCap_FO!BH360:BL360</xm:f>
              <xm:sqref>BT360</xm:sqref>
            </x14:sparkline>
            <x14:sparkline>
              <xm:f>RevenuePriceCap_FO!BH361:BL361</xm:f>
              <xm:sqref>BT361</xm:sqref>
            </x14:sparkline>
            <x14:sparkline>
              <xm:f>RevenuePriceCap_FO!BH362:BL362</xm:f>
              <xm:sqref>BT362</xm:sqref>
            </x14:sparkline>
            <x14:sparkline>
              <xm:f>RevenuePriceCap_FO!BH363:BL363</xm:f>
              <xm:sqref>BT363</xm:sqref>
            </x14:sparkline>
            <x14:sparkline>
              <xm:f>RevenuePriceCap_FO!BH364:BL364</xm:f>
              <xm:sqref>BT364</xm:sqref>
            </x14:sparkline>
            <x14:sparkline>
              <xm:f>RevenuePriceCap_FO!BH365:BL365</xm:f>
              <xm:sqref>BT365</xm:sqref>
            </x14:sparkline>
            <x14:sparkline>
              <xm:f>RevenuePriceCap_FO!BH366:BL366</xm:f>
              <xm:sqref>BT366</xm:sqref>
            </x14:sparkline>
            <x14:sparkline>
              <xm:f>RevenuePriceCap_FO!BH367:BL367</xm:f>
              <xm:sqref>BT367</xm:sqref>
            </x14:sparkline>
            <x14:sparkline>
              <xm:f>RevenuePriceCap_FO!BH368:BL368</xm:f>
              <xm:sqref>BT368</xm:sqref>
            </x14:sparkline>
            <x14:sparkline>
              <xm:f>RevenuePriceCap_FO!BH369:BL369</xm:f>
              <xm:sqref>BT369</xm:sqref>
            </x14:sparkline>
            <x14:sparkline>
              <xm:f>RevenuePriceCap_FO!BH370:BL370</xm:f>
              <xm:sqref>BT370</xm:sqref>
            </x14:sparkline>
            <x14:sparkline>
              <xm:f>RevenuePriceCap_FO!BH371:BL371</xm:f>
              <xm:sqref>BT371</xm:sqref>
            </x14:sparkline>
            <x14:sparkline>
              <xm:f>RevenuePriceCap_FO!BH372:BL372</xm:f>
              <xm:sqref>BT372</xm:sqref>
            </x14:sparkline>
            <x14:sparkline>
              <xm:f>RevenuePriceCap_FO!BH373:BL373</xm:f>
              <xm:sqref>BT373</xm:sqref>
            </x14:sparkline>
            <x14:sparkline>
              <xm:f>RevenuePriceCap_FO!BH374:BL374</xm:f>
              <xm:sqref>BT374</xm:sqref>
            </x14:sparkline>
            <x14:sparkline>
              <xm:f>RevenuePriceCap_FO!BH375:BL375</xm:f>
              <xm:sqref>BT375</xm:sqref>
            </x14:sparkline>
            <x14:sparkline>
              <xm:f>RevenuePriceCap_FO!BH376:BL376</xm:f>
              <xm:sqref>BT376</xm:sqref>
            </x14:sparkline>
            <x14:sparkline>
              <xm:f>RevenuePriceCap_FO!BH377:BL377</xm:f>
              <xm:sqref>BT377</xm:sqref>
            </x14:sparkline>
            <x14:sparkline>
              <xm:f>RevenuePriceCap_FO!BH378:BL378</xm:f>
              <xm:sqref>BT378</xm:sqref>
            </x14:sparkline>
            <x14:sparkline>
              <xm:f>RevenuePriceCap_FO!BH379:BL379</xm:f>
              <xm:sqref>BT379</xm:sqref>
            </x14:sparkline>
            <x14:sparkline>
              <xm:f>RevenuePriceCap_FO!BH380:BL380</xm:f>
              <xm:sqref>BT380</xm:sqref>
            </x14:sparkline>
            <x14:sparkline>
              <xm:f>RevenuePriceCap_FO!BH381:BL381</xm:f>
              <xm:sqref>BT381</xm:sqref>
            </x14:sparkline>
            <x14:sparkline>
              <xm:f>RevenuePriceCap_FO!BH382:BL382</xm:f>
              <xm:sqref>BT382</xm:sqref>
            </x14:sparkline>
            <x14:sparkline>
              <xm:f>RevenuePriceCap_FO!BH383:BL383</xm:f>
              <xm:sqref>BT383</xm:sqref>
            </x14:sparkline>
            <x14:sparkline>
              <xm:f>RevenuePriceCap_FO!BH384:BL384</xm:f>
              <xm:sqref>BT384</xm:sqref>
            </x14:sparkline>
            <x14:sparkline>
              <xm:f>RevenuePriceCap_FO!BH385:BL385</xm:f>
              <xm:sqref>BT385</xm:sqref>
            </x14:sparkline>
            <x14:sparkline>
              <xm:f>RevenuePriceCap_FO!BH386:BL386</xm:f>
              <xm:sqref>BT386</xm:sqref>
            </x14:sparkline>
            <x14:sparkline>
              <xm:f>RevenuePriceCap_FO!BH387:BL387</xm:f>
              <xm:sqref>BT387</xm:sqref>
            </x14:sparkline>
            <x14:sparkline>
              <xm:f>RevenuePriceCap_FO!BH388:BL388</xm:f>
              <xm:sqref>BT388</xm:sqref>
            </x14:sparkline>
            <x14:sparkline>
              <xm:f>RevenuePriceCap_FO!BH389:BL389</xm:f>
              <xm:sqref>BT389</xm:sqref>
            </x14:sparkline>
            <x14:sparkline>
              <xm:f>RevenuePriceCap_FO!BH390:BL390</xm:f>
              <xm:sqref>BT390</xm:sqref>
            </x14:sparkline>
            <x14:sparkline>
              <xm:f>RevenuePriceCap_FO!BH391:BL391</xm:f>
              <xm:sqref>BT391</xm:sqref>
            </x14:sparkline>
            <x14:sparkline>
              <xm:f>RevenuePriceCap_FO!BH392:BL392</xm:f>
              <xm:sqref>BT392</xm:sqref>
            </x14:sparkline>
            <x14:sparkline>
              <xm:f>RevenuePriceCap_FO!BH393:BL393</xm:f>
              <xm:sqref>BT393</xm:sqref>
            </x14:sparkline>
            <x14:sparkline>
              <xm:f>RevenuePriceCap_FO!BH394:BL394</xm:f>
              <xm:sqref>BT394</xm:sqref>
            </x14:sparkline>
            <x14:sparkline>
              <xm:f>RevenuePriceCap_FO!BH395:BL395</xm:f>
              <xm:sqref>BT395</xm:sqref>
            </x14:sparkline>
            <x14:sparkline>
              <xm:f>RevenuePriceCap_FO!BH396:BL396</xm:f>
              <xm:sqref>BT396</xm:sqref>
            </x14:sparkline>
            <x14:sparkline>
              <xm:f>RevenuePriceCap_FO!BH397:BL397</xm:f>
              <xm:sqref>BT397</xm:sqref>
            </x14:sparkline>
            <x14:sparkline>
              <xm:f>RevenuePriceCap_FO!BH398:BL398</xm:f>
              <xm:sqref>BT398</xm:sqref>
            </x14:sparkline>
            <x14:sparkline>
              <xm:f>RevenuePriceCap_FO!BH399:BL399</xm:f>
              <xm:sqref>BT399</xm:sqref>
            </x14:sparkline>
            <x14:sparkline>
              <xm:f>RevenuePriceCap_FO!BH400:BL400</xm:f>
              <xm:sqref>BT400</xm:sqref>
            </x14:sparkline>
            <x14:sparkline>
              <xm:f>RevenuePriceCap_FO!BH401:BL401</xm:f>
              <xm:sqref>BT401</xm:sqref>
            </x14:sparkline>
            <x14:sparkline>
              <xm:f>RevenuePriceCap_FO!BH402:BL402</xm:f>
              <xm:sqref>BT402</xm:sqref>
            </x14:sparkline>
            <x14:sparkline>
              <xm:f>RevenuePriceCap_FO!BH403:BL403</xm:f>
              <xm:sqref>BT403</xm:sqref>
            </x14:sparkline>
            <x14:sparkline>
              <xm:f>RevenuePriceCap_FO!BH404:BL404</xm:f>
              <xm:sqref>BT404</xm:sqref>
            </x14:sparkline>
            <x14:sparkline>
              <xm:f>RevenuePriceCap_FO!BH405:BL405</xm:f>
              <xm:sqref>BT405</xm:sqref>
            </x14:sparkline>
            <x14:sparkline>
              <xm:f>RevenuePriceCap_FO!BH406:BL406</xm:f>
              <xm:sqref>BT406</xm:sqref>
            </x14:sparkline>
            <x14:sparkline>
              <xm:f>RevenuePriceCap_FO!BH407:BL407</xm:f>
              <xm:sqref>BT407</xm:sqref>
            </x14:sparkline>
            <x14:sparkline>
              <xm:f>RevenuePriceCap_FO!BH408:BL408</xm:f>
              <xm:sqref>BT408</xm:sqref>
            </x14:sparkline>
            <x14:sparkline>
              <xm:f>RevenuePriceCap_FO!BH409:BL409</xm:f>
              <xm:sqref>BT409</xm:sqref>
            </x14:sparkline>
            <x14:sparkline>
              <xm:f>RevenuePriceCap_FO!BH410:BL410</xm:f>
              <xm:sqref>BT410</xm:sqref>
            </x14:sparkline>
            <x14:sparkline>
              <xm:f>RevenuePriceCap_FO!BH411:BL411</xm:f>
              <xm:sqref>BT411</xm:sqref>
            </x14:sparkline>
            <x14:sparkline>
              <xm:f>RevenuePriceCap_FO!BH412:BL412</xm:f>
              <xm:sqref>BT412</xm:sqref>
            </x14:sparkline>
            <x14:sparkline>
              <xm:f>RevenuePriceCap_FO!BH413:BL413</xm:f>
              <xm:sqref>BT413</xm:sqref>
            </x14:sparkline>
            <x14:sparkline>
              <xm:f>RevenuePriceCap_FO!BH414:BL414</xm:f>
              <xm:sqref>BT414</xm:sqref>
            </x14:sparkline>
            <x14:sparkline>
              <xm:f>RevenuePriceCap_FO!BH415:BL415</xm:f>
              <xm:sqref>BT415</xm:sqref>
            </x14:sparkline>
            <x14:sparkline>
              <xm:f>RevenuePriceCap_FO!BH416:BL416</xm:f>
              <xm:sqref>BT416</xm:sqref>
            </x14:sparkline>
            <x14:sparkline>
              <xm:f>RevenuePriceCap_FO!BH417:BL417</xm:f>
              <xm:sqref>BT417</xm:sqref>
            </x14:sparkline>
            <x14:sparkline>
              <xm:f>RevenuePriceCap_FO!BH418:BL418</xm:f>
              <xm:sqref>BT418</xm:sqref>
            </x14:sparkline>
            <x14:sparkline>
              <xm:f>RevenuePriceCap_FO!BH419:BL419</xm:f>
              <xm:sqref>BT419</xm:sqref>
            </x14:sparkline>
            <x14:sparkline>
              <xm:f>RevenuePriceCap_FO!BH420:BL420</xm:f>
              <xm:sqref>BT420</xm:sqref>
            </x14:sparkline>
            <x14:sparkline>
              <xm:f>RevenuePriceCap_FO!BH421:BL421</xm:f>
              <xm:sqref>BT421</xm:sqref>
            </x14:sparkline>
            <x14:sparkline>
              <xm:f>RevenuePriceCap_FO!BH422:BL422</xm:f>
              <xm:sqref>BT422</xm:sqref>
            </x14:sparkline>
            <x14:sparkline>
              <xm:f>RevenuePriceCap_FO!BH423:BL423</xm:f>
              <xm:sqref>BT423</xm:sqref>
            </x14:sparkline>
            <x14:sparkline>
              <xm:f>RevenuePriceCap_FO!BH424:BL424</xm:f>
              <xm:sqref>BT424</xm:sqref>
            </x14:sparkline>
            <x14:sparkline>
              <xm:f>RevenuePriceCap_FO!BH425:BL425</xm:f>
              <xm:sqref>BT425</xm:sqref>
            </x14:sparkline>
            <x14:sparkline>
              <xm:f>RevenuePriceCap_FO!BH426:BL426</xm:f>
              <xm:sqref>BT426</xm:sqref>
            </x14:sparkline>
            <x14:sparkline>
              <xm:f>RevenuePriceCap_FO!BH427:BL427</xm:f>
              <xm:sqref>BT427</xm:sqref>
            </x14:sparkline>
            <x14:sparkline>
              <xm:f>RevenuePriceCap_FO!BH428:BL428</xm:f>
              <xm:sqref>BT428</xm:sqref>
            </x14:sparkline>
            <x14:sparkline>
              <xm:f>RevenuePriceCap_FO!BH429:BL429</xm:f>
              <xm:sqref>BT429</xm:sqref>
            </x14:sparkline>
            <x14:sparkline>
              <xm:f>RevenuePriceCap_FO!BH430:BL430</xm:f>
              <xm:sqref>BT430</xm:sqref>
            </x14:sparkline>
            <x14:sparkline>
              <xm:f>RevenuePriceCap_FO!BH431:BL431</xm:f>
              <xm:sqref>BT431</xm:sqref>
            </x14:sparkline>
            <x14:sparkline>
              <xm:f>RevenuePriceCap_FO!BH432:BL432</xm:f>
              <xm:sqref>BT432</xm:sqref>
            </x14:sparkline>
            <x14:sparkline>
              <xm:f>RevenuePriceCap_FO!BH433:BL433</xm:f>
              <xm:sqref>BT433</xm:sqref>
            </x14:sparkline>
            <x14:sparkline>
              <xm:f>RevenuePriceCap_FO!BH434:BL434</xm:f>
              <xm:sqref>BT434</xm:sqref>
            </x14:sparkline>
            <x14:sparkline>
              <xm:f>RevenuePriceCap_FO!BH435:BL435</xm:f>
              <xm:sqref>BT435</xm:sqref>
            </x14:sparkline>
            <x14:sparkline>
              <xm:f>RevenuePriceCap_FO!BH436:BL436</xm:f>
              <xm:sqref>BT436</xm:sqref>
            </x14:sparkline>
            <x14:sparkline>
              <xm:f>RevenuePriceCap_FO!BH437:BL437</xm:f>
              <xm:sqref>BT437</xm:sqref>
            </x14:sparkline>
            <x14:sparkline>
              <xm:f>RevenuePriceCap_FO!BH438:BL438</xm:f>
              <xm:sqref>BT438</xm:sqref>
            </x14:sparkline>
            <x14:sparkline>
              <xm:f>RevenuePriceCap_FO!BH439:BL439</xm:f>
              <xm:sqref>BT439</xm:sqref>
            </x14:sparkline>
            <x14:sparkline>
              <xm:f>RevenuePriceCap_FO!BH440:BL440</xm:f>
              <xm:sqref>BT440</xm:sqref>
            </x14:sparkline>
          </x14:sparklines>
        </x14:sparklineGroup>
        <x14:sparklineGroup manualMax="0" manualMin="0" displayEmptyCellsAs="gap" xr2:uid="{00000000-0003-0000-0B00-000002000000}">
          <x14:colorSeries theme="5" tint="-0.249977111117893"/>
          <x14:colorNegative theme="6"/>
          <x14:colorAxis rgb="FF000000"/>
          <x14:colorMarkers theme="6" tint="-0.249977111117893"/>
          <x14:colorFirst theme="6" tint="-0.249977111117893"/>
          <x14:colorLast theme="6" tint="-0.249977111117893"/>
          <x14:colorHigh theme="6" tint="-0.249977111117893"/>
          <x14:colorLow theme="6" tint="-0.249977111117893"/>
          <x14:sparklines>
            <x14:sparkline>
              <xm:f>RevenuePriceCap_FO!BM66:BQ66</xm:f>
              <xm:sqref>BU66</xm:sqref>
            </x14:sparkline>
            <x14:sparkline>
              <xm:f>RevenuePriceCap_FO!BM67:BQ67</xm:f>
              <xm:sqref>BU67</xm:sqref>
            </x14:sparkline>
            <x14:sparkline>
              <xm:f>RevenuePriceCap_FO!BM68:BQ68</xm:f>
              <xm:sqref>BU68</xm:sqref>
            </x14:sparkline>
            <x14:sparkline>
              <xm:f>RevenuePriceCap_FO!BM69:BQ69</xm:f>
              <xm:sqref>BU69</xm:sqref>
            </x14:sparkline>
            <x14:sparkline>
              <xm:f>RevenuePriceCap_FO!BM70:BQ70</xm:f>
              <xm:sqref>BU70</xm:sqref>
            </x14:sparkline>
            <x14:sparkline>
              <xm:f>RevenuePriceCap_FO!BM71:BQ71</xm:f>
              <xm:sqref>BU71</xm:sqref>
            </x14:sparkline>
            <x14:sparkline>
              <xm:f>RevenuePriceCap_FO!BM72:BQ72</xm:f>
              <xm:sqref>BU72</xm:sqref>
            </x14:sparkline>
            <x14:sparkline>
              <xm:f>RevenuePriceCap_FO!BM73:BQ73</xm:f>
              <xm:sqref>BU73</xm:sqref>
            </x14:sparkline>
            <x14:sparkline>
              <xm:f>RevenuePriceCap_FO!BM74:BQ74</xm:f>
              <xm:sqref>BU74</xm:sqref>
            </x14:sparkline>
            <x14:sparkline>
              <xm:f>RevenuePriceCap_FO!BM75:BQ75</xm:f>
              <xm:sqref>BU75</xm:sqref>
            </x14:sparkline>
            <x14:sparkline>
              <xm:f>RevenuePriceCap_FO!BM76:BQ76</xm:f>
              <xm:sqref>BU76</xm:sqref>
            </x14:sparkline>
            <x14:sparkline>
              <xm:f>RevenuePriceCap_FO!BM77:BQ77</xm:f>
              <xm:sqref>BU77</xm:sqref>
            </x14:sparkline>
            <x14:sparkline>
              <xm:f>RevenuePriceCap_FO!BM78:BQ78</xm:f>
              <xm:sqref>BU78</xm:sqref>
            </x14:sparkline>
            <x14:sparkline>
              <xm:f>RevenuePriceCap_FO!BM79:BQ79</xm:f>
              <xm:sqref>BU79</xm:sqref>
            </x14:sparkline>
            <x14:sparkline>
              <xm:f>RevenuePriceCap_FO!BM80:BQ80</xm:f>
              <xm:sqref>BU80</xm:sqref>
            </x14:sparkline>
            <x14:sparkline>
              <xm:f>RevenuePriceCap_FO!BM81:BQ81</xm:f>
              <xm:sqref>BU81</xm:sqref>
            </x14:sparkline>
            <x14:sparkline>
              <xm:f>RevenuePriceCap_FO!BM82:BQ82</xm:f>
              <xm:sqref>BU82</xm:sqref>
            </x14:sparkline>
            <x14:sparkline>
              <xm:f>RevenuePriceCap_FO!BM83:BQ83</xm:f>
              <xm:sqref>BU83</xm:sqref>
            </x14:sparkline>
            <x14:sparkline>
              <xm:f>RevenuePriceCap_FO!BM84:BQ84</xm:f>
              <xm:sqref>BU84</xm:sqref>
            </x14:sparkline>
            <x14:sparkline>
              <xm:f>RevenuePriceCap_FO!BM85:BQ85</xm:f>
              <xm:sqref>BU85</xm:sqref>
            </x14:sparkline>
            <x14:sparkline>
              <xm:f>RevenuePriceCap_FO!BM86:BQ86</xm:f>
              <xm:sqref>BU86</xm:sqref>
            </x14:sparkline>
            <x14:sparkline>
              <xm:f>RevenuePriceCap_FO!BM87:BQ87</xm:f>
              <xm:sqref>BU87</xm:sqref>
            </x14:sparkline>
            <x14:sparkline>
              <xm:f>RevenuePriceCap_FO!BM88:BQ88</xm:f>
              <xm:sqref>BU88</xm:sqref>
            </x14:sparkline>
            <x14:sparkline>
              <xm:f>RevenuePriceCap_FO!BM89:BQ89</xm:f>
              <xm:sqref>BU89</xm:sqref>
            </x14:sparkline>
            <x14:sparkline>
              <xm:f>RevenuePriceCap_FO!BM90:BQ90</xm:f>
              <xm:sqref>BU90</xm:sqref>
            </x14:sparkline>
            <x14:sparkline>
              <xm:f>RevenuePriceCap_FO!BM91:BQ91</xm:f>
              <xm:sqref>BU91</xm:sqref>
            </x14:sparkline>
            <x14:sparkline>
              <xm:f>RevenuePriceCap_FO!BM92:BQ92</xm:f>
              <xm:sqref>BU92</xm:sqref>
            </x14:sparkline>
            <x14:sparkline>
              <xm:f>RevenuePriceCap_FO!BM93:BQ93</xm:f>
              <xm:sqref>BU93</xm:sqref>
            </x14:sparkline>
            <x14:sparkline>
              <xm:f>RevenuePriceCap_FO!BM94:BQ94</xm:f>
              <xm:sqref>BU94</xm:sqref>
            </x14:sparkline>
            <x14:sparkline>
              <xm:f>RevenuePriceCap_FO!BM95:BQ95</xm:f>
              <xm:sqref>BU95</xm:sqref>
            </x14:sparkline>
            <x14:sparkline>
              <xm:f>RevenuePriceCap_FO!BM96:BQ96</xm:f>
              <xm:sqref>BU96</xm:sqref>
            </x14:sparkline>
            <x14:sparkline>
              <xm:f>RevenuePriceCap_FO!BM97:BQ97</xm:f>
              <xm:sqref>BU97</xm:sqref>
            </x14:sparkline>
            <x14:sparkline>
              <xm:f>RevenuePriceCap_FO!BM98:BQ98</xm:f>
              <xm:sqref>BU98</xm:sqref>
            </x14:sparkline>
            <x14:sparkline>
              <xm:f>RevenuePriceCap_FO!BM99:BQ99</xm:f>
              <xm:sqref>BU99</xm:sqref>
            </x14:sparkline>
            <x14:sparkline>
              <xm:f>RevenuePriceCap_FO!BM100:BQ100</xm:f>
              <xm:sqref>BU100</xm:sqref>
            </x14:sparkline>
            <x14:sparkline>
              <xm:f>RevenuePriceCap_FO!BM101:BQ101</xm:f>
              <xm:sqref>BU101</xm:sqref>
            </x14:sparkline>
            <x14:sparkline>
              <xm:f>RevenuePriceCap_FO!BM102:BQ102</xm:f>
              <xm:sqref>BU102</xm:sqref>
            </x14:sparkline>
            <x14:sparkline>
              <xm:f>RevenuePriceCap_FO!BM103:BQ103</xm:f>
              <xm:sqref>BU103</xm:sqref>
            </x14:sparkline>
            <x14:sparkline>
              <xm:f>RevenuePriceCap_FO!BM104:BQ104</xm:f>
              <xm:sqref>BU104</xm:sqref>
            </x14:sparkline>
            <x14:sparkline>
              <xm:f>RevenuePriceCap_FO!BM105:BQ105</xm:f>
              <xm:sqref>BU105</xm:sqref>
            </x14:sparkline>
            <x14:sparkline>
              <xm:f>RevenuePriceCap_FO!BM106:BQ106</xm:f>
              <xm:sqref>BU106</xm:sqref>
            </x14:sparkline>
            <x14:sparkline>
              <xm:f>RevenuePriceCap_FO!BM107:BQ107</xm:f>
              <xm:sqref>BU107</xm:sqref>
            </x14:sparkline>
            <x14:sparkline>
              <xm:f>RevenuePriceCap_FO!BM108:BQ108</xm:f>
              <xm:sqref>BU108</xm:sqref>
            </x14:sparkline>
            <x14:sparkline>
              <xm:f>RevenuePriceCap_FO!BM109:BQ109</xm:f>
              <xm:sqref>BU109</xm:sqref>
            </x14:sparkline>
            <x14:sparkline>
              <xm:f>RevenuePriceCap_FO!BM110:BQ110</xm:f>
              <xm:sqref>BU110</xm:sqref>
            </x14:sparkline>
            <x14:sparkline>
              <xm:f>RevenuePriceCap_FO!BM111:BQ111</xm:f>
              <xm:sqref>BU111</xm:sqref>
            </x14:sparkline>
            <x14:sparkline>
              <xm:f>RevenuePriceCap_FO!BM112:BQ112</xm:f>
              <xm:sqref>BU112</xm:sqref>
            </x14:sparkline>
            <x14:sparkline>
              <xm:f>RevenuePriceCap_FO!BM113:BQ113</xm:f>
              <xm:sqref>BU113</xm:sqref>
            </x14:sparkline>
            <x14:sparkline>
              <xm:f>RevenuePriceCap_FO!BM114:BQ114</xm:f>
              <xm:sqref>BU114</xm:sqref>
            </x14:sparkline>
            <x14:sparkline>
              <xm:f>RevenuePriceCap_FO!BM115:BQ115</xm:f>
              <xm:sqref>BU115</xm:sqref>
            </x14:sparkline>
            <x14:sparkline>
              <xm:f>RevenuePriceCap_FO!BM116:BQ116</xm:f>
              <xm:sqref>BU116</xm:sqref>
            </x14:sparkline>
            <x14:sparkline>
              <xm:f>RevenuePriceCap_FO!BM117:BQ117</xm:f>
              <xm:sqref>BU117</xm:sqref>
            </x14:sparkline>
            <x14:sparkline>
              <xm:f>RevenuePriceCap_FO!BM118:BQ118</xm:f>
              <xm:sqref>BU118</xm:sqref>
            </x14:sparkline>
            <x14:sparkline>
              <xm:f>RevenuePriceCap_FO!BM119:BQ119</xm:f>
              <xm:sqref>BU119</xm:sqref>
            </x14:sparkline>
            <x14:sparkline>
              <xm:f>RevenuePriceCap_FO!BM120:BQ120</xm:f>
              <xm:sqref>BU120</xm:sqref>
            </x14:sparkline>
            <x14:sparkline>
              <xm:f>RevenuePriceCap_FO!BM121:BQ121</xm:f>
              <xm:sqref>BU121</xm:sqref>
            </x14:sparkline>
            <x14:sparkline>
              <xm:f>RevenuePriceCap_FO!BM122:BQ122</xm:f>
              <xm:sqref>BU122</xm:sqref>
            </x14:sparkline>
            <x14:sparkline>
              <xm:f>RevenuePriceCap_FO!BM123:BQ123</xm:f>
              <xm:sqref>BU123</xm:sqref>
            </x14:sparkline>
            <x14:sparkline>
              <xm:f>RevenuePriceCap_FO!BM124:BQ124</xm:f>
              <xm:sqref>BU124</xm:sqref>
            </x14:sparkline>
            <x14:sparkline>
              <xm:f>RevenuePriceCap_FO!BM125:BQ125</xm:f>
              <xm:sqref>BU125</xm:sqref>
            </x14:sparkline>
            <x14:sparkline>
              <xm:f>RevenuePriceCap_FO!BM126:BQ126</xm:f>
              <xm:sqref>BU126</xm:sqref>
            </x14:sparkline>
            <x14:sparkline>
              <xm:f>RevenuePriceCap_FO!BM127:BQ127</xm:f>
              <xm:sqref>BU127</xm:sqref>
            </x14:sparkline>
            <x14:sparkline>
              <xm:f>RevenuePriceCap_FO!BM128:BQ128</xm:f>
              <xm:sqref>BU128</xm:sqref>
            </x14:sparkline>
            <x14:sparkline>
              <xm:f>RevenuePriceCap_FO!BM129:BQ129</xm:f>
              <xm:sqref>BU129</xm:sqref>
            </x14:sparkline>
            <x14:sparkline>
              <xm:f>RevenuePriceCap_FO!BM130:BQ130</xm:f>
              <xm:sqref>BU130</xm:sqref>
            </x14:sparkline>
            <x14:sparkline>
              <xm:f>RevenuePriceCap_FO!BM131:BQ131</xm:f>
              <xm:sqref>BU131</xm:sqref>
            </x14:sparkline>
            <x14:sparkline>
              <xm:f>RevenuePriceCap_FO!BM132:BQ132</xm:f>
              <xm:sqref>BU132</xm:sqref>
            </x14:sparkline>
            <x14:sparkline>
              <xm:f>RevenuePriceCap_FO!BM133:BQ133</xm:f>
              <xm:sqref>BU133</xm:sqref>
            </x14:sparkline>
            <x14:sparkline>
              <xm:f>RevenuePriceCap_FO!BM134:BQ134</xm:f>
              <xm:sqref>BU134</xm:sqref>
            </x14:sparkline>
            <x14:sparkline>
              <xm:f>RevenuePriceCap_FO!BM135:BQ135</xm:f>
              <xm:sqref>BU135</xm:sqref>
            </x14:sparkline>
            <x14:sparkline>
              <xm:f>RevenuePriceCap_FO!BM136:BQ136</xm:f>
              <xm:sqref>BU136</xm:sqref>
            </x14:sparkline>
            <x14:sparkline>
              <xm:f>RevenuePriceCap_FO!BM137:BQ137</xm:f>
              <xm:sqref>BU137</xm:sqref>
            </x14:sparkline>
            <x14:sparkline>
              <xm:f>RevenuePriceCap_FO!BM138:BQ138</xm:f>
              <xm:sqref>BU138</xm:sqref>
            </x14:sparkline>
            <x14:sparkline>
              <xm:f>RevenuePriceCap_FO!BM139:BQ139</xm:f>
              <xm:sqref>BU139</xm:sqref>
            </x14:sparkline>
            <x14:sparkline>
              <xm:f>RevenuePriceCap_FO!BM140:BQ140</xm:f>
              <xm:sqref>BU140</xm:sqref>
            </x14:sparkline>
            <x14:sparkline>
              <xm:f>RevenuePriceCap_FO!BM141:BQ141</xm:f>
              <xm:sqref>BU141</xm:sqref>
            </x14:sparkline>
            <x14:sparkline>
              <xm:f>RevenuePriceCap_FO!BM142:BQ142</xm:f>
              <xm:sqref>BU142</xm:sqref>
            </x14:sparkline>
            <x14:sparkline>
              <xm:f>RevenuePriceCap_FO!BM143:BQ143</xm:f>
              <xm:sqref>BU143</xm:sqref>
            </x14:sparkline>
            <x14:sparkline>
              <xm:f>RevenuePriceCap_FO!BM144:BQ144</xm:f>
              <xm:sqref>BU144</xm:sqref>
            </x14:sparkline>
            <x14:sparkline>
              <xm:f>RevenuePriceCap_FO!BM145:BQ145</xm:f>
              <xm:sqref>BU145</xm:sqref>
            </x14:sparkline>
            <x14:sparkline>
              <xm:f>RevenuePriceCap_FO!BM146:BQ146</xm:f>
              <xm:sqref>BU146</xm:sqref>
            </x14:sparkline>
            <x14:sparkline>
              <xm:f>RevenuePriceCap_FO!BM147:BQ147</xm:f>
              <xm:sqref>BU147</xm:sqref>
            </x14:sparkline>
            <x14:sparkline>
              <xm:f>RevenuePriceCap_FO!BM148:BQ148</xm:f>
              <xm:sqref>BU148</xm:sqref>
            </x14:sparkline>
            <x14:sparkline>
              <xm:f>RevenuePriceCap_FO!BM149:BQ149</xm:f>
              <xm:sqref>BU149</xm:sqref>
            </x14:sparkline>
            <x14:sparkline>
              <xm:f>RevenuePriceCap_FO!BM150:BQ150</xm:f>
              <xm:sqref>BU150</xm:sqref>
            </x14:sparkline>
            <x14:sparkline>
              <xm:f>RevenuePriceCap_FO!BM151:BQ151</xm:f>
              <xm:sqref>BU151</xm:sqref>
            </x14:sparkline>
            <x14:sparkline>
              <xm:f>RevenuePriceCap_FO!BM152:BQ152</xm:f>
              <xm:sqref>BU152</xm:sqref>
            </x14:sparkline>
            <x14:sparkline>
              <xm:f>RevenuePriceCap_FO!BM153:BQ153</xm:f>
              <xm:sqref>BU153</xm:sqref>
            </x14:sparkline>
            <x14:sparkline>
              <xm:f>RevenuePriceCap_FO!BM154:BQ154</xm:f>
              <xm:sqref>BU154</xm:sqref>
            </x14:sparkline>
            <x14:sparkline>
              <xm:f>RevenuePriceCap_FO!BM155:BQ155</xm:f>
              <xm:sqref>BU155</xm:sqref>
            </x14:sparkline>
            <x14:sparkline>
              <xm:f>RevenuePriceCap_FO!BM156:BQ156</xm:f>
              <xm:sqref>BU156</xm:sqref>
            </x14:sparkline>
            <x14:sparkline>
              <xm:f>RevenuePriceCap_FO!BM157:BQ157</xm:f>
              <xm:sqref>BU157</xm:sqref>
            </x14:sparkline>
            <x14:sparkline>
              <xm:f>RevenuePriceCap_FO!BM158:BQ158</xm:f>
              <xm:sqref>BU158</xm:sqref>
            </x14:sparkline>
            <x14:sparkline>
              <xm:f>RevenuePriceCap_FO!BM159:BQ159</xm:f>
              <xm:sqref>BU159</xm:sqref>
            </x14:sparkline>
            <x14:sparkline>
              <xm:f>RevenuePriceCap_FO!BM160:BQ160</xm:f>
              <xm:sqref>BU160</xm:sqref>
            </x14:sparkline>
            <x14:sparkline>
              <xm:f>RevenuePriceCap_FO!BM161:BQ161</xm:f>
              <xm:sqref>BU161</xm:sqref>
            </x14:sparkline>
            <x14:sparkline>
              <xm:f>RevenuePriceCap_FO!BM162:BQ162</xm:f>
              <xm:sqref>BU162</xm:sqref>
            </x14:sparkline>
            <x14:sparkline>
              <xm:f>RevenuePriceCap_FO!BM163:BQ163</xm:f>
              <xm:sqref>BU163</xm:sqref>
            </x14:sparkline>
            <x14:sparkline>
              <xm:f>RevenuePriceCap_FO!BM164:BQ164</xm:f>
              <xm:sqref>BU164</xm:sqref>
            </x14:sparkline>
            <x14:sparkline>
              <xm:f>RevenuePriceCap_FO!BM165:BQ165</xm:f>
              <xm:sqref>BU165</xm:sqref>
            </x14:sparkline>
            <x14:sparkline>
              <xm:f>RevenuePriceCap_FO!BM166:BQ166</xm:f>
              <xm:sqref>BU166</xm:sqref>
            </x14:sparkline>
            <x14:sparkline>
              <xm:f>RevenuePriceCap_FO!BM167:BQ167</xm:f>
              <xm:sqref>BU167</xm:sqref>
            </x14:sparkline>
            <x14:sparkline>
              <xm:f>RevenuePriceCap_FO!BM168:BQ168</xm:f>
              <xm:sqref>BU168</xm:sqref>
            </x14:sparkline>
            <x14:sparkline>
              <xm:f>RevenuePriceCap_FO!BM169:BQ169</xm:f>
              <xm:sqref>BU169</xm:sqref>
            </x14:sparkline>
            <x14:sparkline>
              <xm:f>RevenuePriceCap_FO!BM170:BQ170</xm:f>
              <xm:sqref>BU170</xm:sqref>
            </x14:sparkline>
            <x14:sparkline>
              <xm:f>RevenuePriceCap_FO!BM171:BQ171</xm:f>
              <xm:sqref>BU171</xm:sqref>
            </x14:sparkline>
            <x14:sparkline>
              <xm:f>RevenuePriceCap_FO!BM172:BQ172</xm:f>
              <xm:sqref>BU172</xm:sqref>
            </x14:sparkline>
            <x14:sparkline>
              <xm:f>RevenuePriceCap_FO!BM173:BQ173</xm:f>
              <xm:sqref>BU173</xm:sqref>
            </x14:sparkline>
            <x14:sparkline>
              <xm:f>RevenuePriceCap_FO!BM174:BQ174</xm:f>
              <xm:sqref>BU174</xm:sqref>
            </x14:sparkline>
            <x14:sparkline>
              <xm:f>RevenuePriceCap_FO!BM175:BQ175</xm:f>
              <xm:sqref>BU175</xm:sqref>
            </x14:sparkline>
            <x14:sparkline>
              <xm:f>RevenuePriceCap_FO!BM176:BQ176</xm:f>
              <xm:sqref>BU176</xm:sqref>
            </x14:sparkline>
            <x14:sparkline>
              <xm:f>RevenuePriceCap_FO!BM177:BQ177</xm:f>
              <xm:sqref>BU177</xm:sqref>
            </x14:sparkline>
            <x14:sparkline>
              <xm:f>RevenuePriceCap_FO!BM178:BQ178</xm:f>
              <xm:sqref>BU178</xm:sqref>
            </x14:sparkline>
            <x14:sparkline>
              <xm:f>RevenuePriceCap_FO!BM179:BQ179</xm:f>
              <xm:sqref>BU179</xm:sqref>
            </x14:sparkline>
            <x14:sparkline>
              <xm:f>RevenuePriceCap_FO!BM180:BQ180</xm:f>
              <xm:sqref>BU180</xm:sqref>
            </x14:sparkline>
            <x14:sparkline>
              <xm:f>RevenuePriceCap_FO!BM181:BQ181</xm:f>
              <xm:sqref>BU181</xm:sqref>
            </x14:sparkline>
            <x14:sparkline>
              <xm:f>RevenuePriceCap_FO!BM182:BQ182</xm:f>
              <xm:sqref>BU182</xm:sqref>
            </x14:sparkline>
            <x14:sparkline>
              <xm:f>RevenuePriceCap_FO!BM183:BQ183</xm:f>
              <xm:sqref>BU183</xm:sqref>
            </x14:sparkline>
            <x14:sparkline>
              <xm:f>RevenuePriceCap_FO!BM184:BQ184</xm:f>
              <xm:sqref>BU184</xm:sqref>
            </x14:sparkline>
            <x14:sparkline>
              <xm:f>RevenuePriceCap_FO!BM185:BQ185</xm:f>
              <xm:sqref>BU185</xm:sqref>
            </x14:sparkline>
            <x14:sparkline>
              <xm:f>RevenuePriceCap_FO!BM186:BQ186</xm:f>
              <xm:sqref>BU186</xm:sqref>
            </x14:sparkline>
            <x14:sparkline>
              <xm:f>RevenuePriceCap_FO!BM187:BQ187</xm:f>
              <xm:sqref>BU187</xm:sqref>
            </x14:sparkline>
            <x14:sparkline>
              <xm:f>RevenuePriceCap_FO!BM188:BQ188</xm:f>
              <xm:sqref>BU188</xm:sqref>
            </x14:sparkline>
            <x14:sparkline>
              <xm:f>RevenuePriceCap_FO!BM189:BQ189</xm:f>
              <xm:sqref>BU189</xm:sqref>
            </x14:sparkline>
            <x14:sparkline>
              <xm:f>RevenuePriceCap_FO!BM190:BQ190</xm:f>
              <xm:sqref>BU190</xm:sqref>
            </x14:sparkline>
            <x14:sparkline>
              <xm:f>RevenuePriceCap_FO!BM191:BQ191</xm:f>
              <xm:sqref>BU191</xm:sqref>
            </x14:sparkline>
            <x14:sparkline>
              <xm:f>RevenuePriceCap_FO!BM192:BQ192</xm:f>
              <xm:sqref>BU192</xm:sqref>
            </x14:sparkline>
            <x14:sparkline>
              <xm:f>RevenuePriceCap_FO!BM193:BQ193</xm:f>
              <xm:sqref>BU193</xm:sqref>
            </x14:sparkline>
            <x14:sparkline>
              <xm:f>RevenuePriceCap_FO!BM194:BQ194</xm:f>
              <xm:sqref>BU194</xm:sqref>
            </x14:sparkline>
            <x14:sparkline>
              <xm:f>RevenuePriceCap_FO!BM195:BQ195</xm:f>
              <xm:sqref>BU195</xm:sqref>
            </x14:sparkline>
            <x14:sparkline>
              <xm:f>RevenuePriceCap_FO!BM196:BQ196</xm:f>
              <xm:sqref>BU196</xm:sqref>
            </x14:sparkline>
            <x14:sparkline>
              <xm:f>RevenuePriceCap_FO!BM197:BQ197</xm:f>
              <xm:sqref>BU197</xm:sqref>
            </x14:sparkline>
            <x14:sparkline>
              <xm:f>RevenuePriceCap_FO!BM198:BQ198</xm:f>
              <xm:sqref>BU198</xm:sqref>
            </x14:sparkline>
            <x14:sparkline>
              <xm:f>RevenuePriceCap_FO!BM199:BQ199</xm:f>
              <xm:sqref>BU199</xm:sqref>
            </x14:sparkline>
            <x14:sparkline>
              <xm:f>RevenuePriceCap_FO!BM200:BQ200</xm:f>
              <xm:sqref>BU200</xm:sqref>
            </x14:sparkline>
            <x14:sparkline>
              <xm:f>RevenuePriceCap_FO!BM201:BQ201</xm:f>
              <xm:sqref>BU201</xm:sqref>
            </x14:sparkline>
            <x14:sparkline>
              <xm:f>RevenuePriceCap_FO!BM202:BQ202</xm:f>
              <xm:sqref>BU202</xm:sqref>
            </x14:sparkline>
            <x14:sparkline>
              <xm:f>RevenuePriceCap_FO!BM203:BQ203</xm:f>
              <xm:sqref>BU203</xm:sqref>
            </x14:sparkline>
            <x14:sparkline>
              <xm:f>RevenuePriceCap_FO!BM204:BQ204</xm:f>
              <xm:sqref>BU204</xm:sqref>
            </x14:sparkline>
            <x14:sparkline>
              <xm:f>RevenuePriceCap_FO!BM205:BQ205</xm:f>
              <xm:sqref>BU205</xm:sqref>
            </x14:sparkline>
            <x14:sparkline>
              <xm:f>RevenuePriceCap_FO!BM206:BQ206</xm:f>
              <xm:sqref>BU206</xm:sqref>
            </x14:sparkline>
            <x14:sparkline>
              <xm:f>RevenuePriceCap_FO!BM207:BQ207</xm:f>
              <xm:sqref>BU207</xm:sqref>
            </x14:sparkline>
            <x14:sparkline>
              <xm:f>RevenuePriceCap_FO!BM208:BQ208</xm:f>
              <xm:sqref>BU208</xm:sqref>
            </x14:sparkline>
            <x14:sparkline>
              <xm:f>RevenuePriceCap_FO!BM209:BQ209</xm:f>
              <xm:sqref>BU209</xm:sqref>
            </x14:sparkline>
            <x14:sparkline>
              <xm:f>RevenuePriceCap_FO!BM210:BQ210</xm:f>
              <xm:sqref>BU210</xm:sqref>
            </x14:sparkline>
            <x14:sparkline>
              <xm:f>RevenuePriceCap_FO!BM211:BQ211</xm:f>
              <xm:sqref>BU211</xm:sqref>
            </x14:sparkline>
            <x14:sparkline>
              <xm:f>RevenuePriceCap_FO!BM212:BQ212</xm:f>
              <xm:sqref>BU212</xm:sqref>
            </x14:sparkline>
            <x14:sparkline>
              <xm:f>RevenuePriceCap_FO!BM213:BQ213</xm:f>
              <xm:sqref>BU213</xm:sqref>
            </x14:sparkline>
            <x14:sparkline>
              <xm:f>RevenuePriceCap_FO!BM214:BQ214</xm:f>
              <xm:sqref>BU214</xm:sqref>
            </x14:sparkline>
            <x14:sparkline>
              <xm:f>RevenuePriceCap_FO!BM215:BQ215</xm:f>
              <xm:sqref>BU215</xm:sqref>
            </x14:sparkline>
            <x14:sparkline>
              <xm:f>RevenuePriceCap_FO!BM216:BQ216</xm:f>
              <xm:sqref>BU216</xm:sqref>
            </x14:sparkline>
            <x14:sparkline>
              <xm:f>RevenuePriceCap_FO!BM217:BQ217</xm:f>
              <xm:sqref>BU217</xm:sqref>
            </x14:sparkline>
            <x14:sparkline>
              <xm:f>RevenuePriceCap_FO!BM218:BQ218</xm:f>
              <xm:sqref>BU218</xm:sqref>
            </x14:sparkline>
            <x14:sparkline>
              <xm:f>RevenuePriceCap_FO!BM219:BQ219</xm:f>
              <xm:sqref>BU219</xm:sqref>
            </x14:sparkline>
            <x14:sparkline>
              <xm:f>RevenuePriceCap_FO!BM220:BQ220</xm:f>
              <xm:sqref>BU220</xm:sqref>
            </x14:sparkline>
            <x14:sparkline>
              <xm:f>RevenuePriceCap_FO!BM221:BQ221</xm:f>
              <xm:sqref>BU221</xm:sqref>
            </x14:sparkline>
            <x14:sparkline>
              <xm:f>RevenuePriceCap_FO!BM222:BQ222</xm:f>
              <xm:sqref>BU222</xm:sqref>
            </x14:sparkline>
            <x14:sparkline>
              <xm:f>RevenuePriceCap_FO!BM223:BQ223</xm:f>
              <xm:sqref>BU223</xm:sqref>
            </x14:sparkline>
            <x14:sparkline>
              <xm:f>RevenuePriceCap_FO!BM224:BQ224</xm:f>
              <xm:sqref>BU224</xm:sqref>
            </x14:sparkline>
            <x14:sparkline>
              <xm:f>RevenuePriceCap_FO!BM225:BQ225</xm:f>
              <xm:sqref>BU225</xm:sqref>
            </x14:sparkline>
            <x14:sparkline>
              <xm:f>RevenuePriceCap_FO!BM226:BQ226</xm:f>
              <xm:sqref>BU226</xm:sqref>
            </x14:sparkline>
            <x14:sparkline>
              <xm:f>RevenuePriceCap_FO!BM227:BQ227</xm:f>
              <xm:sqref>BU227</xm:sqref>
            </x14:sparkline>
            <x14:sparkline>
              <xm:f>RevenuePriceCap_FO!BM228:BQ228</xm:f>
              <xm:sqref>BU228</xm:sqref>
            </x14:sparkline>
            <x14:sparkline>
              <xm:f>RevenuePriceCap_FO!BM229:BQ229</xm:f>
              <xm:sqref>BU229</xm:sqref>
            </x14:sparkline>
            <x14:sparkline>
              <xm:f>RevenuePriceCap_FO!BM230:BQ230</xm:f>
              <xm:sqref>BU230</xm:sqref>
            </x14:sparkline>
            <x14:sparkline>
              <xm:f>RevenuePriceCap_FO!BM231:BQ231</xm:f>
              <xm:sqref>BU231</xm:sqref>
            </x14:sparkline>
            <x14:sparkline>
              <xm:f>RevenuePriceCap_FO!BM232:BQ232</xm:f>
              <xm:sqref>BU232</xm:sqref>
            </x14:sparkline>
            <x14:sparkline>
              <xm:f>RevenuePriceCap_FO!BM233:BQ233</xm:f>
              <xm:sqref>BU233</xm:sqref>
            </x14:sparkline>
            <x14:sparkline>
              <xm:f>RevenuePriceCap_FO!BM234:BQ234</xm:f>
              <xm:sqref>BU234</xm:sqref>
            </x14:sparkline>
            <x14:sparkline>
              <xm:f>RevenuePriceCap_FO!BM235:BQ235</xm:f>
              <xm:sqref>BU235</xm:sqref>
            </x14:sparkline>
            <x14:sparkline>
              <xm:f>RevenuePriceCap_FO!BM236:BQ236</xm:f>
              <xm:sqref>BU236</xm:sqref>
            </x14:sparkline>
            <x14:sparkline>
              <xm:f>RevenuePriceCap_FO!BM237:BQ237</xm:f>
              <xm:sqref>BU237</xm:sqref>
            </x14:sparkline>
            <x14:sparkline>
              <xm:f>RevenuePriceCap_FO!BM238:BQ238</xm:f>
              <xm:sqref>BU238</xm:sqref>
            </x14:sparkline>
            <x14:sparkline>
              <xm:f>RevenuePriceCap_FO!BM239:BQ239</xm:f>
              <xm:sqref>BU239</xm:sqref>
            </x14:sparkline>
            <x14:sparkline>
              <xm:f>RevenuePriceCap_FO!BM240:BQ240</xm:f>
              <xm:sqref>BU240</xm:sqref>
            </x14:sparkline>
            <x14:sparkline>
              <xm:f>RevenuePriceCap_FO!BM241:BQ241</xm:f>
              <xm:sqref>BU241</xm:sqref>
            </x14:sparkline>
            <x14:sparkline>
              <xm:f>RevenuePriceCap_FO!BM242:BQ242</xm:f>
              <xm:sqref>BU242</xm:sqref>
            </x14:sparkline>
            <x14:sparkline>
              <xm:f>RevenuePriceCap_FO!BM243:BQ243</xm:f>
              <xm:sqref>BU243</xm:sqref>
            </x14:sparkline>
            <x14:sparkline>
              <xm:f>RevenuePriceCap_FO!BM244:BQ244</xm:f>
              <xm:sqref>BU244</xm:sqref>
            </x14:sparkline>
            <x14:sparkline>
              <xm:f>RevenuePriceCap_FO!BM245:BQ245</xm:f>
              <xm:sqref>BU245</xm:sqref>
            </x14:sparkline>
            <x14:sparkline>
              <xm:f>RevenuePriceCap_FO!BM246:BQ246</xm:f>
              <xm:sqref>BU246</xm:sqref>
            </x14:sparkline>
            <x14:sparkline>
              <xm:f>RevenuePriceCap_FO!BM247:BQ247</xm:f>
              <xm:sqref>BU247</xm:sqref>
            </x14:sparkline>
            <x14:sparkline>
              <xm:f>RevenuePriceCap_FO!BM248:BQ248</xm:f>
              <xm:sqref>BU248</xm:sqref>
            </x14:sparkline>
            <x14:sparkline>
              <xm:f>RevenuePriceCap_FO!BM249:BQ249</xm:f>
              <xm:sqref>BU249</xm:sqref>
            </x14:sparkline>
            <x14:sparkline>
              <xm:f>RevenuePriceCap_FO!BM250:BQ250</xm:f>
              <xm:sqref>BU250</xm:sqref>
            </x14:sparkline>
            <x14:sparkline>
              <xm:f>RevenuePriceCap_FO!BM251:BQ251</xm:f>
              <xm:sqref>BU251</xm:sqref>
            </x14:sparkline>
            <x14:sparkline>
              <xm:f>RevenuePriceCap_FO!BM252:BQ252</xm:f>
              <xm:sqref>BU252</xm:sqref>
            </x14:sparkline>
            <x14:sparkline>
              <xm:f>RevenuePriceCap_FO!BM253:BQ253</xm:f>
              <xm:sqref>BU253</xm:sqref>
            </x14:sparkline>
            <x14:sparkline>
              <xm:f>RevenuePriceCap_FO!BM254:BQ254</xm:f>
              <xm:sqref>BU254</xm:sqref>
            </x14:sparkline>
            <x14:sparkline>
              <xm:f>RevenuePriceCap_FO!BM255:BQ255</xm:f>
              <xm:sqref>BU255</xm:sqref>
            </x14:sparkline>
            <x14:sparkline>
              <xm:f>RevenuePriceCap_FO!BM256:BQ256</xm:f>
              <xm:sqref>BU256</xm:sqref>
            </x14:sparkline>
            <x14:sparkline>
              <xm:f>RevenuePriceCap_FO!BM257:BQ257</xm:f>
              <xm:sqref>BU257</xm:sqref>
            </x14:sparkline>
            <x14:sparkline>
              <xm:f>RevenuePriceCap_FO!BM258:BQ258</xm:f>
              <xm:sqref>BU258</xm:sqref>
            </x14:sparkline>
            <x14:sparkline>
              <xm:f>RevenuePriceCap_FO!BM259:BQ259</xm:f>
              <xm:sqref>BU259</xm:sqref>
            </x14:sparkline>
            <x14:sparkline>
              <xm:f>RevenuePriceCap_FO!BM260:BQ260</xm:f>
              <xm:sqref>BU260</xm:sqref>
            </x14:sparkline>
            <x14:sparkline>
              <xm:f>RevenuePriceCap_FO!BM261:BQ261</xm:f>
              <xm:sqref>BU261</xm:sqref>
            </x14:sparkline>
            <x14:sparkline>
              <xm:f>RevenuePriceCap_FO!BM262:BQ262</xm:f>
              <xm:sqref>BU262</xm:sqref>
            </x14:sparkline>
            <x14:sparkline>
              <xm:f>RevenuePriceCap_FO!BM263:BQ263</xm:f>
              <xm:sqref>BU263</xm:sqref>
            </x14:sparkline>
            <x14:sparkline>
              <xm:f>RevenuePriceCap_FO!BM264:BQ264</xm:f>
              <xm:sqref>BU264</xm:sqref>
            </x14:sparkline>
            <x14:sparkline>
              <xm:f>RevenuePriceCap_FO!BM265:BQ265</xm:f>
              <xm:sqref>BU265</xm:sqref>
            </x14:sparkline>
            <x14:sparkline>
              <xm:f>RevenuePriceCap_FO!BM266:BQ266</xm:f>
              <xm:sqref>BU266</xm:sqref>
            </x14:sparkline>
            <x14:sparkline>
              <xm:f>RevenuePriceCap_FO!BM267:BQ267</xm:f>
              <xm:sqref>BU267</xm:sqref>
            </x14:sparkline>
            <x14:sparkline>
              <xm:f>RevenuePriceCap_FO!BM268:BQ268</xm:f>
              <xm:sqref>BU268</xm:sqref>
            </x14:sparkline>
            <x14:sparkline>
              <xm:f>RevenuePriceCap_FO!BM269:BQ269</xm:f>
              <xm:sqref>BU269</xm:sqref>
            </x14:sparkline>
            <x14:sparkline>
              <xm:f>RevenuePriceCap_FO!BM270:BQ270</xm:f>
              <xm:sqref>BU270</xm:sqref>
            </x14:sparkline>
            <x14:sparkline>
              <xm:f>RevenuePriceCap_FO!BM271:BQ271</xm:f>
              <xm:sqref>BU271</xm:sqref>
            </x14:sparkline>
            <x14:sparkline>
              <xm:f>RevenuePriceCap_FO!BM272:BQ272</xm:f>
              <xm:sqref>BU272</xm:sqref>
            </x14:sparkline>
            <x14:sparkline>
              <xm:f>RevenuePriceCap_FO!BM273:BQ273</xm:f>
              <xm:sqref>BU273</xm:sqref>
            </x14:sparkline>
            <x14:sparkline>
              <xm:f>RevenuePriceCap_FO!BM274:BQ274</xm:f>
              <xm:sqref>BU274</xm:sqref>
            </x14:sparkline>
            <x14:sparkline>
              <xm:f>RevenuePriceCap_FO!BM275:BQ275</xm:f>
              <xm:sqref>BU275</xm:sqref>
            </x14:sparkline>
            <x14:sparkline>
              <xm:f>RevenuePriceCap_FO!BM276:BQ276</xm:f>
              <xm:sqref>BU276</xm:sqref>
            </x14:sparkline>
            <x14:sparkline>
              <xm:f>RevenuePriceCap_FO!BM277:BQ277</xm:f>
              <xm:sqref>BU277</xm:sqref>
            </x14:sparkline>
            <x14:sparkline>
              <xm:f>RevenuePriceCap_FO!BM278:BQ278</xm:f>
              <xm:sqref>BU278</xm:sqref>
            </x14:sparkline>
            <x14:sparkline>
              <xm:f>RevenuePriceCap_FO!BM279:BQ279</xm:f>
              <xm:sqref>BU279</xm:sqref>
            </x14:sparkline>
            <x14:sparkline>
              <xm:f>RevenuePriceCap_FO!BM280:BQ280</xm:f>
              <xm:sqref>BU280</xm:sqref>
            </x14:sparkline>
            <x14:sparkline>
              <xm:f>RevenuePriceCap_FO!BM281:BQ281</xm:f>
              <xm:sqref>BU281</xm:sqref>
            </x14:sparkline>
            <x14:sparkline>
              <xm:f>RevenuePriceCap_FO!BM282:BQ282</xm:f>
              <xm:sqref>BU282</xm:sqref>
            </x14:sparkline>
            <x14:sparkline>
              <xm:f>RevenuePriceCap_FO!BM283:BQ283</xm:f>
              <xm:sqref>BU283</xm:sqref>
            </x14:sparkline>
            <x14:sparkline>
              <xm:f>RevenuePriceCap_FO!BM284:BQ284</xm:f>
              <xm:sqref>BU284</xm:sqref>
            </x14:sparkline>
            <x14:sparkline>
              <xm:f>RevenuePriceCap_FO!BM285:BQ285</xm:f>
              <xm:sqref>BU285</xm:sqref>
            </x14:sparkline>
            <x14:sparkline>
              <xm:f>RevenuePriceCap_FO!BM286:BQ286</xm:f>
              <xm:sqref>BU286</xm:sqref>
            </x14:sparkline>
            <x14:sparkline>
              <xm:f>RevenuePriceCap_FO!BM287:BQ287</xm:f>
              <xm:sqref>BU287</xm:sqref>
            </x14:sparkline>
            <x14:sparkline>
              <xm:f>RevenuePriceCap_FO!BM288:BQ288</xm:f>
              <xm:sqref>BU288</xm:sqref>
            </x14:sparkline>
            <x14:sparkline>
              <xm:f>RevenuePriceCap_FO!BM289:BQ289</xm:f>
              <xm:sqref>BU289</xm:sqref>
            </x14:sparkline>
            <x14:sparkline>
              <xm:f>RevenuePriceCap_FO!BM290:BQ290</xm:f>
              <xm:sqref>BU290</xm:sqref>
            </x14:sparkline>
            <x14:sparkline>
              <xm:f>RevenuePriceCap_FO!BM291:BQ291</xm:f>
              <xm:sqref>BU291</xm:sqref>
            </x14:sparkline>
            <x14:sparkline>
              <xm:f>RevenuePriceCap_FO!BM292:BQ292</xm:f>
              <xm:sqref>BU292</xm:sqref>
            </x14:sparkline>
            <x14:sparkline>
              <xm:f>RevenuePriceCap_FO!BM293:BQ293</xm:f>
              <xm:sqref>BU293</xm:sqref>
            </x14:sparkline>
            <x14:sparkline>
              <xm:f>RevenuePriceCap_FO!BM294:BQ294</xm:f>
              <xm:sqref>BU294</xm:sqref>
            </x14:sparkline>
            <x14:sparkline>
              <xm:f>RevenuePriceCap_FO!BM295:BQ295</xm:f>
              <xm:sqref>BU295</xm:sqref>
            </x14:sparkline>
            <x14:sparkline>
              <xm:f>RevenuePriceCap_FO!BM296:BQ296</xm:f>
              <xm:sqref>BU296</xm:sqref>
            </x14:sparkline>
            <x14:sparkline>
              <xm:f>RevenuePriceCap_FO!BM297:BQ297</xm:f>
              <xm:sqref>BU297</xm:sqref>
            </x14:sparkline>
            <x14:sparkline>
              <xm:f>RevenuePriceCap_FO!BM298:BQ298</xm:f>
              <xm:sqref>BU298</xm:sqref>
            </x14:sparkline>
            <x14:sparkline>
              <xm:f>RevenuePriceCap_FO!BM299:BQ299</xm:f>
              <xm:sqref>BU299</xm:sqref>
            </x14:sparkline>
            <x14:sparkline>
              <xm:f>RevenuePriceCap_FO!BM300:BQ300</xm:f>
              <xm:sqref>BU300</xm:sqref>
            </x14:sparkline>
            <x14:sparkline>
              <xm:f>RevenuePriceCap_FO!BM301:BQ301</xm:f>
              <xm:sqref>BU301</xm:sqref>
            </x14:sparkline>
            <x14:sparkline>
              <xm:f>RevenuePriceCap_FO!BM302:BQ302</xm:f>
              <xm:sqref>BU302</xm:sqref>
            </x14:sparkline>
            <x14:sparkline>
              <xm:f>RevenuePriceCap_FO!BM303:BQ303</xm:f>
              <xm:sqref>BU303</xm:sqref>
            </x14:sparkline>
            <x14:sparkline>
              <xm:f>RevenuePriceCap_FO!BM304:BQ304</xm:f>
              <xm:sqref>BU304</xm:sqref>
            </x14:sparkline>
            <x14:sparkline>
              <xm:f>RevenuePriceCap_FO!BM305:BQ305</xm:f>
              <xm:sqref>BU305</xm:sqref>
            </x14:sparkline>
            <x14:sparkline>
              <xm:f>RevenuePriceCap_FO!BM306:BQ306</xm:f>
              <xm:sqref>BU306</xm:sqref>
            </x14:sparkline>
            <x14:sparkline>
              <xm:f>RevenuePriceCap_FO!BM307:BQ307</xm:f>
              <xm:sqref>BU307</xm:sqref>
            </x14:sparkline>
            <x14:sparkline>
              <xm:f>RevenuePriceCap_FO!BM308:BQ308</xm:f>
              <xm:sqref>BU308</xm:sqref>
            </x14:sparkline>
            <x14:sparkline>
              <xm:f>RevenuePriceCap_FO!BM309:BQ309</xm:f>
              <xm:sqref>BU309</xm:sqref>
            </x14:sparkline>
            <x14:sparkline>
              <xm:f>RevenuePriceCap_FO!BM310:BQ310</xm:f>
              <xm:sqref>BU310</xm:sqref>
            </x14:sparkline>
            <x14:sparkline>
              <xm:f>RevenuePriceCap_FO!BM311:BQ311</xm:f>
              <xm:sqref>BU311</xm:sqref>
            </x14:sparkline>
            <x14:sparkline>
              <xm:f>RevenuePriceCap_FO!BM312:BQ312</xm:f>
              <xm:sqref>BU312</xm:sqref>
            </x14:sparkline>
            <x14:sparkline>
              <xm:f>RevenuePriceCap_FO!BM313:BQ313</xm:f>
              <xm:sqref>BU313</xm:sqref>
            </x14:sparkline>
            <x14:sparkline>
              <xm:f>RevenuePriceCap_FO!BM314:BQ314</xm:f>
              <xm:sqref>BU314</xm:sqref>
            </x14:sparkline>
            <x14:sparkline>
              <xm:f>RevenuePriceCap_FO!BM315:BQ315</xm:f>
              <xm:sqref>BU315</xm:sqref>
            </x14:sparkline>
            <x14:sparkline>
              <xm:f>RevenuePriceCap_FO!BM316:BQ316</xm:f>
              <xm:sqref>BU316</xm:sqref>
            </x14:sparkline>
            <x14:sparkline>
              <xm:f>RevenuePriceCap_FO!BM317:BQ317</xm:f>
              <xm:sqref>BU317</xm:sqref>
            </x14:sparkline>
            <x14:sparkline>
              <xm:f>RevenuePriceCap_FO!BM318:BQ318</xm:f>
              <xm:sqref>BU318</xm:sqref>
            </x14:sparkline>
            <x14:sparkline>
              <xm:f>RevenuePriceCap_FO!BM319:BQ319</xm:f>
              <xm:sqref>BU319</xm:sqref>
            </x14:sparkline>
            <x14:sparkline>
              <xm:f>RevenuePriceCap_FO!BM320:BQ320</xm:f>
              <xm:sqref>BU320</xm:sqref>
            </x14:sparkline>
            <x14:sparkline>
              <xm:f>RevenuePriceCap_FO!BM321:BQ321</xm:f>
              <xm:sqref>BU321</xm:sqref>
            </x14:sparkline>
            <x14:sparkline>
              <xm:f>RevenuePriceCap_FO!BM322:BQ322</xm:f>
              <xm:sqref>BU322</xm:sqref>
            </x14:sparkline>
            <x14:sparkline>
              <xm:f>RevenuePriceCap_FO!BM323:BQ323</xm:f>
              <xm:sqref>BU323</xm:sqref>
            </x14:sparkline>
            <x14:sparkline>
              <xm:f>RevenuePriceCap_FO!BM324:BQ324</xm:f>
              <xm:sqref>BU324</xm:sqref>
            </x14:sparkline>
            <x14:sparkline>
              <xm:f>RevenuePriceCap_FO!BM325:BQ325</xm:f>
              <xm:sqref>BU325</xm:sqref>
            </x14:sparkline>
            <x14:sparkline>
              <xm:f>RevenuePriceCap_FO!BM326:BQ326</xm:f>
              <xm:sqref>BU326</xm:sqref>
            </x14:sparkline>
            <x14:sparkline>
              <xm:f>RevenuePriceCap_FO!BM327:BQ327</xm:f>
              <xm:sqref>BU327</xm:sqref>
            </x14:sparkline>
            <x14:sparkline>
              <xm:f>RevenuePriceCap_FO!BM328:BQ328</xm:f>
              <xm:sqref>BU328</xm:sqref>
            </x14:sparkline>
            <x14:sparkline>
              <xm:f>RevenuePriceCap_FO!BM329:BQ329</xm:f>
              <xm:sqref>BU329</xm:sqref>
            </x14:sparkline>
            <x14:sparkline>
              <xm:f>RevenuePriceCap_FO!BM330:BQ330</xm:f>
              <xm:sqref>BU330</xm:sqref>
            </x14:sparkline>
            <x14:sparkline>
              <xm:f>RevenuePriceCap_FO!BM331:BQ331</xm:f>
              <xm:sqref>BU331</xm:sqref>
            </x14:sparkline>
            <x14:sparkline>
              <xm:f>RevenuePriceCap_FO!BM332:BQ332</xm:f>
              <xm:sqref>BU332</xm:sqref>
            </x14:sparkline>
            <x14:sparkline>
              <xm:f>RevenuePriceCap_FO!BM333:BQ333</xm:f>
              <xm:sqref>BU333</xm:sqref>
            </x14:sparkline>
            <x14:sparkline>
              <xm:f>RevenuePriceCap_FO!BM334:BQ334</xm:f>
              <xm:sqref>BU334</xm:sqref>
            </x14:sparkline>
            <x14:sparkline>
              <xm:f>RevenuePriceCap_FO!BM335:BQ335</xm:f>
              <xm:sqref>BU335</xm:sqref>
            </x14:sparkline>
            <x14:sparkline>
              <xm:f>RevenuePriceCap_FO!BM336:BQ336</xm:f>
              <xm:sqref>BU336</xm:sqref>
            </x14:sparkline>
            <x14:sparkline>
              <xm:f>RevenuePriceCap_FO!BM337:BQ337</xm:f>
              <xm:sqref>BU337</xm:sqref>
            </x14:sparkline>
            <x14:sparkline>
              <xm:f>RevenuePriceCap_FO!BM338:BQ338</xm:f>
              <xm:sqref>BU338</xm:sqref>
            </x14:sparkline>
            <x14:sparkline>
              <xm:f>RevenuePriceCap_FO!BM339:BQ339</xm:f>
              <xm:sqref>BU339</xm:sqref>
            </x14:sparkline>
            <x14:sparkline>
              <xm:f>RevenuePriceCap_FO!BM340:BQ340</xm:f>
              <xm:sqref>BU340</xm:sqref>
            </x14:sparkline>
            <x14:sparkline>
              <xm:f>RevenuePriceCap_FO!BM341:BQ341</xm:f>
              <xm:sqref>BU341</xm:sqref>
            </x14:sparkline>
            <x14:sparkline>
              <xm:f>RevenuePriceCap_FO!BM342:BQ342</xm:f>
              <xm:sqref>BU342</xm:sqref>
            </x14:sparkline>
            <x14:sparkline>
              <xm:f>RevenuePriceCap_FO!BM343:BQ343</xm:f>
              <xm:sqref>BU343</xm:sqref>
            </x14:sparkline>
            <x14:sparkline>
              <xm:f>RevenuePriceCap_FO!BM344:BQ344</xm:f>
              <xm:sqref>BU344</xm:sqref>
            </x14:sparkline>
            <x14:sparkline>
              <xm:f>RevenuePriceCap_FO!BM345:BQ345</xm:f>
              <xm:sqref>BU345</xm:sqref>
            </x14:sparkline>
            <x14:sparkline>
              <xm:f>RevenuePriceCap_FO!BM346:BQ346</xm:f>
              <xm:sqref>BU346</xm:sqref>
            </x14:sparkline>
            <x14:sparkline>
              <xm:f>RevenuePriceCap_FO!BM347:BQ347</xm:f>
              <xm:sqref>BU347</xm:sqref>
            </x14:sparkline>
            <x14:sparkline>
              <xm:f>RevenuePriceCap_FO!BM348:BQ348</xm:f>
              <xm:sqref>BU348</xm:sqref>
            </x14:sparkline>
            <x14:sparkline>
              <xm:f>RevenuePriceCap_FO!BM349:BQ349</xm:f>
              <xm:sqref>BU349</xm:sqref>
            </x14:sparkline>
            <x14:sparkline>
              <xm:f>RevenuePriceCap_FO!BM350:BQ350</xm:f>
              <xm:sqref>BU350</xm:sqref>
            </x14:sparkline>
            <x14:sparkline>
              <xm:f>RevenuePriceCap_FO!BM351:BQ351</xm:f>
              <xm:sqref>BU351</xm:sqref>
            </x14:sparkline>
            <x14:sparkline>
              <xm:f>RevenuePriceCap_FO!BM352:BQ352</xm:f>
              <xm:sqref>BU352</xm:sqref>
            </x14:sparkline>
            <x14:sparkline>
              <xm:f>RevenuePriceCap_FO!BM353:BQ353</xm:f>
              <xm:sqref>BU353</xm:sqref>
            </x14:sparkline>
            <x14:sparkline>
              <xm:f>RevenuePriceCap_FO!BM354:BQ354</xm:f>
              <xm:sqref>BU354</xm:sqref>
            </x14:sparkline>
            <x14:sparkline>
              <xm:f>RevenuePriceCap_FO!BM355:BQ355</xm:f>
              <xm:sqref>BU355</xm:sqref>
            </x14:sparkline>
            <x14:sparkline>
              <xm:f>RevenuePriceCap_FO!BM356:BQ356</xm:f>
              <xm:sqref>BU356</xm:sqref>
            </x14:sparkline>
            <x14:sparkline>
              <xm:f>RevenuePriceCap_FO!BM357:BQ357</xm:f>
              <xm:sqref>BU357</xm:sqref>
            </x14:sparkline>
            <x14:sparkline>
              <xm:f>RevenuePriceCap_FO!BM358:BQ358</xm:f>
              <xm:sqref>BU358</xm:sqref>
            </x14:sparkline>
            <x14:sparkline>
              <xm:f>RevenuePriceCap_FO!BM359:BQ359</xm:f>
              <xm:sqref>BU359</xm:sqref>
            </x14:sparkline>
            <x14:sparkline>
              <xm:f>RevenuePriceCap_FO!BM360:BQ360</xm:f>
              <xm:sqref>BU360</xm:sqref>
            </x14:sparkline>
            <x14:sparkline>
              <xm:f>RevenuePriceCap_FO!BM361:BQ361</xm:f>
              <xm:sqref>BU361</xm:sqref>
            </x14:sparkline>
            <x14:sparkline>
              <xm:f>RevenuePriceCap_FO!BM362:BQ362</xm:f>
              <xm:sqref>BU362</xm:sqref>
            </x14:sparkline>
            <x14:sparkline>
              <xm:f>RevenuePriceCap_FO!BM363:BQ363</xm:f>
              <xm:sqref>BU363</xm:sqref>
            </x14:sparkline>
            <x14:sparkline>
              <xm:f>RevenuePriceCap_FO!BM364:BQ364</xm:f>
              <xm:sqref>BU364</xm:sqref>
            </x14:sparkline>
            <x14:sparkline>
              <xm:f>RevenuePriceCap_FO!BM365:BQ365</xm:f>
              <xm:sqref>BU365</xm:sqref>
            </x14:sparkline>
            <x14:sparkline>
              <xm:f>RevenuePriceCap_FO!BM366:BQ366</xm:f>
              <xm:sqref>BU366</xm:sqref>
            </x14:sparkline>
            <x14:sparkline>
              <xm:f>RevenuePriceCap_FO!BM367:BQ367</xm:f>
              <xm:sqref>BU367</xm:sqref>
            </x14:sparkline>
            <x14:sparkline>
              <xm:f>RevenuePriceCap_FO!BM368:BQ368</xm:f>
              <xm:sqref>BU368</xm:sqref>
            </x14:sparkline>
            <x14:sparkline>
              <xm:f>RevenuePriceCap_FO!BM369:BQ369</xm:f>
              <xm:sqref>BU369</xm:sqref>
            </x14:sparkline>
            <x14:sparkline>
              <xm:f>RevenuePriceCap_FO!BM370:BQ370</xm:f>
              <xm:sqref>BU370</xm:sqref>
            </x14:sparkline>
            <x14:sparkline>
              <xm:f>RevenuePriceCap_FO!BM371:BQ371</xm:f>
              <xm:sqref>BU371</xm:sqref>
            </x14:sparkline>
            <x14:sparkline>
              <xm:f>RevenuePriceCap_FO!BM372:BQ372</xm:f>
              <xm:sqref>BU372</xm:sqref>
            </x14:sparkline>
            <x14:sparkline>
              <xm:f>RevenuePriceCap_FO!BM373:BQ373</xm:f>
              <xm:sqref>BU373</xm:sqref>
            </x14:sparkline>
            <x14:sparkline>
              <xm:f>RevenuePriceCap_FO!BM374:BQ374</xm:f>
              <xm:sqref>BU374</xm:sqref>
            </x14:sparkline>
            <x14:sparkline>
              <xm:f>RevenuePriceCap_FO!BM375:BQ375</xm:f>
              <xm:sqref>BU375</xm:sqref>
            </x14:sparkline>
            <x14:sparkline>
              <xm:f>RevenuePriceCap_FO!BM376:BQ376</xm:f>
              <xm:sqref>BU376</xm:sqref>
            </x14:sparkline>
            <x14:sparkline>
              <xm:f>RevenuePriceCap_FO!BM377:BQ377</xm:f>
              <xm:sqref>BU377</xm:sqref>
            </x14:sparkline>
            <x14:sparkline>
              <xm:f>RevenuePriceCap_FO!BM378:BQ378</xm:f>
              <xm:sqref>BU378</xm:sqref>
            </x14:sparkline>
            <x14:sparkline>
              <xm:f>RevenuePriceCap_FO!BM379:BQ379</xm:f>
              <xm:sqref>BU379</xm:sqref>
            </x14:sparkline>
            <x14:sparkline>
              <xm:f>RevenuePriceCap_FO!BM380:BQ380</xm:f>
              <xm:sqref>BU380</xm:sqref>
            </x14:sparkline>
            <x14:sparkline>
              <xm:f>RevenuePriceCap_FO!BM381:BQ381</xm:f>
              <xm:sqref>BU381</xm:sqref>
            </x14:sparkline>
            <x14:sparkline>
              <xm:f>RevenuePriceCap_FO!BM382:BQ382</xm:f>
              <xm:sqref>BU382</xm:sqref>
            </x14:sparkline>
            <x14:sparkline>
              <xm:f>RevenuePriceCap_FO!BM383:BQ383</xm:f>
              <xm:sqref>BU383</xm:sqref>
            </x14:sparkline>
            <x14:sparkline>
              <xm:f>RevenuePriceCap_FO!BM384:BQ384</xm:f>
              <xm:sqref>BU384</xm:sqref>
            </x14:sparkline>
            <x14:sparkline>
              <xm:f>RevenuePriceCap_FO!BM385:BQ385</xm:f>
              <xm:sqref>BU385</xm:sqref>
            </x14:sparkline>
            <x14:sparkline>
              <xm:f>RevenuePriceCap_FO!BM386:BQ386</xm:f>
              <xm:sqref>BU386</xm:sqref>
            </x14:sparkline>
            <x14:sparkline>
              <xm:f>RevenuePriceCap_FO!BM387:BQ387</xm:f>
              <xm:sqref>BU387</xm:sqref>
            </x14:sparkline>
            <x14:sparkline>
              <xm:f>RevenuePriceCap_FO!BM388:BQ388</xm:f>
              <xm:sqref>BU388</xm:sqref>
            </x14:sparkline>
            <x14:sparkline>
              <xm:f>RevenuePriceCap_FO!BM389:BQ389</xm:f>
              <xm:sqref>BU389</xm:sqref>
            </x14:sparkline>
            <x14:sparkline>
              <xm:f>RevenuePriceCap_FO!BM390:BQ390</xm:f>
              <xm:sqref>BU390</xm:sqref>
            </x14:sparkline>
            <x14:sparkline>
              <xm:f>RevenuePriceCap_FO!BM391:BQ391</xm:f>
              <xm:sqref>BU391</xm:sqref>
            </x14:sparkline>
            <x14:sparkline>
              <xm:f>RevenuePriceCap_FO!BM392:BQ392</xm:f>
              <xm:sqref>BU392</xm:sqref>
            </x14:sparkline>
            <x14:sparkline>
              <xm:f>RevenuePriceCap_FO!BM393:BQ393</xm:f>
              <xm:sqref>BU393</xm:sqref>
            </x14:sparkline>
            <x14:sparkline>
              <xm:f>RevenuePriceCap_FO!BM394:BQ394</xm:f>
              <xm:sqref>BU394</xm:sqref>
            </x14:sparkline>
            <x14:sparkline>
              <xm:f>RevenuePriceCap_FO!BM395:BQ395</xm:f>
              <xm:sqref>BU395</xm:sqref>
            </x14:sparkline>
            <x14:sparkline>
              <xm:f>RevenuePriceCap_FO!BM396:BQ396</xm:f>
              <xm:sqref>BU396</xm:sqref>
            </x14:sparkline>
            <x14:sparkline>
              <xm:f>RevenuePriceCap_FO!BM397:BQ397</xm:f>
              <xm:sqref>BU397</xm:sqref>
            </x14:sparkline>
            <x14:sparkline>
              <xm:f>RevenuePriceCap_FO!BM398:BQ398</xm:f>
              <xm:sqref>BU398</xm:sqref>
            </x14:sparkline>
            <x14:sparkline>
              <xm:f>RevenuePriceCap_FO!BM399:BQ399</xm:f>
              <xm:sqref>BU399</xm:sqref>
            </x14:sparkline>
            <x14:sparkline>
              <xm:f>RevenuePriceCap_FO!BM400:BQ400</xm:f>
              <xm:sqref>BU400</xm:sqref>
            </x14:sparkline>
            <x14:sparkline>
              <xm:f>RevenuePriceCap_FO!BM401:BQ401</xm:f>
              <xm:sqref>BU401</xm:sqref>
            </x14:sparkline>
            <x14:sparkline>
              <xm:f>RevenuePriceCap_FO!BM402:BQ402</xm:f>
              <xm:sqref>BU402</xm:sqref>
            </x14:sparkline>
            <x14:sparkline>
              <xm:f>RevenuePriceCap_FO!BM403:BQ403</xm:f>
              <xm:sqref>BU403</xm:sqref>
            </x14:sparkline>
            <x14:sparkline>
              <xm:f>RevenuePriceCap_FO!BM404:BQ404</xm:f>
              <xm:sqref>BU404</xm:sqref>
            </x14:sparkline>
            <x14:sparkline>
              <xm:f>RevenuePriceCap_FO!BM405:BQ405</xm:f>
              <xm:sqref>BU405</xm:sqref>
            </x14:sparkline>
            <x14:sparkline>
              <xm:f>RevenuePriceCap_FO!BM406:BQ406</xm:f>
              <xm:sqref>BU406</xm:sqref>
            </x14:sparkline>
            <x14:sparkline>
              <xm:f>RevenuePriceCap_FO!BM407:BQ407</xm:f>
              <xm:sqref>BU407</xm:sqref>
            </x14:sparkline>
            <x14:sparkline>
              <xm:f>RevenuePriceCap_FO!BM408:BQ408</xm:f>
              <xm:sqref>BU408</xm:sqref>
            </x14:sparkline>
            <x14:sparkline>
              <xm:f>RevenuePriceCap_FO!BM409:BQ409</xm:f>
              <xm:sqref>BU409</xm:sqref>
            </x14:sparkline>
            <x14:sparkline>
              <xm:f>RevenuePriceCap_FO!BM410:BQ410</xm:f>
              <xm:sqref>BU410</xm:sqref>
            </x14:sparkline>
            <x14:sparkline>
              <xm:f>RevenuePriceCap_FO!BM411:BQ411</xm:f>
              <xm:sqref>BU411</xm:sqref>
            </x14:sparkline>
            <x14:sparkline>
              <xm:f>RevenuePriceCap_FO!BM412:BQ412</xm:f>
              <xm:sqref>BU412</xm:sqref>
            </x14:sparkline>
            <x14:sparkline>
              <xm:f>RevenuePriceCap_FO!BM413:BQ413</xm:f>
              <xm:sqref>BU413</xm:sqref>
            </x14:sparkline>
            <x14:sparkline>
              <xm:f>RevenuePriceCap_FO!BM414:BQ414</xm:f>
              <xm:sqref>BU414</xm:sqref>
            </x14:sparkline>
            <x14:sparkline>
              <xm:f>RevenuePriceCap_FO!BM415:BQ415</xm:f>
              <xm:sqref>BU415</xm:sqref>
            </x14:sparkline>
            <x14:sparkline>
              <xm:f>RevenuePriceCap_FO!BM416:BQ416</xm:f>
              <xm:sqref>BU416</xm:sqref>
            </x14:sparkline>
            <x14:sparkline>
              <xm:f>RevenuePriceCap_FO!BM417:BQ417</xm:f>
              <xm:sqref>BU417</xm:sqref>
            </x14:sparkline>
            <x14:sparkline>
              <xm:f>RevenuePriceCap_FO!BM418:BQ418</xm:f>
              <xm:sqref>BU418</xm:sqref>
            </x14:sparkline>
            <x14:sparkline>
              <xm:f>RevenuePriceCap_FO!BM419:BQ419</xm:f>
              <xm:sqref>BU419</xm:sqref>
            </x14:sparkline>
            <x14:sparkline>
              <xm:f>RevenuePriceCap_FO!BM420:BQ420</xm:f>
              <xm:sqref>BU420</xm:sqref>
            </x14:sparkline>
            <x14:sparkline>
              <xm:f>RevenuePriceCap_FO!BM421:BQ421</xm:f>
              <xm:sqref>BU421</xm:sqref>
            </x14:sparkline>
            <x14:sparkline>
              <xm:f>RevenuePriceCap_FO!BM422:BQ422</xm:f>
              <xm:sqref>BU422</xm:sqref>
            </x14:sparkline>
            <x14:sparkline>
              <xm:f>RevenuePriceCap_FO!BM423:BQ423</xm:f>
              <xm:sqref>BU423</xm:sqref>
            </x14:sparkline>
            <x14:sparkline>
              <xm:f>RevenuePriceCap_FO!BM424:BQ424</xm:f>
              <xm:sqref>BU424</xm:sqref>
            </x14:sparkline>
            <x14:sparkline>
              <xm:f>RevenuePriceCap_FO!BM425:BQ425</xm:f>
              <xm:sqref>BU425</xm:sqref>
            </x14:sparkline>
            <x14:sparkline>
              <xm:f>RevenuePriceCap_FO!BM426:BQ426</xm:f>
              <xm:sqref>BU426</xm:sqref>
            </x14:sparkline>
            <x14:sparkline>
              <xm:f>RevenuePriceCap_FO!BM427:BQ427</xm:f>
              <xm:sqref>BU427</xm:sqref>
            </x14:sparkline>
            <x14:sparkline>
              <xm:f>RevenuePriceCap_FO!BM428:BQ428</xm:f>
              <xm:sqref>BU428</xm:sqref>
            </x14:sparkline>
            <x14:sparkline>
              <xm:f>RevenuePriceCap_FO!BM429:BQ429</xm:f>
              <xm:sqref>BU429</xm:sqref>
            </x14:sparkline>
            <x14:sparkline>
              <xm:f>RevenuePriceCap_FO!BM430:BQ430</xm:f>
              <xm:sqref>BU430</xm:sqref>
            </x14:sparkline>
            <x14:sparkline>
              <xm:f>RevenuePriceCap_FO!BM431:BQ431</xm:f>
              <xm:sqref>BU431</xm:sqref>
            </x14:sparkline>
            <x14:sparkline>
              <xm:f>RevenuePriceCap_FO!BM432:BQ432</xm:f>
              <xm:sqref>BU432</xm:sqref>
            </x14:sparkline>
            <x14:sparkline>
              <xm:f>RevenuePriceCap_FO!BM433:BQ433</xm:f>
              <xm:sqref>BU433</xm:sqref>
            </x14:sparkline>
            <x14:sparkline>
              <xm:f>RevenuePriceCap_FO!BM434:BQ434</xm:f>
              <xm:sqref>BU434</xm:sqref>
            </x14:sparkline>
            <x14:sparkline>
              <xm:f>RevenuePriceCap_FO!BM435:BQ435</xm:f>
              <xm:sqref>BU435</xm:sqref>
            </x14:sparkline>
            <x14:sparkline>
              <xm:f>RevenuePriceCap_FO!BM436:BQ436</xm:f>
              <xm:sqref>BU436</xm:sqref>
            </x14:sparkline>
            <x14:sparkline>
              <xm:f>RevenuePriceCap_FO!BM437:BQ437</xm:f>
              <xm:sqref>BU437</xm:sqref>
            </x14:sparkline>
            <x14:sparkline>
              <xm:f>RevenuePriceCap_FO!BM438:BQ438</xm:f>
              <xm:sqref>BU438</xm:sqref>
            </x14:sparkline>
            <x14:sparkline>
              <xm:f>RevenuePriceCap_FO!BM439:BQ439</xm:f>
              <xm:sqref>BU439</xm:sqref>
            </x14:sparkline>
            <x14:sparkline>
              <xm:f>RevenuePriceCap_FO!BM440:BQ440</xm:f>
              <xm:sqref>BU440</xm:sqref>
            </x14:sparkline>
          </x14:sparklines>
        </x14:sparklineGroup>
        <x14:sparklineGroup manualMax="0" manualMin="0" displayEmptyCellsAs="gap" xr2:uid="{00000000-0003-0000-0B00-000003000000}">
          <x14:colorSeries theme="5" tint="-0.499984740745262"/>
          <x14:colorNegative theme="6"/>
          <x14:colorAxis rgb="FF000000"/>
          <x14:colorMarkers theme="5" tint="-0.499984740745262"/>
          <x14:colorFirst theme="5" tint="0.39997558519241921"/>
          <x14:colorLast theme="5" tint="0.39997558519241921"/>
          <x14:colorHigh theme="5"/>
          <x14:colorLow theme="5"/>
          <x14:sparklines>
            <x14:sparkline>
              <xm:f>RevenuePriceCap_FO!AZ66:BQ66</xm:f>
              <xm:sqref>BV66</xm:sqref>
            </x14:sparkline>
            <x14:sparkline>
              <xm:f>RevenuePriceCap_FO!AZ67:BQ67</xm:f>
              <xm:sqref>BV67</xm:sqref>
            </x14:sparkline>
            <x14:sparkline>
              <xm:f>RevenuePriceCap_FO!AZ68:BQ68</xm:f>
              <xm:sqref>BV68</xm:sqref>
            </x14:sparkline>
            <x14:sparkline>
              <xm:f>RevenuePriceCap_FO!AZ69:BQ69</xm:f>
              <xm:sqref>BV69</xm:sqref>
            </x14:sparkline>
            <x14:sparkline>
              <xm:f>RevenuePriceCap_FO!AZ70:BQ70</xm:f>
              <xm:sqref>BV70</xm:sqref>
            </x14:sparkline>
            <x14:sparkline>
              <xm:f>RevenuePriceCap_FO!AZ71:BQ71</xm:f>
              <xm:sqref>BV71</xm:sqref>
            </x14:sparkline>
            <x14:sparkline>
              <xm:f>RevenuePriceCap_FO!AZ72:BQ72</xm:f>
              <xm:sqref>BV72</xm:sqref>
            </x14:sparkline>
            <x14:sparkline>
              <xm:f>RevenuePriceCap_FO!AZ73:BQ73</xm:f>
              <xm:sqref>BV73</xm:sqref>
            </x14:sparkline>
            <x14:sparkline>
              <xm:f>RevenuePriceCap_FO!AZ74:BQ74</xm:f>
              <xm:sqref>BV74</xm:sqref>
            </x14:sparkline>
            <x14:sparkline>
              <xm:f>RevenuePriceCap_FO!AZ75:BQ75</xm:f>
              <xm:sqref>BV75</xm:sqref>
            </x14:sparkline>
            <x14:sparkline>
              <xm:f>RevenuePriceCap_FO!AZ76:BQ76</xm:f>
              <xm:sqref>BV76</xm:sqref>
            </x14:sparkline>
            <x14:sparkline>
              <xm:f>RevenuePriceCap_FO!AZ77:BQ77</xm:f>
              <xm:sqref>BV77</xm:sqref>
            </x14:sparkline>
            <x14:sparkline>
              <xm:f>RevenuePriceCap_FO!AZ78:BQ78</xm:f>
              <xm:sqref>BV78</xm:sqref>
            </x14:sparkline>
            <x14:sparkline>
              <xm:f>RevenuePriceCap_FO!AZ79:BQ79</xm:f>
              <xm:sqref>BV79</xm:sqref>
            </x14:sparkline>
            <x14:sparkline>
              <xm:f>RevenuePriceCap_FO!AZ80:BQ80</xm:f>
              <xm:sqref>BV80</xm:sqref>
            </x14:sparkline>
            <x14:sparkline>
              <xm:f>RevenuePriceCap_FO!AZ81:BQ81</xm:f>
              <xm:sqref>BV81</xm:sqref>
            </x14:sparkline>
            <x14:sparkline>
              <xm:f>RevenuePriceCap_FO!AZ82:BQ82</xm:f>
              <xm:sqref>BV82</xm:sqref>
            </x14:sparkline>
            <x14:sparkline>
              <xm:f>RevenuePriceCap_FO!AZ83:BQ83</xm:f>
              <xm:sqref>BV83</xm:sqref>
            </x14:sparkline>
            <x14:sparkline>
              <xm:f>RevenuePriceCap_FO!AZ84:BQ84</xm:f>
              <xm:sqref>BV84</xm:sqref>
            </x14:sparkline>
            <x14:sparkline>
              <xm:f>RevenuePriceCap_FO!AZ85:BQ85</xm:f>
              <xm:sqref>BV85</xm:sqref>
            </x14:sparkline>
            <x14:sparkline>
              <xm:f>RevenuePriceCap_FO!AZ86:BQ86</xm:f>
              <xm:sqref>BV86</xm:sqref>
            </x14:sparkline>
            <x14:sparkline>
              <xm:f>RevenuePriceCap_FO!AZ87:BQ87</xm:f>
              <xm:sqref>BV87</xm:sqref>
            </x14:sparkline>
            <x14:sparkline>
              <xm:f>RevenuePriceCap_FO!AZ88:BQ88</xm:f>
              <xm:sqref>BV88</xm:sqref>
            </x14:sparkline>
            <x14:sparkline>
              <xm:f>RevenuePriceCap_FO!AZ89:BQ89</xm:f>
              <xm:sqref>BV89</xm:sqref>
            </x14:sparkline>
            <x14:sparkline>
              <xm:f>RevenuePriceCap_FO!AZ90:BQ90</xm:f>
              <xm:sqref>BV90</xm:sqref>
            </x14:sparkline>
            <x14:sparkline>
              <xm:f>RevenuePriceCap_FO!AZ91:BQ91</xm:f>
              <xm:sqref>BV91</xm:sqref>
            </x14:sparkline>
            <x14:sparkline>
              <xm:f>RevenuePriceCap_FO!AZ92:BQ92</xm:f>
              <xm:sqref>BV92</xm:sqref>
            </x14:sparkline>
            <x14:sparkline>
              <xm:f>RevenuePriceCap_FO!AZ93:BQ93</xm:f>
              <xm:sqref>BV93</xm:sqref>
            </x14:sparkline>
            <x14:sparkline>
              <xm:f>RevenuePriceCap_FO!AZ94:BQ94</xm:f>
              <xm:sqref>BV94</xm:sqref>
            </x14:sparkline>
            <x14:sparkline>
              <xm:f>RevenuePriceCap_FO!AZ95:BQ95</xm:f>
              <xm:sqref>BV95</xm:sqref>
            </x14:sparkline>
            <x14:sparkline>
              <xm:f>RevenuePriceCap_FO!AZ96:BQ96</xm:f>
              <xm:sqref>BV96</xm:sqref>
            </x14:sparkline>
            <x14:sparkline>
              <xm:f>RevenuePriceCap_FO!AZ97:BQ97</xm:f>
              <xm:sqref>BV97</xm:sqref>
            </x14:sparkline>
            <x14:sparkline>
              <xm:f>RevenuePriceCap_FO!AZ98:BQ98</xm:f>
              <xm:sqref>BV98</xm:sqref>
            </x14:sparkline>
            <x14:sparkline>
              <xm:f>RevenuePriceCap_FO!AZ99:BQ99</xm:f>
              <xm:sqref>BV99</xm:sqref>
            </x14:sparkline>
            <x14:sparkline>
              <xm:f>RevenuePriceCap_FO!AZ100:BQ100</xm:f>
              <xm:sqref>BV100</xm:sqref>
            </x14:sparkline>
            <x14:sparkline>
              <xm:f>RevenuePriceCap_FO!AZ101:BQ101</xm:f>
              <xm:sqref>BV101</xm:sqref>
            </x14:sparkline>
            <x14:sparkline>
              <xm:f>RevenuePriceCap_FO!AZ102:BQ102</xm:f>
              <xm:sqref>BV102</xm:sqref>
            </x14:sparkline>
            <x14:sparkline>
              <xm:f>RevenuePriceCap_FO!AZ103:BQ103</xm:f>
              <xm:sqref>BV103</xm:sqref>
            </x14:sparkline>
            <x14:sparkline>
              <xm:f>RevenuePriceCap_FO!AZ104:BQ104</xm:f>
              <xm:sqref>BV104</xm:sqref>
            </x14:sparkline>
            <x14:sparkline>
              <xm:f>RevenuePriceCap_FO!AZ105:BQ105</xm:f>
              <xm:sqref>BV105</xm:sqref>
            </x14:sparkline>
            <x14:sparkline>
              <xm:f>RevenuePriceCap_FO!AZ106:BQ106</xm:f>
              <xm:sqref>BV106</xm:sqref>
            </x14:sparkline>
            <x14:sparkline>
              <xm:f>RevenuePriceCap_FO!AZ107:BQ107</xm:f>
              <xm:sqref>BV107</xm:sqref>
            </x14:sparkline>
            <x14:sparkline>
              <xm:f>RevenuePriceCap_FO!AZ108:BQ108</xm:f>
              <xm:sqref>BV108</xm:sqref>
            </x14:sparkline>
            <x14:sparkline>
              <xm:f>RevenuePriceCap_FO!AZ109:BQ109</xm:f>
              <xm:sqref>BV109</xm:sqref>
            </x14:sparkline>
            <x14:sparkline>
              <xm:f>RevenuePriceCap_FO!AZ110:BQ110</xm:f>
              <xm:sqref>BV110</xm:sqref>
            </x14:sparkline>
            <x14:sparkline>
              <xm:f>RevenuePriceCap_FO!AZ111:BQ111</xm:f>
              <xm:sqref>BV111</xm:sqref>
            </x14:sparkline>
            <x14:sparkline>
              <xm:f>RevenuePriceCap_FO!AZ112:BQ112</xm:f>
              <xm:sqref>BV112</xm:sqref>
            </x14:sparkline>
            <x14:sparkline>
              <xm:f>RevenuePriceCap_FO!AZ113:BQ113</xm:f>
              <xm:sqref>BV113</xm:sqref>
            </x14:sparkline>
            <x14:sparkline>
              <xm:f>RevenuePriceCap_FO!AZ114:BQ114</xm:f>
              <xm:sqref>BV114</xm:sqref>
            </x14:sparkline>
            <x14:sparkline>
              <xm:f>RevenuePriceCap_FO!AZ115:BQ115</xm:f>
              <xm:sqref>BV115</xm:sqref>
            </x14:sparkline>
            <x14:sparkline>
              <xm:f>RevenuePriceCap_FO!AZ116:BQ116</xm:f>
              <xm:sqref>BV116</xm:sqref>
            </x14:sparkline>
            <x14:sparkline>
              <xm:f>RevenuePriceCap_FO!AZ117:BQ117</xm:f>
              <xm:sqref>BV117</xm:sqref>
            </x14:sparkline>
            <x14:sparkline>
              <xm:f>RevenuePriceCap_FO!AZ118:BQ118</xm:f>
              <xm:sqref>BV118</xm:sqref>
            </x14:sparkline>
            <x14:sparkline>
              <xm:f>RevenuePriceCap_FO!AZ119:BQ119</xm:f>
              <xm:sqref>BV119</xm:sqref>
            </x14:sparkline>
            <x14:sparkline>
              <xm:f>RevenuePriceCap_FO!AZ120:BQ120</xm:f>
              <xm:sqref>BV120</xm:sqref>
            </x14:sparkline>
            <x14:sparkline>
              <xm:f>RevenuePriceCap_FO!AZ121:BQ121</xm:f>
              <xm:sqref>BV121</xm:sqref>
            </x14:sparkline>
            <x14:sparkline>
              <xm:f>RevenuePriceCap_FO!AZ122:BQ122</xm:f>
              <xm:sqref>BV122</xm:sqref>
            </x14:sparkline>
            <x14:sparkline>
              <xm:f>RevenuePriceCap_FO!AZ123:BQ123</xm:f>
              <xm:sqref>BV123</xm:sqref>
            </x14:sparkline>
            <x14:sparkline>
              <xm:f>RevenuePriceCap_FO!AZ124:BQ124</xm:f>
              <xm:sqref>BV124</xm:sqref>
            </x14:sparkline>
            <x14:sparkline>
              <xm:f>RevenuePriceCap_FO!AZ125:BQ125</xm:f>
              <xm:sqref>BV125</xm:sqref>
            </x14:sparkline>
            <x14:sparkline>
              <xm:f>RevenuePriceCap_FO!AZ126:BQ126</xm:f>
              <xm:sqref>BV126</xm:sqref>
            </x14:sparkline>
            <x14:sparkline>
              <xm:f>RevenuePriceCap_FO!AZ127:BQ127</xm:f>
              <xm:sqref>BV127</xm:sqref>
            </x14:sparkline>
            <x14:sparkline>
              <xm:f>RevenuePriceCap_FO!AZ128:BQ128</xm:f>
              <xm:sqref>BV128</xm:sqref>
            </x14:sparkline>
            <x14:sparkline>
              <xm:f>RevenuePriceCap_FO!AZ129:BQ129</xm:f>
              <xm:sqref>BV129</xm:sqref>
            </x14:sparkline>
            <x14:sparkline>
              <xm:f>RevenuePriceCap_FO!AZ130:BQ130</xm:f>
              <xm:sqref>BV130</xm:sqref>
            </x14:sparkline>
            <x14:sparkline>
              <xm:f>RevenuePriceCap_FO!AZ131:BQ131</xm:f>
              <xm:sqref>BV131</xm:sqref>
            </x14:sparkline>
            <x14:sparkline>
              <xm:f>RevenuePriceCap_FO!AZ132:BQ132</xm:f>
              <xm:sqref>BV132</xm:sqref>
            </x14:sparkline>
            <x14:sparkline>
              <xm:f>RevenuePriceCap_FO!AZ133:BQ133</xm:f>
              <xm:sqref>BV133</xm:sqref>
            </x14:sparkline>
            <x14:sparkline>
              <xm:f>RevenuePriceCap_FO!AZ134:BQ134</xm:f>
              <xm:sqref>BV134</xm:sqref>
            </x14:sparkline>
            <x14:sparkline>
              <xm:f>RevenuePriceCap_FO!AZ135:BQ135</xm:f>
              <xm:sqref>BV135</xm:sqref>
            </x14:sparkline>
            <x14:sparkline>
              <xm:f>RevenuePriceCap_FO!AZ136:BQ136</xm:f>
              <xm:sqref>BV136</xm:sqref>
            </x14:sparkline>
            <x14:sparkline>
              <xm:f>RevenuePriceCap_FO!AZ137:BQ137</xm:f>
              <xm:sqref>BV137</xm:sqref>
            </x14:sparkline>
            <x14:sparkline>
              <xm:f>RevenuePriceCap_FO!AZ138:BQ138</xm:f>
              <xm:sqref>BV138</xm:sqref>
            </x14:sparkline>
            <x14:sparkline>
              <xm:f>RevenuePriceCap_FO!AZ139:BQ139</xm:f>
              <xm:sqref>BV139</xm:sqref>
            </x14:sparkline>
            <x14:sparkline>
              <xm:f>RevenuePriceCap_FO!AZ140:BQ140</xm:f>
              <xm:sqref>BV140</xm:sqref>
            </x14:sparkline>
            <x14:sparkline>
              <xm:f>RevenuePriceCap_FO!AZ141:BQ141</xm:f>
              <xm:sqref>BV141</xm:sqref>
            </x14:sparkline>
            <x14:sparkline>
              <xm:f>RevenuePriceCap_FO!AZ142:BQ142</xm:f>
              <xm:sqref>BV142</xm:sqref>
            </x14:sparkline>
            <x14:sparkline>
              <xm:f>RevenuePriceCap_FO!AZ143:BQ143</xm:f>
              <xm:sqref>BV143</xm:sqref>
            </x14:sparkline>
            <x14:sparkline>
              <xm:f>RevenuePriceCap_FO!AZ144:BQ144</xm:f>
              <xm:sqref>BV144</xm:sqref>
            </x14:sparkline>
            <x14:sparkline>
              <xm:f>RevenuePriceCap_FO!AZ145:BQ145</xm:f>
              <xm:sqref>BV145</xm:sqref>
            </x14:sparkline>
            <x14:sparkline>
              <xm:f>RevenuePriceCap_FO!AZ146:BQ146</xm:f>
              <xm:sqref>BV146</xm:sqref>
            </x14:sparkline>
            <x14:sparkline>
              <xm:f>RevenuePriceCap_FO!AZ147:BQ147</xm:f>
              <xm:sqref>BV147</xm:sqref>
            </x14:sparkline>
            <x14:sparkline>
              <xm:f>RevenuePriceCap_FO!AZ148:BQ148</xm:f>
              <xm:sqref>BV148</xm:sqref>
            </x14:sparkline>
            <x14:sparkline>
              <xm:f>RevenuePriceCap_FO!AZ149:BQ149</xm:f>
              <xm:sqref>BV149</xm:sqref>
            </x14:sparkline>
            <x14:sparkline>
              <xm:f>RevenuePriceCap_FO!AZ150:BQ150</xm:f>
              <xm:sqref>BV150</xm:sqref>
            </x14:sparkline>
            <x14:sparkline>
              <xm:f>RevenuePriceCap_FO!AZ151:BQ151</xm:f>
              <xm:sqref>BV151</xm:sqref>
            </x14:sparkline>
            <x14:sparkline>
              <xm:f>RevenuePriceCap_FO!AZ152:BQ152</xm:f>
              <xm:sqref>BV152</xm:sqref>
            </x14:sparkline>
            <x14:sparkline>
              <xm:f>RevenuePriceCap_FO!AZ153:BQ153</xm:f>
              <xm:sqref>BV153</xm:sqref>
            </x14:sparkline>
            <x14:sparkline>
              <xm:f>RevenuePriceCap_FO!AZ154:BQ154</xm:f>
              <xm:sqref>BV154</xm:sqref>
            </x14:sparkline>
            <x14:sparkline>
              <xm:f>RevenuePriceCap_FO!AZ155:BQ155</xm:f>
              <xm:sqref>BV155</xm:sqref>
            </x14:sparkline>
            <x14:sparkline>
              <xm:f>RevenuePriceCap_FO!AZ156:BQ156</xm:f>
              <xm:sqref>BV156</xm:sqref>
            </x14:sparkline>
            <x14:sparkline>
              <xm:f>RevenuePriceCap_FO!AZ157:BQ157</xm:f>
              <xm:sqref>BV157</xm:sqref>
            </x14:sparkline>
            <x14:sparkline>
              <xm:f>RevenuePriceCap_FO!AZ158:BQ158</xm:f>
              <xm:sqref>BV158</xm:sqref>
            </x14:sparkline>
            <x14:sparkline>
              <xm:f>RevenuePriceCap_FO!AZ159:BQ159</xm:f>
              <xm:sqref>BV159</xm:sqref>
            </x14:sparkline>
            <x14:sparkline>
              <xm:f>RevenuePriceCap_FO!AZ160:BQ160</xm:f>
              <xm:sqref>BV160</xm:sqref>
            </x14:sparkline>
            <x14:sparkline>
              <xm:f>RevenuePriceCap_FO!AZ161:BQ161</xm:f>
              <xm:sqref>BV161</xm:sqref>
            </x14:sparkline>
            <x14:sparkline>
              <xm:f>RevenuePriceCap_FO!AZ162:BQ162</xm:f>
              <xm:sqref>BV162</xm:sqref>
            </x14:sparkline>
            <x14:sparkline>
              <xm:f>RevenuePriceCap_FO!AZ163:BQ163</xm:f>
              <xm:sqref>BV163</xm:sqref>
            </x14:sparkline>
            <x14:sparkline>
              <xm:f>RevenuePriceCap_FO!AZ164:BQ164</xm:f>
              <xm:sqref>BV164</xm:sqref>
            </x14:sparkline>
            <x14:sparkline>
              <xm:f>RevenuePriceCap_FO!AZ165:BQ165</xm:f>
              <xm:sqref>BV165</xm:sqref>
            </x14:sparkline>
            <x14:sparkline>
              <xm:f>RevenuePriceCap_FO!AZ166:BQ166</xm:f>
              <xm:sqref>BV166</xm:sqref>
            </x14:sparkline>
            <x14:sparkline>
              <xm:f>RevenuePriceCap_FO!AZ167:BQ167</xm:f>
              <xm:sqref>BV167</xm:sqref>
            </x14:sparkline>
            <x14:sparkline>
              <xm:f>RevenuePriceCap_FO!AZ168:BQ168</xm:f>
              <xm:sqref>BV168</xm:sqref>
            </x14:sparkline>
            <x14:sparkline>
              <xm:f>RevenuePriceCap_FO!AZ169:BQ169</xm:f>
              <xm:sqref>BV169</xm:sqref>
            </x14:sparkline>
            <x14:sparkline>
              <xm:f>RevenuePriceCap_FO!AZ170:BQ170</xm:f>
              <xm:sqref>BV170</xm:sqref>
            </x14:sparkline>
            <x14:sparkline>
              <xm:f>RevenuePriceCap_FO!AZ171:BQ171</xm:f>
              <xm:sqref>BV171</xm:sqref>
            </x14:sparkline>
            <x14:sparkline>
              <xm:f>RevenuePriceCap_FO!AZ172:BQ172</xm:f>
              <xm:sqref>BV172</xm:sqref>
            </x14:sparkline>
            <x14:sparkline>
              <xm:f>RevenuePriceCap_FO!AZ173:BQ173</xm:f>
              <xm:sqref>BV173</xm:sqref>
            </x14:sparkline>
            <x14:sparkline>
              <xm:f>RevenuePriceCap_FO!AZ174:BQ174</xm:f>
              <xm:sqref>BV174</xm:sqref>
            </x14:sparkline>
            <x14:sparkline>
              <xm:f>RevenuePriceCap_FO!AZ175:BQ175</xm:f>
              <xm:sqref>BV175</xm:sqref>
            </x14:sparkline>
            <x14:sparkline>
              <xm:f>RevenuePriceCap_FO!AZ176:BQ176</xm:f>
              <xm:sqref>BV176</xm:sqref>
            </x14:sparkline>
            <x14:sparkline>
              <xm:f>RevenuePriceCap_FO!AZ177:BQ177</xm:f>
              <xm:sqref>BV177</xm:sqref>
            </x14:sparkline>
            <x14:sparkline>
              <xm:f>RevenuePriceCap_FO!AZ178:BQ178</xm:f>
              <xm:sqref>BV178</xm:sqref>
            </x14:sparkline>
            <x14:sparkline>
              <xm:f>RevenuePriceCap_FO!AZ179:BQ179</xm:f>
              <xm:sqref>BV179</xm:sqref>
            </x14:sparkline>
            <x14:sparkline>
              <xm:f>RevenuePriceCap_FO!AZ180:BQ180</xm:f>
              <xm:sqref>BV180</xm:sqref>
            </x14:sparkline>
            <x14:sparkline>
              <xm:f>RevenuePriceCap_FO!AZ181:BQ181</xm:f>
              <xm:sqref>BV181</xm:sqref>
            </x14:sparkline>
            <x14:sparkline>
              <xm:f>RevenuePriceCap_FO!AZ182:BQ182</xm:f>
              <xm:sqref>BV182</xm:sqref>
            </x14:sparkline>
            <x14:sparkline>
              <xm:f>RevenuePriceCap_FO!AZ183:BQ183</xm:f>
              <xm:sqref>BV183</xm:sqref>
            </x14:sparkline>
            <x14:sparkline>
              <xm:f>RevenuePriceCap_FO!AZ184:BQ184</xm:f>
              <xm:sqref>BV184</xm:sqref>
            </x14:sparkline>
            <x14:sparkline>
              <xm:f>RevenuePriceCap_FO!AZ185:BQ185</xm:f>
              <xm:sqref>BV185</xm:sqref>
            </x14:sparkline>
            <x14:sparkline>
              <xm:f>RevenuePriceCap_FO!AZ186:BQ186</xm:f>
              <xm:sqref>BV186</xm:sqref>
            </x14:sparkline>
            <x14:sparkline>
              <xm:f>RevenuePriceCap_FO!AZ187:BQ187</xm:f>
              <xm:sqref>BV187</xm:sqref>
            </x14:sparkline>
            <x14:sparkline>
              <xm:f>RevenuePriceCap_FO!AZ188:BQ188</xm:f>
              <xm:sqref>BV188</xm:sqref>
            </x14:sparkline>
            <x14:sparkline>
              <xm:f>RevenuePriceCap_FO!AZ189:BQ189</xm:f>
              <xm:sqref>BV189</xm:sqref>
            </x14:sparkline>
            <x14:sparkline>
              <xm:f>RevenuePriceCap_FO!AZ190:BQ190</xm:f>
              <xm:sqref>BV190</xm:sqref>
            </x14:sparkline>
            <x14:sparkline>
              <xm:f>RevenuePriceCap_FO!AZ191:BQ191</xm:f>
              <xm:sqref>BV191</xm:sqref>
            </x14:sparkline>
            <x14:sparkline>
              <xm:f>RevenuePriceCap_FO!AZ192:BQ192</xm:f>
              <xm:sqref>BV192</xm:sqref>
            </x14:sparkline>
            <x14:sparkline>
              <xm:f>RevenuePriceCap_FO!AZ193:BQ193</xm:f>
              <xm:sqref>BV193</xm:sqref>
            </x14:sparkline>
            <x14:sparkline>
              <xm:f>RevenuePriceCap_FO!AZ194:BQ194</xm:f>
              <xm:sqref>BV194</xm:sqref>
            </x14:sparkline>
            <x14:sparkline>
              <xm:f>RevenuePriceCap_FO!AZ195:BQ195</xm:f>
              <xm:sqref>BV195</xm:sqref>
            </x14:sparkline>
            <x14:sparkline>
              <xm:f>RevenuePriceCap_FO!AZ196:BQ196</xm:f>
              <xm:sqref>BV196</xm:sqref>
            </x14:sparkline>
            <x14:sparkline>
              <xm:f>RevenuePriceCap_FO!AZ197:BQ197</xm:f>
              <xm:sqref>BV197</xm:sqref>
            </x14:sparkline>
            <x14:sparkline>
              <xm:f>RevenuePriceCap_FO!AZ198:BQ198</xm:f>
              <xm:sqref>BV198</xm:sqref>
            </x14:sparkline>
            <x14:sparkline>
              <xm:f>RevenuePriceCap_FO!AZ199:BQ199</xm:f>
              <xm:sqref>BV199</xm:sqref>
            </x14:sparkline>
            <x14:sparkline>
              <xm:f>RevenuePriceCap_FO!AZ200:BQ200</xm:f>
              <xm:sqref>BV200</xm:sqref>
            </x14:sparkline>
            <x14:sparkline>
              <xm:f>RevenuePriceCap_FO!AZ201:BQ201</xm:f>
              <xm:sqref>BV201</xm:sqref>
            </x14:sparkline>
            <x14:sparkline>
              <xm:f>RevenuePriceCap_FO!AZ202:BQ202</xm:f>
              <xm:sqref>BV202</xm:sqref>
            </x14:sparkline>
            <x14:sparkline>
              <xm:f>RevenuePriceCap_FO!AZ203:BQ203</xm:f>
              <xm:sqref>BV203</xm:sqref>
            </x14:sparkline>
            <x14:sparkline>
              <xm:f>RevenuePriceCap_FO!AZ204:BQ204</xm:f>
              <xm:sqref>BV204</xm:sqref>
            </x14:sparkline>
            <x14:sparkline>
              <xm:f>RevenuePriceCap_FO!AZ205:BQ205</xm:f>
              <xm:sqref>BV205</xm:sqref>
            </x14:sparkline>
            <x14:sparkline>
              <xm:f>RevenuePriceCap_FO!AZ206:BQ206</xm:f>
              <xm:sqref>BV206</xm:sqref>
            </x14:sparkline>
            <x14:sparkline>
              <xm:f>RevenuePriceCap_FO!AZ207:BQ207</xm:f>
              <xm:sqref>BV207</xm:sqref>
            </x14:sparkline>
            <x14:sparkline>
              <xm:f>RevenuePriceCap_FO!AZ208:BQ208</xm:f>
              <xm:sqref>BV208</xm:sqref>
            </x14:sparkline>
            <x14:sparkline>
              <xm:f>RevenuePriceCap_FO!AZ209:BQ209</xm:f>
              <xm:sqref>BV209</xm:sqref>
            </x14:sparkline>
            <x14:sparkline>
              <xm:f>RevenuePriceCap_FO!AZ210:BQ210</xm:f>
              <xm:sqref>BV210</xm:sqref>
            </x14:sparkline>
            <x14:sparkline>
              <xm:f>RevenuePriceCap_FO!AZ211:BQ211</xm:f>
              <xm:sqref>BV211</xm:sqref>
            </x14:sparkline>
            <x14:sparkline>
              <xm:f>RevenuePriceCap_FO!AZ212:BQ212</xm:f>
              <xm:sqref>BV212</xm:sqref>
            </x14:sparkline>
            <x14:sparkline>
              <xm:f>RevenuePriceCap_FO!AZ213:BQ213</xm:f>
              <xm:sqref>BV213</xm:sqref>
            </x14:sparkline>
            <x14:sparkline>
              <xm:f>RevenuePriceCap_FO!AZ214:BQ214</xm:f>
              <xm:sqref>BV214</xm:sqref>
            </x14:sparkline>
            <x14:sparkline>
              <xm:f>RevenuePriceCap_FO!AZ215:BQ215</xm:f>
              <xm:sqref>BV215</xm:sqref>
            </x14:sparkline>
            <x14:sparkline>
              <xm:f>RevenuePriceCap_FO!AZ216:BQ216</xm:f>
              <xm:sqref>BV216</xm:sqref>
            </x14:sparkline>
            <x14:sparkline>
              <xm:f>RevenuePriceCap_FO!AZ217:BQ217</xm:f>
              <xm:sqref>BV217</xm:sqref>
            </x14:sparkline>
            <x14:sparkline>
              <xm:f>RevenuePriceCap_FO!AZ218:BQ218</xm:f>
              <xm:sqref>BV218</xm:sqref>
            </x14:sparkline>
            <x14:sparkline>
              <xm:f>RevenuePriceCap_FO!AZ219:BQ219</xm:f>
              <xm:sqref>BV219</xm:sqref>
            </x14:sparkline>
            <x14:sparkline>
              <xm:f>RevenuePriceCap_FO!AZ220:BQ220</xm:f>
              <xm:sqref>BV220</xm:sqref>
            </x14:sparkline>
            <x14:sparkline>
              <xm:f>RevenuePriceCap_FO!AZ221:BQ221</xm:f>
              <xm:sqref>BV221</xm:sqref>
            </x14:sparkline>
            <x14:sparkline>
              <xm:f>RevenuePriceCap_FO!AZ222:BQ222</xm:f>
              <xm:sqref>BV222</xm:sqref>
            </x14:sparkline>
            <x14:sparkline>
              <xm:f>RevenuePriceCap_FO!AZ223:BQ223</xm:f>
              <xm:sqref>BV223</xm:sqref>
            </x14:sparkline>
            <x14:sparkline>
              <xm:f>RevenuePriceCap_FO!AZ224:BQ224</xm:f>
              <xm:sqref>BV224</xm:sqref>
            </x14:sparkline>
            <x14:sparkline>
              <xm:f>RevenuePriceCap_FO!AZ225:BQ225</xm:f>
              <xm:sqref>BV225</xm:sqref>
            </x14:sparkline>
            <x14:sparkline>
              <xm:f>RevenuePriceCap_FO!AZ226:BQ226</xm:f>
              <xm:sqref>BV226</xm:sqref>
            </x14:sparkline>
            <x14:sparkline>
              <xm:f>RevenuePriceCap_FO!AZ227:BQ227</xm:f>
              <xm:sqref>BV227</xm:sqref>
            </x14:sparkline>
            <x14:sparkline>
              <xm:f>RevenuePriceCap_FO!AZ228:BQ228</xm:f>
              <xm:sqref>BV228</xm:sqref>
            </x14:sparkline>
            <x14:sparkline>
              <xm:f>RevenuePriceCap_FO!AZ229:BQ229</xm:f>
              <xm:sqref>BV229</xm:sqref>
            </x14:sparkline>
            <x14:sparkline>
              <xm:f>RevenuePriceCap_FO!AZ230:BQ230</xm:f>
              <xm:sqref>BV230</xm:sqref>
            </x14:sparkline>
            <x14:sparkline>
              <xm:f>RevenuePriceCap_FO!AZ231:BQ231</xm:f>
              <xm:sqref>BV231</xm:sqref>
            </x14:sparkline>
            <x14:sparkline>
              <xm:f>RevenuePriceCap_FO!AZ232:BQ232</xm:f>
              <xm:sqref>BV232</xm:sqref>
            </x14:sparkline>
            <x14:sparkline>
              <xm:f>RevenuePriceCap_FO!AZ233:BQ233</xm:f>
              <xm:sqref>BV233</xm:sqref>
            </x14:sparkline>
            <x14:sparkline>
              <xm:f>RevenuePriceCap_FO!AZ234:BQ234</xm:f>
              <xm:sqref>BV234</xm:sqref>
            </x14:sparkline>
            <x14:sparkline>
              <xm:f>RevenuePriceCap_FO!AZ235:BQ235</xm:f>
              <xm:sqref>BV235</xm:sqref>
            </x14:sparkline>
            <x14:sparkline>
              <xm:f>RevenuePriceCap_FO!AZ236:BQ236</xm:f>
              <xm:sqref>BV236</xm:sqref>
            </x14:sparkline>
            <x14:sparkline>
              <xm:f>RevenuePriceCap_FO!AZ237:BQ237</xm:f>
              <xm:sqref>BV237</xm:sqref>
            </x14:sparkline>
            <x14:sparkline>
              <xm:f>RevenuePriceCap_FO!AZ238:BQ238</xm:f>
              <xm:sqref>BV238</xm:sqref>
            </x14:sparkline>
            <x14:sparkline>
              <xm:f>RevenuePriceCap_FO!AZ239:BQ239</xm:f>
              <xm:sqref>BV239</xm:sqref>
            </x14:sparkline>
            <x14:sparkline>
              <xm:f>RevenuePriceCap_FO!AZ240:BQ240</xm:f>
              <xm:sqref>BV240</xm:sqref>
            </x14:sparkline>
            <x14:sparkline>
              <xm:f>RevenuePriceCap_FO!AZ241:BQ241</xm:f>
              <xm:sqref>BV241</xm:sqref>
            </x14:sparkline>
            <x14:sparkline>
              <xm:f>RevenuePriceCap_FO!AZ242:BQ242</xm:f>
              <xm:sqref>BV242</xm:sqref>
            </x14:sparkline>
            <x14:sparkline>
              <xm:f>RevenuePriceCap_FO!AZ243:BQ243</xm:f>
              <xm:sqref>BV243</xm:sqref>
            </x14:sparkline>
            <x14:sparkline>
              <xm:f>RevenuePriceCap_FO!AZ244:BQ244</xm:f>
              <xm:sqref>BV244</xm:sqref>
            </x14:sparkline>
            <x14:sparkline>
              <xm:f>RevenuePriceCap_FO!AZ245:BQ245</xm:f>
              <xm:sqref>BV245</xm:sqref>
            </x14:sparkline>
            <x14:sparkline>
              <xm:f>RevenuePriceCap_FO!AZ246:BQ246</xm:f>
              <xm:sqref>BV246</xm:sqref>
            </x14:sparkline>
            <x14:sparkline>
              <xm:f>RevenuePriceCap_FO!AZ247:BQ247</xm:f>
              <xm:sqref>BV247</xm:sqref>
            </x14:sparkline>
            <x14:sparkline>
              <xm:f>RevenuePriceCap_FO!AZ248:BQ248</xm:f>
              <xm:sqref>BV248</xm:sqref>
            </x14:sparkline>
            <x14:sparkline>
              <xm:f>RevenuePriceCap_FO!AZ249:BQ249</xm:f>
              <xm:sqref>BV249</xm:sqref>
            </x14:sparkline>
            <x14:sparkline>
              <xm:f>RevenuePriceCap_FO!AZ250:BQ250</xm:f>
              <xm:sqref>BV250</xm:sqref>
            </x14:sparkline>
            <x14:sparkline>
              <xm:f>RevenuePriceCap_FO!AZ251:BQ251</xm:f>
              <xm:sqref>BV251</xm:sqref>
            </x14:sparkline>
            <x14:sparkline>
              <xm:f>RevenuePriceCap_FO!AZ252:BQ252</xm:f>
              <xm:sqref>BV252</xm:sqref>
            </x14:sparkline>
            <x14:sparkline>
              <xm:f>RevenuePriceCap_FO!AZ253:BQ253</xm:f>
              <xm:sqref>BV253</xm:sqref>
            </x14:sparkline>
            <x14:sparkline>
              <xm:f>RevenuePriceCap_FO!AZ254:BQ254</xm:f>
              <xm:sqref>BV254</xm:sqref>
            </x14:sparkline>
            <x14:sparkline>
              <xm:f>RevenuePriceCap_FO!AZ255:BQ255</xm:f>
              <xm:sqref>BV255</xm:sqref>
            </x14:sparkline>
            <x14:sparkline>
              <xm:f>RevenuePriceCap_FO!AZ256:BQ256</xm:f>
              <xm:sqref>BV256</xm:sqref>
            </x14:sparkline>
            <x14:sparkline>
              <xm:f>RevenuePriceCap_FO!AZ257:BQ257</xm:f>
              <xm:sqref>BV257</xm:sqref>
            </x14:sparkline>
            <x14:sparkline>
              <xm:f>RevenuePriceCap_FO!AZ258:BQ258</xm:f>
              <xm:sqref>BV258</xm:sqref>
            </x14:sparkline>
            <x14:sparkline>
              <xm:f>RevenuePriceCap_FO!AZ259:BQ259</xm:f>
              <xm:sqref>BV259</xm:sqref>
            </x14:sparkline>
            <x14:sparkline>
              <xm:f>RevenuePriceCap_FO!AZ260:BQ260</xm:f>
              <xm:sqref>BV260</xm:sqref>
            </x14:sparkline>
            <x14:sparkline>
              <xm:f>RevenuePriceCap_FO!AZ261:BQ261</xm:f>
              <xm:sqref>BV261</xm:sqref>
            </x14:sparkline>
            <x14:sparkline>
              <xm:f>RevenuePriceCap_FO!AZ262:BQ262</xm:f>
              <xm:sqref>BV262</xm:sqref>
            </x14:sparkline>
            <x14:sparkline>
              <xm:f>RevenuePriceCap_FO!AZ263:BQ263</xm:f>
              <xm:sqref>BV263</xm:sqref>
            </x14:sparkline>
            <x14:sparkline>
              <xm:f>RevenuePriceCap_FO!AZ264:BQ264</xm:f>
              <xm:sqref>BV264</xm:sqref>
            </x14:sparkline>
            <x14:sparkline>
              <xm:f>RevenuePriceCap_FO!AZ265:BQ265</xm:f>
              <xm:sqref>BV265</xm:sqref>
            </x14:sparkline>
            <x14:sparkline>
              <xm:f>RevenuePriceCap_FO!AZ266:BQ266</xm:f>
              <xm:sqref>BV266</xm:sqref>
            </x14:sparkline>
            <x14:sparkline>
              <xm:f>RevenuePriceCap_FO!AZ267:BQ267</xm:f>
              <xm:sqref>BV267</xm:sqref>
            </x14:sparkline>
            <x14:sparkline>
              <xm:f>RevenuePriceCap_FO!AZ268:BQ268</xm:f>
              <xm:sqref>BV268</xm:sqref>
            </x14:sparkline>
            <x14:sparkline>
              <xm:f>RevenuePriceCap_FO!AZ269:BQ269</xm:f>
              <xm:sqref>BV269</xm:sqref>
            </x14:sparkline>
            <x14:sparkline>
              <xm:f>RevenuePriceCap_FO!AZ270:BQ270</xm:f>
              <xm:sqref>BV270</xm:sqref>
            </x14:sparkline>
            <x14:sparkline>
              <xm:f>RevenuePriceCap_FO!AZ271:BQ271</xm:f>
              <xm:sqref>BV271</xm:sqref>
            </x14:sparkline>
            <x14:sparkline>
              <xm:f>RevenuePriceCap_FO!AZ272:BQ272</xm:f>
              <xm:sqref>BV272</xm:sqref>
            </x14:sparkline>
            <x14:sparkline>
              <xm:f>RevenuePriceCap_FO!AZ273:BQ273</xm:f>
              <xm:sqref>BV273</xm:sqref>
            </x14:sparkline>
            <x14:sparkline>
              <xm:f>RevenuePriceCap_FO!AZ274:BQ274</xm:f>
              <xm:sqref>BV274</xm:sqref>
            </x14:sparkline>
            <x14:sparkline>
              <xm:f>RevenuePriceCap_FO!AZ275:BQ275</xm:f>
              <xm:sqref>BV275</xm:sqref>
            </x14:sparkline>
            <x14:sparkline>
              <xm:f>RevenuePriceCap_FO!AZ276:BQ276</xm:f>
              <xm:sqref>BV276</xm:sqref>
            </x14:sparkline>
            <x14:sparkline>
              <xm:f>RevenuePriceCap_FO!AZ277:BQ277</xm:f>
              <xm:sqref>BV277</xm:sqref>
            </x14:sparkline>
            <x14:sparkline>
              <xm:f>RevenuePriceCap_FO!AZ278:BQ278</xm:f>
              <xm:sqref>BV278</xm:sqref>
            </x14:sparkline>
            <x14:sparkline>
              <xm:f>RevenuePriceCap_FO!AZ279:BQ279</xm:f>
              <xm:sqref>BV279</xm:sqref>
            </x14:sparkline>
            <x14:sparkline>
              <xm:f>RevenuePriceCap_FO!AZ280:BQ280</xm:f>
              <xm:sqref>BV280</xm:sqref>
            </x14:sparkline>
            <x14:sparkline>
              <xm:f>RevenuePriceCap_FO!AZ281:BQ281</xm:f>
              <xm:sqref>BV281</xm:sqref>
            </x14:sparkline>
            <x14:sparkline>
              <xm:f>RevenuePriceCap_FO!AZ282:BQ282</xm:f>
              <xm:sqref>BV282</xm:sqref>
            </x14:sparkline>
            <x14:sparkline>
              <xm:f>RevenuePriceCap_FO!AZ283:BQ283</xm:f>
              <xm:sqref>BV283</xm:sqref>
            </x14:sparkline>
            <x14:sparkline>
              <xm:f>RevenuePriceCap_FO!AZ284:BQ284</xm:f>
              <xm:sqref>BV284</xm:sqref>
            </x14:sparkline>
            <x14:sparkline>
              <xm:f>RevenuePriceCap_FO!AZ285:BQ285</xm:f>
              <xm:sqref>BV285</xm:sqref>
            </x14:sparkline>
            <x14:sparkline>
              <xm:f>RevenuePriceCap_FO!AZ286:BQ286</xm:f>
              <xm:sqref>BV286</xm:sqref>
            </x14:sparkline>
            <x14:sparkline>
              <xm:f>RevenuePriceCap_FO!AZ287:BQ287</xm:f>
              <xm:sqref>BV287</xm:sqref>
            </x14:sparkline>
            <x14:sparkline>
              <xm:f>RevenuePriceCap_FO!AZ288:BQ288</xm:f>
              <xm:sqref>BV288</xm:sqref>
            </x14:sparkline>
            <x14:sparkline>
              <xm:f>RevenuePriceCap_FO!AZ289:BQ289</xm:f>
              <xm:sqref>BV289</xm:sqref>
            </x14:sparkline>
            <x14:sparkline>
              <xm:f>RevenuePriceCap_FO!AZ290:BQ290</xm:f>
              <xm:sqref>BV290</xm:sqref>
            </x14:sparkline>
            <x14:sparkline>
              <xm:f>RevenuePriceCap_FO!AZ291:BQ291</xm:f>
              <xm:sqref>BV291</xm:sqref>
            </x14:sparkline>
            <x14:sparkline>
              <xm:f>RevenuePriceCap_FO!AZ292:BQ292</xm:f>
              <xm:sqref>BV292</xm:sqref>
            </x14:sparkline>
            <x14:sparkline>
              <xm:f>RevenuePriceCap_FO!AZ293:BQ293</xm:f>
              <xm:sqref>BV293</xm:sqref>
            </x14:sparkline>
            <x14:sparkline>
              <xm:f>RevenuePriceCap_FO!AZ294:BQ294</xm:f>
              <xm:sqref>BV294</xm:sqref>
            </x14:sparkline>
            <x14:sparkline>
              <xm:f>RevenuePriceCap_FO!AZ295:BQ295</xm:f>
              <xm:sqref>BV295</xm:sqref>
            </x14:sparkline>
            <x14:sparkline>
              <xm:f>RevenuePriceCap_FO!AZ296:BQ296</xm:f>
              <xm:sqref>BV296</xm:sqref>
            </x14:sparkline>
            <x14:sparkline>
              <xm:f>RevenuePriceCap_FO!AZ297:BQ297</xm:f>
              <xm:sqref>BV297</xm:sqref>
            </x14:sparkline>
            <x14:sparkline>
              <xm:f>RevenuePriceCap_FO!AZ298:BQ298</xm:f>
              <xm:sqref>BV298</xm:sqref>
            </x14:sparkline>
            <x14:sparkline>
              <xm:f>RevenuePriceCap_FO!AZ299:BQ299</xm:f>
              <xm:sqref>BV299</xm:sqref>
            </x14:sparkline>
            <x14:sparkline>
              <xm:f>RevenuePriceCap_FO!AZ300:BQ300</xm:f>
              <xm:sqref>BV300</xm:sqref>
            </x14:sparkline>
            <x14:sparkline>
              <xm:f>RevenuePriceCap_FO!AZ301:BQ301</xm:f>
              <xm:sqref>BV301</xm:sqref>
            </x14:sparkline>
            <x14:sparkline>
              <xm:f>RevenuePriceCap_FO!AZ302:BQ302</xm:f>
              <xm:sqref>BV302</xm:sqref>
            </x14:sparkline>
            <x14:sparkline>
              <xm:f>RevenuePriceCap_FO!AZ303:BQ303</xm:f>
              <xm:sqref>BV303</xm:sqref>
            </x14:sparkline>
            <x14:sparkline>
              <xm:f>RevenuePriceCap_FO!AZ304:BQ304</xm:f>
              <xm:sqref>BV304</xm:sqref>
            </x14:sparkline>
            <x14:sparkline>
              <xm:f>RevenuePriceCap_FO!AZ305:BQ305</xm:f>
              <xm:sqref>BV305</xm:sqref>
            </x14:sparkline>
            <x14:sparkline>
              <xm:f>RevenuePriceCap_FO!AZ306:BQ306</xm:f>
              <xm:sqref>BV306</xm:sqref>
            </x14:sparkline>
            <x14:sparkline>
              <xm:f>RevenuePriceCap_FO!AZ307:BQ307</xm:f>
              <xm:sqref>BV307</xm:sqref>
            </x14:sparkline>
            <x14:sparkline>
              <xm:f>RevenuePriceCap_FO!AZ308:BQ308</xm:f>
              <xm:sqref>BV308</xm:sqref>
            </x14:sparkline>
            <x14:sparkline>
              <xm:f>RevenuePriceCap_FO!AZ309:BQ309</xm:f>
              <xm:sqref>BV309</xm:sqref>
            </x14:sparkline>
            <x14:sparkline>
              <xm:f>RevenuePriceCap_FO!AZ310:BQ310</xm:f>
              <xm:sqref>BV310</xm:sqref>
            </x14:sparkline>
            <x14:sparkline>
              <xm:f>RevenuePriceCap_FO!AZ311:BQ311</xm:f>
              <xm:sqref>BV311</xm:sqref>
            </x14:sparkline>
            <x14:sparkline>
              <xm:f>RevenuePriceCap_FO!AZ312:BQ312</xm:f>
              <xm:sqref>BV312</xm:sqref>
            </x14:sparkline>
            <x14:sparkline>
              <xm:f>RevenuePriceCap_FO!AZ313:BQ313</xm:f>
              <xm:sqref>BV313</xm:sqref>
            </x14:sparkline>
            <x14:sparkline>
              <xm:f>RevenuePriceCap_FO!AZ314:BQ314</xm:f>
              <xm:sqref>BV314</xm:sqref>
            </x14:sparkline>
            <x14:sparkline>
              <xm:f>RevenuePriceCap_FO!AZ315:BQ315</xm:f>
              <xm:sqref>BV315</xm:sqref>
            </x14:sparkline>
            <x14:sparkline>
              <xm:f>RevenuePriceCap_FO!AZ316:BQ316</xm:f>
              <xm:sqref>BV316</xm:sqref>
            </x14:sparkline>
            <x14:sparkline>
              <xm:f>RevenuePriceCap_FO!AZ317:BQ317</xm:f>
              <xm:sqref>BV317</xm:sqref>
            </x14:sparkline>
            <x14:sparkline>
              <xm:f>RevenuePriceCap_FO!AZ318:BQ318</xm:f>
              <xm:sqref>BV318</xm:sqref>
            </x14:sparkline>
            <x14:sparkline>
              <xm:f>RevenuePriceCap_FO!AZ319:BQ319</xm:f>
              <xm:sqref>BV319</xm:sqref>
            </x14:sparkline>
            <x14:sparkline>
              <xm:f>RevenuePriceCap_FO!AZ320:BQ320</xm:f>
              <xm:sqref>BV320</xm:sqref>
            </x14:sparkline>
            <x14:sparkline>
              <xm:f>RevenuePriceCap_FO!AZ321:BQ321</xm:f>
              <xm:sqref>BV321</xm:sqref>
            </x14:sparkline>
            <x14:sparkline>
              <xm:f>RevenuePriceCap_FO!AZ322:BQ322</xm:f>
              <xm:sqref>BV322</xm:sqref>
            </x14:sparkline>
            <x14:sparkline>
              <xm:f>RevenuePriceCap_FO!AZ323:BQ323</xm:f>
              <xm:sqref>BV323</xm:sqref>
            </x14:sparkline>
            <x14:sparkline>
              <xm:f>RevenuePriceCap_FO!AZ324:BQ324</xm:f>
              <xm:sqref>BV324</xm:sqref>
            </x14:sparkline>
            <x14:sparkline>
              <xm:f>RevenuePriceCap_FO!AZ325:BQ325</xm:f>
              <xm:sqref>BV325</xm:sqref>
            </x14:sparkline>
            <x14:sparkline>
              <xm:f>RevenuePriceCap_FO!AZ326:BQ326</xm:f>
              <xm:sqref>BV326</xm:sqref>
            </x14:sparkline>
            <x14:sparkline>
              <xm:f>RevenuePriceCap_FO!AZ327:BQ327</xm:f>
              <xm:sqref>BV327</xm:sqref>
            </x14:sparkline>
            <x14:sparkline>
              <xm:f>RevenuePriceCap_FO!AZ328:BQ328</xm:f>
              <xm:sqref>BV328</xm:sqref>
            </x14:sparkline>
            <x14:sparkline>
              <xm:f>RevenuePriceCap_FO!AZ329:BQ329</xm:f>
              <xm:sqref>BV329</xm:sqref>
            </x14:sparkline>
            <x14:sparkline>
              <xm:f>RevenuePriceCap_FO!AZ330:BQ330</xm:f>
              <xm:sqref>BV330</xm:sqref>
            </x14:sparkline>
            <x14:sparkline>
              <xm:f>RevenuePriceCap_FO!AZ331:BQ331</xm:f>
              <xm:sqref>BV331</xm:sqref>
            </x14:sparkline>
            <x14:sparkline>
              <xm:f>RevenuePriceCap_FO!AZ332:BQ332</xm:f>
              <xm:sqref>BV332</xm:sqref>
            </x14:sparkline>
            <x14:sparkline>
              <xm:f>RevenuePriceCap_FO!AZ333:BQ333</xm:f>
              <xm:sqref>BV333</xm:sqref>
            </x14:sparkline>
            <x14:sparkline>
              <xm:f>RevenuePriceCap_FO!AZ334:BQ334</xm:f>
              <xm:sqref>BV334</xm:sqref>
            </x14:sparkline>
            <x14:sparkline>
              <xm:f>RevenuePriceCap_FO!AZ335:BQ335</xm:f>
              <xm:sqref>BV335</xm:sqref>
            </x14:sparkline>
            <x14:sparkline>
              <xm:f>RevenuePriceCap_FO!AZ336:BQ336</xm:f>
              <xm:sqref>BV336</xm:sqref>
            </x14:sparkline>
            <x14:sparkline>
              <xm:f>RevenuePriceCap_FO!AZ337:BQ337</xm:f>
              <xm:sqref>BV337</xm:sqref>
            </x14:sparkline>
            <x14:sparkline>
              <xm:f>RevenuePriceCap_FO!AZ338:BQ338</xm:f>
              <xm:sqref>BV338</xm:sqref>
            </x14:sparkline>
            <x14:sparkline>
              <xm:f>RevenuePriceCap_FO!AZ339:BQ339</xm:f>
              <xm:sqref>BV339</xm:sqref>
            </x14:sparkline>
            <x14:sparkline>
              <xm:f>RevenuePriceCap_FO!AZ340:BQ340</xm:f>
              <xm:sqref>BV340</xm:sqref>
            </x14:sparkline>
            <x14:sparkline>
              <xm:f>RevenuePriceCap_FO!AZ341:BQ341</xm:f>
              <xm:sqref>BV341</xm:sqref>
            </x14:sparkline>
            <x14:sparkline>
              <xm:f>RevenuePriceCap_FO!AZ342:BQ342</xm:f>
              <xm:sqref>BV342</xm:sqref>
            </x14:sparkline>
            <x14:sparkline>
              <xm:f>RevenuePriceCap_FO!AZ343:BQ343</xm:f>
              <xm:sqref>BV343</xm:sqref>
            </x14:sparkline>
            <x14:sparkline>
              <xm:f>RevenuePriceCap_FO!AZ344:BQ344</xm:f>
              <xm:sqref>BV344</xm:sqref>
            </x14:sparkline>
            <x14:sparkline>
              <xm:f>RevenuePriceCap_FO!AZ345:BQ345</xm:f>
              <xm:sqref>BV345</xm:sqref>
            </x14:sparkline>
            <x14:sparkline>
              <xm:f>RevenuePriceCap_FO!AZ346:BQ346</xm:f>
              <xm:sqref>BV346</xm:sqref>
            </x14:sparkline>
            <x14:sparkline>
              <xm:f>RevenuePriceCap_FO!AZ347:BQ347</xm:f>
              <xm:sqref>BV347</xm:sqref>
            </x14:sparkline>
            <x14:sparkline>
              <xm:f>RevenuePriceCap_FO!AZ348:BQ348</xm:f>
              <xm:sqref>BV348</xm:sqref>
            </x14:sparkline>
            <x14:sparkline>
              <xm:f>RevenuePriceCap_FO!AZ349:BQ349</xm:f>
              <xm:sqref>BV349</xm:sqref>
            </x14:sparkline>
            <x14:sparkline>
              <xm:f>RevenuePriceCap_FO!AZ350:BQ350</xm:f>
              <xm:sqref>BV350</xm:sqref>
            </x14:sparkline>
            <x14:sparkline>
              <xm:f>RevenuePriceCap_FO!AZ351:BQ351</xm:f>
              <xm:sqref>BV351</xm:sqref>
            </x14:sparkline>
            <x14:sparkline>
              <xm:f>RevenuePriceCap_FO!AZ352:BQ352</xm:f>
              <xm:sqref>BV352</xm:sqref>
            </x14:sparkline>
            <x14:sparkline>
              <xm:f>RevenuePriceCap_FO!AZ353:BQ353</xm:f>
              <xm:sqref>BV353</xm:sqref>
            </x14:sparkline>
            <x14:sparkline>
              <xm:f>RevenuePriceCap_FO!AZ354:BQ354</xm:f>
              <xm:sqref>BV354</xm:sqref>
            </x14:sparkline>
            <x14:sparkline>
              <xm:f>RevenuePriceCap_FO!AZ355:BQ355</xm:f>
              <xm:sqref>BV355</xm:sqref>
            </x14:sparkline>
            <x14:sparkline>
              <xm:f>RevenuePriceCap_FO!AZ356:BQ356</xm:f>
              <xm:sqref>BV356</xm:sqref>
            </x14:sparkline>
            <x14:sparkline>
              <xm:f>RevenuePriceCap_FO!AZ357:BQ357</xm:f>
              <xm:sqref>BV357</xm:sqref>
            </x14:sparkline>
            <x14:sparkline>
              <xm:f>RevenuePriceCap_FO!AZ358:BQ358</xm:f>
              <xm:sqref>BV358</xm:sqref>
            </x14:sparkline>
            <x14:sparkline>
              <xm:f>RevenuePriceCap_FO!AZ359:BQ359</xm:f>
              <xm:sqref>BV359</xm:sqref>
            </x14:sparkline>
            <x14:sparkline>
              <xm:f>RevenuePriceCap_FO!AZ360:BQ360</xm:f>
              <xm:sqref>BV360</xm:sqref>
            </x14:sparkline>
            <x14:sparkline>
              <xm:f>RevenuePriceCap_FO!AZ361:BQ361</xm:f>
              <xm:sqref>BV361</xm:sqref>
            </x14:sparkline>
            <x14:sparkline>
              <xm:f>RevenuePriceCap_FO!AZ362:BQ362</xm:f>
              <xm:sqref>BV362</xm:sqref>
            </x14:sparkline>
            <x14:sparkline>
              <xm:f>RevenuePriceCap_FO!AZ363:BQ363</xm:f>
              <xm:sqref>BV363</xm:sqref>
            </x14:sparkline>
            <x14:sparkline>
              <xm:f>RevenuePriceCap_FO!AZ364:BQ364</xm:f>
              <xm:sqref>BV364</xm:sqref>
            </x14:sparkline>
            <x14:sparkline>
              <xm:f>RevenuePriceCap_FO!AZ365:BQ365</xm:f>
              <xm:sqref>BV365</xm:sqref>
            </x14:sparkline>
            <x14:sparkline>
              <xm:f>RevenuePriceCap_FO!AZ366:BQ366</xm:f>
              <xm:sqref>BV366</xm:sqref>
            </x14:sparkline>
            <x14:sparkline>
              <xm:f>RevenuePriceCap_FO!AZ367:BQ367</xm:f>
              <xm:sqref>BV367</xm:sqref>
            </x14:sparkline>
            <x14:sparkline>
              <xm:f>RevenuePriceCap_FO!AZ368:BQ368</xm:f>
              <xm:sqref>BV368</xm:sqref>
            </x14:sparkline>
            <x14:sparkline>
              <xm:f>RevenuePriceCap_FO!AZ369:BQ369</xm:f>
              <xm:sqref>BV369</xm:sqref>
            </x14:sparkline>
            <x14:sparkline>
              <xm:f>RevenuePriceCap_FO!AZ370:BQ370</xm:f>
              <xm:sqref>BV370</xm:sqref>
            </x14:sparkline>
            <x14:sparkline>
              <xm:f>RevenuePriceCap_FO!AZ371:BQ371</xm:f>
              <xm:sqref>BV371</xm:sqref>
            </x14:sparkline>
            <x14:sparkline>
              <xm:f>RevenuePriceCap_FO!AZ372:BQ372</xm:f>
              <xm:sqref>BV372</xm:sqref>
            </x14:sparkline>
            <x14:sparkline>
              <xm:f>RevenuePriceCap_FO!AZ373:BQ373</xm:f>
              <xm:sqref>BV373</xm:sqref>
            </x14:sparkline>
            <x14:sparkline>
              <xm:f>RevenuePriceCap_FO!AZ374:BQ374</xm:f>
              <xm:sqref>BV374</xm:sqref>
            </x14:sparkline>
            <x14:sparkline>
              <xm:f>RevenuePriceCap_FO!AZ375:BQ375</xm:f>
              <xm:sqref>BV375</xm:sqref>
            </x14:sparkline>
            <x14:sparkline>
              <xm:f>RevenuePriceCap_FO!AZ376:BQ376</xm:f>
              <xm:sqref>BV376</xm:sqref>
            </x14:sparkline>
            <x14:sparkline>
              <xm:f>RevenuePriceCap_FO!AZ377:BQ377</xm:f>
              <xm:sqref>BV377</xm:sqref>
            </x14:sparkline>
            <x14:sparkline>
              <xm:f>RevenuePriceCap_FO!AZ378:BQ378</xm:f>
              <xm:sqref>BV378</xm:sqref>
            </x14:sparkline>
            <x14:sparkline>
              <xm:f>RevenuePriceCap_FO!AZ379:BQ379</xm:f>
              <xm:sqref>BV379</xm:sqref>
            </x14:sparkline>
            <x14:sparkline>
              <xm:f>RevenuePriceCap_FO!AZ380:BQ380</xm:f>
              <xm:sqref>BV380</xm:sqref>
            </x14:sparkline>
            <x14:sparkline>
              <xm:f>RevenuePriceCap_FO!AZ381:BQ381</xm:f>
              <xm:sqref>BV381</xm:sqref>
            </x14:sparkline>
            <x14:sparkline>
              <xm:f>RevenuePriceCap_FO!AZ382:BQ382</xm:f>
              <xm:sqref>BV382</xm:sqref>
            </x14:sparkline>
            <x14:sparkline>
              <xm:f>RevenuePriceCap_FO!AZ383:BQ383</xm:f>
              <xm:sqref>BV383</xm:sqref>
            </x14:sparkline>
            <x14:sparkline>
              <xm:f>RevenuePriceCap_FO!AZ384:BQ384</xm:f>
              <xm:sqref>BV384</xm:sqref>
            </x14:sparkline>
            <x14:sparkline>
              <xm:f>RevenuePriceCap_FO!AZ385:BQ385</xm:f>
              <xm:sqref>BV385</xm:sqref>
            </x14:sparkline>
            <x14:sparkline>
              <xm:f>RevenuePriceCap_FO!AZ386:BQ386</xm:f>
              <xm:sqref>BV386</xm:sqref>
            </x14:sparkline>
            <x14:sparkline>
              <xm:f>RevenuePriceCap_FO!AZ387:BQ387</xm:f>
              <xm:sqref>BV387</xm:sqref>
            </x14:sparkline>
            <x14:sparkline>
              <xm:f>RevenuePriceCap_FO!AZ388:BQ388</xm:f>
              <xm:sqref>BV388</xm:sqref>
            </x14:sparkline>
            <x14:sparkline>
              <xm:f>RevenuePriceCap_FO!AZ389:BQ389</xm:f>
              <xm:sqref>BV389</xm:sqref>
            </x14:sparkline>
            <x14:sparkline>
              <xm:f>RevenuePriceCap_FO!AZ390:BQ390</xm:f>
              <xm:sqref>BV390</xm:sqref>
            </x14:sparkline>
            <x14:sparkline>
              <xm:f>RevenuePriceCap_FO!AZ391:BQ391</xm:f>
              <xm:sqref>BV391</xm:sqref>
            </x14:sparkline>
            <x14:sparkline>
              <xm:f>RevenuePriceCap_FO!AZ392:BQ392</xm:f>
              <xm:sqref>BV392</xm:sqref>
            </x14:sparkline>
            <x14:sparkline>
              <xm:f>RevenuePriceCap_FO!AZ393:BQ393</xm:f>
              <xm:sqref>BV393</xm:sqref>
            </x14:sparkline>
            <x14:sparkline>
              <xm:f>RevenuePriceCap_FO!AZ394:BQ394</xm:f>
              <xm:sqref>BV394</xm:sqref>
            </x14:sparkline>
            <x14:sparkline>
              <xm:f>RevenuePriceCap_FO!AZ395:BQ395</xm:f>
              <xm:sqref>BV395</xm:sqref>
            </x14:sparkline>
            <x14:sparkline>
              <xm:f>RevenuePriceCap_FO!AZ396:BQ396</xm:f>
              <xm:sqref>BV396</xm:sqref>
            </x14:sparkline>
            <x14:sparkline>
              <xm:f>RevenuePriceCap_FO!AZ397:BQ397</xm:f>
              <xm:sqref>BV397</xm:sqref>
            </x14:sparkline>
            <x14:sparkline>
              <xm:f>RevenuePriceCap_FO!AZ398:BQ398</xm:f>
              <xm:sqref>BV398</xm:sqref>
            </x14:sparkline>
            <x14:sparkline>
              <xm:f>RevenuePriceCap_FO!AZ399:BQ399</xm:f>
              <xm:sqref>BV399</xm:sqref>
            </x14:sparkline>
            <x14:sparkline>
              <xm:f>RevenuePriceCap_FO!AZ400:BQ400</xm:f>
              <xm:sqref>BV400</xm:sqref>
            </x14:sparkline>
            <x14:sparkline>
              <xm:f>RevenuePriceCap_FO!AZ401:BQ401</xm:f>
              <xm:sqref>BV401</xm:sqref>
            </x14:sparkline>
            <x14:sparkline>
              <xm:f>RevenuePriceCap_FO!AZ402:BQ402</xm:f>
              <xm:sqref>BV402</xm:sqref>
            </x14:sparkline>
            <x14:sparkline>
              <xm:f>RevenuePriceCap_FO!AZ403:BQ403</xm:f>
              <xm:sqref>BV403</xm:sqref>
            </x14:sparkline>
            <x14:sparkline>
              <xm:f>RevenuePriceCap_FO!AZ404:BQ404</xm:f>
              <xm:sqref>BV404</xm:sqref>
            </x14:sparkline>
            <x14:sparkline>
              <xm:f>RevenuePriceCap_FO!AZ405:BQ405</xm:f>
              <xm:sqref>BV405</xm:sqref>
            </x14:sparkline>
            <x14:sparkline>
              <xm:f>RevenuePriceCap_FO!AZ406:BQ406</xm:f>
              <xm:sqref>BV406</xm:sqref>
            </x14:sparkline>
            <x14:sparkline>
              <xm:f>RevenuePriceCap_FO!AZ407:BQ407</xm:f>
              <xm:sqref>BV407</xm:sqref>
            </x14:sparkline>
            <x14:sparkline>
              <xm:f>RevenuePriceCap_FO!AZ408:BQ408</xm:f>
              <xm:sqref>BV408</xm:sqref>
            </x14:sparkline>
            <x14:sparkline>
              <xm:f>RevenuePriceCap_FO!AZ409:BQ409</xm:f>
              <xm:sqref>BV409</xm:sqref>
            </x14:sparkline>
            <x14:sparkline>
              <xm:f>RevenuePriceCap_FO!AZ410:BQ410</xm:f>
              <xm:sqref>BV410</xm:sqref>
            </x14:sparkline>
            <x14:sparkline>
              <xm:f>RevenuePriceCap_FO!AZ411:BQ411</xm:f>
              <xm:sqref>BV411</xm:sqref>
            </x14:sparkline>
            <x14:sparkline>
              <xm:f>RevenuePriceCap_FO!AZ412:BQ412</xm:f>
              <xm:sqref>BV412</xm:sqref>
            </x14:sparkline>
            <x14:sparkline>
              <xm:f>RevenuePriceCap_FO!AZ413:BQ413</xm:f>
              <xm:sqref>BV413</xm:sqref>
            </x14:sparkline>
            <x14:sparkline>
              <xm:f>RevenuePriceCap_FO!AZ414:BQ414</xm:f>
              <xm:sqref>BV414</xm:sqref>
            </x14:sparkline>
            <x14:sparkline>
              <xm:f>RevenuePriceCap_FO!AZ415:BQ415</xm:f>
              <xm:sqref>BV415</xm:sqref>
            </x14:sparkline>
            <x14:sparkline>
              <xm:f>RevenuePriceCap_FO!AZ416:BQ416</xm:f>
              <xm:sqref>BV416</xm:sqref>
            </x14:sparkline>
            <x14:sparkline>
              <xm:f>RevenuePriceCap_FO!AZ417:BQ417</xm:f>
              <xm:sqref>BV417</xm:sqref>
            </x14:sparkline>
            <x14:sparkline>
              <xm:f>RevenuePriceCap_FO!AZ418:BQ418</xm:f>
              <xm:sqref>BV418</xm:sqref>
            </x14:sparkline>
            <x14:sparkline>
              <xm:f>RevenuePriceCap_FO!AZ419:BQ419</xm:f>
              <xm:sqref>BV419</xm:sqref>
            </x14:sparkline>
            <x14:sparkline>
              <xm:f>RevenuePriceCap_FO!AZ420:BQ420</xm:f>
              <xm:sqref>BV420</xm:sqref>
            </x14:sparkline>
            <x14:sparkline>
              <xm:f>RevenuePriceCap_FO!AZ421:BQ421</xm:f>
              <xm:sqref>BV421</xm:sqref>
            </x14:sparkline>
            <x14:sparkline>
              <xm:f>RevenuePriceCap_FO!AZ422:BQ422</xm:f>
              <xm:sqref>BV422</xm:sqref>
            </x14:sparkline>
            <x14:sparkline>
              <xm:f>RevenuePriceCap_FO!AZ423:BQ423</xm:f>
              <xm:sqref>BV423</xm:sqref>
            </x14:sparkline>
            <x14:sparkline>
              <xm:f>RevenuePriceCap_FO!AZ424:BQ424</xm:f>
              <xm:sqref>BV424</xm:sqref>
            </x14:sparkline>
            <x14:sparkline>
              <xm:f>RevenuePriceCap_FO!AZ425:BQ425</xm:f>
              <xm:sqref>BV425</xm:sqref>
            </x14:sparkline>
            <x14:sparkline>
              <xm:f>RevenuePriceCap_FO!AZ426:BQ426</xm:f>
              <xm:sqref>BV426</xm:sqref>
            </x14:sparkline>
            <x14:sparkline>
              <xm:f>RevenuePriceCap_FO!AZ427:BQ427</xm:f>
              <xm:sqref>BV427</xm:sqref>
            </x14:sparkline>
            <x14:sparkline>
              <xm:f>RevenuePriceCap_FO!AZ428:BQ428</xm:f>
              <xm:sqref>BV428</xm:sqref>
            </x14:sparkline>
            <x14:sparkline>
              <xm:f>RevenuePriceCap_FO!AZ429:BQ429</xm:f>
              <xm:sqref>BV429</xm:sqref>
            </x14:sparkline>
            <x14:sparkline>
              <xm:f>RevenuePriceCap_FO!AZ430:BQ430</xm:f>
              <xm:sqref>BV430</xm:sqref>
            </x14:sparkline>
            <x14:sparkline>
              <xm:f>RevenuePriceCap_FO!AZ431:BQ431</xm:f>
              <xm:sqref>BV431</xm:sqref>
            </x14:sparkline>
            <x14:sparkline>
              <xm:f>RevenuePriceCap_FO!AZ432:BQ432</xm:f>
              <xm:sqref>BV432</xm:sqref>
            </x14:sparkline>
            <x14:sparkline>
              <xm:f>RevenuePriceCap_FO!AZ433:BQ433</xm:f>
              <xm:sqref>BV433</xm:sqref>
            </x14:sparkline>
            <x14:sparkline>
              <xm:f>RevenuePriceCap_FO!AZ434:BQ434</xm:f>
              <xm:sqref>BV434</xm:sqref>
            </x14:sparkline>
            <x14:sparkline>
              <xm:f>RevenuePriceCap_FO!AZ435:BQ435</xm:f>
              <xm:sqref>BV435</xm:sqref>
            </x14:sparkline>
            <x14:sparkline>
              <xm:f>RevenuePriceCap_FO!AZ436:BQ436</xm:f>
              <xm:sqref>BV436</xm:sqref>
            </x14:sparkline>
            <x14:sparkline>
              <xm:f>RevenuePriceCap_FO!AZ437:BQ437</xm:f>
              <xm:sqref>BV437</xm:sqref>
            </x14:sparkline>
            <x14:sparkline>
              <xm:f>RevenuePriceCap_FO!AZ438:BQ438</xm:f>
              <xm:sqref>BV438</xm:sqref>
            </x14:sparkline>
            <x14:sparkline>
              <xm:f>RevenuePriceCap_FO!AZ439:BQ439</xm:f>
              <xm:sqref>BV439</xm:sqref>
            </x14:sparkline>
            <x14:sparkline>
              <xm:f>RevenuePriceCap_FO!AZ440:BQ440</xm:f>
              <xm:sqref>BV440</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autoPageBreaks="0"/>
  </sheetPr>
  <dimension ref="A1:DQ565"/>
  <sheetViews>
    <sheetView showGridLines="0" zoomScaleNormal="100" workbookViewId="0">
      <pane ySplit="7" topLeftCell="A8" activePane="bottomLeft" state="frozen"/>
      <selection activeCell="R43" sqref="R43"/>
      <selection pane="bottomLeft" activeCell="AF31" sqref="AF31"/>
    </sheetView>
  </sheetViews>
  <sheetFormatPr defaultColWidth="10.83203125" defaultRowHeight="12" outlineLevelCol="1"/>
  <cols>
    <col min="1" max="3" width="3.83203125" style="70" customWidth="1"/>
    <col min="4" max="4" width="5" style="70" bestFit="1" customWidth="1"/>
    <col min="5" max="5" width="8.83203125" style="70" customWidth="1"/>
    <col min="6" max="6" width="15.6640625" style="70" customWidth="1"/>
    <col min="7" max="7" width="29.1640625" style="70" customWidth="1"/>
    <col min="8" max="8" width="21" style="70" customWidth="1"/>
    <col min="9" max="9" width="16.83203125" style="70" customWidth="1"/>
    <col min="10" max="10" width="15.33203125" style="70" customWidth="1"/>
    <col min="11" max="11" width="7.83203125" style="70" hidden="1" customWidth="1" outlineLevel="1"/>
    <col min="12" max="14" width="10.83203125" style="70" hidden="1" customWidth="1" outlineLevel="1"/>
    <col min="15" max="15" width="10.83203125" style="70" customWidth="1" collapsed="1"/>
    <col min="16" max="17" width="10.83203125" style="70" customWidth="1"/>
    <col min="18" max="18" width="11.5" style="70" customWidth="1"/>
    <col min="19" max="19" width="12.1640625" style="70" customWidth="1"/>
    <col min="20" max="20" width="12.5" style="70" bestFit="1" customWidth="1"/>
    <col min="21" max="21" width="11.5" style="70" bestFit="1" customWidth="1"/>
    <col min="22" max="23" width="10.83203125" style="70"/>
    <col min="24" max="24" width="11.5" style="70" bestFit="1" customWidth="1"/>
    <col min="25" max="25" width="10.6640625" style="70" customWidth="1"/>
    <col min="26" max="28" width="10.83203125" style="70"/>
    <col min="29" max="33" width="11.5" style="70" customWidth="1"/>
    <col min="34" max="34" width="5.33203125" style="70" customWidth="1"/>
    <col min="35" max="45" width="0" style="70" hidden="1" customWidth="1" outlineLevel="1"/>
    <col min="46" max="46" width="10.83203125" style="70" collapsed="1"/>
    <col min="47" max="47" width="2.83203125" style="1239" customWidth="1"/>
    <col min="48" max="48" width="10.83203125" style="70"/>
    <col min="49" max="49" width="8.83203125" style="70" customWidth="1"/>
    <col min="50" max="50" width="15.6640625" style="70" customWidth="1"/>
    <col min="51" max="51" width="23" style="70" customWidth="1"/>
    <col min="52" max="69" width="10.83203125" style="70"/>
    <col min="70" max="70" width="5.83203125" style="70" customWidth="1"/>
    <col min="71" max="73" width="20.83203125" style="70" customWidth="1"/>
    <col min="74" max="74" width="25.83203125" style="70" customWidth="1"/>
    <col min="75" max="75" width="5.83203125" style="70" customWidth="1"/>
    <col min="76" max="76" width="8.83203125" style="70" customWidth="1"/>
    <col min="77" max="77" width="15.6640625" style="70" customWidth="1"/>
    <col min="78" max="78" width="23" style="70" customWidth="1"/>
    <col min="79" max="96" width="10.83203125" style="70"/>
    <col min="97" max="97" width="5.83203125" style="70" customWidth="1"/>
    <col min="98" max="98" width="8.83203125" style="70" customWidth="1"/>
    <col min="99" max="99" width="15.6640625" style="70" customWidth="1"/>
    <col min="100" max="100" width="22.83203125" style="70" customWidth="1"/>
    <col min="101" max="109" width="10.83203125" style="70" customWidth="1"/>
    <col min="110" max="110" width="5.83203125" style="70" customWidth="1"/>
    <col min="111" max="111" width="8.83203125" style="70" customWidth="1"/>
    <col min="112" max="112" width="15.6640625" style="70" customWidth="1"/>
    <col min="113" max="113" width="22.83203125" style="70" customWidth="1"/>
    <col min="114" max="121" width="10.83203125" style="70" customWidth="1"/>
    <col min="122" max="16384" width="10.83203125" style="70"/>
  </cols>
  <sheetData>
    <row r="1" spans="1:113" ht="15">
      <c r="A1" s="152" t="s">
        <v>3</v>
      </c>
      <c r="B1" s="152"/>
      <c r="C1" s="153" t="s">
        <v>235</v>
      </c>
    </row>
    <row r="2" spans="1:113" ht="12.75">
      <c r="C2" s="155" t="str">
        <f>+Contents!H7</f>
        <v>North East Water</v>
      </c>
    </row>
    <row r="3" spans="1:113">
      <c r="C3" s="2212" t="s">
        <v>0</v>
      </c>
      <c r="D3" s="2212"/>
      <c r="E3" s="2212"/>
      <c r="F3" s="2212"/>
      <c r="G3" s="2212"/>
      <c r="H3" s="159"/>
    </row>
    <row r="4" spans="1:113">
      <c r="A4" s="160"/>
      <c r="B4" s="160"/>
      <c r="C4" s="72"/>
      <c r="D4" s="73"/>
      <c r="G4" s="60"/>
      <c r="K4" s="63"/>
      <c r="L4" s="149"/>
      <c r="M4" s="149" t="s">
        <v>274</v>
      </c>
      <c r="N4" s="149"/>
      <c r="O4" s="149"/>
      <c r="P4" s="1619"/>
      <c r="Q4" s="150"/>
      <c r="R4" s="150"/>
      <c r="S4" s="150"/>
      <c r="T4" s="1619" t="s">
        <v>334</v>
      </c>
      <c r="U4" s="150"/>
      <c r="V4" s="150"/>
      <c r="W4" s="150"/>
      <c r="X4" s="1619"/>
      <c r="Y4" s="150"/>
      <c r="Z4" s="150" t="s">
        <v>465</v>
      </c>
      <c r="AA4" s="150"/>
      <c r="AB4" s="62"/>
      <c r="AC4" s="64"/>
      <c r="AD4" s="64"/>
      <c r="AE4" s="150" t="s">
        <v>949</v>
      </c>
      <c r="AF4" s="63"/>
      <c r="AG4" s="62"/>
    </row>
    <row r="6" spans="1:113">
      <c r="C6" s="161"/>
      <c r="G6" s="162" t="s">
        <v>62</v>
      </c>
      <c r="K6" s="66">
        <v>2006</v>
      </c>
      <c r="L6" s="66">
        <v>2007</v>
      </c>
      <c r="M6" s="66">
        <v>2008</v>
      </c>
      <c r="N6" s="66">
        <v>2009</v>
      </c>
      <c r="O6" s="66">
        <v>2010</v>
      </c>
      <c r="P6" s="66">
        <v>2011</v>
      </c>
      <c r="Q6" s="66">
        <v>2012</v>
      </c>
      <c r="R6" s="66"/>
      <c r="S6" s="66"/>
      <c r="T6" s="66"/>
      <c r="U6" s="66"/>
      <c r="V6" s="66"/>
      <c r="W6" s="66"/>
      <c r="X6" s="66"/>
      <c r="Y6" s="66"/>
      <c r="Z6" s="66"/>
      <c r="AA6" s="66"/>
      <c r="AB6" s="66"/>
      <c r="AC6" s="67"/>
      <c r="AD6" s="67"/>
      <c r="AE6" s="67"/>
      <c r="AF6" s="67"/>
      <c r="AG6" s="67"/>
    </row>
    <row r="7" spans="1:113">
      <c r="A7" s="75"/>
      <c r="B7" s="75"/>
      <c r="C7" s="407" t="str">
        <f>RevenuePriceCap_FO!C7</f>
        <v>$m, 01/01/26</v>
      </c>
      <c r="D7" s="75"/>
      <c r="E7" s="75"/>
      <c r="F7" s="75"/>
      <c r="G7" s="165" t="s">
        <v>63</v>
      </c>
      <c r="H7" s="75"/>
      <c r="I7" s="75"/>
      <c r="J7" s="75"/>
      <c r="K7" s="68"/>
      <c r="L7" s="68"/>
      <c r="M7" s="68"/>
      <c r="N7" s="68"/>
      <c r="O7" s="68" t="str">
        <f>RevenuePriceCap_FO!O7</f>
        <v>2017-18</v>
      </c>
      <c r="P7" s="68" t="str">
        <f>RevenuePriceCap_FO!P7</f>
        <v>2018-19</v>
      </c>
      <c r="Q7" s="68" t="str">
        <f>RevenuePriceCap_FO!Q7</f>
        <v>2019-20</v>
      </c>
      <c r="R7" s="68" t="str">
        <f>RevenuePriceCap_FO!R7</f>
        <v>2020-21</v>
      </c>
      <c r="S7" s="68" t="str">
        <f>RevenuePriceCap_FO!S7</f>
        <v>2021-22</v>
      </c>
      <c r="T7" s="68" t="str">
        <f>RevenuePriceCap_FO!T7</f>
        <v>2022-23</v>
      </c>
      <c r="U7" s="68" t="str">
        <f>RevenuePriceCap_FO!U7</f>
        <v>2023-24</v>
      </c>
      <c r="V7" s="68" t="str">
        <f>RevenuePriceCap_FO!V7</f>
        <v>2024-25</v>
      </c>
      <c r="W7" s="68" t="str">
        <f>RevenuePriceCap_FO!W7</f>
        <v>2025-26</v>
      </c>
      <c r="X7" s="68" t="str">
        <f>RevenuePriceCap_FO!X7</f>
        <v>2026-27</v>
      </c>
      <c r="Y7" s="68" t="str">
        <f>RevenuePriceCap_FO!Y7</f>
        <v>2027-28</v>
      </c>
      <c r="Z7" s="68" t="str">
        <f>RevenuePriceCap_FO!Z7</f>
        <v>2028-29</v>
      </c>
      <c r="AA7" s="68" t="str">
        <f>RevenuePriceCap_FO!AA7</f>
        <v>2029-30</v>
      </c>
      <c r="AB7" s="68" t="str">
        <f>RevenuePriceCap_FO!AB7</f>
        <v>2030-31</v>
      </c>
      <c r="AC7" s="68" t="str">
        <f>RevenuePriceCap_FO!AC7</f>
        <v>2031-32</v>
      </c>
      <c r="AD7" s="68" t="str">
        <f>RevenuePriceCap_FO!AD7</f>
        <v>2032-33</v>
      </c>
      <c r="AE7" s="68" t="str">
        <f>RevenuePriceCap_FO!AE7</f>
        <v>2033-34</v>
      </c>
      <c r="AF7" s="68" t="str">
        <f>RevenuePriceCap_FO!AF7</f>
        <v>2034-35</v>
      </c>
      <c r="AG7" s="68" t="str">
        <f>RevenuePriceCap_FO!AG7</f>
        <v>2035-36</v>
      </c>
      <c r="AX7" s="75"/>
      <c r="AY7" s="75"/>
      <c r="BX7" s="75"/>
      <c r="BY7" s="75"/>
      <c r="BZ7" s="75"/>
      <c r="CT7" s="75"/>
      <c r="CU7" s="75"/>
      <c r="CV7" s="75"/>
      <c r="DG7" s="75"/>
      <c r="DH7" s="75"/>
      <c r="DI7" s="75"/>
    </row>
    <row r="8" spans="1:113" ht="12.75" thickBot="1">
      <c r="X8" s="77"/>
      <c r="Y8" s="77"/>
      <c r="Z8" s="77"/>
      <c r="AA8" s="77"/>
      <c r="AB8" s="77"/>
      <c r="AY8" s="798"/>
      <c r="BZ8" s="798"/>
      <c r="CV8" s="798"/>
      <c r="DI8" s="798"/>
    </row>
    <row r="9" spans="1:113">
      <c r="D9" s="166"/>
      <c r="E9" s="167"/>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c r="AF9" s="167"/>
      <c r="AG9" s="167"/>
      <c r="AH9" s="168"/>
      <c r="AY9" s="798"/>
      <c r="BZ9" s="798"/>
      <c r="CV9" s="798"/>
      <c r="DI9" s="798"/>
    </row>
    <row r="10" spans="1:113">
      <c r="D10" s="169"/>
      <c r="E10" s="170" t="s">
        <v>69</v>
      </c>
      <c r="AH10" s="171"/>
      <c r="AY10" s="798"/>
      <c r="BZ10" s="798"/>
      <c r="CV10" s="798"/>
      <c r="DI10" s="798"/>
    </row>
    <row r="11" spans="1:113">
      <c r="D11" s="169"/>
      <c r="Y11" s="162"/>
      <c r="AD11" s="162"/>
      <c r="AH11" s="171"/>
      <c r="AY11" s="798"/>
      <c r="BZ11" s="798"/>
      <c r="CV11" s="798"/>
      <c r="DI11" s="798"/>
    </row>
    <row r="12" spans="1:113">
      <c r="D12" s="169"/>
      <c r="F12" s="647" t="s">
        <v>29</v>
      </c>
      <c r="J12" s="180"/>
      <c r="K12" s="608">
        <f t="shared" ref="K12:R12" si="0">+K57</f>
        <v>0</v>
      </c>
      <c r="L12" s="608">
        <f t="shared" si="0"/>
        <v>0</v>
      </c>
      <c r="M12" s="608">
        <f t="shared" si="0"/>
        <v>0</v>
      </c>
      <c r="N12" s="608">
        <f t="shared" si="0"/>
        <v>0</v>
      </c>
      <c r="O12" s="608">
        <f t="shared" si="0"/>
        <v>0</v>
      </c>
      <c r="P12" s="608">
        <f t="shared" si="0"/>
        <v>0</v>
      </c>
      <c r="Q12" s="608">
        <f t="shared" si="0"/>
        <v>0</v>
      </c>
      <c r="R12" s="608">
        <f t="shared" si="0"/>
        <v>0</v>
      </c>
      <c r="S12" s="608">
        <f t="shared" ref="S12:AB12" si="1">+S57</f>
        <v>0</v>
      </c>
      <c r="T12" s="608">
        <f t="shared" si="1"/>
        <v>0</v>
      </c>
      <c r="U12" s="608">
        <f t="shared" si="1"/>
        <v>0</v>
      </c>
      <c r="V12" s="608">
        <f t="shared" si="1"/>
        <v>0</v>
      </c>
      <c r="W12" s="608">
        <f t="shared" si="1"/>
        <v>0</v>
      </c>
      <c r="X12" s="608">
        <f t="shared" si="1"/>
        <v>0</v>
      </c>
      <c r="Y12" s="608">
        <f t="shared" si="1"/>
        <v>0</v>
      </c>
      <c r="Z12" s="608">
        <f t="shared" si="1"/>
        <v>0</v>
      </c>
      <c r="AA12" s="608">
        <f t="shared" si="1"/>
        <v>0</v>
      </c>
      <c r="AB12" s="608">
        <f t="shared" si="1"/>
        <v>0</v>
      </c>
      <c r="AC12" s="608">
        <f>+AC57</f>
        <v>0</v>
      </c>
      <c r="AD12" s="608">
        <f>+AD57</f>
        <v>0</v>
      </c>
      <c r="AE12" s="608">
        <f>+AE57</f>
        <v>0</v>
      </c>
      <c r="AF12" s="608">
        <f>+AF57</f>
        <v>0</v>
      </c>
      <c r="AG12" s="608">
        <f>+AG57</f>
        <v>0</v>
      </c>
      <c r="AH12" s="171"/>
      <c r="AT12" s="70" t="s">
        <v>1053</v>
      </c>
      <c r="AY12" s="798"/>
      <c r="BZ12" s="798"/>
      <c r="CV12" s="798"/>
      <c r="DI12" s="798"/>
    </row>
    <row r="13" spans="1:113">
      <c r="D13" s="169"/>
      <c r="F13" s="591" t="s">
        <v>38</v>
      </c>
      <c r="J13" s="180"/>
      <c r="K13" s="608">
        <f t="shared" ref="K13:AG13" si="2">+SUMIF($E$69:$E$65539,$E$71,K$69:K$65539)</f>
        <v>0</v>
      </c>
      <c r="L13" s="608">
        <f t="shared" si="2"/>
        <v>0</v>
      </c>
      <c r="M13" s="608">
        <f t="shared" si="2"/>
        <v>0</v>
      </c>
      <c r="N13" s="608">
        <f t="shared" si="2"/>
        <v>0</v>
      </c>
      <c r="O13" s="608">
        <f t="shared" si="2"/>
        <v>0</v>
      </c>
      <c r="P13" s="608">
        <f t="shared" si="2"/>
        <v>0</v>
      </c>
      <c r="Q13" s="608">
        <f t="shared" si="2"/>
        <v>0</v>
      </c>
      <c r="R13" s="608">
        <f t="shared" si="2"/>
        <v>0</v>
      </c>
      <c r="S13" s="608">
        <f t="shared" si="2"/>
        <v>0</v>
      </c>
      <c r="T13" s="608">
        <f t="shared" si="2"/>
        <v>0</v>
      </c>
      <c r="U13" s="608">
        <f t="shared" si="2"/>
        <v>0</v>
      </c>
      <c r="V13" s="608">
        <f t="shared" si="2"/>
        <v>0</v>
      </c>
      <c r="W13" s="608">
        <f t="shared" si="2"/>
        <v>0</v>
      </c>
      <c r="X13" s="608">
        <f t="shared" si="2"/>
        <v>0</v>
      </c>
      <c r="Y13" s="608">
        <f t="shared" si="2"/>
        <v>0</v>
      </c>
      <c r="Z13" s="608">
        <f t="shared" si="2"/>
        <v>0</v>
      </c>
      <c r="AA13" s="608">
        <f t="shared" si="2"/>
        <v>0</v>
      </c>
      <c r="AB13" s="608">
        <f t="shared" si="2"/>
        <v>0</v>
      </c>
      <c r="AC13" s="608">
        <f t="shared" si="2"/>
        <v>0</v>
      </c>
      <c r="AD13" s="608">
        <f t="shared" si="2"/>
        <v>0</v>
      </c>
      <c r="AE13" s="608">
        <f t="shared" si="2"/>
        <v>0</v>
      </c>
      <c r="AF13" s="608">
        <f t="shared" si="2"/>
        <v>0</v>
      </c>
      <c r="AG13" s="608">
        <f t="shared" si="2"/>
        <v>0</v>
      </c>
      <c r="AH13" s="171"/>
      <c r="AY13" s="798"/>
      <c r="BZ13" s="798"/>
      <c r="CV13" s="798"/>
      <c r="DI13" s="798"/>
    </row>
    <row r="14" spans="1:113">
      <c r="D14" s="169"/>
      <c r="F14" s="614" t="s">
        <v>70</v>
      </c>
      <c r="G14" s="104"/>
      <c r="H14" s="104"/>
      <c r="I14" s="104"/>
      <c r="J14" s="180"/>
      <c r="K14" s="659">
        <f t="shared" ref="K14:R14" si="3">+K12+K13</f>
        <v>0</v>
      </c>
      <c r="L14" s="659">
        <f t="shared" si="3"/>
        <v>0</v>
      </c>
      <c r="M14" s="659">
        <f t="shared" si="3"/>
        <v>0</v>
      </c>
      <c r="N14" s="659">
        <f t="shared" si="3"/>
        <v>0</v>
      </c>
      <c r="O14" s="659">
        <f t="shared" si="3"/>
        <v>0</v>
      </c>
      <c r="P14" s="659">
        <f t="shared" si="3"/>
        <v>0</v>
      </c>
      <c r="Q14" s="659">
        <f t="shared" si="3"/>
        <v>0</v>
      </c>
      <c r="R14" s="659">
        <f t="shared" si="3"/>
        <v>0</v>
      </c>
      <c r="S14" s="659">
        <f t="shared" ref="S14:AB14" si="4">+S12+S13</f>
        <v>0</v>
      </c>
      <c r="T14" s="659">
        <f t="shared" si="4"/>
        <v>0</v>
      </c>
      <c r="U14" s="659">
        <f t="shared" si="4"/>
        <v>0</v>
      </c>
      <c r="V14" s="659">
        <f t="shared" si="4"/>
        <v>0</v>
      </c>
      <c r="W14" s="659">
        <f t="shared" si="4"/>
        <v>0</v>
      </c>
      <c r="X14" s="659">
        <f t="shared" si="4"/>
        <v>0</v>
      </c>
      <c r="Y14" s="659">
        <f t="shared" si="4"/>
        <v>0</v>
      </c>
      <c r="Z14" s="659">
        <f t="shared" si="4"/>
        <v>0</v>
      </c>
      <c r="AA14" s="659">
        <f t="shared" si="4"/>
        <v>0</v>
      </c>
      <c r="AB14" s="659">
        <f t="shared" si="4"/>
        <v>0</v>
      </c>
      <c r="AC14" s="659">
        <f>+AC12+AC13</f>
        <v>0</v>
      </c>
      <c r="AD14" s="659">
        <f>+AD12+AD13</f>
        <v>0</v>
      </c>
      <c r="AE14" s="659">
        <f>+AE12+AE13</f>
        <v>0</v>
      </c>
      <c r="AF14" s="659">
        <f>+AF12+AF13</f>
        <v>0</v>
      </c>
      <c r="AG14" s="659">
        <f>+AG12+AG13</f>
        <v>0</v>
      </c>
      <c r="AH14" s="171"/>
      <c r="AY14" s="798"/>
      <c r="BZ14" s="798"/>
      <c r="CV14" s="798"/>
      <c r="DI14" s="798"/>
    </row>
    <row r="15" spans="1:113">
      <c r="D15" s="169"/>
      <c r="F15" s="591" t="s">
        <v>37</v>
      </c>
      <c r="J15" s="180"/>
      <c r="K15" s="608">
        <f t="shared" ref="K15:R15" si="5">+K59</f>
        <v>0</v>
      </c>
      <c r="L15" s="608">
        <f t="shared" si="5"/>
        <v>0</v>
      </c>
      <c r="M15" s="608">
        <f t="shared" si="5"/>
        <v>0</v>
      </c>
      <c r="N15" s="608">
        <f t="shared" si="5"/>
        <v>0</v>
      </c>
      <c r="O15" s="608">
        <f t="shared" si="5"/>
        <v>0</v>
      </c>
      <c r="P15" s="608">
        <f t="shared" si="5"/>
        <v>0</v>
      </c>
      <c r="Q15" s="608">
        <f t="shared" si="5"/>
        <v>0</v>
      </c>
      <c r="R15" s="608">
        <f t="shared" si="5"/>
        <v>0</v>
      </c>
      <c r="S15" s="608">
        <f t="shared" ref="S15:AG15" si="6">+S59</f>
        <v>0</v>
      </c>
      <c r="T15" s="608">
        <f t="shared" si="6"/>
        <v>0</v>
      </c>
      <c r="U15" s="608">
        <f t="shared" si="6"/>
        <v>0</v>
      </c>
      <c r="V15" s="608">
        <f t="shared" si="6"/>
        <v>0</v>
      </c>
      <c r="W15" s="608">
        <f t="shared" si="6"/>
        <v>0</v>
      </c>
      <c r="X15" s="608">
        <f t="shared" si="6"/>
        <v>0</v>
      </c>
      <c r="Y15" s="608">
        <f t="shared" si="6"/>
        <v>0</v>
      </c>
      <c r="Z15" s="608">
        <f t="shared" si="6"/>
        <v>0</v>
      </c>
      <c r="AA15" s="608">
        <f t="shared" si="6"/>
        <v>0</v>
      </c>
      <c r="AB15" s="608">
        <f t="shared" si="6"/>
        <v>0</v>
      </c>
      <c r="AC15" s="608">
        <f t="shared" si="6"/>
        <v>0</v>
      </c>
      <c r="AD15" s="608">
        <f t="shared" si="6"/>
        <v>0</v>
      </c>
      <c r="AE15" s="608">
        <f t="shared" si="6"/>
        <v>0</v>
      </c>
      <c r="AF15" s="608">
        <f t="shared" si="6"/>
        <v>0</v>
      </c>
      <c r="AG15" s="608">
        <f t="shared" si="6"/>
        <v>0</v>
      </c>
      <c r="AH15" s="171"/>
      <c r="AY15" s="798"/>
      <c r="BZ15" s="798"/>
      <c r="CV15" s="798"/>
      <c r="DI15" s="798"/>
    </row>
    <row r="16" spans="1:113">
      <c r="D16" s="169"/>
      <c r="F16" s="591"/>
      <c r="J16" s="180"/>
      <c r="K16" s="608"/>
      <c r="L16" s="608"/>
      <c r="M16" s="608"/>
      <c r="N16" s="608"/>
      <c r="O16" s="608"/>
      <c r="P16" s="608"/>
      <c r="Q16" s="608"/>
      <c r="R16" s="608"/>
      <c r="S16" s="608"/>
      <c r="T16" s="608"/>
      <c r="U16" s="608"/>
      <c r="V16" s="608"/>
      <c r="W16" s="608"/>
      <c r="AB16" s="608"/>
      <c r="AH16" s="171"/>
      <c r="AY16" s="798"/>
      <c r="BZ16" s="798"/>
      <c r="CV16" s="798"/>
      <c r="DI16" s="798"/>
    </row>
    <row r="17" spans="4:113" ht="12.75" thickBot="1">
      <c r="D17" s="169"/>
      <c r="F17" s="614" t="s">
        <v>71</v>
      </c>
      <c r="J17" s="180"/>
      <c r="K17" s="660">
        <f t="shared" ref="K17:R17" si="7">+K14-K15</f>
        <v>0</v>
      </c>
      <c r="L17" s="660">
        <f t="shared" si="7"/>
        <v>0</v>
      </c>
      <c r="M17" s="660">
        <f t="shared" si="7"/>
        <v>0</v>
      </c>
      <c r="N17" s="660">
        <f t="shared" si="7"/>
        <v>0</v>
      </c>
      <c r="O17" s="660">
        <f t="shared" si="7"/>
        <v>0</v>
      </c>
      <c r="P17" s="660">
        <f t="shared" si="7"/>
        <v>0</v>
      </c>
      <c r="Q17" s="660">
        <f t="shared" si="7"/>
        <v>0</v>
      </c>
      <c r="R17" s="660">
        <f t="shared" si="7"/>
        <v>0</v>
      </c>
      <c r="S17" s="660">
        <f t="shared" ref="S17:AG17" si="8">+S14-S15</f>
        <v>0</v>
      </c>
      <c r="T17" s="660">
        <f t="shared" si="8"/>
        <v>0</v>
      </c>
      <c r="U17" s="660">
        <f t="shared" si="8"/>
        <v>0</v>
      </c>
      <c r="V17" s="660">
        <f t="shared" si="8"/>
        <v>0</v>
      </c>
      <c r="W17" s="660">
        <f t="shared" si="8"/>
        <v>0</v>
      </c>
      <c r="X17" s="660">
        <f t="shared" si="8"/>
        <v>0</v>
      </c>
      <c r="Y17" s="660">
        <f t="shared" si="8"/>
        <v>0</v>
      </c>
      <c r="Z17" s="660">
        <f t="shared" si="8"/>
        <v>0</v>
      </c>
      <c r="AA17" s="660">
        <f t="shared" si="8"/>
        <v>0</v>
      </c>
      <c r="AB17" s="660">
        <f t="shared" si="8"/>
        <v>0</v>
      </c>
      <c r="AC17" s="660">
        <f t="shared" si="8"/>
        <v>0</v>
      </c>
      <c r="AD17" s="660">
        <f t="shared" si="8"/>
        <v>0</v>
      </c>
      <c r="AE17" s="660">
        <f t="shared" si="8"/>
        <v>0</v>
      </c>
      <c r="AF17" s="660">
        <f t="shared" si="8"/>
        <v>0</v>
      </c>
      <c r="AG17" s="660">
        <f t="shared" si="8"/>
        <v>0</v>
      </c>
      <c r="AH17" s="171"/>
      <c r="AY17" s="798"/>
      <c r="BZ17" s="798"/>
      <c r="CV17" s="798"/>
      <c r="DI17" s="798"/>
    </row>
    <row r="18" spans="4:113">
      <c r="D18" s="169"/>
      <c r="F18" s="661" t="s">
        <v>72</v>
      </c>
      <c r="G18" s="84"/>
      <c r="H18" s="84"/>
      <c r="I18" s="84"/>
      <c r="J18" s="790"/>
      <c r="K18" s="662"/>
      <c r="L18" s="662"/>
      <c r="M18" s="662"/>
      <c r="N18" s="662"/>
      <c r="O18" s="613">
        <f>'Determination Lookup'!I10</f>
        <v>75.827271727515623</v>
      </c>
      <c r="P18" s="613">
        <f>'Determination Lookup'!J10</f>
        <v>76.300229249037315</v>
      </c>
      <c r="Q18" s="613">
        <f>'Determination Lookup'!K10</f>
        <v>77.19710351339441</v>
      </c>
      <c r="R18" s="613">
        <f>'Determination Lookup'!L10</f>
        <v>78.087524443058456</v>
      </c>
      <c r="S18" s="613">
        <f>'Determination Lookup'!M10</f>
        <v>79.057372806261341</v>
      </c>
      <c r="T18" s="613">
        <f>'Determination Lookup'!N10</f>
        <v>79.866330737243501</v>
      </c>
      <c r="U18" s="613">
        <f>'Determination Lookup'!O10</f>
        <v>80.836000390929527</v>
      </c>
      <c r="V18" s="613">
        <f>'Determination Lookup'!P10</f>
        <v>81.862206277186004</v>
      </c>
      <c r="W18" s="613">
        <f>'Determination Lookup'!Q10</f>
        <v>82.806383491758865</v>
      </c>
      <c r="X18" s="608">
        <f ca="1">+'Rev&amp;RAV_FO'!X23</f>
        <v>95.543523619444471</v>
      </c>
      <c r="Y18" s="608">
        <f ca="1">+'Rev&amp;RAV_FO'!Y23</f>
        <v>98.81722300083382</v>
      </c>
      <c r="Z18" s="608">
        <f ca="1">+'Rev&amp;RAV_FO'!Z23</f>
        <v>100.84620293056062</v>
      </c>
      <c r="AA18" s="608">
        <f ca="1">+'Rev&amp;RAV_FO'!AA23</f>
        <v>103.76813997982296</v>
      </c>
      <c r="AB18" s="608">
        <f ca="1">+'Rev&amp;RAV_FO'!AB23</f>
        <v>107.4795465774621</v>
      </c>
      <c r="AC18" s="608">
        <f ca="1">+'Rev&amp;RAV_FO'!AC23</f>
        <v>116.55071571731521</v>
      </c>
      <c r="AD18" s="608">
        <f ca="1">+'Rev&amp;RAV_FO'!AD23</f>
        <v>120.74904604951693</v>
      </c>
      <c r="AE18" s="608">
        <f ca="1">+'Rev&amp;RAV_FO'!AE23</f>
        <v>123.35941277533935</v>
      </c>
      <c r="AF18" s="608">
        <f ca="1">+'Rev&amp;RAV_FO'!AF23</f>
        <v>125.65524824369251</v>
      </c>
      <c r="AG18" s="608">
        <f ca="1">+'Rev&amp;RAV_FO'!AG23</f>
        <v>128.77114564191498</v>
      </c>
      <c r="AH18" s="171"/>
      <c r="AY18" s="798"/>
      <c r="BZ18" s="798"/>
      <c r="CV18" s="798"/>
      <c r="DI18" s="798"/>
    </row>
    <row r="19" spans="4:113">
      <c r="D19" s="169"/>
      <c r="F19" s="591"/>
      <c r="J19" s="180"/>
      <c r="K19" s="791"/>
      <c r="L19" s="791"/>
      <c r="M19" s="791"/>
      <c r="N19" s="608"/>
      <c r="O19" s="608"/>
      <c r="P19" s="608"/>
      <c r="Q19" s="608"/>
      <c r="R19" s="608"/>
      <c r="S19" s="608"/>
      <c r="T19" s="608"/>
      <c r="U19" s="608"/>
      <c r="V19" s="608"/>
      <c r="W19" s="608"/>
      <c r="AB19" s="608"/>
      <c r="AH19" s="171"/>
      <c r="AY19" s="798"/>
      <c r="BZ19" s="798"/>
      <c r="CV19" s="798"/>
      <c r="DI19" s="798"/>
    </row>
    <row r="20" spans="4:113">
      <c r="D20" s="169"/>
      <c r="F20" s="591" t="s">
        <v>73</v>
      </c>
      <c r="J20" s="180"/>
      <c r="K20" s="608">
        <f ca="1">+NotPres_FO!K12</f>
        <v>0</v>
      </c>
      <c r="L20" s="608">
        <f ca="1">+NotPres_FO!L12</f>
        <v>0</v>
      </c>
      <c r="M20" s="608">
        <f ca="1">+NotPres_FO!M12</f>
        <v>0</v>
      </c>
      <c r="N20" s="608">
        <f ca="1">+NotPres_FO!N12</f>
        <v>0</v>
      </c>
      <c r="O20" s="608">
        <f ca="1">+NotPres_FO!O12</f>
        <v>0.99826968325791843</v>
      </c>
      <c r="P20" s="608">
        <f ca="1">+NotPres_FO!P12</f>
        <v>2.7802619893428062</v>
      </c>
      <c r="Q20" s="608">
        <f ca="1">+NotPres_FO!Q12</f>
        <v>2.5488773006134968</v>
      </c>
      <c r="R20" s="608">
        <f ca="1">+NotPres_FO!R12</f>
        <v>2.5376680960548881</v>
      </c>
      <c r="S20" s="608">
        <f ca="1">+NotPres_FO!S12</f>
        <v>1.2960152671755725</v>
      </c>
      <c r="T20" s="608">
        <f ca="1">+NotPres_FO!T12</f>
        <v>1.2139491525423729</v>
      </c>
      <c r="U20" s="608">
        <f ca="1">+NotPres_FO!U12</f>
        <v>1.3995723981900454</v>
      </c>
      <c r="V20" s="608">
        <f ca="1">+NotPres_FO!V12</f>
        <v>2.3198060982532747</v>
      </c>
      <c r="W20" s="608">
        <f ca="1">+NotPres_FO!W12</f>
        <v>1.335</v>
      </c>
      <c r="X20" s="608">
        <f ca="1">+NotPres_FO!X12</f>
        <v>1.2849999999999999</v>
      </c>
      <c r="Y20" s="608">
        <f ca="1">+NotPres_FO!Y12</f>
        <v>1.2849999999999999</v>
      </c>
      <c r="Z20" s="608">
        <f ca="1">+NotPres_FO!Z12</f>
        <v>1.2849999999999999</v>
      </c>
      <c r="AA20" s="608">
        <f ca="1">+NotPres_FO!AA12</f>
        <v>1.2849999999999999</v>
      </c>
      <c r="AB20" s="608">
        <f ca="1">+NotPres_FO!AB12</f>
        <v>1.2849999999999999</v>
      </c>
      <c r="AC20" s="608">
        <f ca="1">+NotPres_FO!AC12</f>
        <v>1.2849999999999999</v>
      </c>
      <c r="AD20" s="608">
        <f ca="1">+NotPres_FO!AD12</f>
        <v>1.2849999999999999</v>
      </c>
      <c r="AE20" s="608">
        <f ca="1">+NotPres_FO!AE12</f>
        <v>1.2849999999999999</v>
      </c>
      <c r="AF20" s="608">
        <f ca="1">+NotPres_FO!AF12</f>
        <v>1.2849999999999999</v>
      </c>
      <c r="AG20" s="608">
        <f ca="1">+NotPres_FO!AG12</f>
        <v>1.2849999999999999</v>
      </c>
      <c r="AH20" s="171"/>
      <c r="AY20" s="798"/>
      <c r="BZ20" s="798"/>
      <c r="CV20" s="798"/>
      <c r="DI20" s="798"/>
    </row>
    <row r="21" spans="4:113">
      <c r="D21" s="169"/>
      <c r="F21" s="591"/>
      <c r="J21" s="180"/>
      <c r="K21" s="608"/>
      <c r="L21" s="608"/>
      <c r="M21" s="608"/>
      <c r="N21" s="608"/>
      <c r="O21" s="608"/>
      <c r="P21" s="608"/>
      <c r="Q21" s="608"/>
      <c r="R21" s="608"/>
      <c r="S21" s="608"/>
      <c r="T21" s="608"/>
      <c r="U21" s="608"/>
      <c r="V21" s="608"/>
      <c r="W21" s="608"/>
      <c r="AB21" s="608"/>
      <c r="AH21" s="171"/>
      <c r="AY21" s="798"/>
      <c r="BZ21" s="798"/>
      <c r="CV21" s="798"/>
      <c r="DI21" s="798"/>
    </row>
    <row r="22" spans="4:113" ht="12.75" thickBot="1">
      <c r="D22" s="169"/>
      <c r="F22" s="614" t="s">
        <v>74</v>
      </c>
      <c r="G22" s="104"/>
      <c r="H22" s="104"/>
      <c r="I22" s="104"/>
      <c r="J22" s="180"/>
      <c r="K22" s="660">
        <f t="shared" ref="K22:AG22" ca="1" si="9">+K17+K20</f>
        <v>0</v>
      </c>
      <c r="L22" s="660">
        <f t="shared" ca="1" si="9"/>
        <v>0</v>
      </c>
      <c r="M22" s="660">
        <f t="shared" ca="1" si="9"/>
        <v>0</v>
      </c>
      <c r="N22" s="660">
        <f t="shared" ca="1" si="9"/>
        <v>0</v>
      </c>
      <c r="O22" s="660">
        <f t="shared" ca="1" si="9"/>
        <v>0.99826968325791843</v>
      </c>
      <c r="P22" s="660">
        <f t="shared" ca="1" si="9"/>
        <v>2.7802619893428062</v>
      </c>
      <c r="Q22" s="660">
        <f t="shared" ca="1" si="9"/>
        <v>2.5488773006134968</v>
      </c>
      <c r="R22" s="660">
        <f t="shared" ca="1" si="9"/>
        <v>2.5376680960548881</v>
      </c>
      <c r="S22" s="660">
        <f t="shared" ca="1" si="9"/>
        <v>1.2960152671755725</v>
      </c>
      <c r="T22" s="660">
        <f t="shared" ca="1" si="9"/>
        <v>1.2139491525423729</v>
      </c>
      <c r="U22" s="660">
        <f t="shared" ca="1" si="9"/>
        <v>1.3995723981900454</v>
      </c>
      <c r="V22" s="660">
        <f t="shared" ca="1" si="9"/>
        <v>2.3198060982532747</v>
      </c>
      <c r="W22" s="660">
        <f t="shared" ca="1" si="9"/>
        <v>1.335</v>
      </c>
      <c r="X22" s="660">
        <f t="shared" ca="1" si="9"/>
        <v>1.2849999999999999</v>
      </c>
      <c r="Y22" s="660">
        <f t="shared" ca="1" si="9"/>
        <v>1.2849999999999999</v>
      </c>
      <c r="Z22" s="660">
        <f t="shared" ca="1" si="9"/>
        <v>1.2849999999999999</v>
      </c>
      <c r="AA22" s="660">
        <f t="shared" ca="1" si="9"/>
        <v>1.2849999999999999</v>
      </c>
      <c r="AB22" s="660">
        <f t="shared" ca="1" si="9"/>
        <v>1.2849999999999999</v>
      </c>
      <c r="AC22" s="660">
        <f t="shared" ca="1" si="9"/>
        <v>1.2849999999999999</v>
      </c>
      <c r="AD22" s="660">
        <f t="shared" ca="1" si="9"/>
        <v>1.2849999999999999</v>
      </c>
      <c r="AE22" s="660">
        <f t="shared" ca="1" si="9"/>
        <v>1.2849999999999999</v>
      </c>
      <c r="AF22" s="660">
        <f t="shared" ca="1" si="9"/>
        <v>1.2849999999999999</v>
      </c>
      <c r="AG22" s="660">
        <f t="shared" ca="1" si="9"/>
        <v>1.2849999999999999</v>
      </c>
      <c r="AH22" s="171"/>
      <c r="AY22" s="798"/>
      <c r="BZ22" s="798"/>
      <c r="CV22" s="798"/>
      <c r="DI22" s="798"/>
    </row>
    <row r="23" spans="4:113">
      <c r="D23" s="169"/>
      <c r="F23" s="591"/>
      <c r="K23" s="128"/>
      <c r="L23" s="128"/>
      <c r="M23" s="128"/>
      <c r="N23" s="128"/>
      <c r="O23" s="128"/>
      <c r="P23" s="128"/>
      <c r="Q23" s="128"/>
      <c r="R23" s="128"/>
      <c r="S23" s="128"/>
      <c r="T23" s="128"/>
      <c r="U23" s="128"/>
      <c r="V23" s="128"/>
      <c r="W23" s="128"/>
      <c r="AB23" s="128"/>
      <c r="AH23" s="171"/>
      <c r="AY23" s="798"/>
      <c r="BZ23" s="798"/>
      <c r="CV23" s="798"/>
      <c r="DI23" s="798"/>
    </row>
    <row r="24" spans="4:113" ht="12.75" thickBot="1">
      <c r="D24" s="182"/>
      <c r="E24" s="183"/>
      <c r="F24" s="792"/>
      <c r="G24" s="183"/>
      <c r="H24" s="183"/>
      <c r="I24" s="183"/>
      <c r="J24" s="183"/>
      <c r="K24" s="602"/>
      <c r="L24" s="602"/>
      <c r="M24" s="602"/>
      <c r="N24" s="602"/>
      <c r="O24" s="602"/>
      <c r="P24" s="602"/>
      <c r="Q24" s="602"/>
      <c r="R24" s="602"/>
      <c r="S24" s="602"/>
      <c r="T24" s="602"/>
      <c r="U24" s="602"/>
      <c r="V24" s="602"/>
      <c r="W24" s="602"/>
      <c r="X24" s="183"/>
      <c r="Y24" s="183"/>
      <c r="Z24" s="183"/>
      <c r="AA24" s="183"/>
      <c r="AB24" s="602"/>
      <c r="AC24" s="183"/>
      <c r="AD24" s="183"/>
      <c r="AE24" s="183"/>
      <c r="AF24" s="183"/>
      <c r="AG24" s="183"/>
      <c r="AH24" s="186"/>
      <c r="AY24" s="798"/>
      <c r="BZ24" s="798"/>
      <c r="CV24" s="798"/>
      <c r="DI24" s="798"/>
    </row>
    <row r="25" spans="4:113">
      <c r="D25" s="74"/>
      <c r="AY25" s="798"/>
      <c r="BZ25" s="798"/>
      <c r="CV25" s="798"/>
      <c r="DI25" s="798"/>
    </row>
    <row r="26" spans="4:113" ht="12.75" thickBot="1">
      <c r="K26" s="128"/>
      <c r="AY26" s="798"/>
      <c r="BZ26" s="798"/>
      <c r="CV26" s="798"/>
      <c r="DI26" s="798"/>
    </row>
    <row r="27" spans="4:113">
      <c r="K27" s="128"/>
      <c r="P27" s="74"/>
      <c r="Q27" s="74"/>
      <c r="R27" s="74"/>
      <c r="S27" s="74"/>
      <c r="T27" s="74"/>
      <c r="U27" s="74"/>
      <c r="V27" s="74"/>
      <c r="W27" s="74"/>
      <c r="X27" s="343"/>
      <c r="Y27" s="292"/>
      <c r="Z27" s="292"/>
      <c r="AA27" s="292"/>
      <c r="AB27" s="344"/>
      <c r="AC27" s="292"/>
      <c r="AD27" s="292"/>
      <c r="AE27" s="292"/>
      <c r="AF27" s="292"/>
      <c r="AG27" s="344"/>
      <c r="AY27" s="798"/>
      <c r="BZ27" s="798"/>
      <c r="CV27" s="798"/>
      <c r="DI27" s="798"/>
    </row>
    <row r="28" spans="4:113">
      <c r="G28" s="793"/>
      <c r="K28" s="794"/>
      <c r="O28" s="794"/>
      <c r="P28" s="74"/>
      <c r="Q28" s="74"/>
      <c r="R28" s="74"/>
      <c r="S28" s="74"/>
      <c r="T28" s="74"/>
      <c r="U28" s="74"/>
      <c r="V28" s="74"/>
      <c r="W28" s="74"/>
      <c r="X28" s="668" t="str">
        <f>RevenuePriceCap_FO!X28</f>
        <v>Price control - FIFTH REG PERIOD</v>
      </c>
      <c r="Y28" s="795"/>
      <c r="Z28" s="74"/>
      <c r="AA28" s="74"/>
      <c r="AB28" s="195"/>
      <c r="AC28" s="669" t="str">
        <f>RevenuePriceCap_FO!AC28</f>
        <v>Price control - SIXTH REG PERIOD</v>
      </c>
      <c r="AD28" s="795"/>
      <c r="AE28" s="74"/>
      <c r="AF28" s="74"/>
      <c r="AG28" s="195"/>
      <c r="AY28" s="798"/>
      <c r="BZ28" s="798"/>
      <c r="CV28" s="798"/>
      <c r="DI28" s="798"/>
    </row>
    <row r="29" spans="4:113">
      <c r="K29" s="793"/>
      <c r="P29" s="74"/>
      <c r="Q29" s="74"/>
      <c r="R29" s="674"/>
      <c r="S29" s="2275"/>
      <c r="T29" s="2275"/>
      <c r="U29" s="2275"/>
      <c r="V29" s="2275"/>
      <c r="W29" s="2275"/>
      <c r="X29" s="796"/>
      <c r="Y29" s="74"/>
      <c r="Z29" s="74"/>
      <c r="AA29" s="74"/>
      <c r="AB29" s="195"/>
      <c r="AC29" s="123"/>
      <c r="AD29" s="74"/>
      <c r="AE29" s="74"/>
      <c r="AF29" s="74"/>
      <c r="AG29" s="195"/>
      <c r="AY29" s="798"/>
      <c r="BZ29" s="798"/>
      <c r="CV29" s="798"/>
      <c r="DI29" s="798"/>
    </row>
    <row r="30" spans="4:113">
      <c r="H30" s="797"/>
      <c r="I30" s="798"/>
      <c r="P30" s="799"/>
      <c r="Q30" s="74"/>
      <c r="R30" s="123"/>
      <c r="S30" s="123"/>
      <c r="T30" s="123"/>
      <c r="U30" s="123"/>
      <c r="V30" s="123"/>
      <c r="W30" s="123"/>
      <c r="X30" s="796"/>
      <c r="Y30" s="74"/>
      <c r="Z30" s="800" t="s">
        <v>76</v>
      </c>
      <c r="AA30" s="801">
        <f>+NPV(RRR,X17:AB17)*(1+RRR)^0.5</f>
        <v>0</v>
      </c>
      <c r="AB30" s="195"/>
      <c r="AC30" s="123"/>
      <c r="AD30" s="74"/>
      <c r="AE30" s="800" t="s">
        <v>76</v>
      </c>
      <c r="AF30" s="801">
        <f>+NPV(RRR,AC17:AG17)*(1+RRR)^0.5</f>
        <v>0</v>
      </c>
      <c r="AG30" s="195"/>
      <c r="AY30" s="798"/>
      <c r="BZ30" s="798"/>
      <c r="CV30" s="798"/>
      <c r="DI30" s="798"/>
    </row>
    <row r="31" spans="4:113">
      <c r="H31" s="797"/>
      <c r="I31" s="798"/>
      <c r="P31" s="799"/>
      <c r="Q31" s="74"/>
      <c r="R31" s="123"/>
      <c r="S31" s="123"/>
      <c r="T31" s="123"/>
      <c r="U31" s="123"/>
      <c r="V31" s="123"/>
      <c r="W31" s="123"/>
      <c r="X31" s="796"/>
      <c r="Y31" s="74"/>
      <c r="Z31" s="800" t="s">
        <v>75</v>
      </c>
      <c r="AA31" s="801">
        <f ca="1">+NPV(RRR,X18:AB18)*(1+RRR)^0.5</f>
        <v>472.17277507665614</v>
      </c>
      <c r="AB31" s="195"/>
      <c r="AC31" s="123"/>
      <c r="AD31" s="74"/>
      <c r="AE31" s="800" t="s">
        <v>75</v>
      </c>
      <c r="AF31" s="801">
        <f ca="1">+NPV(RRR,AC18:AG18)*(1+RRR)^0.5</f>
        <v>573.5952040949868</v>
      </c>
      <c r="AG31" s="195"/>
      <c r="AY31" s="798"/>
      <c r="BZ31" s="798"/>
      <c r="CV31" s="798"/>
      <c r="DI31" s="798"/>
    </row>
    <row r="32" spans="4:113">
      <c r="H32" s="113"/>
      <c r="I32" s="608"/>
      <c r="P32" s="799"/>
      <c r="Q32" s="74"/>
      <c r="R32" s="123"/>
      <c r="S32" s="123"/>
      <c r="T32" s="123"/>
      <c r="U32" s="123"/>
      <c r="V32" s="123"/>
      <c r="W32" s="123"/>
      <c r="X32" s="796"/>
      <c r="Y32" s="74"/>
      <c r="Z32" s="679" t="s">
        <v>77</v>
      </c>
      <c r="AA32" s="349">
        <f ca="1">+AA30-AA31</f>
        <v>-472.17277507665614</v>
      </c>
      <c r="AB32" s="195"/>
      <c r="AC32" s="123"/>
      <c r="AD32" s="74"/>
      <c r="AE32" s="679" t="s">
        <v>77</v>
      </c>
      <c r="AF32" s="349">
        <f ca="1">+AF30-AF31</f>
        <v>-573.5952040949868</v>
      </c>
      <c r="AG32" s="195"/>
      <c r="AY32" s="608"/>
      <c r="BZ32" s="608"/>
      <c r="CV32" s="608"/>
      <c r="DI32" s="608"/>
    </row>
    <row r="33" spans="3:113">
      <c r="P33" s="799"/>
      <c r="Q33" s="74"/>
      <c r="R33" s="123"/>
      <c r="S33" s="123"/>
      <c r="T33" s="123"/>
      <c r="U33" s="123"/>
      <c r="V33" s="123"/>
      <c r="W33" s="123"/>
      <c r="X33" s="796"/>
      <c r="Y33" s="74"/>
      <c r="Z33" s="74"/>
      <c r="AA33" s="74"/>
      <c r="AB33" s="195"/>
      <c r="AC33" s="123"/>
      <c r="AD33" s="74"/>
      <c r="AE33" s="74"/>
      <c r="AF33" s="74"/>
      <c r="AG33" s="195"/>
    </row>
    <row r="34" spans="3:113">
      <c r="H34" s="2276"/>
      <c r="I34" s="2276"/>
      <c r="L34" s="802"/>
      <c r="N34" s="803"/>
      <c r="P34" s="804"/>
      <c r="Q34" s="112"/>
      <c r="R34" s="117"/>
      <c r="S34" s="123"/>
      <c r="T34" s="123"/>
      <c r="U34" s="123"/>
      <c r="V34" s="123"/>
      <c r="W34" s="123"/>
      <c r="X34" s="796"/>
      <c r="Y34" s="2272" t="str">
        <f ca="1">IF(AA30+AA31=0,"",IF(AA30&lt;(AA31*0.9975),"INSUFFICIENT REVENUE",IF(AA30&gt;(AA31*1.005),"BREACH","PRICE CONTROL OK")))</f>
        <v>INSUFFICIENT REVENUE</v>
      </c>
      <c r="Z34" s="2273"/>
      <c r="AA34" s="2274"/>
      <c r="AB34" s="195"/>
      <c r="AC34" s="123"/>
      <c r="AD34" s="2272" t="str">
        <f ca="1">IF(AF30+AF31=0,"",IF(AF30&lt;(AF31*0.9975),"INSUFFICIENT REVENUE",IF(AF30&gt;(AF31*1.005),"BREACH","PRICE CONTROL OK")))</f>
        <v>INSUFFICIENT REVENUE</v>
      </c>
      <c r="AE34" s="2273"/>
      <c r="AF34" s="2274"/>
      <c r="AG34" s="195"/>
      <c r="AY34" s="1050"/>
      <c r="BZ34" s="1050"/>
      <c r="CV34" s="1050"/>
      <c r="DI34" s="1050"/>
    </row>
    <row r="35" spans="3:113">
      <c r="J35" s="232"/>
      <c r="P35" s="799"/>
      <c r="Q35" s="74"/>
      <c r="R35" s="123"/>
      <c r="S35" s="123"/>
      <c r="T35" s="123"/>
      <c r="U35" s="123"/>
      <c r="V35" s="123"/>
      <c r="W35" s="123"/>
      <c r="X35" s="796"/>
      <c r="Y35" s="74"/>
      <c r="Z35" s="74"/>
      <c r="AA35" s="74"/>
      <c r="AB35" s="195"/>
      <c r="AC35" s="123"/>
      <c r="AD35" s="74"/>
      <c r="AE35" s="74"/>
      <c r="AF35" s="74"/>
      <c r="AG35" s="195"/>
    </row>
    <row r="36" spans="3:113" ht="12.75" thickBot="1">
      <c r="H36" s="805"/>
      <c r="I36" s="675"/>
      <c r="J36" s="232"/>
      <c r="P36" s="86"/>
      <c r="Q36" s="74"/>
      <c r="R36" s="74"/>
      <c r="S36" s="74"/>
      <c r="T36" s="74"/>
      <c r="U36" s="74"/>
      <c r="V36" s="74"/>
      <c r="W36" s="74"/>
      <c r="X36" s="182"/>
      <c r="Y36" s="183"/>
      <c r="Z36" s="183"/>
      <c r="AA36" s="183"/>
      <c r="AB36" s="186"/>
      <c r="AC36" s="806"/>
      <c r="AD36" s="199"/>
      <c r="AE36" s="807"/>
      <c r="AF36" s="807"/>
      <c r="AG36" s="201"/>
      <c r="AY36" s="675"/>
      <c r="BZ36" s="675"/>
      <c r="CV36" s="675"/>
      <c r="DI36" s="675"/>
    </row>
    <row r="37" spans="3:113">
      <c r="J37" s="232"/>
      <c r="P37" s="804"/>
      <c r="Q37" s="74"/>
      <c r="R37" s="117"/>
      <c r="S37" s="123"/>
      <c r="T37" s="123"/>
      <c r="U37" s="123"/>
      <c r="V37" s="123"/>
      <c r="W37" s="123"/>
    </row>
    <row r="38" spans="3:113">
      <c r="J38" s="232"/>
      <c r="K38" s="128"/>
      <c r="L38" s="128"/>
      <c r="M38" s="128"/>
      <c r="N38" s="128"/>
      <c r="O38" s="128"/>
      <c r="P38" s="128"/>
      <c r="Q38" s="128"/>
      <c r="R38" s="128"/>
      <c r="S38" s="128"/>
      <c r="T38" s="128"/>
      <c r="U38" s="128"/>
      <c r="V38" s="128"/>
      <c r="W38" s="128"/>
      <c r="Y38" s="74"/>
      <c r="Z38" s="808"/>
      <c r="AA38" s="808"/>
      <c r="AB38" s="74"/>
    </row>
    <row r="39" spans="3:113">
      <c r="D39" s="611"/>
      <c r="J39" s="232"/>
      <c r="K39" s="128"/>
      <c r="L39" s="128"/>
      <c r="M39" s="128"/>
      <c r="N39" s="128"/>
      <c r="O39" s="128"/>
      <c r="P39" s="128"/>
      <c r="Q39" s="128"/>
      <c r="R39" s="128"/>
      <c r="S39" s="128"/>
      <c r="T39" s="128"/>
      <c r="U39" s="128"/>
      <c r="V39" s="128"/>
      <c r="W39" s="809" t="s">
        <v>266</v>
      </c>
      <c r="X39" s="768">
        <f>+SUMIFS(X$69:X$444,$E$69:$E$444,$E$71,$I$69:$I$444,"*Revenue cap*")</f>
        <v>0</v>
      </c>
      <c r="Y39" s="767">
        <f t="shared" ref="Y39:AG39" si="10">+SUMIFS(Y$69:Y$444,$E$69:$E$444,$E$71,$I$69:$I$444,"*Revenue cap*")</f>
        <v>0</v>
      </c>
      <c r="Z39" s="767">
        <f t="shared" si="10"/>
        <v>0</v>
      </c>
      <c r="AA39" s="767">
        <f t="shared" si="10"/>
        <v>0</v>
      </c>
      <c r="AB39" s="810">
        <f t="shared" si="10"/>
        <v>0</v>
      </c>
      <c r="AC39" s="768">
        <f>+SUMIFS(AC$69:AC$444,$E$69:$E$444,$E$71,$I$69:$I$444,"*Revenue cap*")</f>
        <v>0</v>
      </c>
      <c r="AD39" s="767">
        <f t="shared" si="10"/>
        <v>0</v>
      </c>
      <c r="AE39" s="767">
        <f t="shared" si="10"/>
        <v>0</v>
      </c>
      <c r="AF39" s="767">
        <f t="shared" si="10"/>
        <v>0</v>
      </c>
      <c r="AG39" s="810">
        <f t="shared" si="10"/>
        <v>0</v>
      </c>
    </row>
    <row r="40" spans="3:113">
      <c r="C40" s="681" t="s">
        <v>28</v>
      </c>
      <c r="W40" s="811" t="s">
        <v>581</v>
      </c>
      <c r="X40" s="758">
        <f>+SUMIFS(X$69:X$444,$E$69:$E$444,$E$71,$I$69:$I$444,"*Price cap*")</f>
        <v>0</v>
      </c>
      <c r="Y40" s="757">
        <f t="shared" ref="Y40:AG40" si="11">+SUMIFS(Y$69:Y$444,$E$69:$E$444,$E$71,$I$69:$I$444,"*Price cap*")</f>
        <v>0</v>
      </c>
      <c r="Z40" s="757">
        <f t="shared" si="11"/>
        <v>0</v>
      </c>
      <c r="AA40" s="757">
        <f t="shared" si="11"/>
        <v>0</v>
      </c>
      <c r="AB40" s="759">
        <f t="shared" si="11"/>
        <v>0</v>
      </c>
      <c r="AC40" s="758">
        <f>+SUMIFS(AC$69:AC$444,$E$69:$E$444,$E$71,$I$69:$I$444,"*Price cap*")</f>
        <v>0</v>
      </c>
      <c r="AD40" s="757">
        <f t="shared" si="11"/>
        <v>0</v>
      </c>
      <c r="AE40" s="757">
        <f t="shared" si="11"/>
        <v>0</v>
      </c>
      <c r="AF40" s="757">
        <f t="shared" si="11"/>
        <v>0</v>
      </c>
      <c r="AG40" s="759">
        <f t="shared" si="11"/>
        <v>0</v>
      </c>
    </row>
    <row r="41" spans="3:113">
      <c r="W41" s="624" t="s">
        <v>559</v>
      </c>
      <c r="X41" s="604">
        <f t="shared" ref="X41:AG41" si="12">+X39+X40</f>
        <v>0</v>
      </c>
      <c r="Y41" s="604">
        <f t="shared" si="12"/>
        <v>0</v>
      </c>
      <c r="Z41" s="604">
        <f t="shared" si="12"/>
        <v>0</v>
      </c>
      <c r="AA41" s="604">
        <f t="shared" si="12"/>
        <v>0</v>
      </c>
      <c r="AB41" s="604">
        <f t="shared" si="12"/>
        <v>0</v>
      </c>
      <c r="AC41" s="604">
        <f t="shared" si="12"/>
        <v>0</v>
      </c>
      <c r="AD41" s="604">
        <f t="shared" si="12"/>
        <v>0</v>
      </c>
      <c r="AE41" s="604">
        <f t="shared" si="12"/>
        <v>0</v>
      </c>
      <c r="AF41" s="604">
        <f t="shared" si="12"/>
        <v>0</v>
      </c>
      <c r="AG41" s="604">
        <f t="shared" si="12"/>
        <v>0</v>
      </c>
    </row>
    <row r="42" spans="3:113">
      <c r="E42" s="684" t="s">
        <v>29</v>
      </c>
      <c r="H42" s="74" t="str">
        <f>C7</f>
        <v>$m, 01/01/26</v>
      </c>
      <c r="W42" s="812" t="s">
        <v>469</v>
      </c>
      <c r="X42" s="608">
        <f t="shared" ref="X42:AG42" si="13">+X41-X13</f>
        <v>0</v>
      </c>
      <c r="Y42" s="608">
        <f t="shared" si="13"/>
        <v>0</v>
      </c>
      <c r="Z42" s="608">
        <f t="shared" si="13"/>
        <v>0</v>
      </c>
      <c r="AA42" s="608">
        <f t="shared" si="13"/>
        <v>0</v>
      </c>
      <c r="AB42" s="608">
        <f t="shared" si="13"/>
        <v>0</v>
      </c>
      <c r="AC42" s="608">
        <f t="shared" si="13"/>
        <v>0</v>
      </c>
      <c r="AD42" s="608">
        <f t="shared" si="13"/>
        <v>0</v>
      </c>
      <c r="AE42" s="608">
        <f t="shared" si="13"/>
        <v>0</v>
      </c>
      <c r="AF42" s="608">
        <f t="shared" si="13"/>
        <v>0</v>
      </c>
      <c r="AG42" s="608">
        <f t="shared" si="13"/>
        <v>0</v>
      </c>
      <c r="AW42" s="684"/>
      <c r="BX42" s="684"/>
      <c r="CT42" s="684"/>
      <c r="DG42" s="684"/>
    </row>
    <row r="44" spans="3:113">
      <c r="F44" s="686" t="s">
        <v>30</v>
      </c>
      <c r="AX44" s="686"/>
      <c r="BY44" s="686"/>
      <c r="CU44" s="686"/>
      <c r="DH44" s="686"/>
    </row>
    <row r="45" spans="3:113">
      <c r="F45" s="383" t="s">
        <v>31</v>
      </c>
      <c r="K45" s="813"/>
      <c r="L45" s="814"/>
      <c r="M45" s="814"/>
      <c r="N45" s="814"/>
      <c r="O45" s="1724"/>
      <c r="P45" s="1722"/>
      <c r="Q45" s="1722"/>
      <c r="R45" s="1722"/>
      <c r="S45" s="429"/>
      <c r="T45" s="429"/>
      <c r="U45" s="429"/>
      <c r="V45" s="429"/>
      <c r="W45" s="430"/>
      <c r="X45" s="428"/>
      <c r="Y45" s="429"/>
      <c r="Z45" s="429"/>
      <c r="AA45" s="429"/>
      <c r="AB45" s="430"/>
      <c r="AC45" s="429"/>
      <c r="AD45" s="429"/>
      <c r="AE45" s="429"/>
      <c r="AF45" s="429"/>
      <c r="AG45" s="430"/>
      <c r="AX45" s="383"/>
      <c r="BY45" s="383"/>
      <c r="CU45" s="383"/>
      <c r="DH45" s="383"/>
    </row>
    <row r="46" spans="3:113">
      <c r="F46" s="383" t="s">
        <v>32</v>
      </c>
      <c r="K46" s="815"/>
      <c r="L46" s="399"/>
      <c r="M46" s="399"/>
      <c r="N46" s="399"/>
      <c r="O46" s="1725"/>
      <c r="P46" s="1721"/>
      <c r="Q46" s="1721"/>
      <c r="R46" s="432"/>
      <c r="S46" s="432"/>
      <c r="T46" s="432"/>
      <c r="U46" s="432"/>
      <c r="V46" s="432"/>
      <c r="W46" s="433"/>
      <c r="X46" s="431"/>
      <c r="Y46" s="432"/>
      <c r="Z46" s="432"/>
      <c r="AA46" s="432"/>
      <c r="AB46" s="433"/>
      <c r="AC46" s="432"/>
      <c r="AD46" s="432"/>
      <c r="AE46" s="432"/>
      <c r="AF46" s="432"/>
      <c r="AG46" s="433"/>
      <c r="AX46" s="383"/>
      <c r="BY46" s="383"/>
      <c r="CU46" s="383"/>
      <c r="DH46" s="383"/>
    </row>
    <row r="47" spans="3:113">
      <c r="F47" s="383" t="s">
        <v>33</v>
      </c>
      <c r="K47" s="815"/>
      <c r="L47" s="399"/>
      <c r="M47" s="399"/>
      <c r="N47" s="399"/>
      <c r="O47" s="1725"/>
      <c r="P47" s="1721"/>
      <c r="Q47" s="1721"/>
      <c r="R47" s="432"/>
      <c r="S47" s="432"/>
      <c r="T47" s="432"/>
      <c r="U47" s="432"/>
      <c r="V47" s="432"/>
      <c r="W47" s="433"/>
      <c r="X47" s="431"/>
      <c r="Y47" s="432"/>
      <c r="Z47" s="432"/>
      <c r="AA47" s="432"/>
      <c r="AB47" s="433"/>
      <c r="AC47" s="432"/>
      <c r="AD47" s="432"/>
      <c r="AE47" s="432"/>
      <c r="AF47" s="432"/>
      <c r="AG47" s="433"/>
      <c r="CU47" s="383"/>
      <c r="DH47" s="383"/>
    </row>
    <row r="48" spans="3:113">
      <c r="F48" s="383" t="s">
        <v>34</v>
      </c>
      <c r="K48" s="816"/>
      <c r="L48" s="817"/>
      <c r="M48" s="817"/>
      <c r="N48" s="817"/>
      <c r="O48" s="1726"/>
      <c r="P48" s="1723"/>
      <c r="Q48" s="1723"/>
      <c r="R48" s="435"/>
      <c r="S48" s="435"/>
      <c r="T48" s="435"/>
      <c r="U48" s="435"/>
      <c r="V48" s="435"/>
      <c r="W48" s="436"/>
      <c r="X48" s="434"/>
      <c r="Y48" s="435"/>
      <c r="Z48" s="435"/>
      <c r="AA48" s="435"/>
      <c r="AB48" s="436"/>
      <c r="AC48" s="435"/>
      <c r="AD48" s="435"/>
      <c r="AE48" s="435"/>
      <c r="AF48" s="435"/>
      <c r="AG48" s="436"/>
      <c r="CU48" s="383"/>
      <c r="DH48" s="383"/>
    </row>
    <row r="49" spans="5:121">
      <c r="F49" s="686" t="str">
        <f>+CONCATENATE("Total ",F44)</f>
        <v>Total Contract revenue</v>
      </c>
      <c r="K49" s="399">
        <f t="shared" ref="K49:R49" si="14">+SUM(K45:K48)</f>
        <v>0</v>
      </c>
      <c r="L49" s="399">
        <f t="shared" si="14"/>
        <v>0</v>
      </c>
      <c r="M49" s="399">
        <f t="shared" si="14"/>
        <v>0</v>
      </c>
      <c r="N49" s="399">
        <f t="shared" si="14"/>
        <v>0</v>
      </c>
      <c r="O49" s="399">
        <f t="shared" si="14"/>
        <v>0</v>
      </c>
      <c r="P49" s="399">
        <f t="shared" si="14"/>
        <v>0</v>
      </c>
      <c r="Q49" s="399">
        <f t="shared" si="14"/>
        <v>0</v>
      </c>
      <c r="R49" s="399">
        <f t="shared" si="14"/>
        <v>0</v>
      </c>
      <c r="S49" s="573">
        <f t="shared" ref="S49:AG49" si="15">+SUM(S45:S48)</f>
        <v>0</v>
      </c>
      <c r="T49" s="573">
        <f t="shared" si="15"/>
        <v>0</v>
      </c>
      <c r="U49" s="573">
        <f t="shared" si="15"/>
        <v>0</v>
      </c>
      <c r="V49" s="573">
        <f t="shared" si="15"/>
        <v>0</v>
      </c>
      <c r="W49" s="573">
        <f t="shared" si="15"/>
        <v>0</v>
      </c>
      <c r="X49" s="382">
        <f t="shared" si="15"/>
        <v>0</v>
      </c>
      <c r="Y49" s="382">
        <f t="shared" si="15"/>
        <v>0</v>
      </c>
      <c r="Z49" s="382">
        <f t="shared" si="15"/>
        <v>0</v>
      </c>
      <c r="AA49" s="382">
        <f t="shared" si="15"/>
        <v>0</v>
      </c>
      <c r="AB49" s="382">
        <f t="shared" si="15"/>
        <v>0</v>
      </c>
      <c r="AC49" s="382">
        <f t="shared" si="15"/>
        <v>0</v>
      </c>
      <c r="AD49" s="382">
        <f t="shared" si="15"/>
        <v>0</v>
      </c>
      <c r="AE49" s="382">
        <f t="shared" si="15"/>
        <v>0</v>
      </c>
      <c r="AF49" s="382">
        <f t="shared" si="15"/>
        <v>0</v>
      </c>
      <c r="AG49" s="382">
        <f t="shared" si="15"/>
        <v>0</v>
      </c>
      <c r="CU49" s="686"/>
      <c r="DH49" s="686"/>
    </row>
    <row r="50" spans="5:121">
      <c r="K50" s="672"/>
      <c r="L50" s="672"/>
      <c r="M50" s="672"/>
      <c r="N50" s="672"/>
      <c r="O50" s="672"/>
      <c r="P50" s="672"/>
      <c r="Q50" s="672"/>
      <c r="R50" s="672"/>
      <c r="S50" s="123"/>
      <c r="T50" s="123"/>
      <c r="U50" s="123"/>
      <c r="V50" s="123"/>
      <c r="W50" s="123"/>
      <c r="X50" s="128"/>
      <c r="Y50" s="128"/>
      <c r="Z50" s="128"/>
      <c r="AA50" s="128"/>
      <c r="AB50" s="128"/>
      <c r="AC50" s="128"/>
      <c r="AD50" s="128"/>
      <c r="AE50" s="128"/>
      <c r="AF50" s="128"/>
      <c r="AG50" s="128"/>
    </row>
    <row r="51" spans="5:121">
      <c r="F51" s="686" t="s">
        <v>284</v>
      </c>
      <c r="K51" s="672"/>
      <c r="L51" s="672"/>
      <c r="M51" s="672"/>
      <c r="N51" s="672"/>
      <c r="O51" s="672"/>
      <c r="P51" s="672"/>
      <c r="Q51" s="672"/>
      <c r="R51" s="672"/>
      <c r="S51" s="123"/>
      <c r="T51" s="123"/>
      <c r="U51" s="123"/>
      <c r="V51" s="123"/>
      <c r="W51" s="123"/>
      <c r="X51" s="128"/>
      <c r="Y51" s="128"/>
      <c r="Z51" s="128"/>
      <c r="AA51" s="128"/>
      <c r="AB51" s="128"/>
      <c r="AC51" s="128"/>
      <c r="AD51" s="128"/>
      <c r="AE51" s="128"/>
      <c r="AF51" s="128"/>
      <c r="AG51" s="128"/>
      <c r="AX51" s="686"/>
      <c r="CU51" s="686"/>
      <c r="DH51" s="686"/>
    </row>
    <row r="52" spans="5:121">
      <c r="F52" s="383" t="s">
        <v>35</v>
      </c>
      <c r="K52" s="813"/>
      <c r="L52" s="814"/>
      <c r="M52" s="814"/>
      <c r="N52" s="814"/>
      <c r="O52" s="592"/>
      <c r="P52" s="429"/>
      <c r="Q52" s="429"/>
      <c r="R52" s="429"/>
      <c r="S52" s="429"/>
      <c r="T52" s="429"/>
      <c r="U52" s="429"/>
      <c r="V52" s="429"/>
      <c r="W52" s="430"/>
      <c r="X52" s="428"/>
      <c r="Y52" s="429"/>
      <c r="Z52" s="429"/>
      <c r="AA52" s="429"/>
      <c r="AB52" s="430"/>
      <c r="AC52" s="429"/>
      <c r="AD52" s="429"/>
      <c r="AE52" s="429"/>
      <c r="AF52" s="429"/>
      <c r="AG52" s="430"/>
      <c r="BX52" s="628"/>
      <c r="BY52" s="628"/>
      <c r="BZ52" s="628"/>
      <c r="CE52" s="104"/>
      <c r="CU52" s="383"/>
      <c r="DH52" s="383"/>
    </row>
    <row r="53" spans="5:121" ht="12.75" thickBot="1">
      <c r="F53" s="383" t="s">
        <v>276</v>
      </c>
      <c r="K53" s="815"/>
      <c r="L53" s="399"/>
      <c r="M53" s="399"/>
      <c r="N53" s="399"/>
      <c r="O53" s="593"/>
      <c r="P53" s="432"/>
      <c r="Q53" s="432"/>
      <c r="R53" s="432"/>
      <c r="S53" s="432"/>
      <c r="T53" s="432"/>
      <c r="U53" s="432"/>
      <c r="V53" s="432"/>
      <c r="W53" s="433"/>
      <c r="X53" s="431"/>
      <c r="Y53" s="432"/>
      <c r="Z53" s="432"/>
      <c r="AA53" s="432"/>
      <c r="AB53" s="433"/>
      <c r="AC53" s="432"/>
      <c r="AD53" s="432"/>
      <c r="AE53" s="432"/>
      <c r="AF53" s="432"/>
      <c r="AG53" s="433"/>
      <c r="BZ53" s="500"/>
      <c r="CE53" s="500"/>
      <c r="CF53" s="500"/>
      <c r="CU53" s="383"/>
      <c r="DH53" s="383"/>
    </row>
    <row r="54" spans="5:121" ht="12.75" thickBot="1">
      <c r="F54" s="383" t="s">
        <v>36</v>
      </c>
      <c r="K54" s="816"/>
      <c r="L54" s="817"/>
      <c r="M54" s="817"/>
      <c r="N54" s="817"/>
      <c r="O54" s="594"/>
      <c r="P54" s="435"/>
      <c r="Q54" s="435"/>
      <c r="R54" s="435"/>
      <c r="S54" s="435"/>
      <c r="T54" s="435"/>
      <c r="U54" s="435"/>
      <c r="V54" s="435"/>
      <c r="W54" s="436"/>
      <c r="X54" s="434"/>
      <c r="Y54" s="435"/>
      <c r="Z54" s="435"/>
      <c r="AA54" s="435"/>
      <c r="AB54" s="436"/>
      <c r="AC54" s="435"/>
      <c r="AD54" s="435"/>
      <c r="AE54" s="435"/>
      <c r="AF54" s="435"/>
      <c r="AG54" s="436"/>
      <c r="AZ54" s="2235" t="s">
        <v>842</v>
      </c>
      <c r="BA54" s="2236"/>
      <c r="BB54" s="2236"/>
      <c r="BC54" s="2236"/>
      <c r="BD54" s="2236"/>
      <c r="BE54" s="2236"/>
      <c r="BF54" s="2236"/>
      <c r="BG54" s="2236"/>
      <c r="BH54" s="2236"/>
      <c r="BI54" s="2236"/>
      <c r="BJ54" s="2236"/>
      <c r="BK54" s="2236"/>
      <c r="BL54" s="2236"/>
      <c r="BM54" s="2236"/>
      <c r="BN54" s="2236"/>
      <c r="BO54" s="2236"/>
      <c r="BP54" s="2236"/>
      <c r="BQ54" s="2237"/>
      <c r="CA54" s="2235" t="s">
        <v>843</v>
      </c>
      <c r="CB54" s="2236"/>
      <c r="CC54" s="2236"/>
      <c r="CD54" s="2236"/>
      <c r="CE54" s="2236"/>
      <c r="CF54" s="2236"/>
      <c r="CG54" s="2236"/>
      <c r="CH54" s="2236"/>
      <c r="CI54" s="2236"/>
      <c r="CJ54" s="2236"/>
      <c r="CK54" s="2236"/>
      <c r="CL54" s="2236"/>
      <c r="CM54" s="2236"/>
      <c r="CN54" s="2236"/>
      <c r="CO54" s="2236"/>
      <c r="CP54" s="2236"/>
      <c r="CQ54" s="2236"/>
      <c r="CR54" s="2237"/>
      <c r="CU54" s="383"/>
      <c r="DH54" s="383"/>
    </row>
    <row r="55" spans="5:121" ht="12.75" thickBot="1">
      <c r="F55" s="686" t="str">
        <f>+CONCATENATE("Total ",F51)</f>
        <v>Total Other non-scheduled tariff revenue</v>
      </c>
      <c r="K55" s="399">
        <f>+SUM(K52:K54)</f>
        <v>0</v>
      </c>
      <c r="L55" s="399">
        <f t="shared" ref="L55:AG55" si="16">+SUM(L52:L54)</f>
        <v>0</v>
      </c>
      <c r="M55" s="399">
        <f t="shared" si="16"/>
        <v>0</v>
      </c>
      <c r="N55" s="399">
        <f t="shared" si="16"/>
        <v>0</v>
      </c>
      <c r="O55" s="399">
        <f t="shared" si="16"/>
        <v>0</v>
      </c>
      <c r="P55" s="399">
        <f t="shared" si="16"/>
        <v>0</v>
      </c>
      <c r="Q55" s="399">
        <f t="shared" si="16"/>
        <v>0</v>
      </c>
      <c r="R55" s="399">
        <f t="shared" si="16"/>
        <v>0</v>
      </c>
      <c r="S55" s="399">
        <f t="shared" si="16"/>
        <v>0</v>
      </c>
      <c r="T55" s="399">
        <f t="shared" si="16"/>
        <v>0</v>
      </c>
      <c r="U55" s="399">
        <f t="shared" si="16"/>
        <v>0</v>
      </c>
      <c r="V55" s="399">
        <f t="shared" si="16"/>
        <v>0</v>
      </c>
      <c r="W55" s="399">
        <f t="shared" si="16"/>
        <v>0</v>
      </c>
      <c r="X55" s="399">
        <f t="shared" si="16"/>
        <v>0</v>
      </c>
      <c r="Y55" s="399">
        <f t="shared" si="16"/>
        <v>0</v>
      </c>
      <c r="Z55" s="399">
        <f t="shared" si="16"/>
        <v>0</v>
      </c>
      <c r="AA55" s="399">
        <f t="shared" si="16"/>
        <v>0</v>
      </c>
      <c r="AB55" s="399">
        <f t="shared" si="16"/>
        <v>0</v>
      </c>
      <c r="AC55" s="399">
        <f t="shared" si="16"/>
        <v>0</v>
      </c>
      <c r="AD55" s="399">
        <f t="shared" si="16"/>
        <v>0</v>
      </c>
      <c r="AE55" s="399">
        <f t="shared" si="16"/>
        <v>0</v>
      </c>
      <c r="AF55" s="399">
        <f t="shared" si="16"/>
        <v>0</v>
      </c>
      <c r="AG55" s="399">
        <f t="shared" si="16"/>
        <v>0</v>
      </c>
      <c r="AZ55" s="2244" t="str">
        <f>AZ67</f>
        <v>FOURTH REG PERIOD</v>
      </c>
      <c r="BA55" s="2253"/>
      <c r="BB55" s="2253"/>
      <c r="BC55" s="2253"/>
      <c r="BD55" s="2253"/>
      <c r="BE55" s="2253"/>
      <c r="BF55" s="2253"/>
      <c r="BG55" s="2255"/>
      <c r="BH55" s="2252" t="str">
        <f>BH67</f>
        <v>FIFTH REG PERIOD</v>
      </c>
      <c r="BI55" s="2253"/>
      <c r="BJ55" s="2253"/>
      <c r="BK55" s="2253"/>
      <c r="BL55" s="2255"/>
      <c r="BM55" s="2253" t="str">
        <f>BM67</f>
        <v>SIXTH REG PERIOD</v>
      </c>
      <c r="BN55" s="2253"/>
      <c r="BO55" s="2253"/>
      <c r="BP55" s="2253"/>
      <c r="BQ55" s="2254"/>
      <c r="CA55" s="2244" t="str">
        <f>CA67</f>
        <v>FOURTH REG PERIOD</v>
      </c>
      <c r="CB55" s="2253"/>
      <c r="CC55" s="2253"/>
      <c r="CD55" s="2253"/>
      <c r="CE55" s="2253"/>
      <c r="CF55" s="2253"/>
      <c r="CG55" s="2253"/>
      <c r="CH55" s="2255"/>
      <c r="CI55" s="2252" t="str">
        <f>CI67</f>
        <v>FIFTH REG PERIOD</v>
      </c>
      <c r="CJ55" s="2253"/>
      <c r="CK55" s="2253"/>
      <c r="CL55" s="2253"/>
      <c r="CM55" s="2255"/>
      <c r="CN55" s="2253" t="str">
        <f>CN67</f>
        <v>SIXTH REG PERIOD</v>
      </c>
      <c r="CO55" s="2253"/>
      <c r="CP55" s="2253"/>
      <c r="CQ55" s="2253"/>
      <c r="CR55" s="2254"/>
      <c r="CU55" s="686"/>
      <c r="DH55" s="686"/>
    </row>
    <row r="56" spans="5:121" ht="12.75" thickBot="1">
      <c r="K56" s="672"/>
      <c r="L56" s="672"/>
      <c r="M56" s="672"/>
      <c r="N56" s="672"/>
      <c r="O56" s="672"/>
      <c r="P56" s="672"/>
      <c r="Q56" s="672"/>
      <c r="R56" s="672"/>
      <c r="S56" s="123"/>
      <c r="T56" s="123"/>
      <c r="U56" s="123"/>
      <c r="V56" s="123"/>
      <c r="W56" s="123"/>
      <c r="X56" s="128"/>
      <c r="Y56" s="128"/>
      <c r="Z56" s="128"/>
      <c r="AA56" s="128"/>
      <c r="AB56" s="128"/>
      <c r="AC56" s="128"/>
      <c r="AD56" s="128"/>
      <c r="AE56" s="128"/>
      <c r="AF56" s="128"/>
      <c r="AG56" s="128"/>
      <c r="AW56" s="1309" t="str">
        <f>AW68</f>
        <v>PQR</v>
      </c>
      <c r="AX56" s="1310"/>
      <c r="AY56" s="1311"/>
      <c r="AZ56" s="1313" t="str">
        <f>AZ68</f>
        <v>2018-19</v>
      </c>
      <c r="BA56" s="1313" t="str">
        <f>BA68</f>
        <v>2019-20</v>
      </c>
      <c r="BB56" s="1313" t="str">
        <f>BB68</f>
        <v>2020-21</v>
      </c>
      <c r="BC56" s="1313" t="str">
        <f>BC68</f>
        <v>2021-22</v>
      </c>
      <c r="BD56" s="1313" t="str">
        <f t="shared" ref="BD56:BQ56" si="17">BD68</f>
        <v>2022-23</v>
      </c>
      <c r="BE56" s="1313" t="str">
        <f t="shared" si="17"/>
        <v>2023-24</v>
      </c>
      <c r="BF56" s="1313" t="str">
        <f t="shared" si="17"/>
        <v>2024-25</v>
      </c>
      <c r="BG56" s="1314" t="str">
        <f t="shared" si="17"/>
        <v>2025-26</v>
      </c>
      <c r="BH56" s="1313" t="str">
        <f t="shared" si="17"/>
        <v>2026-27</v>
      </c>
      <c r="BI56" s="1313" t="str">
        <f t="shared" si="17"/>
        <v>2027-28</v>
      </c>
      <c r="BJ56" s="1313" t="str">
        <f t="shared" si="17"/>
        <v>2028-29</v>
      </c>
      <c r="BK56" s="1313" t="str">
        <f t="shared" si="17"/>
        <v>2029-30</v>
      </c>
      <c r="BL56" s="1314" t="str">
        <f t="shared" si="17"/>
        <v>2030-31</v>
      </c>
      <c r="BM56" s="1313" t="str">
        <f t="shared" si="17"/>
        <v>2031-32</v>
      </c>
      <c r="BN56" s="1313" t="str">
        <f t="shared" si="17"/>
        <v>2032-33</v>
      </c>
      <c r="BO56" s="1313" t="str">
        <f t="shared" si="17"/>
        <v>2033-34</v>
      </c>
      <c r="BP56" s="1313" t="str">
        <f t="shared" si="17"/>
        <v>2034-35</v>
      </c>
      <c r="BQ56" s="1315" t="str">
        <f t="shared" si="17"/>
        <v>2035-36</v>
      </c>
      <c r="BX56" s="1309" t="str">
        <f>BX68</f>
        <v>PQR</v>
      </c>
      <c r="BY56" s="1310"/>
      <c r="BZ56" s="1311"/>
      <c r="CA56" s="1312" t="str">
        <f t="shared" ref="CA56:CR56" si="18">CA68</f>
        <v>2018-19</v>
      </c>
      <c r="CB56" s="1313" t="str">
        <f>CB68</f>
        <v>2019-20</v>
      </c>
      <c r="CC56" s="1313" t="str">
        <f>CC68</f>
        <v>2020-21</v>
      </c>
      <c r="CD56" s="1313" t="str">
        <f>CD68</f>
        <v>2021-22</v>
      </c>
      <c r="CE56" s="1313" t="str">
        <f t="shared" si="18"/>
        <v>2022-23</v>
      </c>
      <c r="CF56" s="1313" t="str">
        <f t="shared" si="18"/>
        <v>2023-24</v>
      </c>
      <c r="CG56" s="1313" t="str">
        <f t="shared" si="18"/>
        <v>2024-25</v>
      </c>
      <c r="CH56" s="1314" t="str">
        <f t="shared" si="18"/>
        <v>2025-26</v>
      </c>
      <c r="CI56" s="1313" t="str">
        <f t="shared" si="18"/>
        <v>2026-27</v>
      </c>
      <c r="CJ56" s="1313" t="str">
        <f t="shared" si="18"/>
        <v>2027-28</v>
      </c>
      <c r="CK56" s="1313" t="str">
        <f t="shared" si="18"/>
        <v>2028-29</v>
      </c>
      <c r="CL56" s="1313" t="str">
        <f t="shared" si="18"/>
        <v>2029-30</v>
      </c>
      <c r="CM56" s="1314" t="str">
        <f t="shared" si="18"/>
        <v>2030-31</v>
      </c>
      <c r="CN56" s="1313" t="str">
        <f t="shared" si="18"/>
        <v>2031-32</v>
      </c>
      <c r="CO56" s="1313" t="str">
        <f t="shared" si="18"/>
        <v>2032-33</v>
      </c>
      <c r="CP56" s="1313" t="str">
        <f t="shared" si="18"/>
        <v>2033-34</v>
      </c>
      <c r="CQ56" s="1313" t="str">
        <f t="shared" si="18"/>
        <v>2034-35</v>
      </c>
      <c r="CR56" s="1315" t="str">
        <f t="shared" si="18"/>
        <v>2035-36</v>
      </c>
    </row>
    <row r="57" spans="5:121">
      <c r="E57" s="684" t="str">
        <f>+CONCATENATE("Total ",E42)</f>
        <v>Total Non-tariff revenue</v>
      </c>
      <c r="H57" s="74" t="str">
        <f>H42</f>
        <v>$m, 01/01/26</v>
      </c>
      <c r="K57" s="818">
        <f>+K49+K55</f>
        <v>0</v>
      </c>
      <c r="L57" s="819">
        <f t="shared" ref="L57:AG57" si="19">+L49+L55</f>
        <v>0</v>
      </c>
      <c r="M57" s="819">
        <f t="shared" si="19"/>
        <v>0</v>
      </c>
      <c r="N57" s="819">
        <f t="shared" si="19"/>
        <v>0</v>
      </c>
      <c r="O57" s="820">
        <f t="shared" si="19"/>
        <v>0</v>
      </c>
      <c r="P57" s="819">
        <f t="shared" si="19"/>
        <v>0</v>
      </c>
      <c r="Q57" s="819">
        <f t="shared" si="19"/>
        <v>0</v>
      </c>
      <c r="R57" s="819">
        <f t="shared" si="19"/>
        <v>0</v>
      </c>
      <c r="S57" s="115">
        <f t="shared" si="19"/>
        <v>0</v>
      </c>
      <c r="T57" s="115">
        <f t="shared" si="19"/>
        <v>0</v>
      </c>
      <c r="U57" s="115">
        <f t="shared" si="19"/>
        <v>0</v>
      </c>
      <c r="V57" s="115">
        <f t="shared" si="19"/>
        <v>0</v>
      </c>
      <c r="W57" s="116">
        <f t="shared" si="19"/>
        <v>0</v>
      </c>
      <c r="X57" s="691">
        <f t="shared" si="19"/>
        <v>0</v>
      </c>
      <c r="Y57" s="692">
        <f t="shared" si="19"/>
        <v>0</v>
      </c>
      <c r="Z57" s="692">
        <f t="shared" si="19"/>
        <v>0</v>
      </c>
      <c r="AA57" s="692">
        <f t="shared" si="19"/>
        <v>0</v>
      </c>
      <c r="AB57" s="693">
        <f t="shared" si="19"/>
        <v>0</v>
      </c>
      <c r="AC57" s="691">
        <f t="shared" si="19"/>
        <v>0</v>
      </c>
      <c r="AD57" s="692">
        <f t="shared" si="19"/>
        <v>0</v>
      </c>
      <c r="AE57" s="692">
        <f t="shared" si="19"/>
        <v>0</v>
      </c>
      <c r="AF57" s="692">
        <f t="shared" si="19"/>
        <v>0</v>
      </c>
      <c r="AG57" s="693">
        <f t="shared" si="19"/>
        <v>0</v>
      </c>
      <c r="AW57" s="1316" t="s">
        <v>44</v>
      </c>
      <c r="AX57" s="1317"/>
      <c r="AY57" s="1318"/>
      <c r="AZ57" s="1320" t="str">
        <f>IFERROR(AVERAGEIF($AW$69:$AW$65592,$AW$69,AZ$69:AZ$65592),"-")</f>
        <v>-</v>
      </c>
      <c r="BA57" s="1320" t="str">
        <f>IFERROR(AVERAGEIF($AW$69:$AW$65592,$AW$69,BA$69:BA$65592),"-")</f>
        <v>-</v>
      </c>
      <c r="BB57" s="1320" t="str">
        <f>IFERROR(AVERAGEIF($AW$69:$AW$65592,$AW$69,BB$69:BB$65592),"-")</f>
        <v>-</v>
      </c>
      <c r="BC57" s="1320" t="str">
        <f>IFERROR(AVERAGEIF($AW$69:$AW$65592,$AW$69,BC$69:BC$65592),"-")</f>
        <v>-</v>
      </c>
      <c r="BD57" s="1320" t="str">
        <f t="shared" ref="BD57:BQ57" si="20">IFERROR(AVERAGEIF($AW$69:$AW$65592,$AW$69,BD$69:BD$65592),"-")</f>
        <v>-</v>
      </c>
      <c r="BE57" s="1320" t="str">
        <f t="shared" si="20"/>
        <v>-</v>
      </c>
      <c r="BF57" s="1320" t="str">
        <f t="shared" si="20"/>
        <v>-</v>
      </c>
      <c r="BG57" s="1321" t="str">
        <f t="shared" si="20"/>
        <v>-</v>
      </c>
      <c r="BH57" s="1322" t="str">
        <f t="shared" si="20"/>
        <v>-</v>
      </c>
      <c r="BI57" s="1320" t="str">
        <f t="shared" si="20"/>
        <v>-</v>
      </c>
      <c r="BJ57" s="1320" t="str">
        <f t="shared" si="20"/>
        <v>-</v>
      </c>
      <c r="BK57" s="1320" t="str">
        <f t="shared" si="20"/>
        <v>-</v>
      </c>
      <c r="BL57" s="1321" t="str">
        <f t="shared" si="20"/>
        <v>-</v>
      </c>
      <c r="BM57" s="1320" t="str">
        <f t="shared" si="20"/>
        <v>-</v>
      </c>
      <c r="BN57" s="1320" t="str">
        <f t="shared" si="20"/>
        <v>-</v>
      </c>
      <c r="BO57" s="1320" t="str">
        <f t="shared" si="20"/>
        <v>-</v>
      </c>
      <c r="BP57" s="1320" t="str">
        <f t="shared" si="20"/>
        <v>-</v>
      </c>
      <c r="BQ57" s="1323" t="str">
        <f t="shared" si="20"/>
        <v>-</v>
      </c>
      <c r="BX57" s="1316" t="s">
        <v>44</v>
      </c>
      <c r="BY57" s="1317"/>
      <c r="BZ57" s="1318"/>
      <c r="CA57" s="1324">
        <f>SUMIF($BX$69:$BX$65592,$BX$69,CA$69:CA$65592)</f>
        <v>0</v>
      </c>
      <c r="CB57" s="1325">
        <f>SUMIF($BX$69:$BX$65592,$BX$69,CB$69:CB$65592)</f>
        <v>0</v>
      </c>
      <c r="CC57" s="1325">
        <f>SUMIF($BX$69:$BX$65592,$BX$69,CC$69:CC$65592)</f>
        <v>0</v>
      </c>
      <c r="CD57" s="1325">
        <f>SUMIF($BX$69:$BX$65592,$BX$69,CD$69:CD$65592)</f>
        <v>0</v>
      </c>
      <c r="CE57" s="1325">
        <f t="shared" ref="CE57:CR57" si="21">SUMIF($BX$69:$BX$65592,$BX$69,CE$69:CE$65592)</f>
        <v>0</v>
      </c>
      <c r="CF57" s="1325">
        <f t="shared" si="21"/>
        <v>0</v>
      </c>
      <c r="CG57" s="1325">
        <f t="shared" si="21"/>
        <v>0</v>
      </c>
      <c r="CH57" s="1326">
        <f t="shared" si="21"/>
        <v>0</v>
      </c>
      <c r="CI57" s="1327">
        <f t="shared" si="21"/>
        <v>0</v>
      </c>
      <c r="CJ57" s="1325">
        <f t="shared" si="21"/>
        <v>0</v>
      </c>
      <c r="CK57" s="1325">
        <f t="shared" si="21"/>
        <v>0</v>
      </c>
      <c r="CL57" s="1325">
        <f t="shared" si="21"/>
        <v>0</v>
      </c>
      <c r="CM57" s="1326">
        <f t="shared" si="21"/>
        <v>0</v>
      </c>
      <c r="CN57" s="1325">
        <f t="shared" si="21"/>
        <v>0</v>
      </c>
      <c r="CO57" s="1325">
        <f t="shared" si="21"/>
        <v>0</v>
      </c>
      <c r="CP57" s="1325">
        <f t="shared" si="21"/>
        <v>0</v>
      </c>
      <c r="CQ57" s="1325">
        <f t="shared" si="21"/>
        <v>0</v>
      </c>
      <c r="CR57" s="1328">
        <f t="shared" si="21"/>
        <v>0</v>
      </c>
    </row>
    <row r="58" spans="5:121">
      <c r="K58" s="672"/>
      <c r="L58" s="672"/>
      <c r="M58" s="672"/>
      <c r="N58" s="672"/>
      <c r="O58" s="672"/>
      <c r="P58" s="672"/>
      <c r="Q58" s="672"/>
      <c r="R58" s="672"/>
      <c r="S58" s="123"/>
      <c r="T58" s="123"/>
      <c r="U58" s="123"/>
      <c r="V58" s="123"/>
      <c r="W58" s="123"/>
      <c r="X58" s="128"/>
      <c r="Y58" s="128"/>
      <c r="Z58" s="128"/>
      <c r="AA58" s="128"/>
      <c r="AB58" s="128"/>
      <c r="AC58" s="128"/>
      <c r="AD58" s="128"/>
      <c r="AE58" s="128"/>
      <c r="AF58" s="128"/>
      <c r="AG58" s="128"/>
      <c r="AW58" s="1329" t="s">
        <v>844</v>
      </c>
      <c r="AX58" s="1330"/>
      <c r="AY58" s="1331"/>
      <c r="AZ58" s="1333" t="str">
        <f>IFERROR(AVERAGEIF($AW$69:$AW$65592,$AW$70,AZ$69:AZ$65592),"-")</f>
        <v>-</v>
      </c>
      <c r="BA58" s="1333" t="str">
        <f>IFERROR(AVERAGEIF($AW$69:$AW$65592,$AW$70,BA$69:BA$65592),"-")</f>
        <v>-</v>
      </c>
      <c r="BB58" s="1333" t="str">
        <f>IFERROR(AVERAGEIF($AW$69:$AW$65592,$AW$70,BB$69:BB$65592),"-")</f>
        <v>-</v>
      </c>
      <c r="BC58" s="1333" t="str">
        <f>IFERROR(AVERAGEIF($AW$69:$AW$65592,$AW$70,BC$69:BC$65592),"-")</f>
        <v>-</v>
      </c>
      <c r="BD58" s="1333" t="str">
        <f t="shared" ref="BD58:BQ58" si="22">IFERROR(AVERAGEIF($AW$69:$AW$65592,$AW$70,BD$69:BD$65592),"-")</f>
        <v>-</v>
      </c>
      <c r="BE58" s="1333" t="str">
        <f t="shared" si="22"/>
        <v>-</v>
      </c>
      <c r="BF58" s="1333" t="str">
        <f t="shared" si="22"/>
        <v>-</v>
      </c>
      <c r="BG58" s="1334" t="str">
        <f t="shared" si="22"/>
        <v>-</v>
      </c>
      <c r="BH58" s="1335" t="str">
        <f t="shared" si="22"/>
        <v>-</v>
      </c>
      <c r="BI58" s="1333" t="str">
        <f t="shared" si="22"/>
        <v>-</v>
      </c>
      <c r="BJ58" s="1333" t="str">
        <f t="shared" si="22"/>
        <v>-</v>
      </c>
      <c r="BK58" s="1333" t="str">
        <f t="shared" si="22"/>
        <v>-</v>
      </c>
      <c r="BL58" s="1334" t="str">
        <f t="shared" si="22"/>
        <v>-</v>
      </c>
      <c r="BM58" s="1333" t="str">
        <f t="shared" si="22"/>
        <v>-</v>
      </c>
      <c r="BN58" s="1333" t="str">
        <f t="shared" si="22"/>
        <v>-</v>
      </c>
      <c r="BO58" s="1333" t="str">
        <f t="shared" si="22"/>
        <v>-</v>
      </c>
      <c r="BP58" s="1333" t="str">
        <f t="shared" si="22"/>
        <v>-</v>
      </c>
      <c r="BQ58" s="1336" t="str">
        <f t="shared" si="22"/>
        <v>-</v>
      </c>
      <c r="BX58" s="1329" t="s">
        <v>844</v>
      </c>
      <c r="BY58" s="1330"/>
      <c r="BZ58" s="1331"/>
      <c r="CA58" s="1337">
        <f>SUMIF($BX$69:$BX$65592,$BX$70,CA$69:CA$65592)</f>
        <v>0</v>
      </c>
      <c r="CB58" s="1338">
        <f>SUMIF($BX$69:$BX$65592,$BX$70,CB$69:CB$65592)</f>
        <v>0</v>
      </c>
      <c r="CC58" s="1338">
        <f>SUMIF($BX$69:$BX$65592,$BX$70,CC$69:CC$65592)</f>
        <v>0</v>
      </c>
      <c r="CD58" s="1338">
        <f>SUMIF($BX$69:$BX$65592,$BX$70,CD$69:CD$65592)</f>
        <v>0</v>
      </c>
      <c r="CE58" s="1338">
        <f t="shared" ref="CE58:CR58" si="23">SUMIF($BX$69:$BX$65592,$BX$70,CE$69:CE$65592)</f>
        <v>0</v>
      </c>
      <c r="CF58" s="1338">
        <f t="shared" si="23"/>
        <v>0</v>
      </c>
      <c r="CG58" s="1338">
        <f t="shared" si="23"/>
        <v>0</v>
      </c>
      <c r="CH58" s="1339">
        <f t="shared" si="23"/>
        <v>0</v>
      </c>
      <c r="CI58" s="1340">
        <f t="shared" si="23"/>
        <v>0</v>
      </c>
      <c r="CJ58" s="1338">
        <f t="shared" si="23"/>
        <v>0</v>
      </c>
      <c r="CK58" s="1338">
        <f t="shared" si="23"/>
        <v>0</v>
      </c>
      <c r="CL58" s="1338">
        <f t="shared" si="23"/>
        <v>0</v>
      </c>
      <c r="CM58" s="1339">
        <f t="shared" si="23"/>
        <v>0</v>
      </c>
      <c r="CN58" s="1338">
        <f t="shared" si="23"/>
        <v>0</v>
      </c>
      <c r="CO58" s="1338">
        <f t="shared" si="23"/>
        <v>0</v>
      </c>
      <c r="CP58" s="1338">
        <f t="shared" si="23"/>
        <v>0</v>
      </c>
      <c r="CQ58" s="1338">
        <f t="shared" si="23"/>
        <v>0</v>
      </c>
      <c r="CR58" s="1341">
        <f t="shared" si="23"/>
        <v>0</v>
      </c>
    </row>
    <row r="59" spans="5:121" ht="12.75" thickBot="1">
      <c r="E59" s="684" t="s">
        <v>37</v>
      </c>
      <c r="H59" s="74" t="str">
        <f>H57</f>
        <v>$m, 01/01/26</v>
      </c>
      <c r="K59" s="821"/>
      <c r="L59" s="822"/>
      <c r="M59" s="822"/>
      <c r="N59" s="822"/>
      <c r="O59" s="440"/>
      <c r="P59" s="438"/>
      <c r="Q59" s="438"/>
      <c r="R59" s="438"/>
      <c r="S59" s="438"/>
      <c r="T59" s="438"/>
      <c r="U59" s="438"/>
      <c r="V59" s="438"/>
      <c r="W59" s="438"/>
      <c r="X59" s="437"/>
      <c r="Y59" s="438"/>
      <c r="Z59" s="438"/>
      <c r="AA59" s="438"/>
      <c r="AB59" s="438"/>
      <c r="AC59" s="437"/>
      <c r="AD59" s="438"/>
      <c r="AE59" s="438"/>
      <c r="AF59" s="438"/>
      <c r="AG59" s="439"/>
      <c r="AW59" s="182" t="s">
        <v>68</v>
      </c>
      <c r="AX59" s="183"/>
      <c r="AY59" s="186"/>
      <c r="AZ59" s="1343" t="str">
        <f>IFERROR(AVERAGEIF($AW$69:$AW$65592,$AW$71,AZ$69:AZ$65592),"-")</f>
        <v>-</v>
      </c>
      <c r="BA59" s="1343" t="str">
        <f>IFERROR(AVERAGEIF($AW$69:$AW$65592,$AW$71,BA$69:BA$65592),"-")</f>
        <v>-</v>
      </c>
      <c r="BB59" s="1343" t="str">
        <f>IFERROR(AVERAGEIF($AW$69:$AW$65592,$AW$71,BB$69:BB$65592),"-")</f>
        <v>-</v>
      </c>
      <c r="BC59" s="1343" t="str">
        <f>IFERROR(AVERAGEIF($AW$69:$AW$65592,$AW$71,BC$69:BC$65592),"-")</f>
        <v>-</v>
      </c>
      <c r="BD59" s="1343" t="str">
        <f t="shared" ref="BD59:BQ59" si="24">IFERROR(AVERAGEIF($AW$69:$AW$65592,$AW$71,BD$69:BD$65592),"-")</f>
        <v>-</v>
      </c>
      <c r="BE59" s="1343" t="str">
        <f t="shared" si="24"/>
        <v>-</v>
      </c>
      <c r="BF59" s="1343" t="str">
        <f t="shared" si="24"/>
        <v>-</v>
      </c>
      <c r="BG59" s="1344" t="str">
        <f t="shared" si="24"/>
        <v>-</v>
      </c>
      <c r="BH59" s="1345" t="str">
        <f t="shared" si="24"/>
        <v>-</v>
      </c>
      <c r="BI59" s="1343" t="str">
        <f t="shared" si="24"/>
        <v>-</v>
      </c>
      <c r="BJ59" s="1343" t="str">
        <f t="shared" si="24"/>
        <v>-</v>
      </c>
      <c r="BK59" s="1343" t="str">
        <f t="shared" si="24"/>
        <v>-</v>
      </c>
      <c r="BL59" s="1344" t="str">
        <f t="shared" si="24"/>
        <v>-</v>
      </c>
      <c r="BM59" s="1343" t="str">
        <f t="shared" si="24"/>
        <v>-</v>
      </c>
      <c r="BN59" s="1343" t="str">
        <f t="shared" si="24"/>
        <v>-</v>
      </c>
      <c r="BO59" s="1343" t="str">
        <f t="shared" si="24"/>
        <v>-</v>
      </c>
      <c r="BP59" s="1343" t="str">
        <f t="shared" si="24"/>
        <v>-</v>
      </c>
      <c r="BQ59" s="1346" t="str">
        <f t="shared" si="24"/>
        <v>-</v>
      </c>
      <c r="BX59" s="182" t="s">
        <v>68</v>
      </c>
      <c r="BY59" s="183"/>
      <c r="BZ59" s="186"/>
      <c r="CA59" s="1347">
        <f>SUMIF($BX$69:$BX$65592,$BX$71,CA$69:CA$65592)</f>
        <v>0</v>
      </c>
      <c r="CB59" s="1348">
        <f>SUMIF($BX$69:$BX$65592,$BX$71,CB$69:CB$65592)</f>
        <v>0</v>
      </c>
      <c r="CC59" s="1348">
        <f>SUMIF($BX$69:$BX$65592,$BX$71,CC$69:CC$65592)</f>
        <v>0</v>
      </c>
      <c r="CD59" s="1348">
        <f>SUMIF($BX$69:$BX$65592,$BX$71,CD$69:CD$65592)</f>
        <v>0</v>
      </c>
      <c r="CE59" s="1348">
        <f t="shared" ref="CE59:CR59" si="25">SUMIF($BX$69:$BX$65592,$BX$71,CE$69:CE$65592)</f>
        <v>0</v>
      </c>
      <c r="CF59" s="1348">
        <f t="shared" si="25"/>
        <v>0</v>
      </c>
      <c r="CG59" s="1348">
        <f t="shared" si="25"/>
        <v>0</v>
      </c>
      <c r="CH59" s="1349">
        <f t="shared" si="25"/>
        <v>0</v>
      </c>
      <c r="CI59" s="1350">
        <f t="shared" si="25"/>
        <v>0</v>
      </c>
      <c r="CJ59" s="1348">
        <f t="shared" si="25"/>
        <v>0</v>
      </c>
      <c r="CK59" s="1348">
        <f t="shared" si="25"/>
        <v>0</v>
      </c>
      <c r="CL59" s="1348">
        <f t="shared" si="25"/>
        <v>0</v>
      </c>
      <c r="CM59" s="1349">
        <f t="shared" si="25"/>
        <v>0</v>
      </c>
      <c r="CN59" s="1348">
        <f t="shared" si="25"/>
        <v>0</v>
      </c>
      <c r="CO59" s="1348">
        <f t="shared" si="25"/>
        <v>0</v>
      </c>
      <c r="CP59" s="1348">
        <f t="shared" si="25"/>
        <v>0</v>
      </c>
      <c r="CQ59" s="1348">
        <f t="shared" si="25"/>
        <v>0</v>
      </c>
      <c r="CR59" s="1351">
        <f t="shared" si="25"/>
        <v>0</v>
      </c>
    </row>
    <row r="60" spans="5:121">
      <c r="AW60" s="1316" t="s">
        <v>845</v>
      </c>
      <c r="AX60" s="1317"/>
      <c r="AY60" s="1318"/>
      <c r="AZ60" s="1320"/>
      <c r="BA60" s="1320"/>
      <c r="BB60" s="1320"/>
      <c r="BC60" s="1320"/>
      <c r="BD60" s="1320"/>
      <c r="BE60" s="1320"/>
      <c r="BF60" s="1320"/>
      <c r="BG60" s="1321" t="str">
        <f>IFERROR(AVERAGE(AZ57:BG57),"-")</f>
        <v>-</v>
      </c>
      <c r="BH60" s="1322"/>
      <c r="BI60" s="1320"/>
      <c r="BJ60" s="1320"/>
      <c r="BK60" s="1320"/>
      <c r="BL60" s="1321" t="str">
        <f>IFERROR(AVERAGE(BH57:BL57),"-")</f>
        <v>-</v>
      </c>
      <c r="BM60" s="1320"/>
      <c r="BN60" s="1320"/>
      <c r="BO60" s="1320"/>
      <c r="BP60" s="1320"/>
      <c r="BQ60" s="1323" t="str">
        <f>IFERROR(AVERAGE(BM57:BQ57),"-")</f>
        <v>-</v>
      </c>
      <c r="BX60" s="1316" t="s">
        <v>846</v>
      </c>
      <c r="BY60" s="1317"/>
      <c r="BZ60" s="1318"/>
      <c r="CA60" s="1324"/>
      <c r="CB60" s="1325"/>
      <c r="CC60" s="1325"/>
      <c r="CD60" s="1325"/>
      <c r="CE60" s="1325"/>
      <c r="CF60" s="1325"/>
      <c r="CG60" s="1325"/>
      <c r="CH60" s="1326">
        <f>AVERAGE(CA57:CH57)</f>
        <v>0</v>
      </c>
      <c r="CI60" s="1327"/>
      <c r="CJ60" s="1325"/>
      <c r="CK60" s="1325"/>
      <c r="CL60" s="1325"/>
      <c r="CM60" s="1326">
        <f>AVERAGE(CI57:CM57)</f>
        <v>0</v>
      </c>
      <c r="CN60" s="1325"/>
      <c r="CO60" s="1325"/>
      <c r="CP60" s="1325"/>
      <c r="CQ60" s="1325"/>
      <c r="CR60" s="1328">
        <f>AVERAGE(CN57:CR57)</f>
        <v>0</v>
      </c>
    </row>
    <row r="61" spans="5:121">
      <c r="E61" s="695" t="s">
        <v>377</v>
      </c>
      <c r="F61" s="232"/>
      <c r="G61" s="232"/>
      <c r="H61" s="74" t="str">
        <f>H59</f>
        <v>$m, 01/01/26</v>
      </c>
      <c r="K61" s="399"/>
      <c r="L61" s="399"/>
      <c r="M61" s="399"/>
      <c r="N61" s="399"/>
      <c r="O61" s="399"/>
      <c r="P61" s="399"/>
      <c r="Q61" s="379"/>
      <c r="R61" s="379"/>
      <c r="S61" s="379"/>
      <c r="T61" s="379"/>
      <c r="U61" s="1730"/>
      <c r="V61" s="1731"/>
      <c r="W61" s="1731" t="s">
        <v>620</v>
      </c>
      <c r="X61" s="437"/>
      <c r="Y61" s="438"/>
      <c r="Z61" s="438"/>
      <c r="AA61" s="438"/>
      <c r="AB61" s="438"/>
      <c r="AC61" s="437"/>
      <c r="AD61" s="438"/>
      <c r="AE61" s="438"/>
      <c r="AF61" s="438"/>
      <c r="AG61" s="439"/>
      <c r="AW61" s="1329" t="s">
        <v>847</v>
      </c>
      <c r="AX61" s="1330"/>
      <c r="AY61" s="1331"/>
      <c r="AZ61" s="1333"/>
      <c r="BA61" s="1333"/>
      <c r="BB61" s="1333"/>
      <c r="BC61" s="1333"/>
      <c r="BD61" s="1333"/>
      <c r="BE61" s="1333"/>
      <c r="BF61" s="1333"/>
      <c r="BG61" s="1334" t="str">
        <f>IFERROR(AVERAGE(AZ58:BG58),"-")</f>
        <v>-</v>
      </c>
      <c r="BH61" s="1335"/>
      <c r="BI61" s="1333"/>
      <c r="BJ61" s="1333"/>
      <c r="BK61" s="1333"/>
      <c r="BL61" s="1334" t="str">
        <f>IFERROR(AVERAGE(BH58:BL58),"-")</f>
        <v>-</v>
      </c>
      <c r="BM61" s="1333"/>
      <c r="BN61" s="1333"/>
      <c r="BO61" s="1333"/>
      <c r="BP61" s="1333"/>
      <c r="BQ61" s="1336" t="str">
        <f>IFERROR(AVERAGE(BM58:BQ58),"-")</f>
        <v>-</v>
      </c>
      <c r="BX61" s="1329" t="s">
        <v>848</v>
      </c>
      <c r="BY61" s="1330"/>
      <c r="BZ61" s="1331"/>
      <c r="CA61" s="1337"/>
      <c r="CB61" s="1338"/>
      <c r="CC61" s="1338"/>
      <c r="CD61" s="1338"/>
      <c r="CE61" s="1338"/>
      <c r="CF61" s="1338"/>
      <c r="CG61" s="1338"/>
      <c r="CH61" s="1339">
        <f>AVERAGE(CA58:CH58)</f>
        <v>0</v>
      </c>
      <c r="CI61" s="1340"/>
      <c r="CJ61" s="1338"/>
      <c r="CK61" s="1338"/>
      <c r="CL61" s="1338"/>
      <c r="CM61" s="1339">
        <f>AVERAGE(CI58:CM58)</f>
        <v>0</v>
      </c>
      <c r="CN61" s="1338"/>
      <c r="CO61" s="1338"/>
      <c r="CP61" s="1338"/>
      <c r="CQ61" s="1338"/>
      <c r="CR61" s="1341">
        <f>AVERAGE(CN58:CR58)</f>
        <v>0</v>
      </c>
      <c r="CU61" s="232"/>
      <c r="DH61" s="232"/>
    </row>
    <row r="62" spans="5:121" s="232" customFormat="1" ht="12.75" thickBot="1">
      <c r="K62" s="399"/>
      <c r="L62" s="399"/>
      <c r="M62" s="399"/>
      <c r="N62" s="399"/>
      <c r="O62" s="399"/>
      <c r="P62" s="399"/>
      <c r="Q62" s="399"/>
      <c r="R62" s="399"/>
      <c r="S62" s="399"/>
      <c r="T62" s="399"/>
      <c r="U62" s="399"/>
      <c r="V62" s="399"/>
      <c r="W62" s="399"/>
      <c r="X62" s="399" t="str">
        <f>+IF(X61&gt;0,"CHECK","")</f>
        <v/>
      </c>
      <c r="Y62" s="399" t="str">
        <f t="shared" ref="Y62:AG62" si="26">+IF(Y61&gt;0,"CHECK","")</f>
        <v/>
      </c>
      <c r="Z62" s="399" t="str">
        <f t="shared" si="26"/>
        <v/>
      </c>
      <c r="AA62" s="399" t="str">
        <f t="shared" si="26"/>
        <v/>
      </c>
      <c r="AB62" s="399" t="str">
        <f t="shared" si="26"/>
        <v/>
      </c>
      <c r="AC62" s="399" t="str">
        <f t="shared" si="26"/>
        <v/>
      </c>
      <c r="AD62" s="399" t="str">
        <f t="shared" si="26"/>
        <v/>
      </c>
      <c r="AE62" s="399" t="str">
        <f t="shared" si="26"/>
        <v/>
      </c>
      <c r="AF62" s="399" t="str">
        <f t="shared" si="26"/>
        <v/>
      </c>
      <c r="AG62" s="399" t="str">
        <f t="shared" si="26"/>
        <v/>
      </c>
      <c r="AU62" s="1239"/>
      <c r="AV62" s="70"/>
      <c r="AW62" s="182" t="s">
        <v>849</v>
      </c>
      <c r="AX62" s="183"/>
      <c r="AY62" s="186"/>
      <c r="AZ62" s="1343"/>
      <c r="BA62" s="1343"/>
      <c r="BB62" s="1343"/>
      <c r="BC62" s="1343"/>
      <c r="BD62" s="1343"/>
      <c r="BE62" s="1343"/>
      <c r="BF62" s="1343"/>
      <c r="BG62" s="1344" t="str">
        <f>IFERROR(AVERAGE(AZ59:BG59),"-")</f>
        <v>-</v>
      </c>
      <c r="BH62" s="1345"/>
      <c r="BI62" s="1343"/>
      <c r="BJ62" s="1343"/>
      <c r="BK62" s="1343"/>
      <c r="BL62" s="1344" t="str">
        <f>IFERROR(AVERAGE(BH59:BL59),"-")</f>
        <v>-</v>
      </c>
      <c r="BM62" s="1343"/>
      <c r="BN62" s="1343"/>
      <c r="BO62" s="1343"/>
      <c r="BP62" s="1343"/>
      <c r="BQ62" s="1346" t="str">
        <f>IFERROR(AVERAGE(BM59:BQ59),"-")</f>
        <v>-</v>
      </c>
      <c r="BR62" s="70"/>
      <c r="BW62" s="70"/>
      <c r="BX62" s="182" t="s">
        <v>850</v>
      </c>
      <c r="BY62" s="183"/>
      <c r="BZ62" s="186"/>
      <c r="CA62" s="1347"/>
      <c r="CB62" s="1348"/>
      <c r="CC62" s="1348"/>
      <c r="CD62" s="1348"/>
      <c r="CE62" s="1348"/>
      <c r="CF62" s="1348"/>
      <c r="CG62" s="1348"/>
      <c r="CH62" s="1349">
        <f>AVERAGE(CA59:CH59)</f>
        <v>0</v>
      </c>
      <c r="CI62" s="1350"/>
      <c r="CJ62" s="1348"/>
      <c r="CK62" s="1348"/>
      <c r="CL62" s="1348"/>
      <c r="CM62" s="1349">
        <f>AVERAGE(CI59:CM59)</f>
        <v>0</v>
      </c>
      <c r="CN62" s="1348"/>
      <c r="CO62" s="1348"/>
      <c r="CP62" s="1348"/>
      <c r="CQ62" s="1348"/>
      <c r="CR62" s="1351">
        <f>AVERAGE(CN59:CR59)</f>
        <v>0</v>
      </c>
      <c r="CS62" s="70"/>
      <c r="CT62" s="70"/>
      <c r="DF62" s="70"/>
      <c r="DG62" s="70"/>
    </row>
    <row r="63" spans="5:121">
      <c r="E63" s="684" t="s">
        <v>38</v>
      </c>
      <c r="BX63" s="113"/>
      <c r="BY63" s="113"/>
      <c r="BZ63" s="1352" t="s">
        <v>691</v>
      </c>
      <c r="CA63" s="1353" t="str">
        <f>IFERROR((S14/R14-1)-CA59,"-")</f>
        <v>-</v>
      </c>
      <c r="CB63" s="1353" t="str">
        <f>IFERROR((T14/S14-1)-CB59,"-")</f>
        <v>-</v>
      </c>
      <c r="CC63" s="1353" t="str">
        <f>IFERROR((U14/T14-1)-CC59,"-")</f>
        <v>-</v>
      </c>
      <c r="CD63" s="1353" t="str">
        <f>IFERROR((V14/U14-1)-CD59,"-")</f>
        <v>-</v>
      </c>
      <c r="CE63" s="1353" t="str">
        <f t="shared" ref="CE63:CR63" si="27">IFERROR((T14/S14-1)-CE59,"-")</f>
        <v>-</v>
      </c>
      <c r="CF63" s="1353" t="str">
        <f t="shared" si="27"/>
        <v>-</v>
      </c>
      <c r="CG63" s="1353" t="str">
        <f t="shared" si="27"/>
        <v>-</v>
      </c>
      <c r="CH63" s="1353" t="str">
        <f t="shared" si="27"/>
        <v>-</v>
      </c>
      <c r="CI63" s="1353" t="str">
        <f t="shared" si="27"/>
        <v>-</v>
      </c>
      <c r="CJ63" s="1353" t="str">
        <f t="shared" si="27"/>
        <v>-</v>
      </c>
      <c r="CK63" s="1353" t="str">
        <f t="shared" si="27"/>
        <v>-</v>
      </c>
      <c r="CL63" s="1353" t="str">
        <f t="shared" si="27"/>
        <v>-</v>
      </c>
      <c r="CM63" s="1353" t="str">
        <f t="shared" si="27"/>
        <v>-</v>
      </c>
      <c r="CN63" s="1353" t="str">
        <f t="shared" si="27"/>
        <v>-</v>
      </c>
      <c r="CO63" s="1353" t="str">
        <f t="shared" si="27"/>
        <v>-</v>
      </c>
      <c r="CP63" s="1353" t="str">
        <f t="shared" si="27"/>
        <v>-</v>
      </c>
      <c r="CQ63" s="1353" t="str">
        <f t="shared" si="27"/>
        <v>-</v>
      </c>
      <c r="CR63" s="1353" t="str">
        <f t="shared" si="27"/>
        <v>-</v>
      </c>
    </row>
    <row r="64" spans="5:121" ht="12.75" thickBot="1">
      <c r="E64" s="684"/>
      <c r="AZ64" s="500"/>
      <c r="BA64" s="500"/>
      <c r="BB64" s="500"/>
      <c r="BC64" s="500"/>
      <c r="BD64" s="500"/>
      <c r="BE64" s="500"/>
      <c r="BF64" s="500"/>
      <c r="BG64" s="500"/>
      <c r="BH64" s="500"/>
      <c r="BI64" s="500"/>
      <c r="BJ64" s="500"/>
      <c r="BK64" s="500"/>
      <c r="BL64" s="500"/>
      <c r="BM64" s="500"/>
      <c r="BN64" s="500"/>
      <c r="BO64" s="500"/>
      <c r="BP64" s="500"/>
      <c r="BQ64" s="500"/>
      <c r="BX64" s="113"/>
      <c r="BY64" s="113"/>
      <c r="BZ64" s="113"/>
      <c r="CA64" s="113"/>
      <c r="CB64" s="113"/>
      <c r="CC64" s="113"/>
      <c r="CD64" s="113"/>
      <c r="CE64" s="113"/>
      <c r="CF64" s="113"/>
      <c r="CG64" s="113"/>
      <c r="CH64" s="113"/>
      <c r="CI64" s="113"/>
      <c r="CJ64" s="113"/>
      <c r="CK64" s="113"/>
      <c r="CL64" s="113"/>
      <c r="CM64" s="113"/>
      <c r="CN64" s="113"/>
      <c r="CO64" s="113"/>
      <c r="CP64" s="113"/>
      <c r="CQ64" s="113"/>
      <c r="CR64" s="113"/>
      <c r="CW64" s="1051">
        <v>2</v>
      </c>
      <c r="CX64" s="1051">
        <f>CW64+1</f>
        <v>3</v>
      </c>
      <c r="CY64" s="1051">
        <f t="shared" ref="CY64:DE64" si="28">CX64+1</f>
        <v>4</v>
      </c>
      <c r="CZ64" s="1051">
        <f t="shared" si="28"/>
        <v>5</v>
      </c>
      <c r="DA64" s="1051">
        <f t="shared" si="28"/>
        <v>6</v>
      </c>
      <c r="DB64" s="1051">
        <f t="shared" si="28"/>
        <v>7</v>
      </c>
      <c r="DC64" s="1051">
        <f t="shared" si="28"/>
        <v>8</v>
      </c>
      <c r="DD64" s="1051">
        <f t="shared" si="28"/>
        <v>9</v>
      </c>
      <c r="DE64" s="1051">
        <f t="shared" si="28"/>
        <v>10</v>
      </c>
      <c r="DJ64" s="1051">
        <v>2</v>
      </c>
      <c r="DK64" s="1051">
        <f>DJ64+1</f>
        <v>3</v>
      </c>
      <c r="DL64" s="1051">
        <f t="shared" ref="DL64:DQ64" si="29">DK64+1</f>
        <v>4</v>
      </c>
      <c r="DM64" s="1051">
        <f t="shared" si="29"/>
        <v>5</v>
      </c>
      <c r="DN64" s="1051">
        <f t="shared" si="29"/>
        <v>6</v>
      </c>
      <c r="DO64" s="1051">
        <f t="shared" si="29"/>
        <v>7</v>
      </c>
      <c r="DP64" s="1051">
        <f t="shared" si="29"/>
        <v>8</v>
      </c>
      <c r="DQ64" s="1051">
        <f t="shared" si="29"/>
        <v>9</v>
      </c>
    </row>
    <row r="65" spans="4:121" ht="12.75" thickBot="1">
      <c r="E65" s="684"/>
      <c r="AX65" s="1354"/>
      <c r="AY65" s="1355"/>
      <c r="AZ65" s="2235" t="s">
        <v>851</v>
      </c>
      <c r="BA65" s="2236"/>
      <c r="BB65" s="2236"/>
      <c r="BC65" s="2236"/>
      <c r="BD65" s="2236"/>
      <c r="BE65" s="2236"/>
      <c r="BF65" s="2236"/>
      <c r="BG65" s="2236"/>
      <c r="BH65" s="2236"/>
      <c r="BI65" s="2236"/>
      <c r="BJ65" s="2236"/>
      <c r="BK65" s="2236"/>
      <c r="BL65" s="2236"/>
      <c r="BM65" s="2236"/>
      <c r="BN65" s="2236"/>
      <c r="BO65" s="2236"/>
      <c r="BP65" s="2236"/>
      <c r="BQ65" s="2237"/>
      <c r="BS65" s="2259" t="s">
        <v>852</v>
      </c>
      <c r="BT65" s="2260"/>
      <c r="BU65" s="2260"/>
      <c r="BV65" s="2261"/>
      <c r="BY65" s="1354"/>
      <c r="BZ65" s="1355"/>
      <c r="CA65" s="2235" t="s">
        <v>853</v>
      </c>
      <c r="CB65" s="2236"/>
      <c r="CC65" s="2236"/>
      <c r="CD65" s="2236"/>
      <c r="CE65" s="2236"/>
      <c r="CF65" s="2236"/>
      <c r="CG65" s="2236"/>
      <c r="CH65" s="2236"/>
      <c r="CI65" s="2236"/>
      <c r="CJ65" s="2236"/>
      <c r="CK65" s="2236"/>
      <c r="CL65" s="2236"/>
      <c r="CM65" s="2236"/>
      <c r="CN65" s="2236"/>
      <c r="CO65" s="2236"/>
      <c r="CP65" s="2236"/>
      <c r="CQ65" s="2236"/>
      <c r="CR65" s="2237"/>
      <c r="CU65" s="1354"/>
      <c r="CV65" s="1355"/>
      <c r="CW65" s="2259" t="s">
        <v>1095</v>
      </c>
      <c r="CX65" s="2260"/>
      <c r="CY65" s="2260"/>
      <c r="CZ65" s="2260"/>
      <c r="DA65" s="2260"/>
      <c r="DB65" s="2260"/>
      <c r="DC65" s="2260"/>
      <c r="DD65" s="2260"/>
      <c r="DE65" s="2261"/>
      <c r="DH65" s="1354"/>
      <c r="DI65" s="1355"/>
      <c r="DJ65" s="2259" t="s">
        <v>1096</v>
      </c>
      <c r="DK65" s="2260"/>
      <c r="DL65" s="2260"/>
      <c r="DM65" s="2260"/>
      <c r="DN65" s="2260"/>
      <c r="DO65" s="2260"/>
      <c r="DP65" s="2260"/>
      <c r="DQ65" s="2261"/>
    </row>
    <row r="66" spans="4:121" ht="12.75" thickBot="1">
      <c r="E66" s="684"/>
      <c r="AW66" s="684"/>
      <c r="AZ66" s="2277" t="s">
        <v>854</v>
      </c>
      <c r="BA66" s="2278"/>
      <c r="BB66" s="2278"/>
      <c r="BC66" s="2278"/>
      <c r="BD66" s="2278"/>
      <c r="BE66" s="2278"/>
      <c r="BF66" s="2278"/>
      <c r="BG66" s="2256" t="s">
        <v>855</v>
      </c>
      <c r="BH66" s="2257"/>
      <c r="BI66" s="2257"/>
      <c r="BJ66" s="2257"/>
      <c r="BK66" s="2257"/>
      <c r="BL66" s="2257"/>
      <c r="BM66" s="2257"/>
      <c r="BN66" s="2257"/>
      <c r="BO66" s="2257"/>
      <c r="BP66" s="2257"/>
      <c r="BQ66" s="2258"/>
      <c r="BR66" s="1050"/>
      <c r="BS66" s="2262"/>
      <c r="BT66" s="2263"/>
      <c r="BU66" s="2263"/>
      <c r="BV66" s="2264"/>
      <c r="BW66" s="1050"/>
      <c r="BX66" s="684"/>
      <c r="CA66" s="2244" t="s">
        <v>854</v>
      </c>
      <c r="CB66" s="2253"/>
      <c r="CC66" s="2253"/>
      <c r="CD66" s="2253"/>
      <c r="CE66" s="2253"/>
      <c r="CF66" s="2253"/>
      <c r="CG66" s="2253"/>
      <c r="CH66" s="2256" t="s">
        <v>855</v>
      </c>
      <c r="CI66" s="2257"/>
      <c r="CJ66" s="2257"/>
      <c r="CK66" s="2257"/>
      <c r="CL66" s="2257"/>
      <c r="CM66" s="2257"/>
      <c r="CN66" s="2257"/>
      <c r="CO66" s="2257"/>
      <c r="CP66" s="2257"/>
      <c r="CQ66" s="2257"/>
      <c r="CR66" s="2258"/>
      <c r="CS66" s="1050"/>
      <c r="CW66" s="2262"/>
      <c r="CX66" s="2263"/>
      <c r="CY66" s="2263"/>
      <c r="CZ66" s="2263"/>
      <c r="DA66" s="2263"/>
      <c r="DB66" s="2263"/>
      <c r="DC66" s="2263"/>
      <c r="DD66" s="2263"/>
      <c r="DE66" s="2264"/>
      <c r="DF66" s="1050"/>
      <c r="DJ66" s="2262"/>
      <c r="DK66" s="2263"/>
      <c r="DL66" s="2263"/>
      <c r="DM66" s="2263"/>
      <c r="DN66" s="2263"/>
      <c r="DO66" s="2263"/>
      <c r="DP66" s="2263"/>
      <c r="DQ66" s="2264"/>
    </row>
    <row r="67" spans="4:121" ht="12.75" thickBot="1">
      <c r="AI67" s="703" t="s">
        <v>696</v>
      </c>
      <c r="AJ67" s="704"/>
      <c r="AK67" s="705"/>
      <c r="AL67" s="706" t="s">
        <v>334</v>
      </c>
      <c r="AM67" s="705"/>
      <c r="AN67" s="705"/>
      <c r="AO67" s="2247" t="s">
        <v>465</v>
      </c>
      <c r="AP67" s="2248"/>
      <c r="AQ67" s="2248"/>
      <c r="AR67" s="2248"/>
      <c r="AS67" s="2249"/>
      <c r="AU67" s="1356"/>
      <c r="AZ67" s="2244" t="str">
        <f>T4</f>
        <v>FOURTH REG PERIOD</v>
      </c>
      <c r="BA67" s="2253"/>
      <c r="BB67" s="2253"/>
      <c r="BC67" s="2253"/>
      <c r="BD67" s="2253"/>
      <c r="BE67" s="2253"/>
      <c r="BF67" s="2253"/>
      <c r="BG67" s="2255"/>
      <c r="BH67" s="2252" t="str">
        <f>Z4</f>
        <v>FIFTH REG PERIOD</v>
      </c>
      <c r="BI67" s="2253"/>
      <c r="BJ67" s="2253"/>
      <c r="BK67" s="2253"/>
      <c r="BL67" s="2255"/>
      <c r="BM67" s="2253" t="str">
        <f>AE4</f>
        <v>SIXTH REG PERIOD</v>
      </c>
      <c r="BN67" s="2253"/>
      <c r="BO67" s="2253"/>
      <c r="BP67" s="2253"/>
      <c r="BQ67" s="2254"/>
      <c r="BR67" s="1050"/>
      <c r="BS67" s="1357" t="str">
        <f>AZ67</f>
        <v>FOURTH REG PERIOD</v>
      </c>
      <c r="BT67" s="1358" t="str">
        <f>BH67</f>
        <v>FIFTH REG PERIOD</v>
      </c>
      <c r="BU67" s="1359" t="str">
        <f>BM67</f>
        <v>SIXTH REG PERIOD</v>
      </c>
      <c r="BV67" s="1359" t="s">
        <v>1094</v>
      </c>
      <c r="BW67" s="1050"/>
      <c r="CA67" s="2244" t="str">
        <f>BS67</f>
        <v>FOURTH REG PERIOD</v>
      </c>
      <c r="CB67" s="2253"/>
      <c r="CC67" s="2253"/>
      <c r="CD67" s="2253"/>
      <c r="CE67" s="2253"/>
      <c r="CF67" s="2253"/>
      <c r="CG67" s="2253"/>
      <c r="CH67" s="2255"/>
      <c r="CI67" s="2252" t="str">
        <f>BT67</f>
        <v>FIFTH REG PERIOD</v>
      </c>
      <c r="CJ67" s="2253"/>
      <c r="CK67" s="2253"/>
      <c r="CL67" s="2253"/>
      <c r="CM67" s="2255"/>
      <c r="CN67" s="2253" t="str">
        <f>BU67</f>
        <v>SIXTH REG PERIOD</v>
      </c>
      <c r="CO67" s="2253"/>
      <c r="CP67" s="2253"/>
      <c r="CQ67" s="2253"/>
      <c r="CR67" s="2254"/>
      <c r="CS67" s="1050"/>
      <c r="CW67" s="2279" t="str">
        <f>CI67</f>
        <v>FIFTH REG PERIOD</v>
      </c>
      <c r="CX67" s="2280"/>
      <c r="CY67" s="2280"/>
      <c r="CZ67" s="2280"/>
      <c r="DA67" s="2281" t="str">
        <f>CN67</f>
        <v>SIXTH REG PERIOD</v>
      </c>
      <c r="DB67" s="2280"/>
      <c r="DC67" s="2280"/>
      <c r="DD67" s="2280"/>
      <c r="DE67" s="2282"/>
      <c r="DF67" s="1050"/>
      <c r="DJ67" s="2279" t="str">
        <f>CW67</f>
        <v>FIFTH REG PERIOD</v>
      </c>
      <c r="DK67" s="2280"/>
      <c r="DL67" s="2280"/>
      <c r="DM67" s="2280"/>
      <c r="DN67" s="2252" t="str">
        <f>DA67</f>
        <v>SIXTH REG PERIOD</v>
      </c>
      <c r="DO67" s="2253"/>
      <c r="DP67" s="2253"/>
      <c r="DQ67" s="2254"/>
    </row>
    <row r="68" spans="4:121" ht="12.75" thickBot="1">
      <c r="E68" s="614" t="s">
        <v>39</v>
      </c>
      <c r="F68" s="614" t="s">
        <v>40</v>
      </c>
      <c r="G68" s="614" t="s">
        <v>41</v>
      </c>
      <c r="H68" s="614" t="s">
        <v>42</v>
      </c>
      <c r="I68" s="614" t="s">
        <v>219</v>
      </c>
      <c r="J68" s="614" t="s">
        <v>43</v>
      </c>
      <c r="K68" s="707">
        <f>+K7</f>
        <v>0</v>
      </c>
      <c r="L68" s="707">
        <f t="shared" ref="L68:AG68" si="30">+L7</f>
        <v>0</v>
      </c>
      <c r="M68" s="707">
        <f t="shared" si="30"/>
        <v>0</v>
      </c>
      <c r="N68" s="707">
        <f t="shared" si="30"/>
        <v>0</v>
      </c>
      <c r="O68" s="707" t="str">
        <f t="shared" si="30"/>
        <v>2017-18</v>
      </c>
      <c r="P68" s="707" t="str">
        <f t="shared" si="30"/>
        <v>2018-19</v>
      </c>
      <c r="Q68" s="707" t="str">
        <f t="shared" si="30"/>
        <v>2019-20</v>
      </c>
      <c r="R68" s="707" t="str">
        <f t="shared" si="30"/>
        <v>2020-21</v>
      </c>
      <c r="S68" s="707" t="str">
        <f t="shared" si="30"/>
        <v>2021-22</v>
      </c>
      <c r="T68" s="707" t="str">
        <f t="shared" si="30"/>
        <v>2022-23</v>
      </c>
      <c r="U68" s="707" t="str">
        <f t="shared" si="30"/>
        <v>2023-24</v>
      </c>
      <c r="V68" s="707" t="str">
        <f t="shared" si="30"/>
        <v>2024-25</v>
      </c>
      <c r="W68" s="707" t="str">
        <f t="shared" si="30"/>
        <v>2025-26</v>
      </c>
      <c r="X68" s="707" t="str">
        <f t="shared" si="30"/>
        <v>2026-27</v>
      </c>
      <c r="Y68" s="707" t="str">
        <f t="shared" si="30"/>
        <v>2027-28</v>
      </c>
      <c r="Z68" s="707" t="str">
        <f t="shared" si="30"/>
        <v>2028-29</v>
      </c>
      <c r="AA68" s="707" t="str">
        <f t="shared" si="30"/>
        <v>2029-30</v>
      </c>
      <c r="AB68" s="707" t="str">
        <f t="shared" si="30"/>
        <v>2030-31</v>
      </c>
      <c r="AC68" s="707" t="str">
        <f t="shared" si="30"/>
        <v>2031-32</v>
      </c>
      <c r="AD68" s="707" t="str">
        <f t="shared" si="30"/>
        <v>2032-33</v>
      </c>
      <c r="AE68" s="707" t="str">
        <f t="shared" si="30"/>
        <v>2033-34</v>
      </c>
      <c r="AF68" s="707" t="str">
        <f t="shared" si="30"/>
        <v>2034-35</v>
      </c>
      <c r="AG68" s="707" t="str">
        <f t="shared" si="30"/>
        <v>2035-36</v>
      </c>
      <c r="AI68" s="707"/>
      <c r="AJ68" s="709" t="str">
        <f t="shared" ref="AJ68:AS68" si="31">+X68</f>
        <v>2026-27</v>
      </c>
      <c r="AK68" s="710" t="str">
        <f t="shared" si="31"/>
        <v>2027-28</v>
      </c>
      <c r="AL68" s="710" t="str">
        <f t="shared" si="31"/>
        <v>2028-29</v>
      </c>
      <c r="AM68" s="710" t="str">
        <f t="shared" si="31"/>
        <v>2029-30</v>
      </c>
      <c r="AN68" s="710" t="str">
        <f t="shared" si="31"/>
        <v>2030-31</v>
      </c>
      <c r="AO68" s="711" t="str">
        <f t="shared" si="31"/>
        <v>2031-32</v>
      </c>
      <c r="AP68" s="707" t="str">
        <f t="shared" si="31"/>
        <v>2032-33</v>
      </c>
      <c r="AQ68" s="707" t="str">
        <f t="shared" si="31"/>
        <v>2033-34</v>
      </c>
      <c r="AR68" s="707" t="str">
        <f t="shared" si="31"/>
        <v>2034-35</v>
      </c>
      <c r="AS68" s="712" t="str">
        <f t="shared" si="31"/>
        <v>2035-36</v>
      </c>
      <c r="AU68" s="1360"/>
      <c r="AW68" s="1361" t="s">
        <v>39</v>
      </c>
      <c r="AX68" s="1362" t="s">
        <v>40</v>
      </c>
      <c r="AY68" s="1363" t="s">
        <v>219</v>
      </c>
      <c r="AZ68" s="1313" t="str">
        <f t="shared" ref="AZ68:BQ68" si="32">P68</f>
        <v>2018-19</v>
      </c>
      <c r="BA68" s="1313" t="str">
        <f t="shared" si="32"/>
        <v>2019-20</v>
      </c>
      <c r="BB68" s="1313" t="str">
        <f t="shared" si="32"/>
        <v>2020-21</v>
      </c>
      <c r="BC68" s="1313" t="str">
        <f t="shared" si="32"/>
        <v>2021-22</v>
      </c>
      <c r="BD68" s="1313" t="str">
        <f t="shared" si="32"/>
        <v>2022-23</v>
      </c>
      <c r="BE68" s="1313" t="str">
        <f t="shared" si="32"/>
        <v>2023-24</v>
      </c>
      <c r="BF68" s="1313" t="str">
        <f t="shared" si="32"/>
        <v>2024-25</v>
      </c>
      <c r="BG68" s="1364" t="str">
        <f t="shared" si="32"/>
        <v>2025-26</v>
      </c>
      <c r="BH68" s="1313" t="str">
        <f t="shared" si="32"/>
        <v>2026-27</v>
      </c>
      <c r="BI68" s="1313" t="str">
        <f t="shared" si="32"/>
        <v>2027-28</v>
      </c>
      <c r="BJ68" s="1313" t="str">
        <f t="shared" si="32"/>
        <v>2028-29</v>
      </c>
      <c r="BK68" s="1313" t="str">
        <f t="shared" si="32"/>
        <v>2029-30</v>
      </c>
      <c r="BL68" s="1314" t="str">
        <f t="shared" si="32"/>
        <v>2030-31</v>
      </c>
      <c r="BM68" s="1313" t="str">
        <f t="shared" si="32"/>
        <v>2031-32</v>
      </c>
      <c r="BN68" s="1313" t="str">
        <f t="shared" si="32"/>
        <v>2032-33</v>
      </c>
      <c r="BO68" s="1313" t="str">
        <f t="shared" si="32"/>
        <v>2033-34</v>
      </c>
      <c r="BP68" s="1313" t="str">
        <f t="shared" si="32"/>
        <v>2034-35</v>
      </c>
      <c r="BQ68" s="1315" t="str">
        <f t="shared" si="32"/>
        <v>2035-36</v>
      </c>
      <c r="BR68" s="1365"/>
      <c r="BS68" s="1366" t="str">
        <f>RevenuePriceCap_FO!BS65</f>
        <v>2018-19 to 2025-26</v>
      </c>
      <c r="BT68" s="1366" t="str">
        <f>RevenuePriceCap_FO!BT65</f>
        <v>2026-27 to 2030-31</v>
      </c>
      <c r="BU68" s="1366" t="str">
        <f>RevenuePriceCap_FO!BU65</f>
        <v>2031-32 to 2035-36</v>
      </c>
      <c r="BV68" s="1366" t="str">
        <f>RevenuePriceCap_FO!BV65</f>
        <v>2018-19 to 2035-36</v>
      </c>
      <c r="BW68" s="1365"/>
      <c r="BX68" s="1361" t="str">
        <f t="shared" ref="BX68:CR68" si="33">AW68</f>
        <v>PQR</v>
      </c>
      <c r="BY68" s="1362" t="str">
        <f t="shared" si="33"/>
        <v>Service</v>
      </c>
      <c r="BZ68" s="1363" t="str">
        <f t="shared" si="33"/>
        <v>Type</v>
      </c>
      <c r="CA68" s="1313" t="str">
        <f t="shared" si="33"/>
        <v>2018-19</v>
      </c>
      <c r="CB68" s="1313" t="str">
        <f t="shared" si="33"/>
        <v>2019-20</v>
      </c>
      <c r="CC68" s="1313" t="str">
        <f t="shared" si="33"/>
        <v>2020-21</v>
      </c>
      <c r="CD68" s="1313" t="str">
        <f t="shared" si="33"/>
        <v>2021-22</v>
      </c>
      <c r="CE68" s="1313" t="str">
        <f t="shared" si="33"/>
        <v>2022-23</v>
      </c>
      <c r="CF68" s="1313" t="str">
        <f t="shared" si="33"/>
        <v>2023-24</v>
      </c>
      <c r="CG68" s="1313" t="str">
        <f t="shared" si="33"/>
        <v>2024-25</v>
      </c>
      <c r="CH68" s="1364" t="str">
        <f t="shared" si="33"/>
        <v>2025-26</v>
      </c>
      <c r="CI68" s="1313" t="str">
        <f t="shared" si="33"/>
        <v>2026-27</v>
      </c>
      <c r="CJ68" s="1313" t="str">
        <f t="shared" si="33"/>
        <v>2027-28</v>
      </c>
      <c r="CK68" s="1313" t="str">
        <f t="shared" si="33"/>
        <v>2028-29</v>
      </c>
      <c r="CL68" s="1313" t="str">
        <f t="shared" si="33"/>
        <v>2029-30</v>
      </c>
      <c r="CM68" s="1314" t="str">
        <f t="shared" si="33"/>
        <v>2030-31</v>
      </c>
      <c r="CN68" s="1313" t="str">
        <f t="shared" si="33"/>
        <v>2031-32</v>
      </c>
      <c r="CO68" s="1313" t="str">
        <f t="shared" si="33"/>
        <v>2032-33</v>
      </c>
      <c r="CP68" s="1313" t="str">
        <f t="shared" si="33"/>
        <v>2033-34</v>
      </c>
      <c r="CQ68" s="1313" t="str">
        <f t="shared" si="33"/>
        <v>2034-35</v>
      </c>
      <c r="CR68" s="1315" t="str">
        <f t="shared" si="33"/>
        <v>2035-36</v>
      </c>
      <c r="CS68" s="1365"/>
      <c r="CT68" s="1361" t="str">
        <f t="shared" ref="CT68:CT131" si="34">AW68</f>
        <v>PQR</v>
      </c>
      <c r="CU68" s="1362" t="str">
        <f t="shared" ref="CU68:CU131" si="35">AX68</f>
        <v>Service</v>
      </c>
      <c r="CV68" s="1367" t="str">
        <f t="shared" ref="CV68:CV131" si="36">AY68</f>
        <v>Type</v>
      </c>
      <c r="CW68" s="1312" t="str">
        <f t="shared" ref="CW68:DE68" si="37">BI68</f>
        <v>2027-28</v>
      </c>
      <c r="CX68" s="1313" t="str">
        <f t="shared" si="37"/>
        <v>2028-29</v>
      </c>
      <c r="CY68" s="1313" t="str">
        <f t="shared" si="37"/>
        <v>2029-30</v>
      </c>
      <c r="CZ68" s="1313" t="str">
        <f t="shared" si="37"/>
        <v>2030-31</v>
      </c>
      <c r="DA68" s="1368" t="str">
        <f t="shared" si="37"/>
        <v>2031-32</v>
      </c>
      <c r="DB68" s="1313" t="str">
        <f t="shared" si="37"/>
        <v>2032-33</v>
      </c>
      <c r="DC68" s="1313" t="str">
        <f t="shared" si="37"/>
        <v>2033-34</v>
      </c>
      <c r="DD68" s="1313" t="str">
        <f t="shared" si="37"/>
        <v>2034-35</v>
      </c>
      <c r="DE68" s="1315" t="str">
        <f t="shared" si="37"/>
        <v>2035-36</v>
      </c>
      <c r="DF68" s="1365"/>
      <c r="DG68" s="1361" t="str">
        <f>CT68</f>
        <v>PQR</v>
      </c>
      <c r="DH68" s="1362" t="str">
        <f t="shared" ref="DH68:DI83" si="38">CU68</f>
        <v>Service</v>
      </c>
      <c r="DI68" s="1367" t="str">
        <f t="shared" si="38"/>
        <v>Type</v>
      </c>
      <c r="DJ68" s="1312" t="str">
        <f>CX68</f>
        <v>2028-29</v>
      </c>
      <c r="DK68" s="1313" t="str">
        <f t="shared" ref="DK68:DQ68" si="39">CY68</f>
        <v>2029-30</v>
      </c>
      <c r="DL68" s="1313" t="str">
        <f t="shared" si="39"/>
        <v>2030-31</v>
      </c>
      <c r="DM68" s="1313" t="str">
        <f t="shared" si="39"/>
        <v>2031-32</v>
      </c>
      <c r="DN68" s="1368" t="str">
        <f t="shared" si="39"/>
        <v>2032-33</v>
      </c>
      <c r="DO68" s="1313" t="str">
        <f t="shared" si="39"/>
        <v>2033-34</v>
      </c>
      <c r="DP68" s="1313" t="str">
        <f t="shared" si="39"/>
        <v>2034-35</v>
      </c>
      <c r="DQ68" s="1315" t="str">
        <f t="shared" si="39"/>
        <v>2035-36</v>
      </c>
    </row>
    <row r="69" spans="4:121">
      <c r="D69" s="70">
        <v>1</v>
      </c>
      <c r="E69" s="713" t="s">
        <v>44</v>
      </c>
      <c r="F69" s="789" t="s">
        <v>27</v>
      </c>
      <c r="G69" s="789"/>
      <c r="H69" s="789"/>
      <c r="I69" s="781" t="s">
        <v>318</v>
      </c>
      <c r="J69" s="781" t="s">
        <v>345</v>
      </c>
      <c r="K69" s="714"/>
      <c r="L69" s="715"/>
      <c r="M69" s="715"/>
      <c r="N69" s="716"/>
      <c r="O69" s="783"/>
      <c r="P69" s="784"/>
      <c r="Q69" s="783"/>
      <c r="R69" s="783"/>
      <c r="S69" s="783"/>
      <c r="T69" s="783"/>
      <c r="U69" s="783"/>
      <c r="V69" s="783"/>
      <c r="W69" s="783"/>
      <c r="X69" s="784"/>
      <c r="Y69" s="783"/>
      <c r="Z69" s="783"/>
      <c r="AA69" s="783"/>
      <c r="AB69" s="783"/>
      <c r="AC69" s="784"/>
      <c r="AD69" s="783"/>
      <c r="AE69" s="783"/>
      <c r="AF69" s="783"/>
      <c r="AG69" s="785"/>
      <c r="AI69" s="666"/>
      <c r="AJ69" s="717" t="str">
        <f>IFERROR((X69-W69)/W69,"")</f>
        <v/>
      </c>
      <c r="AK69" s="718" t="str">
        <f t="shared" ref="AK69:AS69" si="40">IFERROR((Y69-X69)/X69,"")</f>
        <v/>
      </c>
      <c r="AL69" s="718" t="str">
        <f t="shared" si="40"/>
        <v/>
      </c>
      <c r="AM69" s="718" t="str">
        <f t="shared" si="40"/>
        <v/>
      </c>
      <c r="AN69" s="718" t="str">
        <f t="shared" si="40"/>
        <v/>
      </c>
      <c r="AO69" s="719" t="str">
        <f t="shared" si="40"/>
        <v/>
      </c>
      <c r="AP69" s="494" t="str">
        <f t="shared" si="40"/>
        <v/>
      </c>
      <c r="AQ69" s="494" t="str">
        <f t="shared" si="40"/>
        <v/>
      </c>
      <c r="AR69" s="494" t="str">
        <f t="shared" si="40"/>
        <v/>
      </c>
      <c r="AS69" s="720" t="str">
        <f t="shared" si="40"/>
        <v/>
      </c>
      <c r="AU69" s="1369"/>
      <c r="AW69" s="1370" t="str">
        <f>E69</f>
        <v>Price</v>
      </c>
      <c r="AX69" s="1371" t="str">
        <f t="shared" ref="AX69:AX132" si="41">F69</f>
        <v>[Service]</v>
      </c>
      <c r="AY69" s="1372" t="str">
        <f t="shared" ref="AY69:AY132" si="42">I69</f>
        <v>[Price]</v>
      </c>
      <c r="AZ69" s="1373" t="str">
        <f t="shared" ref="AZ69:BC84" si="43">IFERROR(P69/O69-1,"-")</f>
        <v>-</v>
      </c>
      <c r="BA69" s="1373" t="str">
        <f t="shared" si="43"/>
        <v>-</v>
      </c>
      <c r="BB69" s="1373" t="str">
        <f t="shared" si="43"/>
        <v>-</v>
      </c>
      <c r="BC69" s="1373" t="str">
        <f t="shared" si="43"/>
        <v>-</v>
      </c>
      <c r="BD69" s="1373" t="str">
        <f t="shared" ref="BD69:BD132" si="44">IFERROR(T69/S69-1,"-")</f>
        <v>-</v>
      </c>
      <c r="BE69" s="1373" t="str">
        <f t="shared" ref="BE69:BE132" si="45">IFERROR(U69/T69-1,"-")</f>
        <v>-</v>
      </c>
      <c r="BF69" s="1373" t="str">
        <f t="shared" ref="BF69:BF132" si="46">IFERROR(V69/U69-1,"-")</f>
        <v>-</v>
      </c>
      <c r="BG69" s="1374" t="str">
        <f t="shared" ref="BG69:BG132" si="47">IFERROR(W69/V69-1,"-")</f>
        <v>-</v>
      </c>
      <c r="BH69" s="1375" t="str">
        <f t="shared" ref="BH69:BH132" si="48">IFERROR(X69/W69-1,"-")</f>
        <v>-</v>
      </c>
      <c r="BI69" s="1375" t="str">
        <f t="shared" ref="BI69:BI132" si="49">IFERROR(Y69/X69-1,"-")</f>
        <v>-</v>
      </c>
      <c r="BJ69" s="1375" t="str">
        <f t="shared" ref="BJ69:BJ132" si="50">IFERROR(Z69/Y69-1,"-")</f>
        <v>-</v>
      </c>
      <c r="BK69" s="1375" t="str">
        <f t="shared" ref="BK69:BK132" si="51">IFERROR(AA69/Z69-1,"-")</f>
        <v>-</v>
      </c>
      <c r="BL69" s="1376" t="str">
        <f t="shared" ref="BL69:BL132" si="52">IFERROR(AB69/AA69-1,"-")</f>
        <v>-</v>
      </c>
      <c r="BM69" s="1375" t="str">
        <f t="shared" ref="BM69:BM132" si="53">IFERROR(AC69/AB69-1,"-")</f>
        <v>-</v>
      </c>
      <c r="BN69" s="1375" t="str">
        <f t="shared" ref="BN69:BN132" si="54">IFERROR(AD69/AC69-1,"-")</f>
        <v>-</v>
      </c>
      <c r="BO69" s="1375" t="str">
        <f t="shared" ref="BO69:BO132" si="55">IFERROR(AE69/AD69-1,"-")</f>
        <v>-</v>
      </c>
      <c r="BP69" s="1375" t="str">
        <f t="shared" ref="BP69:BP132" si="56">IFERROR(AF69/AE69-1,"-")</f>
        <v>-</v>
      </c>
      <c r="BQ69" s="1377" t="str">
        <f t="shared" ref="BQ69:BQ132" si="57">IFERROR(AG69/AF69-1,"-")</f>
        <v>-</v>
      </c>
      <c r="BR69" s="1378"/>
      <c r="BS69" s="1316"/>
      <c r="BT69" s="1379"/>
      <c r="BU69" s="1318"/>
      <c r="BV69" s="1380"/>
      <c r="BW69" s="1378"/>
      <c r="BX69" s="1381" t="str">
        <f t="shared" ref="BX69:BX132" si="58">AW69</f>
        <v>Price</v>
      </c>
      <c r="BY69" s="1382" t="str">
        <f t="shared" ref="BY69:BY83" si="59">AX69</f>
        <v>[Service]</v>
      </c>
      <c r="BZ69" s="1383" t="str">
        <f t="shared" ref="BZ69:BZ83" si="60">AY69</f>
        <v>[Price]</v>
      </c>
      <c r="CA69" s="1384" t="str">
        <f>IFERROR((S69/R69-1)*(R71/R$13),"-")</f>
        <v>-</v>
      </c>
      <c r="CB69" s="1384" t="str">
        <f>IFERROR((T69/S69-1)*(S71/S$13),"-")</f>
        <v>-</v>
      </c>
      <c r="CC69" s="1384" t="str">
        <f>IFERROR((U69/T69-1)*(T71/T$13),"-")</f>
        <v>-</v>
      </c>
      <c r="CD69" s="1384" t="str">
        <f>IFERROR((V69/U69-1)*(U71/U$13),"-")</f>
        <v>-</v>
      </c>
      <c r="CE69" s="1384" t="str">
        <f t="shared" ref="CE69:CR69" si="61">IFERROR((T69/S69-1)*(S71/S$13),"-")</f>
        <v>-</v>
      </c>
      <c r="CF69" s="1384" t="str">
        <f t="shared" si="61"/>
        <v>-</v>
      </c>
      <c r="CG69" s="1384" t="str">
        <f t="shared" si="61"/>
        <v>-</v>
      </c>
      <c r="CH69" s="1385" t="str">
        <f t="shared" si="61"/>
        <v>-</v>
      </c>
      <c r="CI69" s="1386" t="str">
        <f t="shared" si="61"/>
        <v>-</v>
      </c>
      <c r="CJ69" s="1386" t="str">
        <f t="shared" si="61"/>
        <v>-</v>
      </c>
      <c r="CK69" s="1386" t="str">
        <f t="shared" si="61"/>
        <v>-</v>
      </c>
      <c r="CL69" s="1386" t="str">
        <f t="shared" si="61"/>
        <v>-</v>
      </c>
      <c r="CM69" s="1387" t="str">
        <f t="shared" si="61"/>
        <v>-</v>
      </c>
      <c r="CN69" s="1386" t="str">
        <f t="shared" si="61"/>
        <v>-</v>
      </c>
      <c r="CO69" s="1386" t="str">
        <f t="shared" si="61"/>
        <v>-</v>
      </c>
      <c r="CP69" s="1386" t="str">
        <f t="shared" si="61"/>
        <v>-</v>
      </c>
      <c r="CQ69" s="1386" t="str">
        <f t="shared" si="61"/>
        <v>-</v>
      </c>
      <c r="CR69" s="1388" t="str">
        <f t="shared" si="61"/>
        <v>-</v>
      </c>
      <c r="CS69" s="1378"/>
      <c r="CT69" s="1370" t="str">
        <f t="shared" si="34"/>
        <v>Price</v>
      </c>
      <c r="CU69" s="1371" t="str">
        <f t="shared" si="35"/>
        <v>[Service]</v>
      </c>
      <c r="CV69" s="1389" t="str">
        <f t="shared" si="36"/>
        <v>[Price]</v>
      </c>
      <c r="CW69" s="1390" t="str">
        <f t="shared" ref="CW69:CW132" si="62">IFERROR((Y69/$W69)^(1/CW$64)-1,"-")</f>
        <v>-</v>
      </c>
      <c r="CX69" s="1386" t="str">
        <f t="shared" ref="CX69:CX132" si="63">IFERROR((Z69/$W69)^(1/CX$64)-1,"-")</f>
        <v>-</v>
      </c>
      <c r="CY69" s="1386" t="str">
        <f t="shared" ref="CY69:CY132" si="64">IFERROR((AA69/$W69)^(1/CY$64)-1,"-")</f>
        <v>-</v>
      </c>
      <c r="CZ69" s="1387" t="str">
        <f t="shared" ref="CZ69:CZ132" si="65">IFERROR((AB69/$W69)^(1/CZ$64)-1,"-")</f>
        <v>-</v>
      </c>
      <c r="DA69" s="1386" t="str">
        <f t="shared" ref="DA69:DA132" si="66">IFERROR((AC69/$W69)^(1/DA$64)-1,"-")</f>
        <v>-</v>
      </c>
      <c r="DB69" s="1386" t="str">
        <f t="shared" ref="DB69:DB132" si="67">IFERROR((AD69/$W69)^(1/DB$64)-1,"-")</f>
        <v>-</v>
      </c>
      <c r="DC69" s="1386" t="str">
        <f t="shared" ref="DC69:DC132" si="68">IFERROR((AE69/$W69)^(1/DC$64)-1,"-")</f>
        <v>-</v>
      </c>
      <c r="DD69" s="1386" t="str">
        <f t="shared" ref="DD69:DD132" si="69">IFERROR((AF69/$W69)^(1/DD$64)-1,"-")</f>
        <v>-</v>
      </c>
      <c r="DE69" s="1388" t="str">
        <f t="shared" ref="DE69:DE132" si="70">IFERROR((AG69/$W69)^(1/DE$64)-1,"-")</f>
        <v>-</v>
      </c>
      <c r="DF69" s="1378"/>
      <c r="DG69" s="1370" t="str">
        <f>CT69</f>
        <v>Price</v>
      </c>
      <c r="DH69" s="1371" t="str">
        <f t="shared" si="38"/>
        <v>[Service]</v>
      </c>
      <c r="DI69" s="1389" t="str">
        <f t="shared" si="38"/>
        <v>[Price]</v>
      </c>
      <c r="DJ69" s="1391" t="str">
        <f t="shared" ref="DJ69:DJ132" si="71">IFERROR((Z69/$X69)^(1/DJ$64)-1,"-")</f>
        <v>-</v>
      </c>
      <c r="DK69" s="1375" t="str">
        <f t="shared" ref="DK69:DK132" si="72">IFERROR((AA69/$X69)^(1/DK$64)-1,"-")</f>
        <v>-</v>
      </c>
      <c r="DL69" s="1375" t="str">
        <f t="shared" ref="DL69:DL132" si="73">IFERROR((AB69/$X69)^(1/DL$64)-1,"-")</f>
        <v>-</v>
      </c>
      <c r="DM69" s="1376" t="str">
        <f t="shared" ref="DM69:DM132" si="74">IFERROR((AC69/$X69)^(1/DM$64)-1,"-")</f>
        <v>-</v>
      </c>
      <c r="DN69" s="1375" t="str">
        <f t="shared" ref="DN69:DN132" si="75">IFERROR((AD69/$X69)^(1/DN$64)-1,"-")</f>
        <v>-</v>
      </c>
      <c r="DO69" s="1375" t="str">
        <f t="shared" ref="DO69:DO132" si="76">IFERROR((AE69/$X69)^(1/DO$64)-1,"-")</f>
        <v>-</v>
      </c>
      <c r="DP69" s="1375" t="str">
        <f t="shared" ref="DP69:DP132" si="77">IFERROR((AF69/$X69)^(1/DP$64)-1,"-")</f>
        <v>-</v>
      </c>
      <c r="DQ69" s="1377" t="str">
        <f t="shared" ref="DQ69:DQ132" si="78">IFERROR((AG69/$X69)^(1/DQ$64)-1,"-")</f>
        <v>-</v>
      </c>
    </row>
    <row r="70" spans="4:121">
      <c r="E70" s="721" t="s">
        <v>45</v>
      </c>
      <c r="F70" s="722" t="str">
        <f>+F69</f>
        <v>[Service]</v>
      </c>
      <c r="G70" s="723">
        <f>+G69</f>
        <v>0</v>
      </c>
      <c r="H70" s="723">
        <f>+H69</f>
        <v>0</v>
      </c>
      <c r="I70" s="724" t="str">
        <f>+I69</f>
        <v>[Price]</v>
      </c>
      <c r="J70" s="782" t="s">
        <v>322</v>
      </c>
      <c r="K70" s="725"/>
      <c r="L70" s="726"/>
      <c r="M70" s="726"/>
      <c r="N70" s="727"/>
      <c r="O70" s="786"/>
      <c r="P70" s="787"/>
      <c r="Q70" s="786"/>
      <c r="R70" s="786"/>
      <c r="S70" s="786"/>
      <c r="T70" s="786"/>
      <c r="U70" s="786"/>
      <c r="V70" s="786"/>
      <c r="W70" s="786"/>
      <c r="X70" s="787"/>
      <c r="Y70" s="786"/>
      <c r="Z70" s="786"/>
      <c r="AA70" s="786"/>
      <c r="AB70" s="786"/>
      <c r="AC70" s="787"/>
      <c r="AD70" s="786"/>
      <c r="AE70" s="786"/>
      <c r="AF70" s="786"/>
      <c r="AG70" s="788"/>
      <c r="AH70" s="823"/>
      <c r="AI70" s="666"/>
      <c r="AJ70" s="728"/>
      <c r="AK70" s="729"/>
      <c r="AL70" s="729"/>
      <c r="AM70" s="729"/>
      <c r="AN70" s="729"/>
      <c r="AO70" s="730"/>
      <c r="AP70" s="74"/>
      <c r="AQ70" s="74"/>
      <c r="AR70" s="74"/>
      <c r="AS70" s="106"/>
      <c r="AW70" s="1392" t="str">
        <f t="shared" ref="AW70:AX133" si="79">E70</f>
        <v>Qty</v>
      </c>
      <c r="AX70" s="1393" t="str">
        <f t="shared" si="41"/>
        <v>[Service]</v>
      </c>
      <c r="AY70" s="1394" t="str">
        <f t="shared" si="42"/>
        <v>[Price]</v>
      </c>
      <c r="AZ70" s="1395" t="str">
        <f t="shared" si="43"/>
        <v>-</v>
      </c>
      <c r="BA70" s="1395" t="str">
        <f t="shared" si="43"/>
        <v>-</v>
      </c>
      <c r="BB70" s="1395" t="str">
        <f t="shared" si="43"/>
        <v>-</v>
      </c>
      <c r="BC70" s="1395" t="str">
        <f t="shared" si="43"/>
        <v>-</v>
      </c>
      <c r="BD70" s="1395" t="str">
        <f t="shared" si="44"/>
        <v>-</v>
      </c>
      <c r="BE70" s="1395" t="str">
        <f t="shared" si="45"/>
        <v>-</v>
      </c>
      <c r="BF70" s="1395" t="str">
        <f t="shared" si="46"/>
        <v>-</v>
      </c>
      <c r="BG70" s="1396" t="str">
        <f t="shared" si="47"/>
        <v>-</v>
      </c>
      <c r="BH70" s="1395" t="str">
        <f t="shared" si="48"/>
        <v>-</v>
      </c>
      <c r="BI70" s="1395" t="str">
        <f t="shared" si="49"/>
        <v>-</v>
      </c>
      <c r="BJ70" s="1395" t="str">
        <f t="shared" si="50"/>
        <v>-</v>
      </c>
      <c r="BK70" s="1395" t="str">
        <f t="shared" si="51"/>
        <v>-</v>
      </c>
      <c r="BL70" s="1397" t="str">
        <f t="shared" si="52"/>
        <v>-</v>
      </c>
      <c r="BM70" s="1395" t="str">
        <f t="shared" si="53"/>
        <v>-</v>
      </c>
      <c r="BN70" s="1395" t="str">
        <f t="shared" si="54"/>
        <v>-</v>
      </c>
      <c r="BO70" s="1395" t="str">
        <f t="shared" si="55"/>
        <v>-</v>
      </c>
      <c r="BP70" s="1395" t="str">
        <f t="shared" si="56"/>
        <v>-</v>
      </c>
      <c r="BQ70" s="1398" t="str">
        <f t="shared" si="57"/>
        <v>-</v>
      </c>
      <c r="BR70" s="1378"/>
      <c r="BS70" s="1329"/>
      <c r="BT70" s="1399"/>
      <c r="BU70" s="1331"/>
      <c r="BV70" s="1400"/>
      <c r="BW70" s="1378"/>
      <c r="BX70" s="1392" t="str">
        <f t="shared" si="58"/>
        <v>Qty</v>
      </c>
      <c r="BY70" s="1393" t="str">
        <f t="shared" si="59"/>
        <v>[Service]</v>
      </c>
      <c r="BZ70" s="1394" t="str">
        <f t="shared" si="60"/>
        <v>[Price]</v>
      </c>
      <c r="CA70" s="1395" t="str">
        <f>IFERROR((S70/R70-1)*(R71/R$13),"-")</f>
        <v>-</v>
      </c>
      <c r="CB70" s="1395" t="str">
        <f>IFERROR((T70/S70-1)*(S71/S$13),"-")</f>
        <v>-</v>
      </c>
      <c r="CC70" s="1395" t="str">
        <f>IFERROR((U70/T70-1)*(T71/T$13),"-")</f>
        <v>-</v>
      </c>
      <c r="CD70" s="1395" t="str">
        <f>IFERROR((V70/U70-1)*(U71/U$13),"-")</f>
        <v>-</v>
      </c>
      <c r="CE70" s="1395" t="str">
        <f t="shared" ref="CE70:CR70" si="80">IFERROR((T70/S70-1)*(S71/S$13),"-")</f>
        <v>-</v>
      </c>
      <c r="CF70" s="1395" t="str">
        <f t="shared" si="80"/>
        <v>-</v>
      </c>
      <c r="CG70" s="1395" t="str">
        <f t="shared" si="80"/>
        <v>-</v>
      </c>
      <c r="CH70" s="1397" t="str">
        <f t="shared" si="80"/>
        <v>-</v>
      </c>
      <c r="CI70" s="1395" t="str">
        <f t="shared" si="80"/>
        <v>-</v>
      </c>
      <c r="CJ70" s="1395" t="str">
        <f t="shared" si="80"/>
        <v>-</v>
      </c>
      <c r="CK70" s="1395" t="str">
        <f t="shared" si="80"/>
        <v>-</v>
      </c>
      <c r="CL70" s="1395" t="str">
        <f t="shared" si="80"/>
        <v>-</v>
      </c>
      <c r="CM70" s="1397" t="str">
        <f t="shared" si="80"/>
        <v>-</v>
      </c>
      <c r="CN70" s="1395" t="str">
        <f t="shared" si="80"/>
        <v>-</v>
      </c>
      <c r="CO70" s="1395" t="str">
        <f t="shared" si="80"/>
        <v>-</v>
      </c>
      <c r="CP70" s="1395" t="str">
        <f t="shared" si="80"/>
        <v>-</v>
      </c>
      <c r="CQ70" s="1395" t="str">
        <f t="shared" si="80"/>
        <v>-</v>
      </c>
      <c r="CR70" s="1398" t="str">
        <f t="shared" si="80"/>
        <v>-</v>
      </c>
      <c r="CS70" s="1378"/>
      <c r="CT70" s="1392" t="str">
        <f t="shared" si="34"/>
        <v>Qty</v>
      </c>
      <c r="CU70" s="1393" t="str">
        <f t="shared" si="35"/>
        <v>[Service]</v>
      </c>
      <c r="CV70" s="1393" t="str">
        <f t="shared" si="36"/>
        <v>[Price]</v>
      </c>
      <c r="CW70" s="1401" t="str">
        <f t="shared" si="62"/>
        <v>-</v>
      </c>
      <c r="CX70" s="1395" t="str">
        <f t="shared" si="63"/>
        <v>-</v>
      </c>
      <c r="CY70" s="1395" t="str">
        <f t="shared" si="64"/>
        <v>-</v>
      </c>
      <c r="CZ70" s="1397" t="str">
        <f t="shared" si="65"/>
        <v>-</v>
      </c>
      <c r="DA70" s="1395" t="str">
        <f t="shared" si="66"/>
        <v>-</v>
      </c>
      <c r="DB70" s="1395" t="str">
        <f t="shared" si="67"/>
        <v>-</v>
      </c>
      <c r="DC70" s="1395" t="str">
        <f t="shared" si="68"/>
        <v>-</v>
      </c>
      <c r="DD70" s="1395" t="str">
        <f t="shared" si="69"/>
        <v>-</v>
      </c>
      <c r="DE70" s="1398" t="str">
        <f t="shared" si="70"/>
        <v>-</v>
      </c>
      <c r="DF70" s="1378"/>
      <c r="DG70" s="1392" t="str">
        <f t="shared" ref="DG70:DI133" si="81">CT70</f>
        <v>Qty</v>
      </c>
      <c r="DH70" s="1393" t="str">
        <f t="shared" si="38"/>
        <v>[Service]</v>
      </c>
      <c r="DI70" s="1393" t="str">
        <f t="shared" si="38"/>
        <v>[Price]</v>
      </c>
      <c r="DJ70" s="1401" t="str">
        <f t="shared" si="71"/>
        <v>-</v>
      </c>
      <c r="DK70" s="1395" t="str">
        <f t="shared" si="72"/>
        <v>-</v>
      </c>
      <c r="DL70" s="1395" t="str">
        <f t="shared" si="73"/>
        <v>-</v>
      </c>
      <c r="DM70" s="1397" t="str">
        <f t="shared" si="74"/>
        <v>-</v>
      </c>
      <c r="DN70" s="1395" t="str">
        <f t="shared" si="75"/>
        <v>-</v>
      </c>
      <c r="DO70" s="1395" t="str">
        <f t="shared" si="76"/>
        <v>-</v>
      </c>
      <c r="DP70" s="1395" t="str">
        <f t="shared" si="77"/>
        <v>-</v>
      </c>
      <c r="DQ70" s="1398" t="str">
        <f t="shared" si="78"/>
        <v>-</v>
      </c>
    </row>
    <row r="71" spans="4:121" ht="12.75" thickBot="1">
      <c r="E71" s="731" t="s">
        <v>46</v>
      </c>
      <c r="F71" s="732" t="str">
        <f>+F69</f>
        <v>[Service]</v>
      </c>
      <c r="G71" s="733">
        <f>+G69</f>
        <v>0</v>
      </c>
      <c r="H71" s="733">
        <f>+H69</f>
        <v>0</v>
      </c>
      <c r="I71" s="734" t="str">
        <f>+I69</f>
        <v>[Price]</v>
      </c>
      <c r="J71" s="735" t="s">
        <v>344</v>
      </c>
      <c r="K71" s="736">
        <f t="shared" ref="K71:AG71" si="82">K69*K70/10^6</f>
        <v>0</v>
      </c>
      <c r="L71" s="737">
        <f t="shared" si="82"/>
        <v>0</v>
      </c>
      <c r="M71" s="737">
        <f t="shared" si="82"/>
        <v>0</v>
      </c>
      <c r="N71" s="738">
        <f t="shared" si="82"/>
        <v>0</v>
      </c>
      <c r="O71" s="737">
        <f t="shared" si="82"/>
        <v>0</v>
      </c>
      <c r="P71" s="738">
        <f t="shared" si="82"/>
        <v>0</v>
      </c>
      <c r="Q71" s="737">
        <f t="shared" si="82"/>
        <v>0</v>
      </c>
      <c r="R71" s="737">
        <f t="shared" si="82"/>
        <v>0</v>
      </c>
      <c r="S71" s="737">
        <f t="shared" si="82"/>
        <v>0</v>
      </c>
      <c r="T71" s="737">
        <f t="shared" si="82"/>
        <v>0</v>
      </c>
      <c r="U71" s="737">
        <f t="shared" si="82"/>
        <v>0</v>
      </c>
      <c r="V71" s="737">
        <f t="shared" si="82"/>
        <v>0</v>
      </c>
      <c r="W71" s="737">
        <f t="shared" si="82"/>
        <v>0</v>
      </c>
      <c r="X71" s="738">
        <f t="shared" si="82"/>
        <v>0</v>
      </c>
      <c r="Y71" s="737">
        <f t="shared" si="82"/>
        <v>0</v>
      </c>
      <c r="Z71" s="737">
        <f t="shared" si="82"/>
        <v>0</v>
      </c>
      <c r="AA71" s="737">
        <f t="shared" si="82"/>
        <v>0</v>
      </c>
      <c r="AB71" s="737">
        <f t="shared" si="82"/>
        <v>0</v>
      </c>
      <c r="AC71" s="738">
        <f t="shared" si="82"/>
        <v>0</v>
      </c>
      <c r="AD71" s="737">
        <f t="shared" si="82"/>
        <v>0</v>
      </c>
      <c r="AE71" s="737">
        <f t="shared" si="82"/>
        <v>0</v>
      </c>
      <c r="AF71" s="737">
        <f t="shared" si="82"/>
        <v>0</v>
      </c>
      <c r="AG71" s="739">
        <f t="shared" si="82"/>
        <v>0</v>
      </c>
      <c r="AH71" s="823"/>
      <c r="AI71" s="740"/>
      <c r="AJ71" s="741"/>
      <c r="AK71" s="729"/>
      <c r="AL71" s="729"/>
      <c r="AM71" s="729"/>
      <c r="AN71" s="729"/>
      <c r="AO71" s="730"/>
      <c r="AP71" s="74"/>
      <c r="AQ71" s="74"/>
      <c r="AR71" s="74"/>
      <c r="AS71" s="106"/>
      <c r="AW71" s="742" t="str">
        <f t="shared" si="79"/>
        <v>Rev</v>
      </c>
      <c r="AX71" s="1402" t="str">
        <f t="shared" si="41"/>
        <v>[Service]</v>
      </c>
      <c r="AY71" s="1403" t="str">
        <f t="shared" si="42"/>
        <v>[Price]</v>
      </c>
      <c r="AZ71" s="1378" t="str">
        <f t="shared" si="43"/>
        <v>-</v>
      </c>
      <c r="BA71" s="1378" t="str">
        <f t="shared" si="43"/>
        <v>-</v>
      </c>
      <c r="BB71" s="1378" t="str">
        <f t="shared" si="43"/>
        <v>-</v>
      </c>
      <c r="BC71" s="1378" t="str">
        <f t="shared" si="43"/>
        <v>-</v>
      </c>
      <c r="BD71" s="1378" t="str">
        <f t="shared" si="44"/>
        <v>-</v>
      </c>
      <c r="BE71" s="1378" t="str">
        <f t="shared" si="45"/>
        <v>-</v>
      </c>
      <c r="BF71" s="1378" t="str">
        <f t="shared" si="46"/>
        <v>-</v>
      </c>
      <c r="BG71" s="1404" t="str">
        <f t="shared" si="47"/>
        <v>-</v>
      </c>
      <c r="BH71" s="1378" t="str">
        <f t="shared" si="48"/>
        <v>-</v>
      </c>
      <c r="BI71" s="1378" t="str">
        <f t="shared" si="49"/>
        <v>-</v>
      </c>
      <c r="BJ71" s="1378" t="str">
        <f t="shared" si="50"/>
        <v>-</v>
      </c>
      <c r="BK71" s="1378" t="str">
        <f t="shared" si="51"/>
        <v>-</v>
      </c>
      <c r="BL71" s="1405" t="str">
        <f t="shared" si="52"/>
        <v>-</v>
      </c>
      <c r="BM71" s="1378" t="str">
        <f t="shared" si="53"/>
        <v>-</v>
      </c>
      <c r="BN71" s="1378" t="str">
        <f t="shared" si="54"/>
        <v>-</v>
      </c>
      <c r="BO71" s="1378" t="str">
        <f t="shared" si="55"/>
        <v>-</v>
      </c>
      <c r="BP71" s="1378" t="str">
        <f t="shared" si="56"/>
        <v>-</v>
      </c>
      <c r="BQ71" s="1406" t="str">
        <f t="shared" si="57"/>
        <v>-</v>
      </c>
      <c r="BR71" s="1378"/>
      <c r="BS71" s="1407"/>
      <c r="BT71" s="1408"/>
      <c r="BU71" s="1409"/>
      <c r="BV71" s="1410"/>
      <c r="BW71" s="1378"/>
      <c r="BX71" s="742" t="str">
        <f t="shared" si="58"/>
        <v>Rev</v>
      </c>
      <c r="BY71" s="1402" t="str">
        <f t="shared" si="59"/>
        <v>[Service]</v>
      </c>
      <c r="BZ71" s="1403" t="str">
        <f t="shared" si="60"/>
        <v>[Price]</v>
      </c>
      <c r="CA71" s="1378" t="str">
        <f>IFERROR((S71/R71-1)*(R71/R$13),"-")</f>
        <v>-</v>
      </c>
      <c r="CB71" s="1378" t="str">
        <f>IFERROR((T71/S71-1)*(S71/S$13),"-")</f>
        <v>-</v>
      </c>
      <c r="CC71" s="1378" t="str">
        <f>IFERROR((U71/T71-1)*(T71/T$13),"-")</f>
        <v>-</v>
      </c>
      <c r="CD71" s="1378" t="str">
        <f>IFERROR((V71/U71-1)*(U71/U$13),"-")</f>
        <v>-</v>
      </c>
      <c r="CE71" s="1378" t="str">
        <f t="shared" ref="CE71:CR71" si="83">IFERROR((T71/S71-1)*(S71/S$13),"-")</f>
        <v>-</v>
      </c>
      <c r="CF71" s="1378" t="str">
        <f t="shared" si="83"/>
        <v>-</v>
      </c>
      <c r="CG71" s="1378" t="str">
        <f t="shared" si="83"/>
        <v>-</v>
      </c>
      <c r="CH71" s="1405" t="str">
        <f t="shared" si="83"/>
        <v>-</v>
      </c>
      <c r="CI71" s="1378" t="str">
        <f t="shared" si="83"/>
        <v>-</v>
      </c>
      <c r="CJ71" s="1378" t="str">
        <f t="shared" si="83"/>
        <v>-</v>
      </c>
      <c r="CK71" s="1378" t="str">
        <f t="shared" si="83"/>
        <v>-</v>
      </c>
      <c r="CL71" s="1378" t="str">
        <f t="shared" si="83"/>
        <v>-</v>
      </c>
      <c r="CM71" s="1405" t="str">
        <f t="shared" si="83"/>
        <v>-</v>
      </c>
      <c r="CN71" s="1378" t="str">
        <f t="shared" si="83"/>
        <v>-</v>
      </c>
      <c r="CO71" s="1378" t="str">
        <f t="shared" si="83"/>
        <v>-</v>
      </c>
      <c r="CP71" s="1378" t="str">
        <f t="shared" si="83"/>
        <v>-</v>
      </c>
      <c r="CQ71" s="1378" t="str">
        <f t="shared" si="83"/>
        <v>-</v>
      </c>
      <c r="CR71" s="1406" t="str">
        <f t="shared" si="83"/>
        <v>-</v>
      </c>
      <c r="CS71" s="1378"/>
      <c r="CT71" s="742" t="str">
        <f t="shared" si="34"/>
        <v>Rev</v>
      </c>
      <c r="CU71" s="1402" t="str">
        <f t="shared" si="35"/>
        <v>[Service]</v>
      </c>
      <c r="CV71" s="1402" t="str">
        <f t="shared" si="36"/>
        <v>[Price]</v>
      </c>
      <c r="CW71" s="1411" t="str">
        <f t="shared" si="62"/>
        <v>-</v>
      </c>
      <c r="CX71" s="1378" t="str">
        <f t="shared" si="63"/>
        <v>-</v>
      </c>
      <c r="CY71" s="1378" t="str">
        <f t="shared" si="64"/>
        <v>-</v>
      </c>
      <c r="CZ71" s="1405" t="str">
        <f t="shared" si="65"/>
        <v>-</v>
      </c>
      <c r="DA71" s="1378" t="str">
        <f t="shared" si="66"/>
        <v>-</v>
      </c>
      <c r="DB71" s="1378" t="str">
        <f t="shared" si="67"/>
        <v>-</v>
      </c>
      <c r="DC71" s="1378" t="str">
        <f t="shared" si="68"/>
        <v>-</v>
      </c>
      <c r="DD71" s="1378" t="str">
        <f t="shared" si="69"/>
        <v>-</v>
      </c>
      <c r="DE71" s="1406" t="str">
        <f t="shared" si="70"/>
        <v>-</v>
      </c>
      <c r="DF71" s="1378"/>
      <c r="DG71" s="742" t="str">
        <f t="shared" si="81"/>
        <v>Rev</v>
      </c>
      <c r="DH71" s="1402" t="str">
        <f t="shared" si="38"/>
        <v>[Service]</v>
      </c>
      <c r="DI71" s="1402" t="str">
        <f t="shared" si="38"/>
        <v>[Price]</v>
      </c>
      <c r="DJ71" s="1411" t="str">
        <f t="shared" si="71"/>
        <v>-</v>
      </c>
      <c r="DK71" s="1378" t="str">
        <f t="shared" si="72"/>
        <v>-</v>
      </c>
      <c r="DL71" s="1378" t="str">
        <f t="shared" si="73"/>
        <v>-</v>
      </c>
      <c r="DM71" s="1405" t="str">
        <f t="shared" si="74"/>
        <v>-</v>
      </c>
      <c r="DN71" s="1378" t="str">
        <f t="shared" si="75"/>
        <v>-</v>
      </c>
      <c r="DO71" s="1378" t="str">
        <f t="shared" si="76"/>
        <v>-</v>
      </c>
      <c r="DP71" s="1378" t="str">
        <f t="shared" si="77"/>
        <v>-</v>
      </c>
      <c r="DQ71" s="1406" t="str">
        <f t="shared" si="78"/>
        <v>-</v>
      </c>
    </row>
    <row r="72" spans="4:121">
      <c r="D72" s="70">
        <f>D69+1</f>
        <v>2</v>
      </c>
      <c r="E72" s="742" t="s">
        <v>44</v>
      </c>
      <c r="F72" s="789" t="s">
        <v>27</v>
      </c>
      <c r="G72" s="789"/>
      <c r="H72" s="789"/>
      <c r="I72" s="781" t="s">
        <v>318</v>
      </c>
      <c r="J72" s="781" t="s">
        <v>345</v>
      </c>
      <c r="K72" s="714"/>
      <c r="L72" s="715"/>
      <c r="M72" s="715"/>
      <c r="N72" s="716"/>
      <c r="O72" s="783"/>
      <c r="P72" s="784"/>
      <c r="Q72" s="783"/>
      <c r="R72" s="783"/>
      <c r="S72" s="783"/>
      <c r="T72" s="783"/>
      <c r="U72" s="783"/>
      <c r="V72" s="783"/>
      <c r="W72" s="783"/>
      <c r="X72" s="784"/>
      <c r="Y72" s="783"/>
      <c r="Z72" s="783"/>
      <c r="AA72" s="783"/>
      <c r="AB72" s="783"/>
      <c r="AC72" s="784"/>
      <c r="AD72" s="783"/>
      <c r="AE72" s="783"/>
      <c r="AF72" s="783"/>
      <c r="AG72" s="785"/>
      <c r="AI72" s="702"/>
      <c r="AJ72" s="717" t="str">
        <f t="shared" ref="AJ72:AS72" si="84">IFERROR((X72-W72)/W72,"")</f>
        <v/>
      </c>
      <c r="AK72" s="718" t="str">
        <f t="shared" si="84"/>
        <v/>
      </c>
      <c r="AL72" s="718" t="str">
        <f t="shared" si="84"/>
        <v/>
      </c>
      <c r="AM72" s="718" t="str">
        <f t="shared" si="84"/>
        <v/>
      </c>
      <c r="AN72" s="718" t="str">
        <f t="shared" si="84"/>
        <v/>
      </c>
      <c r="AO72" s="719" t="str">
        <f t="shared" si="84"/>
        <v/>
      </c>
      <c r="AP72" s="494" t="str">
        <f t="shared" si="84"/>
        <v/>
      </c>
      <c r="AQ72" s="494" t="str">
        <f t="shared" si="84"/>
        <v/>
      </c>
      <c r="AR72" s="494" t="str">
        <f t="shared" si="84"/>
        <v/>
      </c>
      <c r="AS72" s="720" t="str">
        <f t="shared" si="84"/>
        <v/>
      </c>
      <c r="AU72" s="1369"/>
      <c r="AW72" s="1412" t="str">
        <f t="shared" si="79"/>
        <v>Price</v>
      </c>
      <c r="AX72" s="1413" t="str">
        <f t="shared" si="41"/>
        <v>[Service]</v>
      </c>
      <c r="AY72" s="1414" t="str">
        <f t="shared" si="42"/>
        <v>[Price]</v>
      </c>
      <c r="AZ72" s="1415" t="str">
        <f t="shared" si="43"/>
        <v>-</v>
      </c>
      <c r="BA72" s="1415" t="str">
        <f t="shared" si="43"/>
        <v>-</v>
      </c>
      <c r="BB72" s="1415" t="str">
        <f t="shared" si="43"/>
        <v>-</v>
      </c>
      <c r="BC72" s="1415" t="str">
        <f t="shared" si="43"/>
        <v>-</v>
      </c>
      <c r="BD72" s="1415" t="str">
        <f t="shared" si="44"/>
        <v>-</v>
      </c>
      <c r="BE72" s="1415" t="str">
        <f t="shared" si="45"/>
        <v>-</v>
      </c>
      <c r="BF72" s="1415" t="str">
        <f t="shared" si="46"/>
        <v>-</v>
      </c>
      <c r="BG72" s="1416" t="str">
        <f t="shared" si="47"/>
        <v>-</v>
      </c>
      <c r="BH72" s="1417" t="str">
        <f t="shared" si="48"/>
        <v>-</v>
      </c>
      <c r="BI72" s="1417" t="str">
        <f t="shared" si="49"/>
        <v>-</v>
      </c>
      <c r="BJ72" s="1417" t="str">
        <f t="shared" si="50"/>
        <v>-</v>
      </c>
      <c r="BK72" s="1417" t="str">
        <f t="shared" si="51"/>
        <v>-</v>
      </c>
      <c r="BL72" s="1418" t="str">
        <f t="shared" si="52"/>
        <v>-</v>
      </c>
      <c r="BM72" s="1417" t="str">
        <f t="shared" si="53"/>
        <v>-</v>
      </c>
      <c r="BN72" s="1417" t="str">
        <f t="shared" si="54"/>
        <v>-</v>
      </c>
      <c r="BO72" s="1417" t="str">
        <f t="shared" si="55"/>
        <v>-</v>
      </c>
      <c r="BP72" s="1417" t="str">
        <f t="shared" si="56"/>
        <v>-</v>
      </c>
      <c r="BQ72" s="1419" t="str">
        <f t="shared" si="57"/>
        <v>-</v>
      </c>
      <c r="BR72" s="1378"/>
      <c r="BS72" s="1420"/>
      <c r="BT72" s="1421"/>
      <c r="BU72" s="1422"/>
      <c r="BV72" s="1423"/>
      <c r="BW72" s="1378"/>
      <c r="BX72" s="1412" t="str">
        <f t="shared" si="58"/>
        <v>Price</v>
      </c>
      <c r="BY72" s="1413" t="str">
        <f t="shared" si="59"/>
        <v>[Service]</v>
      </c>
      <c r="BZ72" s="1414" t="str">
        <f t="shared" si="60"/>
        <v>[Price]</v>
      </c>
      <c r="CA72" s="1424" t="str">
        <f>IFERROR((S72/R72-1)*(R74/R$13),"-")</f>
        <v>-</v>
      </c>
      <c r="CB72" s="1415" t="str">
        <f>IFERROR((T72/S72-1)*(S74/S$13),"-")</f>
        <v>-</v>
      </c>
      <c r="CC72" s="1415" t="str">
        <f>IFERROR((U72/T72-1)*(T74/T$13),"-")</f>
        <v>-</v>
      </c>
      <c r="CD72" s="1415" t="str">
        <f>IFERROR((V72/U72-1)*(U74/U$13),"-")</f>
        <v>-</v>
      </c>
      <c r="CE72" s="1415" t="str">
        <f t="shared" ref="CE72:CR72" si="85">IFERROR((T72/S72-1)*(S74/S$13),"-")</f>
        <v>-</v>
      </c>
      <c r="CF72" s="1415" t="str">
        <f t="shared" si="85"/>
        <v>-</v>
      </c>
      <c r="CG72" s="1415" t="str">
        <f t="shared" si="85"/>
        <v>-</v>
      </c>
      <c r="CH72" s="1425" t="str">
        <f t="shared" si="85"/>
        <v>-</v>
      </c>
      <c r="CI72" s="1417" t="str">
        <f t="shared" si="85"/>
        <v>-</v>
      </c>
      <c r="CJ72" s="1417" t="str">
        <f t="shared" si="85"/>
        <v>-</v>
      </c>
      <c r="CK72" s="1417" t="str">
        <f t="shared" si="85"/>
        <v>-</v>
      </c>
      <c r="CL72" s="1417" t="str">
        <f t="shared" si="85"/>
        <v>-</v>
      </c>
      <c r="CM72" s="1418" t="str">
        <f t="shared" si="85"/>
        <v>-</v>
      </c>
      <c r="CN72" s="1417" t="str">
        <f t="shared" si="85"/>
        <v>-</v>
      </c>
      <c r="CO72" s="1417" t="str">
        <f t="shared" si="85"/>
        <v>-</v>
      </c>
      <c r="CP72" s="1417" t="str">
        <f t="shared" si="85"/>
        <v>-</v>
      </c>
      <c r="CQ72" s="1417" t="str">
        <f t="shared" si="85"/>
        <v>-</v>
      </c>
      <c r="CR72" s="1419" t="str">
        <f t="shared" si="85"/>
        <v>-</v>
      </c>
      <c r="CS72" s="1378"/>
      <c r="CT72" s="1412" t="str">
        <f t="shared" si="34"/>
        <v>Price</v>
      </c>
      <c r="CU72" s="1413" t="str">
        <f t="shared" si="35"/>
        <v>[Service]</v>
      </c>
      <c r="CV72" s="1426" t="str">
        <f t="shared" si="36"/>
        <v>[Price]</v>
      </c>
      <c r="CW72" s="1427" t="str">
        <f t="shared" si="62"/>
        <v>-</v>
      </c>
      <c r="CX72" s="1417" t="str">
        <f t="shared" si="63"/>
        <v>-</v>
      </c>
      <c r="CY72" s="1417" t="str">
        <f t="shared" si="64"/>
        <v>-</v>
      </c>
      <c r="CZ72" s="1418" t="str">
        <f t="shared" si="65"/>
        <v>-</v>
      </c>
      <c r="DA72" s="1417" t="str">
        <f t="shared" si="66"/>
        <v>-</v>
      </c>
      <c r="DB72" s="1417" t="str">
        <f t="shared" si="67"/>
        <v>-</v>
      </c>
      <c r="DC72" s="1417" t="str">
        <f t="shared" si="68"/>
        <v>-</v>
      </c>
      <c r="DD72" s="1417" t="str">
        <f t="shared" si="69"/>
        <v>-</v>
      </c>
      <c r="DE72" s="1419" t="str">
        <f t="shared" si="70"/>
        <v>-</v>
      </c>
      <c r="DF72" s="1378"/>
      <c r="DG72" s="1412" t="str">
        <f t="shared" si="81"/>
        <v>Price</v>
      </c>
      <c r="DH72" s="1413" t="str">
        <f t="shared" si="38"/>
        <v>[Service]</v>
      </c>
      <c r="DI72" s="1426" t="str">
        <f t="shared" si="38"/>
        <v>[Price]</v>
      </c>
      <c r="DJ72" s="1427" t="str">
        <f t="shared" si="71"/>
        <v>-</v>
      </c>
      <c r="DK72" s="1417" t="str">
        <f t="shared" si="72"/>
        <v>-</v>
      </c>
      <c r="DL72" s="1417" t="str">
        <f t="shared" si="73"/>
        <v>-</v>
      </c>
      <c r="DM72" s="1418" t="str">
        <f t="shared" si="74"/>
        <v>-</v>
      </c>
      <c r="DN72" s="1417" t="str">
        <f t="shared" si="75"/>
        <v>-</v>
      </c>
      <c r="DO72" s="1417" t="str">
        <f t="shared" si="76"/>
        <v>-</v>
      </c>
      <c r="DP72" s="1417" t="str">
        <f t="shared" si="77"/>
        <v>-</v>
      </c>
      <c r="DQ72" s="1419" t="str">
        <f t="shared" si="78"/>
        <v>-</v>
      </c>
    </row>
    <row r="73" spans="4:121">
      <c r="E73" s="742" t="s">
        <v>45</v>
      </c>
      <c r="F73" s="722" t="str">
        <f>+F72</f>
        <v>[Service]</v>
      </c>
      <c r="G73" s="723">
        <f>+G72</f>
        <v>0</v>
      </c>
      <c r="H73" s="723">
        <f>+H72</f>
        <v>0</v>
      </c>
      <c r="I73" s="724" t="str">
        <f>+I72</f>
        <v>[Price]</v>
      </c>
      <c r="J73" s="782" t="s">
        <v>322</v>
      </c>
      <c r="K73" s="725"/>
      <c r="L73" s="726"/>
      <c r="M73" s="726"/>
      <c r="N73" s="727"/>
      <c r="O73" s="786"/>
      <c r="P73" s="787"/>
      <c r="Q73" s="786"/>
      <c r="R73" s="786"/>
      <c r="S73" s="786"/>
      <c r="T73" s="786"/>
      <c r="U73" s="786"/>
      <c r="V73" s="786"/>
      <c r="W73" s="786"/>
      <c r="X73" s="787"/>
      <c r="Y73" s="786"/>
      <c r="Z73" s="786"/>
      <c r="AA73" s="786"/>
      <c r="AB73" s="786"/>
      <c r="AC73" s="787"/>
      <c r="AD73" s="786"/>
      <c r="AE73" s="786"/>
      <c r="AF73" s="786"/>
      <c r="AG73" s="788"/>
      <c r="AH73" s="823"/>
      <c r="AI73" s="702"/>
      <c r="AJ73" s="728"/>
      <c r="AK73" s="729"/>
      <c r="AL73" s="729"/>
      <c r="AM73" s="729"/>
      <c r="AN73" s="729"/>
      <c r="AO73" s="730"/>
      <c r="AP73" s="74"/>
      <c r="AQ73" s="74"/>
      <c r="AR73" s="74"/>
      <c r="AS73" s="106"/>
      <c r="AW73" s="1392" t="str">
        <f t="shared" si="79"/>
        <v>Qty</v>
      </c>
      <c r="AX73" s="1393" t="str">
        <f t="shared" si="41"/>
        <v>[Service]</v>
      </c>
      <c r="AY73" s="1394" t="str">
        <f t="shared" si="42"/>
        <v>[Price]</v>
      </c>
      <c r="AZ73" s="1395" t="str">
        <f t="shared" si="43"/>
        <v>-</v>
      </c>
      <c r="BA73" s="1395" t="str">
        <f t="shared" si="43"/>
        <v>-</v>
      </c>
      <c r="BB73" s="1395" t="str">
        <f t="shared" si="43"/>
        <v>-</v>
      </c>
      <c r="BC73" s="1395" t="str">
        <f t="shared" si="43"/>
        <v>-</v>
      </c>
      <c r="BD73" s="1395" t="str">
        <f t="shared" si="44"/>
        <v>-</v>
      </c>
      <c r="BE73" s="1395" t="str">
        <f t="shared" si="45"/>
        <v>-</v>
      </c>
      <c r="BF73" s="1395" t="str">
        <f t="shared" si="46"/>
        <v>-</v>
      </c>
      <c r="BG73" s="1396" t="str">
        <f t="shared" si="47"/>
        <v>-</v>
      </c>
      <c r="BH73" s="1395" t="str">
        <f t="shared" si="48"/>
        <v>-</v>
      </c>
      <c r="BI73" s="1395" t="str">
        <f t="shared" si="49"/>
        <v>-</v>
      </c>
      <c r="BJ73" s="1395" t="str">
        <f t="shared" si="50"/>
        <v>-</v>
      </c>
      <c r="BK73" s="1395" t="str">
        <f t="shared" si="51"/>
        <v>-</v>
      </c>
      <c r="BL73" s="1397" t="str">
        <f t="shared" si="52"/>
        <v>-</v>
      </c>
      <c r="BM73" s="1395" t="str">
        <f t="shared" si="53"/>
        <v>-</v>
      </c>
      <c r="BN73" s="1395" t="str">
        <f t="shared" si="54"/>
        <v>-</v>
      </c>
      <c r="BO73" s="1395" t="str">
        <f t="shared" si="55"/>
        <v>-</v>
      </c>
      <c r="BP73" s="1395" t="str">
        <f t="shared" si="56"/>
        <v>-</v>
      </c>
      <c r="BQ73" s="1398" t="str">
        <f t="shared" si="57"/>
        <v>-</v>
      </c>
      <c r="BR73" s="1378"/>
      <c r="BS73" s="1329"/>
      <c r="BT73" s="1399"/>
      <c r="BU73" s="1331"/>
      <c r="BV73" s="1400"/>
      <c r="BW73" s="1378"/>
      <c r="BX73" s="1392" t="str">
        <f t="shared" si="58"/>
        <v>Qty</v>
      </c>
      <c r="BY73" s="1393" t="str">
        <f t="shared" si="59"/>
        <v>[Service]</v>
      </c>
      <c r="BZ73" s="1394" t="str">
        <f t="shared" si="60"/>
        <v>[Price]</v>
      </c>
      <c r="CA73" s="1401" t="str">
        <f>IFERROR((S73/R73-1)*(R74/R$13),"-")</f>
        <v>-</v>
      </c>
      <c r="CB73" s="1395" t="str">
        <f>IFERROR((T73/S73-1)*(S74/S$13),"-")</f>
        <v>-</v>
      </c>
      <c r="CC73" s="1395" t="str">
        <f>IFERROR((U73/T73-1)*(T74/T$13),"-")</f>
        <v>-</v>
      </c>
      <c r="CD73" s="1395" t="str">
        <f>IFERROR((V73/U73-1)*(U74/U$13),"-")</f>
        <v>-</v>
      </c>
      <c r="CE73" s="1395" t="str">
        <f t="shared" ref="CE73:CR73" si="86">IFERROR((T73/S73-1)*(S74/S$13),"-")</f>
        <v>-</v>
      </c>
      <c r="CF73" s="1395" t="str">
        <f t="shared" si="86"/>
        <v>-</v>
      </c>
      <c r="CG73" s="1395" t="str">
        <f t="shared" si="86"/>
        <v>-</v>
      </c>
      <c r="CH73" s="1397" t="str">
        <f t="shared" si="86"/>
        <v>-</v>
      </c>
      <c r="CI73" s="1395" t="str">
        <f t="shared" si="86"/>
        <v>-</v>
      </c>
      <c r="CJ73" s="1395" t="str">
        <f t="shared" si="86"/>
        <v>-</v>
      </c>
      <c r="CK73" s="1395" t="str">
        <f t="shared" si="86"/>
        <v>-</v>
      </c>
      <c r="CL73" s="1395" t="str">
        <f t="shared" si="86"/>
        <v>-</v>
      </c>
      <c r="CM73" s="1397" t="str">
        <f t="shared" si="86"/>
        <v>-</v>
      </c>
      <c r="CN73" s="1395" t="str">
        <f t="shared" si="86"/>
        <v>-</v>
      </c>
      <c r="CO73" s="1395" t="str">
        <f t="shared" si="86"/>
        <v>-</v>
      </c>
      <c r="CP73" s="1395" t="str">
        <f t="shared" si="86"/>
        <v>-</v>
      </c>
      <c r="CQ73" s="1395" t="str">
        <f t="shared" si="86"/>
        <v>-</v>
      </c>
      <c r="CR73" s="1398" t="str">
        <f t="shared" si="86"/>
        <v>-</v>
      </c>
      <c r="CS73" s="1378"/>
      <c r="CT73" s="1392" t="str">
        <f t="shared" si="34"/>
        <v>Qty</v>
      </c>
      <c r="CU73" s="1393" t="str">
        <f t="shared" si="35"/>
        <v>[Service]</v>
      </c>
      <c r="CV73" s="1393" t="str">
        <f t="shared" si="36"/>
        <v>[Price]</v>
      </c>
      <c r="CW73" s="1401" t="str">
        <f t="shared" si="62"/>
        <v>-</v>
      </c>
      <c r="CX73" s="1395" t="str">
        <f t="shared" si="63"/>
        <v>-</v>
      </c>
      <c r="CY73" s="1395" t="str">
        <f t="shared" si="64"/>
        <v>-</v>
      </c>
      <c r="CZ73" s="1397" t="str">
        <f t="shared" si="65"/>
        <v>-</v>
      </c>
      <c r="DA73" s="1395" t="str">
        <f t="shared" si="66"/>
        <v>-</v>
      </c>
      <c r="DB73" s="1395" t="str">
        <f t="shared" si="67"/>
        <v>-</v>
      </c>
      <c r="DC73" s="1395" t="str">
        <f t="shared" si="68"/>
        <v>-</v>
      </c>
      <c r="DD73" s="1395" t="str">
        <f t="shared" si="69"/>
        <v>-</v>
      </c>
      <c r="DE73" s="1398" t="str">
        <f t="shared" si="70"/>
        <v>-</v>
      </c>
      <c r="DF73" s="1378"/>
      <c r="DG73" s="1392" t="str">
        <f t="shared" si="81"/>
        <v>Qty</v>
      </c>
      <c r="DH73" s="1393" t="str">
        <f t="shared" si="38"/>
        <v>[Service]</v>
      </c>
      <c r="DI73" s="1393" t="str">
        <f t="shared" si="38"/>
        <v>[Price]</v>
      </c>
      <c r="DJ73" s="1401" t="str">
        <f t="shared" si="71"/>
        <v>-</v>
      </c>
      <c r="DK73" s="1395" t="str">
        <f t="shared" si="72"/>
        <v>-</v>
      </c>
      <c r="DL73" s="1395" t="str">
        <f t="shared" si="73"/>
        <v>-</v>
      </c>
      <c r="DM73" s="1397" t="str">
        <f t="shared" si="74"/>
        <v>-</v>
      </c>
      <c r="DN73" s="1395" t="str">
        <f t="shared" si="75"/>
        <v>-</v>
      </c>
      <c r="DO73" s="1395" t="str">
        <f t="shared" si="76"/>
        <v>-</v>
      </c>
      <c r="DP73" s="1395" t="str">
        <f t="shared" si="77"/>
        <v>-</v>
      </c>
      <c r="DQ73" s="1398" t="str">
        <f t="shared" si="78"/>
        <v>-</v>
      </c>
    </row>
    <row r="74" spans="4:121" ht="12.75" thickBot="1">
      <c r="E74" s="743" t="s">
        <v>46</v>
      </c>
      <c r="F74" s="732" t="str">
        <f>+F72</f>
        <v>[Service]</v>
      </c>
      <c r="G74" s="733">
        <f>+G72</f>
        <v>0</v>
      </c>
      <c r="H74" s="733">
        <f>+H72</f>
        <v>0</v>
      </c>
      <c r="I74" s="734" t="str">
        <f>+I72</f>
        <v>[Price]</v>
      </c>
      <c r="J74" s="735" t="s">
        <v>344</v>
      </c>
      <c r="K74" s="736">
        <f t="shared" ref="K74:AG74" si="87">K72*K73/10^6</f>
        <v>0</v>
      </c>
      <c r="L74" s="737">
        <f t="shared" si="87"/>
        <v>0</v>
      </c>
      <c r="M74" s="737">
        <f t="shared" si="87"/>
        <v>0</v>
      </c>
      <c r="N74" s="738">
        <f t="shared" si="87"/>
        <v>0</v>
      </c>
      <c r="O74" s="737">
        <f t="shared" si="87"/>
        <v>0</v>
      </c>
      <c r="P74" s="738">
        <f t="shared" si="87"/>
        <v>0</v>
      </c>
      <c r="Q74" s="737">
        <f t="shared" si="87"/>
        <v>0</v>
      </c>
      <c r="R74" s="737">
        <f t="shared" si="87"/>
        <v>0</v>
      </c>
      <c r="S74" s="737">
        <f t="shared" si="87"/>
        <v>0</v>
      </c>
      <c r="T74" s="737">
        <f t="shared" si="87"/>
        <v>0</v>
      </c>
      <c r="U74" s="737">
        <f t="shared" si="87"/>
        <v>0</v>
      </c>
      <c r="V74" s="737">
        <f t="shared" si="87"/>
        <v>0</v>
      </c>
      <c r="W74" s="737">
        <f t="shared" si="87"/>
        <v>0</v>
      </c>
      <c r="X74" s="738">
        <f t="shared" si="87"/>
        <v>0</v>
      </c>
      <c r="Y74" s="737">
        <f t="shared" si="87"/>
        <v>0</v>
      </c>
      <c r="Z74" s="737">
        <f t="shared" si="87"/>
        <v>0</v>
      </c>
      <c r="AA74" s="737">
        <f t="shared" si="87"/>
        <v>0</v>
      </c>
      <c r="AB74" s="737">
        <f t="shared" si="87"/>
        <v>0</v>
      </c>
      <c r="AC74" s="738">
        <f t="shared" si="87"/>
        <v>0</v>
      </c>
      <c r="AD74" s="737">
        <f t="shared" si="87"/>
        <v>0</v>
      </c>
      <c r="AE74" s="737">
        <f t="shared" si="87"/>
        <v>0</v>
      </c>
      <c r="AF74" s="737">
        <f t="shared" si="87"/>
        <v>0</v>
      </c>
      <c r="AG74" s="739">
        <f t="shared" si="87"/>
        <v>0</v>
      </c>
      <c r="AH74" s="823"/>
      <c r="AI74" s="744"/>
      <c r="AJ74" s="741"/>
      <c r="AK74" s="729"/>
      <c r="AL74" s="729"/>
      <c r="AM74" s="729"/>
      <c r="AN74" s="729"/>
      <c r="AO74" s="730"/>
      <c r="AP74" s="74"/>
      <c r="AQ74" s="74"/>
      <c r="AR74" s="74"/>
      <c r="AS74" s="106"/>
      <c r="AW74" s="1428" t="str">
        <f t="shared" si="79"/>
        <v>Rev</v>
      </c>
      <c r="AX74" s="1429" t="str">
        <f t="shared" si="41"/>
        <v>[Service]</v>
      </c>
      <c r="AY74" s="1430" t="str">
        <f t="shared" si="42"/>
        <v>[Price]</v>
      </c>
      <c r="AZ74" s="1431" t="str">
        <f t="shared" si="43"/>
        <v>-</v>
      </c>
      <c r="BA74" s="1431" t="str">
        <f t="shared" si="43"/>
        <v>-</v>
      </c>
      <c r="BB74" s="1431" t="str">
        <f t="shared" si="43"/>
        <v>-</v>
      </c>
      <c r="BC74" s="1431" t="str">
        <f t="shared" si="43"/>
        <v>-</v>
      </c>
      <c r="BD74" s="1431" t="str">
        <f t="shared" si="44"/>
        <v>-</v>
      </c>
      <c r="BE74" s="1431" t="str">
        <f t="shared" si="45"/>
        <v>-</v>
      </c>
      <c r="BF74" s="1431" t="str">
        <f t="shared" si="46"/>
        <v>-</v>
      </c>
      <c r="BG74" s="1432" t="str">
        <f t="shared" si="47"/>
        <v>-</v>
      </c>
      <c r="BH74" s="1431" t="str">
        <f t="shared" si="48"/>
        <v>-</v>
      </c>
      <c r="BI74" s="1431" t="str">
        <f t="shared" si="49"/>
        <v>-</v>
      </c>
      <c r="BJ74" s="1431" t="str">
        <f t="shared" si="50"/>
        <v>-</v>
      </c>
      <c r="BK74" s="1431" t="str">
        <f t="shared" si="51"/>
        <v>-</v>
      </c>
      <c r="BL74" s="1433" t="str">
        <f t="shared" si="52"/>
        <v>-</v>
      </c>
      <c r="BM74" s="1431" t="str">
        <f t="shared" si="53"/>
        <v>-</v>
      </c>
      <c r="BN74" s="1431" t="str">
        <f t="shared" si="54"/>
        <v>-</v>
      </c>
      <c r="BO74" s="1431" t="str">
        <f t="shared" si="55"/>
        <v>-</v>
      </c>
      <c r="BP74" s="1431" t="str">
        <f t="shared" si="56"/>
        <v>-</v>
      </c>
      <c r="BQ74" s="1434" t="str">
        <f t="shared" si="57"/>
        <v>-</v>
      </c>
      <c r="BR74" s="1378"/>
      <c r="BS74" s="1407"/>
      <c r="BT74" s="1408"/>
      <c r="BU74" s="1409"/>
      <c r="BV74" s="1410"/>
      <c r="BW74" s="1378"/>
      <c r="BX74" s="1428" t="str">
        <f t="shared" si="58"/>
        <v>Rev</v>
      </c>
      <c r="BY74" s="1429" t="str">
        <f t="shared" si="59"/>
        <v>[Service]</v>
      </c>
      <c r="BZ74" s="1430" t="str">
        <f t="shared" si="60"/>
        <v>[Price]</v>
      </c>
      <c r="CA74" s="1435" t="str">
        <f>IFERROR((S74/R74-1)*(R74/R$13),"-")</f>
        <v>-</v>
      </c>
      <c r="CB74" s="1431" t="str">
        <f>IFERROR((T74/S74-1)*(S74/S$13),"-")</f>
        <v>-</v>
      </c>
      <c r="CC74" s="1431" t="str">
        <f>IFERROR((U74/T74-1)*(T74/T$13),"-")</f>
        <v>-</v>
      </c>
      <c r="CD74" s="1431" t="str">
        <f>IFERROR((V74/U74-1)*(U74/U$13),"-")</f>
        <v>-</v>
      </c>
      <c r="CE74" s="1431" t="str">
        <f t="shared" ref="CE74:CR74" si="88">IFERROR((T74/S74-1)*(S74/S$13),"-")</f>
        <v>-</v>
      </c>
      <c r="CF74" s="1431" t="str">
        <f t="shared" si="88"/>
        <v>-</v>
      </c>
      <c r="CG74" s="1431" t="str">
        <f t="shared" si="88"/>
        <v>-</v>
      </c>
      <c r="CH74" s="1433" t="str">
        <f t="shared" si="88"/>
        <v>-</v>
      </c>
      <c r="CI74" s="1431" t="str">
        <f t="shared" si="88"/>
        <v>-</v>
      </c>
      <c r="CJ74" s="1431" t="str">
        <f t="shared" si="88"/>
        <v>-</v>
      </c>
      <c r="CK74" s="1431" t="str">
        <f t="shared" si="88"/>
        <v>-</v>
      </c>
      <c r="CL74" s="1431" t="str">
        <f t="shared" si="88"/>
        <v>-</v>
      </c>
      <c r="CM74" s="1433" t="str">
        <f t="shared" si="88"/>
        <v>-</v>
      </c>
      <c r="CN74" s="1431" t="str">
        <f t="shared" si="88"/>
        <v>-</v>
      </c>
      <c r="CO74" s="1431" t="str">
        <f t="shared" si="88"/>
        <v>-</v>
      </c>
      <c r="CP74" s="1431" t="str">
        <f t="shared" si="88"/>
        <v>-</v>
      </c>
      <c r="CQ74" s="1431" t="str">
        <f t="shared" si="88"/>
        <v>-</v>
      </c>
      <c r="CR74" s="1434" t="str">
        <f t="shared" si="88"/>
        <v>-</v>
      </c>
      <c r="CS74" s="1378"/>
      <c r="CT74" s="1428" t="str">
        <f t="shared" si="34"/>
        <v>Rev</v>
      </c>
      <c r="CU74" s="1429" t="str">
        <f t="shared" si="35"/>
        <v>[Service]</v>
      </c>
      <c r="CV74" s="1429" t="str">
        <f t="shared" si="36"/>
        <v>[Price]</v>
      </c>
      <c r="CW74" s="1435" t="str">
        <f t="shared" si="62"/>
        <v>-</v>
      </c>
      <c r="CX74" s="1431" t="str">
        <f t="shared" si="63"/>
        <v>-</v>
      </c>
      <c r="CY74" s="1431" t="str">
        <f t="shared" si="64"/>
        <v>-</v>
      </c>
      <c r="CZ74" s="1433" t="str">
        <f t="shared" si="65"/>
        <v>-</v>
      </c>
      <c r="DA74" s="1431" t="str">
        <f t="shared" si="66"/>
        <v>-</v>
      </c>
      <c r="DB74" s="1431" t="str">
        <f t="shared" si="67"/>
        <v>-</v>
      </c>
      <c r="DC74" s="1431" t="str">
        <f t="shared" si="68"/>
        <v>-</v>
      </c>
      <c r="DD74" s="1431" t="str">
        <f t="shared" si="69"/>
        <v>-</v>
      </c>
      <c r="DE74" s="1434" t="str">
        <f t="shared" si="70"/>
        <v>-</v>
      </c>
      <c r="DF74" s="1378"/>
      <c r="DG74" s="1428" t="str">
        <f t="shared" si="81"/>
        <v>Rev</v>
      </c>
      <c r="DH74" s="1429" t="str">
        <f t="shared" si="38"/>
        <v>[Service]</v>
      </c>
      <c r="DI74" s="1429" t="str">
        <f t="shared" si="38"/>
        <v>[Price]</v>
      </c>
      <c r="DJ74" s="1435" t="str">
        <f t="shared" si="71"/>
        <v>-</v>
      </c>
      <c r="DK74" s="1431" t="str">
        <f t="shared" si="72"/>
        <v>-</v>
      </c>
      <c r="DL74" s="1431" t="str">
        <f t="shared" si="73"/>
        <v>-</v>
      </c>
      <c r="DM74" s="1433" t="str">
        <f t="shared" si="74"/>
        <v>-</v>
      </c>
      <c r="DN74" s="1431" t="str">
        <f t="shared" si="75"/>
        <v>-</v>
      </c>
      <c r="DO74" s="1431" t="str">
        <f t="shared" si="76"/>
        <v>-</v>
      </c>
      <c r="DP74" s="1431" t="str">
        <f t="shared" si="77"/>
        <v>-</v>
      </c>
      <c r="DQ74" s="1434" t="str">
        <f t="shared" si="78"/>
        <v>-</v>
      </c>
    </row>
    <row r="75" spans="4:121">
      <c r="D75" s="70">
        <f>D72+1</f>
        <v>3</v>
      </c>
      <c r="E75" s="713" t="s">
        <v>44</v>
      </c>
      <c r="F75" s="789" t="s">
        <v>27</v>
      </c>
      <c r="G75" s="789"/>
      <c r="H75" s="789"/>
      <c r="I75" s="781" t="s">
        <v>318</v>
      </c>
      <c r="J75" s="781" t="s">
        <v>345</v>
      </c>
      <c r="K75" s="714"/>
      <c r="L75" s="715"/>
      <c r="M75" s="715"/>
      <c r="N75" s="716"/>
      <c r="O75" s="783"/>
      <c r="P75" s="784"/>
      <c r="Q75" s="783"/>
      <c r="R75" s="783"/>
      <c r="S75" s="783"/>
      <c r="T75" s="783"/>
      <c r="U75" s="783"/>
      <c r="V75" s="783"/>
      <c r="W75" s="783"/>
      <c r="X75" s="784"/>
      <c r="Y75" s="783"/>
      <c r="Z75" s="783"/>
      <c r="AA75" s="783"/>
      <c r="AB75" s="783"/>
      <c r="AC75" s="784"/>
      <c r="AD75" s="783"/>
      <c r="AE75" s="783"/>
      <c r="AF75" s="783"/>
      <c r="AG75" s="785"/>
      <c r="AI75" s="702"/>
      <c r="AJ75" s="717" t="str">
        <f t="shared" ref="AJ75:AS75" si="89">IFERROR((X75-W75)/W75,"")</f>
        <v/>
      </c>
      <c r="AK75" s="718" t="str">
        <f t="shared" si="89"/>
        <v/>
      </c>
      <c r="AL75" s="718" t="str">
        <f t="shared" si="89"/>
        <v/>
      </c>
      <c r="AM75" s="718" t="str">
        <f t="shared" si="89"/>
        <v/>
      </c>
      <c r="AN75" s="718" t="str">
        <f t="shared" si="89"/>
        <v/>
      </c>
      <c r="AO75" s="719" t="str">
        <f t="shared" si="89"/>
        <v/>
      </c>
      <c r="AP75" s="494" t="str">
        <f t="shared" si="89"/>
        <v/>
      </c>
      <c r="AQ75" s="494" t="str">
        <f t="shared" si="89"/>
        <v/>
      </c>
      <c r="AR75" s="494" t="str">
        <f t="shared" si="89"/>
        <v/>
      </c>
      <c r="AS75" s="720" t="str">
        <f t="shared" si="89"/>
        <v/>
      </c>
      <c r="AU75" s="1369"/>
      <c r="AW75" s="1412" t="str">
        <f t="shared" si="79"/>
        <v>Price</v>
      </c>
      <c r="AX75" s="1413" t="str">
        <f t="shared" si="41"/>
        <v>[Service]</v>
      </c>
      <c r="AY75" s="1414" t="str">
        <f t="shared" si="42"/>
        <v>[Price]</v>
      </c>
      <c r="AZ75" s="1415" t="str">
        <f t="shared" si="43"/>
        <v>-</v>
      </c>
      <c r="BA75" s="1415" t="str">
        <f t="shared" si="43"/>
        <v>-</v>
      </c>
      <c r="BB75" s="1415" t="str">
        <f t="shared" si="43"/>
        <v>-</v>
      </c>
      <c r="BC75" s="1415" t="str">
        <f t="shared" si="43"/>
        <v>-</v>
      </c>
      <c r="BD75" s="1415" t="str">
        <f t="shared" si="44"/>
        <v>-</v>
      </c>
      <c r="BE75" s="1415" t="str">
        <f t="shared" si="45"/>
        <v>-</v>
      </c>
      <c r="BF75" s="1415" t="str">
        <f t="shared" si="46"/>
        <v>-</v>
      </c>
      <c r="BG75" s="1416" t="str">
        <f t="shared" si="47"/>
        <v>-</v>
      </c>
      <c r="BH75" s="1417" t="str">
        <f t="shared" si="48"/>
        <v>-</v>
      </c>
      <c r="BI75" s="1417" t="str">
        <f t="shared" si="49"/>
        <v>-</v>
      </c>
      <c r="BJ75" s="1417" t="str">
        <f t="shared" si="50"/>
        <v>-</v>
      </c>
      <c r="BK75" s="1417" t="str">
        <f t="shared" si="51"/>
        <v>-</v>
      </c>
      <c r="BL75" s="1418" t="str">
        <f t="shared" si="52"/>
        <v>-</v>
      </c>
      <c r="BM75" s="1417" t="str">
        <f t="shared" si="53"/>
        <v>-</v>
      </c>
      <c r="BN75" s="1417" t="str">
        <f t="shared" si="54"/>
        <v>-</v>
      </c>
      <c r="BO75" s="1417" t="str">
        <f t="shared" si="55"/>
        <v>-</v>
      </c>
      <c r="BP75" s="1417" t="str">
        <f t="shared" si="56"/>
        <v>-</v>
      </c>
      <c r="BQ75" s="1419" t="str">
        <f t="shared" si="57"/>
        <v>-</v>
      </c>
      <c r="BR75" s="1378"/>
      <c r="BS75" s="1420"/>
      <c r="BT75" s="1421"/>
      <c r="BU75" s="1422"/>
      <c r="BV75" s="1423"/>
      <c r="BW75" s="1378"/>
      <c r="BX75" s="1412" t="str">
        <f t="shared" si="58"/>
        <v>Price</v>
      </c>
      <c r="BY75" s="1413" t="str">
        <f t="shared" si="59"/>
        <v>[Service]</v>
      </c>
      <c r="BZ75" s="1414" t="str">
        <f t="shared" si="60"/>
        <v>[Price]</v>
      </c>
      <c r="CA75" s="1424" t="str">
        <f>IFERROR((S75/R75-1)*(R77/R$13),"-")</f>
        <v>-</v>
      </c>
      <c r="CB75" s="1415" t="str">
        <f>IFERROR((T75/S75-1)*(S77/S$13),"-")</f>
        <v>-</v>
      </c>
      <c r="CC75" s="1415" t="str">
        <f>IFERROR((U75/T75-1)*(T77/T$13),"-")</f>
        <v>-</v>
      </c>
      <c r="CD75" s="1415" t="str">
        <f>IFERROR((V75/U75-1)*(U77/U$13),"-")</f>
        <v>-</v>
      </c>
      <c r="CE75" s="1415" t="str">
        <f t="shared" ref="CE75:CR75" si="90">IFERROR((T75/S75-1)*(S77/S$13),"-")</f>
        <v>-</v>
      </c>
      <c r="CF75" s="1415" t="str">
        <f t="shared" si="90"/>
        <v>-</v>
      </c>
      <c r="CG75" s="1415" t="str">
        <f t="shared" si="90"/>
        <v>-</v>
      </c>
      <c r="CH75" s="1425" t="str">
        <f t="shared" si="90"/>
        <v>-</v>
      </c>
      <c r="CI75" s="1417" t="str">
        <f t="shared" si="90"/>
        <v>-</v>
      </c>
      <c r="CJ75" s="1417" t="str">
        <f t="shared" si="90"/>
        <v>-</v>
      </c>
      <c r="CK75" s="1417" t="str">
        <f t="shared" si="90"/>
        <v>-</v>
      </c>
      <c r="CL75" s="1417" t="str">
        <f t="shared" si="90"/>
        <v>-</v>
      </c>
      <c r="CM75" s="1418" t="str">
        <f t="shared" si="90"/>
        <v>-</v>
      </c>
      <c r="CN75" s="1417" t="str">
        <f t="shared" si="90"/>
        <v>-</v>
      </c>
      <c r="CO75" s="1417" t="str">
        <f t="shared" si="90"/>
        <v>-</v>
      </c>
      <c r="CP75" s="1417" t="str">
        <f t="shared" si="90"/>
        <v>-</v>
      </c>
      <c r="CQ75" s="1417" t="str">
        <f t="shared" si="90"/>
        <v>-</v>
      </c>
      <c r="CR75" s="1419" t="str">
        <f t="shared" si="90"/>
        <v>-</v>
      </c>
      <c r="CS75" s="1378"/>
      <c r="CT75" s="1412" t="str">
        <f t="shared" si="34"/>
        <v>Price</v>
      </c>
      <c r="CU75" s="1413" t="str">
        <f t="shared" si="35"/>
        <v>[Service]</v>
      </c>
      <c r="CV75" s="1426" t="str">
        <f t="shared" si="36"/>
        <v>[Price]</v>
      </c>
      <c r="CW75" s="1427" t="str">
        <f t="shared" si="62"/>
        <v>-</v>
      </c>
      <c r="CX75" s="1417" t="str">
        <f t="shared" si="63"/>
        <v>-</v>
      </c>
      <c r="CY75" s="1417" t="str">
        <f t="shared" si="64"/>
        <v>-</v>
      </c>
      <c r="CZ75" s="1418" t="str">
        <f t="shared" si="65"/>
        <v>-</v>
      </c>
      <c r="DA75" s="1417" t="str">
        <f t="shared" si="66"/>
        <v>-</v>
      </c>
      <c r="DB75" s="1417" t="str">
        <f t="shared" si="67"/>
        <v>-</v>
      </c>
      <c r="DC75" s="1417" t="str">
        <f t="shared" si="68"/>
        <v>-</v>
      </c>
      <c r="DD75" s="1417" t="str">
        <f t="shared" si="69"/>
        <v>-</v>
      </c>
      <c r="DE75" s="1419" t="str">
        <f t="shared" si="70"/>
        <v>-</v>
      </c>
      <c r="DF75" s="1378"/>
      <c r="DG75" s="1412" t="str">
        <f t="shared" si="81"/>
        <v>Price</v>
      </c>
      <c r="DH75" s="1413" t="str">
        <f t="shared" si="38"/>
        <v>[Service]</v>
      </c>
      <c r="DI75" s="1426" t="str">
        <f t="shared" si="38"/>
        <v>[Price]</v>
      </c>
      <c r="DJ75" s="1427" t="str">
        <f t="shared" si="71"/>
        <v>-</v>
      </c>
      <c r="DK75" s="1417" t="str">
        <f t="shared" si="72"/>
        <v>-</v>
      </c>
      <c r="DL75" s="1417" t="str">
        <f t="shared" si="73"/>
        <v>-</v>
      </c>
      <c r="DM75" s="1418" t="str">
        <f t="shared" si="74"/>
        <v>-</v>
      </c>
      <c r="DN75" s="1417" t="str">
        <f t="shared" si="75"/>
        <v>-</v>
      </c>
      <c r="DO75" s="1417" t="str">
        <f t="shared" si="76"/>
        <v>-</v>
      </c>
      <c r="DP75" s="1417" t="str">
        <f t="shared" si="77"/>
        <v>-</v>
      </c>
      <c r="DQ75" s="1419" t="str">
        <f t="shared" si="78"/>
        <v>-</v>
      </c>
    </row>
    <row r="76" spans="4:121">
      <c r="E76" s="742" t="s">
        <v>45</v>
      </c>
      <c r="F76" s="722" t="str">
        <f>+F75</f>
        <v>[Service]</v>
      </c>
      <c r="G76" s="723">
        <f>+G75</f>
        <v>0</v>
      </c>
      <c r="H76" s="723">
        <f>+H75</f>
        <v>0</v>
      </c>
      <c r="I76" s="724" t="str">
        <f>+I75</f>
        <v>[Price]</v>
      </c>
      <c r="J76" s="782" t="s">
        <v>322</v>
      </c>
      <c r="K76" s="725"/>
      <c r="L76" s="726"/>
      <c r="M76" s="726"/>
      <c r="N76" s="727"/>
      <c r="O76" s="786"/>
      <c r="P76" s="787"/>
      <c r="Q76" s="786"/>
      <c r="R76" s="786"/>
      <c r="S76" s="786"/>
      <c r="T76" s="786"/>
      <c r="U76" s="786"/>
      <c r="V76" s="786"/>
      <c r="W76" s="786"/>
      <c r="X76" s="787"/>
      <c r="Y76" s="786"/>
      <c r="Z76" s="786"/>
      <c r="AA76" s="786"/>
      <c r="AB76" s="786"/>
      <c r="AC76" s="787"/>
      <c r="AD76" s="786"/>
      <c r="AE76" s="786"/>
      <c r="AF76" s="786"/>
      <c r="AG76" s="788"/>
      <c r="AH76" s="823"/>
      <c r="AI76" s="702"/>
      <c r="AJ76" s="728"/>
      <c r="AK76" s="729"/>
      <c r="AL76" s="729"/>
      <c r="AM76" s="729"/>
      <c r="AN76" s="729"/>
      <c r="AO76" s="730"/>
      <c r="AP76" s="74"/>
      <c r="AQ76" s="74"/>
      <c r="AR76" s="74"/>
      <c r="AS76" s="106"/>
      <c r="AW76" s="1392" t="str">
        <f t="shared" si="79"/>
        <v>Qty</v>
      </c>
      <c r="AX76" s="1393" t="str">
        <f t="shared" si="41"/>
        <v>[Service]</v>
      </c>
      <c r="AY76" s="1394" t="str">
        <f t="shared" si="42"/>
        <v>[Price]</v>
      </c>
      <c r="AZ76" s="1395" t="str">
        <f t="shared" si="43"/>
        <v>-</v>
      </c>
      <c r="BA76" s="1395" t="str">
        <f t="shared" si="43"/>
        <v>-</v>
      </c>
      <c r="BB76" s="1395" t="str">
        <f t="shared" si="43"/>
        <v>-</v>
      </c>
      <c r="BC76" s="1395" t="str">
        <f t="shared" si="43"/>
        <v>-</v>
      </c>
      <c r="BD76" s="1395" t="str">
        <f t="shared" si="44"/>
        <v>-</v>
      </c>
      <c r="BE76" s="1395" t="str">
        <f t="shared" si="45"/>
        <v>-</v>
      </c>
      <c r="BF76" s="1395" t="str">
        <f t="shared" si="46"/>
        <v>-</v>
      </c>
      <c r="BG76" s="1396" t="str">
        <f t="shared" si="47"/>
        <v>-</v>
      </c>
      <c r="BH76" s="1395" t="str">
        <f t="shared" si="48"/>
        <v>-</v>
      </c>
      <c r="BI76" s="1395" t="str">
        <f t="shared" si="49"/>
        <v>-</v>
      </c>
      <c r="BJ76" s="1395" t="str">
        <f t="shared" si="50"/>
        <v>-</v>
      </c>
      <c r="BK76" s="1395" t="str">
        <f t="shared" si="51"/>
        <v>-</v>
      </c>
      <c r="BL76" s="1397" t="str">
        <f t="shared" si="52"/>
        <v>-</v>
      </c>
      <c r="BM76" s="1395" t="str">
        <f t="shared" si="53"/>
        <v>-</v>
      </c>
      <c r="BN76" s="1395" t="str">
        <f t="shared" si="54"/>
        <v>-</v>
      </c>
      <c r="BO76" s="1395" t="str">
        <f t="shared" si="55"/>
        <v>-</v>
      </c>
      <c r="BP76" s="1395" t="str">
        <f t="shared" si="56"/>
        <v>-</v>
      </c>
      <c r="BQ76" s="1398" t="str">
        <f t="shared" si="57"/>
        <v>-</v>
      </c>
      <c r="BR76" s="1378"/>
      <c r="BS76" s="1329"/>
      <c r="BT76" s="1399"/>
      <c r="BU76" s="1331"/>
      <c r="BV76" s="1400"/>
      <c r="BW76" s="1378"/>
      <c r="BX76" s="1392" t="str">
        <f t="shared" si="58"/>
        <v>Qty</v>
      </c>
      <c r="BY76" s="1393" t="str">
        <f t="shared" si="59"/>
        <v>[Service]</v>
      </c>
      <c r="BZ76" s="1394" t="str">
        <f t="shared" si="60"/>
        <v>[Price]</v>
      </c>
      <c r="CA76" s="1401" t="str">
        <f>IFERROR((S76/R76-1)*(R77/R$13),"-")</f>
        <v>-</v>
      </c>
      <c r="CB76" s="1395" t="str">
        <f>IFERROR((T76/S76-1)*(S77/S$13),"-")</f>
        <v>-</v>
      </c>
      <c r="CC76" s="1395" t="str">
        <f>IFERROR((U76/T76-1)*(T77/T$13),"-")</f>
        <v>-</v>
      </c>
      <c r="CD76" s="1395" t="str">
        <f>IFERROR((V76/U76-1)*(U77/U$13),"-")</f>
        <v>-</v>
      </c>
      <c r="CE76" s="1395" t="str">
        <f t="shared" ref="CE76:CR76" si="91">IFERROR((T76/S76-1)*(S77/S$13),"-")</f>
        <v>-</v>
      </c>
      <c r="CF76" s="1395" t="str">
        <f t="shared" si="91"/>
        <v>-</v>
      </c>
      <c r="CG76" s="1395" t="str">
        <f t="shared" si="91"/>
        <v>-</v>
      </c>
      <c r="CH76" s="1397" t="str">
        <f t="shared" si="91"/>
        <v>-</v>
      </c>
      <c r="CI76" s="1395" t="str">
        <f t="shared" si="91"/>
        <v>-</v>
      </c>
      <c r="CJ76" s="1395" t="str">
        <f t="shared" si="91"/>
        <v>-</v>
      </c>
      <c r="CK76" s="1395" t="str">
        <f t="shared" si="91"/>
        <v>-</v>
      </c>
      <c r="CL76" s="1395" t="str">
        <f t="shared" si="91"/>
        <v>-</v>
      </c>
      <c r="CM76" s="1397" t="str">
        <f t="shared" si="91"/>
        <v>-</v>
      </c>
      <c r="CN76" s="1395" t="str">
        <f t="shared" si="91"/>
        <v>-</v>
      </c>
      <c r="CO76" s="1395" t="str">
        <f t="shared" si="91"/>
        <v>-</v>
      </c>
      <c r="CP76" s="1395" t="str">
        <f t="shared" si="91"/>
        <v>-</v>
      </c>
      <c r="CQ76" s="1395" t="str">
        <f t="shared" si="91"/>
        <v>-</v>
      </c>
      <c r="CR76" s="1398" t="str">
        <f t="shared" si="91"/>
        <v>-</v>
      </c>
      <c r="CS76" s="1378"/>
      <c r="CT76" s="1392" t="str">
        <f t="shared" si="34"/>
        <v>Qty</v>
      </c>
      <c r="CU76" s="1393" t="str">
        <f t="shared" si="35"/>
        <v>[Service]</v>
      </c>
      <c r="CV76" s="1393" t="str">
        <f t="shared" si="36"/>
        <v>[Price]</v>
      </c>
      <c r="CW76" s="1401" t="str">
        <f t="shared" si="62"/>
        <v>-</v>
      </c>
      <c r="CX76" s="1395" t="str">
        <f t="shared" si="63"/>
        <v>-</v>
      </c>
      <c r="CY76" s="1395" t="str">
        <f t="shared" si="64"/>
        <v>-</v>
      </c>
      <c r="CZ76" s="1397" t="str">
        <f t="shared" si="65"/>
        <v>-</v>
      </c>
      <c r="DA76" s="1395" t="str">
        <f t="shared" si="66"/>
        <v>-</v>
      </c>
      <c r="DB76" s="1395" t="str">
        <f t="shared" si="67"/>
        <v>-</v>
      </c>
      <c r="DC76" s="1395" t="str">
        <f t="shared" si="68"/>
        <v>-</v>
      </c>
      <c r="DD76" s="1395" t="str">
        <f t="shared" si="69"/>
        <v>-</v>
      </c>
      <c r="DE76" s="1398" t="str">
        <f t="shared" si="70"/>
        <v>-</v>
      </c>
      <c r="DF76" s="1378"/>
      <c r="DG76" s="1392" t="str">
        <f t="shared" si="81"/>
        <v>Qty</v>
      </c>
      <c r="DH76" s="1393" t="str">
        <f t="shared" si="38"/>
        <v>[Service]</v>
      </c>
      <c r="DI76" s="1393" t="str">
        <f t="shared" si="38"/>
        <v>[Price]</v>
      </c>
      <c r="DJ76" s="1401" t="str">
        <f t="shared" si="71"/>
        <v>-</v>
      </c>
      <c r="DK76" s="1395" t="str">
        <f t="shared" si="72"/>
        <v>-</v>
      </c>
      <c r="DL76" s="1395" t="str">
        <f t="shared" si="73"/>
        <v>-</v>
      </c>
      <c r="DM76" s="1397" t="str">
        <f t="shared" si="74"/>
        <v>-</v>
      </c>
      <c r="DN76" s="1395" t="str">
        <f t="shared" si="75"/>
        <v>-</v>
      </c>
      <c r="DO76" s="1395" t="str">
        <f t="shared" si="76"/>
        <v>-</v>
      </c>
      <c r="DP76" s="1395" t="str">
        <f t="shared" si="77"/>
        <v>-</v>
      </c>
      <c r="DQ76" s="1398" t="str">
        <f t="shared" si="78"/>
        <v>-</v>
      </c>
    </row>
    <row r="77" spans="4:121" ht="12.75" thickBot="1">
      <c r="E77" s="743" t="s">
        <v>46</v>
      </c>
      <c r="F77" s="732" t="str">
        <f>+F75</f>
        <v>[Service]</v>
      </c>
      <c r="G77" s="733">
        <f>+G75</f>
        <v>0</v>
      </c>
      <c r="H77" s="733">
        <f>+H75</f>
        <v>0</v>
      </c>
      <c r="I77" s="734" t="str">
        <f>+I75</f>
        <v>[Price]</v>
      </c>
      <c r="J77" s="735" t="s">
        <v>344</v>
      </c>
      <c r="K77" s="736">
        <f t="shared" ref="K77:AG77" si="92">K75*K76/10^6</f>
        <v>0</v>
      </c>
      <c r="L77" s="737">
        <f t="shared" si="92"/>
        <v>0</v>
      </c>
      <c r="M77" s="737">
        <f t="shared" si="92"/>
        <v>0</v>
      </c>
      <c r="N77" s="738">
        <f t="shared" si="92"/>
        <v>0</v>
      </c>
      <c r="O77" s="737">
        <f t="shared" si="92"/>
        <v>0</v>
      </c>
      <c r="P77" s="738">
        <f t="shared" si="92"/>
        <v>0</v>
      </c>
      <c r="Q77" s="737">
        <f t="shared" si="92"/>
        <v>0</v>
      </c>
      <c r="R77" s="737">
        <f t="shared" si="92"/>
        <v>0</v>
      </c>
      <c r="S77" s="737">
        <f t="shared" si="92"/>
        <v>0</v>
      </c>
      <c r="T77" s="737">
        <f t="shared" si="92"/>
        <v>0</v>
      </c>
      <c r="U77" s="737">
        <f t="shared" si="92"/>
        <v>0</v>
      </c>
      <c r="V77" s="737">
        <f t="shared" si="92"/>
        <v>0</v>
      </c>
      <c r="W77" s="737">
        <f t="shared" si="92"/>
        <v>0</v>
      </c>
      <c r="X77" s="738">
        <f t="shared" si="92"/>
        <v>0</v>
      </c>
      <c r="Y77" s="737">
        <f t="shared" si="92"/>
        <v>0</v>
      </c>
      <c r="Z77" s="737">
        <f t="shared" si="92"/>
        <v>0</v>
      </c>
      <c r="AA77" s="737">
        <f t="shared" si="92"/>
        <v>0</v>
      </c>
      <c r="AB77" s="737">
        <f t="shared" si="92"/>
        <v>0</v>
      </c>
      <c r="AC77" s="738">
        <f t="shared" si="92"/>
        <v>0</v>
      </c>
      <c r="AD77" s="737">
        <f t="shared" si="92"/>
        <v>0</v>
      </c>
      <c r="AE77" s="737">
        <f t="shared" si="92"/>
        <v>0</v>
      </c>
      <c r="AF77" s="737">
        <f t="shared" si="92"/>
        <v>0</v>
      </c>
      <c r="AG77" s="739">
        <f t="shared" si="92"/>
        <v>0</v>
      </c>
      <c r="AH77" s="823"/>
      <c r="AI77" s="744"/>
      <c r="AJ77" s="741"/>
      <c r="AK77" s="729"/>
      <c r="AL77" s="729"/>
      <c r="AM77" s="729"/>
      <c r="AN77" s="729"/>
      <c r="AO77" s="730"/>
      <c r="AP77" s="74"/>
      <c r="AQ77" s="74"/>
      <c r="AR77" s="74"/>
      <c r="AS77" s="106"/>
      <c r="AW77" s="1428" t="str">
        <f t="shared" si="79"/>
        <v>Rev</v>
      </c>
      <c r="AX77" s="1429" t="str">
        <f t="shared" si="41"/>
        <v>[Service]</v>
      </c>
      <c r="AY77" s="1430" t="str">
        <f t="shared" si="42"/>
        <v>[Price]</v>
      </c>
      <c r="AZ77" s="1431" t="str">
        <f t="shared" si="43"/>
        <v>-</v>
      </c>
      <c r="BA77" s="1431" t="str">
        <f t="shared" si="43"/>
        <v>-</v>
      </c>
      <c r="BB77" s="1431" t="str">
        <f t="shared" si="43"/>
        <v>-</v>
      </c>
      <c r="BC77" s="1431" t="str">
        <f t="shared" si="43"/>
        <v>-</v>
      </c>
      <c r="BD77" s="1431" t="str">
        <f t="shared" si="44"/>
        <v>-</v>
      </c>
      <c r="BE77" s="1431" t="str">
        <f t="shared" si="45"/>
        <v>-</v>
      </c>
      <c r="BF77" s="1431" t="str">
        <f t="shared" si="46"/>
        <v>-</v>
      </c>
      <c r="BG77" s="1432" t="str">
        <f t="shared" si="47"/>
        <v>-</v>
      </c>
      <c r="BH77" s="1431" t="str">
        <f t="shared" si="48"/>
        <v>-</v>
      </c>
      <c r="BI77" s="1431" t="str">
        <f t="shared" si="49"/>
        <v>-</v>
      </c>
      <c r="BJ77" s="1431" t="str">
        <f t="shared" si="50"/>
        <v>-</v>
      </c>
      <c r="BK77" s="1431" t="str">
        <f t="shared" si="51"/>
        <v>-</v>
      </c>
      <c r="BL77" s="1433" t="str">
        <f t="shared" si="52"/>
        <v>-</v>
      </c>
      <c r="BM77" s="1431" t="str">
        <f t="shared" si="53"/>
        <v>-</v>
      </c>
      <c r="BN77" s="1431" t="str">
        <f t="shared" si="54"/>
        <v>-</v>
      </c>
      <c r="BO77" s="1431" t="str">
        <f t="shared" si="55"/>
        <v>-</v>
      </c>
      <c r="BP77" s="1431" t="str">
        <f t="shared" si="56"/>
        <v>-</v>
      </c>
      <c r="BQ77" s="1434" t="str">
        <f t="shared" si="57"/>
        <v>-</v>
      </c>
      <c r="BR77" s="1378"/>
      <c r="BS77" s="1407"/>
      <c r="BT77" s="1408"/>
      <c r="BU77" s="1409"/>
      <c r="BV77" s="1410"/>
      <c r="BW77" s="1378"/>
      <c r="BX77" s="1428" t="str">
        <f t="shared" si="58"/>
        <v>Rev</v>
      </c>
      <c r="BY77" s="1429" t="str">
        <f t="shared" si="59"/>
        <v>[Service]</v>
      </c>
      <c r="BZ77" s="1430" t="str">
        <f t="shared" si="60"/>
        <v>[Price]</v>
      </c>
      <c r="CA77" s="1435" t="str">
        <f>IFERROR((S77/R77-1)*(R77/R$13),"-")</f>
        <v>-</v>
      </c>
      <c r="CB77" s="1431" t="str">
        <f>IFERROR((T77/S77-1)*(S77/S$13),"-")</f>
        <v>-</v>
      </c>
      <c r="CC77" s="1431" t="str">
        <f>IFERROR((U77/T77-1)*(T77/T$13),"-")</f>
        <v>-</v>
      </c>
      <c r="CD77" s="1431" t="str">
        <f>IFERROR((V77/U77-1)*(U77/U$13),"-")</f>
        <v>-</v>
      </c>
      <c r="CE77" s="1431" t="str">
        <f t="shared" ref="CE77:CR77" si="93">IFERROR((T77/S77-1)*(S77/S$13),"-")</f>
        <v>-</v>
      </c>
      <c r="CF77" s="1431" t="str">
        <f t="shared" si="93"/>
        <v>-</v>
      </c>
      <c r="CG77" s="1431" t="str">
        <f t="shared" si="93"/>
        <v>-</v>
      </c>
      <c r="CH77" s="1433" t="str">
        <f t="shared" si="93"/>
        <v>-</v>
      </c>
      <c r="CI77" s="1431" t="str">
        <f t="shared" si="93"/>
        <v>-</v>
      </c>
      <c r="CJ77" s="1431" t="str">
        <f t="shared" si="93"/>
        <v>-</v>
      </c>
      <c r="CK77" s="1431" t="str">
        <f t="shared" si="93"/>
        <v>-</v>
      </c>
      <c r="CL77" s="1431" t="str">
        <f t="shared" si="93"/>
        <v>-</v>
      </c>
      <c r="CM77" s="1433" t="str">
        <f t="shared" si="93"/>
        <v>-</v>
      </c>
      <c r="CN77" s="1431" t="str">
        <f t="shared" si="93"/>
        <v>-</v>
      </c>
      <c r="CO77" s="1431" t="str">
        <f t="shared" si="93"/>
        <v>-</v>
      </c>
      <c r="CP77" s="1431" t="str">
        <f t="shared" si="93"/>
        <v>-</v>
      </c>
      <c r="CQ77" s="1431" t="str">
        <f t="shared" si="93"/>
        <v>-</v>
      </c>
      <c r="CR77" s="1434" t="str">
        <f t="shared" si="93"/>
        <v>-</v>
      </c>
      <c r="CS77" s="1378"/>
      <c r="CT77" s="1428" t="str">
        <f t="shared" si="34"/>
        <v>Rev</v>
      </c>
      <c r="CU77" s="1429" t="str">
        <f t="shared" si="35"/>
        <v>[Service]</v>
      </c>
      <c r="CV77" s="1429" t="str">
        <f t="shared" si="36"/>
        <v>[Price]</v>
      </c>
      <c r="CW77" s="1435" t="str">
        <f t="shared" si="62"/>
        <v>-</v>
      </c>
      <c r="CX77" s="1431" t="str">
        <f t="shared" si="63"/>
        <v>-</v>
      </c>
      <c r="CY77" s="1431" t="str">
        <f t="shared" si="64"/>
        <v>-</v>
      </c>
      <c r="CZ77" s="1433" t="str">
        <f t="shared" si="65"/>
        <v>-</v>
      </c>
      <c r="DA77" s="1431" t="str">
        <f t="shared" si="66"/>
        <v>-</v>
      </c>
      <c r="DB77" s="1431" t="str">
        <f t="shared" si="67"/>
        <v>-</v>
      </c>
      <c r="DC77" s="1431" t="str">
        <f t="shared" si="68"/>
        <v>-</v>
      </c>
      <c r="DD77" s="1431" t="str">
        <f t="shared" si="69"/>
        <v>-</v>
      </c>
      <c r="DE77" s="1434" t="str">
        <f t="shared" si="70"/>
        <v>-</v>
      </c>
      <c r="DF77" s="1378"/>
      <c r="DG77" s="1428" t="str">
        <f t="shared" si="81"/>
        <v>Rev</v>
      </c>
      <c r="DH77" s="1429" t="str">
        <f t="shared" si="38"/>
        <v>[Service]</v>
      </c>
      <c r="DI77" s="1429" t="str">
        <f t="shared" si="38"/>
        <v>[Price]</v>
      </c>
      <c r="DJ77" s="1435" t="str">
        <f t="shared" si="71"/>
        <v>-</v>
      </c>
      <c r="DK77" s="1431" t="str">
        <f t="shared" si="72"/>
        <v>-</v>
      </c>
      <c r="DL77" s="1431" t="str">
        <f t="shared" si="73"/>
        <v>-</v>
      </c>
      <c r="DM77" s="1433" t="str">
        <f t="shared" si="74"/>
        <v>-</v>
      </c>
      <c r="DN77" s="1431" t="str">
        <f t="shared" si="75"/>
        <v>-</v>
      </c>
      <c r="DO77" s="1431" t="str">
        <f t="shared" si="76"/>
        <v>-</v>
      </c>
      <c r="DP77" s="1431" t="str">
        <f t="shared" si="77"/>
        <v>-</v>
      </c>
      <c r="DQ77" s="1434" t="str">
        <f t="shared" si="78"/>
        <v>-</v>
      </c>
    </row>
    <row r="78" spans="4:121">
      <c r="D78" s="70">
        <f>D75+1</f>
        <v>4</v>
      </c>
      <c r="E78" s="713" t="s">
        <v>44</v>
      </c>
      <c r="F78" s="789" t="s">
        <v>27</v>
      </c>
      <c r="G78" s="789"/>
      <c r="H78" s="789"/>
      <c r="I78" s="781" t="s">
        <v>318</v>
      </c>
      <c r="J78" s="781" t="s">
        <v>345</v>
      </c>
      <c r="K78" s="714"/>
      <c r="L78" s="715"/>
      <c r="M78" s="715"/>
      <c r="N78" s="716"/>
      <c r="O78" s="783"/>
      <c r="P78" s="784"/>
      <c r="Q78" s="783"/>
      <c r="R78" s="783"/>
      <c r="S78" s="783"/>
      <c r="T78" s="783"/>
      <c r="U78" s="783"/>
      <c r="V78" s="783"/>
      <c r="W78" s="783"/>
      <c r="X78" s="784"/>
      <c r="Y78" s="783"/>
      <c r="Z78" s="783"/>
      <c r="AA78" s="783"/>
      <c r="AB78" s="783"/>
      <c r="AC78" s="784"/>
      <c r="AD78" s="783"/>
      <c r="AE78" s="783"/>
      <c r="AF78" s="783"/>
      <c r="AG78" s="785"/>
      <c r="AI78" s="702"/>
      <c r="AJ78" s="717" t="str">
        <f t="shared" ref="AJ78:AS78" si="94">IFERROR((X78-W78)/W78,"")</f>
        <v/>
      </c>
      <c r="AK78" s="718" t="str">
        <f t="shared" si="94"/>
        <v/>
      </c>
      <c r="AL78" s="718" t="str">
        <f t="shared" si="94"/>
        <v/>
      </c>
      <c r="AM78" s="718" t="str">
        <f t="shared" si="94"/>
        <v/>
      </c>
      <c r="AN78" s="718" t="str">
        <f t="shared" si="94"/>
        <v/>
      </c>
      <c r="AO78" s="719" t="str">
        <f t="shared" si="94"/>
        <v/>
      </c>
      <c r="AP78" s="494" t="str">
        <f t="shared" si="94"/>
        <v/>
      </c>
      <c r="AQ78" s="494" t="str">
        <f t="shared" si="94"/>
        <v/>
      </c>
      <c r="AR78" s="494" t="str">
        <f t="shared" si="94"/>
        <v/>
      </c>
      <c r="AS78" s="720" t="str">
        <f t="shared" si="94"/>
        <v/>
      </c>
      <c r="AU78" s="1369"/>
      <c r="AW78" s="1412" t="str">
        <f t="shared" si="79"/>
        <v>Price</v>
      </c>
      <c r="AX78" s="1413" t="str">
        <f t="shared" si="41"/>
        <v>[Service]</v>
      </c>
      <c r="AY78" s="1414" t="str">
        <f t="shared" si="42"/>
        <v>[Price]</v>
      </c>
      <c r="AZ78" s="1415" t="str">
        <f t="shared" si="43"/>
        <v>-</v>
      </c>
      <c r="BA78" s="1415" t="str">
        <f t="shared" si="43"/>
        <v>-</v>
      </c>
      <c r="BB78" s="1415" t="str">
        <f t="shared" si="43"/>
        <v>-</v>
      </c>
      <c r="BC78" s="1415" t="str">
        <f t="shared" si="43"/>
        <v>-</v>
      </c>
      <c r="BD78" s="1415" t="str">
        <f t="shared" si="44"/>
        <v>-</v>
      </c>
      <c r="BE78" s="1415" t="str">
        <f t="shared" si="45"/>
        <v>-</v>
      </c>
      <c r="BF78" s="1415" t="str">
        <f t="shared" si="46"/>
        <v>-</v>
      </c>
      <c r="BG78" s="1416" t="str">
        <f t="shared" si="47"/>
        <v>-</v>
      </c>
      <c r="BH78" s="1417" t="str">
        <f t="shared" si="48"/>
        <v>-</v>
      </c>
      <c r="BI78" s="1417" t="str">
        <f t="shared" si="49"/>
        <v>-</v>
      </c>
      <c r="BJ78" s="1417" t="str">
        <f t="shared" si="50"/>
        <v>-</v>
      </c>
      <c r="BK78" s="1417" t="str">
        <f t="shared" si="51"/>
        <v>-</v>
      </c>
      <c r="BL78" s="1418" t="str">
        <f t="shared" si="52"/>
        <v>-</v>
      </c>
      <c r="BM78" s="1417" t="str">
        <f t="shared" si="53"/>
        <v>-</v>
      </c>
      <c r="BN78" s="1417" t="str">
        <f t="shared" si="54"/>
        <v>-</v>
      </c>
      <c r="BO78" s="1417" t="str">
        <f t="shared" si="55"/>
        <v>-</v>
      </c>
      <c r="BP78" s="1417" t="str">
        <f t="shared" si="56"/>
        <v>-</v>
      </c>
      <c r="BQ78" s="1419" t="str">
        <f t="shared" si="57"/>
        <v>-</v>
      </c>
      <c r="BR78" s="1378"/>
      <c r="BS78" s="1420"/>
      <c r="BT78" s="1421"/>
      <c r="BU78" s="1422"/>
      <c r="BV78" s="1423"/>
      <c r="BW78" s="1378"/>
      <c r="BX78" s="1412" t="str">
        <f t="shared" si="58"/>
        <v>Price</v>
      </c>
      <c r="BY78" s="1413" t="str">
        <f t="shared" si="59"/>
        <v>[Service]</v>
      </c>
      <c r="BZ78" s="1414" t="str">
        <f t="shared" si="60"/>
        <v>[Price]</v>
      </c>
      <c r="CA78" s="1424" t="str">
        <f>IFERROR((S78/R78-1)*(R80/R$13),"-")</f>
        <v>-</v>
      </c>
      <c r="CB78" s="1415" t="str">
        <f>IFERROR((T78/S78-1)*(S80/S$13),"-")</f>
        <v>-</v>
      </c>
      <c r="CC78" s="1415" t="str">
        <f>IFERROR((U78/T78-1)*(T80/T$13),"-")</f>
        <v>-</v>
      </c>
      <c r="CD78" s="1415" t="str">
        <f>IFERROR((V78/U78-1)*(U80/U$13),"-")</f>
        <v>-</v>
      </c>
      <c r="CE78" s="1415" t="str">
        <f t="shared" ref="CE78:CR78" si="95">IFERROR((T78/S78-1)*(S80/S$13),"-")</f>
        <v>-</v>
      </c>
      <c r="CF78" s="1415" t="str">
        <f t="shared" si="95"/>
        <v>-</v>
      </c>
      <c r="CG78" s="1415" t="str">
        <f t="shared" si="95"/>
        <v>-</v>
      </c>
      <c r="CH78" s="1425" t="str">
        <f t="shared" si="95"/>
        <v>-</v>
      </c>
      <c r="CI78" s="1417" t="str">
        <f t="shared" si="95"/>
        <v>-</v>
      </c>
      <c r="CJ78" s="1417" t="str">
        <f t="shared" si="95"/>
        <v>-</v>
      </c>
      <c r="CK78" s="1417" t="str">
        <f t="shared" si="95"/>
        <v>-</v>
      </c>
      <c r="CL78" s="1417" t="str">
        <f t="shared" si="95"/>
        <v>-</v>
      </c>
      <c r="CM78" s="1418" t="str">
        <f t="shared" si="95"/>
        <v>-</v>
      </c>
      <c r="CN78" s="1417" t="str">
        <f t="shared" si="95"/>
        <v>-</v>
      </c>
      <c r="CO78" s="1417" t="str">
        <f t="shared" si="95"/>
        <v>-</v>
      </c>
      <c r="CP78" s="1417" t="str">
        <f t="shared" si="95"/>
        <v>-</v>
      </c>
      <c r="CQ78" s="1417" t="str">
        <f t="shared" si="95"/>
        <v>-</v>
      </c>
      <c r="CR78" s="1419" t="str">
        <f t="shared" si="95"/>
        <v>-</v>
      </c>
      <c r="CS78" s="1378"/>
      <c r="CT78" s="1412" t="str">
        <f t="shared" si="34"/>
        <v>Price</v>
      </c>
      <c r="CU78" s="1413" t="str">
        <f t="shared" si="35"/>
        <v>[Service]</v>
      </c>
      <c r="CV78" s="1426" t="str">
        <f t="shared" si="36"/>
        <v>[Price]</v>
      </c>
      <c r="CW78" s="1427" t="str">
        <f t="shared" si="62"/>
        <v>-</v>
      </c>
      <c r="CX78" s="1417" t="str">
        <f t="shared" si="63"/>
        <v>-</v>
      </c>
      <c r="CY78" s="1417" t="str">
        <f t="shared" si="64"/>
        <v>-</v>
      </c>
      <c r="CZ78" s="1418" t="str">
        <f t="shared" si="65"/>
        <v>-</v>
      </c>
      <c r="DA78" s="1417" t="str">
        <f t="shared" si="66"/>
        <v>-</v>
      </c>
      <c r="DB78" s="1417" t="str">
        <f t="shared" si="67"/>
        <v>-</v>
      </c>
      <c r="DC78" s="1417" t="str">
        <f t="shared" si="68"/>
        <v>-</v>
      </c>
      <c r="DD78" s="1417" t="str">
        <f t="shared" si="69"/>
        <v>-</v>
      </c>
      <c r="DE78" s="1419" t="str">
        <f t="shared" si="70"/>
        <v>-</v>
      </c>
      <c r="DF78" s="1378"/>
      <c r="DG78" s="1412" t="str">
        <f t="shared" si="81"/>
        <v>Price</v>
      </c>
      <c r="DH78" s="1413" t="str">
        <f t="shared" si="38"/>
        <v>[Service]</v>
      </c>
      <c r="DI78" s="1426" t="str">
        <f t="shared" si="38"/>
        <v>[Price]</v>
      </c>
      <c r="DJ78" s="1427" t="str">
        <f t="shared" si="71"/>
        <v>-</v>
      </c>
      <c r="DK78" s="1417" t="str">
        <f t="shared" si="72"/>
        <v>-</v>
      </c>
      <c r="DL78" s="1417" t="str">
        <f t="shared" si="73"/>
        <v>-</v>
      </c>
      <c r="DM78" s="1418" t="str">
        <f t="shared" si="74"/>
        <v>-</v>
      </c>
      <c r="DN78" s="1417" t="str">
        <f t="shared" si="75"/>
        <v>-</v>
      </c>
      <c r="DO78" s="1417" t="str">
        <f t="shared" si="76"/>
        <v>-</v>
      </c>
      <c r="DP78" s="1417" t="str">
        <f t="shared" si="77"/>
        <v>-</v>
      </c>
      <c r="DQ78" s="1419" t="str">
        <f t="shared" si="78"/>
        <v>-</v>
      </c>
    </row>
    <row r="79" spans="4:121">
      <c r="E79" s="742" t="s">
        <v>45</v>
      </c>
      <c r="F79" s="722" t="str">
        <f>+F78</f>
        <v>[Service]</v>
      </c>
      <c r="G79" s="723">
        <f>+G78</f>
        <v>0</v>
      </c>
      <c r="H79" s="723">
        <f>+H78</f>
        <v>0</v>
      </c>
      <c r="I79" s="724" t="str">
        <f>+I78</f>
        <v>[Price]</v>
      </c>
      <c r="J79" s="782" t="s">
        <v>322</v>
      </c>
      <c r="K79" s="725"/>
      <c r="L79" s="726"/>
      <c r="M79" s="726"/>
      <c r="N79" s="727"/>
      <c r="O79" s="786"/>
      <c r="P79" s="787"/>
      <c r="Q79" s="786"/>
      <c r="R79" s="786"/>
      <c r="S79" s="786"/>
      <c r="T79" s="786"/>
      <c r="U79" s="786"/>
      <c r="V79" s="786"/>
      <c r="W79" s="786"/>
      <c r="X79" s="787"/>
      <c r="Y79" s="786"/>
      <c r="Z79" s="786"/>
      <c r="AA79" s="786"/>
      <c r="AB79" s="786"/>
      <c r="AC79" s="787"/>
      <c r="AD79" s="786"/>
      <c r="AE79" s="786"/>
      <c r="AF79" s="786"/>
      <c r="AG79" s="788"/>
      <c r="AH79" s="823"/>
      <c r="AI79" s="702"/>
      <c r="AJ79" s="728"/>
      <c r="AK79" s="729"/>
      <c r="AL79" s="729"/>
      <c r="AM79" s="729"/>
      <c r="AN79" s="729"/>
      <c r="AO79" s="730"/>
      <c r="AP79" s="74"/>
      <c r="AQ79" s="74"/>
      <c r="AR79" s="74"/>
      <c r="AS79" s="106"/>
      <c r="AW79" s="1392" t="str">
        <f t="shared" si="79"/>
        <v>Qty</v>
      </c>
      <c r="AX79" s="1393" t="str">
        <f t="shared" si="41"/>
        <v>[Service]</v>
      </c>
      <c r="AY79" s="1394" t="str">
        <f t="shared" si="42"/>
        <v>[Price]</v>
      </c>
      <c r="AZ79" s="1395" t="str">
        <f t="shared" si="43"/>
        <v>-</v>
      </c>
      <c r="BA79" s="1395" t="str">
        <f t="shared" si="43"/>
        <v>-</v>
      </c>
      <c r="BB79" s="1395" t="str">
        <f t="shared" si="43"/>
        <v>-</v>
      </c>
      <c r="BC79" s="1395" t="str">
        <f t="shared" si="43"/>
        <v>-</v>
      </c>
      <c r="BD79" s="1395" t="str">
        <f t="shared" si="44"/>
        <v>-</v>
      </c>
      <c r="BE79" s="1395" t="str">
        <f t="shared" si="45"/>
        <v>-</v>
      </c>
      <c r="BF79" s="1395" t="str">
        <f t="shared" si="46"/>
        <v>-</v>
      </c>
      <c r="BG79" s="1396" t="str">
        <f t="shared" si="47"/>
        <v>-</v>
      </c>
      <c r="BH79" s="1395" t="str">
        <f t="shared" si="48"/>
        <v>-</v>
      </c>
      <c r="BI79" s="1395" t="str">
        <f t="shared" si="49"/>
        <v>-</v>
      </c>
      <c r="BJ79" s="1395" t="str">
        <f t="shared" si="50"/>
        <v>-</v>
      </c>
      <c r="BK79" s="1395" t="str">
        <f t="shared" si="51"/>
        <v>-</v>
      </c>
      <c r="BL79" s="1397" t="str">
        <f t="shared" si="52"/>
        <v>-</v>
      </c>
      <c r="BM79" s="1395" t="str">
        <f t="shared" si="53"/>
        <v>-</v>
      </c>
      <c r="BN79" s="1395" t="str">
        <f t="shared" si="54"/>
        <v>-</v>
      </c>
      <c r="BO79" s="1395" t="str">
        <f t="shared" si="55"/>
        <v>-</v>
      </c>
      <c r="BP79" s="1395" t="str">
        <f t="shared" si="56"/>
        <v>-</v>
      </c>
      <c r="BQ79" s="1398" t="str">
        <f t="shared" si="57"/>
        <v>-</v>
      </c>
      <c r="BR79" s="1378"/>
      <c r="BS79" s="1329"/>
      <c r="BT79" s="1399"/>
      <c r="BU79" s="1331"/>
      <c r="BV79" s="1400"/>
      <c r="BW79" s="1378"/>
      <c r="BX79" s="1392" t="str">
        <f t="shared" si="58"/>
        <v>Qty</v>
      </c>
      <c r="BY79" s="1393" t="str">
        <f t="shared" si="59"/>
        <v>[Service]</v>
      </c>
      <c r="BZ79" s="1394" t="str">
        <f t="shared" si="60"/>
        <v>[Price]</v>
      </c>
      <c r="CA79" s="1401" t="str">
        <f>IFERROR((S79/R79-1)*(R80/R$13),"-")</f>
        <v>-</v>
      </c>
      <c r="CB79" s="1395" t="str">
        <f>IFERROR((T79/S79-1)*(S80/S$13),"-")</f>
        <v>-</v>
      </c>
      <c r="CC79" s="1395" t="str">
        <f>IFERROR((U79/T79-1)*(T80/T$13),"-")</f>
        <v>-</v>
      </c>
      <c r="CD79" s="1395" t="str">
        <f>IFERROR((V79/U79-1)*(U80/U$13),"-")</f>
        <v>-</v>
      </c>
      <c r="CE79" s="1395" t="str">
        <f t="shared" ref="CE79:CR79" si="96">IFERROR((T79/S79-1)*(S80/S$13),"-")</f>
        <v>-</v>
      </c>
      <c r="CF79" s="1395" t="str">
        <f t="shared" si="96"/>
        <v>-</v>
      </c>
      <c r="CG79" s="1395" t="str">
        <f t="shared" si="96"/>
        <v>-</v>
      </c>
      <c r="CH79" s="1397" t="str">
        <f t="shared" si="96"/>
        <v>-</v>
      </c>
      <c r="CI79" s="1395" t="str">
        <f t="shared" si="96"/>
        <v>-</v>
      </c>
      <c r="CJ79" s="1395" t="str">
        <f t="shared" si="96"/>
        <v>-</v>
      </c>
      <c r="CK79" s="1395" t="str">
        <f t="shared" si="96"/>
        <v>-</v>
      </c>
      <c r="CL79" s="1395" t="str">
        <f t="shared" si="96"/>
        <v>-</v>
      </c>
      <c r="CM79" s="1397" t="str">
        <f t="shared" si="96"/>
        <v>-</v>
      </c>
      <c r="CN79" s="1395" t="str">
        <f t="shared" si="96"/>
        <v>-</v>
      </c>
      <c r="CO79" s="1395" t="str">
        <f t="shared" si="96"/>
        <v>-</v>
      </c>
      <c r="CP79" s="1395" t="str">
        <f t="shared" si="96"/>
        <v>-</v>
      </c>
      <c r="CQ79" s="1395" t="str">
        <f t="shared" si="96"/>
        <v>-</v>
      </c>
      <c r="CR79" s="1398" t="str">
        <f t="shared" si="96"/>
        <v>-</v>
      </c>
      <c r="CS79" s="1378"/>
      <c r="CT79" s="1392" t="str">
        <f t="shared" si="34"/>
        <v>Qty</v>
      </c>
      <c r="CU79" s="1393" t="str">
        <f t="shared" si="35"/>
        <v>[Service]</v>
      </c>
      <c r="CV79" s="1393" t="str">
        <f t="shared" si="36"/>
        <v>[Price]</v>
      </c>
      <c r="CW79" s="1401" t="str">
        <f t="shared" si="62"/>
        <v>-</v>
      </c>
      <c r="CX79" s="1395" t="str">
        <f t="shared" si="63"/>
        <v>-</v>
      </c>
      <c r="CY79" s="1395" t="str">
        <f t="shared" si="64"/>
        <v>-</v>
      </c>
      <c r="CZ79" s="1397" t="str">
        <f t="shared" si="65"/>
        <v>-</v>
      </c>
      <c r="DA79" s="1395" t="str">
        <f t="shared" si="66"/>
        <v>-</v>
      </c>
      <c r="DB79" s="1395" t="str">
        <f t="shared" si="67"/>
        <v>-</v>
      </c>
      <c r="DC79" s="1395" t="str">
        <f t="shared" si="68"/>
        <v>-</v>
      </c>
      <c r="DD79" s="1395" t="str">
        <f t="shared" si="69"/>
        <v>-</v>
      </c>
      <c r="DE79" s="1398" t="str">
        <f t="shared" si="70"/>
        <v>-</v>
      </c>
      <c r="DF79" s="1378"/>
      <c r="DG79" s="1392" t="str">
        <f t="shared" si="81"/>
        <v>Qty</v>
      </c>
      <c r="DH79" s="1393" t="str">
        <f t="shared" si="38"/>
        <v>[Service]</v>
      </c>
      <c r="DI79" s="1393" t="str">
        <f t="shared" si="38"/>
        <v>[Price]</v>
      </c>
      <c r="DJ79" s="1401" t="str">
        <f t="shared" si="71"/>
        <v>-</v>
      </c>
      <c r="DK79" s="1395" t="str">
        <f t="shared" si="72"/>
        <v>-</v>
      </c>
      <c r="DL79" s="1395" t="str">
        <f t="shared" si="73"/>
        <v>-</v>
      </c>
      <c r="DM79" s="1397" t="str">
        <f t="shared" si="74"/>
        <v>-</v>
      </c>
      <c r="DN79" s="1395" t="str">
        <f t="shared" si="75"/>
        <v>-</v>
      </c>
      <c r="DO79" s="1395" t="str">
        <f t="shared" si="76"/>
        <v>-</v>
      </c>
      <c r="DP79" s="1395" t="str">
        <f t="shared" si="77"/>
        <v>-</v>
      </c>
      <c r="DQ79" s="1398" t="str">
        <f t="shared" si="78"/>
        <v>-</v>
      </c>
    </row>
    <row r="80" spans="4:121" ht="12.75" thickBot="1">
      <c r="E80" s="743" t="s">
        <v>46</v>
      </c>
      <c r="F80" s="732" t="str">
        <f>+F78</f>
        <v>[Service]</v>
      </c>
      <c r="G80" s="733">
        <f>+G78</f>
        <v>0</v>
      </c>
      <c r="H80" s="733">
        <f>+H78</f>
        <v>0</v>
      </c>
      <c r="I80" s="734" t="str">
        <f>+I78</f>
        <v>[Price]</v>
      </c>
      <c r="J80" s="735" t="s">
        <v>344</v>
      </c>
      <c r="K80" s="736">
        <f t="shared" ref="K80:AG80" si="97">K78*K79/10^6</f>
        <v>0</v>
      </c>
      <c r="L80" s="737">
        <f t="shared" si="97"/>
        <v>0</v>
      </c>
      <c r="M80" s="737">
        <f t="shared" si="97"/>
        <v>0</v>
      </c>
      <c r="N80" s="738">
        <f t="shared" si="97"/>
        <v>0</v>
      </c>
      <c r="O80" s="737">
        <f t="shared" si="97"/>
        <v>0</v>
      </c>
      <c r="P80" s="738">
        <f t="shared" si="97"/>
        <v>0</v>
      </c>
      <c r="Q80" s="737">
        <f t="shared" si="97"/>
        <v>0</v>
      </c>
      <c r="R80" s="737">
        <f t="shared" si="97"/>
        <v>0</v>
      </c>
      <c r="S80" s="737">
        <f t="shared" si="97"/>
        <v>0</v>
      </c>
      <c r="T80" s="737">
        <f t="shared" si="97"/>
        <v>0</v>
      </c>
      <c r="U80" s="737">
        <f t="shared" si="97"/>
        <v>0</v>
      </c>
      <c r="V80" s="737">
        <f t="shared" si="97"/>
        <v>0</v>
      </c>
      <c r="W80" s="737">
        <f t="shared" si="97"/>
        <v>0</v>
      </c>
      <c r="X80" s="738">
        <f t="shared" si="97"/>
        <v>0</v>
      </c>
      <c r="Y80" s="737">
        <f t="shared" si="97"/>
        <v>0</v>
      </c>
      <c r="Z80" s="737">
        <f t="shared" si="97"/>
        <v>0</v>
      </c>
      <c r="AA80" s="737">
        <f t="shared" si="97"/>
        <v>0</v>
      </c>
      <c r="AB80" s="737">
        <f t="shared" si="97"/>
        <v>0</v>
      </c>
      <c r="AC80" s="738">
        <f t="shared" si="97"/>
        <v>0</v>
      </c>
      <c r="AD80" s="737">
        <f t="shared" si="97"/>
        <v>0</v>
      </c>
      <c r="AE80" s="737">
        <f t="shared" si="97"/>
        <v>0</v>
      </c>
      <c r="AF80" s="737">
        <f t="shared" si="97"/>
        <v>0</v>
      </c>
      <c r="AG80" s="739">
        <f t="shared" si="97"/>
        <v>0</v>
      </c>
      <c r="AH80" s="823"/>
      <c r="AI80" s="744"/>
      <c r="AJ80" s="741"/>
      <c r="AK80" s="729"/>
      <c r="AL80" s="729"/>
      <c r="AM80" s="729"/>
      <c r="AN80" s="729"/>
      <c r="AO80" s="730"/>
      <c r="AP80" s="74"/>
      <c r="AQ80" s="74"/>
      <c r="AR80" s="74"/>
      <c r="AS80" s="106"/>
      <c r="AW80" s="1428" t="str">
        <f t="shared" si="79"/>
        <v>Rev</v>
      </c>
      <c r="AX80" s="1429" t="str">
        <f t="shared" si="41"/>
        <v>[Service]</v>
      </c>
      <c r="AY80" s="1430" t="str">
        <f t="shared" si="42"/>
        <v>[Price]</v>
      </c>
      <c r="AZ80" s="1431" t="str">
        <f t="shared" si="43"/>
        <v>-</v>
      </c>
      <c r="BA80" s="1431" t="str">
        <f t="shared" si="43"/>
        <v>-</v>
      </c>
      <c r="BB80" s="1431" t="str">
        <f t="shared" si="43"/>
        <v>-</v>
      </c>
      <c r="BC80" s="1431" t="str">
        <f t="shared" si="43"/>
        <v>-</v>
      </c>
      <c r="BD80" s="1431" t="str">
        <f t="shared" si="44"/>
        <v>-</v>
      </c>
      <c r="BE80" s="1431" t="str">
        <f t="shared" si="45"/>
        <v>-</v>
      </c>
      <c r="BF80" s="1431" t="str">
        <f t="shared" si="46"/>
        <v>-</v>
      </c>
      <c r="BG80" s="1432" t="str">
        <f t="shared" si="47"/>
        <v>-</v>
      </c>
      <c r="BH80" s="1431" t="str">
        <f t="shared" si="48"/>
        <v>-</v>
      </c>
      <c r="BI80" s="1431" t="str">
        <f t="shared" si="49"/>
        <v>-</v>
      </c>
      <c r="BJ80" s="1431" t="str">
        <f t="shared" si="50"/>
        <v>-</v>
      </c>
      <c r="BK80" s="1431" t="str">
        <f t="shared" si="51"/>
        <v>-</v>
      </c>
      <c r="BL80" s="1433" t="str">
        <f t="shared" si="52"/>
        <v>-</v>
      </c>
      <c r="BM80" s="1431" t="str">
        <f t="shared" si="53"/>
        <v>-</v>
      </c>
      <c r="BN80" s="1431" t="str">
        <f t="shared" si="54"/>
        <v>-</v>
      </c>
      <c r="BO80" s="1431" t="str">
        <f t="shared" si="55"/>
        <v>-</v>
      </c>
      <c r="BP80" s="1431" t="str">
        <f t="shared" si="56"/>
        <v>-</v>
      </c>
      <c r="BQ80" s="1434" t="str">
        <f t="shared" si="57"/>
        <v>-</v>
      </c>
      <c r="BR80" s="1378"/>
      <c r="BS80" s="1407"/>
      <c r="BT80" s="1408"/>
      <c r="BU80" s="1409"/>
      <c r="BV80" s="1410"/>
      <c r="BW80" s="1378"/>
      <c r="BX80" s="1428" t="str">
        <f t="shared" si="58"/>
        <v>Rev</v>
      </c>
      <c r="BY80" s="1429" t="str">
        <f t="shared" si="59"/>
        <v>[Service]</v>
      </c>
      <c r="BZ80" s="1430" t="str">
        <f t="shared" si="60"/>
        <v>[Price]</v>
      </c>
      <c r="CA80" s="1435" t="str">
        <f>IFERROR((S80/R80-1)*(R80/R$13),"-")</f>
        <v>-</v>
      </c>
      <c r="CB80" s="1431" t="str">
        <f>IFERROR((T80/S80-1)*(S80/S$13),"-")</f>
        <v>-</v>
      </c>
      <c r="CC80" s="1431" t="str">
        <f>IFERROR((U80/T80-1)*(T80/T$13),"-")</f>
        <v>-</v>
      </c>
      <c r="CD80" s="1431" t="str">
        <f>IFERROR((V80/U80-1)*(U80/U$13),"-")</f>
        <v>-</v>
      </c>
      <c r="CE80" s="1431" t="str">
        <f t="shared" ref="CE80:CR80" si="98">IFERROR((T80/S80-1)*(S80/S$13),"-")</f>
        <v>-</v>
      </c>
      <c r="CF80" s="1431" t="str">
        <f t="shared" si="98"/>
        <v>-</v>
      </c>
      <c r="CG80" s="1431" t="str">
        <f t="shared" si="98"/>
        <v>-</v>
      </c>
      <c r="CH80" s="1433" t="str">
        <f t="shared" si="98"/>
        <v>-</v>
      </c>
      <c r="CI80" s="1431" t="str">
        <f t="shared" si="98"/>
        <v>-</v>
      </c>
      <c r="CJ80" s="1431" t="str">
        <f t="shared" si="98"/>
        <v>-</v>
      </c>
      <c r="CK80" s="1431" t="str">
        <f t="shared" si="98"/>
        <v>-</v>
      </c>
      <c r="CL80" s="1431" t="str">
        <f t="shared" si="98"/>
        <v>-</v>
      </c>
      <c r="CM80" s="1433" t="str">
        <f t="shared" si="98"/>
        <v>-</v>
      </c>
      <c r="CN80" s="1431" t="str">
        <f t="shared" si="98"/>
        <v>-</v>
      </c>
      <c r="CO80" s="1431" t="str">
        <f t="shared" si="98"/>
        <v>-</v>
      </c>
      <c r="CP80" s="1431" t="str">
        <f t="shared" si="98"/>
        <v>-</v>
      </c>
      <c r="CQ80" s="1431" t="str">
        <f t="shared" si="98"/>
        <v>-</v>
      </c>
      <c r="CR80" s="1434" t="str">
        <f t="shared" si="98"/>
        <v>-</v>
      </c>
      <c r="CS80" s="1378"/>
      <c r="CT80" s="1428" t="str">
        <f t="shared" si="34"/>
        <v>Rev</v>
      </c>
      <c r="CU80" s="1429" t="str">
        <f t="shared" si="35"/>
        <v>[Service]</v>
      </c>
      <c r="CV80" s="1429" t="str">
        <f t="shared" si="36"/>
        <v>[Price]</v>
      </c>
      <c r="CW80" s="1435" t="str">
        <f t="shared" si="62"/>
        <v>-</v>
      </c>
      <c r="CX80" s="1431" t="str">
        <f t="shared" si="63"/>
        <v>-</v>
      </c>
      <c r="CY80" s="1431" t="str">
        <f t="shared" si="64"/>
        <v>-</v>
      </c>
      <c r="CZ80" s="1433" t="str">
        <f t="shared" si="65"/>
        <v>-</v>
      </c>
      <c r="DA80" s="1431" t="str">
        <f t="shared" si="66"/>
        <v>-</v>
      </c>
      <c r="DB80" s="1431" t="str">
        <f t="shared" si="67"/>
        <v>-</v>
      </c>
      <c r="DC80" s="1431" t="str">
        <f t="shared" si="68"/>
        <v>-</v>
      </c>
      <c r="DD80" s="1431" t="str">
        <f t="shared" si="69"/>
        <v>-</v>
      </c>
      <c r="DE80" s="1434" t="str">
        <f t="shared" si="70"/>
        <v>-</v>
      </c>
      <c r="DF80" s="1378"/>
      <c r="DG80" s="1428" t="str">
        <f t="shared" si="81"/>
        <v>Rev</v>
      </c>
      <c r="DH80" s="1429" t="str">
        <f t="shared" si="38"/>
        <v>[Service]</v>
      </c>
      <c r="DI80" s="1429" t="str">
        <f t="shared" si="38"/>
        <v>[Price]</v>
      </c>
      <c r="DJ80" s="1435" t="str">
        <f t="shared" si="71"/>
        <v>-</v>
      </c>
      <c r="DK80" s="1431" t="str">
        <f t="shared" si="72"/>
        <v>-</v>
      </c>
      <c r="DL80" s="1431" t="str">
        <f t="shared" si="73"/>
        <v>-</v>
      </c>
      <c r="DM80" s="1433" t="str">
        <f t="shared" si="74"/>
        <v>-</v>
      </c>
      <c r="DN80" s="1431" t="str">
        <f t="shared" si="75"/>
        <v>-</v>
      </c>
      <c r="DO80" s="1431" t="str">
        <f t="shared" si="76"/>
        <v>-</v>
      </c>
      <c r="DP80" s="1431" t="str">
        <f t="shared" si="77"/>
        <v>-</v>
      </c>
      <c r="DQ80" s="1434" t="str">
        <f t="shared" si="78"/>
        <v>-</v>
      </c>
    </row>
    <row r="81" spans="4:121">
      <c r="D81" s="70">
        <f>D78+1</f>
        <v>5</v>
      </c>
      <c r="E81" s="713" t="s">
        <v>44</v>
      </c>
      <c r="F81" s="789" t="s">
        <v>27</v>
      </c>
      <c r="G81" s="789"/>
      <c r="H81" s="789"/>
      <c r="I81" s="781" t="s">
        <v>318</v>
      </c>
      <c r="J81" s="781" t="s">
        <v>345</v>
      </c>
      <c r="K81" s="714"/>
      <c r="L81" s="715"/>
      <c r="M81" s="715"/>
      <c r="N81" s="716"/>
      <c r="O81" s="783"/>
      <c r="P81" s="784"/>
      <c r="Q81" s="783"/>
      <c r="R81" s="783"/>
      <c r="S81" s="783"/>
      <c r="T81" s="783"/>
      <c r="U81" s="783"/>
      <c r="V81" s="783"/>
      <c r="W81" s="783"/>
      <c r="X81" s="784"/>
      <c r="Y81" s="783"/>
      <c r="Z81" s="783"/>
      <c r="AA81" s="783"/>
      <c r="AB81" s="783"/>
      <c r="AC81" s="784"/>
      <c r="AD81" s="783"/>
      <c r="AE81" s="783"/>
      <c r="AF81" s="783"/>
      <c r="AG81" s="785"/>
      <c r="AI81" s="702"/>
      <c r="AJ81" s="717" t="str">
        <f t="shared" ref="AJ81:AS81" si="99">IFERROR((X81-W81)/W81,"")</f>
        <v/>
      </c>
      <c r="AK81" s="718" t="str">
        <f t="shared" si="99"/>
        <v/>
      </c>
      <c r="AL81" s="718" t="str">
        <f t="shared" si="99"/>
        <v/>
      </c>
      <c r="AM81" s="718" t="str">
        <f t="shared" si="99"/>
        <v/>
      </c>
      <c r="AN81" s="718" t="str">
        <f t="shared" si="99"/>
        <v/>
      </c>
      <c r="AO81" s="719" t="str">
        <f t="shared" si="99"/>
        <v/>
      </c>
      <c r="AP81" s="494" t="str">
        <f t="shared" si="99"/>
        <v/>
      </c>
      <c r="AQ81" s="494" t="str">
        <f t="shared" si="99"/>
        <v/>
      </c>
      <c r="AR81" s="494" t="str">
        <f t="shared" si="99"/>
        <v/>
      </c>
      <c r="AS81" s="720" t="str">
        <f t="shared" si="99"/>
        <v/>
      </c>
      <c r="AU81" s="1369"/>
      <c r="AW81" s="1412" t="str">
        <f t="shared" si="79"/>
        <v>Price</v>
      </c>
      <c r="AX81" s="1413" t="str">
        <f t="shared" si="41"/>
        <v>[Service]</v>
      </c>
      <c r="AY81" s="1414" t="str">
        <f t="shared" si="42"/>
        <v>[Price]</v>
      </c>
      <c r="AZ81" s="1415" t="str">
        <f t="shared" si="43"/>
        <v>-</v>
      </c>
      <c r="BA81" s="1415" t="str">
        <f t="shared" si="43"/>
        <v>-</v>
      </c>
      <c r="BB81" s="1415" t="str">
        <f t="shared" si="43"/>
        <v>-</v>
      </c>
      <c r="BC81" s="1415" t="str">
        <f t="shared" si="43"/>
        <v>-</v>
      </c>
      <c r="BD81" s="1415" t="str">
        <f t="shared" si="44"/>
        <v>-</v>
      </c>
      <c r="BE81" s="1415" t="str">
        <f t="shared" si="45"/>
        <v>-</v>
      </c>
      <c r="BF81" s="1415" t="str">
        <f t="shared" si="46"/>
        <v>-</v>
      </c>
      <c r="BG81" s="1416" t="str">
        <f t="shared" si="47"/>
        <v>-</v>
      </c>
      <c r="BH81" s="1417" t="str">
        <f t="shared" si="48"/>
        <v>-</v>
      </c>
      <c r="BI81" s="1417" t="str">
        <f t="shared" si="49"/>
        <v>-</v>
      </c>
      <c r="BJ81" s="1417" t="str">
        <f t="shared" si="50"/>
        <v>-</v>
      </c>
      <c r="BK81" s="1417" t="str">
        <f t="shared" si="51"/>
        <v>-</v>
      </c>
      <c r="BL81" s="1418" t="str">
        <f t="shared" si="52"/>
        <v>-</v>
      </c>
      <c r="BM81" s="1417" t="str">
        <f t="shared" si="53"/>
        <v>-</v>
      </c>
      <c r="BN81" s="1417" t="str">
        <f t="shared" si="54"/>
        <v>-</v>
      </c>
      <c r="BO81" s="1417" t="str">
        <f t="shared" si="55"/>
        <v>-</v>
      </c>
      <c r="BP81" s="1417" t="str">
        <f t="shared" si="56"/>
        <v>-</v>
      </c>
      <c r="BQ81" s="1419" t="str">
        <f t="shared" si="57"/>
        <v>-</v>
      </c>
      <c r="BR81" s="1378"/>
      <c r="BS81" s="1420"/>
      <c r="BT81" s="1421"/>
      <c r="BU81" s="1422"/>
      <c r="BV81" s="1423"/>
      <c r="BW81" s="1378"/>
      <c r="BX81" s="1412" t="str">
        <f t="shared" si="58"/>
        <v>Price</v>
      </c>
      <c r="BY81" s="1413" t="str">
        <f t="shared" si="59"/>
        <v>[Service]</v>
      </c>
      <c r="BZ81" s="1414" t="str">
        <f t="shared" si="60"/>
        <v>[Price]</v>
      </c>
      <c r="CA81" s="1424" t="str">
        <f>IFERROR((S81/R81-1)*(R83/R$13),"-")</f>
        <v>-</v>
      </c>
      <c r="CB81" s="1415" t="str">
        <f>IFERROR((T81/S81-1)*(S83/S$13),"-")</f>
        <v>-</v>
      </c>
      <c r="CC81" s="1415" t="str">
        <f>IFERROR((U81/T81-1)*(T83/T$13),"-")</f>
        <v>-</v>
      </c>
      <c r="CD81" s="1415" t="str">
        <f>IFERROR((V81/U81-1)*(U83/U$13),"-")</f>
        <v>-</v>
      </c>
      <c r="CE81" s="1415" t="str">
        <f t="shared" ref="CE81:CR81" si="100">IFERROR((T81/S81-1)*(S83/S$13),"-")</f>
        <v>-</v>
      </c>
      <c r="CF81" s="1415" t="str">
        <f t="shared" si="100"/>
        <v>-</v>
      </c>
      <c r="CG81" s="1415" t="str">
        <f t="shared" si="100"/>
        <v>-</v>
      </c>
      <c r="CH81" s="1425" t="str">
        <f t="shared" si="100"/>
        <v>-</v>
      </c>
      <c r="CI81" s="1417" t="str">
        <f t="shared" si="100"/>
        <v>-</v>
      </c>
      <c r="CJ81" s="1417" t="str">
        <f t="shared" si="100"/>
        <v>-</v>
      </c>
      <c r="CK81" s="1417" t="str">
        <f t="shared" si="100"/>
        <v>-</v>
      </c>
      <c r="CL81" s="1417" t="str">
        <f t="shared" si="100"/>
        <v>-</v>
      </c>
      <c r="CM81" s="1418" t="str">
        <f t="shared" si="100"/>
        <v>-</v>
      </c>
      <c r="CN81" s="1417" t="str">
        <f t="shared" si="100"/>
        <v>-</v>
      </c>
      <c r="CO81" s="1417" t="str">
        <f t="shared" si="100"/>
        <v>-</v>
      </c>
      <c r="CP81" s="1417" t="str">
        <f t="shared" si="100"/>
        <v>-</v>
      </c>
      <c r="CQ81" s="1417" t="str">
        <f t="shared" si="100"/>
        <v>-</v>
      </c>
      <c r="CR81" s="1419" t="str">
        <f t="shared" si="100"/>
        <v>-</v>
      </c>
      <c r="CS81" s="1378"/>
      <c r="CT81" s="1412" t="str">
        <f t="shared" si="34"/>
        <v>Price</v>
      </c>
      <c r="CU81" s="1413" t="str">
        <f t="shared" si="35"/>
        <v>[Service]</v>
      </c>
      <c r="CV81" s="1426" t="str">
        <f t="shared" si="36"/>
        <v>[Price]</v>
      </c>
      <c r="CW81" s="1427" t="str">
        <f t="shared" si="62"/>
        <v>-</v>
      </c>
      <c r="CX81" s="1417" t="str">
        <f t="shared" si="63"/>
        <v>-</v>
      </c>
      <c r="CY81" s="1417" t="str">
        <f t="shared" si="64"/>
        <v>-</v>
      </c>
      <c r="CZ81" s="1418" t="str">
        <f t="shared" si="65"/>
        <v>-</v>
      </c>
      <c r="DA81" s="1417" t="str">
        <f t="shared" si="66"/>
        <v>-</v>
      </c>
      <c r="DB81" s="1417" t="str">
        <f t="shared" si="67"/>
        <v>-</v>
      </c>
      <c r="DC81" s="1417" t="str">
        <f t="shared" si="68"/>
        <v>-</v>
      </c>
      <c r="DD81" s="1417" t="str">
        <f t="shared" si="69"/>
        <v>-</v>
      </c>
      <c r="DE81" s="1419" t="str">
        <f t="shared" si="70"/>
        <v>-</v>
      </c>
      <c r="DF81" s="1378"/>
      <c r="DG81" s="1412" t="str">
        <f t="shared" si="81"/>
        <v>Price</v>
      </c>
      <c r="DH81" s="1413" t="str">
        <f t="shared" si="38"/>
        <v>[Service]</v>
      </c>
      <c r="DI81" s="1426" t="str">
        <f t="shared" si="38"/>
        <v>[Price]</v>
      </c>
      <c r="DJ81" s="1427" t="str">
        <f t="shared" si="71"/>
        <v>-</v>
      </c>
      <c r="DK81" s="1417" t="str">
        <f t="shared" si="72"/>
        <v>-</v>
      </c>
      <c r="DL81" s="1417" t="str">
        <f t="shared" si="73"/>
        <v>-</v>
      </c>
      <c r="DM81" s="1418" t="str">
        <f t="shared" si="74"/>
        <v>-</v>
      </c>
      <c r="DN81" s="1417" t="str">
        <f t="shared" si="75"/>
        <v>-</v>
      </c>
      <c r="DO81" s="1417" t="str">
        <f t="shared" si="76"/>
        <v>-</v>
      </c>
      <c r="DP81" s="1417" t="str">
        <f t="shared" si="77"/>
        <v>-</v>
      </c>
      <c r="DQ81" s="1419" t="str">
        <f t="shared" si="78"/>
        <v>-</v>
      </c>
    </row>
    <row r="82" spans="4:121">
      <c r="E82" s="742" t="s">
        <v>45</v>
      </c>
      <c r="F82" s="722" t="str">
        <f>+F81</f>
        <v>[Service]</v>
      </c>
      <c r="G82" s="723">
        <f>+G81</f>
        <v>0</v>
      </c>
      <c r="H82" s="723">
        <f>+H81</f>
        <v>0</v>
      </c>
      <c r="I82" s="724" t="str">
        <f>+I81</f>
        <v>[Price]</v>
      </c>
      <c r="J82" s="782" t="s">
        <v>322</v>
      </c>
      <c r="K82" s="725"/>
      <c r="L82" s="726"/>
      <c r="M82" s="726"/>
      <c r="N82" s="727"/>
      <c r="O82" s="786"/>
      <c r="P82" s="787"/>
      <c r="Q82" s="786"/>
      <c r="R82" s="786"/>
      <c r="S82" s="786"/>
      <c r="T82" s="786"/>
      <c r="U82" s="786"/>
      <c r="V82" s="786"/>
      <c r="W82" s="786"/>
      <c r="X82" s="787"/>
      <c r="Y82" s="786"/>
      <c r="Z82" s="786"/>
      <c r="AA82" s="786"/>
      <c r="AB82" s="786"/>
      <c r="AC82" s="787"/>
      <c r="AD82" s="786"/>
      <c r="AE82" s="786"/>
      <c r="AF82" s="786"/>
      <c r="AG82" s="788"/>
      <c r="AH82" s="823"/>
      <c r="AI82" s="702"/>
      <c r="AJ82" s="728"/>
      <c r="AK82" s="729"/>
      <c r="AL82" s="729"/>
      <c r="AM82" s="729"/>
      <c r="AN82" s="729"/>
      <c r="AO82" s="730"/>
      <c r="AP82" s="74"/>
      <c r="AQ82" s="74"/>
      <c r="AR82" s="74"/>
      <c r="AS82" s="106"/>
      <c r="AW82" s="1392" t="str">
        <f t="shared" si="79"/>
        <v>Qty</v>
      </c>
      <c r="AX82" s="1393" t="str">
        <f t="shared" si="41"/>
        <v>[Service]</v>
      </c>
      <c r="AY82" s="1394" t="str">
        <f t="shared" si="42"/>
        <v>[Price]</v>
      </c>
      <c r="AZ82" s="1395" t="str">
        <f t="shared" si="43"/>
        <v>-</v>
      </c>
      <c r="BA82" s="1395" t="str">
        <f t="shared" si="43"/>
        <v>-</v>
      </c>
      <c r="BB82" s="1395" t="str">
        <f t="shared" si="43"/>
        <v>-</v>
      </c>
      <c r="BC82" s="1395" t="str">
        <f t="shared" si="43"/>
        <v>-</v>
      </c>
      <c r="BD82" s="1395" t="str">
        <f t="shared" si="44"/>
        <v>-</v>
      </c>
      <c r="BE82" s="1395" t="str">
        <f t="shared" si="45"/>
        <v>-</v>
      </c>
      <c r="BF82" s="1395" t="str">
        <f t="shared" si="46"/>
        <v>-</v>
      </c>
      <c r="BG82" s="1396" t="str">
        <f t="shared" si="47"/>
        <v>-</v>
      </c>
      <c r="BH82" s="1395" t="str">
        <f t="shared" si="48"/>
        <v>-</v>
      </c>
      <c r="BI82" s="1395" t="str">
        <f t="shared" si="49"/>
        <v>-</v>
      </c>
      <c r="BJ82" s="1395" t="str">
        <f t="shared" si="50"/>
        <v>-</v>
      </c>
      <c r="BK82" s="1395" t="str">
        <f t="shared" si="51"/>
        <v>-</v>
      </c>
      <c r="BL82" s="1397" t="str">
        <f t="shared" si="52"/>
        <v>-</v>
      </c>
      <c r="BM82" s="1395" t="str">
        <f t="shared" si="53"/>
        <v>-</v>
      </c>
      <c r="BN82" s="1395" t="str">
        <f t="shared" si="54"/>
        <v>-</v>
      </c>
      <c r="BO82" s="1395" t="str">
        <f t="shared" si="55"/>
        <v>-</v>
      </c>
      <c r="BP82" s="1395" t="str">
        <f t="shared" si="56"/>
        <v>-</v>
      </c>
      <c r="BQ82" s="1398" t="str">
        <f t="shared" si="57"/>
        <v>-</v>
      </c>
      <c r="BR82" s="1378"/>
      <c r="BS82" s="1329"/>
      <c r="BT82" s="1399"/>
      <c r="BU82" s="1331"/>
      <c r="BV82" s="1400"/>
      <c r="BW82" s="1378"/>
      <c r="BX82" s="1392" t="str">
        <f t="shared" si="58"/>
        <v>Qty</v>
      </c>
      <c r="BY82" s="1393" t="str">
        <f t="shared" si="59"/>
        <v>[Service]</v>
      </c>
      <c r="BZ82" s="1394" t="str">
        <f t="shared" si="60"/>
        <v>[Price]</v>
      </c>
      <c r="CA82" s="1401" t="str">
        <f>IFERROR((S82/R82-1)*(R83/R$13),"-")</f>
        <v>-</v>
      </c>
      <c r="CB82" s="1395" t="str">
        <f>IFERROR((T82/S82-1)*(S83/S$13),"-")</f>
        <v>-</v>
      </c>
      <c r="CC82" s="1395" t="str">
        <f>IFERROR((U82/T82-1)*(T83/T$13),"-")</f>
        <v>-</v>
      </c>
      <c r="CD82" s="1395" t="str">
        <f>IFERROR((V82/U82-1)*(U83/U$13),"-")</f>
        <v>-</v>
      </c>
      <c r="CE82" s="1395" t="str">
        <f t="shared" ref="CE82:CR82" si="101">IFERROR((T82/S82-1)*(S83/S$13),"-")</f>
        <v>-</v>
      </c>
      <c r="CF82" s="1395" t="str">
        <f t="shared" si="101"/>
        <v>-</v>
      </c>
      <c r="CG82" s="1395" t="str">
        <f t="shared" si="101"/>
        <v>-</v>
      </c>
      <c r="CH82" s="1397" t="str">
        <f t="shared" si="101"/>
        <v>-</v>
      </c>
      <c r="CI82" s="1395" t="str">
        <f t="shared" si="101"/>
        <v>-</v>
      </c>
      <c r="CJ82" s="1395" t="str">
        <f t="shared" si="101"/>
        <v>-</v>
      </c>
      <c r="CK82" s="1395" t="str">
        <f t="shared" si="101"/>
        <v>-</v>
      </c>
      <c r="CL82" s="1395" t="str">
        <f t="shared" si="101"/>
        <v>-</v>
      </c>
      <c r="CM82" s="1397" t="str">
        <f t="shared" si="101"/>
        <v>-</v>
      </c>
      <c r="CN82" s="1395" t="str">
        <f t="shared" si="101"/>
        <v>-</v>
      </c>
      <c r="CO82" s="1395" t="str">
        <f t="shared" si="101"/>
        <v>-</v>
      </c>
      <c r="CP82" s="1395" t="str">
        <f t="shared" si="101"/>
        <v>-</v>
      </c>
      <c r="CQ82" s="1395" t="str">
        <f t="shared" si="101"/>
        <v>-</v>
      </c>
      <c r="CR82" s="1398" t="str">
        <f t="shared" si="101"/>
        <v>-</v>
      </c>
      <c r="CS82" s="1378"/>
      <c r="CT82" s="1392" t="str">
        <f t="shared" si="34"/>
        <v>Qty</v>
      </c>
      <c r="CU82" s="1393" t="str">
        <f t="shared" si="35"/>
        <v>[Service]</v>
      </c>
      <c r="CV82" s="1393" t="str">
        <f t="shared" si="36"/>
        <v>[Price]</v>
      </c>
      <c r="CW82" s="1401" t="str">
        <f t="shared" si="62"/>
        <v>-</v>
      </c>
      <c r="CX82" s="1395" t="str">
        <f t="shared" si="63"/>
        <v>-</v>
      </c>
      <c r="CY82" s="1395" t="str">
        <f t="shared" si="64"/>
        <v>-</v>
      </c>
      <c r="CZ82" s="1397" t="str">
        <f t="shared" si="65"/>
        <v>-</v>
      </c>
      <c r="DA82" s="1395" t="str">
        <f t="shared" si="66"/>
        <v>-</v>
      </c>
      <c r="DB82" s="1395" t="str">
        <f t="shared" si="67"/>
        <v>-</v>
      </c>
      <c r="DC82" s="1395" t="str">
        <f t="shared" si="68"/>
        <v>-</v>
      </c>
      <c r="DD82" s="1395" t="str">
        <f t="shared" si="69"/>
        <v>-</v>
      </c>
      <c r="DE82" s="1398" t="str">
        <f t="shared" si="70"/>
        <v>-</v>
      </c>
      <c r="DF82" s="1378"/>
      <c r="DG82" s="1392" t="str">
        <f t="shared" si="81"/>
        <v>Qty</v>
      </c>
      <c r="DH82" s="1393" t="str">
        <f t="shared" si="38"/>
        <v>[Service]</v>
      </c>
      <c r="DI82" s="1393" t="str">
        <f t="shared" si="38"/>
        <v>[Price]</v>
      </c>
      <c r="DJ82" s="1401" t="str">
        <f t="shared" si="71"/>
        <v>-</v>
      </c>
      <c r="DK82" s="1395" t="str">
        <f t="shared" si="72"/>
        <v>-</v>
      </c>
      <c r="DL82" s="1395" t="str">
        <f t="shared" si="73"/>
        <v>-</v>
      </c>
      <c r="DM82" s="1397" t="str">
        <f t="shared" si="74"/>
        <v>-</v>
      </c>
      <c r="DN82" s="1395" t="str">
        <f t="shared" si="75"/>
        <v>-</v>
      </c>
      <c r="DO82" s="1395" t="str">
        <f t="shared" si="76"/>
        <v>-</v>
      </c>
      <c r="DP82" s="1395" t="str">
        <f t="shared" si="77"/>
        <v>-</v>
      </c>
      <c r="DQ82" s="1398" t="str">
        <f t="shared" si="78"/>
        <v>-</v>
      </c>
    </row>
    <row r="83" spans="4:121" ht="12.75" thickBot="1">
      <c r="E83" s="743" t="s">
        <v>46</v>
      </c>
      <c r="F83" s="732" t="str">
        <f>+F81</f>
        <v>[Service]</v>
      </c>
      <c r="G83" s="733">
        <f>+G81</f>
        <v>0</v>
      </c>
      <c r="H83" s="733">
        <f>+H81</f>
        <v>0</v>
      </c>
      <c r="I83" s="734" t="str">
        <f>+I81</f>
        <v>[Price]</v>
      </c>
      <c r="J83" s="735" t="s">
        <v>344</v>
      </c>
      <c r="K83" s="736">
        <f t="shared" ref="K83:AG83" si="102">K81*K82/10^6</f>
        <v>0</v>
      </c>
      <c r="L83" s="737">
        <f t="shared" si="102"/>
        <v>0</v>
      </c>
      <c r="M83" s="737">
        <f t="shared" si="102"/>
        <v>0</v>
      </c>
      <c r="N83" s="738">
        <f t="shared" si="102"/>
        <v>0</v>
      </c>
      <c r="O83" s="737">
        <f t="shared" si="102"/>
        <v>0</v>
      </c>
      <c r="P83" s="738">
        <f t="shared" si="102"/>
        <v>0</v>
      </c>
      <c r="Q83" s="737">
        <f t="shared" si="102"/>
        <v>0</v>
      </c>
      <c r="R83" s="737">
        <f t="shared" si="102"/>
        <v>0</v>
      </c>
      <c r="S83" s="737">
        <f t="shared" si="102"/>
        <v>0</v>
      </c>
      <c r="T83" s="737">
        <f t="shared" si="102"/>
        <v>0</v>
      </c>
      <c r="U83" s="737">
        <f t="shared" si="102"/>
        <v>0</v>
      </c>
      <c r="V83" s="737">
        <f t="shared" si="102"/>
        <v>0</v>
      </c>
      <c r="W83" s="737">
        <f t="shared" si="102"/>
        <v>0</v>
      </c>
      <c r="X83" s="738">
        <f t="shared" si="102"/>
        <v>0</v>
      </c>
      <c r="Y83" s="737">
        <f t="shared" si="102"/>
        <v>0</v>
      </c>
      <c r="Z83" s="737">
        <f t="shared" si="102"/>
        <v>0</v>
      </c>
      <c r="AA83" s="737">
        <f t="shared" si="102"/>
        <v>0</v>
      </c>
      <c r="AB83" s="737">
        <f t="shared" si="102"/>
        <v>0</v>
      </c>
      <c r="AC83" s="738">
        <f t="shared" si="102"/>
        <v>0</v>
      </c>
      <c r="AD83" s="737">
        <f t="shared" si="102"/>
        <v>0</v>
      </c>
      <c r="AE83" s="737">
        <f t="shared" si="102"/>
        <v>0</v>
      </c>
      <c r="AF83" s="737">
        <f t="shared" si="102"/>
        <v>0</v>
      </c>
      <c r="AG83" s="739">
        <f t="shared" si="102"/>
        <v>0</v>
      </c>
      <c r="AH83" s="823"/>
      <c r="AI83" s="744"/>
      <c r="AJ83" s="741"/>
      <c r="AK83" s="729"/>
      <c r="AL83" s="729"/>
      <c r="AM83" s="729"/>
      <c r="AN83" s="729"/>
      <c r="AO83" s="730"/>
      <c r="AP83" s="74"/>
      <c r="AQ83" s="74"/>
      <c r="AR83" s="74"/>
      <c r="AS83" s="106"/>
      <c r="AW83" s="1428" t="str">
        <f t="shared" si="79"/>
        <v>Rev</v>
      </c>
      <c r="AX83" s="1429" t="str">
        <f t="shared" si="41"/>
        <v>[Service]</v>
      </c>
      <c r="AY83" s="1430" t="str">
        <f t="shared" si="42"/>
        <v>[Price]</v>
      </c>
      <c r="AZ83" s="1431" t="str">
        <f t="shared" si="43"/>
        <v>-</v>
      </c>
      <c r="BA83" s="1431" t="str">
        <f t="shared" si="43"/>
        <v>-</v>
      </c>
      <c r="BB83" s="1431" t="str">
        <f t="shared" si="43"/>
        <v>-</v>
      </c>
      <c r="BC83" s="1431" t="str">
        <f t="shared" si="43"/>
        <v>-</v>
      </c>
      <c r="BD83" s="1431" t="str">
        <f t="shared" si="44"/>
        <v>-</v>
      </c>
      <c r="BE83" s="1431" t="str">
        <f t="shared" si="45"/>
        <v>-</v>
      </c>
      <c r="BF83" s="1431" t="str">
        <f t="shared" si="46"/>
        <v>-</v>
      </c>
      <c r="BG83" s="1432" t="str">
        <f t="shared" si="47"/>
        <v>-</v>
      </c>
      <c r="BH83" s="1431" t="str">
        <f t="shared" si="48"/>
        <v>-</v>
      </c>
      <c r="BI83" s="1431" t="str">
        <f t="shared" si="49"/>
        <v>-</v>
      </c>
      <c r="BJ83" s="1431" t="str">
        <f t="shared" si="50"/>
        <v>-</v>
      </c>
      <c r="BK83" s="1431" t="str">
        <f t="shared" si="51"/>
        <v>-</v>
      </c>
      <c r="BL83" s="1433" t="str">
        <f t="shared" si="52"/>
        <v>-</v>
      </c>
      <c r="BM83" s="1431" t="str">
        <f t="shared" si="53"/>
        <v>-</v>
      </c>
      <c r="BN83" s="1431" t="str">
        <f t="shared" si="54"/>
        <v>-</v>
      </c>
      <c r="BO83" s="1431" t="str">
        <f t="shared" si="55"/>
        <v>-</v>
      </c>
      <c r="BP83" s="1431" t="str">
        <f t="shared" si="56"/>
        <v>-</v>
      </c>
      <c r="BQ83" s="1434" t="str">
        <f t="shared" si="57"/>
        <v>-</v>
      </c>
      <c r="BR83" s="1378"/>
      <c r="BS83" s="1407"/>
      <c r="BT83" s="1408"/>
      <c r="BU83" s="1409"/>
      <c r="BV83" s="1410"/>
      <c r="BW83" s="1378"/>
      <c r="BX83" s="1428" t="str">
        <f t="shared" si="58"/>
        <v>Rev</v>
      </c>
      <c r="BY83" s="1429" t="str">
        <f t="shared" si="59"/>
        <v>[Service]</v>
      </c>
      <c r="BZ83" s="1430" t="str">
        <f t="shared" si="60"/>
        <v>[Price]</v>
      </c>
      <c r="CA83" s="1435" t="str">
        <f>IFERROR((S83/R83-1)*(R83/R$13),"-")</f>
        <v>-</v>
      </c>
      <c r="CB83" s="1431" t="str">
        <f>IFERROR((T83/S83-1)*(S83/S$13),"-")</f>
        <v>-</v>
      </c>
      <c r="CC83" s="1431" t="str">
        <f>IFERROR((U83/T83-1)*(T83/T$13),"-")</f>
        <v>-</v>
      </c>
      <c r="CD83" s="1431" t="str">
        <f>IFERROR((V83/U83-1)*(U83/U$13),"-")</f>
        <v>-</v>
      </c>
      <c r="CE83" s="1431" t="str">
        <f t="shared" ref="CE83:CR83" si="103">IFERROR((T83/S83-1)*(S83/S$13),"-")</f>
        <v>-</v>
      </c>
      <c r="CF83" s="1431" t="str">
        <f t="shared" si="103"/>
        <v>-</v>
      </c>
      <c r="CG83" s="1431" t="str">
        <f t="shared" si="103"/>
        <v>-</v>
      </c>
      <c r="CH83" s="1433" t="str">
        <f t="shared" si="103"/>
        <v>-</v>
      </c>
      <c r="CI83" s="1431" t="str">
        <f t="shared" si="103"/>
        <v>-</v>
      </c>
      <c r="CJ83" s="1431" t="str">
        <f t="shared" si="103"/>
        <v>-</v>
      </c>
      <c r="CK83" s="1431" t="str">
        <f t="shared" si="103"/>
        <v>-</v>
      </c>
      <c r="CL83" s="1431" t="str">
        <f t="shared" si="103"/>
        <v>-</v>
      </c>
      <c r="CM83" s="1433" t="str">
        <f t="shared" si="103"/>
        <v>-</v>
      </c>
      <c r="CN83" s="1431" t="str">
        <f t="shared" si="103"/>
        <v>-</v>
      </c>
      <c r="CO83" s="1431" t="str">
        <f t="shared" si="103"/>
        <v>-</v>
      </c>
      <c r="CP83" s="1431" t="str">
        <f t="shared" si="103"/>
        <v>-</v>
      </c>
      <c r="CQ83" s="1431" t="str">
        <f t="shared" si="103"/>
        <v>-</v>
      </c>
      <c r="CR83" s="1434" t="str">
        <f t="shared" si="103"/>
        <v>-</v>
      </c>
      <c r="CS83" s="1378"/>
      <c r="CT83" s="1428" t="str">
        <f t="shared" si="34"/>
        <v>Rev</v>
      </c>
      <c r="CU83" s="1429" t="str">
        <f t="shared" si="35"/>
        <v>[Service]</v>
      </c>
      <c r="CV83" s="1429" t="str">
        <f t="shared" si="36"/>
        <v>[Price]</v>
      </c>
      <c r="CW83" s="1435" t="str">
        <f t="shared" si="62"/>
        <v>-</v>
      </c>
      <c r="CX83" s="1431" t="str">
        <f t="shared" si="63"/>
        <v>-</v>
      </c>
      <c r="CY83" s="1431" t="str">
        <f t="shared" si="64"/>
        <v>-</v>
      </c>
      <c r="CZ83" s="1433" t="str">
        <f t="shared" si="65"/>
        <v>-</v>
      </c>
      <c r="DA83" s="1431" t="str">
        <f t="shared" si="66"/>
        <v>-</v>
      </c>
      <c r="DB83" s="1431" t="str">
        <f t="shared" si="67"/>
        <v>-</v>
      </c>
      <c r="DC83" s="1431" t="str">
        <f t="shared" si="68"/>
        <v>-</v>
      </c>
      <c r="DD83" s="1431" t="str">
        <f t="shared" si="69"/>
        <v>-</v>
      </c>
      <c r="DE83" s="1434" t="str">
        <f t="shared" si="70"/>
        <v>-</v>
      </c>
      <c r="DF83" s="1378"/>
      <c r="DG83" s="1428" t="str">
        <f t="shared" si="81"/>
        <v>Rev</v>
      </c>
      <c r="DH83" s="1429" t="str">
        <f t="shared" si="38"/>
        <v>[Service]</v>
      </c>
      <c r="DI83" s="1429" t="str">
        <f t="shared" si="38"/>
        <v>[Price]</v>
      </c>
      <c r="DJ83" s="1435" t="str">
        <f t="shared" si="71"/>
        <v>-</v>
      </c>
      <c r="DK83" s="1431" t="str">
        <f t="shared" si="72"/>
        <v>-</v>
      </c>
      <c r="DL83" s="1431" t="str">
        <f t="shared" si="73"/>
        <v>-</v>
      </c>
      <c r="DM83" s="1433" t="str">
        <f t="shared" si="74"/>
        <v>-</v>
      </c>
      <c r="DN83" s="1431" t="str">
        <f t="shared" si="75"/>
        <v>-</v>
      </c>
      <c r="DO83" s="1431" t="str">
        <f t="shared" si="76"/>
        <v>-</v>
      </c>
      <c r="DP83" s="1431" t="str">
        <f t="shared" si="77"/>
        <v>-</v>
      </c>
      <c r="DQ83" s="1434" t="str">
        <f t="shared" si="78"/>
        <v>-</v>
      </c>
    </row>
    <row r="84" spans="4:121">
      <c r="D84" s="70">
        <f>D81+1</f>
        <v>6</v>
      </c>
      <c r="E84" s="713" t="s">
        <v>44</v>
      </c>
      <c r="F84" s="789" t="s">
        <v>27</v>
      </c>
      <c r="G84" s="789"/>
      <c r="H84" s="789"/>
      <c r="I84" s="781" t="s">
        <v>318</v>
      </c>
      <c r="J84" s="781" t="s">
        <v>345</v>
      </c>
      <c r="K84" s="714"/>
      <c r="L84" s="715"/>
      <c r="M84" s="715"/>
      <c r="N84" s="716"/>
      <c r="O84" s="783"/>
      <c r="P84" s="784"/>
      <c r="Q84" s="783"/>
      <c r="R84" s="783"/>
      <c r="S84" s="783"/>
      <c r="T84" s="783"/>
      <c r="U84" s="783"/>
      <c r="V84" s="783"/>
      <c r="W84" s="783"/>
      <c r="X84" s="784"/>
      <c r="Y84" s="783"/>
      <c r="Z84" s="783"/>
      <c r="AA84" s="783"/>
      <c r="AB84" s="783"/>
      <c r="AC84" s="784"/>
      <c r="AD84" s="783"/>
      <c r="AE84" s="783"/>
      <c r="AF84" s="783"/>
      <c r="AG84" s="785"/>
      <c r="AI84" s="702"/>
      <c r="AJ84" s="717" t="str">
        <f t="shared" ref="AJ84:AS84" si="104">IFERROR((X84-W84)/W84,"")</f>
        <v/>
      </c>
      <c r="AK84" s="718" t="str">
        <f t="shared" si="104"/>
        <v/>
      </c>
      <c r="AL84" s="718" t="str">
        <f t="shared" si="104"/>
        <v/>
      </c>
      <c r="AM84" s="718" t="str">
        <f t="shared" si="104"/>
        <v/>
      </c>
      <c r="AN84" s="718" t="str">
        <f t="shared" si="104"/>
        <v/>
      </c>
      <c r="AO84" s="719" t="str">
        <f t="shared" si="104"/>
        <v/>
      </c>
      <c r="AP84" s="494" t="str">
        <f t="shared" si="104"/>
        <v/>
      </c>
      <c r="AQ84" s="494" t="str">
        <f t="shared" si="104"/>
        <v/>
      </c>
      <c r="AR84" s="494" t="str">
        <f t="shared" si="104"/>
        <v/>
      </c>
      <c r="AS84" s="720" t="str">
        <f t="shared" si="104"/>
        <v/>
      </c>
      <c r="AU84" s="1369"/>
      <c r="AW84" s="1412" t="str">
        <f t="shared" si="79"/>
        <v>Price</v>
      </c>
      <c r="AX84" s="1413" t="str">
        <f t="shared" si="41"/>
        <v>[Service]</v>
      </c>
      <c r="AY84" s="1414" t="str">
        <f t="shared" si="42"/>
        <v>[Price]</v>
      </c>
      <c r="AZ84" s="1415" t="str">
        <f t="shared" si="43"/>
        <v>-</v>
      </c>
      <c r="BA84" s="1415" t="str">
        <f t="shared" si="43"/>
        <v>-</v>
      </c>
      <c r="BB84" s="1415" t="str">
        <f t="shared" si="43"/>
        <v>-</v>
      </c>
      <c r="BC84" s="1415" t="str">
        <f t="shared" si="43"/>
        <v>-</v>
      </c>
      <c r="BD84" s="1415" t="str">
        <f t="shared" si="44"/>
        <v>-</v>
      </c>
      <c r="BE84" s="1415" t="str">
        <f t="shared" si="45"/>
        <v>-</v>
      </c>
      <c r="BF84" s="1415" t="str">
        <f t="shared" si="46"/>
        <v>-</v>
      </c>
      <c r="BG84" s="1416" t="str">
        <f t="shared" si="47"/>
        <v>-</v>
      </c>
      <c r="BH84" s="1417" t="str">
        <f t="shared" si="48"/>
        <v>-</v>
      </c>
      <c r="BI84" s="1417" t="str">
        <f t="shared" si="49"/>
        <v>-</v>
      </c>
      <c r="BJ84" s="1417" t="str">
        <f t="shared" si="50"/>
        <v>-</v>
      </c>
      <c r="BK84" s="1417" t="str">
        <f t="shared" si="51"/>
        <v>-</v>
      </c>
      <c r="BL84" s="1418" t="str">
        <f t="shared" si="52"/>
        <v>-</v>
      </c>
      <c r="BM84" s="1417" t="str">
        <f t="shared" si="53"/>
        <v>-</v>
      </c>
      <c r="BN84" s="1417" t="str">
        <f t="shared" si="54"/>
        <v>-</v>
      </c>
      <c r="BO84" s="1417" t="str">
        <f t="shared" si="55"/>
        <v>-</v>
      </c>
      <c r="BP84" s="1417" t="str">
        <f t="shared" si="56"/>
        <v>-</v>
      </c>
      <c r="BQ84" s="1419" t="str">
        <f t="shared" si="57"/>
        <v>-</v>
      </c>
      <c r="BR84" s="1378"/>
      <c r="BS84" s="1420"/>
      <c r="BT84" s="1421"/>
      <c r="BU84" s="1422"/>
      <c r="BV84" s="1423"/>
      <c r="BW84" s="1378"/>
      <c r="BX84" s="1412" t="str">
        <f t="shared" si="58"/>
        <v>Price</v>
      </c>
      <c r="BY84" s="1413" t="str">
        <f t="shared" ref="BY84:BY147" si="105">AX84</f>
        <v>[Service]</v>
      </c>
      <c r="BZ84" s="1414" t="str">
        <f t="shared" ref="BZ84:BZ147" si="106">AY84</f>
        <v>[Price]</v>
      </c>
      <c r="CA84" s="1424" t="str">
        <f>IFERROR((S84/R84-1)*(R86/R$13),"-")</f>
        <v>-</v>
      </c>
      <c r="CB84" s="1415" t="str">
        <f>IFERROR((T84/S84-1)*(S86/S$13),"-")</f>
        <v>-</v>
      </c>
      <c r="CC84" s="1415" t="str">
        <f>IFERROR((U84/T84-1)*(T86/T$13),"-")</f>
        <v>-</v>
      </c>
      <c r="CD84" s="1415" t="str">
        <f>IFERROR((V84/U84-1)*(U86/U$13),"-")</f>
        <v>-</v>
      </c>
      <c r="CE84" s="1415" t="str">
        <f t="shared" ref="CE84:CR84" si="107">IFERROR((T84/S84-1)*(S86/S$13),"-")</f>
        <v>-</v>
      </c>
      <c r="CF84" s="1415" t="str">
        <f t="shared" si="107"/>
        <v>-</v>
      </c>
      <c r="CG84" s="1415" t="str">
        <f t="shared" si="107"/>
        <v>-</v>
      </c>
      <c r="CH84" s="1425" t="str">
        <f t="shared" si="107"/>
        <v>-</v>
      </c>
      <c r="CI84" s="1417" t="str">
        <f t="shared" si="107"/>
        <v>-</v>
      </c>
      <c r="CJ84" s="1417" t="str">
        <f t="shared" si="107"/>
        <v>-</v>
      </c>
      <c r="CK84" s="1417" t="str">
        <f t="shared" si="107"/>
        <v>-</v>
      </c>
      <c r="CL84" s="1417" t="str">
        <f t="shared" si="107"/>
        <v>-</v>
      </c>
      <c r="CM84" s="1418" t="str">
        <f t="shared" si="107"/>
        <v>-</v>
      </c>
      <c r="CN84" s="1417" t="str">
        <f t="shared" si="107"/>
        <v>-</v>
      </c>
      <c r="CO84" s="1417" t="str">
        <f t="shared" si="107"/>
        <v>-</v>
      </c>
      <c r="CP84" s="1417" t="str">
        <f t="shared" si="107"/>
        <v>-</v>
      </c>
      <c r="CQ84" s="1417" t="str">
        <f t="shared" si="107"/>
        <v>-</v>
      </c>
      <c r="CR84" s="1419" t="str">
        <f t="shared" si="107"/>
        <v>-</v>
      </c>
      <c r="CS84" s="1378"/>
      <c r="CT84" s="1412" t="str">
        <f t="shared" si="34"/>
        <v>Price</v>
      </c>
      <c r="CU84" s="1413" t="str">
        <f t="shared" si="35"/>
        <v>[Service]</v>
      </c>
      <c r="CV84" s="1426" t="str">
        <f t="shared" si="36"/>
        <v>[Price]</v>
      </c>
      <c r="CW84" s="1427" t="str">
        <f t="shared" si="62"/>
        <v>-</v>
      </c>
      <c r="CX84" s="1417" t="str">
        <f t="shared" si="63"/>
        <v>-</v>
      </c>
      <c r="CY84" s="1417" t="str">
        <f t="shared" si="64"/>
        <v>-</v>
      </c>
      <c r="CZ84" s="1418" t="str">
        <f t="shared" si="65"/>
        <v>-</v>
      </c>
      <c r="DA84" s="1417" t="str">
        <f t="shared" si="66"/>
        <v>-</v>
      </c>
      <c r="DB84" s="1417" t="str">
        <f t="shared" si="67"/>
        <v>-</v>
      </c>
      <c r="DC84" s="1417" t="str">
        <f t="shared" si="68"/>
        <v>-</v>
      </c>
      <c r="DD84" s="1417" t="str">
        <f t="shared" si="69"/>
        <v>-</v>
      </c>
      <c r="DE84" s="1419" t="str">
        <f t="shared" si="70"/>
        <v>-</v>
      </c>
      <c r="DF84" s="1378"/>
      <c r="DG84" s="1412" t="str">
        <f t="shared" si="81"/>
        <v>Price</v>
      </c>
      <c r="DH84" s="1413" t="str">
        <f t="shared" si="81"/>
        <v>[Service]</v>
      </c>
      <c r="DI84" s="1426" t="str">
        <f t="shared" si="81"/>
        <v>[Price]</v>
      </c>
      <c r="DJ84" s="1427" t="str">
        <f t="shared" si="71"/>
        <v>-</v>
      </c>
      <c r="DK84" s="1417" t="str">
        <f t="shared" si="72"/>
        <v>-</v>
      </c>
      <c r="DL84" s="1417" t="str">
        <f t="shared" si="73"/>
        <v>-</v>
      </c>
      <c r="DM84" s="1418" t="str">
        <f t="shared" si="74"/>
        <v>-</v>
      </c>
      <c r="DN84" s="1417" t="str">
        <f t="shared" si="75"/>
        <v>-</v>
      </c>
      <c r="DO84" s="1417" t="str">
        <f t="shared" si="76"/>
        <v>-</v>
      </c>
      <c r="DP84" s="1417" t="str">
        <f t="shared" si="77"/>
        <v>-</v>
      </c>
      <c r="DQ84" s="1419" t="str">
        <f t="shared" si="78"/>
        <v>-</v>
      </c>
    </row>
    <row r="85" spans="4:121">
      <c r="E85" s="742" t="s">
        <v>45</v>
      </c>
      <c r="F85" s="722" t="str">
        <f>+F84</f>
        <v>[Service]</v>
      </c>
      <c r="G85" s="723">
        <f>+G84</f>
        <v>0</v>
      </c>
      <c r="H85" s="723">
        <f>+H84</f>
        <v>0</v>
      </c>
      <c r="I85" s="724" t="str">
        <f>+I84</f>
        <v>[Price]</v>
      </c>
      <c r="J85" s="782" t="s">
        <v>322</v>
      </c>
      <c r="K85" s="725"/>
      <c r="L85" s="726"/>
      <c r="M85" s="726"/>
      <c r="N85" s="727"/>
      <c r="O85" s="786"/>
      <c r="P85" s="787"/>
      <c r="Q85" s="786"/>
      <c r="R85" s="786"/>
      <c r="S85" s="786"/>
      <c r="T85" s="786"/>
      <c r="U85" s="786"/>
      <c r="V85" s="786"/>
      <c r="W85" s="786"/>
      <c r="X85" s="787"/>
      <c r="Y85" s="786"/>
      <c r="Z85" s="786"/>
      <c r="AA85" s="786"/>
      <c r="AB85" s="786"/>
      <c r="AC85" s="787"/>
      <c r="AD85" s="786"/>
      <c r="AE85" s="786"/>
      <c r="AF85" s="786"/>
      <c r="AG85" s="788"/>
      <c r="AH85" s="823"/>
      <c r="AI85" s="702"/>
      <c r="AJ85" s="728"/>
      <c r="AK85" s="729"/>
      <c r="AL85" s="729"/>
      <c r="AM85" s="729"/>
      <c r="AN85" s="729"/>
      <c r="AO85" s="730"/>
      <c r="AP85" s="74"/>
      <c r="AQ85" s="74"/>
      <c r="AR85" s="74"/>
      <c r="AS85" s="106"/>
      <c r="AW85" s="1392" t="str">
        <f t="shared" si="79"/>
        <v>Qty</v>
      </c>
      <c r="AX85" s="1393" t="str">
        <f t="shared" si="41"/>
        <v>[Service]</v>
      </c>
      <c r="AY85" s="1394" t="str">
        <f t="shared" si="42"/>
        <v>[Price]</v>
      </c>
      <c r="AZ85" s="1395" t="str">
        <f t="shared" ref="AZ85:BC100" si="108">IFERROR(P85/O85-1,"-")</f>
        <v>-</v>
      </c>
      <c r="BA85" s="1395" t="str">
        <f t="shared" si="108"/>
        <v>-</v>
      </c>
      <c r="BB85" s="1395" t="str">
        <f t="shared" si="108"/>
        <v>-</v>
      </c>
      <c r="BC85" s="1395" t="str">
        <f t="shared" si="108"/>
        <v>-</v>
      </c>
      <c r="BD85" s="1395" t="str">
        <f t="shared" si="44"/>
        <v>-</v>
      </c>
      <c r="BE85" s="1395" t="str">
        <f t="shared" si="45"/>
        <v>-</v>
      </c>
      <c r="BF85" s="1395" t="str">
        <f t="shared" si="46"/>
        <v>-</v>
      </c>
      <c r="BG85" s="1396" t="str">
        <f t="shared" si="47"/>
        <v>-</v>
      </c>
      <c r="BH85" s="1395" t="str">
        <f t="shared" si="48"/>
        <v>-</v>
      </c>
      <c r="BI85" s="1395" t="str">
        <f t="shared" si="49"/>
        <v>-</v>
      </c>
      <c r="BJ85" s="1395" t="str">
        <f t="shared" si="50"/>
        <v>-</v>
      </c>
      <c r="BK85" s="1395" t="str">
        <f t="shared" si="51"/>
        <v>-</v>
      </c>
      <c r="BL85" s="1397" t="str">
        <f t="shared" si="52"/>
        <v>-</v>
      </c>
      <c r="BM85" s="1395" t="str">
        <f t="shared" si="53"/>
        <v>-</v>
      </c>
      <c r="BN85" s="1395" t="str">
        <f t="shared" si="54"/>
        <v>-</v>
      </c>
      <c r="BO85" s="1395" t="str">
        <f t="shared" si="55"/>
        <v>-</v>
      </c>
      <c r="BP85" s="1395" t="str">
        <f t="shared" si="56"/>
        <v>-</v>
      </c>
      <c r="BQ85" s="1398" t="str">
        <f t="shared" si="57"/>
        <v>-</v>
      </c>
      <c r="BR85" s="1378"/>
      <c r="BS85" s="1329"/>
      <c r="BT85" s="1399"/>
      <c r="BU85" s="1331"/>
      <c r="BV85" s="1400"/>
      <c r="BW85" s="1378"/>
      <c r="BX85" s="1392" t="str">
        <f t="shared" si="58"/>
        <v>Qty</v>
      </c>
      <c r="BY85" s="1393" t="str">
        <f t="shared" si="105"/>
        <v>[Service]</v>
      </c>
      <c r="BZ85" s="1394" t="str">
        <f t="shared" si="106"/>
        <v>[Price]</v>
      </c>
      <c r="CA85" s="1401" t="str">
        <f>IFERROR((S85/R85-1)*(R86/R$13),"-")</f>
        <v>-</v>
      </c>
      <c r="CB85" s="1395" t="str">
        <f>IFERROR((T85/S85-1)*(S86/S$13),"-")</f>
        <v>-</v>
      </c>
      <c r="CC85" s="1395" t="str">
        <f>IFERROR((U85/T85-1)*(T86/T$13),"-")</f>
        <v>-</v>
      </c>
      <c r="CD85" s="1395" t="str">
        <f>IFERROR((V85/U85-1)*(U86/U$13),"-")</f>
        <v>-</v>
      </c>
      <c r="CE85" s="1395" t="str">
        <f t="shared" ref="CE85:CR85" si="109">IFERROR((T85/S85-1)*(S86/S$13),"-")</f>
        <v>-</v>
      </c>
      <c r="CF85" s="1395" t="str">
        <f t="shared" si="109"/>
        <v>-</v>
      </c>
      <c r="CG85" s="1395" t="str">
        <f t="shared" si="109"/>
        <v>-</v>
      </c>
      <c r="CH85" s="1397" t="str">
        <f t="shared" si="109"/>
        <v>-</v>
      </c>
      <c r="CI85" s="1395" t="str">
        <f t="shared" si="109"/>
        <v>-</v>
      </c>
      <c r="CJ85" s="1395" t="str">
        <f t="shared" si="109"/>
        <v>-</v>
      </c>
      <c r="CK85" s="1395" t="str">
        <f t="shared" si="109"/>
        <v>-</v>
      </c>
      <c r="CL85" s="1395" t="str">
        <f t="shared" si="109"/>
        <v>-</v>
      </c>
      <c r="CM85" s="1397" t="str">
        <f t="shared" si="109"/>
        <v>-</v>
      </c>
      <c r="CN85" s="1395" t="str">
        <f t="shared" si="109"/>
        <v>-</v>
      </c>
      <c r="CO85" s="1395" t="str">
        <f t="shared" si="109"/>
        <v>-</v>
      </c>
      <c r="CP85" s="1395" t="str">
        <f t="shared" si="109"/>
        <v>-</v>
      </c>
      <c r="CQ85" s="1395" t="str">
        <f t="shared" si="109"/>
        <v>-</v>
      </c>
      <c r="CR85" s="1398" t="str">
        <f t="shared" si="109"/>
        <v>-</v>
      </c>
      <c r="CS85" s="1378"/>
      <c r="CT85" s="1392" t="str">
        <f t="shared" si="34"/>
        <v>Qty</v>
      </c>
      <c r="CU85" s="1393" t="str">
        <f t="shared" si="35"/>
        <v>[Service]</v>
      </c>
      <c r="CV85" s="1393" t="str">
        <f t="shared" si="36"/>
        <v>[Price]</v>
      </c>
      <c r="CW85" s="1401" t="str">
        <f t="shared" si="62"/>
        <v>-</v>
      </c>
      <c r="CX85" s="1395" t="str">
        <f t="shared" si="63"/>
        <v>-</v>
      </c>
      <c r="CY85" s="1395" t="str">
        <f t="shared" si="64"/>
        <v>-</v>
      </c>
      <c r="CZ85" s="1397" t="str">
        <f t="shared" si="65"/>
        <v>-</v>
      </c>
      <c r="DA85" s="1395" t="str">
        <f t="shared" si="66"/>
        <v>-</v>
      </c>
      <c r="DB85" s="1395" t="str">
        <f t="shared" si="67"/>
        <v>-</v>
      </c>
      <c r="DC85" s="1395" t="str">
        <f t="shared" si="68"/>
        <v>-</v>
      </c>
      <c r="DD85" s="1395" t="str">
        <f t="shared" si="69"/>
        <v>-</v>
      </c>
      <c r="DE85" s="1398" t="str">
        <f t="shared" si="70"/>
        <v>-</v>
      </c>
      <c r="DF85" s="1378"/>
      <c r="DG85" s="1392" t="str">
        <f t="shared" si="81"/>
        <v>Qty</v>
      </c>
      <c r="DH85" s="1393" t="str">
        <f t="shared" si="81"/>
        <v>[Service]</v>
      </c>
      <c r="DI85" s="1393" t="str">
        <f t="shared" si="81"/>
        <v>[Price]</v>
      </c>
      <c r="DJ85" s="1401" t="str">
        <f t="shared" si="71"/>
        <v>-</v>
      </c>
      <c r="DK85" s="1395" t="str">
        <f t="shared" si="72"/>
        <v>-</v>
      </c>
      <c r="DL85" s="1395" t="str">
        <f t="shared" si="73"/>
        <v>-</v>
      </c>
      <c r="DM85" s="1397" t="str">
        <f t="shared" si="74"/>
        <v>-</v>
      </c>
      <c r="DN85" s="1395" t="str">
        <f t="shared" si="75"/>
        <v>-</v>
      </c>
      <c r="DO85" s="1395" t="str">
        <f t="shared" si="76"/>
        <v>-</v>
      </c>
      <c r="DP85" s="1395" t="str">
        <f t="shared" si="77"/>
        <v>-</v>
      </c>
      <c r="DQ85" s="1398" t="str">
        <f t="shared" si="78"/>
        <v>-</v>
      </c>
    </row>
    <row r="86" spans="4:121" ht="12.75" thickBot="1">
      <c r="E86" s="743" t="s">
        <v>46</v>
      </c>
      <c r="F86" s="732" t="str">
        <f>+F84</f>
        <v>[Service]</v>
      </c>
      <c r="G86" s="733">
        <f>+G84</f>
        <v>0</v>
      </c>
      <c r="H86" s="733">
        <f>+H84</f>
        <v>0</v>
      </c>
      <c r="I86" s="734" t="str">
        <f>+I84</f>
        <v>[Price]</v>
      </c>
      <c r="J86" s="735" t="s">
        <v>344</v>
      </c>
      <c r="K86" s="736">
        <f t="shared" ref="K86:AG86" si="110">K84*K85/10^6</f>
        <v>0</v>
      </c>
      <c r="L86" s="737">
        <f t="shared" si="110"/>
        <v>0</v>
      </c>
      <c r="M86" s="737">
        <f t="shared" si="110"/>
        <v>0</v>
      </c>
      <c r="N86" s="738">
        <f t="shared" si="110"/>
        <v>0</v>
      </c>
      <c r="O86" s="737">
        <f t="shared" si="110"/>
        <v>0</v>
      </c>
      <c r="P86" s="738">
        <f t="shared" si="110"/>
        <v>0</v>
      </c>
      <c r="Q86" s="737">
        <f t="shared" si="110"/>
        <v>0</v>
      </c>
      <c r="R86" s="737">
        <f t="shared" si="110"/>
        <v>0</v>
      </c>
      <c r="S86" s="737">
        <f t="shared" si="110"/>
        <v>0</v>
      </c>
      <c r="T86" s="737">
        <f t="shared" si="110"/>
        <v>0</v>
      </c>
      <c r="U86" s="737">
        <f t="shared" si="110"/>
        <v>0</v>
      </c>
      <c r="V86" s="737">
        <f t="shared" si="110"/>
        <v>0</v>
      </c>
      <c r="W86" s="737">
        <f t="shared" si="110"/>
        <v>0</v>
      </c>
      <c r="X86" s="738">
        <f t="shared" si="110"/>
        <v>0</v>
      </c>
      <c r="Y86" s="737">
        <f t="shared" si="110"/>
        <v>0</v>
      </c>
      <c r="Z86" s="737">
        <f t="shared" si="110"/>
        <v>0</v>
      </c>
      <c r="AA86" s="737">
        <f t="shared" si="110"/>
        <v>0</v>
      </c>
      <c r="AB86" s="737">
        <f t="shared" si="110"/>
        <v>0</v>
      </c>
      <c r="AC86" s="738">
        <f t="shared" si="110"/>
        <v>0</v>
      </c>
      <c r="AD86" s="737">
        <f t="shared" si="110"/>
        <v>0</v>
      </c>
      <c r="AE86" s="737">
        <f t="shared" si="110"/>
        <v>0</v>
      </c>
      <c r="AF86" s="737">
        <f t="shared" si="110"/>
        <v>0</v>
      </c>
      <c r="AG86" s="739">
        <f t="shared" si="110"/>
        <v>0</v>
      </c>
      <c r="AH86" s="823"/>
      <c r="AI86" s="744"/>
      <c r="AJ86" s="741"/>
      <c r="AK86" s="729"/>
      <c r="AL86" s="729"/>
      <c r="AM86" s="729"/>
      <c r="AN86" s="729"/>
      <c r="AO86" s="730"/>
      <c r="AP86" s="74"/>
      <c r="AQ86" s="74"/>
      <c r="AR86" s="74"/>
      <c r="AS86" s="106"/>
      <c r="AW86" s="1428" t="str">
        <f t="shared" si="79"/>
        <v>Rev</v>
      </c>
      <c r="AX86" s="1429" t="str">
        <f t="shared" si="41"/>
        <v>[Service]</v>
      </c>
      <c r="AY86" s="1430" t="str">
        <f t="shared" si="42"/>
        <v>[Price]</v>
      </c>
      <c r="AZ86" s="1431" t="str">
        <f t="shared" si="108"/>
        <v>-</v>
      </c>
      <c r="BA86" s="1431" t="str">
        <f t="shared" si="108"/>
        <v>-</v>
      </c>
      <c r="BB86" s="1431" t="str">
        <f t="shared" si="108"/>
        <v>-</v>
      </c>
      <c r="BC86" s="1431" t="str">
        <f t="shared" si="108"/>
        <v>-</v>
      </c>
      <c r="BD86" s="1431" t="str">
        <f t="shared" si="44"/>
        <v>-</v>
      </c>
      <c r="BE86" s="1431" t="str">
        <f t="shared" si="45"/>
        <v>-</v>
      </c>
      <c r="BF86" s="1431" t="str">
        <f t="shared" si="46"/>
        <v>-</v>
      </c>
      <c r="BG86" s="1432" t="str">
        <f t="shared" si="47"/>
        <v>-</v>
      </c>
      <c r="BH86" s="1431" t="str">
        <f t="shared" si="48"/>
        <v>-</v>
      </c>
      <c r="BI86" s="1431" t="str">
        <f t="shared" si="49"/>
        <v>-</v>
      </c>
      <c r="BJ86" s="1431" t="str">
        <f t="shared" si="50"/>
        <v>-</v>
      </c>
      <c r="BK86" s="1431" t="str">
        <f t="shared" si="51"/>
        <v>-</v>
      </c>
      <c r="BL86" s="1433" t="str">
        <f t="shared" si="52"/>
        <v>-</v>
      </c>
      <c r="BM86" s="1431" t="str">
        <f t="shared" si="53"/>
        <v>-</v>
      </c>
      <c r="BN86" s="1431" t="str">
        <f t="shared" si="54"/>
        <v>-</v>
      </c>
      <c r="BO86" s="1431" t="str">
        <f t="shared" si="55"/>
        <v>-</v>
      </c>
      <c r="BP86" s="1431" t="str">
        <f t="shared" si="56"/>
        <v>-</v>
      </c>
      <c r="BQ86" s="1434" t="str">
        <f t="shared" si="57"/>
        <v>-</v>
      </c>
      <c r="BR86" s="1378"/>
      <c r="BS86" s="1407"/>
      <c r="BT86" s="1408"/>
      <c r="BU86" s="1409"/>
      <c r="BV86" s="1410"/>
      <c r="BW86" s="1378"/>
      <c r="BX86" s="1428" t="str">
        <f t="shared" si="58"/>
        <v>Rev</v>
      </c>
      <c r="BY86" s="1429" t="str">
        <f t="shared" si="105"/>
        <v>[Service]</v>
      </c>
      <c r="BZ86" s="1430" t="str">
        <f t="shared" si="106"/>
        <v>[Price]</v>
      </c>
      <c r="CA86" s="1435" t="str">
        <f>IFERROR((S86/R86-1)*(R86/R$13),"-")</f>
        <v>-</v>
      </c>
      <c r="CB86" s="1431" t="str">
        <f>IFERROR((T86/S86-1)*(S86/S$13),"-")</f>
        <v>-</v>
      </c>
      <c r="CC86" s="1431" t="str">
        <f>IFERROR((U86/T86-1)*(T86/T$13),"-")</f>
        <v>-</v>
      </c>
      <c r="CD86" s="1431" t="str">
        <f>IFERROR((V86/U86-1)*(U86/U$13),"-")</f>
        <v>-</v>
      </c>
      <c r="CE86" s="1431" t="str">
        <f t="shared" ref="CE86:CR86" si="111">IFERROR((T86/S86-1)*(S86/S$13),"-")</f>
        <v>-</v>
      </c>
      <c r="CF86" s="1431" t="str">
        <f t="shared" si="111"/>
        <v>-</v>
      </c>
      <c r="CG86" s="1431" t="str">
        <f t="shared" si="111"/>
        <v>-</v>
      </c>
      <c r="CH86" s="1433" t="str">
        <f t="shared" si="111"/>
        <v>-</v>
      </c>
      <c r="CI86" s="1431" t="str">
        <f t="shared" si="111"/>
        <v>-</v>
      </c>
      <c r="CJ86" s="1431" t="str">
        <f t="shared" si="111"/>
        <v>-</v>
      </c>
      <c r="CK86" s="1431" t="str">
        <f t="shared" si="111"/>
        <v>-</v>
      </c>
      <c r="CL86" s="1431" t="str">
        <f t="shared" si="111"/>
        <v>-</v>
      </c>
      <c r="CM86" s="1433" t="str">
        <f t="shared" si="111"/>
        <v>-</v>
      </c>
      <c r="CN86" s="1431" t="str">
        <f t="shared" si="111"/>
        <v>-</v>
      </c>
      <c r="CO86" s="1431" t="str">
        <f t="shared" si="111"/>
        <v>-</v>
      </c>
      <c r="CP86" s="1431" t="str">
        <f t="shared" si="111"/>
        <v>-</v>
      </c>
      <c r="CQ86" s="1431" t="str">
        <f t="shared" si="111"/>
        <v>-</v>
      </c>
      <c r="CR86" s="1434" t="str">
        <f t="shared" si="111"/>
        <v>-</v>
      </c>
      <c r="CS86" s="1378"/>
      <c r="CT86" s="1428" t="str">
        <f t="shared" si="34"/>
        <v>Rev</v>
      </c>
      <c r="CU86" s="1429" t="str">
        <f t="shared" si="35"/>
        <v>[Service]</v>
      </c>
      <c r="CV86" s="1429" t="str">
        <f t="shared" si="36"/>
        <v>[Price]</v>
      </c>
      <c r="CW86" s="1435" t="str">
        <f t="shared" si="62"/>
        <v>-</v>
      </c>
      <c r="CX86" s="1431" t="str">
        <f t="shared" si="63"/>
        <v>-</v>
      </c>
      <c r="CY86" s="1431" t="str">
        <f t="shared" si="64"/>
        <v>-</v>
      </c>
      <c r="CZ86" s="1433" t="str">
        <f t="shared" si="65"/>
        <v>-</v>
      </c>
      <c r="DA86" s="1431" t="str">
        <f t="shared" si="66"/>
        <v>-</v>
      </c>
      <c r="DB86" s="1431" t="str">
        <f t="shared" si="67"/>
        <v>-</v>
      </c>
      <c r="DC86" s="1431" t="str">
        <f t="shared" si="68"/>
        <v>-</v>
      </c>
      <c r="DD86" s="1431" t="str">
        <f t="shared" si="69"/>
        <v>-</v>
      </c>
      <c r="DE86" s="1434" t="str">
        <f t="shared" si="70"/>
        <v>-</v>
      </c>
      <c r="DF86" s="1378"/>
      <c r="DG86" s="1428" t="str">
        <f t="shared" si="81"/>
        <v>Rev</v>
      </c>
      <c r="DH86" s="1429" t="str">
        <f t="shared" si="81"/>
        <v>[Service]</v>
      </c>
      <c r="DI86" s="1429" t="str">
        <f t="shared" si="81"/>
        <v>[Price]</v>
      </c>
      <c r="DJ86" s="1435" t="str">
        <f t="shared" si="71"/>
        <v>-</v>
      </c>
      <c r="DK86" s="1431" t="str">
        <f t="shared" si="72"/>
        <v>-</v>
      </c>
      <c r="DL86" s="1431" t="str">
        <f t="shared" si="73"/>
        <v>-</v>
      </c>
      <c r="DM86" s="1433" t="str">
        <f t="shared" si="74"/>
        <v>-</v>
      </c>
      <c r="DN86" s="1431" t="str">
        <f t="shared" si="75"/>
        <v>-</v>
      </c>
      <c r="DO86" s="1431" t="str">
        <f t="shared" si="76"/>
        <v>-</v>
      </c>
      <c r="DP86" s="1431" t="str">
        <f t="shared" si="77"/>
        <v>-</v>
      </c>
      <c r="DQ86" s="1434" t="str">
        <f t="shared" si="78"/>
        <v>-</v>
      </c>
    </row>
    <row r="87" spans="4:121">
      <c r="D87" s="70">
        <f>D84+1</f>
        <v>7</v>
      </c>
      <c r="E87" s="713" t="s">
        <v>44</v>
      </c>
      <c r="F87" s="789" t="s">
        <v>27</v>
      </c>
      <c r="G87" s="789"/>
      <c r="H87" s="789"/>
      <c r="I87" s="781" t="s">
        <v>318</v>
      </c>
      <c r="J87" s="781" t="s">
        <v>345</v>
      </c>
      <c r="K87" s="714"/>
      <c r="L87" s="715"/>
      <c r="M87" s="715"/>
      <c r="N87" s="716"/>
      <c r="O87" s="783"/>
      <c r="P87" s="784"/>
      <c r="Q87" s="783"/>
      <c r="R87" s="783"/>
      <c r="S87" s="783"/>
      <c r="T87" s="783"/>
      <c r="U87" s="783"/>
      <c r="V87" s="783"/>
      <c r="W87" s="783"/>
      <c r="X87" s="784"/>
      <c r="Y87" s="783"/>
      <c r="Z87" s="783"/>
      <c r="AA87" s="783"/>
      <c r="AB87" s="783"/>
      <c r="AC87" s="784"/>
      <c r="AD87" s="783"/>
      <c r="AE87" s="783"/>
      <c r="AF87" s="783"/>
      <c r="AG87" s="785"/>
      <c r="AI87" s="702"/>
      <c r="AJ87" s="717" t="str">
        <f t="shared" ref="AJ87:AS87" si="112">IFERROR((X87-W87)/W87,"")</f>
        <v/>
      </c>
      <c r="AK87" s="718" t="str">
        <f t="shared" si="112"/>
        <v/>
      </c>
      <c r="AL87" s="718" t="str">
        <f t="shared" si="112"/>
        <v/>
      </c>
      <c r="AM87" s="718" t="str">
        <f t="shared" si="112"/>
        <v/>
      </c>
      <c r="AN87" s="718" t="str">
        <f t="shared" si="112"/>
        <v/>
      </c>
      <c r="AO87" s="719" t="str">
        <f t="shared" si="112"/>
        <v/>
      </c>
      <c r="AP87" s="494" t="str">
        <f t="shared" si="112"/>
        <v/>
      </c>
      <c r="AQ87" s="494" t="str">
        <f t="shared" si="112"/>
        <v/>
      </c>
      <c r="AR87" s="494" t="str">
        <f t="shared" si="112"/>
        <v/>
      </c>
      <c r="AS87" s="720" t="str">
        <f t="shared" si="112"/>
        <v/>
      </c>
      <c r="AU87" s="1369"/>
      <c r="AW87" s="1412" t="str">
        <f t="shared" si="79"/>
        <v>Price</v>
      </c>
      <c r="AX87" s="1413" t="str">
        <f t="shared" si="41"/>
        <v>[Service]</v>
      </c>
      <c r="AY87" s="1414" t="str">
        <f t="shared" si="42"/>
        <v>[Price]</v>
      </c>
      <c r="AZ87" s="1415" t="str">
        <f t="shared" si="108"/>
        <v>-</v>
      </c>
      <c r="BA87" s="1415" t="str">
        <f t="shared" si="108"/>
        <v>-</v>
      </c>
      <c r="BB87" s="1415" t="str">
        <f t="shared" si="108"/>
        <v>-</v>
      </c>
      <c r="BC87" s="1415" t="str">
        <f t="shared" si="108"/>
        <v>-</v>
      </c>
      <c r="BD87" s="1415" t="str">
        <f t="shared" si="44"/>
        <v>-</v>
      </c>
      <c r="BE87" s="1415" t="str">
        <f t="shared" si="45"/>
        <v>-</v>
      </c>
      <c r="BF87" s="1415" t="str">
        <f t="shared" si="46"/>
        <v>-</v>
      </c>
      <c r="BG87" s="1416" t="str">
        <f t="shared" si="47"/>
        <v>-</v>
      </c>
      <c r="BH87" s="1417" t="str">
        <f t="shared" si="48"/>
        <v>-</v>
      </c>
      <c r="BI87" s="1417" t="str">
        <f t="shared" si="49"/>
        <v>-</v>
      </c>
      <c r="BJ87" s="1417" t="str">
        <f t="shared" si="50"/>
        <v>-</v>
      </c>
      <c r="BK87" s="1417" t="str">
        <f t="shared" si="51"/>
        <v>-</v>
      </c>
      <c r="BL87" s="1418" t="str">
        <f t="shared" si="52"/>
        <v>-</v>
      </c>
      <c r="BM87" s="1417" t="str">
        <f t="shared" si="53"/>
        <v>-</v>
      </c>
      <c r="BN87" s="1417" t="str">
        <f t="shared" si="54"/>
        <v>-</v>
      </c>
      <c r="BO87" s="1417" t="str">
        <f t="shared" si="55"/>
        <v>-</v>
      </c>
      <c r="BP87" s="1417" t="str">
        <f t="shared" si="56"/>
        <v>-</v>
      </c>
      <c r="BQ87" s="1419" t="str">
        <f t="shared" si="57"/>
        <v>-</v>
      </c>
      <c r="BR87" s="1378"/>
      <c r="BS87" s="1420"/>
      <c r="BT87" s="1421"/>
      <c r="BU87" s="1422"/>
      <c r="BV87" s="1423"/>
      <c r="BW87" s="1378"/>
      <c r="BX87" s="1412" t="str">
        <f t="shared" si="58"/>
        <v>Price</v>
      </c>
      <c r="BY87" s="1413" t="str">
        <f t="shared" si="105"/>
        <v>[Service]</v>
      </c>
      <c r="BZ87" s="1414" t="str">
        <f t="shared" si="106"/>
        <v>[Price]</v>
      </c>
      <c r="CA87" s="1424" t="str">
        <f>IFERROR((S87/R87-1)*(R89/R$13),"-")</f>
        <v>-</v>
      </c>
      <c r="CB87" s="1415" t="str">
        <f>IFERROR((T87/S87-1)*(S89/S$13),"-")</f>
        <v>-</v>
      </c>
      <c r="CC87" s="1415" t="str">
        <f>IFERROR((U87/T87-1)*(T89/T$13),"-")</f>
        <v>-</v>
      </c>
      <c r="CD87" s="1415" t="str">
        <f>IFERROR((V87/U87-1)*(U89/U$13),"-")</f>
        <v>-</v>
      </c>
      <c r="CE87" s="1415" t="str">
        <f t="shared" ref="CE87:CR87" si="113">IFERROR((T87/S87-1)*(S89/S$13),"-")</f>
        <v>-</v>
      </c>
      <c r="CF87" s="1415" t="str">
        <f t="shared" si="113"/>
        <v>-</v>
      </c>
      <c r="CG87" s="1415" t="str">
        <f t="shared" si="113"/>
        <v>-</v>
      </c>
      <c r="CH87" s="1425" t="str">
        <f t="shared" si="113"/>
        <v>-</v>
      </c>
      <c r="CI87" s="1417" t="str">
        <f t="shared" si="113"/>
        <v>-</v>
      </c>
      <c r="CJ87" s="1417" t="str">
        <f t="shared" si="113"/>
        <v>-</v>
      </c>
      <c r="CK87" s="1417" t="str">
        <f t="shared" si="113"/>
        <v>-</v>
      </c>
      <c r="CL87" s="1417" t="str">
        <f t="shared" si="113"/>
        <v>-</v>
      </c>
      <c r="CM87" s="1418" t="str">
        <f t="shared" si="113"/>
        <v>-</v>
      </c>
      <c r="CN87" s="1417" t="str">
        <f t="shared" si="113"/>
        <v>-</v>
      </c>
      <c r="CO87" s="1417" t="str">
        <f t="shared" si="113"/>
        <v>-</v>
      </c>
      <c r="CP87" s="1417" t="str">
        <f t="shared" si="113"/>
        <v>-</v>
      </c>
      <c r="CQ87" s="1417" t="str">
        <f t="shared" si="113"/>
        <v>-</v>
      </c>
      <c r="CR87" s="1419" t="str">
        <f t="shared" si="113"/>
        <v>-</v>
      </c>
      <c r="CS87" s="1378"/>
      <c r="CT87" s="1412" t="str">
        <f t="shared" si="34"/>
        <v>Price</v>
      </c>
      <c r="CU87" s="1413" t="str">
        <f t="shared" si="35"/>
        <v>[Service]</v>
      </c>
      <c r="CV87" s="1426" t="str">
        <f t="shared" si="36"/>
        <v>[Price]</v>
      </c>
      <c r="CW87" s="1427" t="str">
        <f t="shared" si="62"/>
        <v>-</v>
      </c>
      <c r="CX87" s="1417" t="str">
        <f t="shared" si="63"/>
        <v>-</v>
      </c>
      <c r="CY87" s="1417" t="str">
        <f t="shared" si="64"/>
        <v>-</v>
      </c>
      <c r="CZ87" s="1418" t="str">
        <f t="shared" si="65"/>
        <v>-</v>
      </c>
      <c r="DA87" s="1417" t="str">
        <f t="shared" si="66"/>
        <v>-</v>
      </c>
      <c r="DB87" s="1417" t="str">
        <f t="shared" si="67"/>
        <v>-</v>
      </c>
      <c r="DC87" s="1417" t="str">
        <f t="shared" si="68"/>
        <v>-</v>
      </c>
      <c r="DD87" s="1417" t="str">
        <f t="shared" si="69"/>
        <v>-</v>
      </c>
      <c r="DE87" s="1419" t="str">
        <f t="shared" si="70"/>
        <v>-</v>
      </c>
      <c r="DF87" s="1378"/>
      <c r="DG87" s="1412" t="str">
        <f t="shared" si="81"/>
        <v>Price</v>
      </c>
      <c r="DH87" s="1413" t="str">
        <f t="shared" si="81"/>
        <v>[Service]</v>
      </c>
      <c r="DI87" s="1426" t="str">
        <f t="shared" si="81"/>
        <v>[Price]</v>
      </c>
      <c r="DJ87" s="1427" t="str">
        <f t="shared" si="71"/>
        <v>-</v>
      </c>
      <c r="DK87" s="1417" t="str">
        <f t="shared" si="72"/>
        <v>-</v>
      </c>
      <c r="DL87" s="1417" t="str">
        <f t="shared" si="73"/>
        <v>-</v>
      </c>
      <c r="DM87" s="1418" t="str">
        <f t="shared" si="74"/>
        <v>-</v>
      </c>
      <c r="DN87" s="1417" t="str">
        <f t="shared" si="75"/>
        <v>-</v>
      </c>
      <c r="DO87" s="1417" t="str">
        <f t="shared" si="76"/>
        <v>-</v>
      </c>
      <c r="DP87" s="1417" t="str">
        <f t="shared" si="77"/>
        <v>-</v>
      </c>
      <c r="DQ87" s="1419" t="str">
        <f t="shared" si="78"/>
        <v>-</v>
      </c>
    </row>
    <row r="88" spans="4:121">
      <c r="E88" s="742" t="s">
        <v>45</v>
      </c>
      <c r="F88" s="722" t="str">
        <f>+F87</f>
        <v>[Service]</v>
      </c>
      <c r="G88" s="723">
        <f>+G87</f>
        <v>0</v>
      </c>
      <c r="H88" s="723">
        <f>+H87</f>
        <v>0</v>
      </c>
      <c r="I88" s="724" t="str">
        <f>+I87</f>
        <v>[Price]</v>
      </c>
      <c r="J88" s="782" t="s">
        <v>322</v>
      </c>
      <c r="K88" s="725"/>
      <c r="L88" s="726"/>
      <c r="M88" s="726"/>
      <c r="N88" s="727"/>
      <c r="O88" s="786"/>
      <c r="P88" s="787"/>
      <c r="Q88" s="786"/>
      <c r="R88" s="786"/>
      <c r="S88" s="786"/>
      <c r="T88" s="786"/>
      <c r="U88" s="786"/>
      <c r="V88" s="786"/>
      <c r="W88" s="786"/>
      <c r="X88" s="787"/>
      <c r="Y88" s="786"/>
      <c r="Z88" s="786"/>
      <c r="AA88" s="786"/>
      <c r="AB88" s="786"/>
      <c r="AC88" s="787"/>
      <c r="AD88" s="786"/>
      <c r="AE88" s="786"/>
      <c r="AF88" s="786"/>
      <c r="AG88" s="788"/>
      <c r="AH88" s="823"/>
      <c r="AI88" s="702"/>
      <c r="AJ88" s="728"/>
      <c r="AK88" s="729"/>
      <c r="AL88" s="729"/>
      <c r="AM88" s="729"/>
      <c r="AN88" s="729"/>
      <c r="AO88" s="730"/>
      <c r="AP88" s="74"/>
      <c r="AQ88" s="74"/>
      <c r="AR88" s="74"/>
      <c r="AS88" s="106"/>
      <c r="AW88" s="1392" t="str">
        <f t="shared" si="79"/>
        <v>Qty</v>
      </c>
      <c r="AX88" s="1393" t="str">
        <f t="shared" si="41"/>
        <v>[Service]</v>
      </c>
      <c r="AY88" s="1394" t="str">
        <f t="shared" si="42"/>
        <v>[Price]</v>
      </c>
      <c r="AZ88" s="1395" t="str">
        <f t="shared" si="108"/>
        <v>-</v>
      </c>
      <c r="BA88" s="1395" t="str">
        <f t="shared" si="108"/>
        <v>-</v>
      </c>
      <c r="BB88" s="1395" t="str">
        <f t="shared" si="108"/>
        <v>-</v>
      </c>
      <c r="BC88" s="1395" t="str">
        <f t="shared" si="108"/>
        <v>-</v>
      </c>
      <c r="BD88" s="1395" t="str">
        <f t="shared" si="44"/>
        <v>-</v>
      </c>
      <c r="BE88" s="1395" t="str">
        <f t="shared" si="45"/>
        <v>-</v>
      </c>
      <c r="BF88" s="1395" t="str">
        <f t="shared" si="46"/>
        <v>-</v>
      </c>
      <c r="BG88" s="1396" t="str">
        <f t="shared" si="47"/>
        <v>-</v>
      </c>
      <c r="BH88" s="1395" t="str">
        <f t="shared" si="48"/>
        <v>-</v>
      </c>
      <c r="BI88" s="1395" t="str">
        <f t="shared" si="49"/>
        <v>-</v>
      </c>
      <c r="BJ88" s="1395" t="str">
        <f t="shared" si="50"/>
        <v>-</v>
      </c>
      <c r="BK88" s="1395" t="str">
        <f t="shared" si="51"/>
        <v>-</v>
      </c>
      <c r="BL88" s="1397" t="str">
        <f t="shared" si="52"/>
        <v>-</v>
      </c>
      <c r="BM88" s="1395" t="str">
        <f t="shared" si="53"/>
        <v>-</v>
      </c>
      <c r="BN88" s="1395" t="str">
        <f t="shared" si="54"/>
        <v>-</v>
      </c>
      <c r="BO88" s="1395" t="str">
        <f t="shared" si="55"/>
        <v>-</v>
      </c>
      <c r="BP88" s="1395" t="str">
        <f t="shared" si="56"/>
        <v>-</v>
      </c>
      <c r="BQ88" s="1398" t="str">
        <f t="shared" si="57"/>
        <v>-</v>
      </c>
      <c r="BR88" s="1378"/>
      <c r="BS88" s="1329"/>
      <c r="BT88" s="1399"/>
      <c r="BU88" s="1331"/>
      <c r="BV88" s="1400"/>
      <c r="BW88" s="1378"/>
      <c r="BX88" s="1392" t="str">
        <f t="shared" si="58"/>
        <v>Qty</v>
      </c>
      <c r="BY88" s="1393" t="str">
        <f t="shared" si="105"/>
        <v>[Service]</v>
      </c>
      <c r="BZ88" s="1394" t="str">
        <f t="shared" si="106"/>
        <v>[Price]</v>
      </c>
      <c r="CA88" s="1401" t="str">
        <f>IFERROR((S88/R88-1)*(R89/R$13),"-")</f>
        <v>-</v>
      </c>
      <c r="CB88" s="1395" t="str">
        <f>IFERROR((T88/S88-1)*(S89/S$13),"-")</f>
        <v>-</v>
      </c>
      <c r="CC88" s="1395" t="str">
        <f>IFERROR((U88/T88-1)*(T89/T$13),"-")</f>
        <v>-</v>
      </c>
      <c r="CD88" s="1395" t="str">
        <f>IFERROR((V88/U88-1)*(U89/U$13),"-")</f>
        <v>-</v>
      </c>
      <c r="CE88" s="1395" t="str">
        <f t="shared" ref="CE88:CR88" si="114">IFERROR((T88/S88-1)*(S89/S$13),"-")</f>
        <v>-</v>
      </c>
      <c r="CF88" s="1395" t="str">
        <f t="shared" si="114"/>
        <v>-</v>
      </c>
      <c r="CG88" s="1395" t="str">
        <f t="shared" si="114"/>
        <v>-</v>
      </c>
      <c r="CH88" s="1397" t="str">
        <f t="shared" si="114"/>
        <v>-</v>
      </c>
      <c r="CI88" s="1395" t="str">
        <f t="shared" si="114"/>
        <v>-</v>
      </c>
      <c r="CJ88" s="1395" t="str">
        <f t="shared" si="114"/>
        <v>-</v>
      </c>
      <c r="CK88" s="1395" t="str">
        <f t="shared" si="114"/>
        <v>-</v>
      </c>
      <c r="CL88" s="1395" t="str">
        <f t="shared" si="114"/>
        <v>-</v>
      </c>
      <c r="CM88" s="1397" t="str">
        <f t="shared" si="114"/>
        <v>-</v>
      </c>
      <c r="CN88" s="1395" t="str">
        <f t="shared" si="114"/>
        <v>-</v>
      </c>
      <c r="CO88" s="1395" t="str">
        <f t="shared" si="114"/>
        <v>-</v>
      </c>
      <c r="CP88" s="1395" t="str">
        <f t="shared" si="114"/>
        <v>-</v>
      </c>
      <c r="CQ88" s="1395" t="str">
        <f t="shared" si="114"/>
        <v>-</v>
      </c>
      <c r="CR88" s="1398" t="str">
        <f t="shared" si="114"/>
        <v>-</v>
      </c>
      <c r="CS88" s="1378"/>
      <c r="CT88" s="1392" t="str">
        <f t="shared" si="34"/>
        <v>Qty</v>
      </c>
      <c r="CU88" s="1393" t="str">
        <f t="shared" si="35"/>
        <v>[Service]</v>
      </c>
      <c r="CV88" s="1393" t="str">
        <f t="shared" si="36"/>
        <v>[Price]</v>
      </c>
      <c r="CW88" s="1401" t="str">
        <f t="shared" si="62"/>
        <v>-</v>
      </c>
      <c r="CX88" s="1395" t="str">
        <f t="shared" si="63"/>
        <v>-</v>
      </c>
      <c r="CY88" s="1395" t="str">
        <f t="shared" si="64"/>
        <v>-</v>
      </c>
      <c r="CZ88" s="1397" t="str">
        <f t="shared" si="65"/>
        <v>-</v>
      </c>
      <c r="DA88" s="1395" t="str">
        <f t="shared" si="66"/>
        <v>-</v>
      </c>
      <c r="DB88" s="1395" t="str">
        <f t="shared" si="67"/>
        <v>-</v>
      </c>
      <c r="DC88" s="1395" t="str">
        <f t="shared" si="68"/>
        <v>-</v>
      </c>
      <c r="DD88" s="1395" t="str">
        <f t="shared" si="69"/>
        <v>-</v>
      </c>
      <c r="DE88" s="1398" t="str">
        <f t="shared" si="70"/>
        <v>-</v>
      </c>
      <c r="DF88" s="1378"/>
      <c r="DG88" s="1392" t="str">
        <f t="shared" si="81"/>
        <v>Qty</v>
      </c>
      <c r="DH88" s="1393" t="str">
        <f t="shared" si="81"/>
        <v>[Service]</v>
      </c>
      <c r="DI88" s="1393" t="str">
        <f t="shared" si="81"/>
        <v>[Price]</v>
      </c>
      <c r="DJ88" s="1401" t="str">
        <f t="shared" si="71"/>
        <v>-</v>
      </c>
      <c r="DK88" s="1395" t="str">
        <f t="shared" si="72"/>
        <v>-</v>
      </c>
      <c r="DL88" s="1395" t="str">
        <f t="shared" si="73"/>
        <v>-</v>
      </c>
      <c r="DM88" s="1397" t="str">
        <f t="shared" si="74"/>
        <v>-</v>
      </c>
      <c r="DN88" s="1395" t="str">
        <f t="shared" si="75"/>
        <v>-</v>
      </c>
      <c r="DO88" s="1395" t="str">
        <f t="shared" si="76"/>
        <v>-</v>
      </c>
      <c r="DP88" s="1395" t="str">
        <f t="shared" si="77"/>
        <v>-</v>
      </c>
      <c r="DQ88" s="1398" t="str">
        <f t="shared" si="78"/>
        <v>-</v>
      </c>
    </row>
    <row r="89" spans="4:121" ht="12.75" thickBot="1">
      <c r="E89" s="743" t="s">
        <v>46</v>
      </c>
      <c r="F89" s="732" t="str">
        <f>+F87</f>
        <v>[Service]</v>
      </c>
      <c r="G89" s="733">
        <f>+G87</f>
        <v>0</v>
      </c>
      <c r="H89" s="733">
        <f>+H87</f>
        <v>0</v>
      </c>
      <c r="I89" s="734" t="str">
        <f>+I87</f>
        <v>[Price]</v>
      </c>
      <c r="J89" s="735" t="s">
        <v>344</v>
      </c>
      <c r="K89" s="736">
        <f t="shared" ref="K89:AG89" si="115">K87*K88/10^6</f>
        <v>0</v>
      </c>
      <c r="L89" s="737">
        <f t="shared" si="115"/>
        <v>0</v>
      </c>
      <c r="M89" s="737">
        <f t="shared" si="115"/>
        <v>0</v>
      </c>
      <c r="N89" s="738">
        <f t="shared" si="115"/>
        <v>0</v>
      </c>
      <c r="O89" s="737">
        <f t="shared" si="115"/>
        <v>0</v>
      </c>
      <c r="P89" s="738">
        <f t="shared" si="115"/>
        <v>0</v>
      </c>
      <c r="Q89" s="737">
        <f t="shared" si="115"/>
        <v>0</v>
      </c>
      <c r="R89" s="737">
        <f t="shared" si="115"/>
        <v>0</v>
      </c>
      <c r="S89" s="737">
        <f t="shared" si="115"/>
        <v>0</v>
      </c>
      <c r="T89" s="737">
        <f t="shared" si="115"/>
        <v>0</v>
      </c>
      <c r="U89" s="737">
        <f t="shared" si="115"/>
        <v>0</v>
      </c>
      <c r="V89" s="737">
        <f t="shared" si="115"/>
        <v>0</v>
      </c>
      <c r="W89" s="737">
        <f t="shared" si="115"/>
        <v>0</v>
      </c>
      <c r="X89" s="738">
        <f t="shared" si="115"/>
        <v>0</v>
      </c>
      <c r="Y89" s="737">
        <f t="shared" si="115"/>
        <v>0</v>
      </c>
      <c r="Z89" s="737">
        <f t="shared" si="115"/>
        <v>0</v>
      </c>
      <c r="AA89" s="737">
        <f t="shared" si="115"/>
        <v>0</v>
      </c>
      <c r="AB89" s="737">
        <f t="shared" si="115"/>
        <v>0</v>
      </c>
      <c r="AC89" s="738">
        <f t="shared" si="115"/>
        <v>0</v>
      </c>
      <c r="AD89" s="737">
        <f t="shared" si="115"/>
        <v>0</v>
      </c>
      <c r="AE89" s="737">
        <f t="shared" si="115"/>
        <v>0</v>
      </c>
      <c r="AF89" s="737">
        <f t="shared" si="115"/>
        <v>0</v>
      </c>
      <c r="AG89" s="739">
        <f t="shared" si="115"/>
        <v>0</v>
      </c>
      <c r="AH89" s="823"/>
      <c r="AI89" s="744"/>
      <c r="AJ89" s="741"/>
      <c r="AK89" s="729"/>
      <c r="AL89" s="729"/>
      <c r="AM89" s="729"/>
      <c r="AN89" s="729"/>
      <c r="AO89" s="730"/>
      <c r="AP89" s="74"/>
      <c r="AQ89" s="74"/>
      <c r="AR89" s="74"/>
      <c r="AS89" s="106"/>
      <c r="AW89" s="1428" t="str">
        <f t="shared" si="79"/>
        <v>Rev</v>
      </c>
      <c r="AX89" s="1429" t="str">
        <f t="shared" si="41"/>
        <v>[Service]</v>
      </c>
      <c r="AY89" s="1430" t="str">
        <f t="shared" si="42"/>
        <v>[Price]</v>
      </c>
      <c r="AZ89" s="1431" t="str">
        <f t="shared" si="108"/>
        <v>-</v>
      </c>
      <c r="BA89" s="1431" t="str">
        <f t="shared" si="108"/>
        <v>-</v>
      </c>
      <c r="BB89" s="1431" t="str">
        <f t="shared" si="108"/>
        <v>-</v>
      </c>
      <c r="BC89" s="1431" t="str">
        <f t="shared" si="108"/>
        <v>-</v>
      </c>
      <c r="BD89" s="1431" t="str">
        <f t="shared" si="44"/>
        <v>-</v>
      </c>
      <c r="BE89" s="1431" t="str">
        <f t="shared" si="45"/>
        <v>-</v>
      </c>
      <c r="BF89" s="1431" t="str">
        <f t="shared" si="46"/>
        <v>-</v>
      </c>
      <c r="BG89" s="1432" t="str">
        <f t="shared" si="47"/>
        <v>-</v>
      </c>
      <c r="BH89" s="1431" t="str">
        <f t="shared" si="48"/>
        <v>-</v>
      </c>
      <c r="BI89" s="1431" t="str">
        <f t="shared" si="49"/>
        <v>-</v>
      </c>
      <c r="BJ89" s="1431" t="str">
        <f t="shared" si="50"/>
        <v>-</v>
      </c>
      <c r="BK89" s="1431" t="str">
        <f t="shared" si="51"/>
        <v>-</v>
      </c>
      <c r="BL89" s="1433" t="str">
        <f t="shared" si="52"/>
        <v>-</v>
      </c>
      <c r="BM89" s="1431" t="str">
        <f t="shared" si="53"/>
        <v>-</v>
      </c>
      <c r="BN89" s="1431" t="str">
        <f t="shared" si="54"/>
        <v>-</v>
      </c>
      <c r="BO89" s="1431" t="str">
        <f t="shared" si="55"/>
        <v>-</v>
      </c>
      <c r="BP89" s="1431" t="str">
        <f t="shared" si="56"/>
        <v>-</v>
      </c>
      <c r="BQ89" s="1434" t="str">
        <f t="shared" si="57"/>
        <v>-</v>
      </c>
      <c r="BR89" s="1378"/>
      <c r="BS89" s="1407"/>
      <c r="BT89" s="1408"/>
      <c r="BU89" s="1409"/>
      <c r="BV89" s="1410"/>
      <c r="BW89" s="1378"/>
      <c r="BX89" s="1428" t="str">
        <f t="shared" si="58"/>
        <v>Rev</v>
      </c>
      <c r="BY89" s="1429" t="str">
        <f t="shared" si="105"/>
        <v>[Service]</v>
      </c>
      <c r="BZ89" s="1430" t="str">
        <f t="shared" si="106"/>
        <v>[Price]</v>
      </c>
      <c r="CA89" s="1435" t="str">
        <f>IFERROR((S89/R89-1)*(R89/R$13),"-")</f>
        <v>-</v>
      </c>
      <c r="CB89" s="1431" t="str">
        <f>IFERROR((T89/S89-1)*(S89/S$13),"-")</f>
        <v>-</v>
      </c>
      <c r="CC89" s="1431" t="str">
        <f>IFERROR((U89/T89-1)*(T89/T$13),"-")</f>
        <v>-</v>
      </c>
      <c r="CD89" s="1431" t="str">
        <f>IFERROR((V89/U89-1)*(U89/U$13),"-")</f>
        <v>-</v>
      </c>
      <c r="CE89" s="1431" t="str">
        <f t="shared" ref="CE89:CR89" si="116">IFERROR((T89/S89-1)*(S89/S$13),"-")</f>
        <v>-</v>
      </c>
      <c r="CF89" s="1431" t="str">
        <f t="shared" si="116"/>
        <v>-</v>
      </c>
      <c r="CG89" s="1431" t="str">
        <f t="shared" si="116"/>
        <v>-</v>
      </c>
      <c r="CH89" s="1433" t="str">
        <f t="shared" si="116"/>
        <v>-</v>
      </c>
      <c r="CI89" s="1431" t="str">
        <f t="shared" si="116"/>
        <v>-</v>
      </c>
      <c r="CJ89" s="1431" t="str">
        <f t="shared" si="116"/>
        <v>-</v>
      </c>
      <c r="CK89" s="1431" t="str">
        <f t="shared" si="116"/>
        <v>-</v>
      </c>
      <c r="CL89" s="1431" t="str">
        <f t="shared" si="116"/>
        <v>-</v>
      </c>
      <c r="CM89" s="1433" t="str">
        <f t="shared" si="116"/>
        <v>-</v>
      </c>
      <c r="CN89" s="1431" t="str">
        <f t="shared" si="116"/>
        <v>-</v>
      </c>
      <c r="CO89" s="1431" t="str">
        <f t="shared" si="116"/>
        <v>-</v>
      </c>
      <c r="CP89" s="1431" t="str">
        <f t="shared" si="116"/>
        <v>-</v>
      </c>
      <c r="CQ89" s="1431" t="str">
        <f t="shared" si="116"/>
        <v>-</v>
      </c>
      <c r="CR89" s="1434" t="str">
        <f t="shared" si="116"/>
        <v>-</v>
      </c>
      <c r="CS89" s="1378"/>
      <c r="CT89" s="1428" t="str">
        <f t="shared" si="34"/>
        <v>Rev</v>
      </c>
      <c r="CU89" s="1429" t="str">
        <f t="shared" si="35"/>
        <v>[Service]</v>
      </c>
      <c r="CV89" s="1429" t="str">
        <f t="shared" si="36"/>
        <v>[Price]</v>
      </c>
      <c r="CW89" s="1435" t="str">
        <f t="shared" si="62"/>
        <v>-</v>
      </c>
      <c r="CX89" s="1431" t="str">
        <f t="shared" si="63"/>
        <v>-</v>
      </c>
      <c r="CY89" s="1431" t="str">
        <f t="shared" si="64"/>
        <v>-</v>
      </c>
      <c r="CZ89" s="1433" t="str">
        <f t="shared" si="65"/>
        <v>-</v>
      </c>
      <c r="DA89" s="1431" t="str">
        <f t="shared" si="66"/>
        <v>-</v>
      </c>
      <c r="DB89" s="1431" t="str">
        <f t="shared" si="67"/>
        <v>-</v>
      </c>
      <c r="DC89" s="1431" t="str">
        <f t="shared" si="68"/>
        <v>-</v>
      </c>
      <c r="DD89" s="1431" t="str">
        <f t="shared" si="69"/>
        <v>-</v>
      </c>
      <c r="DE89" s="1434" t="str">
        <f t="shared" si="70"/>
        <v>-</v>
      </c>
      <c r="DF89" s="1378"/>
      <c r="DG89" s="1428" t="str">
        <f t="shared" si="81"/>
        <v>Rev</v>
      </c>
      <c r="DH89" s="1429" t="str">
        <f t="shared" si="81"/>
        <v>[Service]</v>
      </c>
      <c r="DI89" s="1429" t="str">
        <f t="shared" si="81"/>
        <v>[Price]</v>
      </c>
      <c r="DJ89" s="1435" t="str">
        <f t="shared" si="71"/>
        <v>-</v>
      </c>
      <c r="DK89" s="1431" t="str">
        <f t="shared" si="72"/>
        <v>-</v>
      </c>
      <c r="DL89" s="1431" t="str">
        <f t="shared" si="73"/>
        <v>-</v>
      </c>
      <c r="DM89" s="1433" t="str">
        <f t="shared" si="74"/>
        <v>-</v>
      </c>
      <c r="DN89" s="1431" t="str">
        <f t="shared" si="75"/>
        <v>-</v>
      </c>
      <c r="DO89" s="1431" t="str">
        <f t="shared" si="76"/>
        <v>-</v>
      </c>
      <c r="DP89" s="1431" t="str">
        <f t="shared" si="77"/>
        <v>-</v>
      </c>
      <c r="DQ89" s="1434" t="str">
        <f t="shared" si="78"/>
        <v>-</v>
      </c>
    </row>
    <row r="90" spans="4:121">
      <c r="D90" s="70">
        <f>D87+1</f>
        <v>8</v>
      </c>
      <c r="E90" s="713" t="s">
        <v>44</v>
      </c>
      <c r="F90" s="789" t="s">
        <v>27</v>
      </c>
      <c r="G90" s="789"/>
      <c r="H90" s="789"/>
      <c r="I90" s="781" t="s">
        <v>318</v>
      </c>
      <c r="J90" s="781" t="s">
        <v>345</v>
      </c>
      <c r="K90" s="714"/>
      <c r="L90" s="715"/>
      <c r="M90" s="715"/>
      <c r="N90" s="716"/>
      <c r="O90" s="783"/>
      <c r="P90" s="784"/>
      <c r="Q90" s="783"/>
      <c r="R90" s="783"/>
      <c r="S90" s="783"/>
      <c r="T90" s="783"/>
      <c r="U90" s="783"/>
      <c r="V90" s="783"/>
      <c r="W90" s="783"/>
      <c r="X90" s="784"/>
      <c r="Y90" s="783"/>
      <c r="Z90" s="783"/>
      <c r="AA90" s="783"/>
      <c r="AB90" s="783"/>
      <c r="AC90" s="784"/>
      <c r="AD90" s="783"/>
      <c r="AE90" s="783"/>
      <c r="AF90" s="783"/>
      <c r="AG90" s="785"/>
      <c r="AI90" s="702"/>
      <c r="AJ90" s="717" t="str">
        <f t="shared" ref="AJ90:AS90" si="117">IFERROR((X90-W90)/W90,"")</f>
        <v/>
      </c>
      <c r="AK90" s="718" t="str">
        <f t="shared" si="117"/>
        <v/>
      </c>
      <c r="AL90" s="718" t="str">
        <f t="shared" si="117"/>
        <v/>
      </c>
      <c r="AM90" s="718" t="str">
        <f t="shared" si="117"/>
        <v/>
      </c>
      <c r="AN90" s="718" t="str">
        <f t="shared" si="117"/>
        <v/>
      </c>
      <c r="AO90" s="719" t="str">
        <f t="shared" si="117"/>
        <v/>
      </c>
      <c r="AP90" s="494" t="str">
        <f t="shared" si="117"/>
        <v/>
      </c>
      <c r="AQ90" s="494" t="str">
        <f t="shared" si="117"/>
        <v/>
      </c>
      <c r="AR90" s="494" t="str">
        <f t="shared" si="117"/>
        <v/>
      </c>
      <c r="AS90" s="720" t="str">
        <f t="shared" si="117"/>
        <v/>
      </c>
      <c r="AU90" s="1369"/>
      <c r="AW90" s="1412" t="str">
        <f t="shared" si="79"/>
        <v>Price</v>
      </c>
      <c r="AX90" s="1413" t="str">
        <f t="shared" si="41"/>
        <v>[Service]</v>
      </c>
      <c r="AY90" s="1414" t="str">
        <f t="shared" si="42"/>
        <v>[Price]</v>
      </c>
      <c r="AZ90" s="1415" t="str">
        <f t="shared" si="108"/>
        <v>-</v>
      </c>
      <c r="BA90" s="1415" t="str">
        <f t="shared" si="108"/>
        <v>-</v>
      </c>
      <c r="BB90" s="1415" t="str">
        <f t="shared" si="108"/>
        <v>-</v>
      </c>
      <c r="BC90" s="1415" t="str">
        <f t="shared" si="108"/>
        <v>-</v>
      </c>
      <c r="BD90" s="1415" t="str">
        <f t="shared" si="44"/>
        <v>-</v>
      </c>
      <c r="BE90" s="1415" t="str">
        <f t="shared" si="45"/>
        <v>-</v>
      </c>
      <c r="BF90" s="1415" t="str">
        <f t="shared" si="46"/>
        <v>-</v>
      </c>
      <c r="BG90" s="1416" t="str">
        <f t="shared" si="47"/>
        <v>-</v>
      </c>
      <c r="BH90" s="1417" t="str">
        <f t="shared" si="48"/>
        <v>-</v>
      </c>
      <c r="BI90" s="1417" t="str">
        <f t="shared" si="49"/>
        <v>-</v>
      </c>
      <c r="BJ90" s="1417" t="str">
        <f t="shared" si="50"/>
        <v>-</v>
      </c>
      <c r="BK90" s="1417" t="str">
        <f t="shared" si="51"/>
        <v>-</v>
      </c>
      <c r="BL90" s="1418" t="str">
        <f t="shared" si="52"/>
        <v>-</v>
      </c>
      <c r="BM90" s="1417" t="str">
        <f t="shared" si="53"/>
        <v>-</v>
      </c>
      <c r="BN90" s="1417" t="str">
        <f t="shared" si="54"/>
        <v>-</v>
      </c>
      <c r="BO90" s="1417" t="str">
        <f t="shared" si="55"/>
        <v>-</v>
      </c>
      <c r="BP90" s="1417" t="str">
        <f t="shared" si="56"/>
        <v>-</v>
      </c>
      <c r="BQ90" s="1419" t="str">
        <f t="shared" si="57"/>
        <v>-</v>
      </c>
      <c r="BR90" s="1378"/>
      <c r="BS90" s="1420"/>
      <c r="BT90" s="1421"/>
      <c r="BU90" s="1422"/>
      <c r="BV90" s="1423"/>
      <c r="BW90" s="1378"/>
      <c r="BX90" s="1412" t="str">
        <f t="shared" si="58"/>
        <v>Price</v>
      </c>
      <c r="BY90" s="1413" t="str">
        <f t="shared" si="105"/>
        <v>[Service]</v>
      </c>
      <c r="BZ90" s="1414" t="str">
        <f t="shared" si="106"/>
        <v>[Price]</v>
      </c>
      <c r="CA90" s="1424" t="str">
        <f>IFERROR((S90/R90-1)*(R92/R$13),"-")</f>
        <v>-</v>
      </c>
      <c r="CB90" s="1415" t="str">
        <f>IFERROR((T90/S90-1)*(S92/S$13),"-")</f>
        <v>-</v>
      </c>
      <c r="CC90" s="1415" t="str">
        <f>IFERROR((U90/T90-1)*(T92/T$13),"-")</f>
        <v>-</v>
      </c>
      <c r="CD90" s="1415" t="str">
        <f>IFERROR((V90/U90-1)*(U92/U$13),"-")</f>
        <v>-</v>
      </c>
      <c r="CE90" s="1415" t="str">
        <f t="shared" ref="CE90:CR90" si="118">IFERROR((T90/S90-1)*(S92/S$13),"-")</f>
        <v>-</v>
      </c>
      <c r="CF90" s="1415" t="str">
        <f t="shared" si="118"/>
        <v>-</v>
      </c>
      <c r="CG90" s="1415" t="str">
        <f t="shared" si="118"/>
        <v>-</v>
      </c>
      <c r="CH90" s="1425" t="str">
        <f t="shared" si="118"/>
        <v>-</v>
      </c>
      <c r="CI90" s="1417" t="str">
        <f t="shared" si="118"/>
        <v>-</v>
      </c>
      <c r="CJ90" s="1417" t="str">
        <f t="shared" si="118"/>
        <v>-</v>
      </c>
      <c r="CK90" s="1417" t="str">
        <f t="shared" si="118"/>
        <v>-</v>
      </c>
      <c r="CL90" s="1417" t="str">
        <f t="shared" si="118"/>
        <v>-</v>
      </c>
      <c r="CM90" s="1418" t="str">
        <f t="shared" si="118"/>
        <v>-</v>
      </c>
      <c r="CN90" s="1417" t="str">
        <f t="shared" si="118"/>
        <v>-</v>
      </c>
      <c r="CO90" s="1417" t="str">
        <f t="shared" si="118"/>
        <v>-</v>
      </c>
      <c r="CP90" s="1417" t="str">
        <f t="shared" si="118"/>
        <v>-</v>
      </c>
      <c r="CQ90" s="1417" t="str">
        <f t="shared" si="118"/>
        <v>-</v>
      </c>
      <c r="CR90" s="1419" t="str">
        <f t="shared" si="118"/>
        <v>-</v>
      </c>
      <c r="CS90" s="1378"/>
      <c r="CT90" s="1412" t="str">
        <f t="shared" si="34"/>
        <v>Price</v>
      </c>
      <c r="CU90" s="1413" t="str">
        <f t="shared" si="35"/>
        <v>[Service]</v>
      </c>
      <c r="CV90" s="1426" t="str">
        <f t="shared" si="36"/>
        <v>[Price]</v>
      </c>
      <c r="CW90" s="1427" t="str">
        <f t="shared" si="62"/>
        <v>-</v>
      </c>
      <c r="CX90" s="1417" t="str">
        <f t="shared" si="63"/>
        <v>-</v>
      </c>
      <c r="CY90" s="1417" t="str">
        <f t="shared" si="64"/>
        <v>-</v>
      </c>
      <c r="CZ90" s="1418" t="str">
        <f t="shared" si="65"/>
        <v>-</v>
      </c>
      <c r="DA90" s="1417" t="str">
        <f t="shared" si="66"/>
        <v>-</v>
      </c>
      <c r="DB90" s="1417" t="str">
        <f t="shared" si="67"/>
        <v>-</v>
      </c>
      <c r="DC90" s="1417" t="str">
        <f t="shared" si="68"/>
        <v>-</v>
      </c>
      <c r="DD90" s="1417" t="str">
        <f t="shared" si="69"/>
        <v>-</v>
      </c>
      <c r="DE90" s="1419" t="str">
        <f t="shared" si="70"/>
        <v>-</v>
      </c>
      <c r="DF90" s="1378"/>
      <c r="DG90" s="1412" t="str">
        <f t="shared" si="81"/>
        <v>Price</v>
      </c>
      <c r="DH90" s="1413" t="str">
        <f t="shared" si="81"/>
        <v>[Service]</v>
      </c>
      <c r="DI90" s="1426" t="str">
        <f t="shared" si="81"/>
        <v>[Price]</v>
      </c>
      <c r="DJ90" s="1427" t="str">
        <f t="shared" si="71"/>
        <v>-</v>
      </c>
      <c r="DK90" s="1417" t="str">
        <f t="shared" si="72"/>
        <v>-</v>
      </c>
      <c r="DL90" s="1417" t="str">
        <f t="shared" si="73"/>
        <v>-</v>
      </c>
      <c r="DM90" s="1418" t="str">
        <f t="shared" si="74"/>
        <v>-</v>
      </c>
      <c r="DN90" s="1417" t="str">
        <f t="shared" si="75"/>
        <v>-</v>
      </c>
      <c r="DO90" s="1417" t="str">
        <f t="shared" si="76"/>
        <v>-</v>
      </c>
      <c r="DP90" s="1417" t="str">
        <f t="shared" si="77"/>
        <v>-</v>
      </c>
      <c r="DQ90" s="1419" t="str">
        <f t="shared" si="78"/>
        <v>-</v>
      </c>
    </row>
    <row r="91" spans="4:121">
      <c r="E91" s="742" t="s">
        <v>45</v>
      </c>
      <c r="F91" s="722" t="str">
        <f>+F90</f>
        <v>[Service]</v>
      </c>
      <c r="G91" s="723">
        <f>+G90</f>
        <v>0</v>
      </c>
      <c r="H91" s="723">
        <f>+H90</f>
        <v>0</v>
      </c>
      <c r="I91" s="724" t="str">
        <f>+I90</f>
        <v>[Price]</v>
      </c>
      <c r="J91" s="782" t="s">
        <v>322</v>
      </c>
      <c r="K91" s="725"/>
      <c r="L91" s="726"/>
      <c r="M91" s="726"/>
      <c r="N91" s="727"/>
      <c r="O91" s="786"/>
      <c r="P91" s="787"/>
      <c r="Q91" s="786"/>
      <c r="R91" s="786"/>
      <c r="S91" s="786"/>
      <c r="T91" s="786"/>
      <c r="U91" s="786"/>
      <c r="V91" s="786"/>
      <c r="W91" s="786"/>
      <c r="X91" s="787"/>
      <c r="Y91" s="786"/>
      <c r="Z91" s="786"/>
      <c r="AA91" s="786"/>
      <c r="AB91" s="786"/>
      <c r="AC91" s="787"/>
      <c r="AD91" s="786"/>
      <c r="AE91" s="786"/>
      <c r="AF91" s="786"/>
      <c r="AG91" s="788"/>
      <c r="AH91" s="823"/>
      <c r="AI91" s="702"/>
      <c r="AJ91" s="728"/>
      <c r="AK91" s="729"/>
      <c r="AL91" s="729"/>
      <c r="AM91" s="729"/>
      <c r="AN91" s="729"/>
      <c r="AO91" s="730"/>
      <c r="AP91" s="74"/>
      <c r="AQ91" s="74"/>
      <c r="AR91" s="74"/>
      <c r="AS91" s="106"/>
      <c r="AW91" s="1392" t="str">
        <f t="shared" si="79"/>
        <v>Qty</v>
      </c>
      <c r="AX91" s="1393" t="str">
        <f t="shared" si="41"/>
        <v>[Service]</v>
      </c>
      <c r="AY91" s="1394" t="str">
        <f t="shared" si="42"/>
        <v>[Price]</v>
      </c>
      <c r="AZ91" s="1395" t="str">
        <f t="shared" si="108"/>
        <v>-</v>
      </c>
      <c r="BA91" s="1395" t="str">
        <f t="shared" si="108"/>
        <v>-</v>
      </c>
      <c r="BB91" s="1395" t="str">
        <f t="shared" si="108"/>
        <v>-</v>
      </c>
      <c r="BC91" s="1395" t="str">
        <f t="shared" si="108"/>
        <v>-</v>
      </c>
      <c r="BD91" s="1395" t="str">
        <f t="shared" si="44"/>
        <v>-</v>
      </c>
      <c r="BE91" s="1395" t="str">
        <f t="shared" si="45"/>
        <v>-</v>
      </c>
      <c r="BF91" s="1395" t="str">
        <f t="shared" si="46"/>
        <v>-</v>
      </c>
      <c r="BG91" s="1396" t="str">
        <f t="shared" si="47"/>
        <v>-</v>
      </c>
      <c r="BH91" s="1395" t="str">
        <f t="shared" si="48"/>
        <v>-</v>
      </c>
      <c r="BI91" s="1395" t="str">
        <f t="shared" si="49"/>
        <v>-</v>
      </c>
      <c r="BJ91" s="1395" t="str">
        <f t="shared" si="50"/>
        <v>-</v>
      </c>
      <c r="BK91" s="1395" t="str">
        <f t="shared" si="51"/>
        <v>-</v>
      </c>
      <c r="BL91" s="1397" t="str">
        <f t="shared" si="52"/>
        <v>-</v>
      </c>
      <c r="BM91" s="1395" t="str">
        <f t="shared" si="53"/>
        <v>-</v>
      </c>
      <c r="BN91" s="1395" t="str">
        <f t="shared" si="54"/>
        <v>-</v>
      </c>
      <c r="BO91" s="1395" t="str">
        <f t="shared" si="55"/>
        <v>-</v>
      </c>
      <c r="BP91" s="1395" t="str">
        <f t="shared" si="56"/>
        <v>-</v>
      </c>
      <c r="BQ91" s="1398" t="str">
        <f t="shared" si="57"/>
        <v>-</v>
      </c>
      <c r="BR91" s="1378"/>
      <c r="BS91" s="1329"/>
      <c r="BT91" s="1399"/>
      <c r="BU91" s="1331"/>
      <c r="BV91" s="1400"/>
      <c r="BW91" s="1378"/>
      <c r="BX91" s="1392" t="str">
        <f t="shared" si="58"/>
        <v>Qty</v>
      </c>
      <c r="BY91" s="1393" t="str">
        <f t="shared" si="105"/>
        <v>[Service]</v>
      </c>
      <c r="BZ91" s="1394" t="str">
        <f t="shared" si="106"/>
        <v>[Price]</v>
      </c>
      <c r="CA91" s="1401" t="str">
        <f>IFERROR((S91/R91-1)*(R92/R$13),"-")</f>
        <v>-</v>
      </c>
      <c r="CB91" s="1395" t="str">
        <f>IFERROR((T91/S91-1)*(S92/S$13),"-")</f>
        <v>-</v>
      </c>
      <c r="CC91" s="1395" t="str">
        <f>IFERROR((U91/T91-1)*(T92/T$13),"-")</f>
        <v>-</v>
      </c>
      <c r="CD91" s="1395" t="str">
        <f>IFERROR((V91/U91-1)*(U92/U$13),"-")</f>
        <v>-</v>
      </c>
      <c r="CE91" s="1395" t="str">
        <f t="shared" ref="CE91:CR91" si="119">IFERROR((T91/S91-1)*(S92/S$13),"-")</f>
        <v>-</v>
      </c>
      <c r="CF91" s="1395" t="str">
        <f t="shared" si="119"/>
        <v>-</v>
      </c>
      <c r="CG91" s="1395" t="str">
        <f t="shared" si="119"/>
        <v>-</v>
      </c>
      <c r="CH91" s="1397" t="str">
        <f t="shared" si="119"/>
        <v>-</v>
      </c>
      <c r="CI91" s="1395" t="str">
        <f t="shared" si="119"/>
        <v>-</v>
      </c>
      <c r="CJ91" s="1395" t="str">
        <f t="shared" si="119"/>
        <v>-</v>
      </c>
      <c r="CK91" s="1395" t="str">
        <f t="shared" si="119"/>
        <v>-</v>
      </c>
      <c r="CL91" s="1395" t="str">
        <f t="shared" si="119"/>
        <v>-</v>
      </c>
      <c r="CM91" s="1397" t="str">
        <f t="shared" si="119"/>
        <v>-</v>
      </c>
      <c r="CN91" s="1395" t="str">
        <f t="shared" si="119"/>
        <v>-</v>
      </c>
      <c r="CO91" s="1395" t="str">
        <f t="shared" si="119"/>
        <v>-</v>
      </c>
      <c r="CP91" s="1395" t="str">
        <f t="shared" si="119"/>
        <v>-</v>
      </c>
      <c r="CQ91" s="1395" t="str">
        <f t="shared" si="119"/>
        <v>-</v>
      </c>
      <c r="CR91" s="1398" t="str">
        <f t="shared" si="119"/>
        <v>-</v>
      </c>
      <c r="CS91" s="1378"/>
      <c r="CT91" s="1392" t="str">
        <f t="shared" si="34"/>
        <v>Qty</v>
      </c>
      <c r="CU91" s="1393" t="str">
        <f t="shared" si="35"/>
        <v>[Service]</v>
      </c>
      <c r="CV91" s="1393" t="str">
        <f t="shared" si="36"/>
        <v>[Price]</v>
      </c>
      <c r="CW91" s="1401" t="str">
        <f t="shared" si="62"/>
        <v>-</v>
      </c>
      <c r="CX91" s="1395" t="str">
        <f t="shared" si="63"/>
        <v>-</v>
      </c>
      <c r="CY91" s="1395" t="str">
        <f t="shared" si="64"/>
        <v>-</v>
      </c>
      <c r="CZ91" s="1397" t="str">
        <f t="shared" si="65"/>
        <v>-</v>
      </c>
      <c r="DA91" s="1395" t="str">
        <f t="shared" si="66"/>
        <v>-</v>
      </c>
      <c r="DB91" s="1395" t="str">
        <f t="shared" si="67"/>
        <v>-</v>
      </c>
      <c r="DC91" s="1395" t="str">
        <f t="shared" si="68"/>
        <v>-</v>
      </c>
      <c r="DD91" s="1395" t="str">
        <f t="shared" si="69"/>
        <v>-</v>
      </c>
      <c r="DE91" s="1398" t="str">
        <f t="shared" si="70"/>
        <v>-</v>
      </c>
      <c r="DF91" s="1378"/>
      <c r="DG91" s="1392" t="str">
        <f t="shared" si="81"/>
        <v>Qty</v>
      </c>
      <c r="DH91" s="1393" t="str">
        <f t="shared" si="81"/>
        <v>[Service]</v>
      </c>
      <c r="DI91" s="1393" t="str">
        <f t="shared" si="81"/>
        <v>[Price]</v>
      </c>
      <c r="DJ91" s="1401" t="str">
        <f t="shared" si="71"/>
        <v>-</v>
      </c>
      <c r="DK91" s="1395" t="str">
        <f t="shared" si="72"/>
        <v>-</v>
      </c>
      <c r="DL91" s="1395" t="str">
        <f t="shared" si="73"/>
        <v>-</v>
      </c>
      <c r="DM91" s="1397" t="str">
        <f t="shared" si="74"/>
        <v>-</v>
      </c>
      <c r="DN91" s="1395" t="str">
        <f t="shared" si="75"/>
        <v>-</v>
      </c>
      <c r="DO91" s="1395" t="str">
        <f t="shared" si="76"/>
        <v>-</v>
      </c>
      <c r="DP91" s="1395" t="str">
        <f t="shared" si="77"/>
        <v>-</v>
      </c>
      <c r="DQ91" s="1398" t="str">
        <f t="shared" si="78"/>
        <v>-</v>
      </c>
    </row>
    <row r="92" spans="4:121" ht="12.75" thickBot="1">
      <c r="E92" s="743" t="s">
        <v>46</v>
      </c>
      <c r="F92" s="732" t="str">
        <f>+F90</f>
        <v>[Service]</v>
      </c>
      <c r="G92" s="733">
        <f>+G90</f>
        <v>0</v>
      </c>
      <c r="H92" s="733">
        <f>+H90</f>
        <v>0</v>
      </c>
      <c r="I92" s="734" t="str">
        <f>+I90</f>
        <v>[Price]</v>
      </c>
      <c r="J92" s="735" t="s">
        <v>344</v>
      </c>
      <c r="K92" s="736">
        <f t="shared" ref="K92:AG92" si="120">K90*K91/10^6</f>
        <v>0</v>
      </c>
      <c r="L92" s="737">
        <f t="shared" si="120"/>
        <v>0</v>
      </c>
      <c r="M92" s="737">
        <f t="shared" si="120"/>
        <v>0</v>
      </c>
      <c r="N92" s="738">
        <f t="shared" si="120"/>
        <v>0</v>
      </c>
      <c r="O92" s="737">
        <f t="shared" si="120"/>
        <v>0</v>
      </c>
      <c r="P92" s="738">
        <f t="shared" si="120"/>
        <v>0</v>
      </c>
      <c r="Q92" s="737">
        <f t="shared" si="120"/>
        <v>0</v>
      </c>
      <c r="R92" s="737">
        <f t="shared" si="120"/>
        <v>0</v>
      </c>
      <c r="S92" s="737">
        <f t="shared" si="120"/>
        <v>0</v>
      </c>
      <c r="T92" s="737">
        <f t="shared" si="120"/>
        <v>0</v>
      </c>
      <c r="U92" s="737">
        <f t="shared" si="120"/>
        <v>0</v>
      </c>
      <c r="V92" s="737">
        <f t="shared" si="120"/>
        <v>0</v>
      </c>
      <c r="W92" s="737">
        <f t="shared" si="120"/>
        <v>0</v>
      </c>
      <c r="X92" s="738">
        <f t="shared" si="120"/>
        <v>0</v>
      </c>
      <c r="Y92" s="737">
        <f t="shared" si="120"/>
        <v>0</v>
      </c>
      <c r="Z92" s="737">
        <f t="shared" si="120"/>
        <v>0</v>
      </c>
      <c r="AA92" s="737">
        <f t="shared" si="120"/>
        <v>0</v>
      </c>
      <c r="AB92" s="737">
        <f t="shared" si="120"/>
        <v>0</v>
      </c>
      <c r="AC92" s="738">
        <f t="shared" si="120"/>
        <v>0</v>
      </c>
      <c r="AD92" s="737">
        <f t="shared" si="120"/>
        <v>0</v>
      </c>
      <c r="AE92" s="737">
        <f t="shared" si="120"/>
        <v>0</v>
      </c>
      <c r="AF92" s="737">
        <f t="shared" si="120"/>
        <v>0</v>
      </c>
      <c r="AG92" s="739">
        <f t="shared" si="120"/>
        <v>0</v>
      </c>
      <c r="AH92" s="823"/>
      <c r="AI92" s="744"/>
      <c r="AJ92" s="741"/>
      <c r="AK92" s="729"/>
      <c r="AL92" s="729"/>
      <c r="AM92" s="729"/>
      <c r="AN92" s="729"/>
      <c r="AO92" s="730"/>
      <c r="AP92" s="74"/>
      <c r="AQ92" s="74"/>
      <c r="AR92" s="74"/>
      <c r="AS92" s="106"/>
      <c r="AW92" s="1428" t="str">
        <f t="shared" si="79"/>
        <v>Rev</v>
      </c>
      <c r="AX92" s="1429" t="str">
        <f t="shared" si="41"/>
        <v>[Service]</v>
      </c>
      <c r="AY92" s="1430" t="str">
        <f t="shared" si="42"/>
        <v>[Price]</v>
      </c>
      <c r="AZ92" s="1431" t="str">
        <f t="shared" si="108"/>
        <v>-</v>
      </c>
      <c r="BA92" s="1431" t="str">
        <f t="shared" si="108"/>
        <v>-</v>
      </c>
      <c r="BB92" s="1431" t="str">
        <f t="shared" si="108"/>
        <v>-</v>
      </c>
      <c r="BC92" s="1431" t="str">
        <f t="shared" si="108"/>
        <v>-</v>
      </c>
      <c r="BD92" s="1431" t="str">
        <f t="shared" si="44"/>
        <v>-</v>
      </c>
      <c r="BE92" s="1431" t="str">
        <f t="shared" si="45"/>
        <v>-</v>
      </c>
      <c r="BF92" s="1431" t="str">
        <f t="shared" si="46"/>
        <v>-</v>
      </c>
      <c r="BG92" s="1432" t="str">
        <f t="shared" si="47"/>
        <v>-</v>
      </c>
      <c r="BH92" s="1431" t="str">
        <f t="shared" si="48"/>
        <v>-</v>
      </c>
      <c r="BI92" s="1431" t="str">
        <f t="shared" si="49"/>
        <v>-</v>
      </c>
      <c r="BJ92" s="1431" t="str">
        <f t="shared" si="50"/>
        <v>-</v>
      </c>
      <c r="BK92" s="1431" t="str">
        <f t="shared" si="51"/>
        <v>-</v>
      </c>
      <c r="BL92" s="1433" t="str">
        <f t="shared" si="52"/>
        <v>-</v>
      </c>
      <c r="BM92" s="1431" t="str">
        <f t="shared" si="53"/>
        <v>-</v>
      </c>
      <c r="BN92" s="1431" t="str">
        <f t="shared" si="54"/>
        <v>-</v>
      </c>
      <c r="BO92" s="1431" t="str">
        <f t="shared" si="55"/>
        <v>-</v>
      </c>
      <c r="BP92" s="1431" t="str">
        <f t="shared" si="56"/>
        <v>-</v>
      </c>
      <c r="BQ92" s="1434" t="str">
        <f t="shared" si="57"/>
        <v>-</v>
      </c>
      <c r="BR92" s="1378"/>
      <c r="BS92" s="1407"/>
      <c r="BT92" s="1408"/>
      <c r="BU92" s="1409"/>
      <c r="BV92" s="1410"/>
      <c r="BW92" s="1378"/>
      <c r="BX92" s="1428" t="str">
        <f t="shared" si="58"/>
        <v>Rev</v>
      </c>
      <c r="BY92" s="1429" t="str">
        <f t="shared" si="105"/>
        <v>[Service]</v>
      </c>
      <c r="BZ92" s="1430" t="str">
        <f t="shared" si="106"/>
        <v>[Price]</v>
      </c>
      <c r="CA92" s="1435" t="str">
        <f>IFERROR((S92/R92-1)*(R92/R$13),"-")</f>
        <v>-</v>
      </c>
      <c r="CB92" s="1431" t="str">
        <f>IFERROR((T92/S92-1)*(S92/S$13),"-")</f>
        <v>-</v>
      </c>
      <c r="CC92" s="1431" t="str">
        <f>IFERROR((U92/T92-1)*(T92/T$13),"-")</f>
        <v>-</v>
      </c>
      <c r="CD92" s="1431" t="str">
        <f>IFERROR((V92/U92-1)*(U92/U$13),"-")</f>
        <v>-</v>
      </c>
      <c r="CE92" s="1431" t="str">
        <f t="shared" ref="CE92:CR92" si="121">IFERROR((T92/S92-1)*(S92/S$13),"-")</f>
        <v>-</v>
      </c>
      <c r="CF92" s="1431" t="str">
        <f t="shared" si="121"/>
        <v>-</v>
      </c>
      <c r="CG92" s="1431" t="str">
        <f t="shared" si="121"/>
        <v>-</v>
      </c>
      <c r="CH92" s="1433" t="str">
        <f t="shared" si="121"/>
        <v>-</v>
      </c>
      <c r="CI92" s="1431" t="str">
        <f t="shared" si="121"/>
        <v>-</v>
      </c>
      <c r="CJ92" s="1431" t="str">
        <f t="shared" si="121"/>
        <v>-</v>
      </c>
      <c r="CK92" s="1431" t="str">
        <f t="shared" si="121"/>
        <v>-</v>
      </c>
      <c r="CL92" s="1431" t="str">
        <f t="shared" si="121"/>
        <v>-</v>
      </c>
      <c r="CM92" s="1433" t="str">
        <f t="shared" si="121"/>
        <v>-</v>
      </c>
      <c r="CN92" s="1431" t="str">
        <f t="shared" si="121"/>
        <v>-</v>
      </c>
      <c r="CO92" s="1431" t="str">
        <f t="shared" si="121"/>
        <v>-</v>
      </c>
      <c r="CP92" s="1431" t="str">
        <f t="shared" si="121"/>
        <v>-</v>
      </c>
      <c r="CQ92" s="1431" t="str">
        <f t="shared" si="121"/>
        <v>-</v>
      </c>
      <c r="CR92" s="1434" t="str">
        <f t="shared" si="121"/>
        <v>-</v>
      </c>
      <c r="CS92" s="1378"/>
      <c r="CT92" s="1428" t="str">
        <f t="shared" si="34"/>
        <v>Rev</v>
      </c>
      <c r="CU92" s="1429" t="str">
        <f t="shared" si="35"/>
        <v>[Service]</v>
      </c>
      <c r="CV92" s="1429" t="str">
        <f t="shared" si="36"/>
        <v>[Price]</v>
      </c>
      <c r="CW92" s="1435" t="str">
        <f t="shared" si="62"/>
        <v>-</v>
      </c>
      <c r="CX92" s="1431" t="str">
        <f t="shared" si="63"/>
        <v>-</v>
      </c>
      <c r="CY92" s="1431" t="str">
        <f t="shared" si="64"/>
        <v>-</v>
      </c>
      <c r="CZ92" s="1433" t="str">
        <f t="shared" si="65"/>
        <v>-</v>
      </c>
      <c r="DA92" s="1431" t="str">
        <f t="shared" si="66"/>
        <v>-</v>
      </c>
      <c r="DB92" s="1431" t="str">
        <f t="shared" si="67"/>
        <v>-</v>
      </c>
      <c r="DC92" s="1431" t="str">
        <f t="shared" si="68"/>
        <v>-</v>
      </c>
      <c r="DD92" s="1431" t="str">
        <f t="shared" si="69"/>
        <v>-</v>
      </c>
      <c r="DE92" s="1434" t="str">
        <f t="shared" si="70"/>
        <v>-</v>
      </c>
      <c r="DF92" s="1378"/>
      <c r="DG92" s="1428" t="str">
        <f t="shared" si="81"/>
        <v>Rev</v>
      </c>
      <c r="DH92" s="1429" t="str">
        <f t="shared" si="81"/>
        <v>[Service]</v>
      </c>
      <c r="DI92" s="1429" t="str">
        <f t="shared" si="81"/>
        <v>[Price]</v>
      </c>
      <c r="DJ92" s="1435" t="str">
        <f t="shared" si="71"/>
        <v>-</v>
      </c>
      <c r="DK92" s="1431" t="str">
        <f t="shared" si="72"/>
        <v>-</v>
      </c>
      <c r="DL92" s="1431" t="str">
        <f t="shared" si="73"/>
        <v>-</v>
      </c>
      <c r="DM92" s="1433" t="str">
        <f t="shared" si="74"/>
        <v>-</v>
      </c>
      <c r="DN92" s="1431" t="str">
        <f t="shared" si="75"/>
        <v>-</v>
      </c>
      <c r="DO92" s="1431" t="str">
        <f t="shared" si="76"/>
        <v>-</v>
      </c>
      <c r="DP92" s="1431" t="str">
        <f t="shared" si="77"/>
        <v>-</v>
      </c>
      <c r="DQ92" s="1434" t="str">
        <f t="shared" si="78"/>
        <v>-</v>
      </c>
    </row>
    <row r="93" spans="4:121">
      <c r="D93" s="70">
        <f>D90+1</f>
        <v>9</v>
      </c>
      <c r="E93" s="713" t="s">
        <v>44</v>
      </c>
      <c r="F93" s="789" t="s">
        <v>27</v>
      </c>
      <c r="G93" s="789"/>
      <c r="H93" s="789"/>
      <c r="I93" s="781" t="s">
        <v>318</v>
      </c>
      <c r="J93" s="781" t="s">
        <v>345</v>
      </c>
      <c r="K93" s="714"/>
      <c r="L93" s="715"/>
      <c r="M93" s="715"/>
      <c r="N93" s="716"/>
      <c r="O93" s="783"/>
      <c r="P93" s="784"/>
      <c r="Q93" s="783"/>
      <c r="R93" s="783"/>
      <c r="S93" s="783"/>
      <c r="T93" s="783"/>
      <c r="U93" s="783"/>
      <c r="V93" s="783"/>
      <c r="W93" s="783"/>
      <c r="X93" s="784"/>
      <c r="Y93" s="783"/>
      <c r="Z93" s="783"/>
      <c r="AA93" s="783"/>
      <c r="AB93" s="783"/>
      <c r="AC93" s="784"/>
      <c r="AD93" s="783"/>
      <c r="AE93" s="783"/>
      <c r="AF93" s="783"/>
      <c r="AG93" s="785"/>
      <c r="AI93" s="702"/>
      <c r="AJ93" s="717" t="str">
        <f t="shared" ref="AJ93:AS93" si="122">IFERROR((X93-W93)/W93,"")</f>
        <v/>
      </c>
      <c r="AK93" s="718" t="str">
        <f t="shared" si="122"/>
        <v/>
      </c>
      <c r="AL93" s="718" t="str">
        <f t="shared" si="122"/>
        <v/>
      </c>
      <c r="AM93" s="718" t="str">
        <f t="shared" si="122"/>
        <v/>
      </c>
      <c r="AN93" s="718" t="str">
        <f t="shared" si="122"/>
        <v/>
      </c>
      <c r="AO93" s="719" t="str">
        <f t="shared" si="122"/>
        <v/>
      </c>
      <c r="AP93" s="494" t="str">
        <f t="shared" si="122"/>
        <v/>
      </c>
      <c r="AQ93" s="494" t="str">
        <f t="shared" si="122"/>
        <v/>
      </c>
      <c r="AR93" s="494" t="str">
        <f t="shared" si="122"/>
        <v/>
      </c>
      <c r="AS93" s="720" t="str">
        <f t="shared" si="122"/>
        <v/>
      </c>
      <c r="AU93" s="1369"/>
      <c r="AW93" s="1412" t="str">
        <f t="shared" si="79"/>
        <v>Price</v>
      </c>
      <c r="AX93" s="1413" t="str">
        <f t="shared" si="41"/>
        <v>[Service]</v>
      </c>
      <c r="AY93" s="1414" t="str">
        <f t="shared" si="42"/>
        <v>[Price]</v>
      </c>
      <c r="AZ93" s="1415" t="str">
        <f t="shared" si="108"/>
        <v>-</v>
      </c>
      <c r="BA93" s="1415" t="str">
        <f t="shared" si="108"/>
        <v>-</v>
      </c>
      <c r="BB93" s="1415" t="str">
        <f t="shared" si="108"/>
        <v>-</v>
      </c>
      <c r="BC93" s="1415" t="str">
        <f t="shared" si="108"/>
        <v>-</v>
      </c>
      <c r="BD93" s="1415" t="str">
        <f t="shared" si="44"/>
        <v>-</v>
      </c>
      <c r="BE93" s="1415" t="str">
        <f t="shared" si="45"/>
        <v>-</v>
      </c>
      <c r="BF93" s="1415" t="str">
        <f t="shared" si="46"/>
        <v>-</v>
      </c>
      <c r="BG93" s="1416" t="str">
        <f t="shared" si="47"/>
        <v>-</v>
      </c>
      <c r="BH93" s="1417" t="str">
        <f t="shared" si="48"/>
        <v>-</v>
      </c>
      <c r="BI93" s="1417" t="str">
        <f t="shared" si="49"/>
        <v>-</v>
      </c>
      <c r="BJ93" s="1417" t="str">
        <f t="shared" si="50"/>
        <v>-</v>
      </c>
      <c r="BK93" s="1417" t="str">
        <f t="shared" si="51"/>
        <v>-</v>
      </c>
      <c r="BL93" s="1418" t="str">
        <f t="shared" si="52"/>
        <v>-</v>
      </c>
      <c r="BM93" s="1417" t="str">
        <f t="shared" si="53"/>
        <v>-</v>
      </c>
      <c r="BN93" s="1417" t="str">
        <f t="shared" si="54"/>
        <v>-</v>
      </c>
      <c r="BO93" s="1417" t="str">
        <f t="shared" si="55"/>
        <v>-</v>
      </c>
      <c r="BP93" s="1417" t="str">
        <f t="shared" si="56"/>
        <v>-</v>
      </c>
      <c r="BQ93" s="1419" t="str">
        <f t="shared" si="57"/>
        <v>-</v>
      </c>
      <c r="BR93" s="1378"/>
      <c r="BS93" s="1420"/>
      <c r="BT93" s="1421"/>
      <c r="BU93" s="1422"/>
      <c r="BV93" s="1423"/>
      <c r="BW93" s="1378"/>
      <c r="BX93" s="1412" t="str">
        <f t="shared" si="58"/>
        <v>Price</v>
      </c>
      <c r="BY93" s="1413" t="str">
        <f t="shared" si="105"/>
        <v>[Service]</v>
      </c>
      <c r="BZ93" s="1414" t="str">
        <f t="shared" si="106"/>
        <v>[Price]</v>
      </c>
      <c r="CA93" s="1424" t="str">
        <f>IFERROR((S93/R93-1)*(R95/R$13),"-")</f>
        <v>-</v>
      </c>
      <c r="CB93" s="1415" t="str">
        <f>IFERROR((T93/S93-1)*(S95/S$13),"-")</f>
        <v>-</v>
      </c>
      <c r="CC93" s="1415" t="str">
        <f>IFERROR((U93/T93-1)*(T95/T$13),"-")</f>
        <v>-</v>
      </c>
      <c r="CD93" s="1415" t="str">
        <f>IFERROR((V93/U93-1)*(U95/U$13),"-")</f>
        <v>-</v>
      </c>
      <c r="CE93" s="1415" t="str">
        <f t="shared" ref="CE93:CR93" si="123">IFERROR((T93/S93-1)*(S95/S$13),"-")</f>
        <v>-</v>
      </c>
      <c r="CF93" s="1415" t="str">
        <f t="shared" si="123"/>
        <v>-</v>
      </c>
      <c r="CG93" s="1415" t="str">
        <f t="shared" si="123"/>
        <v>-</v>
      </c>
      <c r="CH93" s="1425" t="str">
        <f t="shared" si="123"/>
        <v>-</v>
      </c>
      <c r="CI93" s="1417" t="str">
        <f t="shared" si="123"/>
        <v>-</v>
      </c>
      <c r="CJ93" s="1417" t="str">
        <f t="shared" si="123"/>
        <v>-</v>
      </c>
      <c r="CK93" s="1417" t="str">
        <f t="shared" si="123"/>
        <v>-</v>
      </c>
      <c r="CL93" s="1417" t="str">
        <f t="shared" si="123"/>
        <v>-</v>
      </c>
      <c r="CM93" s="1418" t="str">
        <f t="shared" si="123"/>
        <v>-</v>
      </c>
      <c r="CN93" s="1417" t="str">
        <f t="shared" si="123"/>
        <v>-</v>
      </c>
      <c r="CO93" s="1417" t="str">
        <f t="shared" si="123"/>
        <v>-</v>
      </c>
      <c r="CP93" s="1417" t="str">
        <f t="shared" si="123"/>
        <v>-</v>
      </c>
      <c r="CQ93" s="1417" t="str">
        <f t="shared" si="123"/>
        <v>-</v>
      </c>
      <c r="CR93" s="1419" t="str">
        <f t="shared" si="123"/>
        <v>-</v>
      </c>
      <c r="CS93" s="1378"/>
      <c r="CT93" s="1412" t="str">
        <f t="shared" si="34"/>
        <v>Price</v>
      </c>
      <c r="CU93" s="1413" t="str">
        <f t="shared" si="35"/>
        <v>[Service]</v>
      </c>
      <c r="CV93" s="1426" t="str">
        <f t="shared" si="36"/>
        <v>[Price]</v>
      </c>
      <c r="CW93" s="1427" t="str">
        <f t="shared" si="62"/>
        <v>-</v>
      </c>
      <c r="CX93" s="1417" t="str">
        <f t="shared" si="63"/>
        <v>-</v>
      </c>
      <c r="CY93" s="1417" t="str">
        <f t="shared" si="64"/>
        <v>-</v>
      </c>
      <c r="CZ93" s="1418" t="str">
        <f t="shared" si="65"/>
        <v>-</v>
      </c>
      <c r="DA93" s="1417" t="str">
        <f t="shared" si="66"/>
        <v>-</v>
      </c>
      <c r="DB93" s="1417" t="str">
        <f t="shared" si="67"/>
        <v>-</v>
      </c>
      <c r="DC93" s="1417" t="str">
        <f t="shared" si="68"/>
        <v>-</v>
      </c>
      <c r="DD93" s="1417" t="str">
        <f t="shared" si="69"/>
        <v>-</v>
      </c>
      <c r="DE93" s="1419" t="str">
        <f t="shared" si="70"/>
        <v>-</v>
      </c>
      <c r="DF93" s="1378"/>
      <c r="DG93" s="1412" t="str">
        <f t="shared" si="81"/>
        <v>Price</v>
      </c>
      <c r="DH93" s="1413" t="str">
        <f t="shared" si="81"/>
        <v>[Service]</v>
      </c>
      <c r="DI93" s="1426" t="str">
        <f t="shared" si="81"/>
        <v>[Price]</v>
      </c>
      <c r="DJ93" s="1427" t="str">
        <f t="shared" si="71"/>
        <v>-</v>
      </c>
      <c r="DK93" s="1417" t="str">
        <f t="shared" si="72"/>
        <v>-</v>
      </c>
      <c r="DL93" s="1417" t="str">
        <f t="shared" si="73"/>
        <v>-</v>
      </c>
      <c r="DM93" s="1418" t="str">
        <f t="shared" si="74"/>
        <v>-</v>
      </c>
      <c r="DN93" s="1417" t="str">
        <f t="shared" si="75"/>
        <v>-</v>
      </c>
      <c r="DO93" s="1417" t="str">
        <f t="shared" si="76"/>
        <v>-</v>
      </c>
      <c r="DP93" s="1417" t="str">
        <f t="shared" si="77"/>
        <v>-</v>
      </c>
      <c r="DQ93" s="1419" t="str">
        <f t="shared" si="78"/>
        <v>-</v>
      </c>
    </row>
    <row r="94" spans="4:121">
      <c r="E94" s="742" t="s">
        <v>45</v>
      </c>
      <c r="F94" s="722" t="str">
        <f>+F93</f>
        <v>[Service]</v>
      </c>
      <c r="G94" s="723">
        <f>+G93</f>
        <v>0</v>
      </c>
      <c r="H94" s="723">
        <f>+H93</f>
        <v>0</v>
      </c>
      <c r="I94" s="724" t="str">
        <f>+I93</f>
        <v>[Price]</v>
      </c>
      <c r="J94" s="782" t="s">
        <v>322</v>
      </c>
      <c r="K94" s="725"/>
      <c r="L94" s="726"/>
      <c r="M94" s="726"/>
      <c r="N94" s="727"/>
      <c r="O94" s="786"/>
      <c r="P94" s="787"/>
      <c r="Q94" s="786"/>
      <c r="R94" s="786"/>
      <c r="S94" s="786"/>
      <c r="T94" s="786"/>
      <c r="U94" s="786"/>
      <c r="V94" s="786"/>
      <c r="W94" s="786"/>
      <c r="X94" s="787"/>
      <c r="Y94" s="786"/>
      <c r="Z94" s="786"/>
      <c r="AA94" s="786"/>
      <c r="AB94" s="786"/>
      <c r="AC94" s="787"/>
      <c r="AD94" s="786"/>
      <c r="AE94" s="786"/>
      <c r="AF94" s="786"/>
      <c r="AG94" s="788"/>
      <c r="AH94" s="823"/>
      <c r="AI94" s="702"/>
      <c r="AJ94" s="728"/>
      <c r="AK94" s="729"/>
      <c r="AL94" s="729"/>
      <c r="AM94" s="729"/>
      <c r="AN94" s="729"/>
      <c r="AO94" s="730"/>
      <c r="AP94" s="74"/>
      <c r="AQ94" s="74"/>
      <c r="AR94" s="74"/>
      <c r="AS94" s="106"/>
      <c r="AW94" s="1392" t="str">
        <f t="shared" si="79"/>
        <v>Qty</v>
      </c>
      <c r="AX94" s="1393" t="str">
        <f t="shared" si="41"/>
        <v>[Service]</v>
      </c>
      <c r="AY94" s="1394" t="str">
        <f t="shared" si="42"/>
        <v>[Price]</v>
      </c>
      <c r="AZ94" s="1395" t="str">
        <f t="shared" si="108"/>
        <v>-</v>
      </c>
      <c r="BA94" s="1395" t="str">
        <f t="shared" si="108"/>
        <v>-</v>
      </c>
      <c r="BB94" s="1395" t="str">
        <f t="shared" si="108"/>
        <v>-</v>
      </c>
      <c r="BC94" s="1395" t="str">
        <f t="shared" si="108"/>
        <v>-</v>
      </c>
      <c r="BD94" s="1395" t="str">
        <f t="shared" si="44"/>
        <v>-</v>
      </c>
      <c r="BE94" s="1395" t="str">
        <f t="shared" si="45"/>
        <v>-</v>
      </c>
      <c r="BF94" s="1395" t="str">
        <f t="shared" si="46"/>
        <v>-</v>
      </c>
      <c r="BG94" s="1396" t="str">
        <f t="shared" si="47"/>
        <v>-</v>
      </c>
      <c r="BH94" s="1395" t="str">
        <f t="shared" si="48"/>
        <v>-</v>
      </c>
      <c r="BI94" s="1395" t="str">
        <f t="shared" si="49"/>
        <v>-</v>
      </c>
      <c r="BJ94" s="1395" t="str">
        <f t="shared" si="50"/>
        <v>-</v>
      </c>
      <c r="BK94" s="1395" t="str">
        <f t="shared" si="51"/>
        <v>-</v>
      </c>
      <c r="BL94" s="1397" t="str">
        <f t="shared" si="52"/>
        <v>-</v>
      </c>
      <c r="BM94" s="1395" t="str">
        <f t="shared" si="53"/>
        <v>-</v>
      </c>
      <c r="BN94" s="1395" t="str">
        <f t="shared" si="54"/>
        <v>-</v>
      </c>
      <c r="BO94" s="1395" t="str">
        <f t="shared" si="55"/>
        <v>-</v>
      </c>
      <c r="BP94" s="1395" t="str">
        <f t="shared" si="56"/>
        <v>-</v>
      </c>
      <c r="BQ94" s="1398" t="str">
        <f t="shared" si="57"/>
        <v>-</v>
      </c>
      <c r="BR94" s="1378"/>
      <c r="BS94" s="1329"/>
      <c r="BT94" s="1399"/>
      <c r="BU94" s="1331"/>
      <c r="BV94" s="1400"/>
      <c r="BW94" s="1378"/>
      <c r="BX94" s="1392" t="str">
        <f t="shared" si="58"/>
        <v>Qty</v>
      </c>
      <c r="BY94" s="1393" t="str">
        <f t="shared" si="105"/>
        <v>[Service]</v>
      </c>
      <c r="BZ94" s="1394" t="str">
        <f t="shared" si="106"/>
        <v>[Price]</v>
      </c>
      <c r="CA94" s="1401" t="str">
        <f>IFERROR((S94/R94-1)*(R95/R$13),"-")</f>
        <v>-</v>
      </c>
      <c r="CB94" s="1395" t="str">
        <f>IFERROR((T94/S94-1)*(S95/S$13),"-")</f>
        <v>-</v>
      </c>
      <c r="CC94" s="1395" t="str">
        <f>IFERROR((U94/T94-1)*(T95/T$13),"-")</f>
        <v>-</v>
      </c>
      <c r="CD94" s="1395" t="str">
        <f>IFERROR((V94/U94-1)*(U95/U$13),"-")</f>
        <v>-</v>
      </c>
      <c r="CE94" s="1395" t="str">
        <f t="shared" ref="CE94:CR94" si="124">IFERROR((T94/S94-1)*(S95/S$13),"-")</f>
        <v>-</v>
      </c>
      <c r="CF94" s="1395" t="str">
        <f t="shared" si="124"/>
        <v>-</v>
      </c>
      <c r="CG94" s="1395" t="str">
        <f t="shared" si="124"/>
        <v>-</v>
      </c>
      <c r="CH94" s="1397" t="str">
        <f t="shared" si="124"/>
        <v>-</v>
      </c>
      <c r="CI94" s="1395" t="str">
        <f t="shared" si="124"/>
        <v>-</v>
      </c>
      <c r="CJ94" s="1395" t="str">
        <f t="shared" si="124"/>
        <v>-</v>
      </c>
      <c r="CK94" s="1395" t="str">
        <f t="shared" si="124"/>
        <v>-</v>
      </c>
      <c r="CL94" s="1395" t="str">
        <f t="shared" si="124"/>
        <v>-</v>
      </c>
      <c r="CM94" s="1397" t="str">
        <f t="shared" si="124"/>
        <v>-</v>
      </c>
      <c r="CN94" s="1395" t="str">
        <f t="shared" si="124"/>
        <v>-</v>
      </c>
      <c r="CO94" s="1395" t="str">
        <f t="shared" si="124"/>
        <v>-</v>
      </c>
      <c r="CP94" s="1395" t="str">
        <f t="shared" si="124"/>
        <v>-</v>
      </c>
      <c r="CQ94" s="1395" t="str">
        <f t="shared" si="124"/>
        <v>-</v>
      </c>
      <c r="CR94" s="1398" t="str">
        <f t="shared" si="124"/>
        <v>-</v>
      </c>
      <c r="CS94" s="1378"/>
      <c r="CT94" s="1392" t="str">
        <f t="shared" si="34"/>
        <v>Qty</v>
      </c>
      <c r="CU94" s="1393" t="str">
        <f t="shared" si="35"/>
        <v>[Service]</v>
      </c>
      <c r="CV94" s="1393" t="str">
        <f t="shared" si="36"/>
        <v>[Price]</v>
      </c>
      <c r="CW94" s="1401" t="str">
        <f t="shared" si="62"/>
        <v>-</v>
      </c>
      <c r="CX94" s="1395" t="str">
        <f t="shared" si="63"/>
        <v>-</v>
      </c>
      <c r="CY94" s="1395" t="str">
        <f t="shared" si="64"/>
        <v>-</v>
      </c>
      <c r="CZ94" s="1397" t="str">
        <f t="shared" si="65"/>
        <v>-</v>
      </c>
      <c r="DA94" s="1395" t="str">
        <f t="shared" si="66"/>
        <v>-</v>
      </c>
      <c r="DB94" s="1395" t="str">
        <f t="shared" si="67"/>
        <v>-</v>
      </c>
      <c r="DC94" s="1395" t="str">
        <f t="shared" si="68"/>
        <v>-</v>
      </c>
      <c r="DD94" s="1395" t="str">
        <f t="shared" si="69"/>
        <v>-</v>
      </c>
      <c r="DE94" s="1398" t="str">
        <f t="shared" si="70"/>
        <v>-</v>
      </c>
      <c r="DF94" s="1378"/>
      <c r="DG94" s="1392" t="str">
        <f t="shared" si="81"/>
        <v>Qty</v>
      </c>
      <c r="DH94" s="1393" t="str">
        <f t="shared" si="81"/>
        <v>[Service]</v>
      </c>
      <c r="DI94" s="1393" t="str">
        <f t="shared" si="81"/>
        <v>[Price]</v>
      </c>
      <c r="DJ94" s="1401" t="str">
        <f t="shared" si="71"/>
        <v>-</v>
      </c>
      <c r="DK94" s="1395" t="str">
        <f t="shared" si="72"/>
        <v>-</v>
      </c>
      <c r="DL94" s="1395" t="str">
        <f t="shared" si="73"/>
        <v>-</v>
      </c>
      <c r="DM94" s="1397" t="str">
        <f t="shared" si="74"/>
        <v>-</v>
      </c>
      <c r="DN94" s="1395" t="str">
        <f t="shared" si="75"/>
        <v>-</v>
      </c>
      <c r="DO94" s="1395" t="str">
        <f t="shared" si="76"/>
        <v>-</v>
      </c>
      <c r="DP94" s="1395" t="str">
        <f t="shared" si="77"/>
        <v>-</v>
      </c>
      <c r="DQ94" s="1398" t="str">
        <f t="shared" si="78"/>
        <v>-</v>
      </c>
    </row>
    <row r="95" spans="4:121" ht="12.75" thickBot="1">
      <c r="E95" s="743" t="s">
        <v>46</v>
      </c>
      <c r="F95" s="732" t="str">
        <f>+F93</f>
        <v>[Service]</v>
      </c>
      <c r="G95" s="733">
        <f>+G93</f>
        <v>0</v>
      </c>
      <c r="H95" s="733">
        <f>+H93</f>
        <v>0</v>
      </c>
      <c r="I95" s="734" t="str">
        <f>+I93</f>
        <v>[Price]</v>
      </c>
      <c r="J95" s="735" t="s">
        <v>344</v>
      </c>
      <c r="K95" s="736">
        <f t="shared" ref="K95:AG95" si="125">K93*K94/10^6</f>
        <v>0</v>
      </c>
      <c r="L95" s="737">
        <f t="shared" si="125"/>
        <v>0</v>
      </c>
      <c r="M95" s="737">
        <f t="shared" si="125"/>
        <v>0</v>
      </c>
      <c r="N95" s="738">
        <f t="shared" si="125"/>
        <v>0</v>
      </c>
      <c r="O95" s="737">
        <f t="shared" si="125"/>
        <v>0</v>
      </c>
      <c r="P95" s="738">
        <f t="shared" si="125"/>
        <v>0</v>
      </c>
      <c r="Q95" s="737">
        <f t="shared" si="125"/>
        <v>0</v>
      </c>
      <c r="R95" s="737">
        <f t="shared" si="125"/>
        <v>0</v>
      </c>
      <c r="S95" s="737">
        <f t="shared" si="125"/>
        <v>0</v>
      </c>
      <c r="T95" s="737">
        <f t="shared" si="125"/>
        <v>0</v>
      </c>
      <c r="U95" s="737">
        <f t="shared" si="125"/>
        <v>0</v>
      </c>
      <c r="V95" s="737">
        <f t="shared" si="125"/>
        <v>0</v>
      </c>
      <c r="W95" s="737">
        <f t="shared" si="125"/>
        <v>0</v>
      </c>
      <c r="X95" s="738">
        <f t="shared" si="125"/>
        <v>0</v>
      </c>
      <c r="Y95" s="737">
        <f t="shared" si="125"/>
        <v>0</v>
      </c>
      <c r="Z95" s="737">
        <f t="shared" si="125"/>
        <v>0</v>
      </c>
      <c r="AA95" s="737">
        <f t="shared" si="125"/>
        <v>0</v>
      </c>
      <c r="AB95" s="737">
        <f t="shared" si="125"/>
        <v>0</v>
      </c>
      <c r="AC95" s="738">
        <f t="shared" si="125"/>
        <v>0</v>
      </c>
      <c r="AD95" s="737">
        <f t="shared" si="125"/>
        <v>0</v>
      </c>
      <c r="AE95" s="737">
        <f t="shared" si="125"/>
        <v>0</v>
      </c>
      <c r="AF95" s="737">
        <f t="shared" si="125"/>
        <v>0</v>
      </c>
      <c r="AG95" s="739">
        <f t="shared" si="125"/>
        <v>0</v>
      </c>
      <c r="AH95" s="823"/>
      <c r="AI95" s="744"/>
      <c r="AJ95" s="741"/>
      <c r="AK95" s="729"/>
      <c r="AL95" s="729"/>
      <c r="AM95" s="729"/>
      <c r="AN95" s="729"/>
      <c r="AO95" s="730"/>
      <c r="AP95" s="74"/>
      <c r="AQ95" s="74"/>
      <c r="AR95" s="74"/>
      <c r="AS95" s="106"/>
      <c r="AW95" s="1428" t="str">
        <f t="shared" si="79"/>
        <v>Rev</v>
      </c>
      <c r="AX95" s="1429" t="str">
        <f t="shared" si="41"/>
        <v>[Service]</v>
      </c>
      <c r="AY95" s="1430" t="str">
        <f t="shared" si="42"/>
        <v>[Price]</v>
      </c>
      <c r="AZ95" s="1431" t="str">
        <f t="shared" si="108"/>
        <v>-</v>
      </c>
      <c r="BA95" s="1431" t="str">
        <f t="shared" si="108"/>
        <v>-</v>
      </c>
      <c r="BB95" s="1431" t="str">
        <f t="shared" si="108"/>
        <v>-</v>
      </c>
      <c r="BC95" s="1431" t="str">
        <f t="shared" si="108"/>
        <v>-</v>
      </c>
      <c r="BD95" s="1431" t="str">
        <f t="shared" si="44"/>
        <v>-</v>
      </c>
      <c r="BE95" s="1431" t="str">
        <f t="shared" si="45"/>
        <v>-</v>
      </c>
      <c r="BF95" s="1431" t="str">
        <f t="shared" si="46"/>
        <v>-</v>
      </c>
      <c r="BG95" s="1432" t="str">
        <f t="shared" si="47"/>
        <v>-</v>
      </c>
      <c r="BH95" s="1431" t="str">
        <f t="shared" si="48"/>
        <v>-</v>
      </c>
      <c r="BI95" s="1431" t="str">
        <f t="shared" si="49"/>
        <v>-</v>
      </c>
      <c r="BJ95" s="1431" t="str">
        <f t="shared" si="50"/>
        <v>-</v>
      </c>
      <c r="BK95" s="1431" t="str">
        <f t="shared" si="51"/>
        <v>-</v>
      </c>
      <c r="BL95" s="1433" t="str">
        <f t="shared" si="52"/>
        <v>-</v>
      </c>
      <c r="BM95" s="1431" t="str">
        <f t="shared" si="53"/>
        <v>-</v>
      </c>
      <c r="BN95" s="1431" t="str">
        <f t="shared" si="54"/>
        <v>-</v>
      </c>
      <c r="BO95" s="1431" t="str">
        <f t="shared" si="55"/>
        <v>-</v>
      </c>
      <c r="BP95" s="1431" t="str">
        <f t="shared" si="56"/>
        <v>-</v>
      </c>
      <c r="BQ95" s="1434" t="str">
        <f t="shared" si="57"/>
        <v>-</v>
      </c>
      <c r="BR95" s="1378"/>
      <c r="BS95" s="1407"/>
      <c r="BT95" s="1408"/>
      <c r="BU95" s="1409"/>
      <c r="BV95" s="1410"/>
      <c r="BW95" s="1378"/>
      <c r="BX95" s="1428" t="str">
        <f t="shared" si="58"/>
        <v>Rev</v>
      </c>
      <c r="BY95" s="1429" t="str">
        <f t="shared" si="105"/>
        <v>[Service]</v>
      </c>
      <c r="BZ95" s="1430" t="str">
        <f t="shared" si="106"/>
        <v>[Price]</v>
      </c>
      <c r="CA95" s="1435" t="str">
        <f>IFERROR((S95/R95-1)*(R95/R$13),"-")</f>
        <v>-</v>
      </c>
      <c r="CB95" s="1431" t="str">
        <f>IFERROR((T95/S95-1)*(S95/S$13),"-")</f>
        <v>-</v>
      </c>
      <c r="CC95" s="1431" t="str">
        <f>IFERROR((U95/T95-1)*(T95/T$13),"-")</f>
        <v>-</v>
      </c>
      <c r="CD95" s="1431" t="str">
        <f>IFERROR((V95/U95-1)*(U95/U$13),"-")</f>
        <v>-</v>
      </c>
      <c r="CE95" s="1431" t="str">
        <f t="shared" ref="CE95:CR95" si="126">IFERROR((T95/S95-1)*(S95/S$13),"-")</f>
        <v>-</v>
      </c>
      <c r="CF95" s="1431" t="str">
        <f t="shared" si="126"/>
        <v>-</v>
      </c>
      <c r="CG95" s="1431" t="str">
        <f t="shared" si="126"/>
        <v>-</v>
      </c>
      <c r="CH95" s="1433" t="str">
        <f t="shared" si="126"/>
        <v>-</v>
      </c>
      <c r="CI95" s="1431" t="str">
        <f t="shared" si="126"/>
        <v>-</v>
      </c>
      <c r="CJ95" s="1431" t="str">
        <f t="shared" si="126"/>
        <v>-</v>
      </c>
      <c r="CK95" s="1431" t="str">
        <f t="shared" si="126"/>
        <v>-</v>
      </c>
      <c r="CL95" s="1431" t="str">
        <f t="shared" si="126"/>
        <v>-</v>
      </c>
      <c r="CM95" s="1433" t="str">
        <f t="shared" si="126"/>
        <v>-</v>
      </c>
      <c r="CN95" s="1431" t="str">
        <f t="shared" si="126"/>
        <v>-</v>
      </c>
      <c r="CO95" s="1431" t="str">
        <f t="shared" si="126"/>
        <v>-</v>
      </c>
      <c r="CP95" s="1431" t="str">
        <f t="shared" si="126"/>
        <v>-</v>
      </c>
      <c r="CQ95" s="1431" t="str">
        <f t="shared" si="126"/>
        <v>-</v>
      </c>
      <c r="CR95" s="1434" t="str">
        <f t="shared" si="126"/>
        <v>-</v>
      </c>
      <c r="CS95" s="1378"/>
      <c r="CT95" s="1428" t="str">
        <f t="shared" si="34"/>
        <v>Rev</v>
      </c>
      <c r="CU95" s="1429" t="str">
        <f t="shared" si="35"/>
        <v>[Service]</v>
      </c>
      <c r="CV95" s="1429" t="str">
        <f t="shared" si="36"/>
        <v>[Price]</v>
      </c>
      <c r="CW95" s="1435" t="str">
        <f t="shared" si="62"/>
        <v>-</v>
      </c>
      <c r="CX95" s="1431" t="str">
        <f t="shared" si="63"/>
        <v>-</v>
      </c>
      <c r="CY95" s="1431" t="str">
        <f t="shared" si="64"/>
        <v>-</v>
      </c>
      <c r="CZ95" s="1433" t="str">
        <f t="shared" si="65"/>
        <v>-</v>
      </c>
      <c r="DA95" s="1431" t="str">
        <f t="shared" si="66"/>
        <v>-</v>
      </c>
      <c r="DB95" s="1431" t="str">
        <f t="shared" si="67"/>
        <v>-</v>
      </c>
      <c r="DC95" s="1431" t="str">
        <f t="shared" si="68"/>
        <v>-</v>
      </c>
      <c r="DD95" s="1431" t="str">
        <f t="shared" si="69"/>
        <v>-</v>
      </c>
      <c r="DE95" s="1434" t="str">
        <f t="shared" si="70"/>
        <v>-</v>
      </c>
      <c r="DF95" s="1378"/>
      <c r="DG95" s="1428" t="str">
        <f t="shared" si="81"/>
        <v>Rev</v>
      </c>
      <c r="DH95" s="1429" t="str">
        <f t="shared" si="81"/>
        <v>[Service]</v>
      </c>
      <c r="DI95" s="1429" t="str">
        <f t="shared" si="81"/>
        <v>[Price]</v>
      </c>
      <c r="DJ95" s="1435" t="str">
        <f t="shared" si="71"/>
        <v>-</v>
      </c>
      <c r="DK95" s="1431" t="str">
        <f t="shared" si="72"/>
        <v>-</v>
      </c>
      <c r="DL95" s="1431" t="str">
        <f t="shared" si="73"/>
        <v>-</v>
      </c>
      <c r="DM95" s="1433" t="str">
        <f t="shared" si="74"/>
        <v>-</v>
      </c>
      <c r="DN95" s="1431" t="str">
        <f t="shared" si="75"/>
        <v>-</v>
      </c>
      <c r="DO95" s="1431" t="str">
        <f t="shared" si="76"/>
        <v>-</v>
      </c>
      <c r="DP95" s="1431" t="str">
        <f t="shared" si="77"/>
        <v>-</v>
      </c>
      <c r="DQ95" s="1434" t="str">
        <f t="shared" si="78"/>
        <v>-</v>
      </c>
    </row>
    <row r="96" spans="4:121">
      <c r="D96" s="70">
        <f>D93+1</f>
        <v>10</v>
      </c>
      <c r="E96" s="713" t="s">
        <v>44</v>
      </c>
      <c r="F96" s="789" t="s">
        <v>27</v>
      </c>
      <c r="G96" s="789"/>
      <c r="H96" s="789"/>
      <c r="I96" s="781" t="s">
        <v>318</v>
      </c>
      <c r="J96" s="781" t="s">
        <v>345</v>
      </c>
      <c r="K96" s="714"/>
      <c r="L96" s="715"/>
      <c r="M96" s="715"/>
      <c r="N96" s="716"/>
      <c r="O96" s="783"/>
      <c r="P96" s="784"/>
      <c r="Q96" s="783"/>
      <c r="R96" s="783"/>
      <c r="S96" s="783"/>
      <c r="T96" s="783"/>
      <c r="U96" s="783"/>
      <c r="V96" s="783"/>
      <c r="W96" s="783"/>
      <c r="X96" s="784"/>
      <c r="Y96" s="783"/>
      <c r="Z96" s="783"/>
      <c r="AA96" s="783"/>
      <c r="AB96" s="783"/>
      <c r="AC96" s="784"/>
      <c r="AD96" s="783"/>
      <c r="AE96" s="783"/>
      <c r="AF96" s="783"/>
      <c r="AG96" s="785"/>
      <c r="AI96" s="702"/>
      <c r="AJ96" s="717" t="str">
        <f t="shared" ref="AJ96:AS96" si="127">IFERROR((X96-W96)/W96,"")</f>
        <v/>
      </c>
      <c r="AK96" s="718" t="str">
        <f t="shared" si="127"/>
        <v/>
      </c>
      <c r="AL96" s="718" t="str">
        <f t="shared" si="127"/>
        <v/>
      </c>
      <c r="AM96" s="718" t="str">
        <f t="shared" si="127"/>
        <v/>
      </c>
      <c r="AN96" s="718" t="str">
        <f t="shared" si="127"/>
        <v/>
      </c>
      <c r="AO96" s="719" t="str">
        <f t="shared" si="127"/>
        <v/>
      </c>
      <c r="AP96" s="494" t="str">
        <f t="shared" si="127"/>
        <v/>
      </c>
      <c r="AQ96" s="494" t="str">
        <f t="shared" si="127"/>
        <v/>
      </c>
      <c r="AR96" s="494" t="str">
        <f t="shared" si="127"/>
        <v/>
      </c>
      <c r="AS96" s="720" t="str">
        <f t="shared" si="127"/>
        <v/>
      </c>
      <c r="AU96" s="1369"/>
      <c r="AW96" s="1412" t="str">
        <f t="shared" si="79"/>
        <v>Price</v>
      </c>
      <c r="AX96" s="1413" t="str">
        <f t="shared" si="41"/>
        <v>[Service]</v>
      </c>
      <c r="AY96" s="1414" t="str">
        <f t="shared" si="42"/>
        <v>[Price]</v>
      </c>
      <c r="AZ96" s="1415" t="str">
        <f t="shared" si="108"/>
        <v>-</v>
      </c>
      <c r="BA96" s="1415" t="str">
        <f t="shared" si="108"/>
        <v>-</v>
      </c>
      <c r="BB96" s="1415" t="str">
        <f t="shared" si="108"/>
        <v>-</v>
      </c>
      <c r="BC96" s="1415" t="str">
        <f t="shared" si="108"/>
        <v>-</v>
      </c>
      <c r="BD96" s="1415" t="str">
        <f t="shared" si="44"/>
        <v>-</v>
      </c>
      <c r="BE96" s="1415" t="str">
        <f t="shared" si="45"/>
        <v>-</v>
      </c>
      <c r="BF96" s="1415" t="str">
        <f t="shared" si="46"/>
        <v>-</v>
      </c>
      <c r="BG96" s="1416" t="str">
        <f t="shared" si="47"/>
        <v>-</v>
      </c>
      <c r="BH96" s="1417" t="str">
        <f t="shared" si="48"/>
        <v>-</v>
      </c>
      <c r="BI96" s="1417" t="str">
        <f t="shared" si="49"/>
        <v>-</v>
      </c>
      <c r="BJ96" s="1417" t="str">
        <f t="shared" si="50"/>
        <v>-</v>
      </c>
      <c r="BK96" s="1417" t="str">
        <f t="shared" si="51"/>
        <v>-</v>
      </c>
      <c r="BL96" s="1418" t="str">
        <f t="shared" si="52"/>
        <v>-</v>
      </c>
      <c r="BM96" s="1417" t="str">
        <f t="shared" si="53"/>
        <v>-</v>
      </c>
      <c r="BN96" s="1417" t="str">
        <f t="shared" si="54"/>
        <v>-</v>
      </c>
      <c r="BO96" s="1417" t="str">
        <f t="shared" si="55"/>
        <v>-</v>
      </c>
      <c r="BP96" s="1417" t="str">
        <f t="shared" si="56"/>
        <v>-</v>
      </c>
      <c r="BQ96" s="1419" t="str">
        <f t="shared" si="57"/>
        <v>-</v>
      </c>
      <c r="BR96" s="1378"/>
      <c r="BS96" s="1420"/>
      <c r="BT96" s="1421"/>
      <c r="BU96" s="1422"/>
      <c r="BV96" s="1423"/>
      <c r="BW96" s="1378"/>
      <c r="BX96" s="1412" t="str">
        <f t="shared" si="58"/>
        <v>Price</v>
      </c>
      <c r="BY96" s="1413" t="str">
        <f t="shared" si="105"/>
        <v>[Service]</v>
      </c>
      <c r="BZ96" s="1414" t="str">
        <f t="shared" si="106"/>
        <v>[Price]</v>
      </c>
      <c r="CA96" s="1424" t="str">
        <f>IFERROR((S96/R96-1)*(R98/R$13),"-")</f>
        <v>-</v>
      </c>
      <c r="CB96" s="1415" t="str">
        <f>IFERROR((T96/S96-1)*(S98/S$13),"-")</f>
        <v>-</v>
      </c>
      <c r="CC96" s="1415" t="str">
        <f>IFERROR((U96/T96-1)*(T98/T$13),"-")</f>
        <v>-</v>
      </c>
      <c r="CD96" s="1415" t="str">
        <f>IFERROR((V96/U96-1)*(U98/U$13),"-")</f>
        <v>-</v>
      </c>
      <c r="CE96" s="1415" t="str">
        <f t="shared" ref="CE96:CR96" si="128">IFERROR((T96/S96-1)*(S98/S$13),"-")</f>
        <v>-</v>
      </c>
      <c r="CF96" s="1415" t="str">
        <f t="shared" si="128"/>
        <v>-</v>
      </c>
      <c r="CG96" s="1415" t="str">
        <f t="shared" si="128"/>
        <v>-</v>
      </c>
      <c r="CH96" s="1425" t="str">
        <f t="shared" si="128"/>
        <v>-</v>
      </c>
      <c r="CI96" s="1417" t="str">
        <f t="shared" si="128"/>
        <v>-</v>
      </c>
      <c r="CJ96" s="1417" t="str">
        <f t="shared" si="128"/>
        <v>-</v>
      </c>
      <c r="CK96" s="1417" t="str">
        <f t="shared" si="128"/>
        <v>-</v>
      </c>
      <c r="CL96" s="1417" t="str">
        <f t="shared" si="128"/>
        <v>-</v>
      </c>
      <c r="CM96" s="1418" t="str">
        <f t="shared" si="128"/>
        <v>-</v>
      </c>
      <c r="CN96" s="1417" t="str">
        <f t="shared" si="128"/>
        <v>-</v>
      </c>
      <c r="CO96" s="1417" t="str">
        <f t="shared" si="128"/>
        <v>-</v>
      </c>
      <c r="CP96" s="1417" t="str">
        <f t="shared" si="128"/>
        <v>-</v>
      </c>
      <c r="CQ96" s="1417" t="str">
        <f t="shared" si="128"/>
        <v>-</v>
      </c>
      <c r="CR96" s="1419" t="str">
        <f t="shared" si="128"/>
        <v>-</v>
      </c>
      <c r="CS96" s="1378"/>
      <c r="CT96" s="1412" t="str">
        <f t="shared" si="34"/>
        <v>Price</v>
      </c>
      <c r="CU96" s="1413" t="str">
        <f t="shared" si="35"/>
        <v>[Service]</v>
      </c>
      <c r="CV96" s="1426" t="str">
        <f t="shared" si="36"/>
        <v>[Price]</v>
      </c>
      <c r="CW96" s="1427" t="str">
        <f t="shared" si="62"/>
        <v>-</v>
      </c>
      <c r="CX96" s="1417" t="str">
        <f t="shared" si="63"/>
        <v>-</v>
      </c>
      <c r="CY96" s="1417" t="str">
        <f t="shared" si="64"/>
        <v>-</v>
      </c>
      <c r="CZ96" s="1418" t="str">
        <f t="shared" si="65"/>
        <v>-</v>
      </c>
      <c r="DA96" s="1417" t="str">
        <f t="shared" si="66"/>
        <v>-</v>
      </c>
      <c r="DB96" s="1417" t="str">
        <f t="shared" si="67"/>
        <v>-</v>
      </c>
      <c r="DC96" s="1417" t="str">
        <f t="shared" si="68"/>
        <v>-</v>
      </c>
      <c r="DD96" s="1417" t="str">
        <f t="shared" si="69"/>
        <v>-</v>
      </c>
      <c r="DE96" s="1419" t="str">
        <f t="shared" si="70"/>
        <v>-</v>
      </c>
      <c r="DF96" s="1378"/>
      <c r="DG96" s="1412" t="str">
        <f t="shared" si="81"/>
        <v>Price</v>
      </c>
      <c r="DH96" s="1413" t="str">
        <f t="shared" si="81"/>
        <v>[Service]</v>
      </c>
      <c r="DI96" s="1426" t="str">
        <f t="shared" si="81"/>
        <v>[Price]</v>
      </c>
      <c r="DJ96" s="1427" t="str">
        <f t="shared" si="71"/>
        <v>-</v>
      </c>
      <c r="DK96" s="1417" t="str">
        <f t="shared" si="72"/>
        <v>-</v>
      </c>
      <c r="DL96" s="1417" t="str">
        <f t="shared" si="73"/>
        <v>-</v>
      </c>
      <c r="DM96" s="1418" t="str">
        <f t="shared" si="74"/>
        <v>-</v>
      </c>
      <c r="DN96" s="1417" t="str">
        <f t="shared" si="75"/>
        <v>-</v>
      </c>
      <c r="DO96" s="1417" t="str">
        <f t="shared" si="76"/>
        <v>-</v>
      </c>
      <c r="DP96" s="1417" t="str">
        <f t="shared" si="77"/>
        <v>-</v>
      </c>
      <c r="DQ96" s="1419" t="str">
        <f t="shared" si="78"/>
        <v>-</v>
      </c>
    </row>
    <row r="97" spans="4:121">
      <c r="E97" s="742" t="s">
        <v>45</v>
      </c>
      <c r="F97" s="722" t="str">
        <f>+F96</f>
        <v>[Service]</v>
      </c>
      <c r="G97" s="723">
        <f>+G96</f>
        <v>0</v>
      </c>
      <c r="H97" s="723">
        <f>+H96</f>
        <v>0</v>
      </c>
      <c r="I97" s="724" t="str">
        <f>+I96</f>
        <v>[Price]</v>
      </c>
      <c r="J97" s="782" t="s">
        <v>322</v>
      </c>
      <c r="K97" s="725"/>
      <c r="L97" s="726"/>
      <c r="M97" s="726"/>
      <c r="N97" s="727"/>
      <c r="O97" s="786"/>
      <c r="P97" s="787"/>
      <c r="Q97" s="786"/>
      <c r="R97" s="786"/>
      <c r="S97" s="786"/>
      <c r="T97" s="786"/>
      <c r="U97" s="786"/>
      <c r="V97" s="786"/>
      <c r="W97" s="786"/>
      <c r="X97" s="787"/>
      <c r="Y97" s="786"/>
      <c r="Z97" s="786"/>
      <c r="AA97" s="786"/>
      <c r="AB97" s="786"/>
      <c r="AC97" s="787"/>
      <c r="AD97" s="786"/>
      <c r="AE97" s="786"/>
      <c r="AF97" s="786"/>
      <c r="AG97" s="788"/>
      <c r="AH97" s="823"/>
      <c r="AI97" s="702"/>
      <c r="AJ97" s="728"/>
      <c r="AK97" s="729"/>
      <c r="AL97" s="729"/>
      <c r="AM97" s="729"/>
      <c r="AN97" s="729"/>
      <c r="AO97" s="730"/>
      <c r="AP97" s="74"/>
      <c r="AQ97" s="74"/>
      <c r="AR97" s="74"/>
      <c r="AS97" s="106"/>
      <c r="AW97" s="1392" t="str">
        <f t="shared" si="79"/>
        <v>Qty</v>
      </c>
      <c r="AX97" s="1393" t="str">
        <f t="shared" si="41"/>
        <v>[Service]</v>
      </c>
      <c r="AY97" s="1394" t="str">
        <f t="shared" si="42"/>
        <v>[Price]</v>
      </c>
      <c r="AZ97" s="1395" t="str">
        <f t="shared" si="108"/>
        <v>-</v>
      </c>
      <c r="BA97" s="1395" t="str">
        <f t="shared" si="108"/>
        <v>-</v>
      </c>
      <c r="BB97" s="1395" t="str">
        <f t="shared" si="108"/>
        <v>-</v>
      </c>
      <c r="BC97" s="1395" t="str">
        <f t="shared" si="108"/>
        <v>-</v>
      </c>
      <c r="BD97" s="1395" t="str">
        <f t="shared" si="44"/>
        <v>-</v>
      </c>
      <c r="BE97" s="1395" t="str">
        <f t="shared" si="45"/>
        <v>-</v>
      </c>
      <c r="BF97" s="1395" t="str">
        <f t="shared" si="46"/>
        <v>-</v>
      </c>
      <c r="BG97" s="1396" t="str">
        <f t="shared" si="47"/>
        <v>-</v>
      </c>
      <c r="BH97" s="1395" t="str">
        <f t="shared" si="48"/>
        <v>-</v>
      </c>
      <c r="BI97" s="1395" t="str">
        <f t="shared" si="49"/>
        <v>-</v>
      </c>
      <c r="BJ97" s="1395" t="str">
        <f t="shared" si="50"/>
        <v>-</v>
      </c>
      <c r="BK97" s="1395" t="str">
        <f t="shared" si="51"/>
        <v>-</v>
      </c>
      <c r="BL97" s="1397" t="str">
        <f t="shared" si="52"/>
        <v>-</v>
      </c>
      <c r="BM97" s="1395" t="str">
        <f t="shared" si="53"/>
        <v>-</v>
      </c>
      <c r="BN97" s="1395" t="str">
        <f t="shared" si="54"/>
        <v>-</v>
      </c>
      <c r="BO97" s="1395" t="str">
        <f t="shared" si="55"/>
        <v>-</v>
      </c>
      <c r="BP97" s="1395" t="str">
        <f t="shared" si="56"/>
        <v>-</v>
      </c>
      <c r="BQ97" s="1398" t="str">
        <f t="shared" si="57"/>
        <v>-</v>
      </c>
      <c r="BR97" s="1378"/>
      <c r="BS97" s="1329"/>
      <c r="BT97" s="1399"/>
      <c r="BU97" s="1331"/>
      <c r="BV97" s="1400"/>
      <c r="BW97" s="1378"/>
      <c r="BX97" s="1392" t="str">
        <f t="shared" si="58"/>
        <v>Qty</v>
      </c>
      <c r="BY97" s="1393" t="str">
        <f t="shared" si="105"/>
        <v>[Service]</v>
      </c>
      <c r="BZ97" s="1394" t="str">
        <f t="shared" si="106"/>
        <v>[Price]</v>
      </c>
      <c r="CA97" s="1401" t="str">
        <f>IFERROR((S97/R97-1)*(R98/R$13),"-")</f>
        <v>-</v>
      </c>
      <c r="CB97" s="1395" t="str">
        <f>IFERROR((T97/S97-1)*(S98/S$13),"-")</f>
        <v>-</v>
      </c>
      <c r="CC97" s="1395" t="str">
        <f>IFERROR((U97/T97-1)*(T98/T$13),"-")</f>
        <v>-</v>
      </c>
      <c r="CD97" s="1395" t="str">
        <f>IFERROR((V97/U97-1)*(U98/U$13),"-")</f>
        <v>-</v>
      </c>
      <c r="CE97" s="1395" t="str">
        <f t="shared" ref="CE97:CR97" si="129">IFERROR((T97/S97-1)*(S98/S$13),"-")</f>
        <v>-</v>
      </c>
      <c r="CF97" s="1395" t="str">
        <f t="shared" si="129"/>
        <v>-</v>
      </c>
      <c r="CG97" s="1395" t="str">
        <f t="shared" si="129"/>
        <v>-</v>
      </c>
      <c r="CH97" s="1397" t="str">
        <f t="shared" si="129"/>
        <v>-</v>
      </c>
      <c r="CI97" s="1395" t="str">
        <f t="shared" si="129"/>
        <v>-</v>
      </c>
      <c r="CJ97" s="1395" t="str">
        <f t="shared" si="129"/>
        <v>-</v>
      </c>
      <c r="CK97" s="1395" t="str">
        <f t="shared" si="129"/>
        <v>-</v>
      </c>
      <c r="CL97" s="1395" t="str">
        <f t="shared" si="129"/>
        <v>-</v>
      </c>
      <c r="CM97" s="1397" t="str">
        <f t="shared" si="129"/>
        <v>-</v>
      </c>
      <c r="CN97" s="1395" t="str">
        <f t="shared" si="129"/>
        <v>-</v>
      </c>
      <c r="CO97" s="1395" t="str">
        <f t="shared" si="129"/>
        <v>-</v>
      </c>
      <c r="CP97" s="1395" t="str">
        <f t="shared" si="129"/>
        <v>-</v>
      </c>
      <c r="CQ97" s="1395" t="str">
        <f t="shared" si="129"/>
        <v>-</v>
      </c>
      <c r="CR97" s="1398" t="str">
        <f t="shared" si="129"/>
        <v>-</v>
      </c>
      <c r="CS97" s="1378"/>
      <c r="CT97" s="1392" t="str">
        <f t="shared" si="34"/>
        <v>Qty</v>
      </c>
      <c r="CU97" s="1393" t="str">
        <f t="shared" si="35"/>
        <v>[Service]</v>
      </c>
      <c r="CV97" s="1393" t="str">
        <f t="shared" si="36"/>
        <v>[Price]</v>
      </c>
      <c r="CW97" s="1401" t="str">
        <f t="shared" si="62"/>
        <v>-</v>
      </c>
      <c r="CX97" s="1395" t="str">
        <f t="shared" si="63"/>
        <v>-</v>
      </c>
      <c r="CY97" s="1395" t="str">
        <f t="shared" si="64"/>
        <v>-</v>
      </c>
      <c r="CZ97" s="1397" t="str">
        <f t="shared" si="65"/>
        <v>-</v>
      </c>
      <c r="DA97" s="1395" t="str">
        <f t="shared" si="66"/>
        <v>-</v>
      </c>
      <c r="DB97" s="1395" t="str">
        <f t="shared" si="67"/>
        <v>-</v>
      </c>
      <c r="DC97" s="1395" t="str">
        <f t="shared" si="68"/>
        <v>-</v>
      </c>
      <c r="DD97" s="1395" t="str">
        <f t="shared" si="69"/>
        <v>-</v>
      </c>
      <c r="DE97" s="1398" t="str">
        <f t="shared" si="70"/>
        <v>-</v>
      </c>
      <c r="DF97" s="1378"/>
      <c r="DG97" s="1392" t="str">
        <f t="shared" si="81"/>
        <v>Qty</v>
      </c>
      <c r="DH97" s="1393" t="str">
        <f t="shared" si="81"/>
        <v>[Service]</v>
      </c>
      <c r="DI97" s="1393" t="str">
        <f t="shared" si="81"/>
        <v>[Price]</v>
      </c>
      <c r="DJ97" s="1401" t="str">
        <f t="shared" si="71"/>
        <v>-</v>
      </c>
      <c r="DK97" s="1395" t="str">
        <f t="shared" si="72"/>
        <v>-</v>
      </c>
      <c r="DL97" s="1395" t="str">
        <f t="shared" si="73"/>
        <v>-</v>
      </c>
      <c r="DM97" s="1397" t="str">
        <f t="shared" si="74"/>
        <v>-</v>
      </c>
      <c r="DN97" s="1395" t="str">
        <f t="shared" si="75"/>
        <v>-</v>
      </c>
      <c r="DO97" s="1395" t="str">
        <f t="shared" si="76"/>
        <v>-</v>
      </c>
      <c r="DP97" s="1395" t="str">
        <f t="shared" si="77"/>
        <v>-</v>
      </c>
      <c r="DQ97" s="1398" t="str">
        <f t="shared" si="78"/>
        <v>-</v>
      </c>
    </row>
    <row r="98" spans="4:121" ht="12.75" thickBot="1">
      <c r="E98" s="743" t="s">
        <v>46</v>
      </c>
      <c r="F98" s="732" t="str">
        <f>+F96</f>
        <v>[Service]</v>
      </c>
      <c r="G98" s="733">
        <f>+G96</f>
        <v>0</v>
      </c>
      <c r="H98" s="733">
        <f>+H96</f>
        <v>0</v>
      </c>
      <c r="I98" s="734" t="str">
        <f>+I96</f>
        <v>[Price]</v>
      </c>
      <c r="J98" s="735" t="s">
        <v>344</v>
      </c>
      <c r="K98" s="736">
        <f t="shared" ref="K98:AG98" si="130">K96*K97/10^6</f>
        <v>0</v>
      </c>
      <c r="L98" s="737">
        <f t="shared" si="130"/>
        <v>0</v>
      </c>
      <c r="M98" s="737">
        <f t="shared" si="130"/>
        <v>0</v>
      </c>
      <c r="N98" s="738">
        <f t="shared" si="130"/>
        <v>0</v>
      </c>
      <c r="O98" s="737">
        <f t="shared" si="130"/>
        <v>0</v>
      </c>
      <c r="P98" s="738">
        <f t="shared" si="130"/>
        <v>0</v>
      </c>
      <c r="Q98" s="737">
        <f t="shared" si="130"/>
        <v>0</v>
      </c>
      <c r="R98" s="737">
        <f t="shared" si="130"/>
        <v>0</v>
      </c>
      <c r="S98" s="737">
        <f t="shared" si="130"/>
        <v>0</v>
      </c>
      <c r="T98" s="737">
        <f t="shared" si="130"/>
        <v>0</v>
      </c>
      <c r="U98" s="737">
        <f t="shared" si="130"/>
        <v>0</v>
      </c>
      <c r="V98" s="737">
        <f t="shared" si="130"/>
        <v>0</v>
      </c>
      <c r="W98" s="737">
        <f t="shared" si="130"/>
        <v>0</v>
      </c>
      <c r="X98" s="738">
        <f t="shared" si="130"/>
        <v>0</v>
      </c>
      <c r="Y98" s="737">
        <f t="shared" si="130"/>
        <v>0</v>
      </c>
      <c r="Z98" s="737">
        <f t="shared" si="130"/>
        <v>0</v>
      </c>
      <c r="AA98" s="737">
        <f t="shared" si="130"/>
        <v>0</v>
      </c>
      <c r="AB98" s="737">
        <f t="shared" si="130"/>
        <v>0</v>
      </c>
      <c r="AC98" s="738">
        <f t="shared" si="130"/>
        <v>0</v>
      </c>
      <c r="AD98" s="737">
        <f t="shared" si="130"/>
        <v>0</v>
      </c>
      <c r="AE98" s="737">
        <f t="shared" si="130"/>
        <v>0</v>
      </c>
      <c r="AF98" s="737">
        <f t="shared" si="130"/>
        <v>0</v>
      </c>
      <c r="AG98" s="739">
        <f t="shared" si="130"/>
        <v>0</v>
      </c>
      <c r="AH98" s="823"/>
      <c r="AI98" s="744"/>
      <c r="AJ98" s="741"/>
      <c r="AK98" s="729"/>
      <c r="AL98" s="729"/>
      <c r="AM98" s="729"/>
      <c r="AN98" s="729"/>
      <c r="AO98" s="730"/>
      <c r="AP98" s="74"/>
      <c r="AQ98" s="74"/>
      <c r="AR98" s="74"/>
      <c r="AS98" s="106"/>
      <c r="AW98" s="1428" t="str">
        <f t="shared" si="79"/>
        <v>Rev</v>
      </c>
      <c r="AX98" s="1429" t="str">
        <f t="shared" si="41"/>
        <v>[Service]</v>
      </c>
      <c r="AY98" s="1430" t="str">
        <f t="shared" si="42"/>
        <v>[Price]</v>
      </c>
      <c r="AZ98" s="1431" t="str">
        <f t="shared" si="108"/>
        <v>-</v>
      </c>
      <c r="BA98" s="1431" t="str">
        <f t="shared" si="108"/>
        <v>-</v>
      </c>
      <c r="BB98" s="1431" t="str">
        <f t="shared" si="108"/>
        <v>-</v>
      </c>
      <c r="BC98" s="1431" t="str">
        <f t="shared" si="108"/>
        <v>-</v>
      </c>
      <c r="BD98" s="1431" t="str">
        <f t="shared" si="44"/>
        <v>-</v>
      </c>
      <c r="BE98" s="1431" t="str">
        <f t="shared" si="45"/>
        <v>-</v>
      </c>
      <c r="BF98" s="1431" t="str">
        <f t="shared" si="46"/>
        <v>-</v>
      </c>
      <c r="BG98" s="1432" t="str">
        <f t="shared" si="47"/>
        <v>-</v>
      </c>
      <c r="BH98" s="1431" t="str">
        <f t="shared" si="48"/>
        <v>-</v>
      </c>
      <c r="BI98" s="1431" t="str">
        <f t="shared" si="49"/>
        <v>-</v>
      </c>
      <c r="BJ98" s="1431" t="str">
        <f t="shared" si="50"/>
        <v>-</v>
      </c>
      <c r="BK98" s="1431" t="str">
        <f t="shared" si="51"/>
        <v>-</v>
      </c>
      <c r="BL98" s="1433" t="str">
        <f t="shared" si="52"/>
        <v>-</v>
      </c>
      <c r="BM98" s="1431" t="str">
        <f t="shared" si="53"/>
        <v>-</v>
      </c>
      <c r="BN98" s="1431" t="str">
        <f t="shared" si="54"/>
        <v>-</v>
      </c>
      <c r="BO98" s="1431" t="str">
        <f t="shared" si="55"/>
        <v>-</v>
      </c>
      <c r="BP98" s="1431" t="str">
        <f t="shared" si="56"/>
        <v>-</v>
      </c>
      <c r="BQ98" s="1434" t="str">
        <f t="shared" si="57"/>
        <v>-</v>
      </c>
      <c r="BR98" s="1378"/>
      <c r="BS98" s="1407"/>
      <c r="BT98" s="1408"/>
      <c r="BU98" s="1409"/>
      <c r="BV98" s="1410"/>
      <c r="BW98" s="1378"/>
      <c r="BX98" s="1428" t="str">
        <f t="shared" si="58"/>
        <v>Rev</v>
      </c>
      <c r="BY98" s="1429" t="str">
        <f t="shared" si="105"/>
        <v>[Service]</v>
      </c>
      <c r="BZ98" s="1430" t="str">
        <f t="shared" si="106"/>
        <v>[Price]</v>
      </c>
      <c r="CA98" s="1435" t="str">
        <f>IFERROR((S98/R98-1)*(R98/R$13),"-")</f>
        <v>-</v>
      </c>
      <c r="CB98" s="1431" t="str">
        <f>IFERROR((T98/S98-1)*(S98/S$13),"-")</f>
        <v>-</v>
      </c>
      <c r="CC98" s="1431" t="str">
        <f>IFERROR((U98/T98-1)*(T98/T$13),"-")</f>
        <v>-</v>
      </c>
      <c r="CD98" s="1431" t="str">
        <f>IFERROR((V98/U98-1)*(U98/U$13),"-")</f>
        <v>-</v>
      </c>
      <c r="CE98" s="1431" t="str">
        <f t="shared" ref="CE98:CR98" si="131">IFERROR((T98/S98-1)*(S98/S$13),"-")</f>
        <v>-</v>
      </c>
      <c r="CF98" s="1431" t="str">
        <f t="shared" si="131"/>
        <v>-</v>
      </c>
      <c r="CG98" s="1431" t="str">
        <f t="shared" si="131"/>
        <v>-</v>
      </c>
      <c r="CH98" s="1433" t="str">
        <f t="shared" si="131"/>
        <v>-</v>
      </c>
      <c r="CI98" s="1431" t="str">
        <f t="shared" si="131"/>
        <v>-</v>
      </c>
      <c r="CJ98" s="1431" t="str">
        <f t="shared" si="131"/>
        <v>-</v>
      </c>
      <c r="CK98" s="1431" t="str">
        <f t="shared" si="131"/>
        <v>-</v>
      </c>
      <c r="CL98" s="1431" t="str">
        <f t="shared" si="131"/>
        <v>-</v>
      </c>
      <c r="CM98" s="1433" t="str">
        <f t="shared" si="131"/>
        <v>-</v>
      </c>
      <c r="CN98" s="1431" t="str">
        <f t="shared" si="131"/>
        <v>-</v>
      </c>
      <c r="CO98" s="1431" t="str">
        <f t="shared" si="131"/>
        <v>-</v>
      </c>
      <c r="CP98" s="1431" t="str">
        <f t="shared" si="131"/>
        <v>-</v>
      </c>
      <c r="CQ98" s="1431" t="str">
        <f t="shared" si="131"/>
        <v>-</v>
      </c>
      <c r="CR98" s="1434" t="str">
        <f t="shared" si="131"/>
        <v>-</v>
      </c>
      <c r="CS98" s="1378"/>
      <c r="CT98" s="1428" t="str">
        <f t="shared" si="34"/>
        <v>Rev</v>
      </c>
      <c r="CU98" s="1429" t="str">
        <f t="shared" si="35"/>
        <v>[Service]</v>
      </c>
      <c r="CV98" s="1429" t="str">
        <f t="shared" si="36"/>
        <v>[Price]</v>
      </c>
      <c r="CW98" s="1435" t="str">
        <f t="shared" si="62"/>
        <v>-</v>
      </c>
      <c r="CX98" s="1431" t="str">
        <f t="shared" si="63"/>
        <v>-</v>
      </c>
      <c r="CY98" s="1431" t="str">
        <f t="shared" si="64"/>
        <v>-</v>
      </c>
      <c r="CZ98" s="1433" t="str">
        <f t="shared" si="65"/>
        <v>-</v>
      </c>
      <c r="DA98" s="1431" t="str">
        <f t="shared" si="66"/>
        <v>-</v>
      </c>
      <c r="DB98" s="1431" t="str">
        <f t="shared" si="67"/>
        <v>-</v>
      </c>
      <c r="DC98" s="1431" t="str">
        <f t="shared" si="68"/>
        <v>-</v>
      </c>
      <c r="DD98" s="1431" t="str">
        <f t="shared" si="69"/>
        <v>-</v>
      </c>
      <c r="DE98" s="1434" t="str">
        <f t="shared" si="70"/>
        <v>-</v>
      </c>
      <c r="DF98" s="1378"/>
      <c r="DG98" s="1428" t="str">
        <f t="shared" si="81"/>
        <v>Rev</v>
      </c>
      <c r="DH98" s="1429" t="str">
        <f t="shared" si="81"/>
        <v>[Service]</v>
      </c>
      <c r="DI98" s="1429" t="str">
        <f t="shared" si="81"/>
        <v>[Price]</v>
      </c>
      <c r="DJ98" s="1435" t="str">
        <f t="shared" si="71"/>
        <v>-</v>
      </c>
      <c r="DK98" s="1431" t="str">
        <f t="shared" si="72"/>
        <v>-</v>
      </c>
      <c r="DL98" s="1431" t="str">
        <f t="shared" si="73"/>
        <v>-</v>
      </c>
      <c r="DM98" s="1433" t="str">
        <f t="shared" si="74"/>
        <v>-</v>
      </c>
      <c r="DN98" s="1431" t="str">
        <f t="shared" si="75"/>
        <v>-</v>
      </c>
      <c r="DO98" s="1431" t="str">
        <f t="shared" si="76"/>
        <v>-</v>
      </c>
      <c r="DP98" s="1431" t="str">
        <f t="shared" si="77"/>
        <v>-</v>
      </c>
      <c r="DQ98" s="1434" t="str">
        <f t="shared" si="78"/>
        <v>-</v>
      </c>
    </row>
    <row r="99" spans="4:121">
      <c r="D99" s="70">
        <f>D96+1</f>
        <v>11</v>
      </c>
      <c r="E99" s="713" t="s">
        <v>44</v>
      </c>
      <c r="F99" s="789" t="s">
        <v>27</v>
      </c>
      <c r="G99" s="789"/>
      <c r="H99" s="789"/>
      <c r="I99" s="781" t="s">
        <v>318</v>
      </c>
      <c r="J99" s="781" t="s">
        <v>345</v>
      </c>
      <c r="K99" s="714"/>
      <c r="L99" s="715"/>
      <c r="M99" s="715"/>
      <c r="N99" s="716"/>
      <c r="O99" s="783"/>
      <c r="P99" s="784"/>
      <c r="Q99" s="783"/>
      <c r="R99" s="783"/>
      <c r="S99" s="783"/>
      <c r="T99" s="783"/>
      <c r="U99" s="783"/>
      <c r="V99" s="783"/>
      <c r="W99" s="783"/>
      <c r="X99" s="784"/>
      <c r="Y99" s="783"/>
      <c r="Z99" s="783"/>
      <c r="AA99" s="783"/>
      <c r="AB99" s="783"/>
      <c r="AC99" s="784"/>
      <c r="AD99" s="783"/>
      <c r="AE99" s="783"/>
      <c r="AF99" s="783"/>
      <c r="AG99" s="785"/>
      <c r="AI99" s="702"/>
      <c r="AJ99" s="717" t="str">
        <f t="shared" ref="AJ99:AS99" si="132">IFERROR((X99-W99)/W99,"")</f>
        <v/>
      </c>
      <c r="AK99" s="718" t="str">
        <f t="shared" si="132"/>
        <v/>
      </c>
      <c r="AL99" s="718" t="str">
        <f t="shared" si="132"/>
        <v/>
      </c>
      <c r="AM99" s="718" t="str">
        <f t="shared" si="132"/>
        <v/>
      </c>
      <c r="AN99" s="718" t="str">
        <f t="shared" si="132"/>
        <v/>
      </c>
      <c r="AO99" s="719" t="str">
        <f t="shared" si="132"/>
        <v/>
      </c>
      <c r="AP99" s="494" t="str">
        <f t="shared" si="132"/>
        <v/>
      </c>
      <c r="AQ99" s="494" t="str">
        <f t="shared" si="132"/>
        <v/>
      </c>
      <c r="AR99" s="494" t="str">
        <f t="shared" si="132"/>
        <v/>
      </c>
      <c r="AS99" s="720" t="str">
        <f t="shared" si="132"/>
        <v/>
      </c>
      <c r="AU99" s="1369"/>
      <c r="AW99" s="1412" t="str">
        <f t="shared" si="79"/>
        <v>Price</v>
      </c>
      <c r="AX99" s="1413" t="str">
        <f t="shared" si="41"/>
        <v>[Service]</v>
      </c>
      <c r="AY99" s="1414" t="str">
        <f t="shared" si="42"/>
        <v>[Price]</v>
      </c>
      <c r="AZ99" s="1415" t="str">
        <f t="shared" si="108"/>
        <v>-</v>
      </c>
      <c r="BA99" s="1415" t="str">
        <f t="shared" si="108"/>
        <v>-</v>
      </c>
      <c r="BB99" s="1415" t="str">
        <f t="shared" si="108"/>
        <v>-</v>
      </c>
      <c r="BC99" s="1415" t="str">
        <f t="shared" si="108"/>
        <v>-</v>
      </c>
      <c r="BD99" s="1415" t="str">
        <f t="shared" si="44"/>
        <v>-</v>
      </c>
      <c r="BE99" s="1415" t="str">
        <f t="shared" si="45"/>
        <v>-</v>
      </c>
      <c r="BF99" s="1415" t="str">
        <f t="shared" si="46"/>
        <v>-</v>
      </c>
      <c r="BG99" s="1416" t="str">
        <f t="shared" si="47"/>
        <v>-</v>
      </c>
      <c r="BH99" s="1417" t="str">
        <f t="shared" si="48"/>
        <v>-</v>
      </c>
      <c r="BI99" s="1417" t="str">
        <f t="shared" si="49"/>
        <v>-</v>
      </c>
      <c r="BJ99" s="1417" t="str">
        <f t="shared" si="50"/>
        <v>-</v>
      </c>
      <c r="BK99" s="1417" t="str">
        <f t="shared" si="51"/>
        <v>-</v>
      </c>
      <c r="BL99" s="1418" t="str">
        <f t="shared" si="52"/>
        <v>-</v>
      </c>
      <c r="BM99" s="1417" t="str">
        <f t="shared" si="53"/>
        <v>-</v>
      </c>
      <c r="BN99" s="1417" t="str">
        <f t="shared" si="54"/>
        <v>-</v>
      </c>
      <c r="BO99" s="1417" t="str">
        <f t="shared" si="55"/>
        <v>-</v>
      </c>
      <c r="BP99" s="1417" t="str">
        <f t="shared" si="56"/>
        <v>-</v>
      </c>
      <c r="BQ99" s="1419" t="str">
        <f t="shared" si="57"/>
        <v>-</v>
      </c>
      <c r="BR99" s="1378"/>
      <c r="BS99" s="1420"/>
      <c r="BT99" s="1421"/>
      <c r="BU99" s="1422"/>
      <c r="BV99" s="1423"/>
      <c r="BW99" s="1378"/>
      <c r="BX99" s="1412" t="str">
        <f t="shared" si="58"/>
        <v>Price</v>
      </c>
      <c r="BY99" s="1413" t="str">
        <f t="shared" si="105"/>
        <v>[Service]</v>
      </c>
      <c r="BZ99" s="1414" t="str">
        <f t="shared" si="106"/>
        <v>[Price]</v>
      </c>
      <c r="CA99" s="1424" t="str">
        <f>IFERROR((S99/R99-1)*(R101/R$13),"-")</f>
        <v>-</v>
      </c>
      <c r="CB99" s="1415" t="str">
        <f>IFERROR((T99/S99-1)*(S101/S$13),"-")</f>
        <v>-</v>
      </c>
      <c r="CC99" s="1415" t="str">
        <f>IFERROR((U99/T99-1)*(T101/T$13),"-")</f>
        <v>-</v>
      </c>
      <c r="CD99" s="1415" t="str">
        <f>IFERROR((V99/U99-1)*(U101/U$13),"-")</f>
        <v>-</v>
      </c>
      <c r="CE99" s="1415" t="str">
        <f t="shared" ref="CE99:CR99" si="133">IFERROR((T99/S99-1)*(S101/S$13),"-")</f>
        <v>-</v>
      </c>
      <c r="CF99" s="1415" t="str">
        <f t="shared" si="133"/>
        <v>-</v>
      </c>
      <c r="CG99" s="1415" t="str">
        <f t="shared" si="133"/>
        <v>-</v>
      </c>
      <c r="CH99" s="1425" t="str">
        <f t="shared" si="133"/>
        <v>-</v>
      </c>
      <c r="CI99" s="1417" t="str">
        <f t="shared" si="133"/>
        <v>-</v>
      </c>
      <c r="CJ99" s="1417" t="str">
        <f t="shared" si="133"/>
        <v>-</v>
      </c>
      <c r="CK99" s="1417" t="str">
        <f t="shared" si="133"/>
        <v>-</v>
      </c>
      <c r="CL99" s="1417" t="str">
        <f t="shared" si="133"/>
        <v>-</v>
      </c>
      <c r="CM99" s="1418" t="str">
        <f t="shared" si="133"/>
        <v>-</v>
      </c>
      <c r="CN99" s="1417" t="str">
        <f t="shared" si="133"/>
        <v>-</v>
      </c>
      <c r="CO99" s="1417" t="str">
        <f t="shared" si="133"/>
        <v>-</v>
      </c>
      <c r="CP99" s="1417" t="str">
        <f t="shared" si="133"/>
        <v>-</v>
      </c>
      <c r="CQ99" s="1417" t="str">
        <f t="shared" si="133"/>
        <v>-</v>
      </c>
      <c r="CR99" s="1419" t="str">
        <f t="shared" si="133"/>
        <v>-</v>
      </c>
      <c r="CS99" s="1378"/>
      <c r="CT99" s="1412" t="str">
        <f t="shared" si="34"/>
        <v>Price</v>
      </c>
      <c r="CU99" s="1413" t="str">
        <f t="shared" si="35"/>
        <v>[Service]</v>
      </c>
      <c r="CV99" s="1426" t="str">
        <f t="shared" si="36"/>
        <v>[Price]</v>
      </c>
      <c r="CW99" s="1427" t="str">
        <f t="shared" si="62"/>
        <v>-</v>
      </c>
      <c r="CX99" s="1417" t="str">
        <f t="shared" si="63"/>
        <v>-</v>
      </c>
      <c r="CY99" s="1417" t="str">
        <f t="shared" si="64"/>
        <v>-</v>
      </c>
      <c r="CZ99" s="1418" t="str">
        <f t="shared" si="65"/>
        <v>-</v>
      </c>
      <c r="DA99" s="1417" t="str">
        <f t="shared" si="66"/>
        <v>-</v>
      </c>
      <c r="DB99" s="1417" t="str">
        <f t="shared" si="67"/>
        <v>-</v>
      </c>
      <c r="DC99" s="1417" t="str">
        <f t="shared" si="68"/>
        <v>-</v>
      </c>
      <c r="DD99" s="1417" t="str">
        <f t="shared" si="69"/>
        <v>-</v>
      </c>
      <c r="DE99" s="1419" t="str">
        <f t="shared" si="70"/>
        <v>-</v>
      </c>
      <c r="DF99" s="1378"/>
      <c r="DG99" s="1412" t="str">
        <f t="shared" si="81"/>
        <v>Price</v>
      </c>
      <c r="DH99" s="1413" t="str">
        <f t="shared" si="81"/>
        <v>[Service]</v>
      </c>
      <c r="DI99" s="1426" t="str">
        <f t="shared" si="81"/>
        <v>[Price]</v>
      </c>
      <c r="DJ99" s="1427" t="str">
        <f t="shared" si="71"/>
        <v>-</v>
      </c>
      <c r="DK99" s="1417" t="str">
        <f t="shared" si="72"/>
        <v>-</v>
      </c>
      <c r="DL99" s="1417" t="str">
        <f t="shared" si="73"/>
        <v>-</v>
      </c>
      <c r="DM99" s="1418" t="str">
        <f t="shared" si="74"/>
        <v>-</v>
      </c>
      <c r="DN99" s="1417" t="str">
        <f t="shared" si="75"/>
        <v>-</v>
      </c>
      <c r="DO99" s="1417" t="str">
        <f t="shared" si="76"/>
        <v>-</v>
      </c>
      <c r="DP99" s="1417" t="str">
        <f t="shared" si="77"/>
        <v>-</v>
      </c>
      <c r="DQ99" s="1419" t="str">
        <f t="shared" si="78"/>
        <v>-</v>
      </c>
    </row>
    <row r="100" spans="4:121">
      <c r="E100" s="742" t="s">
        <v>45</v>
      </c>
      <c r="F100" s="722" t="str">
        <f>+F99</f>
        <v>[Service]</v>
      </c>
      <c r="G100" s="723">
        <f>+G99</f>
        <v>0</v>
      </c>
      <c r="H100" s="723">
        <f>+H99</f>
        <v>0</v>
      </c>
      <c r="I100" s="724" t="str">
        <f>+I99</f>
        <v>[Price]</v>
      </c>
      <c r="J100" s="782" t="s">
        <v>322</v>
      </c>
      <c r="K100" s="725"/>
      <c r="L100" s="726"/>
      <c r="M100" s="726"/>
      <c r="N100" s="727"/>
      <c r="O100" s="786"/>
      <c r="P100" s="787"/>
      <c r="Q100" s="786"/>
      <c r="R100" s="786"/>
      <c r="S100" s="786"/>
      <c r="T100" s="786"/>
      <c r="U100" s="786"/>
      <c r="V100" s="786"/>
      <c r="W100" s="786"/>
      <c r="X100" s="787"/>
      <c r="Y100" s="786"/>
      <c r="Z100" s="786"/>
      <c r="AA100" s="786"/>
      <c r="AB100" s="786"/>
      <c r="AC100" s="787"/>
      <c r="AD100" s="786"/>
      <c r="AE100" s="786"/>
      <c r="AF100" s="786"/>
      <c r="AG100" s="788"/>
      <c r="AH100" s="823"/>
      <c r="AI100" s="702"/>
      <c r="AJ100" s="728"/>
      <c r="AK100" s="729"/>
      <c r="AL100" s="729"/>
      <c r="AM100" s="729"/>
      <c r="AN100" s="729"/>
      <c r="AO100" s="730"/>
      <c r="AP100" s="74"/>
      <c r="AQ100" s="74"/>
      <c r="AR100" s="74"/>
      <c r="AS100" s="106"/>
      <c r="AW100" s="1392" t="str">
        <f t="shared" si="79"/>
        <v>Qty</v>
      </c>
      <c r="AX100" s="1393" t="str">
        <f t="shared" si="41"/>
        <v>[Service]</v>
      </c>
      <c r="AY100" s="1394" t="str">
        <f t="shared" si="42"/>
        <v>[Price]</v>
      </c>
      <c r="AZ100" s="1395" t="str">
        <f t="shared" si="108"/>
        <v>-</v>
      </c>
      <c r="BA100" s="1395" t="str">
        <f t="shared" si="108"/>
        <v>-</v>
      </c>
      <c r="BB100" s="1395" t="str">
        <f t="shared" si="108"/>
        <v>-</v>
      </c>
      <c r="BC100" s="1395" t="str">
        <f t="shared" si="108"/>
        <v>-</v>
      </c>
      <c r="BD100" s="1395" t="str">
        <f t="shared" si="44"/>
        <v>-</v>
      </c>
      <c r="BE100" s="1395" t="str">
        <f t="shared" si="45"/>
        <v>-</v>
      </c>
      <c r="BF100" s="1395" t="str">
        <f t="shared" si="46"/>
        <v>-</v>
      </c>
      <c r="BG100" s="1396" t="str">
        <f t="shared" si="47"/>
        <v>-</v>
      </c>
      <c r="BH100" s="1395" t="str">
        <f t="shared" si="48"/>
        <v>-</v>
      </c>
      <c r="BI100" s="1395" t="str">
        <f t="shared" si="49"/>
        <v>-</v>
      </c>
      <c r="BJ100" s="1395" t="str">
        <f t="shared" si="50"/>
        <v>-</v>
      </c>
      <c r="BK100" s="1395" t="str">
        <f t="shared" si="51"/>
        <v>-</v>
      </c>
      <c r="BL100" s="1397" t="str">
        <f t="shared" si="52"/>
        <v>-</v>
      </c>
      <c r="BM100" s="1395" t="str">
        <f t="shared" si="53"/>
        <v>-</v>
      </c>
      <c r="BN100" s="1395" t="str">
        <f t="shared" si="54"/>
        <v>-</v>
      </c>
      <c r="BO100" s="1395" t="str">
        <f t="shared" si="55"/>
        <v>-</v>
      </c>
      <c r="BP100" s="1395" t="str">
        <f t="shared" si="56"/>
        <v>-</v>
      </c>
      <c r="BQ100" s="1398" t="str">
        <f t="shared" si="57"/>
        <v>-</v>
      </c>
      <c r="BR100" s="1378"/>
      <c r="BS100" s="1329"/>
      <c r="BT100" s="1399"/>
      <c r="BU100" s="1331"/>
      <c r="BV100" s="1400"/>
      <c r="BW100" s="1378"/>
      <c r="BX100" s="1392" t="str">
        <f t="shared" si="58"/>
        <v>Qty</v>
      </c>
      <c r="BY100" s="1393" t="str">
        <f t="shared" si="105"/>
        <v>[Service]</v>
      </c>
      <c r="BZ100" s="1394" t="str">
        <f t="shared" si="106"/>
        <v>[Price]</v>
      </c>
      <c r="CA100" s="1401" t="str">
        <f>IFERROR((S100/R100-1)*(R101/R$13),"-")</f>
        <v>-</v>
      </c>
      <c r="CB100" s="1395" t="str">
        <f>IFERROR((T100/S100-1)*(S101/S$13),"-")</f>
        <v>-</v>
      </c>
      <c r="CC100" s="1395" t="str">
        <f>IFERROR((U100/T100-1)*(T101/T$13),"-")</f>
        <v>-</v>
      </c>
      <c r="CD100" s="1395" t="str">
        <f>IFERROR((V100/U100-1)*(U101/U$13),"-")</f>
        <v>-</v>
      </c>
      <c r="CE100" s="1395" t="str">
        <f t="shared" ref="CE100:CR100" si="134">IFERROR((T100/S100-1)*(S101/S$13),"-")</f>
        <v>-</v>
      </c>
      <c r="CF100" s="1395" t="str">
        <f t="shared" si="134"/>
        <v>-</v>
      </c>
      <c r="CG100" s="1395" t="str">
        <f t="shared" si="134"/>
        <v>-</v>
      </c>
      <c r="CH100" s="1397" t="str">
        <f t="shared" si="134"/>
        <v>-</v>
      </c>
      <c r="CI100" s="1395" t="str">
        <f t="shared" si="134"/>
        <v>-</v>
      </c>
      <c r="CJ100" s="1395" t="str">
        <f t="shared" si="134"/>
        <v>-</v>
      </c>
      <c r="CK100" s="1395" t="str">
        <f t="shared" si="134"/>
        <v>-</v>
      </c>
      <c r="CL100" s="1395" t="str">
        <f t="shared" si="134"/>
        <v>-</v>
      </c>
      <c r="CM100" s="1397" t="str">
        <f t="shared" si="134"/>
        <v>-</v>
      </c>
      <c r="CN100" s="1395" t="str">
        <f t="shared" si="134"/>
        <v>-</v>
      </c>
      <c r="CO100" s="1395" t="str">
        <f t="shared" si="134"/>
        <v>-</v>
      </c>
      <c r="CP100" s="1395" t="str">
        <f t="shared" si="134"/>
        <v>-</v>
      </c>
      <c r="CQ100" s="1395" t="str">
        <f t="shared" si="134"/>
        <v>-</v>
      </c>
      <c r="CR100" s="1398" t="str">
        <f t="shared" si="134"/>
        <v>-</v>
      </c>
      <c r="CS100" s="1378"/>
      <c r="CT100" s="1392" t="str">
        <f t="shared" si="34"/>
        <v>Qty</v>
      </c>
      <c r="CU100" s="1393" t="str">
        <f t="shared" si="35"/>
        <v>[Service]</v>
      </c>
      <c r="CV100" s="1393" t="str">
        <f t="shared" si="36"/>
        <v>[Price]</v>
      </c>
      <c r="CW100" s="1401" t="str">
        <f t="shared" si="62"/>
        <v>-</v>
      </c>
      <c r="CX100" s="1395" t="str">
        <f t="shared" si="63"/>
        <v>-</v>
      </c>
      <c r="CY100" s="1395" t="str">
        <f t="shared" si="64"/>
        <v>-</v>
      </c>
      <c r="CZ100" s="1397" t="str">
        <f t="shared" si="65"/>
        <v>-</v>
      </c>
      <c r="DA100" s="1395" t="str">
        <f t="shared" si="66"/>
        <v>-</v>
      </c>
      <c r="DB100" s="1395" t="str">
        <f t="shared" si="67"/>
        <v>-</v>
      </c>
      <c r="DC100" s="1395" t="str">
        <f t="shared" si="68"/>
        <v>-</v>
      </c>
      <c r="DD100" s="1395" t="str">
        <f t="shared" si="69"/>
        <v>-</v>
      </c>
      <c r="DE100" s="1398" t="str">
        <f t="shared" si="70"/>
        <v>-</v>
      </c>
      <c r="DF100" s="1378"/>
      <c r="DG100" s="1392" t="str">
        <f t="shared" si="81"/>
        <v>Qty</v>
      </c>
      <c r="DH100" s="1393" t="str">
        <f t="shared" si="81"/>
        <v>[Service]</v>
      </c>
      <c r="DI100" s="1393" t="str">
        <f t="shared" si="81"/>
        <v>[Price]</v>
      </c>
      <c r="DJ100" s="1401" t="str">
        <f t="shared" si="71"/>
        <v>-</v>
      </c>
      <c r="DK100" s="1395" t="str">
        <f t="shared" si="72"/>
        <v>-</v>
      </c>
      <c r="DL100" s="1395" t="str">
        <f t="shared" si="73"/>
        <v>-</v>
      </c>
      <c r="DM100" s="1397" t="str">
        <f t="shared" si="74"/>
        <v>-</v>
      </c>
      <c r="DN100" s="1395" t="str">
        <f t="shared" si="75"/>
        <v>-</v>
      </c>
      <c r="DO100" s="1395" t="str">
        <f t="shared" si="76"/>
        <v>-</v>
      </c>
      <c r="DP100" s="1395" t="str">
        <f t="shared" si="77"/>
        <v>-</v>
      </c>
      <c r="DQ100" s="1398" t="str">
        <f t="shared" si="78"/>
        <v>-</v>
      </c>
    </row>
    <row r="101" spans="4:121" ht="12.75" thickBot="1">
      <c r="E101" s="743" t="s">
        <v>46</v>
      </c>
      <c r="F101" s="732" t="str">
        <f>+F99</f>
        <v>[Service]</v>
      </c>
      <c r="G101" s="733">
        <f>+G99</f>
        <v>0</v>
      </c>
      <c r="H101" s="733">
        <f>+H99</f>
        <v>0</v>
      </c>
      <c r="I101" s="734" t="str">
        <f>+I99</f>
        <v>[Price]</v>
      </c>
      <c r="J101" s="735" t="s">
        <v>344</v>
      </c>
      <c r="K101" s="736">
        <f t="shared" ref="K101:AG101" si="135">K99*K100/10^6</f>
        <v>0</v>
      </c>
      <c r="L101" s="737">
        <f t="shared" si="135"/>
        <v>0</v>
      </c>
      <c r="M101" s="737">
        <f t="shared" si="135"/>
        <v>0</v>
      </c>
      <c r="N101" s="738">
        <f t="shared" si="135"/>
        <v>0</v>
      </c>
      <c r="O101" s="737">
        <f t="shared" si="135"/>
        <v>0</v>
      </c>
      <c r="P101" s="738">
        <f t="shared" si="135"/>
        <v>0</v>
      </c>
      <c r="Q101" s="737">
        <f t="shared" si="135"/>
        <v>0</v>
      </c>
      <c r="R101" s="737">
        <f t="shared" si="135"/>
        <v>0</v>
      </c>
      <c r="S101" s="737">
        <f t="shared" si="135"/>
        <v>0</v>
      </c>
      <c r="T101" s="737">
        <f t="shared" si="135"/>
        <v>0</v>
      </c>
      <c r="U101" s="737">
        <f t="shared" si="135"/>
        <v>0</v>
      </c>
      <c r="V101" s="737">
        <f t="shared" si="135"/>
        <v>0</v>
      </c>
      <c r="W101" s="737">
        <f t="shared" si="135"/>
        <v>0</v>
      </c>
      <c r="X101" s="738">
        <f t="shared" si="135"/>
        <v>0</v>
      </c>
      <c r="Y101" s="737">
        <f t="shared" si="135"/>
        <v>0</v>
      </c>
      <c r="Z101" s="737">
        <f t="shared" si="135"/>
        <v>0</v>
      </c>
      <c r="AA101" s="737">
        <f t="shared" si="135"/>
        <v>0</v>
      </c>
      <c r="AB101" s="737">
        <f t="shared" si="135"/>
        <v>0</v>
      </c>
      <c r="AC101" s="738">
        <f t="shared" si="135"/>
        <v>0</v>
      </c>
      <c r="AD101" s="737">
        <f t="shared" si="135"/>
        <v>0</v>
      </c>
      <c r="AE101" s="737">
        <f t="shared" si="135"/>
        <v>0</v>
      </c>
      <c r="AF101" s="737">
        <f t="shared" si="135"/>
        <v>0</v>
      </c>
      <c r="AG101" s="739">
        <f t="shared" si="135"/>
        <v>0</v>
      </c>
      <c r="AH101" s="823"/>
      <c r="AI101" s="744"/>
      <c r="AJ101" s="741"/>
      <c r="AK101" s="729"/>
      <c r="AL101" s="729"/>
      <c r="AM101" s="729"/>
      <c r="AN101" s="729"/>
      <c r="AO101" s="730"/>
      <c r="AP101" s="74"/>
      <c r="AQ101" s="74"/>
      <c r="AR101" s="74"/>
      <c r="AS101" s="106"/>
      <c r="AW101" s="1428" t="str">
        <f t="shared" si="79"/>
        <v>Rev</v>
      </c>
      <c r="AX101" s="1429" t="str">
        <f t="shared" si="41"/>
        <v>[Service]</v>
      </c>
      <c r="AY101" s="1430" t="str">
        <f t="shared" si="42"/>
        <v>[Price]</v>
      </c>
      <c r="AZ101" s="1431" t="str">
        <f t="shared" ref="AZ101:BC116" si="136">IFERROR(P101/O101-1,"-")</f>
        <v>-</v>
      </c>
      <c r="BA101" s="1431" t="str">
        <f t="shared" si="136"/>
        <v>-</v>
      </c>
      <c r="BB101" s="1431" t="str">
        <f t="shared" si="136"/>
        <v>-</v>
      </c>
      <c r="BC101" s="1431" t="str">
        <f t="shared" si="136"/>
        <v>-</v>
      </c>
      <c r="BD101" s="1431" t="str">
        <f t="shared" si="44"/>
        <v>-</v>
      </c>
      <c r="BE101" s="1431" t="str">
        <f t="shared" si="45"/>
        <v>-</v>
      </c>
      <c r="BF101" s="1431" t="str">
        <f t="shared" si="46"/>
        <v>-</v>
      </c>
      <c r="BG101" s="1432" t="str">
        <f t="shared" si="47"/>
        <v>-</v>
      </c>
      <c r="BH101" s="1431" t="str">
        <f t="shared" si="48"/>
        <v>-</v>
      </c>
      <c r="BI101" s="1431" t="str">
        <f t="shared" si="49"/>
        <v>-</v>
      </c>
      <c r="BJ101" s="1431" t="str">
        <f t="shared" si="50"/>
        <v>-</v>
      </c>
      <c r="BK101" s="1431" t="str">
        <f t="shared" si="51"/>
        <v>-</v>
      </c>
      <c r="BL101" s="1433" t="str">
        <f t="shared" si="52"/>
        <v>-</v>
      </c>
      <c r="BM101" s="1431" t="str">
        <f t="shared" si="53"/>
        <v>-</v>
      </c>
      <c r="BN101" s="1431" t="str">
        <f t="shared" si="54"/>
        <v>-</v>
      </c>
      <c r="BO101" s="1431" t="str">
        <f t="shared" si="55"/>
        <v>-</v>
      </c>
      <c r="BP101" s="1431" t="str">
        <f t="shared" si="56"/>
        <v>-</v>
      </c>
      <c r="BQ101" s="1434" t="str">
        <f t="shared" si="57"/>
        <v>-</v>
      </c>
      <c r="BR101" s="1378"/>
      <c r="BS101" s="1407"/>
      <c r="BT101" s="1408"/>
      <c r="BU101" s="1409"/>
      <c r="BV101" s="1410"/>
      <c r="BW101" s="1378"/>
      <c r="BX101" s="1428" t="str">
        <f t="shared" si="58"/>
        <v>Rev</v>
      </c>
      <c r="BY101" s="1429" t="str">
        <f t="shared" si="105"/>
        <v>[Service]</v>
      </c>
      <c r="BZ101" s="1430" t="str">
        <f t="shared" si="106"/>
        <v>[Price]</v>
      </c>
      <c r="CA101" s="1435" t="str">
        <f>IFERROR((S101/R101-1)*(R101/R$13),"-")</f>
        <v>-</v>
      </c>
      <c r="CB101" s="1431" t="str">
        <f>IFERROR((T101/S101-1)*(S101/S$13),"-")</f>
        <v>-</v>
      </c>
      <c r="CC101" s="1431" t="str">
        <f>IFERROR((U101/T101-1)*(T101/T$13),"-")</f>
        <v>-</v>
      </c>
      <c r="CD101" s="1431" t="str">
        <f>IFERROR((V101/U101-1)*(U101/U$13),"-")</f>
        <v>-</v>
      </c>
      <c r="CE101" s="1431" t="str">
        <f t="shared" ref="CE101:CR101" si="137">IFERROR((T101/S101-1)*(S101/S$13),"-")</f>
        <v>-</v>
      </c>
      <c r="CF101" s="1431" t="str">
        <f t="shared" si="137"/>
        <v>-</v>
      </c>
      <c r="CG101" s="1431" t="str">
        <f t="shared" si="137"/>
        <v>-</v>
      </c>
      <c r="CH101" s="1433" t="str">
        <f t="shared" si="137"/>
        <v>-</v>
      </c>
      <c r="CI101" s="1431" t="str">
        <f t="shared" si="137"/>
        <v>-</v>
      </c>
      <c r="CJ101" s="1431" t="str">
        <f t="shared" si="137"/>
        <v>-</v>
      </c>
      <c r="CK101" s="1431" t="str">
        <f t="shared" si="137"/>
        <v>-</v>
      </c>
      <c r="CL101" s="1431" t="str">
        <f t="shared" si="137"/>
        <v>-</v>
      </c>
      <c r="CM101" s="1433" t="str">
        <f t="shared" si="137"/>
        <v>-</v>
      </c>
      <c r="CN101" s="1431" t="str">
        <f t="shared" si="137"/>
        <v>-</v>
      </c>
      <c r="CO101" s="1431" t="str">
        <f t="shared" si="137"/>
        <v>-</v>
      </c>
      <c r="CP101" s="1431" t="str">
        <f t="shared" si="137"/>
        <v>-</v>
      </c>
      <c r="CQ101" s="1431" t="str">
        <f t="shared" si="137"/>
        <v>-</v>
      </c>
      <c r="CR101" s="1434" t="str">
        <f t="shared" si="137"/>
        <v>-</v>
      </c>
      <c r="CS101" s="1378"/>
      <c r="CT101" s="1428" t="str">
        <f t="shared" si="34"/>
        <v>Rev</v>
      </c>
      <c r="CU101" s="1429" t="str">
        <f t="shared" si="35"/>
        <v>[Service]</v>
      </c>
      <c r="CV101" s="1429" t="str">
        <f t="shared" si="36"/>
        <v>[Price]</v>
      </c>
      <c r="CW101" s="1435" t="str">
        <f t="shared" si="62"/>
        <v>-</v>
      </c>
      <c r="CX101" s="1431" t="str">
        <f t="shared" si="63"/>
        <v>-</v>
      </c>
      <c r="CY101" s="1431" t="str">
        <f t="shared" si="64"/>
        <v>-</v>
      </c>
      <c r="CZ101" s="1433" t="str">
        <f t="shared" si="65"/>
        <v>-</v>
      </c>
      <c r="DA101" s="1431" t="str">
        <f t="shared" si="66"/>
        <v>-</v>
      </c>
      <c r="DB101" s="1431" t="str">
        <f t="shared" si="67"/>
        <v>-</v>
      </c>
      <c r="DC101" s="1431" t="str">
        <f t="shared" si="68"/>
        <v>-</v>
      </c>
      <c r="DD101" s="1431" t="str">
        <f t="shared" si="69"/>
        <v>-</v>
      </c>
      <c r="DE101" s="1434" t="str">
        <f t="shared" si="70"/>
        <v>-</v>
      </c>
      <c r="DF101" s="1378"/>
      <c r="DG101" s="1428" t="str">
        <f t="shared" si="81"/>
        <v>Rev</v>
      </c>
      <c r="DH101" s="1429" t="str">
        <f t="shared" si="81"/>
        <v>[Service]</v>
      </c>
      <c r="DI101" s="1429" t="str">
        <f t="shared" si="81"/>
        <v>[Price]</v>
      </c>
      <c r="DJ101" s="1435" t="str">
        <f t="shared" si="71"/>
        <v>-</v>
      </c>
      <c r="DK101" s="1431" t="str">
        <f t="shared" si="72"/>
        <v>-</v>
      </c>
      <c r="DL101" s="1431" t="str">
        <f t="shared" si="73"/>
        <v>-</v>
      </c>
      <c r="DM101" s="1433" t="str">
        <f t="shared" si="74"/>
        <v>-</v>
      </c>
      <c r="DN101" s="1431" t="str">
        <f t="shared" si="75"/>
        <v>-</v>
      </c>
      <c r="DO101" s="1431" t="str">
        <f t="shared" si="76"/>
        <v>-</v>
      </c>
      <c r="DP101" s="1431" t="str">
        <f t="shared" si="77"/>
        <v>-</v>
      </c>
      <c r="DQ101" s="1434" t="str">
        <f t="shared" si="78"/>
        <v>-</v>
      </c>
    </row>
    <row r="102" spans="4:121">
      <c r="D102" s="70">
        <f>D99+1</f>
        <v>12</v>
      </c>
      <c r="E102" s="713" t="s">
        <v>44</v>
      </c>
      <c r="F102" s="789" t="s">
        <v>27</v>
      </c>
      <c r="G102" s="789"/>
      <c r="H102" s="789"/>
      <c r="I102" s="781" t="s">
        <v>318</v>
      </c>
      <c r="J102" s="781" t="s">
        <v>345</v>
      </c>
      <c r="K102" s="714"/>
      <c r="L102" s="715"/>
      <c r="M102" s="715"/>
      <c r="N102" s="716"/>
      <c r="O102" s="783"/>
      <c r="P102" s="784"/>
      <c r="Q102" s="783"/>
      <c r="R102" s="783"/>
      <c r="S102" s="783"/>
      <c r="T102" s="783"/>
      <c r="U102" s="783"/>
      <c r="V102" s="783"/>
      <c r="W102" s="783"/>
      <c r="X102" s="784"/>
      <c r="Y102" s="783"/>
      <c r="Z102" s="783"/>
      <c r="AA102" s="783"/>
      <c r="AB102" s="783"/>
      <c r="AC102" s="784"/>
      <c r="AD102" s="783"/>
      <c r="AE102" s="783"/>
      <c r="AF102" s="783"/>
      <c r="AG102" s="785"/>
      <c r="AI102" s="702"/>
      <c r="AJ102" s="717" t="str">
        <f t="shared" ref="AJ102:AS102" si="138">IFERROR((X102-W102)/W102,"")</f>
        <v/>
      </c>
      <c r="AK102" s="718" t="str">
        <f t="shared" si="138"/>
        <v/>
      </c>
      <c r="AL102" s="718" t="str">
        <f t="shared" si="138"/>
        <v/>
      </c>
      <c r="AM102" s="718" t="str">
        <f t="shared" si="138"/>
        <v/>
      </c>
      <c r="AN102" s="718" t="str">
        <f t="shared" si="138"/>
        <v/>
      </c>
      <c r="AO102" s="719" t="str">
        <f t="shared" si="138"/>
        <v/>
      </c>
      <c r="AP102" s="494" t="str">
        <f t="shared" si="138"/>
        <v/>
      </c>
      <c r="AQ102" s="494" t="str">
        <f t="shared" si="138"/>
        <v/>
      </c>
      <c r="AR102" s="494" t="str">
        <f t="shared" si="138"/>
        <v/>
      </c>
      <c r="AS102" s="720" t="str">
        <f t="shared" si="138"/>
        <v/>
      </c>
      <c r="AU102" s="1369"/>
      <c r="AW102" s="1412" t="str">
        <f t="shared" si="79"/>
        <v>Price</v>
      </c>
      <c r="AX102" s="1413" t="str">
        <f t="shared" si="41"/>
        <v>[Service]</v>
      </c>
      <c r="AY102" s="1414" t="str">
        <f t="shared" si="42"/>
        <v>[Price]</v>
      </c>
      <c r="AZ102" s="1415" t="str">
        <f t="shared" si="136"/>
        <v>-</v>
      </c>
      <c r="BA102" s="1415" t="str">
        <f t="shared" si="136"/>
        <v>-</v>
      </c>
      <c r="BB102" s="1415" t="str">
        <f t="shared" si="136"/>
        <v>-</v>
      </c>
      <c r="BC102" s="1415" t="str">
        <f t="shared" si="136"/>
        <v>-</v>
      </c>
      <c r="BD102" s="1415" t="str">
        <f t="shared" si="44"/>
        <v>-</v>
      </c>
      <c r="BE102" s="1415" t="str">
        <f t="shared" si="45"/>
        <v>-</v>
      </c>
      <c r="BF102" s="1415" t="str">
        <f t="shared" si="46"/>
        <v>-</v>
      </c>
      <c r="BG102" s="1416" t="str">
        <f t="shared" si="47"/>
        <v>-</v>
      </c>
      <c r="BH102" s="1417" t="str">
        <f t="shared" si="48"/>
        <v>-</v>
      </c>
      <c r="BI102" s="1417" t="str">
        <f t="shared" si="49"/>
        <v>-</v>
      </c>
      <c r="BJ102" s="1417" t="str">
        <f t="shared" si="50"/>
        <v>-</v>
      </c>
      <c r="BK102" s="1417" t="str">
        <f t="shared" si="51"/>
        <v>-</v>
      </c>
      <c r="BL102" s="1418" t="str">
        <f t="shared" si="52"/>
        <v>-</v>
      </c>
      <c r="BM102" s="1417" t="str">
        <f t="shared" si="53"/>
        <v>-</v>
      </c>
      <c r="BN102" s="1417" t="str">
        <f t="shared" si="54"/>
        <v>-</v>
      </c>
      <c r="BO102" s="1417" t="str">
        <f t="shared" si="55"/>
        <v>-</v>
      </c>
      <c r="BP102" s="1417" t="str">
        <f t="shared" si="56"/>
        <v>-</v>
      </c>
      <c r="BQ102" s="1419" t="str">
        <f t="shared" si="57"/>
        <v>-</v>
      </c>
      <c r="BR102" s="1378"/>
      <c r="BS102" s="1420"/>
      <c r="BT102" s="1421"/>
      <c r="BU102" s="1422"/>
      <c r="BV102" s="1423"/>
      <c r="BW102" s="1378"/>
      <c r="BX102" s="1412" t="str">
        <f t="shared" si="58"/>
        <v>Price</v>
      </c>
      <c r="BY102" s="1413" t="str">
        <f t="shared" si="105"/>
        <v>[Service]</v>
      </c>
      <c r="BZ102" s="1414" t="str">
        <f t="shared" si="106"/>
        <v>[Price]</v>
      </c>
      <c r="CA102" s="1424" t="str">
        <f>IFERROR((S102/R102-1)*(R104/R$13),"-")</f>
        <v>-</v>
      </c>
      <c r="CB102" s="1415" t="str">
        <f>IFERROR((T102/S102-1)*(S104/S$13),"-")</f>
        <v>-</v>
      </c>
      <c r="CC102" s="1415" t="str">
        <f>IFERROR((U102/T102-1)*(T104/T$13),"-")</f>
        <v>-</v>
      </c>
      <c r="CD102" s="1415" t="str">
        <f>IFERROR((V102/U102-1)*(U104/U$13),"-")</f>
        <v>-</v>
      </c>
      <c r="CE102" s="1415" t="str">
        <f t="shared" ref="CE102:CR102" si="139">IFERROR((T102/S102-1)*(S104/S$13),"-")</f>
        <v>-</v>
      </c>
      <c r="CF102" s="1415" t="str">
        <f t="shared" si="139"/>
        <v>-</v>
      </c>
      <c r="CG102" s="1415" t="str">
        <f t="shared" si="139"/>
        <v>-</v>
      </c>
      <c r="CH102" s="1425" t="str">
        <f t="shared" si="139"/>
        <v>-</v>
      </c>
      <c r="CI102" s="1417" t="str">
        <f t="shared" si="139"/>
        <v>-</v>
      </c>
      <c r="CJ102" s="1417" t="str">
        <f t="shared" si="139"/>
        <v>-</v>
      </c>
      <c r="CK102" s="1417" t="str">
        <f t="shared" si="139"/>
        <v>-</v>
      </c>
      <c r="CL102" s="1417" t="str">
        <f t="shared" si="139"/>
        <v>-</v>
      </c>
      <c r="CM102" s="1418" t="str">
        <f t="shared" si="139"/>
        <v>-</v>
      </c>
      <c r="CN102" s="1417" t="str">
        <f t="shared" si="139"/>
        <v>-</v>
      </c>
      <c r="CO102" s="1417" t="str">
        <f t="shared" si="139"/>
        <v>-</v>
      </c>
      <c r="CP102" s="1417" t="str">
        <f t="shared" si="139"/>
        <v>-</v>
      </c>
      <c r="CQ102" s="1417" t="str">
        <f t="shared" si="139"/>
        <v>-</v>
      </c>
      <c r="CR102" s="1419" t="str">
        <f t="shared" si="139"/>
        <v>-</v>
      </c>
      <c r="CS102" s="1378"/>
      <c r="CT102" s="1412" t="str">
        <f t="shared" si="34"/>
        <v>Price</v>
      </c>
      <c r="CU102" s="1413" t="str">
        <f t="shared" si="35"/>
        <v>[Service]</v>
      </c>
      <c r="CV102" s="1426" t="str">
        <f t="shared" si="36"/>
        <v>[Price]</v>
      </c>
      <c r="CW102" s="1427" t="str">
        <f t="shared" si="62"/>
        <v>-</v>
      </c>
      <c r="CX102" s="1417" t="str">
        <f t="shared" si="63"/>
        <v>-</v>
      </c>
      <c r="CY102" s="1417" t="str">
        <f t="shared" si="64"/>
        <v>-</v>
      </c>
      <c r="CZ102" s="1418" t="str">
        <f t="shared" si="65"/>
        <v>-</v>
      </c>
      <c r="DA102" s="1417" t="str">
        <f t="shared" si="66"/>
        <v>-</v>
      </c>
      <c r="DB102" s="1417" t="str">
        <f t="shared" si="67"/>
        <v>-</v>
      </c>
      <c r="DC102" s="1417" t="str">
        <f t="shared" si="68"/>
        <v>-</v>
      </c>
      <c r="DD102" s="1417" t="str">
        <f t="shared" si="69"/>
        <v>-</v>
      </c>
      <c r="DE102" s="1419" t="str">
        <f t="shared" si="70"/>
        <v>-</v>
      </c>
      <c r="DF102" s="1378"/>
      <c r="DG102" s="1412" t="str">
        <f t="shared" si="81"/>
        <v>Price</v>
      </c>
      <c r="DH102" s="1413" t="str">
        <f t="shared" si="81"/>
        <v>[Service]</v>
      </c>
      <c r="DI102" s="1426" t="str">
        <f t="shared" si="81"/>
        <v>[Price]</v>
      </c>
      <c r="DJ102" s="1427" t="str">
        <f t="shared" si="71"/>
        <v>-</v>
      </c>
      <c r="DK102" s="1417" t="str">
        <f t="shared" si="72"/>
        <v>-</v>
      </c>
      <c r="DL102" s="1417" t="str">
        <f t="shared" si="73"/>
        <v>-</v>
      </c>
      <c r="DM102" s="1418" t="str">
        <f t="shared" si="74"/>
        <v>-</v>
      </c>
      <c r="DN102" s="1417" t="str">
        <f t="shared" si="75"/>
        <v>-</v>
      </c>
      <c r="DO102" s="1417" t="str">
        <f t="shared" si="76"/>
        <v>-</v>
      </c>
      <c r="DP102" s="1417" t="str">
        <f t="shared" si="77"/>
        <v>-</v>
      </c>
      <c r="DQ102" s="1419" t="str">
        <f t="shared" si="78"/>
        <v>-</v>
      </c>
    </row>
    <row r="103" spans="4:121">
      <c r="E103" s="742" t="s">
        <v>45</v>
      </c>
      <c r="F103" s="722" t="str">
        <f>+F102</f>
        <v>[Service]</v>
      </c>
      <c r="G103" s="723">
        <f>+G102</f>
        <v>0</v>
      </c>
      <c r="H103" s="723">
        <f>+H102</f>
        <v>0</v>
      </c>
      <c r="I103" s="724" t="str">
        <f>+I102</f>
        <v>[Price]</v>
      </c>
      <c r="J103" s="782" t="s">
        <v>322</v>
      </c>
      <c r="K103" s="725"/>
      <c r="L103" s="726"/>
      <c r="M103" s="726"/>
      <c r="N103" s="727"/>
      <c r="O103" s="786"/>
      <c r="P103" s="787"/>
      <c r="Q103" s="786"/>
      <c r="R103" s="786"/>
      <c r="S103" s="786"/>
      <c r="T103" s="786"/>
      <c r="U103" s="786"/>
      <c r="V103" s="786"/>
      <c r="W103" s="786"/>
      <c r="X103" s="787"/>
      <c r="Y103" s="786"/>
      <c r="Z103" s="786"/>
      <c r="AA103" s="786"/>
      <c r="AB103" s="786"/>
      <c r="AC103" s="787"/>
      <c r="AD103" s="786"/>
      <c r="AE103" s="786"/>
      <c r="AF103" s="786"/>
      <c r="AG103" s="788"/>
      <c r="AH103" s="823"/>
      <c r="AI103" s="702"/>
      <c r="AJ103" s="728"/>
      <c r="AK103" s="729"/>
      <c r="AL103" s="729"/>
      <c r="AM103" s="729"/>
      <c r="AN103" s="729"/>
      <c r="AO103" s="730"/>
      <c r="AP103" s="74"/>
      <c r="AQ103" s="74"/>
      <c r="AR103" s="74"/>
      <c r="AS103" s="106"/>
      <c r="AW103" s="1392" t="str">
        <f t="shared" si="79"/>
        <v>Qty</v>
      </c>
      <c r="AX103" s="1393" t="str">
        <f t="shared" si="41"/>
        <v>[Service]</v>
      </c>
      <c r="AY103" s="1394" t="str">
        <f t="shared" si="42"/>
        <v>[Price]</v>
      </c>
      <c r="AZ103" s="1395" t="str">
        <f t="shared" si="136"/>
        <v>-</v>
      </c>
      <c r="BA103" s="1395" t="str">
        <f t="shared" si="136"/>
        <v>-</v>
      </c>
      <c r="BB103" s="1395" t="str">
        <f t="shared" si="136"/>
        <v>-</v>
      </c>
      <c r="BC103" s="1395" t="str">
        <f t="shared" si="136"/>
        <v>-</v>
      </c>
      <c r="BD103" s="1395" t="str">
        <f t="shared" si="44"/>
        <v>-</v>
      </c>
      <c r="BE103" s="1395" t="str">
        <f t="shared" si="45"/>
        <v>-</v>
      </c>
      <c r="BF103" s="1395" t="str">
        <f t="shared" si="46"/>
        <v>-</v>
      </c>
      <c r="BG103" s="1396" t="str">
        <f t="shared" si="47"/>
        <v>-</v>
      </c>
      <c r="BH103" s="1395" t="str">
        <f t="shared" si="48"/>
        <v>-</v>
      </c>
      <c r="BI103" s="1395" t="str">
        <f t="shared" si="49"/>
        <v>-</v>
      </c>
      <c r="BJ103" s="1395" t="str">
        <f t="shared" si="50"/>
        <v>-</v>
      </c>
      <c r="BK103" s="1395" t="str">
        <f t="shared" si="51"/>
        <v>-</v>
      </c>
      <c r="BL103" s="1397" t="str">
        <f t="shared" si="52"/>
        <v>-</v>
      </c>
      <c r="BM103" s="1395" t="str">
        <f t="shared" si="53"/>
        <v>-</v>
      </c>
      <c r="BN103" s="1395" t="str">
        <f t="shared" si="54"/>
        <v>-</v>
      </c>
      <c r="BO103" s="1395" t="str">
        <f t="shared" si="55"/>
        <v>-</v>
      </c>
      <c r="BP103" s="1395" t="str">
        <f t="shared" si="56"/>
        <v>-</v>
      </c>
      <c r="BQ103" s="1398" t="str">
        <f t="shared" si="57"/>
        <v>-</v>
      </c>
      <c r="BR103" s="1378"/>
      <c r="BS103" s="1329"/>
      <c r="BT103" s="1399"/>
      <c r="BU103" s="1331"/>
      <c r="BV103" s="1400"/>
      <c r="BW103" s="1378"/>
      <c r="BX103" s="1392" t="str">
        <f t="shared" si="58"/>
        <v>Qty</v>
      </c>
      <c r="BY103" s="1393" t="str">
        <f t="shared" si="105"/>
        <v>[Service]</v>
      </c>
      <c r="BZ103" s="1394" t="str">
        <f t="shared" si="106"/>
        <v>[Price]</v>
      </c>
      <c r="CA103" s="1401" t="str">
        <f>IFERROR((S103/R103-1)*(R104/R$13),"-")</f>
        <v>-</v>
      </c>
      <c r="CB103" s="1395" t="str">
        <f>IFERROR((T103/S103-1)*(S104/S$13),"-")</f>
        <v>-</v>
      </c>
      <c r="CC103" s="1395" t="str">
        <f>IFERROR((U103/T103-1)*(T104/T$13),"-")</f>
        <v>-</v>
      </c>
      <c r="CD103" s="1395" t="str">
        <f>IFERROR((V103/U103-1)*(U104/U$13),"-")</f>
        <v>-</v>
      </c>
      <c r="CE103" s="1395" t="str">
        <f t="shared" ref="CE103:CR103" si="140">IFERROR((T103/S103-1)*(S104/S$13),"-")</f>
        <v>-</v>
      </c>
      <c r="CF103" s="1395" t="str">
        <f t="shared" si="140"/>
        <v>-</v>
      </c>
      <c r="CG103" s="1395" t="str">
        <f t="shared" si="140"/>
        <v>-</v>
      </c>
      <c r="CH103" s="1397" t="str">
        <f t="shared" si="140"/>
        <v>-</v>
      </c>
      <c r="CI103" s="1395" t="str">
        <f t="shared" si="140"/>
        <v>-</v>
      </c>
      <c r="CJ103" s="1395" t="str">
        <f t="shared" si="140"/>
        <v>-</v>
      </c>
      <c r="CK103" s="1395" t="str">
        <f t="shared" si="140"/>
        <v>-</v>
      </c>
      <c r="CL103" s="1395" t="str">
        <f t="shared" si="140"/>
        <v>-</v>
      </c>
      <c r="CM103" s="1397" t="str">
        <f t="shared" si="140"/>
        <v>-</v>
      </c>
      <c r="CN103" s="1395" t="str">
        <f t="shared" si="140"/>
        <v>-</v>
      </c>
      <c r="CO103" s="1395" t="str">
        <f t="shared" si="140"/>
        <v>-</v>
      </c>
      <c r="CP103" s="1395" t="str">
        <f t="shared" si="140"/>
        <v>-</v>
      </c>
      <c r="CQ103" s="1395" t="str">
        <f t="shared" si="140"/>
        <v>-</v>
      </c>
      <c r="CR103" s="1398" t="str">
        <f t="shared" si="140"/>
        <v>-</v>
      </c>
      <c r="CS103" s="1378"/>
      <c r="CT103" s="1392" t="str">
        <f t="shared" si="34"/>
        <v>Qty</v>
      </c>
      <c r="CU103" s="1393" t="str">
        <f t="shared" si="35"/>
        <v>[Service]</v>
      </c>
      <c r="CV103" s="1393" t="str">
        <f t="shared" si="36"/>
        <v>[Price]</v>
      </c>
      <c r="CW103" s="1401" t="str">
        <f t="shared" si="62"/>
        <v>-</v>
      </c>
      <c r="CX103" s="1395" t="str">
        <f t="shared" si="63"/>
        <v>-</v>
      </c>
      <c r="CY103" s="1395" t="str">
        <f t="shared" si="64"/>
        <v>-</v>
      </c>
      <c r="CZ103" s="1397" t="str">
        <f t="shared" si="65"/>
        <v>-</v>
      </c>
      <c r="DA103" s="1395" t="str">
        <f t="shared" si="66"/>
        <v>-</v>
      </c>
      <c r="DB103" s="1395" t="str">
        <f t="shared" si="67"/>
        <v>-</v>
      </c>
      <c r="DC103" s="1395" t="str">
        <f t="shared" si="68"/>
        <v>-</v>
      </c>
      <c r="DD103" s="1395" t="str">
        <f t="shared" si="69"/>
        <v>-</v>
      </c>
      <c r="DE103" s="1398" t="str">
        <f t="shared" si="70"/>
        <v>-</v>
      </c>
      <c r="DF103" s="1378"/>
      <c r="DG103" s="1392" t="str">
        <f t="shared" si="81"/>
        <v>Qty</v>
      </c>
      <c r="DH103" s="1393" t="str">
        <f t="shared" si="81"/>
        <v>[Service]</v>
      </c>
      <c r="DI103" s="1393" t="str">
        <f t="shared" si="81"/>
        <v>[Price]</v>
      </c>
      <c r="DJ103" s="1401" t="str">
        <f t="shared" si="71"/>
        <v>-</v>
      </c>
      <c r="DK103" s="1395" t="str">
        <f t="shared" si="72"/>
        <v>-</v>
      </c>
      <c r="DL103" s="1395" t="str">
        <f t="shared" si="73"/>
        <v>-</v>
      </c>
      <c r="DM103" s="1397" t="str">
        <f t="shared" si="74"/>
        <v>-</v>
      </c>
      <c r="DN103" s="1395" t="str">
        <f t="shared" si="75"/>
        <v>-</v>
      </c>
      <c r="DO103" s="1395" t="str">
        <f t="shared" si="76"/>
        <v>-</v>
      </c>
      <c r="DP103" s="1395" t="str">
        <f t="shared" si="77"/>
        <v>-</v>
      </c>
      <c r="DQ103" s="1398" t="str">
        <f t="shared" si="78"/>
        <v>-</v>
      </c>
    </row>
    <row r="104" spans="4:121" ht="12.75" thickBot="1">
      <c r="E104" s="743" t="s">
        <v>46</v>
      </c>
      <c r="F104" s="732" t="str">
        <f>+F102</f>
        <v>[Service]</v>
      </c>
      <c r="G104" s="733">
        <f>+G102</f>
        <v>0</v>
      </c>
      <c r="H104" s="733">
        <f>+H102</f>
        <v>0</v>
      </c>
      <c r="I104" s="734" t="str">
        <f>+I102</f>
        <v>[Price]</v>
      </c>
      <c r="J104" s="735" t="s">
        <v>344</v>
      </c>
      <c r="K104" s="736">
        <f t="shared" ref="K104:AG104" si="141">K102*K103/10^6</f>
        <v>0</v>
      </c>
      <c r="L104" s="737">
        <f t="shared" si="141"/>
        <v>0</v>
      </c>
      <c r="M104" s="737">
        <f t="shared" si="141"/>
        <v>0</v>
      </c>
      <c r="N104" s="738">
        <f t="shared" si="141"/>
        <v>0</v>
      </c>
      <c r="O104" s="737">
        <f t="shared" si="141"/>
        <v>0</v>
      </c>
      <c r="P104" s="738">
        <f t="shared" si="141"/>
        <v>0</v>
      </c>
      <c r="Q104" s="737">
        <f t="shared" si="141"/>
        <v>0</v>
      </c>
      <c r="R104" s="737">
        <f t="shared" si="141"/>
        <v>0</v>
      </c>
      <c r="S104" s="737">
        <f t="shared" si="141"/>
        <v>0</v>
      </c>
      <c r="T104" s="737">
        <f t="shared" si="141"/>
        <v>0</v>
      </c>
      <c r="U104" s="737">
        <f t="shared" si="141"/>
        <v>0</v>
      </c>
      <c r="V104" s="737">
        <f t="shared" si="141"/>
        <v>0</v>
      </c>
      <c r="W104" s="737">
        <f t="shared" si="141"/>
        <v>0</v>
      </c>
      <c r="X104" s="738">
        <f t="shared" si="141"/>
        <v>0</v>
      </c>
      <c r="Y104" s="737">
        <f t="shared" si="141"/>
        <v>0</v>
      </c>
      <c r="Z104" s="737">
        <f t="shared" si="141"/>
        <v>0</v>
      </c>
      <c r="AA104" s="737">
        <f t="shared" si="141"/>
        <v>0</v>
      </c>
      <c r="AB104" s="737">
        <f t="shared" si="141"/>
        <v>0</v>
      </c>
      <c r="AC104" s="738">
        <f t="shared" si="141"/>
        <v>0</v>
      </c>
      <c r="AD104" s="737">
        <f t="shared" si="141"/>
        <v>0</v>
      </c>
      <c r="AE104" s="737">
        <f t="shared" si="141"/>
        <v>0</v>
      </c>
      <c r="AF104" s="737">
        <f t="shared" si="141"/>
        <v>0</v>
      </c>
      <c r="AG104" s="739">
        <f t="shared" si="141"/>
        <v>0</v>
      </c>
      <c r="AH104" s="823"/>
      <c r="AI104" s="744"/>
      <c r="AJ104" s="741"/>
      <c r="AK104" s="729"/>
      <c r="AL104" s="729"/>
      <c r="AM104" s="729"/>
      <c r="AN104" s="729"/>
      <c r="AO104" s="730"/>
      <c r="AP104" s="74"/>
      <c r="AQ104" s="74"/>
      <c r="AR104" s="74"/>
      <c r="AS104" s="106"/>
      <c r="AW104" s="1428" t="str">
        <f t="shared" si="79"/>
        <v>Rev</v>
      </c>
      <c r="AX104" s="1429" t="str">
        <f t="shared" si="41"/>
        <v>[Service]</v>
      </c>
      <c r="AY104" s="1430" t="str">
        <f t="shared" si="42"/>
        <v>[Price]</v>
      </c>
      <c r="AZ104" s="1431" t="str">
        <f t="shared" si="136"/>
        <v>-</v>
      </c>
      <c r="BA104" s="1431" t="str">
        <f t="shared" si="136"/>
        <v>-</v>
      </c>
      <c r="BB104" s="1431" t="str">
        <f t="shared" si="136"/>
        <v>-</v>
      </c>
      <c r="BC104" s="1431" t="str">
        <f t="shared" si="136"/>
        <v>-</v>
      </c>
      <c r="BD104" s="1431" t="str">
        <f t="shared" si="44"/>
        <v>-</v>
      </c>
      <c r="BE104" s="1431" t="str">
        <f t="shared" si="45"/>
        <v>-</v>
      </c>
      <c r="BF104" s="1431" t="str">
        <f t="shared" si="46"/>
        <v>-</v>
      </c>
      <c r="BG104" s="1432" t="str">
        <f t="shared" si="47"/>
        <v>-</v>
      </c>
      <c r="BH104" s="1431" t="str">
        <f t="shared" si="48"/>
        <v>-</v>
      </c>
      <c r="BI104" s="1431" t="str">
        <f t="shared" si="49"/>
        <v>-</v>
      </c>
      <c r="BJ104" s="1431" t="str">
        <f t="shared" si="50"/>
        <v>-</v>
      </c>
      <c r="BK104" s="1431" t="str">
        <f t="shared" si="51"/>
        <v>-</v>
      </c>
      <c r="BL104" s="1433" t="str">
        <f t="shared" si="52"/>
        <v>-</v>
      </c>
      <c r="BM104" s="1431" t="str">
        <f t="shared" si="53"/>
        <v>-</v>
      </c>
      <c r="BN104" s="1431" t="str">
        <f t="shared" si="54"/>
        <v>-</v>
      </c>
      <c r="BO104" s="1431" t="str">
        <f t="shared" si="55"/>
        <v>-</v>
      </c>
      <c r="BP104" s="1431" t="str">
        <f t="shared" si="56"/>
        <v>-</v>
      </c>
      <c r="BQ104" s="1434" t="str">
        <f t="shared" si="57"/>
        <v>-</v>
      </c>
      <c r="BR104" s="1378"/>
      <c r="BS104" s="1407"/>
      <c r="BT104" s="1408"/>
      <c r="BU104" s="1409"/>
      <c r="BV104" s="1410"/>
      <c r="BW104" s="1378"/>
      <c r="BX104" s="1428" t="str">
        <f t="shared" si="58"/>
        <v>Rev</v>
      </c>
      <c r="BY104" s="1429" t="str">
        <f t="shared" si="105"/>
        <v>[Service]</v>
      </c>
      <c r="BZ104" s="1430" t="str">
        <f t="shared" si="106"/>
        <v>[Price]</v>
      </c>
      <c r="CA104" s="1435" t="str">
        <f>IFERROR((S104/R104-1)*(R104/R$13),"-")</f>
        <v>-</v>
      </c>
      <c r="CB104" s="1431" t="str">
        <f>IFERROR((T104/S104-1)*(S104/S$13),"-")</f>
        <v>-</v>
      </c>
      <c r="CC104" s="1431" t="str">
        <f>IFERROR((U104/T104-1)*(T104/T$13),"-")</f>
        <v>-</v>
      </c>
      <c r="CD104" s="1431" t="str">
        <f>IFERROR((V104/U104-1)*(U104/U$13),"-")</f>
        <v>-</v>
      </c>
      <c r="CE104" s="1431" t="str">
        <f t="shared" ref="CE104:CR104" si="142">IFERROR((T104/S104-1)*(S104/S$13),"-")</f>
        <v>-</v>
      </c>
      <c r="CF104" s="1431" t="str">
        <f t="shared" si="142"/>
        <v>-</v>
      </c>
      <c r="CG104" s="1431" t="str">
        <f t="shared" si="142"/>
        <v>-</v>
      </c>
      <c r="CH104" s="1433" t="str">
        <f t="shared" si="142"/>
        <v>-</v>
      </c>
      <c r="CI104" s="1431" t="str">
        <f t="shared" si="142"/>
        <v>-</v>
      </c>
      <c r="CJ104" s="1431" t="str">
        <f t="shared" si="142"/>
        <v>-</v>
      </c>
      <c r="CK104" s="1431" t="str">
        <f t="shared" si="142"/>
        <v>-</v>
      </c>
      <c r="CL104" s="1431" t="str">
        <f t="shared" si="142"/>
        <v>-</v>
      </c>
      <c r="CM104" s="1433" t="str">
        <f t="shared" si="142"/>
        <v>-</v>
      </c>
      <c r="CN104" s="1431" t="str">
        <f t="shared" si="142"/>
        <v>-</v>
      </c>
      <c r="CO104" s="1431" t="str">
        <f t="shared" si="142"/>
        <v>-</v>
      </c>
      <c r="CP104" s="1431" t="str">
        <f t="shared" si="142"/>
        <v>-</v>
      </c>
      <c r="CQ104" s="1431" t="str">
        <f t="shared" si="142"/>
        <v>-</v>
      </c>
      <c r="CR104" s="1434" t="str">
        <f t="shared" si="142"/>
        <v>-</v>
      </c>
      <c r="CS104" s="1378"/>
      <c r="CT104" s="1428" t="str">
        <f t="shared" si="34"/>
        <v>Rev</v>
      </c>
      <c r="CU104" s="1429" t="str">
        <f t="shared" si="35"/>
        <v>[Service]</v>
      </c>
      <c r="CV104" s="1429" t="str">
        <f t="shared" si="36"/>
        <v>[Price]</v>
      </c>
      <c r="CW104" s="1435" t="str">
        <f t="shared" si="62"/>
        <v>-</v>
      </c>
      <c r="CX104" s="1431" t="str">
        <f t="shared" si="63"/>
        <v>-</v>
      </c>
      <c r="CY104" s="1431" t="str">
        <f t="shared" si="64"/>
        <v>-</v>
      </c>
      <c r="CZ104" s="1433" t="str">
        <f t="shared" si="65"/>
        <v>-</v>
      </c>
      <c r="DA104" s="1431" t="str">
        <f t="shared" si="66"/>
        <v>-</v>
      </c>
      <c r="DB104" s="1431" t="str">
        <f t="shared" si="67"/>
        <v>-</v>
      </c>
      <c r="DC104" s="1431" t="str">
        <f t="shared" si="68"/>
        <v>-</v>
      </c>
      <c r="DD104" s="1431" t="str">
        <f t="shared" si="69"/>
        <v>-</v>
      </c>
      <c r="DE104" s="1434" t="str">
        <f t="shared" si="70"/>
        <v>-</v>
      </c>
      <c r="DF104" s="1378"/>
      <c r="DG104" s="1428" t="str">
        <f t="shared" si="81"/>
        <v>Rev</v>
      </c>
      <c r="DH104" s="1429" t="str">
        <f t="shared" si="81"/>
        <v>[Service]</v>
      </c>
      <c r="DI104" s="1429" t="str">
        <f t="shared" si="81"/>
        <v>[Price]</v>
      </c>
      <c r="DJ104" s="1435" t="str">
        <f t="shared" si="71"/>
        <v>-</v>
      </c>
      <c r="DK104" s="1431" t="str">
        <f t="shared" si="72"/>
        <v>-</v>
      </c>
      <c r="DL104" s="1431" t="str">
        <f t="shared" si="73"/>
        <v>-</v>
      </c>
      <c r="DM104" s="1433" t="str">
        <f t="shared" si="74"/>
        <v>-</v>
      </c>
      <c r="DN104" s="1431" t="str">
        <f t="shared" si="75"/>
        <v>-</v>
      </c>
      <c r="DO104" s="1431" t="str">
        <f t="shared" si="76"/>
        <v>-</v>
      </c>
      <c r="DP104" s="1431" t="str">
        <f t="shared" si="77"/>
        <v>-</v>
      </c>
      <c r="DQ104" s="1434" t="str">
        <f t="shared" si="78"/>
        <v>-</v>
      </c>
    </row>
    <row r="105" spans="4:121">
      <c r="D105" s="70">
        <f>D102+1</f>
        <v>13</v>
      </c>
      <c r="E105" s="713" t="s">
        <v>44</v>
      </c>
      <c r="F105" s="789" t="s">
        <v>27</v>
      </c>
      <c r="G105" s="789"/>
      <c r="H105" s="789"/>
      <c r="I105" s="781" t="s">
        <v>318</v>
      </c>
      <c r="J105" s="781" t="s">
        <v>345</v>
      </c>
      <c r="K105" s="714"/>
      <c r="L105" s="715"/>
      <c r="M105" s="715"/>
      <c r="N105" s="716"/>
      <c r="O105" s="783"/>
      <c r="P105" s="784"/>
      <c r="Q105" s="783"/>
      <c r="R105" s="783"/>
      <c r="S105" s="783"/>
      <c r="T105" s="783"/>
      <c r="U105" s="783"/>
      <c r="V105" s="783"/>
      <c r="W105" s="783"/>
      <c r="X105" s="784"/>
      <c r="Y105" s="783"/>
      <c r="Z105" s="783"/>
      <c r="AA105" s="783"/>
      <c r="AB105" s="783"/>
      <c r="AC105" s="784"/>
      <c r="AD105" s="783"/>
      <c r="AE105" s="783"/>
      <c r="AF105" s="783"/>
      <c r="AG105" s="785"/>
      <c r="AI105" s="702"/>
      <c r="AJ105" s="717" t="str">
        <f t="shared" ref="AJ105:AS105" si="143">IFERROR((X105-W105)/W105,"")</f>
        <v/>
      </c>
      <c r="AK105" s="718" t="str">
        <f t="shared" si="143"/>
        <v/>
      </c>
      <c r="AL105" s="718" t="str">
        <f t="shared" si="143"/>
        <v/>
      </c>
      <c r="AM105" s="718" t="str">
        <f t="shared" si="143"/>
        <v/>
      </c>
      <c r="AN105" s="718" t="str">
        <f t="shared" si="143"/>
        <v/>
      </c>
      <c r="AO105" s="719" t="str">
        <f t="shared" si="143"/>
        <v/>
      </c>
      <c r="AP105" s="494" t="str">
        <f t="shared" si="143"/>
        <v/>
      </c>
      <c r="AQ105" s="494" t="str">
        <f t="shared" si="143"/>
        <v/>
      </c>
      <c r="AR105" s="494" t="str">
        <f t="shared" si="143"/>
        <v/>
      </c>
      <c r="AS105" s="720" t="str">
        <f t="shared" si="143"/>
        <v/>
      </c>
      <c r="AU105" s="1369"/>
      <c r="AW105" s="1412" t="str">
        <f t="shared" si="79"/>
        <v>Price</v>
      </c>
      <c r="AX105" s="1413" t="str">
        <f t="shared" si="41"/>
        <v>[Service]</v>
      </c>
      <c r="AY105" s="1414" t="str">
        <f t="shared" si="42"/>
        <v>[Price]</v>
      </c>
      <c r="AZ105" s="1415" t="str">
        <f t="shared" si="136"/>
        <v>-</v>
      </c>
      <c r="BA105" s="1415" t="str">
        <f t="shared" si="136"/>
        <v>-</v>
      </c>
      <c r="BB105" s="1415" t="str">
        <f t="shared" si="136"/>
        <v>-</v>
      </c>
      <c r="BC105" s="1415" t="str">
        <f t="shared" si="136"/>
        <v>-</v>
      </c>
      <c r="BD105" s="1415" t="str">
        <f t="shared" si="44"/>
        <v>-</v>
      </c>
      <c r="BE105" s="1415" t="str">
        <f t="shared" si="45"/>
        <v>-</v>
      </c>
      <c r="BF105" s="1415" t="str">
        <f t="shared" si="46"/>
        <v>-</v>
      </c>
      <c r="BG105" s="1416" t="str">
        <f t="shared" si="47"/>
        <v>-</v>
      </c>
      <c r="BH105" s="1417" t="str">
        <f t="shared" si="48"/>
        <v>-</v>
      </c>
      <c r="BI105" s="1417" t="str">
        <f t="shared" si="49"/>
        <v>-</v>
      </c>
      <c r="BJ105" s="1417" t="str">
        <f t="shared" si="50"/>
        <v>-</v>
      </c>
      <c r="BK105" s="1417" t="str">
        <f t="shared" si="51"/>
        <v>-</v>
      </c>
      <c r="BL105" s="1418" t="str">
        <f t="shared" si="52"/>
        <v>-</v>
      </c>
      <c r="BM105" s="1417" t="str">
        <f t="shared" si="53"/>
        <v>-</v>
      </c>
      <c r="BN105" s="1417" t="str">
        <f t="shared" si="54"/>
        <v>-</v>
      </c>
      <c r="BO105" s="1417" t="str">
        <f t="shared" si="55"/>
        <v>-</v>
      </c>
      <c r="BP105" s="1417" t="str">
        <f t="shared" si="56"/>
        <v>-</v>
      </c>
      <c r="BQ105" s="1419" t="str">
        <f t="shared" si="57"/>
        <v>-</v>
      </c>
      <c r="BR105" s="1378"/>
      <c r="BS105" s="1420"/>
      <c r="BT105" s="1421"/>
      <c r="BU105" s="1422"/>
      <c r="BV105" s="1423"/>
      <c r="BW105" s="1378"/>
      <c r="BX105" s="1412" t="str">
        <f t="shared" si="58"/>
        <v>Price</v>
      </c>
      <c r="BY105" s="1413" t="str">
        <f t="shared" si="105"/>
        <v>[Service]</v>
      </c>
      <c r="BZ105" s="1414" t="str">
        <f t="shared" si="106"/>
        <v>[Price]</v>
      </c>
      <c r="CA105" s="1424" t="str">
        <f>IFERROR((S105/R105-1)*(R107/R$13),"-")</f>
        <v>-</v>
      </c>
      <c r="CB105" s="1415" t="str">
        <f>IFERROR((T105/S105-1)*(S107/S$13),"-")</f>
        <v>-</v>
      </c>
      <c r="CC105" s="1415" t="str">
        <f>IFERROR((U105/T105-1)*(T107/T$13),"-")</f>
        <v>-</v>
      </c>
      <c r="CD105" s="1415" t="str">
        <f>IFERROR((V105/U105-1)*(U107/U$13),"-")</f>
        <v>-</v>
      </c>
      <c r="CE105" s="1415" t="str">
        <f t="shared" ref="CE105:CR105" si="144">IFERROR((T105/S105-1)*(S107/S$13),"-")</f>
        <v>-</v>
      </c>
      <c r="CF105" s="1415" t="str">
        <f t="shared" si="144"/>
        <v>-</v>
      </c>
      <c r="CG105" s="1415" t="str">
        <f t="shared" si="144"/>
        <v>-</v>
      </c>
      <c r="CH105" s="1425" t="str">
        <f t="shared" si="144"/>
        <v>-</v>
      </c>
      <c r="CI105" s="1417" t="str">
        <f t="shared" si="144"/>
        <v>-</v>
      </c>
      <c r="CJ105" s="1417" t="str">
        <f t="shared" si="144"/>
        <v>-</v>
      </c>
      <c r="CK105" s="1417" t="str">
        <f t="shared" si="144"/>
        <v>-</v>
      </c>
      <c r="CL105" s="1417" t="str">
        <f t="shared" si="144"/>
        <v>-</v>
      </c>
      <c r="CM105" s="1418" t="str">
        <f t="shared" si="144"/>
        <v>-</v>
      </c>
      <c r="CN105" s="1417" t="str">
        <f t="shared" si="144"/>
        <v>-</v>
      </c>
      <c r="CO105" s="1417" t="str">
        <f t="shared" si="144"/>
        <v>-</v>
      </c>
      <c r="CP105" s="1417" t="str">
        <f t="shared" si="144"/>
        <v>-</v>
      </c>
      <c r="CQ105" s="1417" t="str">
        <f t="shared" si="144"/>
        <v>-</v>
      </c>
      <c r="CR105" s="1419" t="str">
        <f t="shared" si="144"/>
        <v>-</v>
      </c>
      <c r="CS105" s="1378"/>
      <c r="CT105" s="1412" t="str">
        <f t="shared" si="34"/>
        <v>Price</v>
      </c>
      <c r="CU105" s="1413" t="str">
        <f t="shared" si="35"/>
        <v>[Service]</v>
      </c>
      <c r="CV105" s="1426" t="str">
        <f t="shared" si="36"/>
        <v>[Price]</v>
      </c>
      <c r="CW105" s="1427" t="str">
        <f t="shared" si="62"/>
        <v>-</v>
      </c>
      <c r="CX105" s="1417" t="str">
        <f t="shared" si="63"/>
        <v>-</v>
      </c>
      <c r="CY105" s="1417" t="str">
        <f t="shared" si="64"/>
        <v>-</v>
      </c>
      <c r="CZ105" s="1418" t="str">
        <f t="shared" si="65"/>
        <v>-</v>
      </c>
      <c r="DA105" s="1417" t="str">
        <f t="shared" si="66"/>
        <v>-</v>
      </c>
      <c r="DB105" s="1417" t="str">
        <f t="shared" si="67"/>
        <v>-</v>
      </c>
      <c r="DC105" s="1417" t="str">
        <f t="shared" si="68"/>
        <v>-</v>
      </c>
      <c r="DD105" s="1417" t="str">
        <f t="shared" si="69"/>
        <v>-</v>
      </c>
      <c r="DE105" s="1419" t="str">
        <f t="shared" si="70"/>
        <v>-</v>
      </c>
      <c r="DF105" s="1378"/>
      <c r="DG105" s="1412" t="str">
        <f t="shared" si="81"/>
        <v>Price</v>
      </c>
      <c r="DH105" s="1413" t="str">
        <f t="shared" si="81"/>
        <v>[Service]</v>
      </c>
      <c r="DI105" s="1426" t="str">
        <f t="shared" si="81"/>
        <v>[Price]</v>
      </c>
      <c r="DJ105" s="1427" t="str">
        <f t="shared" si="71"/>
        <v>-</v>
      </c>
      <c r="DK105" s="1417" t="str">
        <f t="shared" si="72"/>
        <v>-</v>
      </c>
      <c r="DL105" s="1417" t="str">
        <f t="shared" si="73"/>
        <v>-</v>
      </c>
      <c r="DM105" s="1418" t="str">
        <f t="shared" si="74"/>
        <v>-</v>
      </c>
      <c r="DN105" s="1417" t="str">
        <f t="shared" si="75"/>
        <v>-</v>
      </c>
      <c r="DO105" s="1417" t="str">
        <f t="shared" si="76"/>
        <v>-</v>
      </c>
      <c r="DP105" s="1417" t="str">
        <f t="shared" si="77"/>
        <v>-</v>
      </c>
      <c r="DQ105" s="1419" t="str">
        <f t="shared" si="78"/>
        <v>-</v>
      </c>
    </row>
    <row r="106" spans="4:121">
      <c r="E106" s="742" t="s">
        <v>45</v>
      </c>
      <c r="F106" s="722" t="str">
        <f>+F105</f>
        <v>[Service]</v>
      </c>
      <c r="G106" s="723">
        <f>+G105</f>
        <v>0</v>
      </c>
      <c r="H106" s="723">
        <f>+H105</f>
        <v>0</v>
      </c>
      <c r="I106" s="724" t="str">
        <f>+I105</f>
        <v>[Price]</v>
      </c>
      <c r="J106" s="782" t="s">
        <v>322</v>
      </c>
      <c r="K106" s="725"/>
      <c r="L106" s="726"/>
      <c r="M106" s="726"/>
      <c r="N106" s="727"/>
      <c r="O106" s="786"/>
      <c r="P106" s="787"/>
      <c r="Q106" s="786"/>
      <c r="R106" s="786"/>
      <c r="S106" s="786"/>
      <c r="T106" s="786"/>
      <c r="U106" s="786"/>
      <c r="V106" s="786"/>
      <c r="W106" s="786"/>
      <c r="X106" s="787"/>
      <c r="Y106" s="786"/>
      <c r="Z106" s="786"/>
      <c r="AA106" s="786"/>
      <c r="AB106" s="786"/>
      <c r="AC106" s="787"/>
      <c r="AD106" s="786"/>
      <c r="AE106" s="786"/>
      <c r="AF106" s="786"/>
      <c r="AG106" s="788"/>
      <c r="AH106" s="823"/>
      <c r="AI106" s="702"/>
      <c r="AJ106" s="728"/>
      <c r="AK106" s="729"/>
      <c r="AL106" s="729"/>
      <c r="AM106" s="729"/>
      <c r="AN106" s="729"/>
      <c r="AO106" s="730"/>
      <c r="AP106" s="74"/>
      <c r="AQ106" s="74"/>
      <c r="AR106" s="74"/>
      <c r="AS106" s="106"/>
      <c r="AW106" s="1392" t="str">
        <f t="shared" si="79"/>
        <v>Qty</v>
      </c>
      <c r="AX106" s="1393" t="str">
        <f t="shared" si="41"/>
        <v>[Service]</v>
      </c>
      <c r="AY106" s="1394" t="str">
        <f t="shared" si="42"/>
        <v>[Price]</v>
      </c>
      <c r="AZ106" s="1395" t="str">
        <f t="shared" si="136"/>
        <v>-</v>
      </c>
      <c r="BA106" s="1395" t="str">
        <f t="shared" si="136"/>
        <v>-</v>
      </c>
      <c r="BB106" s="1395" t="str">
        <f t="shared" si="136"/>
        <v>-</v>
      </c>
      <c r="BC106" s="1395" t="str">
        <f t="shared" si="136"/>
        <v>-</v>
      </c>
      <c r="BD106" s="1395" t="str">
        <f t="shared" si="44"/>
        <v>-</v>
      </c>
      <c r="BE106" s="1395" t="str">
        <f t="shared" si="45"/>
        <v>-</v>
      </c>
      <c r="BF106" s="1395" t="str">
        <f t="shared" si="46"/>
        <v>-</v>
      </c>
      <c r="BG106" s="1396" t="str">
        <f t="shared" si="47"/>
        <v>-</v>
      </c>
      <c r="BH106" s="1395" t="str">
        <f t="shared" si="48"/>
        <v>-</v>
      </c>
      <c r="BI106" s="1395" t="str">
        <f t="shared" si="49"/>
        <v>-</v>
      </c>
      <c r="BJ106" s="1395" t="str">
        <f t="shared" si="50"/>
        <v>-</v>
      </c>
      <c r="BK106" s="1395" t="str">
        <f t="shared" si="51"/>
        <v>-</v>
      </c>
      <c r="BL106" s="1397" t="str">
        <f t="shared" si="52"/>
        <v>-</v>
      </c>
      <c r="BM106" s="1395" t="str">
        <f t="shared" si="53"/>
        <v>-</v>
      </c>
      <c r="BN106" s="1395" t="str">
        <f t="shared" si="54"/>
        <v>-</v>
      </c>
      <c r="BO106" s="1395" t="str">
        <f t="shared" si="55"/>
        <v>-</v>
      </c>
      <c r="BP106" s="1395" t="str">
        <f t="shared" si="56"/>
        <v>-</v>
      </c>
      <c r="BQ106" s="1398" t="str">
        <f t="shared" si="57"/>
        <v>-</v>
      </c>
      <c r="BR106" s="1378"/>
      <c r="BS106" s="1329"/>
      <c r="BT106" s="1399"/>
      <c r="BU106" s="1331"/>
      <c r="BV106" s="1400"/>
      <c r="BW106" s="1378"/>
      <c r="BX106" s="1392" t="str">
        <f t="shared" si="58"/>
        <v>Qty</v>
      </c>
      <c r="BY106" s="1393" t="str">
        <f t="shared" si="105"/>
        <v>[Service]</v>
      </c>
      <c r="BZ106" s="1394" t="str">
        <f t="shared" si="106"/>
        <v>[Price]</v>
      </c>
      <c r="CA106" s="1401" t="str">
        <f>IFERROR((S106/R106-1)*(R107/R$13),"-")</f>
        <v>-</v>
      </c>
      <c r="CB106" s="1395" t="str">
        <f>IFERROR((T106/S106-1)*(S107/S$13),"-")</f>
        <v>-</v>
      </c>
      <c r="CC106" s="1395" t="str">
        <f>IFERROR((U106/T106-1)*(T107/T$13),"-")</f>
        <v>-</v>
      </c>
      <c r="CD106" s="1395" t="str">
        <f>IFERROR((V106/U106-1)*(U107/U$13),"-")</f>
        <v>-</v>
      </c>
      <c r="CE106" s="1395" t="str">
        <f t="shared" ref="CE106:CR106" si="145">IFERROR((T106/S106-1)*(S107/S$13),"-")</f>
        <v>-</v>
      </c>
      <c r="CF106" s="1395" t="str">
        <f t="shared" si="145"/>
        <v>-</v>
      </c>
      <c r="CG106" s="1395" t="str">
        <f t="shared" si="145"/>
        <v>-</v>
      </c>
      <c r="CH106" s="1397" t="str">
        <f t="shared" si="145"/>
        <v>-</v>
      </c>
      <c r="CI106" s="1395" t="str">
        <f t="shared" si="145"/>
        <v>-</v>
      </c>
      <c r="CJ106" s="1395" t="str">
        <f t="shared" si="145"/>
        <v>-</v>
      </c>
      <c r="CK106" s="1395" t="str">
        <f t="shared" si="145"/>
        <v>-</v>
      </c>
      <c r="CL106" s="1395" t="str">
        <f t="shared" si="145"/>
        <v>-</v>
      </c>
      <c r="CM106" s="1397" t="str">
        <f t="shared" si="145"/>
        <v>-</v>
      </c>
      <c r="CN106" s="1395" t="str">
        <f t="shared" si="145"/>
        <v>-</v>
      </c>
      <c r="CO106" s="1395" t="str">
        <f t="shared" si="145"/>
        <v>-</v>
      </c>
      <c r="CP106" s="1395" t="str">
        <f t="shared" si="145"/>
        <v>-</v>
      </c>
      <c r="CQ106" s="1395" t="str">
        <f t="shared" si="145"/>
        <v>-</v>
      </c>
      <c r="CR106" s="1398" t="str">
        <f t="shared" si="145"/>
        <v>-</v>
      </c>
      <c r="CS106" s="1378"/>
      <c r="CT106" s="1392" t="str">
        <f t="shared" si="34"/>
        <v>Qty</v>
      </c>
      <c r="CU106" s="1393" t="str">
        <f t="shared" si="35"/>
        <v>[Service]</v>
      </c>
      <c r="CV106" s="1393" t="str">
        <f t="shared" si="36"/>
        <v>[Price]</v>
      </c>
      <c r="CW106" s="1401" t="str">
        <f t="shared" si="62"/>
        <v>-</v>
      </c>
      <c r="CX106" s="1395" t="str">
        <f t="shared" si="63"/>
        <v>-</v>
      </c>
      <c r="CY106" s="1395" t="str">
        <f t="shared" si="64"/>
        <v>-</v>
      </c>
      <c r="CZ106" s="1397" t="str">
        <f t="shared" si="65"/>
        <v>-</v>
      </c>
      <c r="DA106" s="1395" t="str">
        <f t="shared" si="66"/>
        <v>-</v>
      </c>
      <c r="DB106" s="1395" t="str">
        <f t="shared" si="67"/>
        <v>-</v>
      </c>
      <c r="DC106" s="1395" t="str">
        <f t="shared" si="68"/>
        <v>-</v>
      </c>
      <c r="DD106" s="1395" t="str">
        <f t="shared" si="69"/>
        <v>-</v>
      </c>
      <c r="DE106" s="1398" t="str">
        <f t="shared" si="70"/>
        <v>-</v>
      </c>
      <c r="DF106" s="1378"/>
      <c r="DG106" s="1392" t="str">
        <f t="shared" si="81"/>
        <v>Qty</v>
      </c>
      <c r="DH106" s="1393" t="str">
        <f t="shared" si="81"/>
        <v>[Service]</v>
      </c>
      <c r="DI106" s="1393" t="str">
        <f t="shared" si="81"/>
        <v>[Price]</v>
      </c>
      <c r="DJ106" s="1401" t="str">
        <f t="shared" si="71"/>
        <v>-</v>
      </c>
      <c r="DK106" s="1395" t="str">
        <f t="shared" si="72"/>
        <v>-</v>
      </c>
      <c r="DL106" s="1395" t="str">
        <f t="shared" si="73"/>
        <v>-</v>
      </c>
      <c r="DM106" s="1397" t="str">
        <f t="shared" si="74"/>
        <v>-</v>
      </c>
      <c r="DN106" s="1395" t="str">
        <f t="shared" si="75"/>
        <v>-</v>
      </c>
      <c r="DO106" s="1395" t="str">
        <f t="shared" si="76"/>
        <v>-</v>
      </c>
      <c r="DP106" s="1395" t="str">
        <f t="shared" si="77"/>
        <v>-</v>
      </c>
      <c r="DQ106" s="1398" t="str">
        <f t="shared" si="78"/>
        <v>-</v>
      </c>
    </row>
    <row r="107" spans="4:121" ht="12.75" thickBot="1">
      <c r="E107" s="743" t="s">
        <v>46</v>
      </c>
      <c r="F107" s="732" t="str">
        <f>+F105</f>
        <v>[Service]</v>
      </c>
      <c r="G107" s="733">
        <f>+G105</f>
        <v>0</v>
      </c>
      <c r="H107" s="733">
        <f>+H105</f>
        <v>0</v>
      </c>
      <c r="I107" s="734" t="str">
        <f>+I105</f>
        <v>[Price]</v>
      </c>
      <c r="J107" s="735" t="s">
        <v>344</v>
      </c>
      <c r="K107" s="736">
        <f t="shared" ref="K107:AG107" si="146">K105*K106/10^6</f>
        <v>0</v>
      </c>
      <c r="L107" s="737">
        <f t="shared" si="146"/>
        <v>0</v>
      </c>
      <c r="M107" s="737">
        <f t="shared" si="146"/>
        <v>0</v>
      </c>
      <c r="N107" s="738">
        <f t="shared" si="146"/>
        <v>0</v>
      </c>
      <c r="O107" s="737">
        <f t="shared" si="146"/>
        <v>0</v>
      </c>
      <c r="P107" s="738">
        <f t="shared" si="146"/>
        <v>0</v>
      </c>
      <c r="Q107" s="737">
        <f t="shared" si="146"/>
        <v>0</v>
      </c>
      <c r="R107" s="737">
        <f t="shared" si="146"/>
        <v>0</v>
      </c>
      <c r="S107" s="737">
        <f t="shared" si="146"/>
        <v>0</v>
      </c>
      <c r="T107" s="737">
        <f t="shared" si="146"/>
        <v>0</v>
      </c>
      <c r="U107" s="737">
        <f t="shared" si="146"/>
        <v>0</v>
      </c>
      <c r="V107" s="737">
        <f t="shared" si="146"/>
        <v>0</v>
      </c>
      <c r="W107" s="737">
        <f t="shared" si="146"/>
        <v>0</v>
      </c>
      <c r="X107" s="738">
        <f t="shared" si="146"/>
        <v>0</v>
      </c>
      <c r="Y107" s="737">
        <f t="shared" si="146"/>
        <v>0</v>
      </c>
      <c r="Z107" s="737">
        <f t="shared" si="146"/>
        <v>0</v>
      </c>
      <c r="AA107" s="737">
        <f t="shared" si="146"/>
        <v>0</v>
      </c>
      <c r="AB107" s="737">
        <f t="shared" si="146"/>
        <v>0</v>
      </c>
      <c r="AC107" s="738">
        <f t="shared" si="146"/>
        <v>0</v>
      </c>
      <c r="AD107" s="737">
        <f t="shared" si="146"/>
        <v>0</v>
      </c>
      <c r="AE107" s="737">
        <f t="shared" si="146"/>
        <v>0</v>
      </c>
      <c r="AF107" s="737">
        <f t="shared" si="146"/>
        <v>0</v>
      </c>
      <c r="AG107" s="739">
        <f t="shared" si="146"/>
        <v>0</v>
      </c>
      <c r="AH107" s="823"/>
      <c r="AI107" s="744"/>
      <c r="AJ107" s="741"/>
      <c r="AK107" s="729"/>
      <c r="AL107" s="729"/>
      <c r="AM107" s="729"/>
      <c r="AN107" s="729"/>
      <c r="AO107" s="730"/>
      <c r="AP107" s="74"/>
      <c r="AQ107" s="74"/>
      <c r="AR107" s="74"/>
      <c r="AS107" s="106"/>
      <c r="AW107" s="1428" t="str">
        <f t="shared" si="79"/>
        <v>Rev</v>
      </c>
      <c r="AX107" s="1429" t="str">
        <f t="shared" si="41"/>
        <v>[Service]</v>
      </c>
      <c r="AY107" s="1430" t="str">
        <f t="shared" si="42"/>
        <v>[Price]</v>
      </c>
      <c r="AZ107" s="1431" t="str">
        <f t="shared" si="136"/>
        <v>-</v>
      </c>
      <c r="BA107" s="1431" t="str">
        <f t="shared" si="136"/>
        <v>-</v>
      </c>
      <c r="BB107" s="1431" t="str">
        <f t="shared" si="136"/>
        <v>-</v>
      </c>
      <c r="BC107" s="1431" t="str">
        <f t="shared" si="136"/>
        <v>-</v>
      </c>
      <c r="BD107" s="1431" t="str">
        <f t="shared" si="44"/>
        <v>-</v>
      </c>
      <c r="BE107" s="1431" t="str">
        <f t="shared" si="45"/>
        <v>-</v>
      </c>
      <c r="BF107" s="1431" t="str">
        <f t="shared" si="46"/>
        <v>-</v>
      </c>
      <c r="BG107" s="1432" t="str">
        <f t="shared" si="47"/>
        <v>-</v>
      </c>
      <c r="BH107" s="1431" t="str">
        <f t="shared" si="48"/>
        <v>-</v>
      </c>
      <c r="BI107" s="1431" t="str">
        <f t="shared" si="49"/>
        <v>-</v>
      </c>
      <c r="BJ107" s="1431" t="str">
        <f t="shared" si="50"/>
        <v>-</v>
      </c>
      <c r="BK107" s="1431" t="str">
        <f t="shared" si="51"/>
        <v>-</v>
      </c>
      <c r="BL107" s="1433" t="str">
        <f t="shared" si="52"/>
        <v>-</v>
      </c>
      <c r="BM107" s="1431" t="str">
        <f t="shared" si="53"/>
        <v>-</v>
      </c>
      <c r="BN107" s="1431" t="str">
        <f t="shared" si="54"/>
        <v>-</v>
      </c>
      <c r="BO107" s="1431" t="str">
        <f t="shared" si="55"/>
        <v>-</v>
      </c>
      <c r="BP107" s="1431" t="str">
        <f t="shared" si="56"/>
        <v>-</v>
      </c>
      <c r="BQ107" s="1434" t="str">
        <f t="shared" si="57"/>
        <v>-</v>
      </c>
      <c r="BR107" s="1378"/>
      <c r="BS107" s="1407"/>
      <c r="BT107" s="1408"/>
      <c r="BU107" s="1409"/>
      <c r="BV107" s="1410"/>
      <c r="BW107" s="1378"/>
      <c r="BX107" s="1428" t="str">
        <f t="shared" si="58"/>
        <v>Rev</v>
      </c>
      <c r="BY107" s="1429" t="str">
        <f t="shared" si="105"/>
        <v>[Service]</v>
      </c>
      <c r="BZ107" s="1430" t="str">
        <f t="shared" si="106"/>
        <v>[Price]</v>
      </c>
      <c r="CA107" s="1435" t="str">
        <f>IFERROR((S107/R107-1)*(R107/R$13),"-")</f>
        <v>-</v>
      </c>
      <c r="CB107" s="1431" t="str">
        <f>IFERROR((T107/S107-1)*(S107/S$13),"-")</f>
        <v>-</v>
      </c>
      <c r="CC107" s="1431" t="str">
        <f>IFERROR((U107/T107-1)*(T107/T$13),"-")</f>
        <v>-</v>
      </c>
      <c r="CD107" s="1431" t="str">
        <f>IFERROR((V107/U107-1)*(U107/U$13),"-")</f>
        <v>-</v>
      </c>
      <c r="CE107" s="1431" t="str">
        <f t="shared" ref="CE107:CR107" si="147">IFERROR((T107/S107-1)*(S107/S$13),"-")</f>
        <v>-</v>
      </c>
      <c r="CF107" s="1431" t="str">
        <f t="shared" si="147"/>
        <v>-</v>
      </c>
      <c r="CG107" s="1431" t="str">
        <f t="shared" si="147"/>
        <v>-</v>
      </c>
      <c r="CH107" s="1433" t="str">
        <f t="shared" si="147"/>
        <v>-</v>
      </c>
      <c r="CI107" s="1431" t="str">
        <f t="shared" si="147"/>
        <v>-</v>
      </c>
      <c r="CJ107" s="1431" t="str">
        <f t="shared" si="147"/>
        <v>-</v>
      </c>
      <c r="CK107" s="1431" t="str">
        <f t="shared" si="147"/>
        <v>-</v>
      </c>
      <c r="CL107" s="1431" t="str">
        <f t="shared" si="147"/>
        <v>-</v>
      </c>
      <c r="CM107" s="1433" t="str">
        <f t="shared" si="147"/>
        <v>-</v>
      </c>
      <c r="CN107" s="1431" t="str">
        <f t="shared" si="147"/>
        <v>-</v>
      </c>
      <c r="CO107" s="1431" t="str">
        <f t="shared" si="147"/>
        <v>-</v>
      </c>
      <c r="CP107" s="1431" t="str">
        <f t="shared" si="147"/>
        <v>-</v>
      </c>
      <c r="CQ107" s="1431" t="str">
        <f t="shared" si="147"/>
        <v>-</v>
      </c>
      <c r="CR107" s="1434" t="str">
        <f t="shared" si="147"/>
        <v>-</v>
      </c>
      <c r="CS107" s="1378"/>
      <c r="CT107" s="1428" t="str">
        <f t="shared" si="34"/>
        <v>Rev</v>
      </c>
      <c r="CU107" s="1429" t="str">
        <f t="shared" si="35"/>
        <v>[Service]</v>
      </c>
      <c r="CV107" s="1429" t="str">
        <f t="shared" si="36"/>
        <v>[Price]</v>
      </c>
      <c r="CW107" s="1435" t="str">
        <f t="shared" si="62"/>
        <v>-</v>
      </c>
      <c r="CX107" s="1431" t="str">
        <f t="shared" si="63"/>
        <v>-</v>
      </c>
      <c r="CY107" s="1431" t="str">
        <f t="shared" si="64"/>
        <v>-</v>
      </c>
      <c r="CZ107" s="1433" t="str">
        <f t="shared" si="65"/>
        <v>-</v>
      </c>
      <c r="DA107" s="1431" t="str">
        <f t="shared" si="66"/>
        <v>-</v>
      </c>
      <c r="DB107" s="1431" t="str">
        <f t="shared" si="67"/>
        <v>-</v>
      </c>
      <c r="DC107" s="1431" t="str">
        <f t="shared" si="68"/>
        <v>-</v>
      </c>
      <c r="DD107" s="1431" t="str">
        <f t="shared" si="69"/>
        <v>-</v>
      </c>
      <c r="DE107" s="1434" t="str">
        <f t="shared" si="70"/>
        <v>-</v>
      </c>
      <c r="DF107" s="1378"/>
      <c r="DG107" s="1428" t="str">
        <f t="shared" si="81"/>
        <v>Rev</v>
      </c>
      <c r="DH107" s="1429" t="str">
        <f t="shared" si="81"/>
        <v>[Service]</v>
      </c>
      <c r="DI107" s="1429" t="str">
        <f t="shared" si="81"/>
        <v>[Price]</v>
      </c>
      <c r="DJ107" s="1435" t="str">
        <f t="shared" si="71"/>
        <v>-</v>
      </c>
      <c r="DK107" s="1431" t="str">
        <f t="shared" si="72"/>
        <v>-</v>
      </c>
      <c r="DL107" s="1431" t="str">
        <f t="shared" si="73"/>
        <v>-</v>
      </c>
      <c r="DM107" s="1433" t="str">
        <f t="shared" si="74"/>
        <v>-</v>
      </c>
      <c r="DN107" s="1431" t="str">
        <f t="shared" si="75"/>
        <v>-</v>
      </c>
      <c r="DO107" s="1431" t="str">
        <f t="shared" si="76"/>
        <v>-</v>
      </c>
      <c r="DP107" s="1431" t="str">
        <f t="shared" si="77"/>
        <v>-</v>
      </c>
      <c r="DQ107" s="1434" t="str">
        <f t="shared" si="78"/>
        <v>-</v>
      </c>
    </row>
    <row r="108" spans="4:121">
      <c r="D108" s="70">
        <f>D105+1</f>
        <v>14</v>
      </c>
      <c r="E108" s="713" t="s">
        <v>44</v>
      </c>
      <c r="F108" s="789" t="s">
        <v>27</v>
      </c>
      <c r="G108" s="789"/>
      <c r="H108" s="789"/>
      <c r="I108" s="781" t="s">
        <v>318</v>
      </c>
      <c r="J108" s="781" t="s">
        <v>345</v>
      </c>
      <c r="K108" s="714"/>
      <c r="L108" s="715"/>
      <c r="M108" s="715"/>
      <c r="N108" s="716"/>
      <c r="O108" s="783"/>
      <c r="P108" s="784"/>
      <c r="Q108" s="783"/>
      <c r="R108" s="783"/>
      <c r="S108" s="783"/>
      <c r="T108" s="783"/>
      <c r="U108" s="783"/>
      <c r="V108" s="783"/>
      <c r="W108" s="783"/>
      <c r="X108" s="784"/>
      <c r="Y108" s="783"/>
      <c r="Z108" s="783"/>
      <c r="AA108" s="783"/>
      <c r="AB108" s="783"/>
      <c r="AC108" s="784"/>
      <c r="AD108" s="783"/>
      <c r="AE108" s="783"/>
      <c r="AF108" s="783"/>
      <c r="AG108" s="785"/>
      <c r="AI108" s="702"/>
      <c r="AJ108" s="717" t="str">
        <f t="shared" ref="AJ108:AS108" si="148">IFERROR((X108-W108)/W108,"")</f>
        <v/>
      </c>
      <c r="AK108" s="718" t="str">
        <f t="shared" si="148"/>
        <v/>
      </c>
      <c r="AL108" s="718" t="str">
        <f t="shared" si="148"/>
        <v/>
      </c>
      <c r="AM108" s="718" t="str">
        <f t="shared" si="148"/>
        <v/>
      </c>
      <c r="AN108" s="718" t="str">
        <f t="shared" si="148"/>
        <v/>
      </c>
      <c r="AO108" s="719" t="str">
        <f t="shared" si="148"/>
        <v/>
      </c>
      <c r="AP108" s="494" t="str">
        <f t="shared" si="148"/>
        <v/>
      </c>
      <c r="AQ108" s="494" t="str">
        <f t="shared" si="148"/>
        <v/>
      </c>
      <c r="AR108" s="494" t="str">
        <f t="shared" si="148"/>
        <v/>
      </c>
      <c r="AS108" s="720" t="str">
        <f t="shared" si="148"/>
        <v/>
      </c>
      <c r="AU108" s="1369"/>
      <c r="AW108" s="1412" t="str">
        <f t="shared" si="79"/>
        <v>Price</v>
      </c>
      <c r="AX108" s="1413" t="str">
        <f t="shared" si="41"/>
        <v>[Service]</v>
      </c>
      <c r="AY108" s="1414" t="str">
        <f t="shared" si="42"/>
        <v>[Price]</v>
      </c>
      <c r="AZ108" s="1415" t="str">
        <f t="shared" si="136"/>
        <v>-</v>
      </c>
      <c r="BA108" s="1415" t="str">
        <f t="shared" si="136"/>
        <v>-</v>
      </c>
      <c r="BB108" s="1415" t="str">
        <f t="shared" si="136"/>
        <v>-</v>
      </c>
      <c r="BC108" s="1415" t="str">
        <f t="shared" si="136"/>
        <v>-</v>
      </c>
      <c r="BD108" s="1415" t="str">
        <f t="shared" si="44"/>
        <v>-</v>
      </c>
      <c r="BE108" s="1415" t="str">
        <f t="shared" si="45"/>
        <v>-</v>
      </c>
      <c r="BF108" s="1415" t="str">
        <f t="shared" si="46"/>
        <v>-</v>
      </c>
      <c r="BG108" s="1416" t="str">
        <f t="shared" si="47"/>
        <v>-</v>
      </c>
      <c r="BH108" s="1417" t="str">
        <f t="shared" si="48"/>
        <v>-</v>
      </c>
      <c r="BI108" s="1417" t="str">
        <f t="shared" si="49"/>
        <v>-</v>
      </c>
      <c r="BJ108" s="1417" t="str">
        <f t="shared" si="50"/>
        <v>-</v>
      </c>
      <c r="BK108" s="1417" t="str">
        <f t="shared" si="51"/>
        <v>-</v>
      </c>
      <c r="BL108" s="1418" t="str">
        <f t="shared" si="52"/>
        <v>-</v>
      </c>
      <c r="BM108" s="1417" t="str">
        <f t="shared" si="53"/>
        <v>-</v>
      </c>
      <c r="BN108" s="1417" t="str">
        <f t="shared" si="54"/>
        <v>-</v>
      </c>
      <c r="BO108" s="1417" t="str">
        <f t="shared" si="55"/>
        <v>-</v>
      </c>
      <c r="BP108" s="1417" t="str">
        <f t="shared" si="56"/>
        <v>-</v>
      </c>
      <c r="BQ108" s="1419" t="str">
        <f t="shared" si="57"/>
        <v>-</v>
      </c>
      <c r="BR108" s="1378"/>
      <c r="BS108" s="1420"/>
      <c r="BT108" s="1421"/>
      <c r="BU108" s="1422"/>
      <c r="BV108" s="1423"/>
      <c r="BW108" s="1378"/>
      <c r="BX108" s="1412" t="str">
        <f t="shared" si="58"/>
        <v>Price</v>
      </c>
      <c r="BY108" s="1413" t="str">
        <f t="shared" si="105"/>
        <v>[Service]</v>
      </c>
      <c r="BZ108" s="1414" t="str">
        <f t="shared" si="106"/>
        <v>[Price]</v>
      </c>
      <c r="CA108" s="1424" t="str">
        <f>IFERROR((S108/R108-1)*(R110/R$13),"-")</f>
        <v>-</v>
      </c>
      <c r="CB108" s="1415" t="str">
        <f>IFERROR((T108/S108-1)*(S110/S$13),"-")</f>
        <v>-</v>
      </c>
      <c r="CC108" s="1415" t="str">
        <f>IFERROR((U108/T108-1)*(T110/T$13),"-")</f>
        <v>-</v>
      </c>
      <c r="CD108" s="1415" t="str">
        <f>IFERROR((V108/U108-1)*(U110/U$13),"-")</f>
        <v>-</v>
      </c>
      <c r="CE108" s="1415" t="str">
        <f t="shared" ref="CE108:CR108" si="149">IFERROR((T108/S108-1)*(S110/S$13),"-")</f>
        <v>-</v>
      </c>
      <c r="CF108" s="1415" t="str">
        <f t="shared" si="149"/>
        <v>-</v>
      </c>
      <c r="CG108" s="1415" t="str">
        <f t="shared" si="149"/>
        <v>-</v>
      </c>
      <c r="CH108" s="1425" t="str">
        <f t="shared" si="149"/>
        <v>-</v>
      </c>
      <c r="CI108" s="1417" t="str">
        <f t="shared" si="149"/>
        <v>-</v>
      </c>
      <c r="CJ108" s="1417" t="str">
        <f t="shared" si="149"/>
        <v>-</v>
      </c>
      <c r="CK108" s="1417" t="str">
        <f t="shared" si="149"/>
        <v>-</v>
      </c>
      <c r="CL108" s="1417" t="str">
        <f t="shared" si="149"/>
        <v>-</v>
      </c>
      <c r="CM108" s="1418" t="str">
        <f t="shared" si="149"/>
        <v>-</v>
      </c>
      <c r="CN108" s="1417" t="str">
        <f t="shared" si="149"/>
        <v>-</v>
      </c>
      <c r="CO108" s="1417" t="str">
        <f t="shared" si="149"/>
        <v>-</v>
      </c>
      <c r="CP108" s="1417" t="str">
        <f t="shared" si="149"/>
        <v>-</v>
      </c>
      <c r="CQ108" s="1417" t="str">
        <f t="shared" si="149"/>
        <v>-</v>
      </c>
      <c r="CR108" s="1419" t="str">
        <f t="shared" si="149"/>
        <v>-</v>
      </c>
      <c r="CS108" s="1378"/>
      <c r="CT108" s="1412" t="str">
        <f t="shared" si="34"/>
        <v>Price</v>
      </c>
      <c r="CU108" s="1413" t="str">
        <f t="shared" si="35"/>
        <v>[Service]</v>
      </c>
      <c r="CV108" s="1426" t="str">
        <f t="shared" si="36"/>
        <v>[Price]</v>
      </c>
      <c r="CW108" s="1427" t="str">
        <f t="shared" si="62"/>
        <v>-</v>
      </c>
      <c r="CX108" s="1417" t="str">
        <f t="shared" si="63"/>
        <v>-</v>
      </c>
      <c r="CY108" s="1417" t="str">
        <f t="shared" si="64"/>
        <v>-</v>
      </c>
      <c r="CZ108" s="1418" t="str">
        <f t="shared" si="65"/>
        <v>-</v>
      </c>
      <c r="DA108" s="1417" t="str">
        <f t="shared" si="66"/>
        <v>-</v>
      </c>
      <c r="DB108" s="1417" t="str">
        <f t="shared" si="67"/>
        <v>-</v>
      </c>
      <c r="DC108" s="1417" t="str">
        <f t="shared" si="68"/>
        <v>-</v>
      </c>
      <c r="DD108" s="1417" t="str">
        <f t="shared" si="69"/>
        <v>-</v>
      </c>
      <c r="DE108" s="1419" t="str">
        <f t="shared" si="70"/>
        <v>-</v>
      </c>
      <c r="DF108" s="1378"/>
      <c r="DG108" s="1412" t="str">
        <f t="shared" si="81"/>
        <v>Price</v>
      </c>
      <c r="DH108" s="1413" t="str">
        <f t="shared" si="81"/>
        <v>[Service]</v>
      </c>
      <c r="DI108" s="1426" t="str">
        <f t="shared" si="81"/>
        <v>[Price]</v>
      </c>
      <c r="DJ108" s="1427" t="str">
        <f t="shared" si="71"/>
        <v>-</v>
      </c>
      <c r="DK108" s="1417" t="str">
        <f t="shared" si="72"/>
        <v>-</v>
      </c>
      <c r="DL108" s="1417" t="str">
        <f t="shared" si="73"/>
        <v>-</v>
      </c>
      <c r="DM108" s="1418" t="str">
        <f t="shared" si="74"/>
        <v>-</v>
      </c>
      <c r="DN108" s="1417" t="str">
        <f t="shared" si="75"/>
        <v>-</v>
      </c>
      <c r="DO108" s="1417" t="str">
        <f t="shared" si="76"/>
        <v>-</v>
      </c>
      <c r="DP108" s="1417" t="str">
        <f t="shared" si="77"/>
        <v>-</v>
      </c>
      <c r="DQ108" s="1419" t="str">
        <f t="shared" si="78"/>
        <v>-</v>
      </c>
    </row>
    <row r="109" spans="4:121">
      <c r="E109" s="742" t="s">
        <v>45</v>
      </c>
      <c r="F109" s="722" t="str">
        <f>+F108</f>
        <v>[Service]</v>
      </c>
      <c r="G109" s="723">
        <f>+G108</f>
        <v>0</v>
      </c>
      <c r="H109" s="723">
        <f>+H108</f>
        <v>0</v>
      </c>
      <c r="I109" s="724" t="str">
        <f>+I108</f>
        <v>[Price]</v>
      </c>
      <c r="J109" s="782" t="s">
        <v>322</v>
      </c>
      <c r="K109" s="725"/>
      <c r="L109" s="726"/>
      <c r="M109" s="726"/>
      <c r="N109" s="727"/>
      <c r="O109" s="786"/>
      <c r="P109" s="787"/>
      <c r="Q109" s="786"/>
      <c r="R109" s="786"/>
      <c r="S109" s="786"/>
      <c r="T109" s="786"/>
      <c r="U109" s="786"/>
      <c r="V109" s="786"/>
      <c r="W109" s="786"/>
      <c r="X109" s="787"/>
      <c r="Y109" s="786"/>
      <c r="Z109" s="786"/>
      <c r="AA109" s="786"/>
      <c r="AB109" s="786"/>
      <c r="AC109" s="787"/>
      <c r="AD109" s="786"/>
      <c r="AE109" s="786"/>
      <c r="AF109" s="786"/>
      <c r="AG109" s="788"/>
      <c r="AH109" s="823"/>
      <c r="AI109" s="702"/>
      <c r="AJ109" s="728"/>
      <c r="AK109" s="729"/>
      <c r="AL109" s="729"/>
      <c r="AM109" s="729"/>
      <c r="AN109" s="729"/>
      <c r="AO109" s="730"/>
      <c r="AP109" s="74"/>
      <c r="AQ109" s="74"/>
      <c r="AR109" s="74"/>
      <c r="AS109" s="106"/>
      <c r="AW109" s="1392" t="str">
        <f t="shared" si="79"/>
        <v>Qty</v>
      </c>
      <c r="AX109" s="1393" t="str">
        <f t="shared" si="41"/>
        <v>[Service]</v>
      </c>
      <c r="AY109" s="1394" t="str">
        <f t="shared" si="42"/>
        <v>[Price]</v>
      </c>
      <c r="AZ109" s="1395" t="str">
        <f t="shared" si="136"/>
        <v>-</v>
      </c>
      <c r="BA109" s="1395" t="str">
        <f t="shared" si="136"/>
        <v>-</v>
      </c>
      <c r="BB109" s="1395" t="str">
        <f t="shared" si="136"/>
        <v>-</v>
      </c>
      <c r="BC109" s="1395" t="str">
        <f t="shared" si="136"/>
        <v>-</v>
      </c>
      <c r="BD109" s="1395" t="str">
        <f t="shared" si="44"/>
        <v>-</v>
      </c>
      <c r="BE109" s="1395" t="str">
        <f t="shared" si="45"/>
        <v>-</v>
      </c>
      <c r="BF109" s="1395" t="str">
        <f t="shared" si="46"/>
        <v>-</v>
      </c>
      <c r="BG109" s="1396" t="str">
        <f t="shared" si="47"/>
        <v>-</v>
      </c>
      <c r="BH109" s="1395" t="str">
        <f t="shared" si="48"/>
        <v>-</v>
      </c>
      <c r="BI109" s="1395" t="str">
        <f t="shared" si="49"/>
        <v>-</v>
      </c>
      <c r="BJ109" s="1395" t="str">
        <f t="shared" si="50"/>
        <v>-</v>
      </c>
      <c r="BK109" s="1395" t="str">
        <f t="shared" si="51"/>
        <v>-</v>
      </c>
      <c r="BL109" s="1397" t="str">
        <f t="shared" si="52"/>
        <v>-</v>
      </c>
      <c r="BM109" s="1395" t="str">
        <f t="shared" si="53"/>
        <v>-</v>
      </c>
      <c r="BN109" s="1395" t="str">
        <f t="shared" si="54"/>
        <v>-</v>
      </c>
      <c r="BO109" s="1395" t="str">
        <f t="shared" si="55"/>
        <v>-</v>
      </c>
      <c r="BP109" s="1395" t="str">
        <f t="shared" si="56"/>
        <v>-</v>
      </c>
      <c r="BQ109" s="1398" t="str">
        <f t="shared" si="57"/>
        <v>-</v>
      </c>
      <c r="BR109" s="1378"/>
      <c r="BS109" s="1329"/>
      <c r="BT109" s="1399"/>
      <c r="BU109" s="1331"/>
      <c r="BV109" s="1400"/>
      <c r="BW109" s="1378"/>
      <c r="BX109" s="1392" t="str">
        <f t="shared" si="58"/>
        <v>Qty</v>
      </c>
      <c r="BY109" s="1393" t="str">
        <f t="shared" si="105"/>
        <v>[Service]</v>
      </c>
      <c r="BZ109" s="1394" t="str">
        <f t="shared" si="106"/>
        <v>[Price]</v>
      </c>
      <c r="CA109" s="1401" t="str">
        <f>IFERROR((S109/R109-1)*(R110/R$13),"-")</f>
        <v>-</v>
      </c>
      <c r="CB109" s="1395" t="str">
        <f>IFERROR((T109/S109-1)*(S110/S$13),"-")</f>
        <v>-</v>
      </c>
      <c r="CC109" s="1395" t="str">
        <f>IFERROR((U109/T109-1)*(T110/T$13),"-")</f>
        <v>-</v>
      </c>
      <c r="CD109" s="1395" t="str">
        <f>IFERROR((V109/U109-1)*(U110/U$13),"-")</f>
        <v>-</v>
      </c>
      <c r="CE109" s="1395" t="str">
        <f t="shared" ref="CE109:CR109" si="150">IFERROR((T109/S109-1)*(S110/S$13),"-")</f>
        <v>-</v>
      </c>
      <c r="CF109" s="1395" t="str">
        <f t="shared" si="150"/>
        <v>-</v>
      </c>
      <c r="CG109" s="1395" t="str">
        <f t="shared" si="150"/>
        <v>-</v>
      </c>
      <c r="CH109" s="1397" t="str">
        <f t="shared" si="150"/>
        <v>-</v>
      </c>
      <c r="CI109" s="1395" t="str">
        <f t="shared" si="150"/>
        <v>-</v>
      </c>
      <c r="CJ109" s="1395" t="str">
        <f t="shared" si="150"/>
        <v>-</v>
      </c>
      <c r="CK109" s="1395" t="str">
        <f t="shared" si="150"/>
        <v>-</v>
      </c>
      <c r="CL109" s="1395" t="str">
        <f t="shared" si="150"/>
        <v>-</v>
      </c>
      <c r="CM109" s="1397" t="str">
        <f t="shared" si="150"/>
        <v>-</v>
      </c>
      <c r="CN109" s="1395" t="str">
        <f t="shared" si="150"/>
        <v>-</v>
      </c>
      <c r="CO109" s="1395" t="str">
        <f t="shared" si="150"/>
        <v>-</v>
      </c>
      <c r="CP109" s="1395" t="str">
        <f t="shared" si="150"/>
        <v>-</v>
      </c>
      <c r="CQ109" s="1395" t="str">
        <f t="shared" si="150"/>
        <v>-</v>
      </c>
      <c r="CR109" s="1398" t="str">
        <f t="shared" si="150"/>
        <v>-</v>
      </c>
      <c r="CS109" s="1378"/>
      <c r="CT109" s="1392" t="str">
        <f t="shared" si="34"/>
        <v>Qty</v>
      </c>
      <c r="CU109" s="1393" t="str">
        <f t="shared" si="35"/>
        <v>[Service]</v>
      </c>
      <c r="CV109" s="1393" t="str">
        <f t="shared" si="36"/>
        <v>[Price]</v>
      </c>
      <c r="CW109" s="1401" t="str">
        <f t="shared" si="62"/>
        <v>-</v>
      </c>
      <c r="CX109" s="1395" t="str">
        <f t="shared" si="63"/>
        <v>-</v>
      </c>
      <c r="CY109" s="1395" t="str">
        <f t="shared" si="64"/>
        <v>-</v>
      </c>
      <c r="CZ109" s="1397" t="str">
        <f t="shared" si="65"/>
        <v>-</v>
      </c>
      <c r="DA109" s="1395" t="str">
        <f t="shared" si="66"/>
        <v>-</v>
      </c>
      <c r="DB109" s="1395" t="str">
        <f t="shared" si="67"/>
        <v>-</v>
      </c>
      <c r="DC109" s="1395" t="str">
        <f t="shared" si="68"/>
        <v>-</v>
      </c>
      <c r="DD109" s="1395" t="str">
        <f t="shared" si="69"/>
        <v>-</v>
      </c>
      <c r="DE109" s="1398" t="str">
        <f t="shared" si="70"/>
        <v>-</v>
      </c>
      <c r="DF109" s="1378"/>
      <c r="DG109" s="1392" t="str">
        <f t="shared" si="81"/>
        <v>Qty</v>
      </c>
      <c r="DH109" s="1393" t="str">
        <f t="shared" si="81"/>
        <v>[Service]</v>
      </c>
      <c r="DI109" s="1393" t="str">
        <f t="shared" si="81"/>
        <v>[Price]</v>
      </c>
      <c r="DJ109" s="1401" t="str">
        <f t="shared" si="71"/>
        <v>-</v>
      </c>
      <c r="DK109" s="1395" t="str">
        <f t="shared" si="72"/>
        <v>-</v>
      </c>
      <c r="DL109" s="1395" t="str">
        <f t="shared" si="73"/>
        <v>-</v>
      </c>
      <c r="DM109" s="1397" t="str">
        <f t="shared" si="74"/>
        <v>-</v>
      </c>
      <c r="DN109" s="1395" t="str">
        <f t="shared" si="75"/>
        <v>-</v>
      </c>
      <c r="DO109" s="1395" t="str">
        <f t="shared" si="76"/>
        <v>-</v>
      </c>
      <c r="DP109" s="1395" t="str">
        <f t="shared" si="77"/>
        <v>-</v>
      </c>
      <c r="DQ109" s="1398" t="str">
        <f t="shared" si="78"/>
        <v>-</v>
      </c>
    </row>
    <row r="110" spans="4:121" ht="12.75" thickBot="1">
      <c r="E110" s="743" t="s">
        <v>46</v>
      </c>
      <c r="F110" s="732" t="str">
        <f>+F108</f>
        <v>[Service]</v>
      </c>
      <c r="G110" s="733">
        <f>+G108</f>
        <v>0</v>
      </c>
      <c r="H110" s="733">
        <f>+H108</f>
        <v>0</v>
      </c>
      <c r="I110" s="734" t="str">
        <f>+I108</f>
        <v>[Price]</v>
      </c>
      <c r="J110" s="735" t="s">
        <v>344</v>
      </c>
      <c r="K110" s="736">
        <f t="shared" ref="K110:AG110" si="151">K108*K109/10^6</f>
        <v>0</v>
      </c>
      <c r="L110" s="737">
        <f t="shared" si="151"/>
        <v>0</v>
      </c>
      <c r="M110" s="737">
        <f t="shared" si="151"/>
        <v>0</v>
      </c>
      <c r="N110" s="738">
        <f t="shared" si="151"/>
        <v>0</v>
      </c>
      <c r="O110" s="737">
        <f t="shared" si="151"/>
        <v>0</v>
      </c>
      <c r="P110" s="738">
        <f t="shared" si="151"/>
        <v>0</v>
      </c>
      <c r="Q110" s="737">
        <f t="shared" si="151"/>
        <v>0</v>
      </c>
      <c r="R110" s="737">
        <f t="shared" si="151"/>
        <v>0</v>
      </c>
      <c r="S110" s="737">
        <f t="shared" si="151"/>
        <v>0</v>
      </c>
      <c r="T110" s="737">
        <f t="shared" si="151"/>
        <v>0</v>
      </c>
      <c r="U110" s="737">
        <f t="shared" si="151"/>
        <v>0</v>
      </c>
      <c r="V110" s="737">
        <f t="shared" si="151"/>
        <v>0</v>
      </c>
      <c r="W110" s="737">
        <f t="shared" si="151"/>
        <v>0</v>
      </c>
      <c r="X110" s="738">
        <f t="shared" si="151"/>
        <v>0</v>
      </c>
      <c r="Y110" s="737">
        <f t="shared" si="151"/>
        <v>0</v>
      </c>
      <c r="Z110" s="737">
        <f t="shared" si="151"/>
        <v>0</v>
      </c>
      <c r="AA110" s="737">
        <f t="shared" si="151"/>
        <v>0</v>
      </c>
      <c r="AB110" s="737">
        <f t="shared" si="151"/>
        <v>0</v>
      </c>
      <c r="AC110" s="738">
        <f t="shared" si="151"/>
        <v>0</v>
      </c>
      <c r="AD110" s="737">
        <f t="shared" si="151"/>
        <v>0</v>
      </c>
      <c r="AE110" s="737">
        <f t="shared" si="151"/>
        <v>0</v>
      </c>
      <c r="AF110" s="737">
        <f t="shared" si="151"/>
        <v>0</v>
      </c>
      <c r="AG110" s="739">
        <f t="shared" si="151"/>
        <v>0</v>
      </c>
      <c r="AH110" s="823"/>
      <c r="AI110" s="744"/>
      <c r="AJ110" s="741"/>
      <c r="AK110" s="729"/>
      <c r="AL110" s="729"/>
      <c r="AM110" s="729"/>
      <c r="AN110" s="729"/>
      <c r="AO110" s="730"/>
      <c r="AP110" s="74"/>
      <c r="AQ110" s="74"/>
      <c r="AR110" s="74"/>
      <c r="AS110" s="106"/>
      <c r="AW110" s="1428" t="str">
        <f t="shared" si="79"/>
        <v>Rev</v>
      </c>
      <c r="AX110" s="1429" t="str">
        <f t="shared" si="41"/>
        <v>[Service]</v>
      </c>
      <c r="AY110" s="1430" t="str">
        <f t="shared" si="42"/>
        <v>[Price]</v>
      </c>
      <c r="AZ110" s="1431" t="str">
        <f t="shared" si="136"/>
        <v>-</v>
      </c>
      <c r="BA110" s="1431" t="str">
        <f t="shared" si="136"/>
        <v>-</v>
      </c>
      <c r="BB110" s="1431" t="str">
        <f t="shared" si="136"/>
        <v>-</v>
      </c>
      <c r="BC110" s="1431" t="str">
        <f t="shared" si="136"/>
        <v>-</v>
      </c>
      <c r="BD110" s="1431" t="str">
        <f t="shared" si="44"/>
        <v>-</v>
      </c>
      <c r="BE110" s="1431" t="str">
        <f t="shared" si="45"/>
        <v>-</v>
      </c>
      <c r="BF110" s="1431" t="str">
        <f t="shared" si="46"/>
        <v>-</v>
      </c>
      <c r="BG110" s="1432" t="str">
        <f t="shared" si="47"/>
        <v>-</v>
      </c>
      <c r="BH110" s="1431" t="str">
        <f t="shared" si="48"/>
        <v>-</v>
      </c>
      <c r="BI110" s="1431" t="str">
        <f t="shared" si="49"/>
        <v>-</v>
      </c>
      <c r="BJ110" s="1431" t="str">
        <f t="shared" si="50"/>
        <v>-</v>
      </c>
      <c r="BK110" s="1431" t="str">
        <f t="shared" si="51"/>
        <v>-</v>
      </c>
      <c r="BL110" s="1433" t="str">
        <f t="shared" si="52"/>
        <v>-</v>
      </c>
      <c r="BM110" s="1431" t="str">
        <f t="shared" si="53"/>
        <v>-</v>
      </c>
      <c r="BN110" s="1431" t="str">
        <f t="shared" si="54"/>
        <v>-</v>
      </c>
      <c r="BO110" s="1431" t="str">
        <f t="shared" si="55"/>
        <v>-</v>
      </c>
      <c r="BP110" s="1431" t="str">
        <f t="shared" si="56"/>
        <v>-</v>
      </c>
      <c r="BQ110" s="1434" t="str">
        <f t="shared" si="57"/>
        <v>-</v>
      </c>
      <c r="BR110" s="1378"/>
      <c r="BS110" s="1407"/>
      <c r="BT110" s="1408"/>
      <c r="BU110" s="1409"/>
      <c r="BV110" s="1410"/>
      <c r="BW110" s="1378"/>
      <c r="BX110" s="1428" t="str">
        <f t="shared" si="58"/>
        <v>Rev</v>
      </c>
      <c r="BY110" s="1429" t="str">
        <f t="shared" si="105"/>
        <v>[Service]</v>
      </c>
      <c r="BZ110" s="1430" t="str">
        <f t="shared" si="106"/>
        <v>[Price]</v>
      </c>
      <c r="CA110" s="1435" t="str">
        <f>IFERROR((S110/R110-1)*(R110/R$13),"-")</f>
        <v>-</v>
      </c>
      <c r="CB110" s="1431" t="str">
        <f>IFERROR((T110/S110-1)*(S110/S$13),"-")</f>
        <v>-</v>
      </c>
      <c r="CC110" s="1431" t="str">
        <f>IFERROR((U110/T110-1)*(T110/T$13),"-")</f>
        <v>-</v>
      </c>
      <c r="CD110" s="1431" t="str">
        <f>IFERROR((V110/U110-1)*(U110/U$13),"-")</f>
        <v>-</v>
      </c>
      <c r="CE110" s="1431" t="str">
        <f t="shared" ref="CE110:CR110" si="152">IFERROR((T110/S110-1)*(S110/S$13),"-")</f>
        <v>-</v>
      </c>
      <c r="CF110" s="1431" t="str">
        <f t="shared" si="152"/>
        <v>-</v>
      </c>
      <c r="CG110" s="1431" t="str">
        <f t="shared" si="152"/>
        <v>-</v>
      </c>
      <c r="CH110" s="1433" t="str">
        <f t="shared" si="152"/>
        <v>-</v>
      </c>
      <c r="CI110" s="1431" t="str">
        <f t="shared" si="152"/>
        <v>-</v>
      </c>
      <c r="CJ110" s="1431" t="str">
        <f t="shared" si="152"/>
        <v>-</v>
      </c>
      <c r="CK110" s="1431" t="str">
        <f t="shared" si="152"/>
        <v>-</v>
      </c>
      <c r="CL110" s="1431" t="str">
        <f t="shared" si="152"/>
        <v>-</v>
      </c>
      <c r="CM110" s="1433" t="str">
        <f t="shared" si="152"/>
        <v>-</v>
      </c>
      <c r="CN110" s="1431" t="str">
        <f t="shared" si="152"/>
        <v>-</v>
      </c>
      <c r="CO110" s="1431" t="str">
        <f t="shared" si="152"/>
        <v>-</v>
      </c>
      <c r="CP110" s="1431" t="str">
        <f t="shared" si="152"/>
        <v>-</v>
      </c>
      <c r="CQ110" s="1431" t="str">
        <f t="shared" si="152"/>
        <v>-</v>
      </c>
      <c r="CR110" s="1434" t="str">
        <f t="shared" si="152"/>
        <v>-</v>
      </c>
      <c r="CS110" s="1378"/>
      <c r="CT110" s="1428" t="str">
        <f t="shared" si="34"/>
        <v>Rev</v>
      </c>
      <c r="CU110" s="1429" t="str">
        <f t="shared" si="35"/>
        <v>[Service]</v>
      </c>
      <c r="CV110" s="1429" t="str">
        <f t="shared" si="36"/>
        <v>[Price]</v>
      </c>
      <c r="CW110" s="1435" t="str">
        <f t="shared" si="62"/>
        <v>-</v>
      </c>
      <c r="CX110" s="1431" t="str">
        <f t="shared" si="63"/>
        <v>-</v>
      </c>
      <c r="CY110" s="1431" t="str">
        <f t="shared" si="64"/>
        <v>-</v>
      </c>
      <c r="CZ110" s="1433" t="str">
        <f t="shared" si="65"/>
        <v>-</v>
      </c>
      <c r="DA110" s="1431" t="str">
        <f t="shared" si="66"/>
        <v>-</v>
      </c>
      <c r="DB110" s="1431" t="str">
        <f t="shared" si="67"/>
        <v>-</v>
      </c>
      <c r="DC110" s="1431" t="str">
        <f t="shared" si="68"/>
        <v>-</v>
      </c>
      <c r="DD110" s="1431" t="str">
        <f t="shared" si="69"/>
        <v>-</v>
      </c>
      <c r="DE110" s="1434" t="str">
        <f t="shared" si="70"/>
        <v>-</v>
      </c>
      <c r="DF110" s="1378"/>
      <c r="DG110" s="1428" t="str">
        <f t="shared" si="81"/>
        <v>Rev</v>
      </c>
      <c r="DH110" s="1429" t="str">
        <f t="shared" si="81"/>
        <v>[Service]</v>
      </c>
      <c r="DI110" s="1429" t="str">
        <f t="shared" si="81"/>
        <v>[Price]</v>
      </c>
      <c r="DJ110" s="1435" t="str">
        <f t="shared" si="71"/>
        <v>-</v>
      </c>
      <c r="DK110" s="1431" t="str">
        <f t="shared" si="72"/>
        <v>-</v>
      </c>
      <c r="DL110" s="1431" t="str">
        <f t="shared" si="73"/>
        <v>-</v>
      </c>
      <c r="DM110" s="1433" t="str">
        <f t="shared" si="74"/>
        <v>-</v>
      </c>
      <c r="DN110" s="1431" t="str">
        <f t="shared" si="75"/>
        <v>-</v>
      </c>
      <c r="DO110" s="1431" t="str">
        <f t="shared" si="76"/>
        <v>-</v>
      </c>
      <c r="DP110" s="1431" t="str">
        <f t="shared" si="77"/>
        <v>-</v>
      </c>
      <c r="DQ110" s="1434" t="str">
        <f t="shared" si="78"/>
        <v>-</v>
      </c>
    </row>
    <row r="111" spans="4:121">
      <c r="D111" s="70">
        <f>D108+1</f>
        <v>15</v>
      </c>
      <c r="E111" s="713" t="s">
        <v>44</v>
      </c>
      <c r="F111" s="789" t="s">
        <v>27</v>
      </c>
      <c r="G111" s="789"/>
      <c r="H111" s="789"/>
      <c r="I111" s="781" t="s">
        <v>318</v>
      </c>
      <c r="J111" s="781" t="s">
        <v>345</v>
      </c>
      <c r="K111" s="714"/>
      <c r="L111" s="715"/>
      <c r="M111" s="715"/>
      <c r="N111" s="716"/>
      <c r="O111" s="783"/>
      <c r="P111" s="784"/>
      <c r="Q111" s="783"/>
      <c r="R111" s="783"/>
      <c r="S111" s="783"/>
      <c r="T111" s="783"/>
      <c r="U111" s="783"/>
      <c r="V111" s="783"/>
      <c r="W111" s="783"/>
      <c r="X111" s="784"/>
      <c r="Y111" s="783"/>
      <c r="Z111" s="783"/>
      <c r="AA111" s="783"/>
      <c r="AB111" s="783"/>
      <c r="AC111" s="784"/>
      <c r="AD111" s="783"/>
      <c r="AE111" s="783"/>
      <c r="AF111" s="783"/>
      <c r="AG111" s="785"/>
      <c r="AI111" s="702"/>
      <c r="AJ111" s="717" t="str">
        <f t="shared" ref="AJ111:AS111" si="153">IFERROR((X111-W111)/W111,"")</f>
        <v/>
      </c>
      <c r="AK111" s="718" t="str">
        <f t="shared" si="153"/>
        <v/>
      </c>
      <c r="AL111" s="718" t="str">
        <f t="shared" si="153"/>
        <v/>
      </c>
      <c r="AM111" s="718" t="str">
        <f t="shared" si="153"/>
        <v/>
      </c>
      <c r="AN111" s="718" t="str">
        <f t="shared" si="153"/>
        <v/>
      </c>
      <c r="AO111" s="719" t="str">
        <f t="shared" si="153"/>
        <v/>
      </c>
      <c r="AP111" s="494" t="str">
        <f t="shared" si="153"/>
        <v/>
      </c>
      <c r="AQ111" s="494" t="str">
        <f t="shared" si="153"/>
        <v/>
      </c>
      <c r="AR111" s="494" t="str">
        <f t="shared" si="153"/>
        <v/>
      </c>
      <c r="AS111" s="720" t="str">
        <f t="shared" si="153"/>
        <v/>
      </c>
      <c r="AU111" s="1369"/>
      <c r="AW111" s="1412" t="str">
        <f t="shared" si="79"/>
        <v>Price</v>
      </c>
      <c r="AX111" s="1413" t="str">
        <f t="shared" si="41"/>
        <v>[Service]</v>
      </c>
      <c r="AY111" s="1414" t="str">
        <f t="shared" si="42"/>
        <v>[Price]</v>
      </c>
      <c r="AZ111" s="1415" t="str">
        <f t="shared" si="136"/>
        <v>-</v>
      </c>
      <c r="BA111" s="1415" t="str">
        <f t="shared" si="136"/>
        <v>-</v>
      </c>
      <c r="BB111" s="1415" t="str">
        <f t="shared" si="136"/>
        <v>-</v>
      </c>
      <c r="BC111" s="1415" t="str">
        <f t="shared" si="136"/>
        <v>-</v>
      </c>
      <c r="BD111" s="1415" t="str">
        <f t="shared" si="44"/>
        <v>-</v>
      </c>
      <c r="BE111" s="1415" t="str">
        <f t="shared" si="45"/>
        <v>-</v>
      </c>
      <c r="BF111" s="1415" t="str">
        <f t="shared" si="46"/>
        <v>-</v>
      </c>
      <c r="BG111" s="1416" t="str">
        <f t="shared" si="47"/>
        <v>-</v>
      </c>
      <c r="BH111" s="1417" t="str">
        <f t="shared" si="48"/>
        <v>-</v>
      </c>
      <c r="BI111" s="1417" t="str">
        <f t="shared" si="49"/>
        <v>-</v>
      </c>
      <c r="BJ111" s="1417" t="str">
        <f t="shared" si="50"/>
        <v>-</v>
      </c>
      <c r="BK111" s="1417" t="str">
        <f t="shared" si="51"/>
        <v>-</v>
      </c>
      <c r="BL111" s="1418" t="str">
        <f t="shared" si="52"/>
        <v>-</v>
      </c>
      <c r="BM111" s="1417" t="str">
        <f t="shared" si="53"/>
        <v>-</v>
      </c>
      <c r="BN111" s="1417" t="str">
        <f t="shared" si="54"/>
        <v>-</v>
      </c>
      <c r="BO111" s="1417" t="str">
        <f t="shared" si="55"/>
        <v>-</v>
      </c>
      <c r="BP111" s="1417" t="str">
        <f t="shared" si="56"/>
        <v>-</v>
      </c>
      <c r="BQ111" s="1419" t="str">
        <f t="shared" si="57"/>
        <v>-</v>
      </c>
      <c r="BR111" s="1378"/>
      <c r="BS111" s="1420"/>
      <c r="BT111" s="1421"/>
      <c r="BU111" s="1422"/>
      <c r="BV111" s="1423"/>
      <c r="BW111" s="1378"/>
      <c r="BX111" s="1412" t="str">
        <f t="shared" si="58"/>
        <v>Price</v>
      </c>
      <c r="BY111" s="1413" t="str">
        <f t="shared" si="105"/>
        <v>[Service]</v>
      </c>
      <c r="BZ111" s="1414" t="str">
        <f t="shared" si="106"/>
        <v>[Price]</v>
      </c>
      <c r="CA111" s="1424" t="str">
        <f>IFERROR((S111/R111-1)*(R113/R$13),"-")</f>
        <v>-</v>
      </c>
      <c r="CB111" s="1415" t="str">
        <f>IFERROR((T111/S111-1)*(S113/S$13),"-")</f>
        <v>-</v>
      </c>
      <c r="CC111" s="1415" t="str">
        <f>IFERROR((U111/T111-1)*(T113/T$13),"-")</f>
        <v>-</v>
      </c>
      <c r="CD111" s="1415" t="str">
        <f>IFERROR((V111/U111-1)*(U113/U$13),"-")</f>
        <v>-</v>
      </c>
      <c r="CE111" s="1415" t="str">
        <f t="shared" ref="CE111:CR111" si="154">IFERROR((T111/S111-1)*(S113/S$13),"-")</f>
        <v>-</v>
      </c>
      <c r="CF111" s="1415" t="str">
        <f t="shared" si="154"/>
        <v>-</v>
      </c>
      <c r="CG111" s="1415" t="str">
        <f t="shared" si="154"/>
        <v>-</v>
      </c>
      <c r="CH111" s="1425" t="str">
        <f t="shared" si="154"/>
        <v>-</v>
      </c>
      <c r="CI111" s="1417" t="str">
        <f t="shared" si="154"/>
        <v>-</v>
      </c>
      <c r="CJ111" s="1417" t="str">
        <f t="shared" si="154"/>
        <v>-</v>
      </c>
      <c r="CK111" s="1417" t="str">
        <f t="shared" si="154"/>
        <v>-</v>
      </c>
      <c r="CL111" s="1417" t="str">
        <f t="shared" si="154"/>
        <v>-</v>
      </c>
      <c r="CM111" s="1418" t="str">
        <f t="shared" si="154"/>
        <v>-</v>
      </c>
      <c r="CN111" s="1417" t="str">
        <f t="shared" si="154"/>
        <v>-</v>
      </c>
      <c r="CO111" s="1417" t="str">
        <f t="shared" si="154"/>
        <v>-</v>
      </c>
      <c r="CP111" s="1417" t="str">
        <f t="shared" si="154"/>
        <v>-</v>
      </c>
      <c r="CQ111" s="1417" t="str">
        <f t="shared" si="154"/>
        <v>-</v>
      </c>
      <c r="CR111" s="1419" t="str">
        <f t="shared" si="154"/>
        <v>-</v>
      </c>
      <c r="CS111" s="1378"/>
      <c r="CT111" s="1412" t="str">
        <f t="shared" si="34"/>
        <v>Price</v>
      </c>
      <c r="CU111" s="1413" t="str">
        <f t="shared" si="35"/>
        <v>[Service]</v>
      </c>
      <c r="CV111" s="1426" t="str">
        <f t="shared" si="36"/>
        <v>[Price]</v>
      </c>
      <c r="CW111" s="1427" t="str">
        <f t="shared" si="62"/>
        <v>-</v>
      </c>
      <c r="CX111" s="1417" t="str">
        <f t="shared" si="63"/>
        <v>-</v>
      </c>
      <c r="CY111" s="1417" t="str">
        <f t="shared" si="64"/>
        <v>-</v>
      </c>
      <c r="CZ111" s="1418" t="str">
        <f t="shared" si="65"/>
        <v>-</v>
      </c>
      <c r="DA111" s="1417" t="str">
        <f t="shared" si="66"/>
        <v>-</v>
      </c>
      <c r="DB111" s="1417" t="str">
        <f t="shared" si="67"/>
        <v>-</v>
      </c>
      <c r="DC111" s="1417" t="str">
        <f t="shared" si="68"/>
        <v>-</v>
      </c>
      <c r="DD111" s="1417" t="str">
        <f t="shared" si="69"/>
        <v>-</v>
      </c>
      <c r="DE111" s="1419" t="str">
        <f t="shared" si="70"/>
        <v>-</v>
      </c>
      <c r="DF111" s="1378"/>
      <c r="DG111" s="1412" t="str">
        <f t="shared" si="81"/>
        <v>Price</v>
      </c>
      <c r="DH111" s="1413" t="str">
        <f t="shared" si="81"/>
        <v>[Service]</v>
      </c>
      <c r="DI111" s="1426" t="str">
        <f t="shared" si="81"/>
        <v>[Price]</v>
      </c>
      <c r="DJ111" s="1427" t="str">
        <f t="shared" si="71"/>
        <v>-</v>
      </c>
      <c r="DK111" s="1417" t="str">
        <f t="shared" si="72"/>
        <v>-</v>
      </c>
      <c r="DL111" s="1417" t="str">
        <f t="shared" si="73"/>
        <v>-</v>
      </c>
      <c r="DM111" s="1418" t="str">
        <f t="shared" si="74"/>
        <v>-</v>
      </c>
      <c r="DN111" s="1417" t="str">
        <f t="shared" si="75"/>
        <v>-</v>
      </c>
      <c r="DO111" s="1417" t="str">
        <f t="shared" si="76"/>
        <v>-</v>
      </c>
      <c r="DP111" s="1417" t="str">
        <f t="shared" si="77"/>
        <v>-</v>
      </c>
      <c r="DQ111" s="1419" t="str">
        <f t="shared" si="78"/>
        <v>-</v>
      </c>
    </row>
    <row r="112" spans="4:121">
      <c r="E112" s="742" t="s">
        <v>45</v>
      </c>
      <c r="F112" s="722" t="str">
        <f>+F111</f>
        <v>[Service]</v>
      </c>
      <c r="G112" s="723">
        <f>+G111</f>
        <v>0</v>
      </c>
      <c r="H112" s="723">
        <f>+H111</f>
        <v>0</v>
      </c>
      <c r="I112" s="724" t="str">
        <f>+I111</f>
        <v>[Price]</v>
      </c>
      <c r="J112" s="782" t="s">
        <v>322</v>
      </c>
      <c r="K112" s="725"/>
      <c r="L112" s="726"/>
      <c r="M112" s="726"/>
      <c r="N112" s="727"/>
      <c r="O112" s="786"/>
      <c r="P112" s="787"/>
      <c r="Q112" s="786"/>
      <c r="R112" s="786"/>
      <c r="S112" s="786"/>
      <c r="T112" s="786"/>
      <c r="U112" s="786"/>
      <c r="V112" s="786"/>
      <c r="W112" s="786"/>
      <c r="X112" s="787"/>
      <c r="Y112" s="786"/>
      <c r="Z112" s="786"/>
      <c r="AA112" s="786"/>
      <c r="AB112" s="786"/>
      <c r="AC112" s="787"/>
      <c r="AD112" s="786"/>
      <c r="AE112" s="786"/>
      <c r="AF112" s="786"/>
      <c r="AG112" s="788"/>
      <c r="AH112" s="823"/>
      <c r="AI112" s="702"/>
      <c r="AJ112" s="728"/>
      <c r="AK112" s="729"/>
      <c r="AL112" s="729"/>
      <c r="AM112" s="729"/>
      <c r="AN112" s="729"/>
      <c r="AO112" s="730"/>
      <c r="AP112" s="74"/>
      <c r="AQ112" s="74"/>
      <c r="AR112" s="74"/>
      <c r="AS112" s="106"/>
      <c r="AW112" s="1392" t="str">
        <f t="shared" si="79"/>
        <v>Qty</v>
      </c>
      <c r="AX112" s="1393" t="str">
        <f t="shared" si="41"/>
        <v>[Service]</v>
      </c>
      <c r="AY112" s="1394" t="str">
        <f t="shared" si="42"/>
        <v>[Price]</v>
      </c>
      <c r="AZ112" s="1395" t="str">
        <f t="shared" si="136"/>
        <v>-</v>
      </c>
      <c r="BA112" s="1395" t="str">
        <f t="shared" si="136"/>
        <v>-</v>
      </c>
      <c r="BB112" s="1395" t="str">
        <f t="shared" si="136"/>
        <v>-</v>
      </c>
      <c r="BC112" s="1395" t="str">
        <f t="shared" si="136"/>
        <v>-</v>
      </c>
      <c r="BD112" s="1395" t="str">
        <f t="shared" si="44"/>
        <v>-</v>
      </c>
      <c r="BE112" s="1395" t="str">
        <f t="shared" si="45"/>
        <v>-</v>
      </c>
      <c r="BF112" s="1395" t="str">
        <f t="shared" si="46"/>
        <v>-</v>
      </c>
      <c r="BG112" s="1396" t="str">
        <f t="shared" si="47"/>
        <v>-</v>
      </c>
      <c r="BH112" s="1395" t="str">
        <f t="shared" si="48"/>
        <v>-</v>
      </c>
      <c r="BI112" s="1395" t="str">
        <f t="shared" si="49"/>
        <v>-</v>
      </c>
      <c r="BJ112" s="1395" t="str">
        <f t="shared" si="50"/>
        <v>-</v>
      </c>
      <c r="BK112" s="1395" t="str">
        <f t="shared" si="51"/>
        <v>-</v>
      </c>
      <c r="BL112" s="1397" t="str">
        <f t="shared" si="52"/>
        <v>-</v>
      </c>
      <c r="BM112" s="1395" t="str">
        <f t="shared" si="53"/>
        <v>-</v>
      </c>
      <c r="BN112" s="1395" t="str">
        <f t="shared" si="54"/>
        <v>-</v>
      </c>
      <c r="BO112" s="1395" t="str">
        <f t="shared" si="55"/>
        <v>-</v>
      </c>
      <c r="BP112" s="1395" t="str">
        <f t="shared" si="56"/>
        <v>-</v>
      </c>
      <c r="BQ112" s="1398" t="str">
        <f t="shared" si="57"/>
        <v>-</v>
      </c>
      <c r="BR112" s="1378"/>
      <c r="BS112" s="1329"/>
      <c r="BT112" s="1399"/>
      <c r="BU112" s="1331"/>
      <c r="BV112" s="1400"/>
      <c r="BW112" s="1378"/>
      <c r="BX112" s="1392" t="str">
        <f t="shared" si="58"/>
        <v>Qty</v>
      </c>
      <c r="BY112" s="1393" t="str">
        <f t="shared" si="105"/>
        <v>[Service]</v>
      </c>
      <c r="BZ112" s="1394" t="str">
        <f t="shared" si="106"/>
        <v>[Price]</v>
      </c>
      <c r="CA112" s="1401" t="str">
        <f>IFERROR((S112/R112-1)*(R113/R$13),"-")</f>
        <v>-</v>
      </c>
      <c r="CB112" s="1395" t="str">
        <f>IFERROR((T112/S112-1)*(S113/S$13),"-")</f>
        <v>-</v>
      </c>
      <c r="CC112" s="1395" t="str">
        <f>IFERROR((U112/T112-1)*(T113/T$13),"-")</f>
        <v>-</v>
      </c>
      <c r="CD112" s="1395" t="str">
        <f>IFERROR((V112/U112-1)*(U113/U$13),"-")</f>
        <v>-</v>
      </c>
      <c r="CE112" s="1395" t="str">
        <f t="shared" ref="CE112:CR112" si="155">IFERROR((T112/S112-1)*(S113/S$13),"-")</f>
        <v>-</v>
      </c>
      <c r="CF112" s="1395" t="str">
        <f t="shared" si="155"/>
        <v>-</v>
      </c>
      <c r="CG112" s="1395" t="str">
        <f t="shared" si="155"/>
        <v>-</v>
      </c>
      <c r="CH112" s="1397" t="str">
        <f t="shared" si="155"/>
        <v>-</v>
      </c>
      <c r="CI112" s="1395" t="str">
        <f t="shared" si="155"/>
        <v>-</v>
      </c>
      <c r="CJ112" s="1395" t="str">
        <f t="shared" si="155"/>
        <v>-</v>
      </c>
      <c r="CK112" s="1395" t="str">
        <f t="shared" si="155"/>
        <v>-</v>
      </c>
      <c r="CL112" s="1395" t="str">
        <f t="shared" si="155"/>
        <v>-</v>
      </c>
      <c r="CM112" s="1397" t="str">
        <f t="shared" si="155"/>
        <v>-</v>
      </c>
      <c r="CN112" s="1395" t="str">
        <f t="shared" si="155"/>
        <v>-</v>
      </c>
      <c r="CO112" s="1395" t="str">
        <f t="shared" si="155"/>
        <v>-</v>
      </c>
      <c r="CP112" s="1395" t="str">
        <f t="shared" si="155"/>
        <v>-</v>
      </c>
      <c r="CQ112" s="1395" t="str">
        <f t="shared" si="155"/>
        <v>-</v>
      </c>
      <c r="CR112" s="1398" t="str">
        <f t="shared" si="155"/>
        <v>-</v>
      </c>
      <c r="CS112" s="1378"/>
      <c r="CT112" s="1392" t="str">
        <f t="shared" si="34"/>
        <v>Qty</v>
      </c>
      <c r="CU112" s="1393" t="str">
        <f t="shared" si="35"/>
        <v>[Service]</v>
      </c>
      <c r="CV112" s="1393" t="str">
        <f t="shared" si="36"/>
        <v>[Price]</v>
      </c>
      <c r="CW112" s="1401" t="str">
        <f t="shared" si="62"/>
        <v>-</v>
      </c>
      <c r="CX112" s="1395" t="str">
        <f t="shared" si="63"/>
        <v>-</v>
      </c>
      <c r="CY112" s="1395" t="str">
        <f t="shared" si="64"/>
        <v>-</v>
      </c>
      <c r="CZ112" s="1397" t="str">
        <f t="shared" si="65"/>
        <v>-</v>
      </c>
      <c r="DA112" s="1395" t="str">
        <f t="shared" si="66"/>
        <v>-</v>
      </c>
      <c r="DB112" s="1395" t="str">
        <f t="shared" si="67"/>
        <v>-</v>
      </c>
      <c r="DC112" s="1395" t="str">
        <f t="shared" si="68"/>
        <v>-</v>
      </c>
      <c r="DD112" s="1395" t="str">
        <f t="shared" si="69"/>
        <v>-</v>
      </c>
      <c r="DE112" s="1398" t="str">
        <f t="shared" si="70"/>
        <v>-</v>
      </c>
      <c r="DF112" s="1378"/>
      <c r="DG112" s="1392" t="str">
        <f t="shared" si="81"/>
        <v>Qty</v>
      </c>
      <c r="DH112" s="1393" t="str">
        <f t="shared" si="81"/>
        <v>[Service]</v>
      </c>
      <c r="DI112" s="1393" t="str">
        <f t="shared" si="81"/>
        <v>[Price]</v>
      </c>
      <c r="DJ112" s="1401" t="str">
        <f t="shared" si="71"/>
        <v>-</v>
      </c>
      <c r="DK112" s="1395" t="str">
        <f t="shared" si="72"/>
        <v>-</v>
      </c>
      <c r="DL112" s="1395" t="str">
        <f t="shared" si="73"/>
        <v>-</v>
      </c>
      <c r="DM112" s="1397" t="str">
        <f t="shared" si="74"/>
        <v>-</v>
      </c>
      <c r="DN112" s="1395" t="str">
        <f t="shared" si="75"/>
        <v>-</v>
      </c>
      <c r="DO112" s="1395" t="str">
        <f t="shared" si="76"/>
        <v>-</v>
      </c>
      <c r="DP112" s="1395" t="str">
        <f t="shared" si="77"/>
        <v>-</v>
      </c>
      <c r="DQ112" s="1398" t="str">
        <f t="shared" si="78"/>
        <v>-</v>
      </c>
    </row>
    <row r="113" spans="4:121" ht="12.75" thickBot="1">
      <c r="E113" s="743" t="s">
        <v>46</v>
      </c>
      <c r="F113" s="732" t="str">
        <f>+F111</f>
        <v>[Service]</v>
      </c>
      <c r="G113" s="733">
        <f>+G111</f>
        <v>0</v>
      </c>
      <c r="H113" s="733">
        <f>+H111</f>
        <v>0</v>
      </c>
      <c r="I113" s="734" t="str">
        <f>+I111</f>
        <v>[Price]</v>
      </c>
      <c r="J113" s="735" t="s">
        <v>344</v>
      </c>
      <c r="K113" s="736">
        <f t="shared" ref="K113:AG113" si="156">K111*K112/10^6</f>
        <v>0</v>
      </c>
      <c r="L113" s="737">
        <f t="shared" si="156"/>
        <v>0</v>
      </c>
      <c r="M113" s="737">
        <f t="shared" si="156"/>
        <v>0</v>
      </c>
      <c r="N113" s="738">
        <f t="shared" si="156"/>
        <v>0</v>
      </c>
      <c r="O113" s="737">
        <f t="shared" si="156"/>
        <v>0</v>
      </c>
      <c r="P113" s="738">
        <f t="shared" si="156"/>
        <v>0</v>
      </c>
      <c r="Q113" s="737">
        <f t="shared" si="156"/>
        <v>0</v>
      </c>
      <c r="R113" s="737">
        <f t="shared" si="156"/>
        <v>0</v>
      </c>
      <c r="S113" s="737">
        <f t="shared" si="156"/>
        <v>0</v>
      </c>
      <c r="T113" s="737">
        <f t="shared" si="156"/>
        <v>0</v>
      </c>
      <c r="U113" s="737">
        <f t="shared" si="156"/>
        <v>0</v>
      </c>
      <c r="V113" s="737">
        <f t="shared" si="156"/>
        <v>0</v>
      </c>
      <c r="W113" s="737">
        <f t="shared" si="156"/>
        <v>0</v>
      </c>
      <c r="X113" s="738">
        <f t="shared" si="156"/>
        <v>0</v>
      </c>
      <c r="Y113" s="737">
        <f t="shared" si="156"/>
        <v>0</v>
      </c>
      <c r="Z113" s="737">
        <f t="shared" si="156"/>
        <v>0</v>
      </c>
      <c r="AA113" s="737">
        <f t="shared" si="156"/>
        <v>0</v>
      </c>
      <c r="AB113" s="737">
        <f t="shared" si="156"/>
        <v>0</v>
      </c>
      <c r="AC113" s="738">
        <f t="shared" si="156"/>
        <v>0</v>
      </c>
      <c r="AD113" s="737">
        <f t="shared" si="156"/>
        <v>0</v>
      </c>
      <c r="AE113" s="737">
        <f t="shared" si="156"/>
        <v>0</v>
      </c>
      <c r="AF113" s="737">
        <f t="shared" si="156"/>
        <v>0</v>
      </c>
      <c r="AG113" s="739">
        <f t="shared" si="156"/>
        <v>0</v>
      </c>
      <c r="AH113" s="823"/>
      <c r="AI113" s="744"/>
      <c r="AJ113" s="741"/>
      <c r="AK113" s="729"/>
      <c r="AL113" s="729"/>
      <c r="AM113" s="729"/>
      <c r="AN113" s="729"/>
      <c r="AO113" s="730"/>
      <c r="AP113" s="74"/>
      <c r="AQ113" s="74"/>
      <c r="AR113" s="74"/>
      <c r="AS113" s="106"/>
      <c r="AW113" s="1428" t="str">
        <f t="shared" si="79"/>
        <v>Rev</v>
      </c>
      <c r="AX113" s="1429" t="str">
        <f t="shared" si="41"/>
        <v>[Service]</v>
      </c>
      <c r="AY113" s="1430" t="str">
        <f t="shared" si="42"/>
        <v>[Price]</v>
      </c>
      <c r="AZ113" s="1431" t="str">
        <f t="shared" si="136"/>
        <v>-</v>
      </c>
      <c r="BA113" s="1431" t="str">
        <f t="shared" si="136"/>
        <v>-</v>
      </c>
      <c r="BB113" s="1431" t="str">
        <f t="shared" si="136"/>
        <v>-</v>
      </c>
      <c r="BC113" s="1431" t="str">
        <f t="shared" si="136"/>
        <v>-</v>
      </c>
      <c r="BD113" s="1431" t="str">
        <f t="shared" si="44"/>
        <v>-</v>
      </c>
      <c r="BE113" s="1431" t="str">
        <f t="shared" si="45"/>
        <v>-</v>
      </c>
      <c r="BF113" s="1431" t="str">
        <f t="shared" si="46"/>
        <v>-</v>
      </c>
      <c r="BG113" s="1432" t="str">
        <f t="shared" si="47"/>
        <v>-</v>
      </c>
      <c r="BH113" s="1431" t="str">
        <f t="shared" si="48"/>
        <v>-</v>
      </c>
      <c r="BI113" s="1431" t="str">
        <f t="shared" si="49"/>
        <v>-</v>
      </c>
      <c r="BJ113" s="1431" t="str">
        <f t="shared" si="50"/>
        <v>-</v>
      </c>
      <c r="BK113" s="1431" t="str">
        <f t="shared" si="51"/>
        <v>-</v>
      </c>
      <c r="BL113" s="1433" t="str">
        <f t="shared" si="52"/>
        <v>-</v>
      </c>
      <c r="BM113" s="1431" t="str">
        <f t="shared" si="53"/>
        <v>-</v>
      </c>
      <c r="BN113" s="1431" t="str">
        <f t="shared" si="54"/>
        <v>-</v>
      </c>
      <c r="BO113" s="1431" t="str">
        <f t="shared" si="55"/>
        <v>-</v>
      </c>
      <c r="BP113" s="1431" t="str">
        <f t="shared" si="56"/>
        <v>-</v>
      </c>
      <c r="BQ113" s="1434" t="str">
        <f t="shared" si="57"/>
        <v>-</v>
      </c>
      <c r="BR113" s="1378"/>
      <c r="BS113" s="1407"/>
      <c r="BT113" s="1408"/>
      <c r="BU113" s="1409"/>
      <c r="BV113" s="1410"/>
      <c r="BW113" s="1378"/>
      <c r="BX113" s="1428" t="str">
        <f t="shared" si="58"/>
        <v>Rev</v>
      </c>
      <c r="BY113" s="1429" t="str">
        <f t="shared" si="105"/>
        <v>[Service]</v>
      </c>
      <c r="BZ113" s="1430" t="str">
        <f t="shared" si="106"/>
        <v>[Price]</v>
      </c>
      <c r="CA113" s="1435" t="str">
        <f>IFERROR((S113/R113-1)*(R113/R$13),"-")</f>
        <v>-</v>
      </c>
      <c r="CB113" s="1431" t="str">
        <f>IFERROR((T113/S113-1)*(S113/S$13),"-")</f>
        <v>-</v>
      </c>
      <c r="CC113" s="1431" t="str">
        <f>IFERROR((U113/T113-1)*(T113/T$13),"-")</f>
        <v>-</v>
      </c>
      <c r="CD113" s="1431" t="str">
        <f>IFERROR((V113/U113-1)*(U113/U$13),"-")</f>
        <v>-</v>
      </c>
      <c r="CE113" s="1431" t="str">
        <f t="shared" ref="CE113:CR113" si="157">IFERROR((T113/S113-1)*(S113/S$13),"-")</f>
        <v>-</v>
      </c>
      <c r="CF113" s="1431" t="str">
        <f t="shared" si="157"/>
        <v>-</v>
      </c>
      <c r="CG113" s="1431" t="str">
        <f t="shared" si="157"/>
        <v>-</v>
      </c>
      <c r="CH113" s="1433" t="str">
        <f t="shared" si="157"/>
        <v>-</v>
      </c>
      <c r="CI113" s="1431" t="str">
        <f t="shared" si="157"/>
        <v>-</v>
      </c>
      <c r="CJ113" s="1431" t="str">
        <f t="shared" si="157"/>
        <v>-</v>
      </c>
      <c r="CK113" s="1431" t="str">
        <f t="shared" si="157"/>
        <v>-</v>
      </c>
      <c r="CL113" s="1431" t="str">
        <f t="shared" si="157"/>
        <v>-</v>
      </c>
      <c r="CM113" s="1433" t="str">
        <f t="shared" si="157"/>
        <v>-</v>
      </c>
      <c r="CN113" s="1431" t="str">
        <f t="shared" si="157"/>
        <v>-</v>
      </c>
      <c r="CO113" s="1431" t="str">
        <f t="shared" si="157"/>
        <v>-</v>
      </c>
      <c r="CP113" s="1431" t="str">
        <f t="shared" si="157"/>
        <v>-</v>
      </c>
      <c r="CQ113" s="1431" t="str">
        <f t="shared" si="157"/>
        <v>-</v>
      </c>
      <c r="CR113" s="1434" t="str">
        <f t="shared" si="157"/>
        <v>-</v>
      </c>
      <c r="CS113" s="1378"/>
      <c r="CT113" s="1428" t="str">
        <f t="shared" si="34"/>
        <v>Rev</v>
      </c>
      <c r="CU113" s="1429" t="str">
        <f t="shared" si="35"/>
        <v>[Service]</v>
      </c>
      <c r="CV113" s="1429" t="str">
        <f t="shared" si="36"/>
        <v>[Price]</v>
      </c>
      <c r="CW113" s="1435" t="str">
        <f t="shared" si="62"/>
        <v>-</v>
      </c>
      <c r="CX113" s="1431" t="str">
        <f t="shared" si="63"/>
        <v>-</v>
      </c>
      <c r="CY113" s="1431" t="str">
        <f t="shared" si="64"/>
        <v>-</v>
      </c>
      <c r="CZ113" s="1433" t="str">
        <f t="shared" si="65"/>
        <v>-</v>
      </c>
      <c r="DA113" s="1431" t="str">
        <f t="shared" si="66"/>
        <v>-</v>
      </c>
      <c r="DB113" s="1431" t="str">
        <f t="shared" si="67"/>
        <v>-</v>
      </c>
      <c r="DC113" s="1431" t="str">
        <f t="shared" si="68"/>
        <v>-</v>
      </c>
      <c r="DD113" s="1431" t="str">
        <f t="shared" si="69"/>
        <v>-</v>
      </c>
      <c r="DE113" s="1434" t="str">
        <f t="shared" si="70"/>
        <v>-</v>
      </c>
      <c r="DF113" s="1378"/>
      <c r="DG113" s="1428" t="str">
        <f t="shared" si="81"/>
        <v>Rev</v>
      </c>
      <c r="DH113" s="1429" t="str">
        <f t="shared" si="81"/>
        <v>[Service]</v>
      </c>
      <c r="DI113" s="1429" t="str">
        <f t="shared" si="81"/>
        <v>[Price]</v>
      </c>
      <c r="DJ113" s="1435" t="str">
        <f t="shared" si="71"/>
        <v>-</v>
      </c>
      <c r="DK113" s="1431" t="str">
        <f t="shared" si="72"/>
        <v>-</v>
      </c>
      <c r="DL113" s="1431" t="str">
        <f t="shared" si="73"/>
        <v>-</v>
      </c>
      <c r="DM113" s="1433" t="str">
        <f t="shared" si="74"/>
        <v>-</v>
      </c>
      <c r="DN113" s="1431" t="str">
        <f t="shared" si="75"/>
        <v>-</v>
      </c>
      <c r="DO113" s="1431" t="str">
        <f t="shared" si="76"/>
        <v>-</v>
      </c>
      <c r="DP113" s="1431" t="str">
        <f t="shared" si="77"/>
        <v>-</v>
      </c>
      <c r="DQ113" s="1434" t="str">
        <f t="shared" si="78"/>
        <v>-</v>
      </c>
    </row>
    <row r="114" spans="4:121">
      <c r="D114" s="70">
        <f>D111+1</f>
        <v>16</v>
      </c>
      <c r="E114" s="713" t="s">
        <v>44</v>
      </c>
      <c r="F114" s="789" t="s">
        <v>27</v>
      </c>
      <c r="G114" s="789"/>
      <c r="H114" s="789"/>
      <c r="I114" s="781" t="s">
        <v>318</v>
      </c>
      <c r="J114" s="781" t="s">
        <v>345</v>
      </c>
      <c r="K114" s="714"/>
      <c r="L114" s="715"/>
      <c r="M114" s="715"/>
      <c r="N114" s="716"/>
      <c r="O114" s="783"/>
      <c r="P114" s="784"/>
      <c r="Q114" s="783"/>
      <c r="R114" s="783"/>
      <c r="S114" s="783"/>
      <c r="T114" s="783"/>
      <c r="U114" s="783"/>
      <c r="V114" s="783"/>
      <c r="W114" s="783"/>
      <c r="X114" s="784"/>
      <c r="Y114" s="783"/>
      <c r="Z114" s="783"/>
      <c r="AA114" s="783"/>
      <c r="AB114" s="783"/>
      <c r="AC114" s="784"/>
      <c r="AD114" s="783"/>
      <c r="AE114" s="783"/>
      <c r="AF114" s="783"/>
      <c r="AG114" s="785"/>
      <c r="AI114" s="702"/>
      <c r="AJ114" s="717" t="str">
        <f t="shared" ref="AJ114:AS114" si="158">IFERROR((X114-W114)/W114,"")</f>
        <v/>
      </c>
      <c r="AK114" s="718" t="str">
        <f t="shared" si="158"/>
        <v/>
      </c>
      <c r="AL114" s="718" t="str">
        <f t="shared" si="158"/>
        <v/>
      </c>
      <c r="AM114" s="718" t="str">
        <f t="shared" si="158"/>
        <v/>
      </c>
      <c r="AN114" s="718" t="str">
        <f t="shared" si="158"/>
        <v/>
      </c>
      <c r="AO114" s="719" t="str">
        <f t="shared" si="158"/>
        <v/>
      </c>
      <c r="AP114" s="494" t="str">
        <f t="shared" si="158"/>
        <v/>
      </c>
      <c r="AQ114" s="494" t="str">
        <f t="shared" si="158"/>
        <v/>
      </c>
      <c r="AR114" s="494" t="str">
        <f t="shared" si="158"/>
        <v/>
      </c>
      <c r="AS114" s="720" t="str">
        <f t="shared" si="158"/>
        <v/>
      </c>
      <c r="AU114" s="1369"/>
      <c r="AW114" s="1412" t="str">
        <f t="shared" si="79"/>
        <v>Price</v>
      </c>
      <c r="AX114" s="1413" t="str">
        <f t="shared" si="41"/>
        <v>[Service]</v>
      </c>
      <c r="AY114" s="1414" t="str">
        <f t="shared" si="42"/>
        <v>[Price]</v>
      </c>
      <c r="AZ114" s="1415" t="str">
        <f t="shared" si="136"/>
        <v>-</v>
      </c>
      <c r="BA114" s="1415" t="str">
        <f t="shared" si="136"/>
        <v>-</v>
      </c>
      <c r="BB114" s="1415" t="str">
        <f t="shared" si="136"/>
        <v>-</v>
      </c>
      <c r="BC114" s="1415" t="str">
        <f t="shared" si="136"/>
        <v>-</v>
      </c>
      <c r="BD114" s="1415" t="str">
        <f t="shared" si="44"/>
        <v>-</v>
      </c>
      <c r="BE114" s="1415" t="str">
        <f t="shared" si="45"/>
        <v>-</v>
      </c>
      <c r="BF114" s="1415" t="str">
        <f t="shared" si="46"/>
        <v>-</v>
      </c>
      <c r="BG114" s="1416" t="str">
        <f t="shared" si="47"/>
        <v>-</v>
      </c>
      <c r="BH114" s="1417" t="str">
        <f t="shared" si="48"/>
        <v>-</v>
      </c>
      <c r="BI114" s="1417" t="str">
        <f t="shared" si="49"/>
        <v>-</v>
      </c>
      <c r="BJ114" s="1417" t="str">
        <f t="shared" si="50"/>
        <v>-</v>
      </c>
      <c r="BK114" s="1417" t="str">
        <f t="shared" si="51"/>
        <v>-</v>
      </c>
      <c r="BL114" s="1418" t="str">
        <f t="shared" si="52"/>
        <v>-</v>
      </c>
      <c r="BM114" s="1417" t="str">
        <f t="shared" si="53"/>
        <v>-</v>
      </c>
      <c r="BN114" s="1417" t="str">
        <f t="shared" si="54"/>
        <v>-</v>
      </c>
      <c r="BO114" s="1417" t="str">
        <f t="shared" si="55"/>
        <v>-</v>
      </c>
      <c r="BP114" s="1417" t="str">
        <f t="shared" si="56"/>
        <v>-</v>
      </c>
      <c r="BQ114" s="1419" t="str">
        <f t="shared" si="57"/>
        <v>-</v>
      </c>
      <c r="BR114" s="1378"/>
      <c r="BS114" s="1420"/>
      <c r="BT114" s="1421"/>
      <c r="BU114" s="1422"/>
      <c r="BV114" s="1423"/>
      <c r="BW114" s="1378"/>
      <c r="BX114" s="1412" t="str">
        <f t="shared" si="58"/>
        <v>Price</v>
      </c>
      <c r="BY114" s="1413" t="str">
        <f t="shared" si="105"/>
        <v>[Service]</v>
      </c>
      <c r="BZ114" s="1414" t="str">
        <f t="shared" si="106"/>
        <v>[Price]</v>
      </c>
      <c r="CA114" s="1424" t="str">
        <f>IFERROR((S114/R114-1)*(R116/R$13),"-")</f>
        <v>-</v>
      </c>
      <c r="CB114" s="1415" t="str">
        <f>IFERROR((T114/S114-1)*(S116/S$13),"-")</f>
        <v>-</v>
      </c>
      <c r="CC114" s="1415" t="str">
        <f>IFERROR((U114/T114-1)*(T116/T$13),"-")</f>
        <v>-</v>
      </c>
      <c r="CD114" s="1415" t="str">
        <f>IFERROR((V114/U114-1)*(U116/U$13),"-")</f>
        <v>-</v>
      </c>
      <c r="CE114" s="1415" t="str">
        <f t="shared" ref="CE114:CR114" si="159">IFERROR((T114/S114-1)*(S116/S$13),"-")</f>
        <v>-</v>
      </c>
      <c r="CF114" s="1415" t="str">
        <f t="shared" si="159"/>
        <v>-</v>
      </c>
      <c r="CG114" s="1415" t="str">
        <f t="shared" si="159"/>
        <v>-</v>
      </c>
      <c r="CH114" s="1425" t="str">
        <f t="shared" si="159"/>
        <v>-</v>
      </c>
      <c r="CI114" s="1417" t="str">
        <f t="shared" si="159"/>
        <v>-</v>
      </c>
      <c r="CJ114" s="1417" t="str">
        <f t="shared" si="159"/>
        <v>-</v>
      </c>
      <c r="CK114" s="1417" t="str">
        <f t="shared" si="159"/>
        <v>-</v>
      </c>
      <c r="CL114" s="1417" t="str">
        <f t="shared" si="159"/>
        <v>-</v>
      </c>
      <c r="CM114" s="1418" t="str">
        <f t="shared" si="159"/>
        <v>-</v>
      </c>
      <c r="CN114" s="1417" t="str">
        <f t="shared" si="159"/>
        <v>-</v>
      </c>
      <c r="CO114" s="1417" t="str">
        <f t="shared" si="159"/>
        <v>-</v>
      </c>
      <c r="CP114" s="1417" t="str">
        <f t="shared" si="159"/>
        <v>-</v>
      </c>
      <c r="CQ114" s="1417" t="str">
        <f t="shared" si="159"/>
        <v>-</v>
      </c>
      <c r="CR114" s="1419" t="str">
        <f t="shared" si="159"/>
        <v>-</v>
      </c>
      <c r="CS114" s="1378"/>
      <c r="CT114" s="1412" t="str">
        <f t="shared" si="34"/>
        <v>Price</v>
      </c>
      <c r="CU114" s="1413" t="str">
        <f t="shared" si="35"/>
        <v>[Service]</v>
      </c>
      <c r="CV114" s="1426" t="str">
        <f t="shared" si="36"/>
        <v>[Price]</v>
      </c>
      <c r="CW114" s="1427" t="str">
        <f t="shared" si="62"/>
        <v>-</v>
      </c>
      <c r="CX114" s="1417" t="str">
        <f t="shared" si="63"/>
        <v>-</v>
      </c>
      <c r="CY114" s="1417" t="str">
        <f t="shared" si="64"/>
        <v>-</v>
      </c>
      <c r="CZ114" s="1418" t="str">
        <f t="shared" si="65"/>
        <v>-</v>
      </c>
      <c r="DA114" s="1417" t="str">
        <f t="shared" si="66"/>
        <v>-</v>
      </c>
      <c r="DB114" s="1417" t="str">
        <f t="shared" si="67"/>
        <v>-</v>
      </c>
      <c r="DC114" s="1417" t="str">
        <f t="shared" si="68"/>
        <v>-</v>
      </c>
      <c r="DD114" s="1417" t="str">
        <f t="shared" si="69"/>
        <v>-</v>
      </c>
      <c r="DE114" s="1419" t="str">
        <f t="shared" si="70"/>
        <v>-</v>
      </c>
      <c r="DF114" s="1378"/>
      <c r="DG114" s="1412" t="str">
        <f t="shared" si="81"/>
        <v>Price</v>
      </c>
      <c r="DH114" s="1413" t="str">
        <f t="shared" si="81"/>
        <v>[Service]</v>
      </c>
      <c r="DI114" s="1426" t="str">
        <f t="shared" si="81"/>
        <v>[Price]</v>
      </c>
      <c r="DJ114" s="1427" t="str">
        <f t="shared" si="71"/>
        <v>-</v>
      </c>
      <c r="DK114" s="1417" t="str">
        <f t="shared" si="72"/>
        <v>-</v>
      </c>
      <c r="DL114" s="1417" t="str">
        <f t="shared" si="73"/>
        <v>-</v>
      </c>
      <c r="DM114" s="1418" t="str">
        <f t="shared" si="74"/>
        <v>-</v>
      </c>
      <c r="DN114" s="1417" t="str">
        <f t="shared" si="75"/>
        <v>-</v>
      </c>
      <c r="DO114" s="1417" t="str">
        <f t="shared" si="76"/>
        <v>-</v>
      </c>
      <c r="DP114" s="1417" t="str">
        <f t="shared" si="77"/>
        <v>-</v>
      </c>
      <c r="DQ114" s="1419" t="str">
        <f t="shared" si="78"/>
        <v>-</v>
      </c>
    </row>
    <row r="115" spans="4:121">
      <c r="E115" s="742" t="s">
        <v>45</v>
      </c>
      <c r="F115" s="722" t="str">
        <f>+F114</f>
        <v>[Service]</v>
      </c>
      <c r="G115" s="723">
        <f>+G114</f>
        <v>0</v>
      </c>
      <c r="H115" s="723">
        <f>+H114</f>
        <v>0</v>
      </c>
      <c r="I115" s="724" t="str">
        <f>+I114</f>
        <v>[Price]</v>
      </c>
      <c r="J115" s="782" t="s">
        <v>322</v>
      </c>
      <c r="K115" s="725"/>
      <c r="L115" s="726"/>
      <c r="M115" s="726"/>
      <c r="N115" s="727"/>
      <c r="O115" s="786"/>
      <c r="P115" s="787"/>
      <c r="Q115" s="786"/>
      <c r="R115" s="786"/>
      <c r="S115" s="786"/>
      <c r="T115" s="786"/>
      <c r="U115" s="786"/>
      <c r="V115" s="786"/>
      <c r="W115" s="786"/>
      <c r="X115" s="787"/>
      <c r="Y115" s="786"/>
      <c r="Z115" s="786"/>
      <c r="AA115" s="786"/>
      <c r="AB115" s="786"/>
      <c r="AC115" s="787"/>
      <c r="AD115" s="786"/>
      <c r="AE115" s="786"/>
      <c r="AF115" s="786"/>
      <c r="AG115" s="788"/>
      <c r="AH115" s="823"/>
      <c r="AI115" s="702"/>
      <c r="AJ115" s="728"/>
      <c r="AK115" s="729"/>
      <c r="AL115" s="729"/>
      <c r="AM115" s="729"/>
      <c r="AN115" s="729"/>
      <c r="AO115" s="730"/>
      <c r="AP115" s="74"/>
      <c r="AQ115" s="74"/>
      <c r="AR115" s="74"/>
      <c r="AS115" s="106"/>
      <c r="AW115" s="1392" t="str">
        <f t="shared" si="79"/>
        <v>Qty</v>
      </c>
      <c r="AX115" s="1393" t="str">
        <f t="shared" si="41"/>
        <v>[Service]</v>
      </c>
      <c r="AY115" s="1394" t="str">
        <f t="shared" si="42"/>
        <v>[Price]</v>
      </c>
      <c r="AZ115" s="1395" t="str">
        <f t="shared" si="136"/>
        <v>-</v>
      </c>
      <c r="BA115" s="1395" t="str">
        <f t="shared" si="136"/>
        <v>-</v>
      </c>
      <c r="BB115" s="1395" t="str">
        <f t="shared" si="136"/>
        <v>-</v>
      </c>
      <c r="BC115" s="1395" t="str">
        <f t="shared" si="136"/>
        <v>-</v>
      </c>
      <c r="BD115" s="1395" t="str">
        <f t="shared" si="44"/>
        <v>-</v>
      </c>
      <c r="BE115" s="1395" t="str">
        <f t="shared" si="45"/>
        <v>-</v>
      </c>
      <c r="BF115" s="1395" t="str">
        <f t="shared" si="46"/>
        <v>-</v>
      </c>
      <c r="BG115" s="1396" t="str">
        <f t="shared" si="47"/>
        <v>-</v>
      </c>
      <c r="BH115" s="1395" t="str">
        <f t="shared" si="48"/>
        <v>-</v>
      </c>
      <c r="BI115" s="1395" t="str">
        <f t="shared" si="49"/>
        <v>-</v>
      </c>
      <c r="BJ115" s="1395" t="str">
        <f t="shared" si="50"/>
        <v>-</v>
      </c>
      <c r="BK115" s="1395" t="str">
        <f t="shared" si="51"/>
        <v>-</v>
      </c>
      <c r="BL115" s="1397" t="str">
        <f t="shared" si="52"/>
        <v>-</v>
      </c>
      <c r="BM115" s="1395" t="str">
        <f t="shared" si="53"/>
        <v>-</v>
      </c>
      <c r="BN115" s="1395" t="str">
        <f t="shared" si="54"/>
        <v>-</v>
      </c>
      <c r="BO115" s="1395" t="str">
        <f t="shared" si="55"/>
        <v>-</v>
      </c>
      <c r="BP115" s="1395" t="str">
        <f t="shared" si="56"/>
        <v>-</v>
      </c>
      <c r="BQ115" s="1398" t="str">
        <f t="shared" si="57"/>
        <v>-</v>
      </c>
      <c r="BR115" s="1378"/>
      <c r="BS115" s="1329"/>
      <c r="BT115" s="1399"/>
      <c r="BU115" s="1331"/>
      <c r="BV115" s="1400"/>
      <c r="BW115" s="1378"/>
      <c r="BX115" s="1392" t="str">
        <f t="shared" si="58"/>
        <v>Qty</v>
      </c>
      <c r="BY115" s="1393" t="str">
        <f t="shared" si="105"/>
        <v>[Service]</v>
      </c>
      <c r="BZ115" s="1394" t="str">
        <f t="shared" si="106"/>
        <v>[Price]</v>
      </c>
      <c r="CA115" s="1401" t="str">
        <f>IFERROR((S115/R115-1)*(R116/R$13),"-")</f>
        <v>-</v>
      </c>
      <c r="CB115" s="1395" t="str">
        <f>IFERROR((T115/S115-1)*(S116/S$13),"-")</f>
        <v>-</v>
      </c>
      <c r="CC115" s="1395" t="str">
        <f>IFERROR((U115/T115-1)*(T116/T$13),"-")</f>
        <v>-</v>
      </c>
      <c r="CD115" s="1395" t="str">
        <f>IFERROR((V115/U115-1)*(U116/U$13),"-")</f>
        <v>-</v>
      </c>
      <c r="CE115" s="1395" t="str">
        <f t="shared" ref="CE115:CR115" si="160">IFERROR((T115/S115-1)*(S116/S$13),"-")</f>
        <v>-</v>
      </c>
      <c r="CF115" s="1395" t="str">
        <f t="shared" si="160"/>
        <v>-</v>
      </c>
      <c r="CG115" s="1395" t="str">
        <f t="shared" si="160"/>
        <v>-</v>
      </c>
      <c r="CH115" s="1397" t="str">
        <f t="shared" si="160"/>
        <v>-</v>
      </c>
      <c r="CI115" s="1395" t="str">
        <f t="shared" si="160"/>
        <v>-</v>
      </c>
      <c r="CJ115" s="1395" t="str">
        <f t="shared" si="160"/>
        <v>-</v>
      </c>
      <c r="CK115" s="1395" t="str">
        <f t="shared" si="160"/>
        <v>-</v>
      </c>
      <c r="CL115" s="1395" t="str">
        <f t="shared" si="160"/>
        <v>-</v>
      </c>
      <c r="CM115" s="1397" t="str">
        <f t="shared" si="160"/>
        <v>-</v>
      </c>
      <c r="CN115" s="1395" t="str">
        <f t="shared" si="160"/>
        <v>-</v>
      </c>
      <c r="CO115" s="1395" t="str">
        <f t="shared" si="160"/>
        <v>-</v>
      </c>
      <c r="CP115" s="1395" t="str">
        <f t="shared" si="160"/>
        <v>-</v>
      </c>
      <c r="CQ115" s="1395" t="str">
        <f t="shared" si="160"/>
        <v>-</v>
      </c>
      <c r="CR115" s="1398" t="str">
        <f t="shared" si="160"/>
        <v>-</v>
      </c>
      <c r="CS115" s="1378"/>
      <c r="CT115" s="1392" t="str">
        <f t="shared" si="34"/>
        <v>Qty</v>
      </c>
      <c r="CU115" s="1393" t="str">
        <f t="shared" si="35"/>
        <v>[Service]</v>
      </c>
      <c r="CV115" s="1393" t="str">
        <f t="shared" si="36"/>
        <v>[Price]</v>
      </c>
      <c r="CW115" s="1401" t="str">
        <f t="shared" si="62"/>
        <v>-</v>
      </c>
      <c r="CX115" s="1395" t="str">
        <f t="shared" si="63"/>
        <v>-</v>
      </c>
      <c r="CY115" s="1395" t="str">
        <f t="shared" si="64"/>
        <v>-</v>
      </c>
      <c r="CZ115" s="1397" t="str">
        <f t="shared" si="65"/>
        <v>-</v>
      </c>
      <c r="DA115" s="1395" t="str">
        <f t="shared" si="66"/>
        <v>-</v>
      </c>
      <c r="DB115" s="1395" t="str">
        <f t="shared" si="67"/>
        <v>-</v>
      </c>
      <c r="DC115" s="1395" t="str">
        <f t="shared" si="68"/>
        <v>-</v>
      </c>
      <c r="DD115" s="1395" t="str">
        <f t="shared" si="69"/>
        <v>-</v>
      </c>
      <c r="DE115" s="1398" t="str">
        <f t="shared" si="70"/>
        <v>-</v>
      </c>
      <c r="DF115" s="1378"/>
      <c r="DG115" s="1392" t="str">
        <f t="shared" si="81"/>
        <v>Qty</v>
      </c>
      <c r="DH115" s="1393" t="str">
        <f t="shared" si="81"/>
        <v>[Service]</v>
      </c>
      <c r="DI115" s="1393" t="str">
        <f t="shared" si="81"/>
        <v>[Price]</v>
      </c>
      <c r="DJ115" s="1401" t="str">
        <f t="shared" si="71"/>
        <v>-</v>
      </c>
      <c r="DK115" s="1395" t="str">
        <f t="shared" si="72"/>
        <v>-</v>
      </c>
      <c r="DL115" s="1395" t="str">
        <f t="shared" si="73"/>
        <v>-</v>
      </c>
      <c r="DM115" s="1397" t="str">
        <f t="shared" si="74"/>
        <v>-</v>
      </c>
      <c r="DN115" s="1395" t="str">
        <f t="shared" si="75"/>
        <v>-</v>
      </c>
      <c r="DO115" s="1395" t="str">
        <f t="shared" si="76"/>
        <v>-</v>
      </c>
      <c r="DP115" s="1395" t="str">
        <f t="shared" si="77"/>
        <v>-</v>
      </c>
      <c r="DQ115" s="1398" t="str">
        <f t="shared" si="78"/>
        <v>-</v>
      </c>
    </row>
    <row r="116" spans="4:121" ht="12.75" thickBot="1">
      <c r="E116" s="743" t="s">
        <v>46</v>
      </c>
      <c r="F116" s="732" t="str">
        <f>+F114</f>
        <v>[Service]</v>
      </c>
      <c r="G116" s="733">
        <f>+G114</f>
        <v>0</v>
      </c>
      <c r="H116" s="733">
        <f>+H114</f>
        <v>0</v>
      </c>
      <c r="I116" s="734" t="str">
        <f>+I114</f>
        <v>[Price]</v>
      </c>
      <c r="J116" s="735" t="s">
        <v>344</v>
      </c>
      <c r="K116" s="736">
        <f t="shared" ref="K116:AG116" si="161">K114*K115/10^6</f>
        <v>0</v>
      </c>
      <c r="L116" s="737">
        <f t="shared" si="161"/>
        <v>0</v>
      </c>
      <c r="M116" s="737">
        <f t="shared" si="161"/>
        <v>0</v>
      </c>
      <c r="N116" s="738">
        <f t="shared" si="161"/>
        <v>0</v>
      </c>
      <c r="O116" s="737">
        <f t="shared" si="161"/>
        <v>0</v>
      </c>
      <c r="P116" s="738">
        <f t="shared" si="161"/>
        <v>0</v>
      </c>
      <c r="Q116" s="737">
        <f t="shared" si="161"/>
        <v>0</v>
      </c>
      <c r="R116" s="737">
        <f t="shared" si="161"/>
        <v>0</v>
      </c>
      <c r="S116" s="737">
        <f t="shared" si="161"/>
        <v>0</v>
      </c>
      <c r="T116" s="737">
        <f t="shared" si="161"/>
        <v>0</v>
      </c>
      <c r="U116" s="737">
        <f t="shared" si="161"/>
        <v>0</v>
      </c>
      <c r="V116" s="737">
        <f t="shared" si="161"/>
        <v>0</v>
      </c>
      <c r="W116" s="737">
        <f t="shared" si="161"/>
        <v>0</v>
      </c>
      <c r="X116" s="738">
        <f t="shared" si="161"/>
        <v>0</v>
      </c>
      <c r="Y116" s="737">
        <f t="shared" si="161"/>
        <v>0</v>
      </c>
      <c r="Z116" s="737">
        <f t="shared" si="161"/>
        <v>0</v>
      </c>
      <c r="AA116" s="737">
        <f t="shared" si="161"/>
        <v>0</v>
      </c>
      <c r="AB116" s="737">
        <f t="shared" si="161"/>
        <v>0</v>
      </c>
      <c r="AC116" s="738">
        <f t="shared" si="161"/>
        <v>0</v>
      </c>
      <c r="AD116" s="737">
        <f t="shared" si="161"/>
        <v>0</v>
      </c>
      <c r="AE116" s="737">
        <f t="shared" si="161"/>
        <v>0</v>
      </c>
      <c r="AF116" s="737">
        <f t="shared" si="161"/>
        <v>0</v>
      </c>
      <c r="AG116" s="739">
        <f t="shared" si="161"/>
        <v>0</v>
      </c>
      <c r="AH116" s="823"/>
      <c r="AI116" s="744"/>
      <c r="AJ116" s="741"/>
      <c r="AK116" s="729"/>
      <c r="AL116" s="729"/>
      <c r="AM116" s="729"/>
      <c r="AN116" s="729"/>
      <c r="AO116" s="730"/>
      <c r="AP116" s="74"/>
      <c r="AQ116" s="74"/>
      <c r="AR116" s="74"/>
      <c r="AS116" s="106"/>
      <c r="AW116" s="1428" t="str">
        <f t="shared" si="79"/>
        <v>Rev</v>
      </c>
      <c r="AX116" s="1429" t="str">
        <f t="shared" si="41"/>
        <v>[Service]</v>
      </c>
      <c r="AY116" s="1430" t="str">
        <f t="shared" si="42"/>
        <v>[Price]</v>
      </c>
      <c r="AZ116" s="1431" t="str">
        <f t="shared" si="136"/>
        <v>-</v>
      </c>
      <c r="BA116" s="1431" t="str">
        <f t="shared" si="136"/>
        <v>-</v>
      </c>
      <c r="BB116" s="1431" t="str">
        <f t="shared" si="136"/>
        <v>-</v>
      </c>
      <c r="BC116" s="1431" t="str">
        <f t="shared" si="136"/>
        <v>-</v>
      </c>
      <c r="BD116" s="1431" t="str">
        <f t="shared" si="44"/>
        <v>-</v>
      </c>
      <c r="BE116" s="1431" t="str">
        <f t="shared" si="45"/>
        <v>-</v>
      </c>
      <c r="BF116" s="1431" t="str">
        <f t="shared" si="46"/>
        <v>-</v>
      </c>
      <c r="BG116" s="1432" t="str">
        <f t="shared" si="47"/>
        <v>-</v>
      </c>
      <c r="BH116" s="1431" t="str">
        <f t="shared" si="48"/>
        <v>-</v>
      </c>
      <c r="BI116" s="1431" t="str">
        <f t="shared" si="49"/>
        <v>-</v>
      </c>
      <c r="BJ116" s="1431" t="str">
        <f t="shared" si="50"/>
        <v>-</v>
      </c>
      <c r="BK116" s="1431" t="str">
        <f t="shared" si="51"/>
        <v>-</v>
      </c>
      <c r="BL116" s="1433" t="str">
        <f t="shared" si="52"/>
        <v>-</v>
      </c>
      <c r="BM116" s="1431" t="str">
        <f t="shared" si="53"/>
        <v>-</v>
      </c>
      <c r="BN116" s="1431" t="str">
        <f t="shared" si="54"/>
        <v>-</v>
      </c>
      <c r="BO116" s="1431" t="str">
        <f t="shared" si="55"/>
        <v>-</v>
      </c>
      <c r="BP116" s="1431" t="str">
        <f t="shared" si="56"/>
        <v>-</v>
      </c>
      <c r="BQ116" s="1434" t="str">
        <f t="shared" si="57"/>
        <v>-</v>
      </c>
      <c r="BR116" s="1378"/>
      <c r="BS116" s="1407"/>
      <c r="BT116" s="1408"/>
      <c r="BU116" s="1409"/>
      <c r="BV116" s="1410"/>
      <c r="BW116" s="1378"/>
      <c r="BX116" s="1428" t="str">
        <f t="shared" si="58"/>
        <v>Rev</v>
      </c>
      <c r="BY116" s="1429" t="str">
        <f t="shared" si="105"/>
        <v>[Service]</v>
      </c>
      <c r="BZ116" s="1430" t="str">
        <f t="shared" si="106"/>
        <v>[Price]</v>
      </c>
      <c r="CA116" s="1435" t="str">
        <f>IFERROR((S116/R116-1)*(R116/R$13),"-")</f>
        <v>-</v>
      </c>
      <c r="CB116" s="1431" t="str">
        <f>IFERROR((T116/S116-1)*(S116/S$13),"-")</f>
        <v>-</v>
      </c>
      <c r="CC116" s="1431" t="str">
        <f>IFERROR((U116/T116-1)*(T116/T$13),"-")</f>
        <v>-</v>
      </c>
      <c r="CD116" s="1431" t="str">
        <f>IFERROR((V116/U116-1)*(U116/U$13),"-")</f>
        <v>-</v>
      </c>
      <c r="CE116" s="1431" t="str">
        <f t="shared" ref="CE116:CR116" si="162">IFERROR((T116/S116-1)*(S116/S$13),"-")</f>
        <v>-</v>
      </c>
      <c r="CF116" s="1431" t="str">
        <f t="shared" si="162"/>
        <v>-</v>
      </c>
      <c r="CG116" s="1431" t="str">
        <f t="shared" si="162"/>
        <v>-</v>
      </c>
      <c r="CH116" s="1433" t="str">
        <f t="shared" si="162"/>
        <v>-</v>
      </c>
      <c r="CI116" s="1431" t="str">
        <f t="shared" si="162"/>
        <v>-</v>
      </c>
      <c r="CJ116" s="1431" t="str">
        <f t="shared" si="162"/>
        <v>-</v>
      </c>
      <c r="CK116" s="1431" t="str">
        <f t="shared" si="162"/>
        <v>-</v>
      </c>
      <c r="CL116" s="1431" t="str">
        <f t="shared" si="162"/>
        <v>-</v>
      </c>
      <c r="CM116" s="1433" t="str">
        <f t="shared" si="162"/>
        <v>-</v>
      </c>
      <c r="CN116" s="1431" t="str">
        <f t="shared" si="162"/>
        <v>-</v>
      </c>
      <c r="CO116" s="1431" t="str">
        <f t="shared" si="162"/>
        <v>-</v>
      </c>
      <c r="CP116" s="1431" t="str">
        <f t="shared" si="162"/>
        <v>-</v>
      </c>
      <c r="CQ116" s="1431" t="str">
        <f t="shared" si="162"/>
        <v>-</v>
      </c>
      <c r="CR116" s="1434" t="str">
        <f t="shared" si="162"/>
        <v>-</v>
      </c>
      <c r="CS116" s="1378"/>
      <c r="CT116" s="1428" t="str">
        <f t="shared" si="34"/>
        <v>Rev</v>
      </c>
      <c r="CU116" s="1429" t="str">
        <f t="shared" si="35"/>
        <v>[Service]</v>
      </c>
      <c r="CV116" s="1429" t="str">
        <f t="shared" si="36"/>
        <v>[Price]</v>
      </c>
      <c r="CW116" s="1435" t="str">
        <f t="shared" si="62"/>
        <v>-</v>
      </c>
      <c r="CX116" s="1431" t="str">
        <f t="shared" si="63"/>
        <v>-</v>
      </c>
      <c r="CY116" s="1431" t="str">
        <f t="shared" si="64"/>
        <v>-</v>
      </c>
      <c r="CZ116" s="1433" t="str">
        <f t="shared" si="65"/>
        <v>-</v>
      </c>
      <c r="DA116" s="1431" t="str">
        <f t="shared" si="66"/>
        <v>-</v>
      </c>
      <c r="DB116" s="1431" t="str">
        <f t="shared" si="67"/>
        <v>-</v>
      </c>
      <c r="DC116" s="1431" t="str">
        <f t="shared" si="68"/>
        <v>-</v>
      </c>
      <c r="DD116" s="1431" t="str">
        <f t="shared" si="69"/>
        <v>-</v>
      </c>
      <c r="DE116" s="1434" t="str">
        <f t="shared" si="70"/>
        <v>-</v>
      </c>
      <c r="DF116" s="1378"/>
      <c r="DG116" s="1428" t="str">
        <f t="shared" si="81"/>
        <v>Rev</v>
      </c>
      <c r="DH116" s="1429" t="str">
        <f t="shared" si="81"/>
        <v>[Service]</v>
      </c>
      <c r="DI116" s="1429" t="str">
        <f t="shared" si="81"/>
        <v>[Price]</v>
      </c>
      <c r="DJ116" s="1435" t="str">
        <f t="shared" si="71"/>
        <v>-</v>
      </c>
      <c r="DK116" s="1431" t="str">
        <f t="shared" si="72"/>
        <v>-</v>
      </c>
      <c r="DL116" s="1431" t="str">
        <f t="shared" si="73"/>
        <v>-</v>
      </c>
      <c r="DM116" s="1433" t="str">
        <f t="shared" si="74"/>
        <v>-</v>
      </c>
      <c r="DN116" s="1431" t="str">
        <f t="shared" si="75"/>
        <v>-</v>
      </c>
      <c r="DO116" s="1431" t="str">
        <f t="shared" si="76"/>
        <v>-</v>
      </c>
      <c r="DP116" s="1431" t="str">
        <f t="shared" si="77"/>
        <v>-</v>
      </c>
      <c r="DQ116" s="1434" t="str">
        <f t="shared" si="78"/>
        <v>-</v>
      </c>
    </row>
    <row r="117" spans="4:121">
      <c r="D117" s="70">
        <f>D114+1</f>
        <v>17</v>
      </c>
      <c r="E117" s="713" t="s">
        <v>44</v>
      </c>
      <c r="F117" s="789" t="s">
        <v>27</v>
      </c>
      <c r="G117" s="789"/>
      <c r="H117" s="789"/>
      <c r="I117" s="781" t="s">
        <v>318</v>
      </c>
      <c r="J117" s="781" t="s">
        <v>345</v>
      </c>
      <c r="K117" s="714"/>
      <c r="L117" s="715"/>
      <c r="M117" s="715"/>
      <c r="N117" s="716"/>
      <c r="O117" s="783"/>
      <c r="P117" s="784"/>
      <c r="Q117" s="783"/>
      <c r="R117" s="783"/>
      <c r="S117" s="783"/>
      <c r="T117" s="783"/>
      <c r="U117" s="783"/>
      <c r="V117" s="783"/>
      <c r="W117" s="783"/>
      <c r="X117" s="784"/>
      <c r="Y117" s="783"/>
      <c r="Z117" s="783"/>
      <c r="AA117" s="783"/>
      <c r="AB117" s="783"/>
      <c r="AC117" s="784"/>
      <c r="AD117" s="783"/>
      <c r="AE117" s="783"/>
      <c r="AF117" s="783"/>
      <c r="AG117" s="785"/>
      <c r="AI117" s="702"/>
      <c r="AJ117" s="717" t="str">
        <f t="shared" ref="AJ117:AS117" si="163">IFERROR((X117-W117)/W117,"")</f>
        <v/>
      </c>
      <c r="AK117" s="718" t="str">
        <f t="shared" si="163"/>
        <v/>
      </c>
      <c r="AL117" s="718" t="str">
        <f t="shared" si="163"/>
        <v/>
      </c>
      <c r="AM117" s="718" t="str">
        <f t="shared" si="163"/>
        <v/>
      </c>
      <c r="AN117" s="718" t="str">
        <f t="shared" si="163"/>
        <v/>
      </c>
      <c r="AO117" s="719" t="str">
        <f t="shared" si="163"/>
        <v/>
      </c>
      <c r="AP117" s="494" t="str">
        <f t="shared" si="163"/>
        <v/>
      </c>
      <c r="AQ117" s="494" t="str">
        <f t="shared" si="163"/>
        <v/>
      </c>
      <c r="AR117" s="494" t="str">
        <f t="shared" si="163"/>
        <v/>
      </c>
      <c r="AS117" s="720" t="str">
        <f t="shared" si="163"/>
        <v/>
      </c>
      <c r="AU117" s="1369"/>
      <c r="AW117" s="1412" t="str">
        <f t="shared" si="79"/>
        <v>Price</v>
      </c>
      <c r="AX117" s="1413" t="str">
        <f t="shared" si="41"/>
        <v>[Service]</v>
      </c>
      <c r="AY117" s="1414" t="str">
        <f t="shared" si="42"/>
        <v>[Price]</v>
      </c>
      <c r="AZ117" s="1415" t="str">
        <f t="shared" ref="AZ117:BC132" si="164">IFERROR(P117/O117-1,"-")</f>
        <v>-</v>
      </c>
      <c r="BA117" s="1415" t="str">
        <f t="shared" si="164"/>
        <v>-</v>
      </c>
      <c r="BB117" s="1415" t="str">
        <f t="shared" si="164"/>
        <v>-</v>
      </c>
      <c r="BC117" s="1415" t="str">
        <f t="shared" si="164"/>
        <v>-</v>
      </c>
      <c r="BD117" s="1415" t="str">
        <f t="shared" si="44"/>
        <v>-</v>
      </c>
      <c r="BE117" s="1415" t="str">
        <f t="shared" si="45"/>
        <v>-</v>
      </c>
      <c r="BF117" s="1415" t="str">
        <f t="shared" si="46"/>
        <v>-</v>
      </c>
      <c r="BG117" s="1416" t="str">
        <f t="shared" si="47"/>
        <v>-</v>
      </c>
      <c r="BH117" s="1417" t="str">
        <f t="shared" si="48"/>
        <v>-</v>
      </c>
      <c r="BI117" s="1417" t="str">
        <f t="shared" si="49"/>
        <v>-</v>
      </c>
      <c r="BJ117" s="1417" t="str">
        <f t="shared" si="50"/>
        <v>-</v>
      </c>
      <c r="BK117" s="1417" t="str">
        <f t="shared" si="51"/>
        <v>-</v>
      </c>
      <c r="BL117" s="1418" t="str">
        <f t="shared" si="52"/>
        <v>-</v>
      </c>
      <c r="BM117" s="1417" t="str">
        <f t="shared" si="53"/>
        <v>-</v>
      </c>
      <c r="BN117" s="1417" t="str">
        <f t="shared" si="54"/>
        <v>-</v>
      </c>
      <c r="BO117" s="1417" t="str">
        <f t="shared" si="55"/>
        <v>-</v>
      </c>
      <c r="BP117" s="1417" t="str">
        <f t="shared" si="56"/>
        <v>-</v>
      </c>
      <c r="BQ117" s="1419" t="str">
        <f t="shared" si="57"/>
        <v>-</v>
      </c>
      <c r="BR117" s="1378"/>
      <c r="BS117" s="1420"/>
      <c r="BT117" s="1421"/>
      <c r="BU117" s="1422"/>
      <c r="BV117" s="1423"/>
      <c r="BW117" s="1378"/>
      <c r="BX117" s="1412" t="str">
        <f t="shared" si="58"/>
        <v>Price</v>
      </c>
      <c r="BY117" s="1413" t="str">
        <f t="shared" si="105"/>
        <v>[Service]</v>
      </c>
      <c r="BZ117" s="1414" t="str">
        <f t="shared" si="106"/>
        <v>[Price]</v>
      </c>
      <c r="CA117" s="1424" t="str">
        <f>IFERROR((S117/R117-1)*(R119/R$13),"-")</f>
        <v>-</v>
      </c>
      <c r="CB117" s="1415" t="str">
        <f>IFERROR((T117/S117-1)*(S119/S$13),"-")</f>
        <v>-</v>
      </c>
      <c r="CC117" s="1415" t="str">
        <f>IFERROR((U117/T117-1)*(T119/T$13),"-")</f>
        <v>-</v>
      </c>
      <c r="CD117" s="1415" t="str">
        <f>IFERROR((V117/U117-1)*(U119/U$13),"-")</f>
        <v>-</v>
      </c>
      <c r="CE117" s="1415" t="str">
        <f t="shared" ref="CE117:CR117" si="165">IFERROR((T117/S117-1)*(S119/S$13),"-")</f>
        <v>-</v>
      </c>
      <c r="CF117" s="1415" t="str">
        <f t="shared" si="165"/>
        <v>-</v>
      </c>
      <c r="CG117" s="1415" t="str">
        <f t="shared" si="165"/>
        <v>-</v>
      </c>
      <c r="CH117" s="1425" t="str">
        <f t="shared" si="165"/>
        <v>-</v>
      </c>
      <c r="CI117" s="1417" t="str">
        <f t="shared" si="165"/>
        <v>-</v>
      </c>
      <c r="CJ117" s="1417" t="str">
        <f t="shared" si="165"/>
        <v>-</v>
      </c>
      <c r="CK117" s="1417" t="str">
        <f t="shared" si="165"/>
        <v>-</v>
      </c>
      <c r="CL117" s="1417" t="str">
        <f t="shared" si="165"/>
        <v>-</v>
      </c>
      <c r="CM117" s="1418" t="str">
        <f t="shared" si="165"/>
        <v>-</v>
      </c>
      <c r="CN117" s="1417" t="str">
        <f t="shared" si="165"/>
        <v>-</v>
      </c>
      <c r="CO117" s="1417" t="str">
        <f t="shared" si="165"/>
        <v>-</v>
      </c>
      <c r="CP117" s="1417" t="str">
        <f t="shared" si="165"/>
        <v>-</v>
      </c>
      <c r="CQ117" s="1417" t="str">
        <f t="shared" si="165"/>
        <v>-</v>
      </c>
      <c r="CR117" s="1419" t="str">
        <f t="shared" si="165"/>
        <v>-</v>
      </c>
      <c r="CS117" s="1378"/>
      <c r="CT117" s="1412" t="str">
        <f t="shared" si="34"/>
        <v>Price</v>
      </c>
      <c r="CU117" s="1413" t="str">
        <f t="shared" si="35"/>
        <v>[Service]</v>
      </c>
      <c r="CV117" s="1426" t="str">
        <f t="shared" si="36"/>
        <v>[Price]</v>
      </c>
      <c r="CW117" s="1427" t="str">
        <f t="shared" si="62"/>
        <v>-</v>
      </c>
      <c r="CX117" s="1417" t="str">
        <f t="shared" si="63"/>
        <v>-</v>
      </c>
      <c r="CY117" s="1417" t="str">
        <f t="shared" si="64"/>
        <v>-</v>
      </c>
      <c r="CZ117" s="1418" t="str">
        <f t="shared" si="65"/>
        <v>-</v>
      </c>
      <c r="DA117" s="1417" t="str">
        <f t="shared" si="66"/>
        <v>-</v>
      </c>
      <c r="DB117" s="1417" t="str">
        <f t="shared" si="67"/>
        <v>-</v>
      </c>
      <c r="DC117" s="1417" t="str">
        <f t="shared" si="68"/>
        <v>-</v>
      </c>
      <c r="DD117" s="1417" t="str">
        <f t="shared" si="69"/>
        <v>-</v>
      </c>
      <c r="DE117" s="1419" t="str">
        <f t="shared" si="70"/>
        <v>-</v>
      </c>
      <c r="DF117" s="1378"/>
      <c r="DG117" s="1412" t="str">
        <f t="shared" si="81"/>
        <v>Price</v>
      </c>
      <c r="DH117" s="1413" t="str">
        <f t="shared" si="81"/>
        <v>[Service]</v>
      </c>
      <c r="DI117" s="1426" t="str">
        <f t="shared" si="81"/>
        <v>[Price]</v>
      </c>
      <c r="DJ117" s="1427" t="str">
        <f t="shared" si="71"/>
        <v>-</v>
      </c>
      <c r="DK117" s="1417" t="str">
        <f t="shared" si="72"/>
        <v>-</v>
      </c>
      <c r="DL117" s="1417" t="str">
        <f t="shared" si="73"/>
        <v>-</v>
      </c>
      <c r="DM117" s="1418" t="str">
        <f t="shared" si="74"/>
        <v>-</v>
      </c>
      <c r="DN117" s="1417" t="str">
        <f t="shared" si="75"/>
        <v>-</v>
      </c>
      <c r="DO117" s="1417" t="str">
        <f t="shared" si="76"/>
        <v>-</v>
      </c>
      <c r="DP117" s="1417" t="str">
        <f t="shared" si="77"/>
        <v>-</v>
      </c>
      <c r="DQ117" s="1419" t="str">
        <f t="shared" si="78"/>
        <v>-</v>
      </c>
    </row>
    <row r="118" spans="4:121">
      <c r="E118" s="742" t="s">
        <v>45</v>
      </c>
      <c r="F118" s="722" t="str">
        <f>+F117</f>
        <v>[Service]</v>
      </c>
      <c r="G118" s="723">
        <f>+G117</f>
        <v>0</v>
      </c>
      <c r="H118" s="723">
        <f>+H117</f>
        <v>0</v>
      </c>
      <c r="I118" s="724" t="str">
        <f>+I117</f>
        <v>[Price]</v>
      </c>
      <c r="J118" s="782" t="s">
        <v>322</v>
      </c>
      <c r="K118" s="725"/>
      <c r="L118" s="726"/>
      <c r="M118" s="726"/>
      <c r="N118" s="727"/>
      <c r="O118" s="786"/>
      <c r="P118" s="787"/>
      <c r="Q118" s="786"/>
      <c r="R118" s="786"/>
      <c r="S118" s="786"/>
      <c r="T118" s="786"/>
      <c r="U118" s="786"/>
      <c r="V118" s="786"/>
      <c r="W118" s="786"/>
      <c r="X118" s="787"/>
      <c r="Y118" s="786"/>
      <c r="Z118" s="786"/>
      <c r="AA118" s="786"/>
      <c r="AB118" s="786"/>
      <c r="AC118" s="787"/>
      <c r="AD118" s="786"/>
      <c r="AE118" s="786"/>
      <c r="AF118" s="786"/>
      <c r="AG118" s="788"/>
      <c r="AH118" s="823"/>
      <c r="AI118" s="702"/>
      <c r="AJ118" s="728"/>
      <c r="AK118" s="729"/>
      <c r="AL118" s="729"/>
      <c r="AM118" s="729"/>
      <c r="AN118" s="729"/>
      <c r="AO118" s="730"/>
      <c r="AP118" s="74"/>
      <c r="AQ118" s="74"/>
      <c r="AR118" s="74"/>
      <c r="AS118" s="106"/>
      <c r="AW118" s="1392" t="str">
        <f t="shared" si="79"/>
        <v>Qty</v>
      </c>
      <c r="AX118" s="1393" t="str">
        <f t="shared" si="41"/>
        <v>[Service]</v>
      </c>
      <c r="AY118" s="1394" t="str">
        <f t="shared" si="42"/>
        <v>[Price]</v>
      </c>
      <c r="AZ118" s="1395" t="str">
        <f t="shared" si="164"/>
        <v>-</v>
      </c>
      <c r="BA118" s="1395" t="str">
        <f t="shared" si="164"/>
        <v>-</v>
      </c>
      <c r="BB118" s="1395" t="str">
        <f t="shared" si="164"/>
        <v>-</v>
      </c>
      <c r="BC118" s="1395" t="str">
        <f t="shared" si="164"/>
        <v>-</v>
      </c>
      <c r="BD118" s="1395" t="str">
        <f t="shared" si="44"/>
        <v>-</v>
      </c>
      <c r="BE118" s="1395" t="str">
        <f t="shared" si="45"/>
        <v>-</v>
      </c>
      <c r="BF118" s="1395" t="str">
        <f t="shared" si="46"/>
        <v>-</v>
      </c>
      <c r="BG118" s="1396" t="str">
        <f t="shared" si="47"/>
        <v>-</v>
      </c>
      <c r="BH118" s="1395" t="str">
        <f t="shared" si="48"/>
        <v>-</v>
      </c>
      <c r="BI118" s="1395" t="str">
        <f t="shared" si="49"/>
        <v>-</v>
      </c>
      <c r="BJ118" s="1395" t="str">
        <f t="shared" si="50"/>
        <v>-</v>
      </c>
      <c r="BK118" s="1395" t="str">
        <f t="shared" si="51"/>
        <v>-</v>
      </c>
      <c r="BL118" s="1397" t="str">
        <f t="shared" si="52"/>
        <v>-</v>
      </c>
      <c r="BM118" s="1395" t="str">
        <f t="shared" si="53"/>
        <v>-</v>
      </c>
      <c r="BN118" s="1395" t="str">
        <f t="shared" si="54"/>
        <v>-</v>
      </c>
      <c r="BO118" s="1395" t="str">
        <f t="shared" si="55"/>
        <v>-</v>
      </c>
      <c r="BP118" s="1395" t="str">
        <f t="shared" si="56"/>
        <v>-</v>
      </c>
      <c r="BQ118" s="1398" t="str">
        <f t="shared" si="57"/>
        <v>-</v>
      </c>
      <c r="BR118" s="1378"/>
      <c r="BS118" s="1329"/>
      <c r="BT118" s="1399"/>
      <c r="BU118" s="1331"/>
      <c r="BV118" s="1400"/>
      <c r="BW118" s="1378"/>
      <c r="BX118" s="1392" t="str">
        <f t="shared" si="58"/>
        <v>Qty</v>
      </c>
      <c r="BY118" s="1393" t="str">
        <f t="shared" si="105"/>
        <v>[Service]</v>
      </c>
      <c r="BZ118" s="1394" t="str">
        <f t="shared" si="106"/>
        <v>[Price]</v>
      </c>
      <c r="CA118" s="1401" t="str">
        <f>IFERROR((S118/R118-1)*(R119/R$13),"-")</f>
        <v>-</v>
      </c>
      <c r="CB118" s="1395" t="str">
        <f>IFERROR((T118/S118-1)*(S119/S$13),"-")</f>
        <v>-</v>
      </c>
      <c r="CC118" s="1395" t="str">
        <f>IFERROR((U118/T118-1)*(T119/T$13),"-")</f>
        <v>-</v>
      </c>
      <c r="CD118" s="1395" t="str">
        <f>IFERROR((V118/U118-1)*(U119/U$13),"-")</f>
        <v>-</v>
      </c>
      <c r="CE118" s="1395" t="str">
        <f t="shared" ref="CE118:CR118" si="166">IFERROR((T118/S118-1)*(S119/S$13),"-")</f>
        <v>-</v>
      </c>
      <c r="CF118" s="1395" t="str">
        <f t="shared" si="166"/>
        <v>-</v>
      </c>
      <c r="CG118" s="1395" t="str">
        <f t="shared" si="166"/>
        <v>-</v>
      </c>
      <c r="CH118" s="1397" t="str">
        <f t="shared" si="166"/>
        <v>-</v>
      </c>
      <c r="CI118" s="1395" t="str">
        <f t="shared" si="166"/>
        <v>-</v>
      </c>
      <c r="CJ118" s="1395" t="str">
        <f t="shared" si="166"/>
        <v>-</v>
      </c>
      <c r="CK118" s="1395" t="str">
        <f t="shared" si="166"/>
        <v>-</v>
      </c>
      <c r="CL118" s="1395" t="str">
        <f t="shared" si="166"/>
        <v>-</v>
      </c>
      <c r="CM118" s="1397" t="str">
        <f t="shared" si="166"/>
        <v>-</v>
      </c>
      <c r="CN118" s="1395" t="str">
        <f t="shared" si="166"/>
        <v>-</v>
      </c>
      <c r="CO118" s="1395" t="str">
        <f t="shared" si="166"/>
        <v>-</v>
      </c>
      <c r="CP118" s="1395" t="str">
        <f t="shared" si="166"/>
        <v>-</v>
      </c>
      <c r="CQ118" s="1395" t="str">
        <f t="shared" si="166"/>
        <v>-</v>
      </c>
      <c r="CR118" s="1398" t="str">
        <f t="shared" si="166"/>
        <v>-</v>
      </c>
      <c r="CS118" s="1378"/>
      <c r="CT118" s="1392" t="str">
        <f t="shared" si="34"/>
        <v>Qty</v>
      </c>
      <c r="CU118" s="1393" t="str">
        <f t="shared" si="35"/>
        <v>[Service]</v>
      </c>
      <c r="CV118" s="1393" t="str">
        <f t="shared" si="36"/>
        <v>[Price]</v>
      </c>
      <c r="CW118" s="1401" t="str">
        <f t="shared" si="62"/>
        <v>-</v>
      </c>
      <c r="CX118" s="1395" t="str">
        <f t="shared" si="63"/>
        <v>-</v>
      </c>
      <c r="CY118" s="1395" t="str">
        <f t="shared" si="64"/>
        <v>-</v>
      </c>
      <c r="CZ118" s="1397" t="str">
        <f t="shared" si="65"/>
        <v>-</v>
      </c>
      <c r="DA118" s="1395" t="str">
        <f t="shared" si="66"/>
        <v>-</v>
      </c>
      <c r="DB118" s="1395" t="str">
        <f t="shared" si="67"/>
        <v>-</v>
      </c>
      <c r="DC118" s="1395" t="str">
        <f t="shared" si="68"/>
        <v>-</v>
      </c>
      <c r="DD118" s="1395" t="str">
        <f t="shared" si="69"/>
        <v>-</v>
      </c>
      <c r="DE118" s="1398" t="str">
        <f t="shared" si="70"/>
        <v>-</v>
      </c>
      <c r="DF118" s="1378"/>
      <c r="DG118" s="1392" t="str">
        <f t="shared" si="81"/>
        <v>Qty</v>
      </c>
      <c r="DH118" s="1393" t="str">
        <f t="shared" si="81"/>
        <v>[Service]</v>
      </c>
      <c r="DI118" s="1393" t="str">
        <f t="shared" si="81"/>
        <v>[Price]</v>
      </c>
      <c r="DJ118" s="1401" t="str">
        <f t="shared" si="71"/>
        <v>-</v>
      </c>
      <c r="DK118" s="1395" t="str">
        <f t="shared" si="72"/>
        <v>-</v>
      </c>
      <c r="DL118" s="1395" t="str">
        <f t="shared" si="73"/>
        <v>-</v>
      </c>
      <c r="DM118" s="1397" t="str">
        <f t="shared" si="74"/>
        <v>-</v>
      </c>
      <c r="DN118" s="1395" t="str">
        <f t="shared" si="75"/>
        <v>-</v>
      </c>
      <c r="DO118" s="1395" t="str">
        <f t="shared" si="76"/>
        <v>-</v>
      </c>
      <c r="DP118" s="1395" t="str">
        <f t="shared" si="77"/>
        <v>-</v>
      </c>
      <c r="DQ118" s="1398" t="str">
        <f t="shared" si="78"/>
        <v>-</v>
      </c>
    </row>
    <row r="119" spans="4:121" ht="12.75" thickBot="1">
      <c r="E119" s="743" t="s">
        <v>46</v>
      </c>
      <c r="F119" s="732" t="str">
        <f>+F117</f>
        <v>[Service]</v>
      </c>
      <c r="G119" s="733">
        <f>+G117</f>
        <v>0</v>
      </c>
      <c r="H119" s="733">
        <f>+H117</f>
        <v>0</v>
      </c>
      <c r="I119" s="734" t="str">
        <f>+I117</f>
        <v>[Price]</v>
      </c>
      <c r="J119" s="735" t="s">
        <v>344</v>
      </c>
      <c r="K119" s="736">
        <f t="shared" ref="K119:AG119" si="167">K117*K118/10^6</f>
        <v>0</v>
      </c>
      <c r="L119" s="737">
        <f t="shared" si="167"/>
        <v>0</v>
      </c>
      <c r="M119" s="737">
        <f t="shared" si="167"/>
        <v>0</v>
      </c>
      <c r="N119" s="738">
        <f t="shared" si="167"/>
        <v>0</v>
      </c>
      <c r="O119" s="737">
        <f t="shared" si="167"/>
        <v>0</v>
      </c>
      <c r="P119" s="738">
        <f t="shared" si="167"/>
        <v>0</v>
      </c>
      <c r="Q119" s="737">
        <f t="shared" si="167"/>
        <v>0</v>
      </c>
      <c r="R119" s="737">
        <f t="shared" si="167"/>
        <v>0</v>
      </c>
      <c r="S119" s="737">
        <f t="shared" si="167"/>
        <v>0</v>
      </c>
      <c r="T119" s="737">
        <f t="shared" si="167"/>
        <v>0</v>
      </c>
      <c r="U119" s="737">
        <f t="shared" si="167"/>
        <v>0</v>
      </c>
      <c r="V119" s="737">
        <f t="shared" si="167"/>
        <v>0</v>
      </c>
      <c r="W119" s="737">
        <f t="shared" si="167"/>
        <v>0</v>
      </c>
      <c r="X119" s="738">
        <f t="shared" si="167"/>
        <v>0</v>
      </c>
      <c r="Y119" s="737">
        <f t="shared" si="167"/>
        <v>0</v>
      </c>
      <c r="Z119" s="737">
        <f t="shared" si="167"/>
        <v>0</v>
      </c>
      <c r="AA119" s="737">
        <f t="shared" si="167"/>
        <v>0</v>
      </c>
      <c r="AB119" s="737">
        <f t="shared" si="167"/>
        <v>0</v>
      </c>
      <c r="AC119" s="738">
        <f t="shared" si="167"/>
        <v>0</v>
      </c>
      <c r="AD119" s="737">
        <f t="shared" si="167"/>
        <v>0</v>
      </c>
      <c r="AE119" s="737">
        <f t="shared" si="167"/>
        <v>0</v>
      </c>
      <c r="AF119" s="737">
        <f t="shared" si="167"/>
        <v>0</v>
      </c>
      <c r="AG119" s="739">
        <f t="shared" si="167"/>
        <v>0</v>
      </c>
      <c r="AH119" s="823"/>
      <c r="AI119" s="744"/>
      <c r="AJ119" s="741"/>
      <c r="AK119" s="729"/>
      <c r="AL119" s="729"/>
      <c r="AM119" s="729"/>
      <c r="AN119" s="729"/>
      <c r="AO119" s="730"/>
      <c r="AP119" s="74"/>
      <c r="AQ119" s="74"/>
      <c r="AR119" s="74"/>
      <c r="AS119" s="106"/>
      <c r="AW119" s="1428" t="str">
        <f t="shared" si="79"/>
        <v>Rev</v>
      </c>
      <c r="AX119" s="1429" t="str">
        <f t="shared" si="41"/>
        <v>[Service]</v>
      </c>
      <c r="AY119" s="1430" t="str">
        <f t="shared" si="42"/>
        <v>[Price]</v>
      </c>
      <c r="AZ119" s="1431" t="str">
        <f t="shared" si="164"/>
        <v>-</v>
      </c>
      <c r="BA119" s="1431" t="str">
        <f t="shared" si="164"/>
        <v>-</v>
      </c>
      <c r="BB119" s="1431" t="str">
        <f t="shared" si="164"/>
        <v>-</v>
      </c>
      <c r="BC119" s="1431" t="str">
        <f t="shared" si="164"/>
        <v>-</v>
      </c>
      <c r="BD119" s="1431" t="str">
        <f t="shared" si="44"/>
        <v>-</v>
      </c>
      <c r="BE119" s="1431" t="str">
        <f t="shared" si="45"/>
        <v>-</v>
      </c>
      <c r="BF119" s="1431" t="str">
        <f t="shared" si="46"/>
        <v>-</v>
      </c>
      <c r="BG119" s="1432" t="str">
        <f t="shared" si="47"/>
        <v>-</v>
      </c>
      <c r="BH119" s="1431" t="str">
        <f t="shared" si="48"/>
        <v>-</v>
      </c>
      <c r="BI119" s="1431" t="str">
        <f t="shared" si="49"/>
        <v>-</v>
      </c>
      <c r="BJ119" s="1431" t="str">
        <f t="shared" si="50"/>
        <v>-</v>
      </c>
      <c r="BK119" s="1431" t="str">
        <f t="shared" si="51"/>
        <v>-</v>
      </c>
      <c r="BL119" s="1433" t="str">
        <f t="shared" si="52"/>
        <v>-</v>
      </c>
      <c r="BM119" s="1431" t="str">
        <f t="shared" si="53"/>
        <v>-</v>
      </c>
      <c r="BN119" s="1431" t="str">
        <f t="shared" si="54"/>
        <v>-</v>
      </c>
      <c r="BO119" s="1431" t="str">
        <f t="shared" si="55"/>
        <v>-</v>
      </c>
      <c r="BP119" s="1431" t="str">
        <f t="shared" si="56"/>
        <v>-</v>
      </c>
      <c r="BQ119" s="1434" t="str">
        <f t="shared" si="57"/>
        <v>-</v>
      </c>
      <c r="BR119" s="1378"/>
      <c r="BS119" s="1407"/>
      <c r="BT119" s="1408"/>
      <c r="BU119" s="1409"/>
      <c r="BV119" s="1410"/>
      <c r="BW119" s="1378"/>
      <c r="BX119" s="1428" t="str">
        <f t="shared" si="58"/>
        <v>Rev</v>
      </c>
      <c r="BY119" s="1429" t="str">
        <f t="shared" si="105"/>
        <v>[Service]</v>
      </c>
      <c r="BZ119" s="1430" t="str">
        <f t="shared" si="106"/>
        <v>[Price]</v>
      </c>
      <c r="CA119" s="1435" t="str">
        <f>IFERROR((S119/R119-1)*(R119/R$13),"-")</f>
        <v>-</v>
      </c>
      <c r="CB119" s="1431" t="str">
        <f>IFERROR((T119/S119-1)*(S119/S$13),"-")</f>
        <v>-</v>
      </c>
      <c r="CC119" s="1431" t="str">
        <f>IFERROR((U119/T119-1)*(T119/T$13),"-")</f>
        <v>-</v>
      </c>
      <c r="CD119" s="1431" t="str">
        <f>IFERROR((V119/U119-1)*(U119/U$13),"-")</f>
        <v>-</v>
      </c>
      <c r="CE119" s="1431" t="str">
        <f t="shared" ref="CE119:CR119" si="168">IFERROR((T119/S119-1)*(S119/S$13),"-")</f>
        <v>-</v>
      </c>
      <c r="CF119" s="1431" t="str">
        <f t="shared" si="168"/>
        <v>-</v>
      </c>
      <c r="CG119" s="1431" t="str">
        <f t="shared" si="168"/>
        <v>-</v>
      </c>
      <c r="CH119" s="1433" t="str">
        <f t="shared" si="168"/>
        <v>-</v>
      </c>
      <c r="CI119" s="1431" t="str">
        <f t="shared" si="168"/>
        <v>-</v>
      </c>
      <c r="CJ119" s="1431" t="str">
        <f t="shared" si="168"/>
        <v>-</v>
      </c>
      <c r="CK119" s="1431" t="str">
        <f t="shared" si="168"/>
        <v>-</v>
      </c>
      <c r="CL119" s="1431" t="str">
        <f t="shared" si="168"/>
        <v>-</v>
      </c>
      <c r="CM119" s="1433" t="str">
        <f t="shared" si="168"/>
        <v>-</v>
      </c>
      <c r="CN119" s="1431" t="str">
        <f t="shared" si="168"/>
        <v>-</v>
      </c>
      <c r="CO119" s="1431" t="str">
        <f t="shared" si="168"/>
        <v>-</v>
      </c>
      <c r="CP119" s="1431" t="str">
        <f t="shared" si="168"/>
        <v>-</v>
      </c>
      <c r="CQ119" s="1431" t="str">
        <f t="shared" si="168"/>
        <v>-</v>
      </c>
      <c r="CR119" s="1434" t="str">
        <f t="shared" si="168"/>
        <v>-</v>
      </c>
      <c r="CS119" s="1378"/>
      <c r="CT119" s="1428" t="str">
        <f t="shared" si="34"/>
        <v>Rev</v>
      </c>
      <c r="CU119" s="1429" t="str">
        <f t="shared" si="35"/>
        <v>[Service]</v>
      </c>
      <c r="CV119" s="1429" t="str">
        <f t="shared" si="36"/>
        <v>[Price]</v>
      </c>
      <c r="CW119" s="1435" t="str">
        <f t="shared" si="62"/>
        <v>-</v>
      </c>
      <c r="CX119" s="1431" t="str">
        <f t="shared" si="63"/>
        <v>-</v>
      </c>
      <c r="CY119" s="1431" t="str">
        <f t="shared" si="64"/>
        <v>-</v>
      </c>
      <c r="CZ119" s="1433" t="str">
        <f t="shared" si="65"/>
        <v>-</v>
      </c>
      <c r="DA119" s="1431" t="str">
        <f t="shared" si="66"/>
        <v>-</v>
      </c>
      <c r="DB119" s="1431" t="str">
        <f t="shared" si="67"/>
        <v>-</v>
      </c>
      <c r="DC119" s="1431" t="str">
        <f t="shared" si="68"/>
        <v>-</v>
      </c>
      <c r="DD119" s="1431" t="str">
        <f t="shared" si="69"/>
        <v>-</v>
      </c>
      <c r="DE119" s="1434" t="str">
        <f t="shared" si="70"/>
        <v>-</v>
      </c>
      <c r="DF119" s="1378"/>
      <c r="DG119" s="1428" t="str">
        <f t="shared" si="81"/>
        <v>Rev</v>
      </c>
      <c r="DH119" s="1429" t="str">
        <f t="shared" si="81"/>
        <v>[Service]</v>
      </c>
      <c r="DI119" s="1429" t="str">
        <f t="shared" si="81"/>
        <v>[Price]</v>
      </c>
      <c r="DJ119" s="1435" t="str">
        <f t="shared" si="71"/>
        <v>-</v>
      </c>
      <c r="DK119" s="1431" t="str">
        <f t="shared" si="72"/>
        <v>-</v>
      </c>
      <c r="DL119" s="1431" t="str">
        <f t="shared" si="73"/>
        <v>-</v>
      </c>
      <c r="DM119" s="1433" t="str">
        <f t="shared" si="74"/>
        <v>-</v>
      </c>
      <c r="DN119" s="1431" t="str">
        <f t="shared" si="75"/>
        <v>-</v>
      </c>
      <c r="DO119" s="1431" t="str">
        <f t="shared" si="76"/>
        <v>-</v>
      </c>
      <c r="DP119" s="1431" t="str">
        <f t="shared" si="77"/>
        <v>-</v>
      </c>
      <c r="DQ119" s="1434" t="str">
        <f t="shared" si="78"/>
        <v>-</v>
      </c>
    </row>
    <row r="120" spans="4:121">
      <c r="D120" s="70">
        <f>D117+1</f>
        <v>18</v>
      </c>
      <c r="E120" s="713" t="s">
        <v>44</v>
      </c>
      <c r="F120" s="789" t="s">
        <v>27</v>
      </c>
      <c r="G120" s="789"/>
      <c r="H120" s="789"/>
      <c r="I120" s="781" t="s">
        <v>318</v>
      </c>
      <c r="J120" s="781" t="s">
        <v>345</v>
      </c>
      <c r="K120" s="714"/>
      <c r="L120" s="715"/>
      <c r="M120" s="715"/>
      <c r="N120" s="716"/>
      <c r="O120" s="783"/>
      <c r="P120" s="784"/>
      <c r="Q120" s="783"/>
      <c r="R120" s="783"/>
      <c r="S120" s="783"/>
      <c r="T120" s="783"/>
      <c r="U120" s="783"/>
      <c r="V120" s="783"/>
      <c r="W120" s="783"/>
      <c r="X120" s="784"/>
      <c r="Y120" s="783"/>
      <c r="Z120" s="783"/>
      <c r="AA120" s="783"/>
      <c r="AB120" s="783"/>
      <c r="AC120" s="784"/>
      <c r="AD120" s="783"/>
      <c r="AE120" s="783"/>
      <c r="AF120" s="783"/>
      <c r="AG120" s="785"/>
      <c r="AI120" s="702"/>
      <c r="AJ120" s="717" t="str">
        <f t="shared" ref="AJ120:AS120" si="169">IFERROR((X120-W120)/W120,"")</f>
        <v/>
      </c>
      <c r="AK120" s="718" t="str">
        <f t="shared" si="169"/>
        <v/>
      </c>
      <c r="AL120" s="718" t="str">
        <f t="shared" si="169"/>
        <v/>
      </c>
      <c r="AM120" s="718" t="str">
        <f t="shared" si="169"/>
        <v/>
      </c>
      <c r="AN120" s="718" t="str">
        <f t="shared" si="169"/>
        <v/>
      </c>
      <c r="AO120" s="719" t="str">
        <f t="shared" si="169"/>
        <v/>
      </c>
      <c r="AP120" s="494" t="str">
        <f t="shared" si="169"/>
        <v/>
      </c>
      <c r="AQ120" s="494" t="str">
        <f t="shared" si="169"/>
        <v/>
      </c>
      <c r="AR120" s="494" t="str">
        <f t="shared" si="169"/>
        <v/>
      </c>
      <c r="AS120" s="720" t="str">
        <f t="shared" si="169"/>
        <v/>
      </c>
      <c r="AU120" s="1369"/>
      <c r="AW120" s="1412" t="str">
        <f t="shared" si="79"/>
        <v>Price</v>
      </c>
      <c r="AX120" s="1413" t="str">
        <f t="shared" si="41"/>
        <v>[Service]</v>
      </c>
      <c r="AY120" s="1414" t="str">
        <f t="shared" si="42"/>
        <v>[Price]</v>
      </c>
      <c r="AZ120" s="1415" t="str">
        <f t="shared" si="164"/>
        <v>-</v>
      </c>
      <c r="BA120" s="1415" t="str">
        <f t="shared" si="164"/>
        <v>-</v>
      </c>
      <c r="BB120" s="1415" t="str">
        <f t="shared" si="164"/>
        <v>-</v>
      </c>
      <c r="BC120" s="1415" t="str">
        <f t="shared" si="164"/>
        <v>-</v>
      </c>
      <c r="BD120" s="1415" t="str">
        <f t="shared" si="44"/>
        <v>-</v>
      </c>
      <c r="BE120" s="1415" t="str">
        <f t="shared" si="45"/>
        <v>-</v>
      </c>
      <c r="BF120" s="1415" t="str">
        <f t="shared" si="46"/>
        <v>-</v>
      </c>
      <c r="BG120" s="1416" t="str">
        <f t="shared" si="47"/>
        <v>-</v>
      </c>
      <c r="BH120" s="1417" t="str">
        <f t="shared" si="48"/>
        <v>-</v>
      </c>
      <c r="BI120" s="1417" t="str">
        <f t="shared" si="49"/>
        <v>-</v>
      </c>
      <c r="BJ120" s="1417" t="str">
        <f t="shared" si="50"/>
        <v>-</v>
      </c>
      <c r="BK120" s="1417" t="str">
        <f t="shared" si="51"/>
        <v>-</v>
      </c>
      <c r="BL120" s="1418" t="str">
        <f t="shared" si="52"/>
        <v>-</v>
      </c>
      <c r="BM120" s="1417" t="str">
        <f t="shared" si="53"/>
        <v>-</v>
      </c>
      <c r="BN120" s="1417" t="str">
        <f t="shared" si="54"/>
        <v>-</v>
      </c>
      <c r="BO120" s="1417" t="str">
        <f t="shared" si="55"/>
        <v>-</v>
      </c>
      <c r="BP120" s="1417" t="str">
        <f t="shared" si="56"/>
        <v>-</v>
      </c>
      <c r="BQ120" s="1419" t="str">
        <f t="shared" si="57"/>
        <v>-</v>
      </c>
      <c r="BR120" s="1378"/>
      <c r="BS120" s="1420"/>
      <c r="BT120" s="1421"/>
      <c r="BU120" s="1422"/>
      <c r="BV120" s="1423"/>
      <c r="BW120" s="1378"/>
      <c r="BX120" s="1412" t="str">
        <f t="shared" si="58"/>
        <v>Price</v>
      </c>
      <c r="BY120" s="1413" t="str">
        <f t="shared" si="105"/>
        <v>[Service]</v>
      </c>
      <c r="BZ120" s="1414" t="str">
        <f t="shared" si="106"/>
        <v>[Price]</v>
      </c>
      <c r="CA120" s="1424" t="str">
        <f>IFERROR((S120/R120-1)*(R122/R$13),"-")</f>
        <v>-</v>
      </c>
      <c r="CB120" s="1415" t="str">
        <f>IFERROR((T120/S120-1)*(S122/S$13),"-")</f>
        <v>-</v>
      </c>
      <c r="CC120" s="1415" t="str">
        <f>IFERROR((U120/T120-1)*(T122/T$13),"-")</f>
        <v>-</v>
      </c>
      <c r="CD120" s="1415" t="str">
        <f>IFERROR((V120/U120-1)*(U122/U$13),"-")</f>
        <v>-</v>
      </c>
      <c r="CE120" s="1415" t="str">
        <f t="shared" ref="CE120:CR120" si="170">IFERROR((T120/S120-1)*(S122/S$13),"-")</f>
        <v>-</v>
      </c>
      <c r="CF120" s="1415" t="str">
        <f t="shared" si="170"/>
        <v>-</v>
      </c>
      <c r="CG120" s="1415" t="str">
        <f t="shared" si="170"/>
        <v>-</v>
      </c>
      <c r="CH120" s="1425" t="str">
        <f t="shared" si="170"/>
        <v>-</v>
      </c>
      <c r="CI120" s="1417" t="str">
        <f t="shared" si="170"/>
        <v>-</v>
      </c>
      <c r="CJ120" s="1417" t="str">
        <f t="shared" si="170"/>
        <v>-</v>
      </c>
      <c r="CK120" s="1417" t="str">
        <f t="shared" si="170"/>
        <v>-</v>
      </c>
      <c r="CL120" s="1417" t="str">
        <f t="shared" si="170"/>
        <v>-</v>
      </c>
      <c r="CM120" s="1418" t="str">
        <f t="shared" si="170"/>
        <v>-</v>
      </c>
      <c r="CN120" s="1417" t="str">
        <f t="shared" si="170"/>
        <v>-</v>
      </c>
      <c r="CO120" s="1417" t="str">
        <f t="shared" si="170"/>
        <v>-</v>
      </c>
      <c r="CP120" s="1417" t="str">
        <f t="shared" si="170"/>
        <v>-</v>
      </c>
      <c r="CQ120" s="1417" t="str">
        <f t="shared" si="170"/>
        <v>-</v>
      </c>
      <c r="CR120" s="1419" t="str">
        <f t="shared" si="170"/>
        <v>-</v>
      </c>
      <c r="CS120" s="1378"/>
      <c r="CT120" s="1412" t="str">
        <f t="shared" si="34"/>
        <v>Price</v>
      </c>
      <c r="CU120" s="1413" t="str">
        <f t="shared" si="35"/>
        <v>[Service]</v>
      </c>
      <c r="CV120" s="1426" t="str">
        <f t="shared" si="36"/>
        <v>[Price]</v>
      </c>
      <c r="CW120" s="1427" t="str">
        <f t="shared" si="62"/>
        <v>-</v>
      </c>
      <c r="CX120" s="1417" t="str">
        <f t="shared" si="63"/>
        <v>-</v>
      </c>
      <c r="CY120" s="1417" t="str">
        <f t="shared" si="64"/>
        <v>-</v>
      </c>
      <c r="CZ120" s="1418" t="str">
        <f t="shared" si="65"/>
        <v>-</v>
      </c>
      <c r="DA120" s="1417" t="str">
        <f t="shared" si="66"/>
        <v>-</v>
      </c>
      <c r="DB120" s="1417" t="str">
        <f t="shared" si="67"/>
        <v>-</v>
      </c>
      <c r="DC120" s="1417" t="str">
        <f t="shared" si="68"/>
        <v>-</v>
      </c>
      <c r="DD120" s="1417" t="str">
        <f t="shared" si="69"/>
        <v>-</v>
      </c>
      <c r="DE120" s="1419" t="str">
        <f t="shared" si="70"/>
        <v>-</v>
      </c>
      <c r="DF120" s="1378"/>
      <c r="DG120" s="1412" t="str">
        <f t="shared" si="81"/>
        <v>Price</v>
      </c>
      <c r="DH120" s="1413" t="str">
        <f t="shared" si="81"/>
        <v>[Service]</v>
      </c>
      <c r="DI120" s="1426" t="str">
        <f t="shared" si="81"/>
        <v>[Price]</v>
      </c>
      <c r="DJ120" s="1427" t="str">
        <f t="shared" si="71"/>
        <v>-</v>
      </c>
      <c r="DK120" s="1417" t="str">
        <f t="shared" si="72"/>
        <v>-</v>
      </c>
      <c r="DL120" s="1417" t="str">
        <f t="shared" si="73"/>
        <v>-</v>
      </c>
      <c r="DM120" s="1418" t="str">
        <f t="shared" si="74"/>
        <v>-</v>
      </c>
      <c r="DN120" s="1417" t="str">
        <f t="shared" si="75"/>
        <v>-</v>
      </c>
      <c r="DO120" s="1417" t="str">
        <f t="shared" si="76"/>
        <v>-</v>
      </c>
      <c r="DP120" s="1417" t="str">
        <f t="shared" si="77"/>
        <v>-</v>
      </c>
      <c r="DQ120" s="1419" t="str">
        <f t="shared" si="78"/>
        <v>-</v>
      </c>
    </row>
    <row r="121" spans="4:121">
      <c r="E121" s="742" t="s">
        <v>45</v>
      </c>
      <c r="F121" s="722" t="str">
        <f>+F120</f>
        <v>[Service]</v>
      </c>
      <c r="G121" s="723">
        <f>+G120</f>
        <v>0</v>
      </c>
      <c r="H121" s="723">
        <f>+H120</f>
        <v>0</v>
      </c>
      <c r="I121" s="724" t="str">
        <f>+I120</f>
        <v>[Price]</v>
      </c>
      <c r="J121" s="782" t="s">
        <v>322</v>
      </c>
      <c r="K121" s="725"/>
      <c r="L121" s="726"/>
      <c r="M121" s="726"/>
      <c r="N121" s="727"/>
      <c r="O121" s="786"/>
      <c r="P121" s="787"/>
      <c r="Q121" s="786"/>
      <c r="R121" s="786"/>
      <c r="S121" s="786"/>
      <c r="T121" s="786"/>
      <c r="U121" s="786"/>
      <c r="V121" s="786"/>
      <c r="W121" s="786"/>
      <c r="X121" s="787"/>
      <c r="Y121" s="786"/>
      <c r="Z121" s="786"/>
      <c r="AA121" s="786"/>
      <c r="AB121" s="786"/>
      <c r="AC121" s="787"/>
      <c r="AD121" s="786"/>
      <c r="AE121" s="786"/>
      <c r="AF121" s="786"/>
      <c r="AG121" s="788"/>
      <c r="AH121" s="823"/>
      <c r="AI121" s="702"/>
      <c r="AJ121" s="728"/>
      <c r="AK121" s="729"/>
      <c r="AL121" s="729"/>
      <c r="AM121" s="729"/>
      <c r="AN121" s="729"/>
      <c r="AO121" s="730"/>
      <c r="AP121" s="74"/>
      <c r="AQ121" s="74"/>
      <c r="AR121" s="74"/>
      <c r="AS121" s="106"/>
      <c r="AW121" s="1392" t="str">
        <f t="shared" si="79"/>
        <v>Qty</v>
      </c>
      <c r="AX121" s="1393" t="str">
        <f t="shared" si="41"/>
        <v>[Service]</v>
      </c>
      <c r="AY121" s="1394" t="str">
        <f t="shared" si="42"/>
        <v>[Price]</v>
      </c>
      <c r="AZ121" s="1395" t="str">
        <f t="shared" si="164"/>
        <v>-</v>
      </c>
      <c r="BA121" s="1395" t="str">
        <f t="shared" si="164"/>
        <v>-</v>
      </c>
      <c r="BB121" s="1395" t="str">
        <f t="shared" si="164"/>
        <v>-</v>
      </c>
      <c r="BC121" s="1395" t="str">
        <f t="shared" si="164"/>
        <v>-</v>
      </c>
      <c r="BD121" s="1395" t="str">
        <f t="shared" si="44"/>
        <v>-</v>
      </c>
      <c r="BE121" s="1395" t="str">
        <f t="shared" si="45"/>
        <v>-</v>
      </c>
      <c r="BF121" s="1395" t="str">
        <f t="shared" si="46"/>
        <v>-</v>
      </c>
      <c r="BG121" s="1396" t="str">
        <f t="shared" si="47"/>
        <v>-</v>
      </c>
      <c r="BH121" s="1395" t="str">
        <f t="shared" si="48"/>
        <v>-</v>
      </c>
      <c r="BI121" s="1395" t="str">
        <f t="shared" si="49"/>
        <v>-</v>
      </c>
      <c r="BJ121" s="1395" t="str">
        <f t="shared" si="50"/>
        <v>-</v>
      </c>
      <c r="BK121" s="1395" t="str">
        <f t="shared" si="51"/>
        <v>-</v>
      </c>
      <c r="BL121" s="1397" t="str">
        <f t="shared" si="52"/>
        <v>-</v>
      </c>
      <c r="BM121" s="1395" t="str">
        <f t="shared" si="53"/>
        <v>-</v>
      </c>
      <c r="BN121" s="1395" t="str">
        <f t="shared" si="54"/>
        <v>-</v>
      </c>
      <c r="BO121" s="1395" t="str">
        <f t="shared" si="55"/>
        <v>-</v>
      </c>
      <c r="BP121" s="1395" t="str">
        <f t="shared" si="56"/>
        <v>-</v>
      </c>
      <c r="BQ121" s="1398" t="str">
        <f t="shared" si="57"/>
        <v>-</v>
      </c>
      <c r="BR121" s="1378"/>
      <c r="BS121" s="1329"/>
      <c r="BT121" s="1399"/>
      <c r="BU121" s="1331"/>
      <c r="BV121" s="1400"/>
      <c r="BW121" s="1378"/>
      <c r="BX121" s="1392" t="str">
        <f t="shared" si="58"/>
        <v>Qty</v>
      </c>
      <c r="BY121" s="1393" t="str">
        <f t="shared" si="105"/>
        <v>[Service]</v>
      </c>
      <c r="BZ121" s="1394" t="str">
        <f t="shared" si="106"/>
        <v>[Price]</v>
      </c>
      <c r="CA121" s="1401" t="str">
        <f>IFERROR((S121/R121-1)*(R122/R$13),"-")</f>
        <v>-</v>
      </c>
      <c r="CB121" s="1395" t="str">
        <f>IFERROR((T121/S121-1)*(S122/S$13),"-")</f>
        <v>-</v>
      </c>
      <c r="CC121" s="1395" t="str">
        <f>IFERROR((U121/T121-1)*(T122/T$13),"-")</f>
        <v>-</v>
      </c>
      <c r="CD121" s="1395" t="str">
        <f>IFERROR((V121/U121-1)*(U122/U$13),"-")</f>
        <v>-</v>
      </c>
      <c r="CE121" s="1395" t="str">
        <f t="shared" ref="CE121:CR121" si="171">IFERROR((T121/S121-1)*(S122/S$13),"-")</f>
        <v>-</v>
      </c>
      <c r="CF121" s="1395" t="str">
        <f t="shared" si="171"/>
        <v>-</v>
      </c>
      <c r="CG121" s="1395" t="str">
        <f t="shared" si="171"/>
        <v>-</v>
      </c>
      <c r="CH121" s="1397" t="str">
        <f t="shared" si="171"/>
        <v>-</v>
      </c>
      <c r="CI121" s="1395" t="str">
        <f t="shared" si="171"/>
        <v>-</v>
      </c>
      <c r="CJ121" s="1395" t="str">
        <f t="shared" si="171"/>
        <v>-</v>
      </c>
      <c r="CK121" s="1395" t="str">
        <f t="shared" si="171"/>
        <v>-</v>
      </c>
      <c r="CL121" s="1395" t="str">
        <f t="shared" si="171"/>
        <v>-</v>
      </c>
      <c r="CM121" s="1397" t="str">
        <f t="shared" si="171"/>
        <v>-</v>
      </c>
      <c r="CN121" s="1395" t="str">
        <f t="shared" si="171"/>
        <v>-</v>
      </c>
      <c r="CO121" s="1395" t="str">
        <f t="shared" si="171"/>
        <v>-</v>
      </c>
      <c r="CP121" s="1395" t="str">
        <f t="shared" si="171"/>
        <v>-</v>
      </c>
      <c r="CQ121" s="1395" t="str">
        <f t="shared" si="171"/>
        <v>-</v>
      </c>
      <c r="CR121" s="1398" t="str">
        <f t="shared" si="171"/>
        <v>-</v>
      </c>
      <c r="CS121" s="1378"/>
      <c r="CT121" s="1392" t="str">
        <f t="shared" si="34"/>
        <v>Qty</v>
      </c>
      <c r="CU121" s="1393" t="str">
        <f t="shared" si="35"/>
        <v>[Service]</v>
      </c>
      <c r="CV121" s="1393" t="str">
        <f t="shared" si="36"/>
        <v>[Price]</v>
      </c>
      <c r="CW121" s="1401" t="str">
        <f t="shared" si="62"/>
        <v>-</v>
      </c>
      <c r="CX121" s="1395" t="str">
        <f t="shared" si="63"/>
        <v>-</v>
      </c>
      <c r="CY121" s="1395" t="str">
        <f t="shared" si="64"/>
        <v>-</v>
      </c>
      <c r="CZ121" s="1397" t="str">
        <f t="shared" si="65"/>
        <v>-</v>
      </c>
      <c r="DA121" s="1395" t="str">
        <f t="shared" si="66"/>
        <v>-</v>
      </c>
      <c r="DB121" s="1395" t="str">
        <f t="shared" si="67"/>
        <v>-</v>
      </c>
      <c r="DC121" s="1395" t="str">
        <f t="shared" si="68"/>
        <v>-</v>
      </c>
      <c r="DD121" s="1395" t="str">
        <f t="shared" si="69"/>
        <v>-</v>
      </c>
      <c r="DE121" s="1398" t="str">
        <f t="shared" si="70"/>
        <v>-</v>
      </c>
      <c r="DF121" s="1378"/>
      <c r="DG121" s="1392" t="str">
        <f t="shared" si="81"/>
        <v>Qty</v>
      </c>
      <c r="DH121" s="1393" t="str">
        <f t="shared" si="81"/>
        <v>[Service]</v>
      </c>
      <c r="DI121" s="1393" t="str">
        <f t="shared" si="81"/>
        <v>[Price]</v>
      </c>
      <c r="DJ121" s="1401" t="str">
        <f t="shared" si="71"/>
        <v>-</v>
      </c>
      <c r="DK121" s="1395" t="str">
        <f t="shared" si="72"/>
        <v>-</v>
      </c>
      <c r="DL121" s="1395" t="str">
        <f t="shared" si="73"/>
        <v>-</v>
      </c>
      <c r="DM121" s="1397" t="str">
        <f t="shared" si="74"/>
        <v>-</v>
      </c>
      <c r="DN121" s="1395" t="str">
        <f t="shared" si="75"/>
        <v>-</v>
      </c>
      <c r="DO121" s="1395" t="str">
        <f t="shared" si="76"/>
        <v>-</v>
      </c>
      <c r="DP121" s="1395" t="str">
        <f t="shared" si="77"/>
        <v>-</v>
      </c>
      <c r="DQ121" s="1398" t="str">
        <f t="shared" si="78"/>
        <v>-</v>
      </c>
    </row>
    <row r="122" spans="4:121" ht="12.75" thickBot="1">
      <c r="E122" s="743" t="s">
        <v>46</v>
      </c>
      <c r="F122" s="732" t="str">
        <f>+F120</f>
        <v>[Service]</v>
      </c>
      <c r="G122" s="733">
        <f>+G120</f>
        <v>0</v>
      </c>
      <c r="H122" s="733">
        <f>+H120</f>
        <v>0</v>
      </c>
      <c r="I122" s="734" t="str">
        <f>+I120</f>
        <v>[Price]</v>
      </c>
      <c r="J122" s="735" t="s">
        <v>344</v>
      </c>
      <c r="K122" s="736">
        <f t="shared" ref="K122:AG122" si="172">K120*K121/10^6</f>
        <v>0</v>
      </c>
      <c r="L122" s="737">
        <f t="shared" si="172"/>
        <v>0</v>
      </c>
      <c r="M122" s="737">
        <f t="shared" si="172"/>
        <v>0</v>
      </c>
      <c r="N122" s="738">
        <f t="shared" si="172"/>
        <v>0</v>
      </c>
      <c r="O122" s="737">
        <f t="shared" si="172"/>
        <v>0</v>
      </c>
      <c r="P122" s="738">
        <f t="shared" si="172"/>
        <v>0</v>
      </c>
      <c r="Q122" s="737">
        <f t="shared" si="172"/>
        <v>0</v>
      </c>
      <c r="R122" s="737">
        <f t="shared" si="172"/>
        <v>0</v>
      </c>
      <c r="S122" s="737">
        <f t="shared" si="172"/>
        <v>0</v>
      </c>
      <c r="T122" s="737">
        <f t="shared" si="172"/>
        <v>0</v>
      </c>
      <c r="U122" s="737">
        <f t="shared" si="172"/>
        <v>0</v>
      </c>
      <c r="V122" s="737">
        <f t="shared" si="172"/>
        <v>0</v>
      </c>
      <c r="W122" s="737">
        <f t="shared" si="172"/>
        <v>0</v>
      </c>
      <c r="X122" s="738">
        <f t="shared" si="172"/>
        <v>0</v>
      </c>
      <c r="Y122" s="737">
        <f t="shared" si="172"/>
        <v>0</v>
      </c>
      <c r="Z122" s="737">
        <f t="shared" si="172"/>
        <v>0</v>
      </c>
      <c r="AA122" s="737">
        <f t="shared" si="172"/>
        <v>0</v>
      </c>
      <c r="AB122" s="737">
        <f t="shared" si="172"/>
        <v>0</v>
      </c>
      <c r="AC122" s="738">
        <f t="shared" si="172"/>
        <v>0</v>
      </c>
      <c r="AD122" s="737">
        <f t="shared" si="172"/>
        <v>0</v>
      </c>
      <c r="AE122" s="737">
        <f t="shared" si="172"/>
        <v>0</v>
      </c>
      <c r="AF122" s="737">
        <f t="shared" si="172"/>
        <v>0</v>
      </c>
      <c r="AG122" s="739">
        <f t="shared" si="172"/>
        <v>0</v>
      </c>
      <c r="AH122" s="823"/>
      <c r="AI122" s="744"/>
      <c r="AJ122" s="741"/>
      <c r="AK122" s="729"/>
      <c r="AL122" s="729"/>
      <c r="AM122" s="729"/>
      <c r="AN122" s="729"/>
      <c r="AO122" s="730"/>
      <c r="AP122" s="74"/>
      <c r="AQ122" s="74"/>
      <c r="AR122" s="74"/>
      <c r="AS122" s="106"/>
      <c r="AW122" s="1428" t="str">
        <f t="shared" si="79"/>
        <v>Rev</v>
      </c>
      <c r="AX122" s="1429" t="str">
        <f t="shared" si="41"/>
        <v>[Service]</v>
      </c>
      <c r="AY122" s="1430" t="str">
        <f t="shared" si="42"/>
        <v>[Price]</v>
      </c>
      <c r="AZ122" s="1431" t="str">
        <f t="shared" si="164"/>
        <v>-</v>
      </c>
      <c r="BA122" s="1431" t="str">
        <f t="shared" si="164"/>
        <v>-</v>
      </c>
      <c r="BB122" s="1431" t="str">
        <f t="shared" si="164"/>
        <v>-</v>
      </c>
      <c r="BC122" s="1431" t="str">
        <f t="shared" si="164"/>
        <v>-</v>
      </c>
      <c r="BD122" s="1431" t="str">
        <f t="shared" si="44"/>
        <v>-</v>
      </c>
      <c r="BE122" s="1431" t="str">
        <f t="shared" si="45"/>
        <v>-</v>
      </c>
      <c r="BF122" s="1431" t="str">
        <f t="shared" si="46"/>
        <v>-</v>
      </c>
      <c r="BG122" s="1432" t="str">
        <f t="shared" si="47"/>
        <v>-</v>
      </c>
      <c r="BH122" s="1431" t="str">
        <f t="shared" si="48"/>
        <v>-</v>
      </c>
      <c r="BI122" s="1431" t="str">
        <f t="shared" si="49"/>
        <v>-</v>
      </c>
      <c r="BJ122" s="1431" t="str">
        <f t="shared" si="50"/>
        <v>-</v>
      </c>
      <c r="BK122" s="1431" t="str">
        <f t="shared" si="51"/>
        <v>-</v>
      </c>
      <c r="BL122" s="1433" t="str">
        <f t="shared" si="52"/>
        <v>-</v>
      </c>
      <c r="BM122" s="1431" t="str">
        <f t="shared" si="53"/>
        <v>-</v>
      </c>
      <c r="BN122" s="1431" t="str">
        <f t="shared" si="54"/>
        <v>-</v>
      </c>
      <c r="BO122" s="1431" t="str">
        <f t="shared" si="55"/>
        <v>-</v>
      </c>
      <c r="BP122" s="1431" t="str">
        <f t="shared" si="56"/>
        <v>-</v>
      </c>
      <c r="BQ122" s="1434" t="str">
        <f t="shared" si="57"/>
        <v>-</v>
      </c>
      <c r="BR122" s="1378"/>
      <c r="BS122" s="1407"/>
      <c r="BT122" s="1408"/>
      <c r="BU122" s="1409"/>
      <c r="BV122" s="1410"/>
      <c r="BW122" s="1378"/>
      <c r="BX122" s="1428" t="str">
        <f t="shared" si="58"/>
        <v>Rev</v>
      </c>
      <c r="BY122" s="1429" t="str">
        <f t="shared" si="105"/>
        <v>[Service]</v>
      </c>
      <c r="BZ122" s="1430" t="str">
        <f t="shared" si="106"/>
        <v>[Price]</v>
      </c>
      <c r="CA122" s="1435" t="str">
        <f>IFERROR((S122/R122-1)*(R122/R$13),"-")</f>
        <v>-</v>
      </c>
      <c r="CB122" s="1431" t="str">
        <f>IFERROR((T122/S122-1)*(S122/S$13),"-")</f>
        <v>-</v>
      </c>
      <c r="CC122" s="1431" t="str">
        <f>IFERROR((U122/T122-1)*(T122/T$13),"-")</f>
        <v>-</v>
      </c>
      <c r="CD122" s="1431" t="str">
        <f>IFERROR((V122/U122-1)*(U122/U$13),"-")</f>
        <v>-</v>
      </c>
      <c r="CE122" s="1431" t="str">
        <f t="shared" ref="CE122:CR122" si="173">IFERROR((T122/S122-1)*(S122/S$13),"-")</f>
        <v>-</v>
      </c>
      <c r="CF122" s="1431" t="str">
        <f t="shared" si="173"/>
        <v>-</v>
      </c>
      <c r="CG122" s="1431" t="str">
        <f t="shared" si="173"/>
        <v>-</v>
      </c>
      <c r="CH122" s="1433" t="str">
        <f t="shared" si="173"/>
        <v>-</v>
      </c>
      <c r="CI122" s="1431" t="str">
        <f t="shared" si="173"/>
        <v>-</v>
      </c>
      <c r="CJ122" s="1431" t="str">
        <f t="shared" si="173"/>
        <v>-</v>
      </c>
      <c r="CK122" s="1431" t="str">
        <f t="shared" si="173"/>
        <v>-</v>
      </c>
      <c r="CL122" s="1431" t="str">
        <f t="shared" si="173"/>
        <v>-</v>
      </c>
      <c r="CM122" s="1433" t="str">
        <f t="shared" si="173"/>
        <v>-</v>
      </c>
      <c r="CN122" s="1431" t="str">
        <f t="shared" si="173"/>
        <v>-</v>
      </c>
      <c r="CO122" s="1431" t="str">
        <f t="shared" si="173"/>
        <v>-</v>
      </c>
      <c r="CP122" s="1431" t="str">
        <f t="shared" si="173"/>
        <v>-</v>
      </c>
      <c r="CQ122" s="1431" t="str">
        <f t="shared" si="173"/>
        <v>-</v>
      </c>
      <c r="CR122" s="1434" t="str">
        <f t="shared" si="173"/>
        <v>-</v>
      </c>
      <c r="CS122" s="1378"/>
      <c r="CT122" s="1428" t="str">
        <f t="shared" si="34"/>
        <v>Rev</v>
      </c>
      <c r="CU122" s="1429" t="str">
        <f t="shared" si="35"/>
        <v>[Service]</v>
      </c>
      <c r="CV122" s="1429" t="str">
        <f t="shared" si="36"/>
        <v>[Price]</v>
      </c>
      <c r="CW122" s="1435" t="str">
        <f t="shared" si="62"/>
        <v>-</v>
      </c>
      <c r="CX122" s="1431" t="str">
        <f t="shared" si="63"/>
        <v>-</v>
      </c>
      <c r="CY122" s="1431" t="str">
        <f t="shared" si="64"/>
        <v>-</v>
      </c>
      <c r="CZ122" s="1433" t="str">
        <f t="shared" si="65"/>
        <v>-</v>
      </c>
      <c r="DA122" s="1431" t="str">
        <f t="shared" si="66"/>
        <v>-</v>
      </c>
      <c r="DB122" s="1431" t="str">
        <f t="shared" si="67"/>
        <v>-</v>
      </c>
      <c r="DC122" s="1431" t="str">
        <f t="shared" si="68"/>
        <v>-</v>
      </c>
      <c r="DD122" s="1431" t="str">
        <f t="shared" si="69"/>
        <v>-</v>
      </c>
      <c r="DE122" s="1434" t="str">
        <f t="shared" si="70"/>
        <v>-</v>
      </c>
      <c r="DF122" s="1378"/>
      <c r="DG122" s="1428" t="str">
        <f t="shared" si="81"/>
        <v>Rev</v>
      </c>
      <c r="DH122" s="1429" t="str">
        <f t="shared" si="81"/>
        <v>[Service]</v>
      </c>
      <c r="DI122" s="1429" t="str">
        <f t="shared" si="81"/>
        <v>[Price]</v>
      </c>
      <c r="DJ122" s="1435" t="str">
        <f t="shared" si="71"/>
        <v>-</v>
      </c>
      <c r="DK122" s="1431" t="str">
        <f t="shared" si="72"/>
        <v>-</v>
      </c>
      <c r="DL122" s="1431" t="str">
        <f t="shared" si="73"/>
        <v>-</v>
      </c>
      <c r="DM122" s="1433" t="str">
        <f t="shared" si="74"/>
        <v>-</v>
      </c>
      <c r="DN122" s="1431" t="str">
        <f t="shared" si="75"/>
        <v>-</v>
      </c>
      <c r="DO122" s="1431" t="str">
        <f t="shared" si="76"/>
        <v>-</v>
      </c>
      <c r="DP122" s="1431" t="str">
        <f t="shared" si="77"/>
        <v>-</v>
      </c>
      <c r="DQ122" s="1434" t="str">
        <f t="shared" si="78"/>
        <v>-</v>
      </c>
    </row>
    <row r="123" spans="4:121">
      <c r="D123" s="70">
        <f>D120+1</f>
        <v>19</v>
      </c>
      <c r="E123" s="713" t="s">
        <v>44</v>
      </c>
      <c r="F123" s="789" t="s">
        <v>27</v>
      </c>
      <c r="G123" s="789"/>
      <c r="H123" s="789"/>
      <c r="I123" s="781" t="s">
        <v>318</v>
      </c>
      <c r="J123" s="781" t="s">
        <v>345</v>
      </c>
      <c r="K123" s="714"/>
      <c r="L123" s="715"/>
      <c r="M123" s="715"/>
      <c r="N123" s="716"/>
      <c r="O123" s="783"/>
      <c r="P123" s="784"/>
      <c r="Q123" s="783"/>
      <c r="R123" s="783"/>
      <c r="S123" s="783"/>
      <c r="T123" s="783"/>
      <c r="U123" s="783"/>
      <c r="V123" s="783"/>
      <c r="W123" s="783"/>
      <c r="X123" s="784"/>
      <c r="Y123" s="783"/>
      <c r="Z123" s="783"/>
      <c r="AA123" s="783"/>
      <c r="AB123" s="783"/>
      <c r="AC123" s="784"/>
      <c r="AD123" s="783"/>
      <c r="AE123" s="783"/>
      <c r="AF123" s="783"/>
      <c r="AG123" s="785"/>
      <c r="AI123" s="702"/>
      <c r="AJ123" s="717" t="str">
        <f t="shared" ref="AJ123:AS123" si="174">IFERROR((X123-W123)/W123,"")</f>
        <v/>
      </c>
      <c r="AK123" s="718" t="str">
        <f t="shared" si="174"/>
        <v/>
      </c>
      <c r="AL123" s="718" t="str">
        <f t="shared" si="174"/>
        <v/>
      </c>
      <c r="AM123" s="718" t="str">
        <f t="shared" si="174"/>
        <v/>
      </c>
      <c r="AN123" s="718" t="str">
        <f t="shared" si="174"/>
        <v/>
      </c>
      <c r="AO123" s="719" t="str">
        <f t="shared" si="174"/>
        <v/>
      </c>
      <c r="AP123" s="494" t="str">
        <f t="shared" si="174"/>
        <v/>
      </c>
      <c r="AQ123" s="494" t="str">
        <f t="shared" si="174"/>
        <v/>
      </c>
      <c r="AR123" s="494" t="str">
        <f t="shared" si="174"/>
        <v/>
      </c>
      <c r="AS123" s="720" t="str">
        <f t="shared" si="174"/>
        <v/>
      </c>
      <c r="AU123" s="1369"/>
      <c r="AW123" s="1412" t="str">
        <f t="shared" si="79"/>
        <v>Price</v>
      </c>
      <c r="AX123" s="1413" t="str">
        <f t="shared" si="41"/>
        <v>[Service]</v>
      </c>
      <c r="AY123" s="1414" t="str">
        <f t="shared" si="42"/>
        <v>[Price]</v>
      </c>
      <c r="AZ123" s="1415" t="str">
        <f t="shared" si="164"/>
        <v>-</v>
      </c>
      <c r="BA123" s="1415" t="str">
        <f t="shared" si="164"/>
        <v>-</v>
      </c>
      <c r="BB123" s="1415" t="str">
        <f t="shared" si="164"/>
        <v>-</v>
      </c>
      <c r="BC123" s="1415" t="str">
        <f t="shared" si="164"/>
        <v>-</v>
      </c>
      <c r="BD123" s="1415" t="str">
        <f t="shared" si="44"/>
        <v>-</v>
      </c>
      <c r="BE123" s="1415" t="str">
        <f t="shared" si="45"/>
        <v>-</v>
      </c>
      <c r="BF123" s="1415" t="str">
        <f t="shared" si="46"/>
        <v>-</v>
      </c>
      <c r="BG123" s="1416" t="str">
        <f t="shared" si="47"/>
        <v>-</v>
      </c>
      <c r="BH123" s="1417" t="str">
        <f t="shared" si="48"/>
        <v>-</v>
      </c>
      <c r="BI123" s="1417" t="str">
        <f t="shared" si="49"/>
        <v>-</v>
      </c>
      <c r="BJ123" s="1417" t="str">
        <f t="shared" si="50"/>
        <v>-</v>
      </c>
      <c r="BK123" s="1417" t="str">
        <f t="shared" si="51"/>
        <v>-</v>
      </c>
      <c r="BL123" s="1418" t="str">
        <f t="shared" si="52"/>
        <v>-</v>
      </c>
      <c r="BM123" s="1417" t="str">
        <f t="shared" si="53"/>
        <v>-</v>
      </c>
      <c r="BN123" s="1417" t="str">
        <f t="shared" si="54"/>
        <v>-</v>
      </c>
      <c r="BO123" s="1417" t="str">
        <f t="shared" si="55"/>
        <v>-</v>
      </c>
      <c r="BP123" s="1417" t="str">
        <f t="shared" si="56"/>
        <v>-</v>
      </c>
      <c r="BQ123" s="1419" t="str">
        <f t="shared" si="57"/>
        <v>-</v>
      </c>
      <c r="BR123" s="1378"/>
      <c r="BS123" s="1420"/>
      <c r="BT123" s="1421"/>
      <c r="BU123" s="1422"/>
      <c r="BV123" s="1423"/>
      <c r="BW123" s="1378"/>
      <c r="BX123" s="1412" t="str">
        <f t="shared" si="58"/>
        <v>Price</v>
      </c>
      <c r="BY123" s="1413" t="str">
        <f t="shared" si="105"/>
        <v>[Service]</v>
      </c>
      <c r="BZ123" s="1414" t="str">
        <f t="shared" si="106"/>
        <v>[Price]</v>
      </c>
      <c r="CA123" s="1424" t="str">
        <f>IFERROR((S123/R123-1)*(R125/R$13),"-")</f>
        <v>-</v>
      </c>
      <c r="CB123" s="1415" t="str">
        <f>IFERROR((T123/S123-1)*(S125/S$13),"-")</f>
        <v>-</v>
      </c>
      <c r="CC123" s="1415" t="str">
        <f>IFERROR((U123/T123-1)*(T125/T$13),"-")</f>
        <v>-</v>
      </c>
      <c r="CD123" s="1415" t="str">
        <f>IFERROR((V123/U123-1)*(U125/U$13),"-")</f>
        <v>-</v>
      </c>
      <c r="CE123" s="1415" t="str">
        <f t="shared" ref="CE123:CR123" si="175">IFERROR((T123/S123-1)*(S125/S$13),"-")</f>
        <v>-</v>
      </c>
      <c r="CF123" s="1415" t="str">
        <f t="shared" si="175"/>
        <v>-</v>
      </c>
      <c r="CG123" s="1415" t="str">
        <f t="shared" si="175"/>
        <v>-</v>
      </c>
      <c r="CH123" s="1425" t="str">
        <f t="shared" si="175"/>
        <v>-</v>
      </c>
      <c r="CI123" s="1417" t="str">
        <f t="shared" si="175"/>
        <v>-</v>
      </c>
      <c r="CJ123" s="1417" t="str">
        <f t="shared" si="175"/>
        <v>-</v>
      </c>
      <c r="CK123" s="1417" t="str">
        <f t="shared" si="175"/>
        <v>-</v>
      </c>
      <c r="CL123" s="1417" t="str">
        <f t="shared" si="175"/>
        <v>-</v>
      </c>
      <c r="CM123" s="1418" t="str">
        <f t="shared" si="175"/>
        <v>-</v>
      </c>
      <c r="CN123" s="1417" t="str">
        <f t="shared" si="175"/>
        <v>-</v>
      </c>
      <c r="CO123" s="1417" t="str">
        <f t="shared" si="175"/>
        <v>-</v>
      </c>
      <c r="CP123" s="1417" t="str">
        <f t="shared" si="175"/>
        <v>-</v>
      </c>
      <c r="CQ123" s="1417" t="str">
        <f t="shared" si="175"/>
        <v>-</v>
      </c>
      <c r="CR123" s="1419" t="str">
        <f t="shared" si="175"/>
        <v>-</v>
      </c>
      <c r="CS123" s="1378"/>
      <c r="CT123" s="1412" t="str">
        <f t="shared" si="34"/>
        <v>Price</v>
      </c>
      <c r="CU123" s="1413" t="str">
        <f t="shared" si="35"/>
        <v>[Service]</v>
      </c>
      <c r="CV123" s="1426" t="str">
        <f t="shared" si="36"/>
        <v>[Price]</v>
      </c>
      <c r="CW123" s="1427" t="str">
        <f t="shared" si="62"/>
        <v>-</v>
      </c>
      <c r="CX123" s="1417" t="str">
        <f t="shared" si="63"/>
        <v>-</v>
      </c>
      <c r="CY123" s="1417" t="str">
        <f t="shared" si="64"/>
        <v>-</v>
      </c>
      <c r="CZ123" s="1418" t="str">
        <f t="shared" si="65"/>
        <v>-</v>
      </c>
      <c r="DA123" s="1417" t="str">
        <f t="shared" si="66"/>
        <v>-</v>
      </c>
      <c r="DB123" s="1417" t="str">
        <f t="shared" si="67"/>
        <v>-</v>
      </c>
      <c r="DC123" s="1417" t="str">
        <f t="shared" si="68"/>
        <v>-</v>
      </c>
      <c r="DD123" s="1417" t="str">
        <f t="shared" si="69"/>
        <v>-</v>
      </c>
      <c r="DE123" s="1419" t="str">
        <f t="shared" si="70"/>
        <v>-</v>
      </c>
      <c r="DF123" s="1378"/>
      <c r="DG123" s="1412" t="str">
        <f t="shared" si="81"/>
        <v>Price</v>
      </c>
      <c r="DH123" s="1413" t="str">
        <f t="shared" si="81"/>
        <v>[Service]</v>
      </c>
      <c r="DI123" s="1426" t="str">
        <f t="shared" si="81"/>
        <v>[Price]</v>
      </c>
      <c r="DJ123" s="1427" t="str">
        <f t="shared" si="71"/>
        <v>-</v>
      </c>
      <c r="DK123" s="1417" t="str">
        <f t="shared" si="72"/>
        <v>-</v>
      </c>
      <c r="DL123" s="1417" t="str">
        <f t="shared" si="73"/>
        <v>-</v>
      </c>
      <c r="DM123" s="1418" t="str">
        <f t="shared" si="74"/>
        <v>-</v>
      </c>
      <c r="DN123" s="1417" t="str">
        <f t="shared" si="75"/>
        <v>-</v>
      </c>
      <c r="DO123" s="1417" t="str">
        <f t="shared" si="76"/>
        <v>-</v>
      </c>
      <c r="DP123" s="1417" t="str">
        <f t="shared" si="77"/>
        <v>-</v>
      </c>
      <c r="DQ123" s="1419" t="str">
        <f t="shared" si="78"/>
        <v>-</v>
      </c>
    </row>
    <row r="124" spans="4:121">
      <c r="E124" s="742" t="s">
        <v>45</v>
      </c>
      <c r="F124" s="722" t="str">
        <f>+F123</f>
        <v>[Service]</v>
      </c>
      <c r="G124" s="723">
        <f>+G123</f>
        <v>0</v>
      </c>
      <c r="H124" s="723">
        <f>+H123</f>
        <v>0</v>
      </c>
      <c r="I124" s="724" t="str">
        <f>+I123</f>
        <v>[Price]</v>
      </c>
      <c r="J124" s="782" t="s">
        <v>322</v>
      </c>
      <c r="K124" s="725"/>
      <c r="L124" s="726"/>
      <c r="M124" s="726"/>
      <c r="N124" s="727"/>
      <c r="O124" s="786"/>
      <c r="P124" s="787"/>
      <c r="Q124" s="786"/>
      <c r="R124" s="786"/>
      <c r="S124" s="786"/>
      <c r="T124" s="786"/>
      <c r="U124" s="786"/>
      <c r="V124" s="786"/>
      <c r="W124" s="786"/>
      <c r="X124" s="787"/>
      <c r="Y124" s="786"/>
      <c r="Z124" s="786"/>
      <c r="AA124" s="786"/>
      <c r="AB124" s="786"/>
      <c r="AC124" s="787"/>
      <c r="AD124" s="786"/>
      <c r="AE124" s="786"/>
      <c r="AF124" s="786"/>
      <c r="AG124" s="788"/>
      <c r="AH124" s="823"/>
      <c r="AI124" s="702"/>
      <c r="AJ124" s="728"/>
      <c r="AK124" s="729"/>
      <c r="AL124" s="729"/>
      <c r="AM124" s="729"/>
      <c r="AN124" s="729"/>
      <c r="AO124" s="730"/>
      <c r="AP124" s="74"/>
      <c r="AQ124" s="74"/>
      <c r="AR124" s="74"/>
      <c r="AS124" s="106"/>
      <c r="AW124" s="1392" t="str">
        <f t="shared" si="79"/>
        <v>Qty</v>
      </c>
      <c r="AX124" s="1393" t="str">
        <f t="shared" si="41"/>
        <v>[Service]</v>
      </c>
      <c r="AY124" s="1394" t="str">
        <f t="shared" si="42"/>
        <v>[Price]</v>
      </c>
      <c r="AZ124" s="1395" t="str">
        <f t="shared" si="164"/>
        <v>-</v>
      </c>
      <c r="BA124" s="1395" t="str">
        <f t="shared" si="164"/>
        <v>-</v>
      </c>
      <c r="BB124" s="1395" t="str">
        <f t="shared" si="164"/>
        <v>-</v>
      </c>
      <c r="BC124" s="1395" t="str">
        <f t="shared" si="164"/>
        <v>-</v>
      </c>
      <c r="BD124" s="1395" t="str">
        <f t="shared" si="44"/>
        <v>-</v>
      </c>
      <c r="BE124" s="1395" t="str">
        <f t="shared" si="45"/>
        <v>-</v>
      </c>
      <c r="BF124" s="1395" t="str">
        <f t="shared" si="46"/>
        <v>-</v>
      </c>
      <c r="BG124" s="1396" t="str">
        <f t="shared" si="47"/>
        <v>-</v>
      </c>
      <c r="BH124" s="1395" t="str">
        <f t="shared" si="48"/>
        <v>-</v>
      </c>
      <c r="BI124" s="1395" t="str">
        <f t="shared" si="49"/>
        <v>-</v>
      </c>
      <c r="BJ124" s="1395" t="str">
        <f t="shared" si="50"/>
        <v>-</v>
      </c>
      <c r="BK124" s="1395" t="str">
        <f t="shared" si="51"/>
        <v>-</v>
      </c>
      <c r="BL124" s="1397" t="str">
        <f t="shared" si="52"/>
        <v>-</v>
      </c>
      <c r="BM124" s="1395" t="str">
        <f t="shared" si="53"/>
        <v>-</v>
      </c>
      <c r="BN124" s="1395" t="str">
        <f t="shared" si="54"/>
        <v>-</v>
      </c>
      <c r="BO124" s="1395" t="str">
        <f t="shared" si="55"/>
        <v>-</v>
      </c>
      <c r="BP124" s="1395" t="str">
        <f t="shared" si="56"/>
        <v>-</v>
      </c>
      <c r="BQ124" s="1398" t="str">
        <f t="shared" si="57"/>
        <v>-</v>
      </c>
      <c r="BR124" s="1378"/>
      <c r="BS124" s="1329"/>
      <c r="BT124" s="1399"/>
      <c r="BU124" s="1331"/>
      <c r="BV124" s="1400"/>
      <c r="BW124" s="1378"/>
      <c r="BX124" s="1392" t="str">
        <f t="shared" si="58"/>
        <v>Qty</v>
      </c>
      <c r="BY124" s="1393" t="str">
        <f t="shared" si="105"/>
        <v>[Service]</v>
      </c>
      <c r="BZ124" s="1394" t="str">
        <f t="shared" si="106"/>
        <v>[Price]</v>
      </c>
      <c r="CA124" s="1401" t="str">
        <f>IFERROR((S124/R124-1)*(R125/R$13),"-")</f>
        <v>-</v>
      </c>
      <c r="CB124" s="1395" t="str">
        <f>IFERROR((T124/S124-1)*(S125/S$13),"-")</f>
        <v>-</v>
      </c>
      <c r="CC124" s="1395" t="str">
        <f>IFERROR((U124/T124-1)*(T125/T$13),"-")</f>
        <v>-</v>
      </c>
      <c r="CD124" s="1395" t="str">
        <f>IFERROR((V124/U124-1)*(U125/U$13),"-")</f>
        <v>-</v>
      </c>
      <c r="CE124" s="1395" t="str">
        <f t="shared" ref="CE124:CR124" si="176">IFERROR((T124/S124-1)*(S125/S$13),"-")</f>
        <v>-</v>
      </c>
      <c r="CF124" s="1395" t="str">
        <f t="shared" si="176"/>
        <v>-</v>
      </c>
      <c r="CG124" s="1395" t="str">
        <f t="shared" si="176"/>
        <v>-</v>
      </c>
      <c r="CH124" s="1397" t="str">
        <f t="shared" si="176"/>
        <v>-</v>
      </c>
      <c r="CI124" s="1395" t="str">
        <f t="shared" si="176"/>
        <v>-</v>
      </c>
      <c r="CJ124" s="1395" t="str">
        <f t="shared" si="176"/>
        <v>-</v>
      </c>
      <c r="CK124" s="1395" t="str">
        <f t="shared" si="176"/>
        <v>-</v>
      </c>
      <c r="CL124" s="1395" t="str">
        <f t="shared" si="176"/>
        <v>-</v>
      </c>
      <c r="CM124" s="1397" t="str">
        <f t="shared" si="176"/>
        <v>-</v>
      </c>
      <c r="CN124" s="1395" t="str">
        <f t="shared" si="176"/>
        <v>-</v>
      </c>
      <c r="CO124" s="1395" t="str">
        <f t="shared" si="176"/>
        <v>-</v>
      </c>
      <c r="CP124" s="1395" t="str">
        <f t="shared" si="176"/>
        <v>-</v>
      </c>
      <c r="CQ124" s="1395" t="str">
        <f t="shared" si="176"/>
        <v>-</v>
      </c>
      <c r="CR124" s="1398" t="str">
        <f t="shared" si="176"/>
        <v>-</v>
      </c>
      <c r="CS124" s="1378"/>
      <c r="CT124" s="1392" t="str">
        <f t="shared" si="34"/>
        <v>Qty</v>
      </c>
      <c r="CU124" s="1393" t="str">
        <f t="shared" si="35"/>
        <v>[Service]</v>
      </c>
      <c r="CV124" s="1393" t="str">
        <f t="shared" si="36"/>
        <v>[Price]</v>
      </c>
      <c r="CW124" s="1401" t="str">
        <f t="shared" si="62"/>
        <v>-</v>
      </c>
      <c r="CX124" s="1395" t="str">
        <f t="shared" si="63"/>
        <v>-</v>
      </c>
      <c r="CY124" s="1395" t="str">
        <f t="shared" si="64"/>
        <v>-</v>
      </c>
      <c r="CZ124" s="1397" t="str">
        <f t="shared" si="65"/>
        <v>-</v>
      </c>
      <c r="DA124" s="1395" t="str">
        <f t="shared" si="66"/>
        <v>-</v>
      </c>
      <c r="DB124" s="1395" t="str">
        <f t="shared" si="67"/>
        <v>-</v>
      </c>
      <c r="DC124" s="1395" t="str">
        <f t="shared" si="68"/>
        <v>-</v>
      </c>
      <c r="DD124" s="1395" t="str">
        <f t="shared" si="69"/>
        <v>-</v>
      </c>
      <c r="DE124" s="1398" t="str">
        <f t="shared" si="70"/>
        <v>-</v>
      </c>
      <c r="DF124" s="1378"/>
      <c r="DG124" s="1392" t="str">
        <f t="shared" si="81"/>
        <v>Qty</v>
      </c>
      <c r="DH124" s="1393" t="str">
        <f t="shared" si="81"/>
        <v>[Service]</v>
      </c>
      <c r="DI124" s="1393" t="str">
        <f t="shared" si="81"/>
        <v>[Price]</v>
      </c>
      <c r="DJ124" s="1401" t="str">
        <f t="shared" si="71"/>
        <v>-</v>
      </c>
      <c r="DK124" s="1395" t="str">
        <f t="shared" si="72"/>
        <v>-</v>
      </c>
      <c r="DL124" s="1395" t="str">
        <f t="shared" si="73"/>
        <v>-</v>
      </c>
      <c r="DM124" s="1397" t="str">
        <f t="shared" si="74"/>
        <v>-</v>
      </c>
      <c r="DN124" s="1395" t="str">
        <f t="shared" si="75"/>
        <v>-</v>
      </c>
      <c r="DO124" s="1395" t="str">
        <f t="shared" si="76"/>
        <v>-</v>
      </c>
      <c r="DP124" s="1395" t="str">
        <f t="shared" si="77"/>
        <v>-</v>
      </c>
      <c r="DQ124" s="1398" t="str">
        <f t="shared" si="78"/>
        <v>-</v>
      </c>
    </row>
    <row r="125" spans="4:121" ht="12.75" thickBot="1">
      <c r="E125" s="743" t="s">
        <v>46</v>
      </c>
      <c r="F125" s="732" t="str">
        <f>+F123</f>
        <v>[Service]</v>
      </c>
      <c r="G125" s="733">
        <f>+G123</f>
        <v>0</v>
      </c>
      <c r="H125" s="733">
        <f>+H123</f>
        <v>0</v>
      </c>
      <c r="I125" s="734" t="str">
        <f>+I123</f>
        <v>[Price]</v>
      </c>
      <c r="J125" s="735" t="s">
        <v>344</v>
      </c>
      <c r="K125" s="736">
        <f t="shared" ref="K125:AG125" si="177">K123*K124/10^6</f>
        <v>0</v>
      </c>
      <c r="L125" s="737">
        <f t="shared" si="177"/>
        <v>0</v>
      </c>
      <c r="M125" s="737">
        <f t="shared" si="177"/>
        <v>0</v>
      </c>
      <c r="N125" s="738">
        <f t="shared" si="177"/>
        <v>0</v>
      </c>
      <c r="O125" s="737">
        <f t="shared" si="177"/>
        <v>0</v>
      </c>
      <c r="P125" s="738">
        <f t="shared" si="177"/>
        <v>0</v>
      </c>
      <c r="Q125" s="737">
        <f t="shared" si="177"/>
        <v>0</v>
      </c>
      <c r="R125" s="737">
        <f t="shared" si="177"/>
        <v>0</v>
      </c>
      <c r="S125" s="737">
        <f t="shared" si="177"/>
        <v>0</v>
      </c>
      <c r="T125" s="737">
        <f t="shared" si="177"/>
        <v>0</v>
      </c>
      <c r="U125" s="737">
        <f t="shared" si="177"/>
        <v>0</v>
      </c>
      <c r="V125" s="737">
        <f t="shared" si="177"/>
        <v>0</v>
      </c>
      <c r="W125" s="737">
        <f t="shared" si="177"/>
        <v>0</v>
      </c>
      <c r="X125" s="738">
        <f t="shared" si="177"/>
        <v>0</v>
      </c>
      <c r="Y125" s="737">
        <f t="shared" si="177"/>
        <v>0</v>
      </c>
      <c r="Z125" s="737">
        <f t="shared" si="177"/>
        <v>0</v>
      </c>
      <c r="AA125" s="737">
        <f t="shared" si="177"/>
        <v>0</v>
      </c>
      <c r="AB125" s="737">
        <f t="shared" si="177"/>
        <v>0</v>
      </c>
      <c r="AC125" s="738">
        <f t="shared" si="177"/>
        <v>0</v>
      </c>
      <c r="AD125" s="737">
        <f t="shared" si="177"/>
        <v>0</v>
      </c>
      <c r="AE125" s="737">
        <f t="shared" si="177"/>
        <v>0</v>
      </c>
      <c r="AF125" s="737">
        <f t="shared" si="177"/>
        <v>0</v>
      </c>
      <c r="AG125" s="739">
        <f t="shared" si="177"/>
        <v>0</v>
      </c>
      <c r="AH125" s="823"/>
      <c r="AI125" s="744"/>
      <c r="AJ125" s="741"/>
      <c r="AK125" s="729"/>
      <c r="AL125" s="729"/>
      <c r="AM125" s="729"/>
      <c r="AN125" s="729"/>
      <c r="AO125" s="730"/>
      <c r="AP125" s="74"/>
      <c r="AQ125" s="74"/>
      <c r="AR125" s="74"/>
      <c r="AS125" s="106"/>
      <c r="AW125" s="1428" t="str">
        <f t="shared" si="79"/>
        <v>Rev</v>
      </c>
      <c r="AX125" s="1429" t="str">
        <f t="shared" si="41"/>
        <v>[Service]</v>
      </c>
      <c r="AY125" s="1430" t="str">
        <f t="shared" si="42"/>
        <v>[Price]</v>
      </c>
      <c r="AZ125" s="1431" t="str">
        <f t="shared" si="164"/>
        <v>-</v>
      </c>
      <c r="BA125" s="1431" t="str">
        <f t="shared" si="164"/>
        <v>-</v>
      </c>
      <c r="BB125" s="1431" t="str">
        <f t="shared" si="164"/>
        <v>-</v>
      </c>
      <c r="BC125" s="1431" t="str">
        <f t="shared" si="164"/>
        <v>-</v>
      </c>
      <c r="BD125" s="1431" t="str">
        <f t="shared" si="44"/>
        <v>-</v>
      </c>
      <c r="BE125" s="1431" t="str">
        <f t="shared" si="45"/>
        <v>-</v>
      </c>
      <c r="BF125" s="1431" t="str">
        <f t="shared" si="46"/>
        <v>-</v>
      </c>
      <c r="BG125" s="1432" t="str">
        <f t="shared" si="47"/>
        <v>-</v>
      </c>
      <c r="BH125" s="1431" t="str">
        <f t="shared" si="48"/>
        <v>-</v>
      </c>
      <c r="BI125" s="1431" t="str">
        <f t="shared" si="49"/>
        <v>-</v>
      </c>
      <c r="BJ125" s="1431" t="str">
        <f t="shared" si="50"/>
        <v>-</v>
      </c>
      <c r="BK125" s="1431" t="str">
        <f t="shared" si="51"/>
        <v>-</v>
      </c>
      <c r="BL125" s="1433" t="str">
        <f t="shared" si="52"/>
        <v>-</v>
      </c>
      <c r="BM125" s="1431" t="str">
        <f t="shared" si="53"/>
        <v>-</v>
      </c>
      <c r="BN125" s="1431" t="str">
        <f t="shared" si="54"/>
        <v>-</v>
      </c>
      <c r="BO125" s="1431" t="str">
        <f t="shared" si="55"/>
        <v>-</v>
      </c>
      <c r="BP125" s="1431" t="str">
        <f t="shared" si="56"/>
        <v>-</v>
      </c>
      <c r="BQ125" s="1434" t="str">
        <f t="shared" si="57"/>
        <v>-</v>
      </c>
      <c r="BR125" s="1378"/>
      <c r="BS125" s="1407"/>
      <c r="BT125" s="1408"/>
      <c r="BU125" s="1409"/>
      <c r="BV125" s="1410"/>
      <c r="BW125" s="1378"/>
      <c r="BX125" s="1428" t="str">
        <f t="shared" si="58"/>
        <v>Rev</v>
      </c>
      <c r="BY125" s="1429" t="str">
        <f t="shared" si="105"/>
        <v>[Service]</v>
      </c>
      <c r="BZ125" s="1430" t="str">
        <f t="shared" si="106"/>
        <v>[Price]</v>
      </c>
      <c r="CA125" s="1435" t="str">
        <f>IFERROR((S125/R125-1)*(R125/R$13),"-")</f>
        <v>-</v>
      </c>
      <c r="CB125" s="1431" t="str">
        <f>IFERROR((T125/S125-1)*(S125/S$13),"-")</f>
        <v>-</v>
      </c>
      <c r="CC125" s="1431" t="str">
        <f>IFERROR((U125/T125-1)*(T125/T$13),"-")</f>
        <v>-</v>
      </c>
      <c r="CD125" s="1431" t="str">
        <f>IFERROR((V125/U125-1)*(U125/U$13),"-")</f>
        <v>-</v>
      </c>
      <c r="CE125" s="1431" t="str">
        <f t="shared" ref="CE125:CR125" si="178">IFERROR((T125/S125-1)*(S125/S$13),"-")</f>
        <v>-</v>
      </c>
      <c r="CF125" s="1431" t="str">
        <f t="shared" si="178"/>
        <v>-</v>
      </c>
      <c r="CG125" s="1431" t="str">
        <f t="shared" si="178"/>
        <v>-</v>
      </c>
      <c r="CH125" s="1433" t="str">
        <f t="shared" si="178"/>
        <v>-</v>
      </c>
      <c r="CI125" s="1431" t="str">
        <f t="shared" si="178"/>
        <v>-</v>
      </c>
      <c r="CJ125" s="1431" t="str">
        <f t="shared" si="178"/>
        <v>-</v>
      </c>
      <c r="CK125" s="1431" t="str">
        <f t="shared" si="178"/>
        <v>-</v>
      </c>
      <c r="CL125" s="1431" t="str">
        <f t="shared" si="178"/>
        <v>-</v>
      </c>
      <c r="CM125" s="1433" t="str">
        <f t="shared" si="178"/>
        <v>-</v>
      </c>
      <c r="CN125" s="1431" t="str">
        <f t="shared" si="178"/>
        <v>-</v>
      </c>
      <c r="CO125" s="1431" t="str">
        <f t="shared" si="178"/>
        <v>-</v>
      </c>
      <c r="CP125" s="1431" t="str">
        <f t="shared" si="178"/>
        <v>-</v>
      </c>
      <c r="CQ125" s="1431" t="str">
        <f t="shared" si="178"/>
        <v>-</v>
      </c>
      <c r="CR125" s="1434" t="str">
        <f t="shared" si="178"/>
        <v>-</v>
      </c>
      <c r="CS125" s="1378"/>
      <c r="CT125" s="1428" t="str">
        <f t="shared" si="34"/>
        <v>Rev</v>
      </c>
      <c r="CU125" s="1429" t="str">
        <f t="shared" si="35"/>
        <v>[Service]</v>
      </c>
      <c r="CV125" s="1429" t="str">
        <f t="shared" si="36"/>
        <v>[Price]</v>
      </c>
      <c r="CW125" s="1435" t="str">
        <f t="shared" si="62"/>
        <v>-</v>
      </c>
      <c r="CX125" s="1431" t="str">
        <f t="shared" si="63"/>
        <v>-</v>
      </c>
      <c r="CY125" s="1431" t="str">
        <f t="shared" si="64"/>
        <v>-</v>
      </c>
      <c r="CZ125" s="1433" t="str">
        <f t="shared" si="65"/>
        <v>-</v>
      </c>
      <c r="DA125" s="1431" t="str">
        <f t="shared" si="66"/>
        <v>-</v>
      </c>
      <c r="DB125" s="1431" t="str">
        <f t="shared" si="67"/>
        <v>-</v>
      </c>
      <c r="DC125" s="1431" t="str">
        <f t="shared" si="68"/>
        <v>-</v>
      </c>
      <c r="DD125" s="1431" t="str">
        <f t="shared" si="69"/>
        <v>-</v>
      </c>
      <c r="DE125" s="1434" t="str">
        <f t="shared" si="70"/>
        <v>-</v>
      </c>
      <c r="DF125" s="1378"/>
      <c r="DG125" s="1428" t="str">
        <f t="shared" si="81"/>
        <v>Rev</v>
      </c>
      <c r="DH125" s="1429" t="str">
        <f t="shared" si="81"/>
        <v>[Service]</v>
      </c>
      <c r="DI125" s="1429" t="str">
        <f t="shared" si="81"/>
        <v>[Price]</v>
      </c>
      <c r="DJ125" s="1435" t="str">
        <f t="shared" si="71"/>
        <v>-</v>
      </c>
      <c r="DK125" s="1431" t="str">
        <f t="shared" si="72"/>
        <v>-</v>
      </c>
      <c r="DL125" s="1431" t="str">
        <f t="shared" si="73"/>
        <v>-</v>
      </c>
      <c r="DM125" s="1433" t="str">
        <f t="shared" si="74"/>
        <v>-</v>
      </c>
      <c r="DN125" s="1431" t="str">
        <f t="shared" si="75"/>
        <v>-</v>
      </c>
      <c r="DO125" s="1431" t="str">
        <f t="shared" si="76"/>
        <v>-</v>
      </c>
      <c r="DP125" s="1431" t="str">
        <f t="shared" si="77"/>
        <v>-</v>
      </c>
      <c r="DQ125" s="1434" t="str">
        <f t="shared" si="78"/>
        <v>-</v>
      </c>
    </row>
    <row r="126" spans="4:121">
      <c r="D126" s="70">
        <f>D123+1</f>
        <v>20</v>
      </c>
      <c r="E126" s="713" t="s">
        <v>44</v>
      </c>
      <c r="F126" s="789" t="s">
        <v>27</v>
      </c>
      <c r="G126" s="789"/>
      <c r="H126" s="789"/>
      <c r="I126" s="781" t="s">
        <v>318</v>
      </c>
      <c r="J126" s="781" t="s">
        <v>345</v>
      </c>
      <c r="K126" s="714"/>
      <c r="L126" s="715"/>
      <c r="M126" s="715"/>
      <c r="N126" s="716"/>
      <c r="O126" s="783"/>
      <c r="P126" s="784"/>
      <c r="Q126" s="783"/>
      <c r="R126" s="783"/>
      <c r="S126" s="783"/>
      <c r="T126" s="783"/>
      <c r="U126" s="783"/>
      <c r="V126" s="783"/>
      <c r="W126" s="783"/>
      <c r="X126" s="784"/>
      <c r="Y126" s="783"/>
      <c r="Z126" s="783"/>
      <c r="AA126" s="783"/>
      <c r="AB126" s="783"/>
      <c r="AC126" s="784"/>
      <c r="AD126" s="783"/>
      <c r="AE126" s="783"/>
      <c r="AF126" s="783"/>
      <c r="AG126" s="785"/>
      <c r="AI126" s="702"/>
      <c r="AJ126" s="717" t="str">
        <f t="shared" ref="AJ126:AS126" si="179">IFERROR((X126-W126)/W126,"")</f>
        <v/>
      </c>
      <c r="AK126" s="718" t="str">
        <f t="shared" si="179"/>
        <v/>
      </c>
      <c r="AL126" s="718" t="str">
        <f t="shared" si="179"/>
        <v/>
      </c>
      <c r="AM126" s="718" t="str">
        <f t="shared" si="179"/>
        <v/>
      </c>
      <c r="AN126" s="718" t="str">
        <f t="shared" si="179"/>
        <v/>
      </c>
      <c r="AO126" s="719" t="str">
        <f t="shared" si="179"/>
        <v/>
      </c>
      <c r="AP126" s="494" t="str">
        <f t="shared" si="179"/>
        <v/>
      </c>
      <c r="AQ126" s="494" t="str">
        <f t="shared" si="179"/>
        <v/>
      </c>
      <c r="AR126" s="494" t="str">
        <f t="shared" si="179"/>
        <v/>
      </c>
      <c r="AS126" s="720" t="str">
        <f t="shared" si="179"/>
        <v/>
      </c>
      <c r="AU126" s="1369"/>
      <c r="AW126" s="1412" t="str">
        <f t="shared" si="79"/>
        <v>Price</v>
      </c>
      <c r="AX126" s="1413" t="str">
        <f t="shared" si="41"/>
        <v>[Service]</v>
      </c>
      <c r="AY126" s="1414" t="str">
        <f t="shared" si="42"/>
        <v>[Price]</v>
      </c>
      <c r="AZ126" s="1415" t="str">
        <f t="shared" si="164"/>
        <v>-</v>
      </c>
      <c r="BA126" s="1415" t="str">
        <f t="shared" si="164"/>
        <v>-</v>
      </c>
      <c r="BB126" s="1415" t="str">
        <f t="shared" si="164"/>
        <v>-</v>
      </c>
      <c r="BC126" s="1415" t="str">
        <f t="shared" si="164"/>
        <v>-</v>
      </c>
      <c r="BD126" s="1415" t="str">
        <f t="shared" si="44"/>
        <v>-</v>
      </c>
      <c r="BE126" s="1415" t="str">
        <f t="shared" si="45"/>
        <v>-</v>
      </c>
      <c r="BF126" s="1415" t="str">
        <f t="shared" si="46"/>
        <v>-</v>
      </c>
      <c r="BG126" s="1416" t="str">
        <f t="shared" si="47"/>
        <v>-</v>
      </c>
      <c r="BH126" s="1417" t="str">
        <f t="shared" si="48"/>
        <v>-</v>
      </c>
      <c r="BI126" s="1417" t="str">
        <f t="shared" si="49"/>
        <v>-</v>
      </c>
      <c r="BJ126" s="1417" t="str">
        <f t="shared" si="50"/>
        <v>-</v>
      </c>
      <c r="BK126" s="1417" t="str">
        <f t="shared" si="51"/>
        <v>-</v>
      </c>
      <c r="BL126" s="1418" t="str">
        <f t="shared" si="52"/>
        <v>-</v>
      </c>
      <c r="BM126" s="1417" t="str">
        <f t="shared" si="53"/>
        <v>-</v>
      </c>
      <c r="BN126" s="1417" t="str">
        <f t="shared" si="54"/>
        <v>-</v>
      </c>
      <c r="BO126" s="1417" t="str">
        <f t="shared" si="55"/>
        <v>-</v>
      </c>
      <c r="BP126" s="1417" t="str">
        <f t="shared" si="56"/>
        <v>-</v>
      </c>
      <c r="BQ126" s="1419" t="str">
        <f t="shared" si="57"/>
        <v>-</v>
      </c>
      <c r="BR126" s="1378"/>
      <c r="BS126" s="1420"/>
      <c r="BT126" s="1421"/>
      <c r="BU126" s="1422"/>
      <c r="BV126" s="1423"/>
      <c r="BW126" s="1378"/>
      <c r="BX126" s="1412" t="str">
        <f t="shared" si="58"/>
        <v>Price</v>
      </c>
      <c r="BY126" s="1413" t="str">
        <f t="shared" si="105"/>
        <v>[Service]</v>
      </c>
      <c r="BZ126" s="1414" t="str">
        <f t="shared" si="106"/>
        <v>[Price]</v>
      </c>
      <c r="CA126" s="1424" t="str">
        <f>IFERROR((S126/R126-1)*(R128/R$13),"-")</f>
        <v>-</v>
      </c>
      <c r="CB126" s="1415" t="str">
        <f>IFERROR((T126/S126-1)*(S128/S$13),"-")</f>
        <v>-</v>
      </c>
      <c r="CC126" s="1415" t="str">
        <f>IFERROR((U126/T126-1)*(T128/T$13),"-")</f>
        <v>-</v>
      </c>
      <c r="CD126" s="1415" t="str">
        <f>IFERROR((V126/U126-1)*(U128/U$13),"-")</f>
        <v>-</v>
      </c>
      <c r="CE126" s="1415" t="str">
        <f t="shared" ref="CE126:CR126" si="180">IFERROR((T126/S126-1)*(S128/S$13),"-")</f>
        <v>-</v>
      </c>
      <c r="CF126" s="1415" t="str">
        <f t="shared" si="180"/>
        <v>-</v>
      </c>
      <c r="CG126" s="1415" t="str">
        <f t="shared" si="180"/>
        <v>-</v>
      </c>
      <c r="CH126" s="1425" t="str">
        <f t="shared" si="180"/>
        <v>-</v>
      </c>
      <c r="CI126" s="1417" t="str">
        <f t="shared" si="180"/>
        <v>-</v>
      </c>
      <c r="CJ126" s="1417" t="str">
        <f t="shared" si="180"/>
        <v>-</v>
      </c>
      <c r="CK126" s="1417" t="str">
        <f t="shared" si="180"/>
        <v>-</v>
      </c>
      <c r="CL126" s="1417" t="str">
        <f t="shared" si="180"/>
        <v>-</v>
      </c>
      <c r="CM126" s="1418" t="str">
        <f t="shared" si="180"/>
        <v>-</v>
      </c>
      <c r="CN126" s="1417" t="str">
        <f t="shared" si="180"/>
        <v>-</v>
      </c>
      <c r="CO126" s="1417" t="str">
        <f t="shared" si="180"/>
        <v>-</v>
      </c>
      <c r="CP126" s="1417" t="str">
        <f t="shared" si="180"/>
        <v>-</v>
      </c>
      <c r="CQ126" s="1417" t="str">
        <f t="shared" si="180"/>
        <v>-</v>
      </c>
      <c r="CR126" s="1419" t="str">
        <f t="shared" si="180"/>
        <v>-</v>
      </c>
      <c r="CS126" s="1378"/>
      <c r="CT126" s="1412" t="str">
        <f t="shared" si="34"/>
        <v>Price</v>
      </c>
      <c r="CU126" s="1413" t="str">
        <f t="shared" si="35"/>
        <v>[Service]</v>
      </c>
      <c r="CV126" s="1426" t="str">
        <f t="shared" si="36"/>
        <v>[Price]</v>
      </c>
      <c r="CW126" s="1427" t="str">
        <f t="shared" si="62"/>
        <v>-</v>
      </c>
      <c r="CX126" s="1417" t="str">
        <f t="shared" si="63"/>
        <v>-</v>
      </c>
      <c r="CY126" s="1417" t="str">
        <f t="shared" si="64"/>
        <v>-</v>
      </c>
      <c r="CZ126" s="1418" t="str">
        <f t="shared" si="65"/>
        <v>-</v>
      </c>
      <c r="DA126" s="1417" t="str">
        <f t="shared" si="66"/>
        <v>-</v>
      </c>
      <c r="DB126" s="1417" t="str">
        <f t="shared" si="67"/>
        <v>-</v>
      </c>
      <c r="DC126" s="1417" t="str">
        <f t="shared" si="68"/>
        <v>-</v>
      </c>
      <c r="DD126" s="1417" t="str">
        <f t="shared" si="69"/>
        <v>-</v>
      </c>
      <c r="DE126" s="1419" t="str">
        <f t="shared" si="70"/>
        <v>-</v>
      </c>
      <c r="DF126" s="1378"/>
      <c r="DG126" s="1412" t="str">
        <f t="shared" si="81"/>
        <v>Price</v>
      </c>
      <c r="DH126" s="1413" t="str">
        <f t="shared" si="81"/>
        <v>[Service]</v>
      </c>
      <c r="DI126" s="1426" t="str">
        <f t="shared" si="81"/>
        <v>[Price]</v>
      </c>
      <c r="DJ126" s="1427" t="str">
        <f t="shared" si="71"/>
        <v>-</v>
      </c>
      <c r="DK126" s="1417" t="str">
        <f t="shared" si="72"/>
        <v>-</v>
      </c>
      <c r="DL126" s="1417" t="str">
        <f t="shared" si="73"/>
        <v>-</v>
      </c>
      <c r="DM126" s="1418" t="str">
        <f t="shared" si="74"/>
        <v>-</v>
      </c>
      <c r="DN126" s="1417" t="str">
        <f t="shared" si="75"/>
        <v>-</v>
      </c>
      <c r="DO126" s="1417" t="str">
        <f t="shared" si="76"/>
        <v>-</v>
      </c>
      <c r="DP126" s="1417" t="str">
        <f t="shared" si="77"/>
        <v>-</v>
      </c>
      <c r="DQ126" s="1419" t="str">
        <f t="shared" si="78"/>
        <v>-</v>
      </c>
    </row>
    <row r="127" spans="4:121">
      <c r="E127" s="742" t="s">
        <v>45</v>
      </c>
      <c r="F127" s="722" t="str">
        <f>+F126</f>
        <v>[Service]</v>
      </c>
      <c r="G127" s="723">
        <f>+G126</f>
        <v>0</v>
      </c>
      <c r="H127" s="723">
        <f>+H126</f>
        <v>0</v>
      </c>
      <c r="I127" s="724" t="str">
        <f>+I126</f>
        <v>[Price]</v>
      </c>
      <c r="J127" s="782" t="s">
        <v>322</v>
      </c>
      <c r="K127" s="725"/>
      <c r="L127" s="726"/>
      <c r="M127" s="726"/>
      <c r="N127" s="727"/>
      <c r="O127" s="786"/>
      <c r="P127" s="787"/>
      <c r="Q127" s="786"/>
      <c r="R127" s="786"/>
      <c r="S127" s="786"/>
      <c r="T127" s="786"/>
      <c r="U127" s="786"/>
      <c r="V127" s="786"/>
      <c r="W127" s="786"/>
      <c r="X127" s="787"/>
      <c r="Y127" s="786"/>
      <c r="Z127" s="786"/>
      <c r="AA127" s="786"/>
      <c r="AB127" s="786"/>
      <c r="AC127" s="787"/>
      <c r="AD127" s="786"/>
      <c r="AE127" s="786"/>
      <c r="AF127" s="786"/>
      <c r="AG127" s="788"/>
      <c r="AH127" s="823"/>
      <c r="AI127" s="702"/>
      <c r="AJ127" s="728"/>
      <c r="AK127" s="729"/>
      <c r="AL127" s="729"/>
      <c r="AM127" s="729"/>
      <c r="AN127" s="729"/>
      <c r="AO127" s="730"/>
      <c r="AP127" s="74"/>
      <c r="AQ127" s="74"/>
      <c r="AR127" s="74"/>
      <c r="AS127" s="106"/>
      <c r="AW127" s="1392" t="str">
        <f t="shared" si="79"/>
        <v>Qty</v>
      </c>
      <c r="AX127" s="1393" t="str">
        <f t="shared" si="41"/>
        <v>[Service]</v>
      </c>
      <c r="AY127" s="1394" t="str">
        <f t="shared" si="42"/>
        <v>[Price]</v>
      </c>
      <c r="AZ127" s="1395" t="str">
        <f t="shared" si="164"/>
        <v>-</v>
      </c>
      <c r="BA127" s="1395" t="str">
        <f t="shared" si="164"/>
        <v>-</v>
      </c>
      <c r="BB127" s="1395" t="str">
        <f t="shared" si="164"/>
        <v>-</v>
      </c>
      <c r="BC127" s="1395" t="str">
        <f t="shared" si="164"/>
        <v>-</v>
      </c>
      <c r="BD127" s="1395" t="str">
        <f t="shared" si="44"/>
        <v>-</v>
      </c>
      <c r="BE127" s="1395" t="str">
        <f t="shared" si="45"/>
        <v>-</v>
      </c>
      <c r="BF127" s="1395" t="str">
        <f t="shared" si="46"/>
        <v>-</v>
      </c>
      <c r="BG127" s="1396" t="str">
        <f t="shared" si="47"/>
        <v>-</v>
      </c>
      <c r="BH127" s="1395" t="str">
        <f t="shared" si="48"/>
        <v>-</v>
      </c>
      <c r="BI127" s="1395" t="str">
        <f t="shared" si="49"/>
        <v>-</v>
      </c>
      <c r="BJ127" s="1395" t="str">
        <f t="shared" si="50"/>
        <v>-</v>
      </c>
      <c r="BK127" s="1395" t="str">
        <f t="shared" si="51"/>
        <v>-</v>
      </c>
      <c r="BL127" s="1397" t="str">
        <f t="shared" si="52"/>
        <v>-</v>
      </c>
      <c r="BM127" s="1395" t="str">
        <f t="shared" si="53"/>
        <v>-</v>
      </c>
      <c r="BN127" s="1395" t="str">
        <f t="shared" si="54"/>
        <v>-</v>
      </c>
      <c r="BO127" s="1395" t="str">
        <f t="shared" si="55"/>
        <v>-</v>
      </c>
      <c r="BP127" s="1395" t="str">
        <f t="shared" si="56"/>
        <v>-</v>
      </c>
      <c r="BQ127" s="1398" t="str">
        <f t="shared" si="57"/>
        <v>-</v>
      </c>
      <c r="BR127" s="1378"/>
      <c r="BS127" s="1329"/>
      <c r="BT127" s="1399"/>
      <c r="BU127" s="1331"/>
      <c r="BV127" s="1400"/>
      <c r="BW127" s="1378"/>
      <c r="BX127" s="1392" t="str">
        <f t="shared" si="58"/>
        <v>Qty</v>
      </c>
      <c r="BY127" s="1393" t="str">
        <f t="shared" si="105"/>
        <v>[Service]</v>
      </c>
      <c r="BZ127" s="1394" t="str">
        <f t="shared" si="106"/>
        <v>[Price]</v>
      </c>
      <c r="CA127" s="1401" t="str">
        <f>IFERROR((S127/R127-1)*(R128/R$13),"-")</f>
        <v>-</v>
      </c>
      <c r="CB127" s="1395" t="str">
        <f>IFERROR((T127/S127-1)*(S128/S$13),"-")</f>
        <v>-</v>
      </c>
      <c r="CC127" s="1395" t="str">
        <f>IFERROR((U127/T127-1)*(T128/T$13),"-")</f>
        <v>-</v>
      </c>
      <c r="CD127" s="1395" t="str">
        <f>IFERROR((V127/U127-1)*(U128/U$13),"-")</f>
        <v>-</v>
      </c>
      <c r="CE127" s="1395" t="str">
        <f t="shared" ref="CE127:CR127" si="181">IFERROR((T127/S127-1)*(S128/S$13),"-")</f>
        <v>-</v>
      </c>
      <c r="CF127" s="1395" t="str">
        <f t="shared" si="181"/>
        <v>-</v>
      </c>
      <c r="CG127" s="1395" t="str">
        <f t="shared" si="181"/>
        <v>-</v>
      </c>
      <c r="CH127" s="1397" t="str">
        <f t="shared" si="181"/>
        <v>-</v>
      </c>
      <c r="CI127" s="1395" t="str">
        <f t="shared" si="181"/>
        <v>-</v>
      </c>
      <c r="CJ127" s="1395" t="str">
        <f t="shared" si="181"/>
        <v>-</v>
      </c>
      <c r="CK127" s="1395" t="str">
        <f t="shared" si="181"/>
        <v>-</v>
      </c>
      <c r="CL127" s="1395" t="str">
        <f t="shared" si="181"/>
        <v>-</v>
      </c>
      <c r="CM127" s="1397" t="str">
        <f t="shared" si="181"/>
        <v>-</v>
      </c>
      <c r="CN127" s="1395" t="str">
        <f t="shared" si="181"/>
        <v>-</v>
      </c>
      <c r="CO127" s="1395" t="str">
        <f t="shared" si="181"/>
        <v>-</v>
      </c>
      <c r="CP127" s="1395" t="str">
        <f t="shared" si="181"/>
        <v>-</v>
      </c>
      <c r="CQ127" s="1395" t="str">
        <f t="shared" si="181"/>
        <v>-</v>
      </c>
      <c r="CR127" s="1398" t="str">
        <f t="shared" si="181"/>
        <v>-</v>
      </c>
      <c r="CS127" s="1378"/>
      <c r="CT127" s="1392" t="str">
        <f t="shared" si="34"/>
        <v>Qty</v>
      </c>
      <c r="CU127" s="1393" t="str">
        <f t="shared" si="35"/>
        <v>[Service]</v>
      </c>
      <c r="CV127" s="1393" t="str">
        <f t="shared" si="36"/>
        <v>[Price]</v>
      </c>
      <c r="CW127" s="1401" t="str">
        <f t="shared" si="62"/>
        <v>-</v>
      </c>
      <c r="CX127" s="1395" t="str">
        <f t="shared" si="63"/>
        <v>-</v>
      </c>
      <c r="CY127" s="1395" t="str">
        <f t="shared" si="64"/>
        <v>-</v>
      </c>
      <c r="CZ127" s="1397" t="str">
        <f t="shared" si="65"/>
        <v>-</v>
      </c>
      <c r="DA127" s="1395" t="str">
        <f t="shared" si="66"/>
        <v>-</v>
      </c>
      <c r="DB127" s="1395" t="str">
        <f t="shared" si="67"/>
        <v>-</v>
      </c>
      <c r="DC127" s="1395" t="str">
        <f t="shared" si="68"/>
        <v>-</v>
      </c>
      <c r="DD127" s="1395" t="str">
        <f t="shared" si="69"/>
        <v>-</v>
      </c>
      <c r="DE127" s="1398" t="str">
        <f t="shared" si="70"/>
        <v>-</v>
      </c>
      <c r="DF127" s="1378"/>
      <c r="DG127" s="1392" t="str">
        <f t="shared" si="81"/>
        <v>Qty</v>
      </c>
      <c r="DH127" s="1393" t="str">
        <f t="shared" si="81"/>
        <v>[Service]</v>
      </c>
      <c r="DI127" s="1393" t="str">
        <f t="shared" si="81"/>
        <v>[Price]</v>
      </c>
      <c r="DJ127" s="1401" t="str">
        <f t="shared" si="71"/>
        <v>-</v>
      </c>
      <c r="DK127" s="1395" t="str">
        <f t="shared" si="72"/>
        <v>-</v>
      </c>
      <c r="DL127" s="1395" t="str">
        <f t="shared" si="73"/>
        <v>-</v>
      </c>
      <c r="DM127" s="1397" t="str">
        <f t="shared" si="74"/>
        <v>-</v>
      </c>
      <c r="DN127" s="1395" t="str">
        <f t="shared" si="75"/>
        <v>-</v>
      </c>
      <c r="DO127" s="1395" t="str">
        <f t="shared" si="76"/>
        <v>-</v>
      </c>
      <c r="DP127" s="1395" t="str">
        <f t="shared" si="77"/>
        <v>-</v>
      </c>
      <c r="DQ127" s="1398" t="str">
        <f t="shared" si="78"/>
        <v>-</v>
      </c>
    </row>
    <row r="128" spans="4:121" ht="12.75" thickBot="1">
      <c r="E128" s="743" t="s">
        <v>46</v>
      </c>
      <c r="F128" s="732" t="str">
        <f>+F126</f>
        <v>[Service]</v>
      </c>
      <c r="G128" s="733">
        <f>+G126</f>
        <v>0</v>
      </c>
      <c r="H128" s="733">
        <f>+H126</f>
        <v>0</v>
      </c>
      <c r="I128" s="734" t="str">
        <f>+I126</f>
        <v>[Price]</v>
      </c>
      <c r="J128" s="735" t="s">
        <v>344</v>
      </c>
      <c r="K128" s="736">
        <f t="shared" ref="K128:AG128" si="182">K126*K127/10^6</f>
        <v>0</v>
      </c>
      <c r="L128" s="737">
        <f t="shared" si="182"/>
        <v>0</v>
      </c>
      <c r="M128" s="737">
        <f t="shared" si="182"/>
        <v>0</v>
      </c>
      <c r="N128" s="738">
        <f t="shared" si="182"/>
        <v>0</v>
      </c>
      <c r="O128" s="737">
        <f t="shared" si="182"/>
        <v>0</v>
      </c>
      <c r="P128" s="738">
        <f t="shared" si="182"/>
        <v>0</v>
      </c>
      <c r="Q128" s="737">
        <f t="shared" si="182"/>
        <v>0</v>
      </c>
      <c r="R128" s="737">
        <f t="shared" si="182"/>
        <v>0</v>
      </c>
      <c r="S128" s="737">
        <f t="shared" si="182"/>
        <v>0</v>
      </c>
      <c r="T128" s="737">
        <f t="shared" si="182"/>
        <v>0</v>
      </c>
      <c r="U128" s="737">
        <f t="shared" si="182"/>
        <v>0</v>
      </c>
      <c r="V128" s="737">
        <f t="shared" si="182"/>
        <v>0</v>
      </c>
      <c r="W128" s="737">
        <f t="shared" si="182"/>
        <v>0</v>
      </c>
      <c r="X128" s="738">
        <f t="shared" si="182"/>
        <v>0</v>
      </c>
      <c r="Y128" s="737">
        <f t="shared" si="182"/>
        <v>0</v>
      </c>
      <c r="Z128" s="737">
        <f t="shared" si="182"/>
        <v>0</v>
      </c>
      <c r="AA128" s="737">
        <f t="shared" si="182"/>
        <v>0</v>
      </c>
      <c r="AB128" s="737">
        <f t="shared" si="182"/>
        <v>0</v>
      </c>
      <c r="AC128" s="738">
        <f t="shared" si="182"/>
        <v>0</v>
      </c>
      <c r="AD128" s="737">
        <f t="shared" si="182"/>
        <v>0</v>
      </c>
      <c r="AE128" s="737">
        <f t="shared" si="182"/>
        <v>0</v>
      </c>
      <c r="AF128" s="737">
        <f t="shared" si="182"/>
        <v>0</v>
      </c>
      <c r="AG128" s="739">
        <f t="shared" si="182"/>
        <v>0</v>
      </c>
      <c r="AH128" s="823"/>
      <c r="AI128" s="744"/>
      <c r="AJ128" s="741"/>
      <c r="AK128" s="729"/>
      <c r="AL128" s="729"/>
      <c r="AM128" s="729"/>
      <c r="AN128" s="729"/>
      <c r="AO128" s="730"/>
      <c r="AP128" s="74"/>
      <c r="AQ128" s="74"/>
      <c r="AR128" s="74"/>
      <c r="AS128" s="106"/>
      <c r="AW128" s="1428" t="str">
        <f t="shared" si="79"/>
        <v>Rev</v>
      </c>
      <c r="AX128" s="1429" t="str">
        <f t="shared" si="41"/>
        <v>[Service]</v>
      </c>
      <c r="AY128" s="1430" t="str">
        <f t="shared" si="42"/>
        <v>[Price]</v>
      </c>
      <c r="AZ128" s="1431" t="str">
        <f t="shared" si="164"/>
        <v>-</v>
      </c>
      <c r="BA128" s="1431" t="str">
        <f t="shared" si="164"/>
        <v>-</v>
      </c>
      <c r="BB128" s="1431" t="str">
        <f t="shared" si="164"/>
        <v>-</v>
      </c>
      <c r="BC128" s="1431" t="str">
        <f t="shared" si="164"/>
        <v>-</v>
      </c>
      <c r="BD128" s="1431" t="str">
        <f t="shared" si="44"/>
        <v>-</v>
      </c>
      <c r="BE128" s="1431" t="str">
        <f t="shared" si="45"/>
        <v>-</v>
      </c>
      <c r="BF128" s="1431" t="str">
        <f t="shared" si="46"/>
        <v>-</v>
      </c>
      <c r="BG128" s="1432" t="str">
        <f t="shared" si="47"/>
        <v>-</v>
      </c>
      <c r="BH128" s="1431" t="str">
        <f t="shared" si="48"/>
        <v>-</v>
      </c>
      <c r="BI128" s="1431" t="str">
        <f t="shared" si="49"/>
        <v>-</v>
      </c>
      <c r="BJ128" s="1431" t="str">
        <f t="shared" si="50"/>
        <v>-</v>
      </c>
      <c r="BK128" s="1431" t="str">
        <f t="shared" si="51"/>
        <v>-</v>
      </c>
      <c r="BL128" s="1433" t="str">
        <f t="shared" si="52"/>
        <v>-</v>
      </c>
      <c r="BM128" s="1431" t="str">
        <f t="shared" si="53"/>
        <v>-</v>
      </c>
      <c r="BN128" s="1431" t="str">
        <f t="shared" si="54"/>
        <v>-</v>
      </c>
      <c r="BO128" s="1431" t="str">
        <f t="shared" si="55"/>
        <v>-</v>
      </c>
      <c r="BP128" s="1431" t="str">
        <f t="shared" si="56"/>
        <v>-</v>
      </c>
      <c r="BQ128" s="1434" t="str">
        <f t="shared" si="57"/>
        <v>-</v>
      </c>
      <c r="BR128" s="1378"/>
      <c r="BS128" s="1407"/>
      <c r="BT128" s="1408"/>
      <c r="BU128" s="1409"/>
      <c r="BV128" s="1410"/>
      <c r="BW128" s="1378"/>
      <c r="BX128" s="1428" t="str">
        <f t="shared" si="58"/>
        <v>Rev</v>
      </c>
      <c r="BY128" s="1429" t="str">
        <f t="shared" si="105"/>
        <v>[Service]</v>
      </c>
      <c r="BZ128" s="1430" t="str">
        <f t="shared" si="106"/>
        <v>[Price]</v>
      </c>
      <c r="CA128" s="1435" t="str">
        <f>IFERROR((S128/R128-1)*(R128/R$13),"-")</f>
        <v>-</v>
      </c>
      <c r="CB128" s="1431" t="str">
        <f>IFERROR((T128/S128-1)*(S128/S$13),"-")</f>
        <v>-</v>
      </c>
      <c r="CC128" s="1431" t="str">
        <f>IFERROR((U128/T128-1)*(T128/T$13),"-")</f>
        <v>-</v>
      </c>
      <c r="CD128" s="1431" t="str">
        <f>IFERROR((V128/U128-1)*(U128/U$13),"-")</f>
        <v>-</v>
      </c>
      <c r="CE128" s="1431" t="str">
        <f t="shared" ref="CE128:CR128" si="183">IFERROR((T128/S128-1)*(S128/S$13),"-")</f>
        <v>-</v>
      </c>
      <c r="CF128" s="1431" t="str">
        <f t="shared" si="183"/>
        <v>-</v>
      </c>
      <c r="CG128" s="1431" t="str">
        <f t="shared" si="183"/>
        <v>-</v>
      </c>
      <c r="CH128" s="1433" t="str">
        <f t="shared" si="183"/>
        <v>-</v>
      </c>
      <c r="CI128" s="1431" t="str">
        <f t="shared" si="183"/>
        <v>-</v>
      </c>
      <c r="CJ128" s="1431" t="str">
        <f t="shared" si="183"/>
        <v>-</v>
      </c>
      <c r="CK128" s="1431" t="str">
        <f t="shared" si="183"/>
        <v>-</v>
      </c>
      <c r="CL128" s="1431" t="str">
        <f t="shared" si="183"/>
        <v>-</v>
      </c>
      <c r="CM128" s="1433" t="str">
        <f t="shared" si="183"/>
        <v>-</v>
      </c>
      <c r="CN128" s="1431" t="str">
        <f t="shared" si="183"/>
        <v>-</v>
      </c>
      <c r="CO128" s="1431" t="str">
        <f t="shared" si="183"/>
        <v>-</v>
      </c>
      <c r="CP128" s="1431" t="str">
        <f t="shared" si="183"/>
        <v>-</v>
      </c>
      <c r="CQ128" s="1431" t="str">
        <f t="shared" si="183"/>
        <v>-</v>
      </c>
      <c r="CR128" s="1434" t="str">
        <f t="shared" si="183"/>
        <v>-</v>
      </c>
      <c r="CS128" s="1378"/>
      <c r="CT128" s="1428" t="str">
        <f t="shared" si="34"/>
        <v>Rev</v>
      </c>
      <c r="CU128" s="1429" t="str">
        <f t="shared" si="35"/>
        <v>[Service]</v>
      </c>
      <c r="CV128" s="1429" t="str">
        <f t="shared" si="36"/>
        <v>[Price]</v>
      </c>
      <c r="CW128" s="1435" t="str">
        <f t="shared" si="62"/>
        <v>-</v>
      </c>
      <c r="CX128" s="1431" t="str">
        <f t="shared" si="63"/>
        <v>-</v>
      </c>
      <c r="CY128" s="1431" t="str">
        <f t="shared" si="64"/>
        <v>-</v>
      </c>
      <c r="CZ128" s="1433" t="str">
        <f t="shared" si="65"/>
        <v>-</v>
      </c>
      <c r="DA128" s="1431" t="str">
        <f t="shared" si="66"/>
        <v>-</v>
      </c>
      <c r="DB128" s="1431" t="str">
        <f t="shared" si="67"/>
        <v>-</v>
      </c>
      <c r="DC128" s="1431" t="str">
        <f t="shared" si="68"/>
        <v>-</v>
      </c>
      <c r="DD128" s="1431" t="str">
        <f t="shared" si="69"/>
        <v>-</v>
      </c>
      <c r="DE128" s="1434" t="str">
        <f t="shared" si="70"/>
        <v>-</v>
      </c>
      <c r="DF128" s="1378"/>
      <c r="DG128" s="1428" t="str">
        <f t="shared" si="81"/>
        <v>Rev</v>
      </c>
      <c r="DH128" s="1429" t="str">
        <f t="shared" si="81"/>
        <v>[Service]</v>
      </c>
      <c r="DI128" s="1429" t="str">
        <f t="shared" si="81"/>
        <v>[Price]</v>
      </c>
      <c r="DJ128" s="1435" t="str">
        <f t="shared" si="71"/>
        <v>-</v>
      </c>
      <c r="DK128" s="1431" t="str">
        <f t="shared" si="72"/>
        <v>-</v>
      </c>
      <c r="DL128" s="1431" t="str">
        <f t="shared" si="73"/>
        <v>-</v>
      </c>
      <c r="DM128" s="1433" t="str">
        <f t="shared" si="74"/>
        <v>-</v>
      </c>
      <c r="DN128" s="1431" t="str">
        <f t="shared" si="75"/>
        <v>-</v>
      </c>
      <c r="DO128" s="1431" t="str">
        <f t="shared" si="76"/>
        <v>-</v>
      </c>
      <c r="DP128" s="1431" t="str">
        <f t="shared" si="77"/>
        <v>-</v>
      </c>
      <c r="DQ128" s="1434" t="str">
        <f t="shared" si="78"/>
        <v>-</v>
      </c>
    </row>
    <row r="129" spans="4:121">
      <c r="D129" s="70">
        <f>D126+1</f>
        <v>21</v>
      </c>
      <c r="E129" s="713" t="s">
        <v>44</v>
      </c>
      <c r="F129" s="789" t="s">
        <v>27</v>
      </c>
      <c r="G129" s="789"/>
      <c r="H129" s="789"/>
      <c r="I129" s="781" t="s">
        <v>318</v>
      </c>
      <c r="J129" s="781" t="s">
        <v>345</v>
      </c>
      <c r="K129" s="714"/>
      <c r="L129" s="715"/>
      <c r="M129" s="715"/>
      <c r="N129" s="716"/>
      <c r="O129" s="783"/>
      <c r="P129" s="784"/>
      <c r="Q129" s="783"/>
      <c r="R129" s="783"/>
      <c r="S129" s="783"/>
      <c r="T129" s="783"/>
      <c r="U129" s="783"/>
      <c r="V129" s="783"/>
      <c r="W129" s="783"/>
      <c r="X129" s="784"/>
      <c r="Y129" s="783"/>
      <c r="Z129" s="783"/>
      <c r="AA129" s="783"/>
      <c r="AB129" s="783"/>
      <c r="AC129" s="784"/>
      <c r="AD129" s="783"/>
      <c r="AE129" s="783"/>
      <c r="AF129" s="783"/>
      <c r="AG129" s="785"/>
      <c r="AI129" s="702"/>
      <c r="AJ129" s="717" t="str">
        <f t="shared" ref="AJ129:AS129" si="184">IFERROR((X129-W129)/W129,"")</f>
        <v/>
      </c>
      <c r="AK129" s="718" t="str">
        <f t="shared" si="184"/>
        <v/>
      </c>
      <c r="AL129" s="718" t="str">
        <f t="shared" si="184"/>
        <v/>
      </c>
      <c r="AM129" s="718" t="str">
        <f t="shared" si="184"/>
        <v/>
      </c>
      <c r="AN129" s="718" t="str">
        <f t="shared" si="184"/>
        <v/>
      </c>
      <c r="AO129" s="719" t="str">
        <f t="shared" si="184"/>
        <v/>
      </c>
      <c r="AP129" s="494" t="str">
        <f t="shared" si="184"/>
        <v/>
      </c>
      <c r="AQ129" s="494" t="str">
        <f t="shared" si="184"/>
        <v/>
      </c>
      <c r="AR129" s="494" t="str">
        <f t="shared" si="184"/>
        <v/>
      </c>
      <c r="AS129" s="720" t="str">
        <f t="shared" si="184"/>
        <v/>
      </c>
      <c r="AU129" s="1369"/>
      <c r="AW129" s="1412" t="str">
        <f t="shared" si="79"/>
        <v>Price</v>
      </c>
      <c r="AX129" s="1413" t="str">
        <f t="shared" si="41"/>
        <v>[Service]</v>
      </c>
      <c r="AY129" s="1414" t="str">
        <f t="shared" si="42"/>
        <v>[Price]</v>
      </c>
      <c r="AZ129" s="1415" t="str">
        <f t="shared" si="164"/>
        <v>-</v>
      </c>
      <c r="BA129" s="1415" t="str">
        <f t="shared" si="164"/>
        <v>-</v>
      </c>
      <c r="BB129" s="1415" t="str">
        <f t="shared" si="164"/>
        <v>-</v>
      </c>
      <c r="BC129" s="1415" t="str">
        <f t="shared" si="164"/>
        <v>-</v>
      </c>
      <c r="BD129" s="1415" t="str">
        <f t="shared" si="44"/>
        <v>-</v>
      </c>
      <c r="BE129" s="1415" t="str">
        <f t="shared" si="45"/>
        <v>-</v>
      </c>
      <c r="BF129" s="1415" t="str">
        <f t="shared" si="46"/>
        <v>-</v>
      </c>
      <c r="BG129" s="1416" t="str">
        <f t="shared" si="47"/>
        <v>-</v>
      </c>
      <c r="BH129" s="1417" t="str">
        <f t="shared" si="48"/>
        <v>-</v>
      </c>
      <c r="BI129" s="1417" t="str">
        <f t="shared" si="49"/>
        <v>-</v>
      </c>
      <c r="BJ129" s="1417" t="str">
        <f t="shared" si="50"/>
        <v>-</v>
      </c>
      <c r="BK129" s="1417" t="str">
        <f t="shared" si="51"/>
        <v>-</v>
      </c>
      <c r="BL129" s="1418" t="str">
        <f t="shared" si="52"/>
        <v>-</v>
      </c>
      <c r="BM129" s="1417" t="str">
        <f t="shared" si="53"/>
        <v>-</v>
      </c>
      <c r="BN129" s="1417" t="str">
        <f t="shared" si="54"/>
        <v>-</v>
      </c>
      <c r="BO129" s="1417" t="str">
        <f t="shared" si="55"/>
        <v>-</v>
      </c>
      <c r="BP129" s="1417" t="str">
        <f t="shared" si="56"/>
        <v>-</v>
      </c>
      <c r="BQ129" s="1419" t="str">
        <f t="shared" si="57"/>
        <v>-</v>
      </c>
      <c r="BR129" s="1378"/>
      <c r="BS129" s="1420"/>
      <c r="BT129" s="1421"/>
      <c r="BU129" s="1422"/>
      <c r="BV129" s="1423"/>
      <c r="BW129" s="1378"/>
      <c r="BX129" s="1412" t="str">
        <f t="shared" si="58"/>
        <v>Price</v>
      </c>
      <c r="BY129" s="1413" t="str">
        <f t="shared" si="105"/>
        <v>[Service]</v>
      </c>
      <c r="BZ129" s="1414" t="str">
        <f t="shared" si="106"/>
        <v>[Price]</v>
      </c>
      <c r="CA129" s="1424" t="str">
        <f>IFERROR((S129/R129-1)*(R131/R$13),"-")</f>
        <v>-</v>
      </c>
      <c r="CB129" s="1415" t="str">
        <f>IFERROR((T129/S129-1)*(S131/S$13),"-")</f>
        <v>-</v>
      </c>
      <c r="CC129" s="1415" t="str">
        <f>IFERROR((U129/T129-1)*(T131/T$13),"-")</f>
        <v>-</v>
      </c>
      <c r="CD129" s="1415" t="str">
        <f>IFERROR((V129/U129-1)*(U131/U$13),"-")</f>
        <v>-</v>
      </c>
      <c r="CE129" s="1415" t="str">
        <f t="shared" ref="CE129:CR129" si="185">IFERROR((T129/S129-1)*(S131/S$13),"-")</f>
        <v>-</v>
      </c>
      <c r="CF129" s="1415" t="str">
        <f t="shared" si="185"/>
        <v>-</v>
      </c>
      <c r="CG129" s="1415" t="str">
        <f t="shared" si="185"/>
        <v>-</v>
      </c>
      <c r="CH129" s="1425" t="str">
        <f t="shared" si="185"/>
        <v>-</v>
      </c>
      <c r="CI129" s="1417" t="str">
        <f t="shared" si="185"/>
        <v>-</v>
      </c>
      <c r="CJ129" s="1417" t="str">
        <f t="shared" si="185"/>
        <v>-</v>
      </c>
      <c r="CK129" s="1417" t="str">
        <f t="shared" si="185"/>
        <v>-</v>
      </c>
      <c r="CL129" s="1417" t="str">
        <f t="shared" si="185"/>
        <v>-</v>
      </c>
      <c r="CM129" s="1418" t="str">
        <f t="shared" si="185"/>
        <v>-</v>
      </c>
      <c r="CN129" s="1417" t="str">
        <f t="shared" si="185"/>
        <v>-</v>
      </c>
      <c r="CO129" s="1417" t="str">
        <f t="shared" si="185"/>
        <v>-</v>
      </c>
      <c r="CP129" s="1417" t="str">
        <f t="shared" si="185"/>
        <v>-</v>
      </c>
      <c r="CQ129" s="1417" t="str">
        <f t="shared" si="185"/>
        <v>-</v>
      </c>
      <c r="CR129" s="1419" t="str">
        <f t="shared" si="185"/>
        <v>-</v>
      </c>
      <c r="CS129" s="1378"/>
      <c r="CT129" s="1412" t="str">
        <f t="shared" si="34"/>
        <v>Price</v>
      </c>
      <c r="CU129" s="1413" t="str">
        <f t="shared" si="35"/>
        <v>[Service]</v>
      </c>
      <c r="CV129" s="1426" t="str">
        <f t="shared" si="36"/>
        <v>[Price]</v>
      </c>
      <c r="CW129" s="1427" t="str">
        <f t="shared" si="62"/>
        <v>-</v>
      </c>
      <c r="CX129" s="1417" t="str">
        <f t="shared" si="63"/>
        <v>-</v>
      </c>
      <c r="CY129" s="1417" t="str">
        <f t="shared" si="64"/>
        <v>-</v>
      </c>
      <c r="CZ129" s="1418" t="str">
        <f t="shared" si="65"/>
        <v>-</v>
      </c>
      <c r="DA129" s="1417" t="str">
        <f t="shared" si="66"/>
        <v>-</v>
      </c>
      <c r="DB129" s="1417" t="str">
        <f t="shared" si="67"/>
        <v>-</v>
      </c>
      <c r="DC129" s="1417" t="str">
        <f t="shared" si="68"/>
        <v>-</v>
      </c>
      <c r="DD129" s="1417" t="str">
        <f t="shared" si="69"/>
        <v>-</v>
      </c>
      <c r="DE129" s="1419" t="str">
        <f t="shared" si="70"/>
        <v>-</v>
      </c>
      <c r="DF129" s="1378"/>
      <c r="DG129" s="1412" t="str">
        <f t="shared" si="81"/>
        <v>Price</v>
      </c>
      <c r="DH129" s="1413" t="str">
        <f t="shared" si="81"/>
        <v>[Service]</v>
      </c>
      <c r="DI129" s="1426" t="str">
        <f t="shared" si="81"/>
        <v>[Price]</v>
      </c>
      <c r="DJ129" s="1427" t="str">
        <f t="shared" si="71"/>
        <v>-</v>
      </c>
      <c r="DK129" s="1417" t="str">
        <f t="shared" si="72"/>
        <v>-</v>
      </c>
      <c r="DL129" s="1417" t="str">
        <f t="shared" si="73"/>
        <v>-</v>
      </c>
      <c r="DM129" s="1418" t="str">
        <f t="shared" si="74"/>
        <v>-</v>
      </c>
      <c r="DN129" s="1417" t="str">
        <f t="shared" si="75"/>
        <v>-</v>
      </c>
      <c r="DO129" s="1417" t="str">
        <f t="shared" si="76"/>
        <v>-</v>
      </c>
      <c r="DP129" s="1417" t="str">
        <f t="shared" si="77"/>
        <v>-</v>
      </c>
      <c r="DQ129" s="1419" t="str">
        <f t="shared" si="78"/>
        <v>-</v>
      </c>
    </row>
    <row r="130" spans="4:121">
      <c r="E130" s="742" t="s">
        <v>45</v>
      </c>
      <c r="F130" s="722" t="str">
        <f>+F129</f>
        <v>[Service]</v>
      </c>
      <c r="G130" s="723">
        <f>+G129</f>
        <v>0</v>
      </c>
      <c r="H130" s="723">
        <f>+H129</f>
        <v>0</v>
      </c>
      <c r="I130" s="724" t="str">
        <f>+I129</f>
        <v>[Price]</v>
      </c>
      <c r="J130" s="782" t="s">
        <v>322</v>
      </c>
      <c r="K130" s="725"/>
      <c r="L130" s="726"/>
      <c r="M130" s="726"/>
      <c r="N130" s="727"/>
      <c r="O130" s="786"/>
      <c r="P130" s="787"/>
      <c r="Q130" s="786"/>
      <c r="R130" s="786"/>
      <c r="S130" s="786"/>
      <c r="T130" s="786"/>
      <c r="U130" s="786"/>
      <c r="V130" s="786"/>
      <c r="W130" s="786"/>
      <c r="X130" s="787"/>
      <c r="Y130" s="786"/>
      <c r="Z130" s="786"/>
      <c r="AA130" s="786"/>
      <c r="AB130" s="786"/>
      <c r="AC130" s="787"/>
      <c r="AD130" s="786"/>
      <c r="AE130" s="786"/>
      <c r="AF130" s="786"/>
      <c r="AG130" s="788"/>
      <c r="AH130" s="823"/>
      <c r="AI130" s="702"/>
      <c r="AJ130" s="728"/>
      <c r="AK130" s="729"/>
      <c r="AL130" s="729"/>
      <c r="AM130" s="729"/>
      <c r="AN130" s="729"/>
      <c r="AO130" s="730"/>
      <c r="AP130" s="74"/>
      <c r="AQ130" s="74"/>
      <c r="AR130" s="74"/>
      <c r="AS130" s="106"/>
      <c r="AW130" s="1392" t="str">
        <f t="shared" si="79"/>
        <v>Qty</v>
      </c>
      <c r="AX130" s="1393" t="str">
        <f t="shared" si="41"/>
        <v>[Service]</v>
      </c>
      <c r="AY130" s="1394" t="str">
        <f t="shared" si="42"/>
        <v>[Price]</v>
      </c>
      <c r="AZ130" s="1395" t="str">
        <f t="shared" si="164"/>
        <v>-</v>
      </c>
      <c r="BA130" s="1395" t="str">
        <f t="shared" si="164"/>
        <v>-</v>
      </c>
      <c r="BB130" s="1395" t="str">
        <f t="shared" si="164"/>
        <v>-</v>
      </c>
      <c r="BC130" s="1395" t="str">
        <f t="shared" si="164"/>
        <v>-</v>
      </c>
      <c r="BD130" s="1395" t="str">
        <f t="shared" si="44"/>
        <v>-</v>
      </c>
      <c r="BE130" s="1395" t="str">
        <f t="shared" si="45"/>
        <v>-</v>
      </c>
      <c r="BF130" s="1395" t="str">
        <f t="shared" si="46"/>
        <v>-</v>
      </c>
      <c r="BG130" s="1396" t="str">
        <f t="shared" si="47"/>
        <v>-</v>
      </c>
      <c r="BH130" s="1395" t="str">
        <f t="shared" si="48"/>
        <v>-</v>
      </c>
      <c r="BI130" s="1395" t="str">
        <f t="shared" si="49"/>
        <v>-</v>
      </c>
      <c r="BJ130" s="1395" t="str">
        <f t="shared" si="50"/>
        <v>-</v>
      </c>
      <c r="BK130" s="1395" t="str">
        <f t="shared" si="51"/>
        <v>-</v>
      </c>
      <c r="BL130" s="1397" t="str">
        <f t="shared" si="52"/>
        <v>-</v>
      </c>
      <c r="BM130" s="1395" t="str">
        <f t="shared" si="53"/>
        <v>-</v>
      </c>
      <c r="BN130" s="1395" t="str">
        <f t="shared" si="54"/>
        <v>-</v>
      </c>
      <c r="BO130" s="1395" t="str">
        <f t="shared" si="55"/>
        <v>-</v>
      </c>
      <c r="BP130" s="1395" t="str">
        <f t="shared" si="56"/>
        <v>-</v>
      </c>
      <c r="BQ130" s="1398" t="str">
        <f t="shared" si="57"/>
        <v>-</v>
      </c>
      <c r="BR130" s="1378"/>
      <c r="BS130" s="1329"/>
      <c r="BT130" s="1399"/>
      <c r="BU130" s="1331"/>
      <c r="BV130" s="1400"/>
      <c r="BW130" s="1378"/>
      <c r="BX130" s="1392" t="str">
        <f t="shared" si="58"/>
        <v>Qty</v>
      </c>
      <c r="BY130" s="1393" t="str">
        <f t="shared" si="105"/>
        <v>[Service]</v>
      </c>
      <c r="BZ130" s="1394" t="str">
        <f t="shared" si="106"/>
        <v>[Price]</v>
      </c>
      <c r="CA130" s="1401" t="str">
        <f>IFERROR((S130/R130-1)*(R131/R$13),"-")</f>
        <v>-</v>
      </c>
      <c r="CB130" s="1395" t="str">
        <f>IFERROR((T130/S130-1)*(S131/S$13),"-")</f>
        <v>-</v>
      </c>
      <c r="CC130" s="1395" t="str">
        <f>IFERROR((U130/T130-1)*(T131/T$13),"-")</f>
        <v>-</v>
      </c>
      <c r="CD130" s="1395" t="str">
        <f>IFERROR((V130/U130-1)*(U131/U$13),"-")</f>
        <v>-</v>
      </c>
      <c r="CE130" s="1395" t="str">
        <f t="shared" ref="CE130:CR130" si="186">IFERROR((T130/S130-1)*(S131/S$13),"-")</f>
        <v>-</v>
      </c>
      <c r="CF130" s="1395" t="str">
        <f t="shared" si="186"/>
        <v>-</v>
      </c>
      <c r="CG130" s="1395" t="str">
        <f t="shared" si="186"/>
        <v>-</v>
      </c>
      <c r="CH130" s="1397" t="str">
        <f t="shared" si="186"/>
        <v>-</v>
      </c>
      <c r="CI130" s="1395" t="str">
        <f t="shared" si="186"/>
        <v>-</v>
      </c>
      <c r="CJ130" s="1395" t="str">
        <f t="shared" si="186"/>
        <v>-</v>
      </c>
      <c r="CK130" s="1395" t="str">
        <f t="shared" si="186"/>
        <v>-</v>
      </c>
      <c r="CL130" s="1395" t="str">
        <f t="shared" si="186"/>
        <v>-</v>
      </c>
      <c r="CM130" s="1397" t="str">
        <f t="shared" si="186"/>
        <v>-</v>
      </c>
      <c r="CN130" s="1395" t="str">
        <f t="shared" si="186"/>
        <v>-</v>
      </c>
      <c r="CO130" s="1395" t="str">
        <f t="shared" si="186"/>
        <v>-</v>
      </c>
      <c r="CP130" s="1395" t="str">
        <f t="shared" si="186"/>
        <v>-</v>
      </c>
      <c r="CQ130" s="1395" t="str">
        <f t="shared" si="186"/>
        <v>-</v>
      </c>
      <c r="CR130" s="1398" t="str">
        <f t="shared" si="186"/>
        <v>-</v>
      </c>
      <c r="CS130" s="1378"/>
      <c r="CT130" s="1392" t="str">
        <f t="shared" si="34"/>
        <v>Qty</v>
      </c>
      <c r="CU130" s="1393" t="str">
        <f t="shared" si="35"/>
        <v>[Service]</v>
      </c>
      <c r="CV130" s="1393" t="str">
        <f t="shared" si="36"/>
        <v>[Price]</v>
      </c>
      <c r="CW130" s="1401" t="str">
        <f t="shared" si="62"/>
        <v>-</v>
      </c>
      <c r="CX130" s="1395" t="str">
        <f t="shared" si="63"/>
        <v>-</v>
      </c>
      <c r="CY130" s="1395" t="str">
        <f t="shared" si="64"/>
        <v>-</v>
      </c>
      <c r="CZ130" s="1397" t="str">
        <f t="shared" si="65"/>
        <v>-</v>
      </c>
      <c r="DA130" s="1395" t="str">
        <f t="shared" si="66"/>
        <v>-</v>
      </c>
      <c r="DB130" s="1395" t="str">
        <f t="shared" si="67"/>
        <v>-</v>
      </c>
      <c r="DC130" s="1395" t="str">
        <f t="shared" si="68"/>
        <v>-</v>
      </c>
      <c r="DD130" s="1395" t="str">
        <f t="shared" si="69"/>
        <v>-</v>
      </c>
      <c r="DE130" s="1398" t="str">
        <f t="shared" si="70"/>
        <v>-</v>
      </c>
      <c r="DF130" s="1378"/>
      <c r="DG130" s="1392" t="str">
        <f t="shared" si="81"/>
        <v>Qty</v>
      </c>
      <c r="DH130" s="1393" t="str">
        <f t="shared" si="81"/>
        <v>[Service]</v>
      </c>
      <c r="DI130" s="1393" t="str">
        <f t="shared" si="81"/>
        <v>[Price]</v>
      </c>
      <c r="DJ130" s="1401" t="str">
        <f t="shared" si="71"/>
        <v>-</v>
      </c>
      <c r="DK130" s="1395" t="str">
        <f t="shared" si="72"/>
        <v>-</v>
      </c>
      <c r="DL130" s="1395" t="str">
        <f t="shared" si="73"/>
        <v>-</v>
      </c>
      <c r="DM130" s="1397" t="str">
        <f t="shared" si="74"/>
        <v>-</v>
      </c>
      <c r="DN130" s="1395" t="str">
        <f t="shared" si="75"/>
        <v>-</v>
      </c>
      <c r="DO130" s="1395" t="str">
        <f t="shared" si="76"/>
        <v>-</v>
      </c>
      <c r="DP130" s="1395" t="str">
        <f t="shared" si="77"/>
        <v>-</v>
      </c>
      <c r="DQ130" s="1398" t="str">
        <f t="shared" si="78"/>
        <v>-</v>
      </c>
    </row>
    <row r="131" spans="4:121" ht="12.75" thickBot="1">
      <c r="E131" s="743" t="s">
        <v>46</v>
      </c>
      <c r="F131" s="732" t="str">
        <f>+F129</f>
        <v>[Service]</v>
      </c>
      <c r="G131" s="733">
        <f>+G129</f>
        <v>0</v>
      </c>
      <c r="H131" s="733">
        <f>+H129</f>
        <v>0</v>
      </c>
      <c r="I131" s="734" t="str">
        <f>+I129</f>
        <v>[Price]</v>
      </c>
      <c r="J131" s="735" t="s">
        <v>344</v>
      </c>
      <c r="K131" s="736">
        <f t="shared" ref="K131:AG131" si="187">K129*K130/10^6</f>
        <v>0</v>
      </c>
      <c r="L131" s="737">
        <f t="shared" si="187"/>
        <v>0</v>
      </c>
      <c r="M131" s="737">
        <f t="shared" si="187"/>
        <v>0</v>
      </c>
      <c r="N131" s="738">
        <f t="shared" si="187"/>
        <v>0</v>
      </c>
      <c r="O131" s="737">
        <f t="shared" si="187"/>
        <v>0</v>
      </c>
      <c r="P131" s="738">
        <f t="shared" si="187"/>
        <v>0</v>
      </c>
      <c r="Q131" s="737">
        <f t="shared" si="187"/>
        <v>0</v>
      </c>
      <c r="R131" s="737">
        <f t="shared" si="187"/>
        <v>0</v>
      </c>
      <c r="S131" s="737">
        <f t="shared" si="187"/>
        <v>0</v>
      </c>
      <c r="T131" s="737">
        <f t="shared" si="187"/>
        <v>0</v>
      </c>
      <c r="U131" s="737">
        <f t="shared" si="187"/>
        <v>0</v>
      </c>
      <c r="V131" s="737">
        <f t="shared" si="187"/>
        <v>0</v>
      </c>
      <c r="W131" s="737">
        <f t="shared" si="187"/>
        <v>0</v>
      </c>
      <c r="X131" s="738">
        <f t="shared" si="187"/>
        <v>0</v>
      </c>
      <c r="Y131" s="737">
        <f t="shared" si="187"/>
        <v>0</v>
      </c>
      <c r="Z131" s="737">
        <f t="shared" si="187"/>
        <v>0</v>
      </c>
      <c r="AA131" s="737">
        <f t="shared" si="187"/>
        <v>0</v>
      </c>
      <c r="AB131" s="737">
        <f t="shared" si="187"/>
        <v>0</v>
      </c>
      <c r="AC131" s="738">
        <f t="shared" si="187"/>
        <v>0</v>
      </c>
      <c r="AD131" s="737">
        <f t="shared" si="187"/>
        <v>0</v>
      </c>
      <c r="AE131" s="737">
        <f t="shared" si="187"/>
        <v>0</v>
      </c>
      <c r="AF131" s="737">
        <f t="shared" si="187"/>
        <v>0</v>
      </c>
      <c r="AG131" s="739">
        <f t="shared" si="187"/>
        <v>0</v>
      </c>
      <c r="AH131" s="823"/>
      <c r="AI131" s="744"/>
      <c r="AJ131" s="741"/>
      <c r="AK131" s="729"/>
      <c r="AL131" s="729"/>
      <c r="AM131" s="729"/>
      <c r="AN131" s="729"/>
      <c r="AO131" s="730"/>
      <c r="AP131" s="74"/>
      <c r="AQ131" s="74"/>
      <c r="AR131" s="74"/>
      <c r="AS131" s="106"/>
      <c r="AW131" s="1428" t="str">
        <f t="shared" si="79"/>
        <v>Rev</v>
      </c>
      <c r="AX131" s="1429" t="str">
        <f t="shared" si="41"/>
        <v>[Service]</v>
      </c>
      <c r="AY131" s="1430" t="str">
        <f t="shared" si="42"/>
        <v>[Price]</v>
      </c>
      <c r="AZ131" s="1431" t="str">
        <f t="shared" si="164"/>
        <v>-</v>
      </c>
      <c r="BA131" s="1431" t="str">
        <f t="shared" si="164"/>
        <v>-</v>
      </c>
      <c r="BB131" s="1431" t="str">
        <f t="shared" si="164"/>
        <v>-</v>
      </c>
      <c r="BC131" s="1431" t="str">
        <f t="shared" si="164"/>
        <v>-</v>
      </c>
      <c r="BD131" s="1431" t="str">
        <f t="shared" si="44"/>
        <v>-</v>
      </c>
      <c r="BE131" s="1431" t="str">
        <f t="shared" si="45"/>
        <v>-</v>
      </c>
      <c r="BF131" s="1431" t="str">
        <f t="shared" si="46"/>
        <v>-</v>
      </c>
      <c r="BG131" s="1432" t="str">
        <f t="shared" si="47"/>
        <v>-</v>
      </c>
      <c r="BH131" s="1431" t="str">
        <f t="shared" si="48"/>
        <v>-</v>
      </c>
      <c r="BI131" s="1431" t="str">
        <f t="shared" si="49"/>
        <v>-</v>
      </c>
      <c r="BJ131" s="1431" t="str">
        <f t="shared" si="50"/>
        <v>-</v>
      </c>
      <c r="BK131" s="1431" t="str">
        <f t="shared" si="51"/>
        <v>-</v>
      </c>
      <c r="BL131" s="1433" t="str">
        <f t="shared" si="52"/>
        <v>-</v>
      </c>
      <c r="BM131" s="1431" t="str">
        <f t="shared" si="53"/>
        <v>-</v>
      </c>
      <c r="BN131" s="1431" t="str">
        <f t="shared" si="54"/>
        <v>-</v>
      </c>
      <c r="BO131" s="1431" t="str">
        <f t="shared" si="55"/>
        <v>-</v>
      </c>
      <c r="BP131" s="1431" t="str">
        <f t="shared" si="56"/>
        <v>-</v>
      </c>
      <c r="BQ131" s="1434" t="str">
        <f t="shared" si="57"/>
        <v>-</v>
      </c>
      <c r="BR131" s="1378"/>
      <c r="BS131" s="1407"/>
      <c r="BT131" s="1408"/>
      <c r="BU131" s="1409"/>
      <c r="BV131" s="1410"/>
      <c r="BW131" s="1378"/>
      <c r="BX131" s="1428" t="str">
        <f t="shared" si="58"/>
        <v>Rev</v>
      </c>
      <c r="BY131" s="1429" t="str">
        <f t="shared" si="105"/>
        <v>[Service]</v>
      </c>
      <c r="BZ131" s="1430" t="str">
        <f t="shared" si="106"/>
        <v>[Price]</v>
      </c>
      <c r="CA131" s="1435" t="str">
        <f>IFERROR((S131/R131-1)*(R131/R$13),"-")</f>
        <v>-</v>
      </c>
      <c r="CB131" s="1431" t="str">
        <f>IFERROR((T131/S131-1)*(S131/S$13),"-")</f>
        <v>-</v>
      </c>
      <c r="CC131" s="1431" t="str">
        <f>IFERROR((U131/T131-1)*(T131/T$13),"-")</f>
        <v>-</v>
      </c>
      <c r="CD131" s="1431" t="str">
        <f>IFERROR((V131/U131-1)*(U131/U$13),"-")</f>
        <v>-</v>
      </c>
      <c r="CE131" s="1431" t="str">
        <f t="shared" ref="CE131:CR131" si="188">IFERROR((T131/S131-1)*(S131/S$13),"-")</f>
        <v>-</v>
      </c>
      <c r="CF131" s="1431" t="str">
        <f t="shared" si="188"/>
        <v>-</v>
      </c>
      <c r="CG131" s="1431" t="str">
        <f t="shared" si="188"/>
        <v>-</v>
      </c>
      <c r="CH131" s="1433" t="str">
        <f t="shared" si="188"/>
        <v>-</v>
      </c>
      <c r="CI131" s="1431" t="str">
        <f t="shared" si="188"/>
        <v>-</v>
      </c>
      <c r="CJ131" s="1431" t="str">
        <f t="shared" si="188"/>
        <v>-</v>
      </c>
      <c r="CK131" s="1431" t="str">
        <f t="shared" si="188"/>
        <v>-</v>
      </c>
      <c r="CL131" s="1431" t="str">
        <f t="shared" si="188"/>
        <v>-</v>
      </c>
      <c r="CM131" s="1433" t="str">
        <f t="shared" si="188"/>
        <v>-</v>
      </c>
      <c r="CN131" s="1431" t="str">
        <f t="shared" si="188"/>
        <v>-</v>
      </c>
      <c r="CO131" s="1431" t="str">
        <f t="shared" si="188"/>
        <v>-</v>
      </c>
      <c r="CP131" s="1431" t="str">
        <f t="shared" si="188"/>
        <v>-</v>
      </c>
      <c r="CQ131" s="1431" t="str">
        <f t="shared" si="188"/>
        <v>-</v>
      </c>
      <c r="CR131" s="1434" t="str">
        <f t="shared" si="188"/>
        <v>-</v>
      </c>
      <c r="CS131" s="1378"/>
      <c r="CT131" s="1428" t="str">
        <f t="shared" si="34"/>
        <v>Rev</v>
      </c>
      <c r="CU131" s="1429" t="str">
        <f t="shared" si="35"/>
        <v>[Service]</v>
      </c>
      <c r="CV131" s="1429" t="str">
        <f t="shared" si="36"/>
        <v>[Price]</v>
      </c>
      <c r="CW131" s="1435" t="str">
        <f t="shared" si="62"/>
        <v>-</v>
      </c>
      <c r="CX131" s="1431" t="str">
        <f t="shared" si="63"/>
        <v>-</v>
      </c>
      <c r="CY131" s="1431" t="str">
        <f t="shared" si="64"/>
        <v>-</v>
      </c>
      <c r="CZ131" s="1433" t="str">
        <f t="shared" si="65"/>
        <v>-</v>
      </c>
      <c r="DA131" s="1431" t="str">
        <f t="shared" si="66"/>
        <v>-</v>
      </c>
      <c r="DB131" s="1431" t="str">
        <f t="shared" si="67"/>
        <v>-</v>
      </c>
      <c r="DC131" s="1431" t="str">
        <f t="shared" si="68"/>
        <v>-</v>
      </c>
      <c r="DD131" s="1431" t="str">
        <f t="shared" si="69"/>
        <v>-</v>
      </c>
      <c r="DE131" s="1434" t="str">
        <f t="shared" si="70"/>
        <v>-</v>
      </c>
      <c r="DF131" s="1378"/>
      <c r="DG131" s="1428" t="str">
        <f t="shared" si="81"/>
        <v>Rev</v>
      </c>
      <c r="DH131" s="1429" t="str">
        <f t="shared" si="81"/>
        <v>[Service]</v>
      </c>
      <c r="DI131" s="1429" t="str">
        <f t="shared" si="81"/>
        <v>[Price]</v>
      </c>
      <c r="DJ131" s="1435" t="str">
        <f t="shared" si="71"/>
        <v>-</v>
      </c>
      <c r="DK131" s="1431" t="str">
        <f t="shared" si="72"/>
        <v>-</v>
      </c>
      <c r="DL131" s="1431" t="str">
        <f t="shared" si="73"/>
        <v>-</v>
      </c>
      <c r="DM131" s="1433" t="str">
        <f t="shared" si="74"/>
        <v>-</v>
      </c>
      <c r="DN131" s="1431" t="str">
        <f t="shared" si="75"/>
        <v>-</v>
      </c>
      <c r="DO131" s="1431" t="str">
        <f t="shared" si="76"/>
        <v>-</v>
      </c>
      <c r="DP131" s="1431" t="str">
        <f t="shared" si="77"/>
        <v>-</v>
      </c>
      <c r="DQ131" s="1434" t="str">
        <f t="shared" si="78"/>
        <v>-</v>
      </c>
    </row>
    <row r="132" spans="4:121">
      <c r="D132" s="70">
        <f>D129+1</f>
        <v>22</v>
      </c>
      <c r="E132" s="713" t="s">
        <v>44</v>
      </c>
      <c r="F132" s="789" t="s">
        <v>27</v>
      </c>
      <c r="G132" s="789"/>
      <c r="H132" s="789"/>
      <c r="I132" s="781" t="s">
        <v>318</v>
      </c>
      <c r="J132" s="781" t="s">
        <v>345</v>
      </c>
      <c r="K132" s="714"/>
      <c r="L132" s="715"/>
      <c r="M132" s="715"/>
      <c r="N132" s="716"/>
      <c r="O132" s="783"/>
      <c r="P132" s="784"/>
      <c r="Q132" s="783"/>
      <c r="R132" s="783"/>
      <c r="S132" s="783"/>
      <c r="T132" s="783"/>
      <c r="U132" s="783"/>
      <c r="V132" s="783"/>
      <c r="W132" s="783"/>
      <c r="X132" s="784"/>
      <c r="Y132" s="783"/>
      <c r="Z132" s="783"/>
      <c r="AA132" s="783"/>
      <c r="AB132" s="783"/>
      <c r="AC132" s="784"/>
      <c r="AD132" s="783"/>
      <c r="AE132" s="783"/>
      <c r="AF132" s="783"/>
      <c r="AG132" s="785"/>
      <c r="AI132" s="702"/>
      <c r="AJ132" s="717" t="str">
        <f t="shared" ref="AJ132:AS132" si="189">IFERROR((X132-W132)/W132,"")</f>
        <v/>
      </c>
      <c r="AK132" s="718" t="str">
        <f t="shared" si="189"/>
        <v/>
      </c>
      <c r="AL132" s="718" t="str">
        <f t="shared" si="189"/>
        <v/>
      </c>
      <c r="AM132" s="718" t="str">
        <f t="shared" si="189"/>
        <v/>
      </c>
      <c r="AN132" s="718" t="str">
        <f t="shared" si="189"/>
        <v/>
      </c>
      <c r="AO132" s="719" t="str">
        <f t="shared" si="189"/>
        <v/>
      </c>
      <c r="AP132" s="494" t="str">
        <f t="shared" si="189"/>
        <v/>
      </c>
      <c r="AQ132" s="494" t="str">
        <f t="shared" si="189"/>
        <v/>
      </c>
      <c r="AR132" s="494" t="str">
        <f t="shared" si="189"/>
        <v/>
      </c>
      <c r="AS132" s="720" t="str">
        <f t="shared" si="189"/>
        <v/>
      </c>
      <c r="AU132" s="1369"/>
      <c r="AW132" s="1412" t="str">
        <f t="shared" si="79"/>
        <v>Price</v>
      </c>
      <c r="AX132" s="1413" t="str">
        <f t="shared" si="41"/>
        <v>[Service]</v>
      </c>
      <c r="AY132" s="1414" t="str">
        <f t="shared" si="42"/>
        <v>[Price]</v>
      </c>
      <c r="AZ132" s="1415" t="str">
        <f t="shared" si="164"/>
        <v>-</v>
      </c>
      <c r="BA132" s="1415" t="str">
        <f t="shared" si="164"/>
        <v>-</v>
      </c>
      <c r="BB132" s="1415" t="str">
        <f t="shared" si="164"/>
        <v>-</v>
      </c>
      <c r="BC132" s="1415" t="str">
        <f t="shared" si="164"/>
        <v>-</v>
      </c>
      <c r="BD132" s="1415" t="str">
        <f t="shared" si="44"/>
        <v>-</v>
      </c>
      <c r="BE132" s="1415" t="str">
        <f t="shared" si="45"/>
        <v>-</v>
      </c>
      <c r="BF132" s="1415" t="str">
        <f t="shared" si="46"/>
        <v>-</v>
      </c>
      <c r="BG132" s="1416" t="str">
        <f t="shared" si="47"/>
        <v>-</v>
      </c>
      <c r="BH132" s="1417" t="str">
        <f t="shared" si="48"/>
        <v>-</v>
      </c>
      <c r="BI132" s="1417" t="str">
        <f t="shared" si="49"/>
        <v>-</v>
      </c>
      <c r="BJ132" s="1417" t="str">
        <f t="shared" si="50"/>
        <v>-</v>
      </c>
      <c r="BK132" s="1417" t="str">
        <f t="shared" si="51"/>
        <v>-</v>
      </c>
      <c r="BL132" s="1418" t="str">
        <f t="shared" si="52"/>
        <v>-</v>
      </c>
      <c r="BM132" s="1417" t="str">
        <f t="shared" si="53"/>
        <v>-</v>
      </c>
      <c r="BN132" s="1417" t="str">
        <f t="shared" si="54"/>
        <v>-</v>
      </c>
      <c r="BO132" s="1417" t="str">
        <f t="shared" si="55"/>
        <v>-</v>
      </c>
      <c r="BP132" s="1417" t="str">
        <f t="shared" si="56"/>
        <v>-</v>
      </c>
      <c r="BQ132" s="1419" t="str">
        <f t="shared" si="57"/>
        <v>-</v>
      </c>
      <c r="BR132" s="1378"/>
      <c r="BS132" s="1420"/>
      <c r="BT132" s="1421"/>
      <c r="BU132" s="1422"/>
      <c r="BV132" s="1423"/>
      <c r="BW132" s="1378"/>
      <c r="BX132" s="1412" t="str">
        <f t="shared" si="58"/>
        <v>Price</v>
      </c>
      <c r="BY132" s="1413" t="str">
        <f t="shared" si="105"/>
        <v>[Service]</v>
      </c>
      <c r="BZ132" s="1414" t="str">
        <f t="shared" si="106"/>
        <v>[Price]</v>
      </c>
      <c r="CA132" s="1424" t="str">
        <f>IFERROR((S132/R132-1)*(R134/R$13),"-")</f>
        <v>-</v>
      </c>
      <c r="CB132" s="1415" t="str">
        <f>IFERROR((T132/S132-1)*(S134/S$13),"-")</f>
        <v>-</v>
      </c>
      <c r="CC132" s="1415" t="str">
        <f>IFERROR((U132/T132-1)*(T134/T$13),"-")</f>
        <v>-</v>
      </c>
      <c r="CD132" s="1415" t="str">
        <f>IFERROR((V132/U132-1)*(U134/U$13),"-")</f>
        <v>-</v>
      </c>
      <c r="CE132" s="1415" t="str">
        <f t="shared" ref="CE132:CR132" si="190">IFERROR((T132/S132-1)*(S134/S$13),"-")</f>
        <v>-</v>
      </c>
      <c r="CF132" s="1415" t="str">
        <f t="shared" si="190"/>
        <v>-</v>
      </c>
      <c r="CG132" s="1415" t="str">
        <f t="shared" si="190"/>
        <v>-</v>
      </c>
      <c r="CH132" s="1425" t="str">
        <f t="shared" si="190"/>
        <v>-</v>
      </c>
      <c r="CI132" s="1417" t="str">
        <f t="shared" si="190"/>
        <v>-</v>
      </c>
      <c r="CJ132" s="1417" t="str">
        <f t="shared" si="190"/>
        <v>-</v>
      </c>
      <c r="CK132" s="1417" t="str">
        <f t="shared" si="190"/>
        <v>-</v>
      </c>
      <c r="CL132" s="1417" t="str">
        <f t="shared" si="190"/>
        <v>-</v>
      </c>
      <c r="CM132" s="1418" t="str">
        <f t="shared" si="190"/>
        <v>-</v>
      </c>
      <c r="CN132" s="1417" t="str">
        <f t="shared" si="190"/>
        <v>-</v>
      </c>
      <c r="CO132" s="1417" t="str">
        <f t="shared" si="190"/>
        <v>-</v>
      </c>
      <c r="CP132" s="1417" t="str">
        <f t="shared" si="190"/>
        <v>-</v>
      </c>
      <c r="CQ132" s="1417" t="str">
        <f t="shared" si="190"/>
        <v>-</v>
      </c>
      <c r="CR132" s="1419" t="str">
        <f t="shared" si="190"/>
        <v>-</v>
      </c>
      <c r="CS132" s="1378"/>
      <c r="CT132" s="1412" t="str">
        <f t="shared" ref="CT132:CT195" si="191">AW132</f>
        <v>Price</v>
      </c>
      <c r="CU132" s="1413" t="str">
        <f t="shared" ref="CU132:CU195" si="192">AX132</f>
        <v>[Service]</v>
      </c>
      <c r="CV132" s="1426" t="str">
        <f t="shared" ref="CV132:CV195" si="193">AY132</f>
        <v>[Price]</v>
      </c>
      <c r="CW132" s="1427" t="str">
        <f t="shared" si="62"/>
        <v>-</v>
      </c>
      <c r="CX132" s="1417" t="str">
        <f t="shared" si="63"/>
        <v>-</v>
      </c>
      <c r="CY132" s="1417" t="str">
        <f t="shared" si="64"/>
        <v>-</v>
      </c>
      <c r="CZ132" s="1418" t="str">
        <f t="shared" si="65"/>
        <v>-</v>
      </c>
      <c r="DA132" s="1417" t="str">
        <f t="shared" si="66"/>
        <v>-</v>
      </c>
      <c r="DB132" s="1417" t="str">
        <f t="shared" si="67"/>
        <v>-</v>
      </c>
      <c r="DC132" s="1417" t="str">
        <f t="shared" si="68"/>
        <v>-</v>
      </c>
      <c r="DD132" s="1417" t="str">
        <f t="shared" si="69"/>
        <v>-</v>
      </c>
      <c r="DE132" s="1419" t="str">
        <f t="shared" si="70"/>
        <v>-</v>
      </c>
      <c r="DF132" s="1378"/>
      <c r="DG132" s="1412" t="str">
        <f t="shared" si="81"/>
        <v>Price</v>
      </c>
      <c r="DH132" s="1413" t="str">
        <f t="shared" si="81"/>
        <v>[Service]</v>
      </c>
      <c r="DI132" s="1426" t="str">
        <f t="shared" si="81"/>
        <v>[Price]</v>
      </c>
      <c r="DJ132" s="1427" t="str">
        <f t="shared" si="71"/>
        <v>-</v>
      </c>
      <c r="DK132" s="1417" t="str">
        <f t="shared" si="72"/>
        <v>-</v>
      </c>
      <c r="DL132" s="1417" t="str">
        <f t="shared" si="73"/>
        <v>-</v>
      </c>
      <c r="DM132" s="1418" t="str">
        <f t="shared" si="74"/>
        <v>-</v>
      </c>
      <c r="DN132" s="1417" t="str">
        <f t="shared" si="75"/>
        <v>-</v>
      </c>
      <c r="DO132" s="1417" t="str">
        <f t="shared" si="76"/>
        <v>-</v>
      </c>
      <c r="DP132" s="1417" t="str">
        <f t="shared" si="77"/>
        <v>-</v>
      </c>
      <c r="DQ132" s="1419" t="str">
        <f t="shared" si="78"/>
        <v>-</v>
      </c>
    </row>
    <row r="133" spans="4:121">
      <c r="E133" s="742" t="s">
        <v>45</v>
      </c>
      <c r="F133" s="722" t="str">
        <f>+F132</f>
        <v>[Service]</v>
      </c>
      <c r="G133" s="723">
        <f>+G132</f>
        <v>0</v>
      </c>
      <c r="H133" s="723">
        <f>+H132</f>
        <v>0</v>
      </c>
      <c r="I133" s="724" t="str">
        <f>+I132</f>
        <v>[Price]</v>
      </c>
      <c r="J133" s="782" t="s">
        <v>322</v>
      </c>
      <c r="K133" s="725"/>
      <c r="L133" s="726"/>
      <c r="M133" s="726"/>
      <c r="N133" s="727"/>
      <c r="O133" s="786"/>
      <c r="P133" s="787"/>
      <c r="Q133" s="786"/>
      <c r="R133" s="786"/>
      <c r="S133" s="786"/>
      <c r="T133" s="786"/>
      <c r="U133" s="786"/>
      <c r="V133" s="786"/>
      <c r="W133" s="786"/>
      <c r="X133" s="787"/>
      <c r="Y133" s="786"/>
      <c r="Z133" s="786"/>
      <c r="AA133" s="786"/>
      <c r="AB133" s="786"/>
      <c r="AC133" s="787"/>
      <c r="AD133" s="786"/>
      <c r="AE133" s="786"/>
      <c r="AF133" s="786"/>
      <c r="AG133" s="788"/>
      <c r="AH133" s="823"/>
      <c r="AI133" s="702"/>
      <c r="AJ133" s="728"/>
      <c r="AK133" s="729"/>
      <c r="AL133" s="729"/>
      <c r="AM133" s="729"/>
      <c r="AN133" s="729"/>
      <c r="AO133" s="730"/>
      <c r="AP133" s="74"/>
      <c r="AQ133" s="74"/>
      <c r="AR133" s="74"/>
      <c r="AS133" s="106"/>
      <c r="AW133" s="1392" t="str">
        <f t="shared" si="79"/>
        <v>Qty</v>
      </c>
      <c r="AX133" s="1393" t="str">
        <f t="shared" si="79"/>
        <v>[Service]</v>
      </c>
      <c r="AY133" s="1394" t="str">
        <f t="shared" ref="AY133:AY196" si="194">I133</f>
        <v>[Price]</v>
      </c>
      <c r="AZ133" s="1395" t="str">
        <f t="shared" ref="AZ133:BC148" si="195">IFERROR(P133/O133-1,"-")</f>
        <v>-</v>
      </c>
      <c r="BA133" s="1395" t="str">
        <f t="shared" si="195"/>
        <v>-</v>
      </c>
      <c r="BB133" s="1395" t="str">
        <f t="shared" si="195"/>
        <v>-</v>
      </c>
      <c r="BC133" s="1395" t="str">
        <f t="shared" si="195"/>
        <v>-</v>
      </c>
      <c r="BD133" s="1395" t="str">
        <f t="shared" ref="BD133:BD196" si="196">IFERROR(T133/S133-1,"-")</f>
        <v>-</v>
      </c>
      <c r="BE133" s="1395" t="str">
        <f t="shared" ref="BE133:BE196" si="197">IFERROR(U133/T133-1,"-")</f>
        <v>-</v>
      </c>
      <c r="BF133" s="1395" t="str">
        <f t="shared" ref="BF133:BF196" si="198">IFERROR(V133/U133-1,"-")</f>
        <v>-</v>
      </c>
      <c r="BG133" s="1396" t="str">
        <f t="shared" ref="BG133:BG196" si="199">IFERROR(W133/V133-1,"-")</f>
        <v>-</v>
      </c>
      <c r="BH133" s="1395" t="str">
        <f t="shared" ref="BH133:BH196" si="200">IFERROR(X133/W133-1,"-")</f>
        <v>-</v>
      </c>
      <c r="BI133" s="1395" t="str">
        <f t="shared" ref="BI133:BI196" si="201">IFERROR(Y133/X133-1,"-")</f>
        <v>-</v>
      </c>
      <c r="BJ133" s="1395" t="str">
        <f t="shared" ref="BJ133:BJ196" si="202">IFERROR(Z133/Y133-1,"-")</f>
        <v>-</v>
      </c>
      <c r="BK133" s="1395" t="str">
        <f t="shared" ref="BK133:BK196" si="203">IFERROR(AA133/Z133-1,"-")</f>
        <v>-</v>
      </c>
      <c r="BL133" s="1397" t="str">
        <f t="shared" ref="BL133:BL196" si="204">IFERROR(AB133/AA133-1,"-")</f>
        <v>-</v>
      </c>
      <c r="BM133" s="1395" t="str">
        <f t="shared" ref="BM133:BM196" si="205">IFERROR(AC133/AB133-1,"-")</f>
        <v>-</v>
      </c>
      <c r="BN133" s="1395" t="str">
        <f t="shared" ref="BN133:BN196" si="206">IFERROR(AD133/AC133-1,"-")</f>
        <v>-</v>
      </c>
      <c r="BO133" s="1395" t="str">
        <f t="shared" ref="BO133:BO196" si="207">IFERROR(AE133/AD133-1,"-")</f>
        <v>-</v>
      </c>
      <c r="BP133" s="1395" t="str">
        <f t="shared" ref="BP133:BP196" si="208">IFERROR(AF133/AE133-1,"-")</f>
        <v>-</v>
      </c>
      <c r="BQ133" s="1398" t="str">
        <f t="shared" ref="BQ133:BQ196" si="209">IFERROR(AG133/AF133-1,"-")</f>
        <v>-</v>
      </c>
      <c r="BR133" s="1378"/>
      <c r="BS133" s="1329"/>
      <c r="BT133" s="1399"/>
      <c r="BU133" s="1331"/>
      <c r="BV133" s="1400"/>
      <c r="BW133" s="1378"/>
      <c r="BX133" s="1392" t="str">
        <f t="shared" ref="BX133:BX196" si="210">AW133</f>
        <v>Qty</v>
      </c>
      <c r="BY133" s="1393" t="str">
        <f t="shared" si="105"/>
        <v>[Service]</v>
      </c>
      <c r="BZ133" s="1394" t="str">
        <f t="shared" si="106"/>
        <v>[Price]</v>
      </c>
      <c r="CA133" s="1401" t="str">
        <f>IFERROR((S133/R133-1)*(R134/R$13),"-")</f>
        <v>-</v>
      </c>
      <c r="CB133" s="1395" t="str">
        <f>IFERROR((T133/S133-1)*(S134/S$13),"-")</f>
        <v>-</v>
      </c>
      <c r="CC133" s="1395" t="str">
        <f>IFERROR((U133/T133-1)*(T134/T$13),"-")</f>
        <v>-</v>
      </c>
      <c r="CD133" s="1395" t="str">
        <f>IFERROR((V133/U133-1)*(U134/U$13),"-")</f>
        <v>-</v>
      </c>
      <c r="CE133" s="1395" t="str">
        <f t="shared" ref="CE133:CR133" si="211">IFERROR((T133/S133-1)*(S134/S$13),"-")</f>
        <v>-</v>
      </c>
      <c r="CF133" s="1395" t="str">
        <f t="shared" si="211"/>
        <v>-</v>
      </c>
      <c r="CG133" s="1395" t="str">
        <f t="shared" si="211"/>
        <v>-</v>
      </c>
      <c r="CH133" s="1397" t="str">
        <f t="shared" si="211"/>
        <v>-</v>
      </c>
      <c r="CI133" s="1395" t="str">
        <f t="shared" si="211"/>
        <v>-</v>
      </c>
      <c r="CJ133" s="1395" t="str">
        <f t="shared" si="211"/>
        <v>-</v>
      </c>
      <c r="CK133" s="1395" t="str">
        <f t="shared" si="211"/>
        <v>-</v>
      </c>
      <c r="CL133" s="1395" t="str">
        <f t="shared" si="211"/>
        <v>-</v>
      </c>
      <c r="CM133" s="1397" t="str">
        <f t="shared" si="211"/>
        <v>-</v>
      </c>
      <c r="CN133" s="1395" t="str">
        <f t="shared" si="211"/>
        <v>-</v>
      </c>
      <c r="CO133" s="1395" t="str">
        <f t="shared" si="211"/>
        <v>-</v>
      </c>
      <c r="CP133" s="1395" t="str">
        <f t="shared" si="211"/>
        <v>-</v>
      </c>
      <c r="CQ133" s="1395" t="str">
        <f t="shared" si="211"/>
        <v>-</v>
      </c>
      <c r="CR133" s="1398" t="str">
        <f t="shared" si="211"/>
        <v>-</v>
      </c>
      <c r="CS133" s="1378"/>
      <c r="CT133" s="1392" t="str">
        <f t="shared" si="191"/>
        <v>Qty</v>
      </c>
      <c r="CU133" s="1393" t="str">
        <f t="shared" si="192"/>
        <v>[Service]</v>
      </c>
      <c r="CV133" s="1393" t="str">
        <f t="shared" si="193"/>
        <v>[Price]</v>
      </c>
      <c r="CW133" s="1401" t="str">
        <f t="shared" ref="CW133:CW196" si="212">IFERROR((Y133/$W133)^(1/CW$64)-1,"-")</f>
        <v>-</v>
      </c>
      <c r="CX133" s="1395" t="str">
        <f t="shared" ref="CX133:CX196" si="213">IFERROR((Z133/$W133)^(1/CX$64)-1,"-")</f>
        <v>-</v>
      </c>
      <c r="CY133" s="1395" t="str">
        <f t="shared" ref="CY133:CY196" si="214">IFERROR((AA133/$W133)^(1/CY$64)-1,"-")</f>
        <v>-</v>
      </c>
      <c r="CZ133" s="1397" t="str">
        <f t="shared" ref="CZ133:CZ196" si="215">IFERROR((AB133/$W133)^(1/CZ$64)-1,"-")</f>
        <v>-</v>
      </c>
      <c r="DA133" s="1395" t="str">
        <f t="shared" ref="DA133:DA196" si="216">IFERROR((AC133/$W133)^(1/DA$64)-1,"-")</f>
        <v>-</v>
      </c>
      <c r="DB133" s="1395" t="str">
        <f t="shared" ref="DB133:DB196" si="217">IFERROR((AD133/$W133)^(1/DB$64)-1,"-")</f>
        <v>-</v>
      </c>
      <c r="DC133" s="1395" t="str">
        <f t="shared" ref="DC133:DC196" si="218">IFERROR((AE133/$W133)^(1/DC$64)-1,"-")</f>
        <v>-</v>
      </c>
      <c r="DD133" s="1395" t="str">
        <f t="shared" ref="DD133:DD196" si="219">IFERROR((AF133/$W133)^(1/DD$64)-1,"-")</f>
        <v>-</v>
      </c>
      <c r="DE133" s="1398" t="str">
        <f t="shared" ref="DE133:DE196" si="220">IFERROR((AG133/$W133)^(1/DE$64)-1,"-")</f>
        <v>-</v>
      </c>
      <c r="DF133" s="1378"/>
      <c r="DG133" s="1392" t="str">
        <f t="shared" si="81"/>
        <v>Qty</v>
      </c>
      <c r="DH133" s="1393" t="str">
        <f t="shared" si="81"/>
        <v>[Service]</v>
      </c>
      <c r="DI133" s="1393" t="str">
        <f t="shared" si="81"/>
        <v>[Price]</v>
      </c>
      <c r="DJ133" s="1401" t="str">
        <f t="shared" ref="DJ133:DJ196" si="221">IFERROR((Z133/$X133)^(1/DJ$64)-1,"-")</f>
        <v>-</v>
      </c>
      <c r="DK133" s="1395" t="str">
        <f t="shared" ref="DK133:DK196" si="222">IFERROR((AA133/$X133)^(1/DK$64)-1,"-")</f>
        <v>-</v>
      </c>
      <c r="DL133" s="1395" t="str">
        <f t="shared" ref="DL133:DL196" si="223">IFERROR((AB133/$X133)^(1/DL$64)-1,"-")</f>
        <v>-</v>
      </c>
      <c r="DM133" s="1397" t="str">
        <f t="shared" ref="DM133:DM196" si="224">IFERROR((AC133/$X133)^(1/DM$64)-1,"-")</f>
        <v>-</v>
      </c>
      <c r="DN133" s="1395" t="str">
        <f t="shared" ref="DN133:DN196" si="225">IFERROR((AD133/$X133)^(1/DN$64)-1,"-")</f>
        <v>-</v>
      </c>
      <c r="DO133" s="1395" t="str">
        <f t="shared" ref="DO133:DO196" si="226">IFERROR((AE133/$X133)^(1/DO$64)-1,"-")</f>
        <v>-</v>
      </c>
      <c r="DP133" s="1395" t="str">
        <f t="shared" ref="DP133:DP196" si="227">IFERROR((AF133/$X133)^(1/DP$64)-1,"-")</f>
        <v>-</v>
      </c>
      <c r="DQ133" s="1398" t="str">
        <f t="shared" ref="DQ133:DQ196" si="228">IFERROR((AG133/$X133)^(1/DQ$64)-1,"-")</f>
        <v>-</v>
      </c>
    </row>
    <row r="134" spans="4:121" ht="12.75" thickBot="1">
      <c r="E134" s="743" t="s">
        <v>46</v>
      </c>
      <c r="F134" s="732" t="str">
        <f>+F132</f>
        <v>[Service]</v>
      </c>
      <c r="G134" s="733">
        <f>+G132</f>
        <v>0</v>
      </c>
      <c r="H134" s="733">
        <f>+H132</f>
        <v>0</v>
      </c>
      <c r="I134" s="734" t="str">
        <f>+I132</f>
        <v>[Price]</v>
      </c>
      <c r="J134" s="735" t="s">
        <v>344</v>
      </c>
      <c r="K134" s="736">
        <f t="shared" ref="K134:AG134" si="229">K132*K133/10^6</f>
        <v>0</v>
      </c>
      <c r="L134" s="737">
        <f t="shared" si="229"/>
        <v>0</v>
      </c>
      <c r="M134" s="737">
        <f t="shared" si="229"/>
        <v>0</v>
      </c>
      <c r="N134" s="738">
        <f t="shared" si="229"/>
        <v>0</v>
      </c>
      <c r="O134" s="737">
        <f t="shared" si="229"/>
        <v>0</v>
      </c>
      <c r="P134" s="738">
        <f t="shared" si="229"/>
        <v>0</v>
      </c>
      <c r="Q134" s="737">
        <f t="shared" si="229"/>
        <v>0</v>
      </c>
      <c r="R134" s="737">
        <f t="shared" si="229"/>
        <v>0</v>
      </c>
      <c r="S134" s="737">
        <f t="shared" si="229"/>
        <v>0</v>
      </c>
      <c r="T134" s="737">
        <f t="shared" si="229"/>
        <v>0</v>
      </c>
      <c r="U134" s="737">
        <f t="shared" si="229"/>
        <v>0</v>
      </c>
      <c r="V134" s="737">
        <f t="shared" si="229"/>
        <v>0</v>
      </c>
      <c r="W134" s="737">
        <f t="shared" si="229"/>
        <v>0</v>
      </c>
      <c r="X134" s="738">
        <f t="shared" si="229"/>
        <v>0</v>
      </c>
      <c r="Y134" s="737">
        <f t="shared" si="229"/>
        <v>0</v>
      </c>
      <c r="Z134" s="737">
        <f t="shared" si="229"/>
        <v>0</v>
      </c>
      <c r="AA134" s="737">
        <f t="shared" si="229"/>
        <v>0</v>
      </c>
      <c r="AB134" s="737">
        <f t="shared" si="229"/>
        <v>0</v>
      </c>
      <c r="AC134" s="738">
        <f t="shared" si="229"/>
        <v>0</v>
      </c>
      <c r="AD134" s="737">
        <f t="shared" si="229"/>
        <v>0</v>
      </c>
      <c r="AE134" s="737">
        <f t="shared" si="229"/>
        <v>0</v>
      </c>
      <c r="AF134" s="737">
        <f t="shared" si="229"/>
        <v>0</v>
      </c>
      <c r="AG134" s="739">
        <f t="shared" si="229"/>
        <v>0</v>
      </c>
      <c r="AH134" s="823"/>
      <c r="AI134" s="744"/>
      <c r="AJ134" s="741"/>
      <c r="AK134" s="729"/>
      <c r="AL134" s="729"/>
      <c r="AM134" s="729"/>
      <c r="AN134" s="729"/>
      <c r="AO134" s="730"/>
      <c r="AP134" s="74"/>
      <c r="AQ134" s="74"/>
      <c r="AR134" s="74"/>
      <c r="AS134" s="106"/>
      <c r="AW134" s="1428" t="str">
        <f t="shared" ref="AW134:AX197" si="230">E134</f>
        <v>Rev</v>
      </c>
      <c r="AX134" s="1429" t="str">
        <f t="shared" si="230"/>
        <v>[Service]</v>
      </c>
      <c r="AY134" s="1430" t="str">
        <f t="shared" si="194"/>
        <v>[Price]</v>
      </c>
      <c r="AZ134" s="1431" t="str">
        <f t="shared" si="195"/>
        <v>-</v>
      </c>
      <c r="BA134" s="1431" t="str">
        <f t="shared" si="195"/>
        <v>-</v>
      </c>
      <c r="BB134" s="1431" t="str">
        <f t="shared" si="195"/>
        <v>-</v>
      </c>
      <c r="BC134" s="1431" t="str">
        <f t="shared" si="195"/>
        <v>-</v>
      </c>
      <c r="BD134" s="1431" t="str">
        <f t="shared" si="196"/>
        <v>-</v>
      </c>
      <c r="BE134" s="1431" t="str">
        <f t="shared" si="197"/>
        <v>-</v>
      </c>
      <c r="BF134" s="1431" t="str">
        <f t="shared" si="198"/>
        <v>-</v>
      </c>
      <c r="BG134" s="1432" t="str">
        <f t="shared" si="199"/>
        <v>-</v>
      </c>
      <c r="BH134" s="1431" t="str">
        <f t="shared" si="200"/>
        <v>-</v>
      </c>
      <c r="BI134" s="1431" t="str">
        <f t="shared" si="201"/>
        <v>-</v>
      </c>
      <c r="BJ134" s="1431" t="str">
        <f t="shared" si="202"/>
        <v>-</v>
      </c>
      <c r="BK134" s="1431" t="str">
        <f t="shared" si="203"/>
        <v>-</v>
      </c>
      <c r="BL134" s="1433" t="str">
        <f t="shared" si="204"/>
        <v>-</v>
      </c>
      <c r="BM134" s="1431" t="str">
        <f t="shared" si="205"/>
        <v>-</v>
      </c>
      <c r="BN134" s="1431" t="str">
        <f t="shared" si="206"/>
        <v>-</v>
      </c>
      <c r="BO134" s="1431" t="str">
        <f t="shared" si="207"/>
        <v>-</v>
      </c>
      <c r="BP134" s="1431" t="str">
        <f t="shared" si="208"/>
        <v>-</v>
      </c>
      <c r="BQ134" s="1434" t="str">
        <f t="shared" si="209"/>
        <v>-</v>
      </c>
      <c r="BR134" s="1378"/>
      <c r="BS134" s="1407"/>
      <c r="BT134" s="1408"/>
      <c r="BU134" s="1409"/>
      <c r="BV134" s="1410"/>
      <c r="BW134" s="1378"/>
      <c r="BX134" s="1428" t="str">
        <f t="shared" si="210"/>
        <v>Rev</v>
      </c>
      <c r="BY134" s="1429" t="str">
        <f t="shared" si="105"/>
        <v>[Service]</v>
      </c>
      <c r="BZ134" s="1430" t="str">
        <f t="shared" si="106"/>
        <v>[Price]</v>
      </c>
      <c r="CA134" s="1435" t="str">
        <f>IFERROR((S134/R134-1)*(R134/R$13),"-")</f>
        <v>-</v>
      </c>
      <c r="CB134" s="1431" t="str">
        <f>IFERROR((T134/S134-1)*(S134/S$13),"-")</f>
        <v>-</v>
      </c>
      <c r="CC134" s="1431" t="str">
        <f>IFERROR((U134/T134-1)*(T134/T$13),"-")</f>
        <v>-</v>
      </c>
      <c r="CD134" s="1431" t="str">
        <f>IFERROR((V134/U134-1)*(U134/U$13),"-")</f>
        <v>-</v>
      </c>
      <c r="CE134" s="1431" t="str">
        <f t="shared" ref="CE134:CR134" si="231">IFERROR((T134/S134-1)*(S134/S$13),"-")</f>
        <v>-</v>
      </c>
      <c r="CF134" s="1431" t="str">
        <f t="shared" si="231"/>
        <v>-</v>
      </c>
      <c r="CG134" s="1431" t="str">
        <f t="shared" si="231"/>
        <v>-</v>
      </c>
      <c r="CH134" s="1433" t="str">
        <f t="shared" si="231"/>
        <v>-</v>
      </c>
      <c r="CI134" s="1431" t="str">
        <f t="shared" si="231"/>
        <v>-</v>
      </c>
      <c r="CJ134" s="1431" t="str">
        <f t="shared" si="231"/>
        <v>-</v>
      </c>
      <c r="CK134" s="1431" t="str">
        <f t="shared" si="231"/>
        <v>-</v>
      </c>
      <c r="CL134" s="1431" t="str">
        <f t="shared" si="231"/>
        <v>-</v>
      </c>
      <c r="CM134" s="1433" t="str">
        <f t="shared" si="231"/>
        <v>-</v>
      </c>
      <c r="CN134" s="1431" t="str">
        <f t="shared" si="231"/>
        <v>-</v>
      </c>
      <c r="CO134" s="1431" t="str">
        <f t="shared" si="231"/>
        <v>-</v>
      </c>
      <c r="CP134" s="1431" t="str">
        <f t="shared" si="231"/>
        <v>-</v>
      </c>
      <c r="CQ134" s="1431" t="str">
        <f t="shared" si="231"/>
        <v>-</v>
      </c>
      <c r="CR134" s="1434" t="str">
        <f t="shared" si="231"/>
        <v>-</v>
      </c>
      <c r="CS134" s="1378"/>
      <c r="CT134" s="1428" t="str">
        <f t="shared" si="191"/>
        <v>Rev</v>
      </c>
      <c r="CU134" s="1429" t="str">
        <f t="shared" si="192"/>
        <v>[Service]</v>
      </c>
      <c r="CV134" s="1429" t="str">
        <f t="shared" si="193"/>
        <v>[Price]</v>
      </c>
      <c r="CW134" s="1435" t="str">
        <f t="shared" si="212"/>
        <v>-</v>
      </c>
      <c r="CX134" s="1431" t="str">
        <f t="shared" si="213"/>
        <v>-</v>
      </c>
      <c r="CY134" s="1431" t="str">
        <f t="shared" si="214"/>
        <v>-</v>
      </c>
      <c r="CZ134" s="1433" t="str">
        <f t="shared" si="215"/>
        <v>-</v>
      </c>
      <c r="DA134" s="1431" t="str">
        <f t="shared" si="216"/>
        <v>-</v>
      </c>
      <c r="DB134" s="1431" t="str">
        <f t="shared" si="217"/>
        <v>-</v>
      </c>
      <c r="DC134" s="1431" t="str">
        <f t="shared" si="218"/>
        <v>-</v>
      </c>
      <c r="DD134" s="1431" t="str">
        <f t="shared" si="219"/>
        <v>-</v>
      </c>
      <c r="DE134" s="1434" t="str">
        <f t="shared" si="220"/>
        <v>-</v>
      </c>
      <c r="DF134" s="1378"/>
      <c r="DG134" s="1428" t="str">
        <f t="shared" ref="DG134:DI197" si="232">CT134</f>
        <v>Rev</v>
      </c>
      <c r="DH134" s="1429" t="str">
        <f t="shared" si="232"/>
        <v>[Service]</v>
      </c>
      <c r="DI134" s="1429" t="str">
        <f t="shared" si="232"/>
        <v>[Price]</v>
      </c>
      <c r="DJ134" s="1435" t="str">
        <f t="shared" si="221"/>
        <v>-</v>
      </c>
      <c r="DK134" s="1431" t="str">
        <f t="shared" si="222"/>
        <v>-</v>
      </c>
      <c r="DL134" s="1431" t="str">
        <f t="shared" si="223"/>
        <v>-</v>
      </c>
      <c r="DM134" s="1433" t="str">
        <f t="shared" si="224"/>
        <v>-</v>
      </c>
      <c r="DN134" s="1431" t="str">
        <f t="shared" si="225"/>
        <v>-</v>
      </c>
      <c r="DO134" s="1431" t="str">
        <f t="shared" si="226"/>
        <v>-</v>
      </c>
      <c r="DP134" s="1431" t="str">
        <f t="shared" si="227"/>
        <v>-</v>
      </c>
      <c r="DQ134" s="1434" t="str">
        <f t="shared" si="228"/>
        <v>-</v>
      </c>
    </row>
    <row r="135" spans="4:121">
      <c r="D135" s="70">
        <f>D132+1</f>
        <v>23</v>
      </c>
      <c r="E135" s="713" t="s">
        <v>44</v>
      </c>
      <c r="F135" s="789" t="s">
        <v>27</v>
      </c>
      <c r="G135" s="789"/>
      <c r="H135" s="789"/>
      <c r="I135" s="781" t="s">
        <v>318</v>
      </c>
      <c r="J135" s="781" t="s">
        <v>345</v>
      </c>
      <c r="K135" s="714"/>
      <c r="L135" s="715"/>
      <c r="M135" s="715"/>
      <c r="N135" s="716"/>
      <c r="O135" s="783"/>
      <c r="P135" s="784"/>
      <c r="Q135" s="783"/>
      <c r="R135" s="783"/>
      <c r="S135" s="783"/>
      <c r="T135" s="783"/>
      <c r="U135" s="783"/>
      <c r="V135" s="783"/>
      <c r="W135" s="783"/>
      <c r="X135" s="784"/>
      <c r="Y135" s="783"/>
      <c r="Z135" s="783"/>
      <c r="AA135" s="783"/>
      <c r="AB135" s="783"/>
      <c r="AC135" s="784"/>
      <c r="AD135" s="783"/>
      <c r="AE135" s="783"/>
      <c r="AF135" s="783"/>
      <c r="AG135" s="785"/>
      <c r="AI135" s="702"/>
      <c r="AJ135" s="717" t="str">
        <f t="shared" ref="AJ135:AS135" si="233">IFERROR((X135-W135)/W135,"")</f>
        <v/>
      </c>
      <c r="AK135" s="718" t="str">
        <f t="shared" si="233"/>
        <v/>
      </c>
      <c r="AL135" s="718" t="str">
        <f t="shared" si="233"/>
        <v/>
      </c>
      <c r="AM135" s="718" t="str">
        <f t="shared" si="233"/>
        <v/>
      </c>
      <c r="AN135" s="718" t="str">
        <f t="shared" si="233"/>
        <v/>
      </c>
      <c r="AO135" s="719" t="str">
        <f t="shared" si="233"/>
        <v/>
      </c>
      <c r="AP135" s="494" t="str">
        <f t="shared" si="233"/>
        <v/>
      </c>
      <c r="AQ135" s="494" t="str">
        <f t="shared" si="233"/>
        <v/>
      </c>
      <c r="AR135" s="494" t="str">
        <f t="shared" si="233"/>
        <v/>
      </c>
      <c r="AS135" s="720" t="str">
        <f t="shared" si="233"/>
        <v/>
      </c>
      <c r="AU135" s="1369"/>
      <c r="AW135" s="1412" t="str">
        <f t="shared" si="230"/>
        <v>Price</v>
      </c>
      <c r="AX135" s="1413" t="str">
        <f t="shared" si="230"/>
        <v>[Service]</v>
      </c>
      <c r="AY135" s="1414" t="str">
        <f t="shared" si="194"/>
        <v>[Price]</v>
      </c>
      <c r="AZ135" s="1415" t="str">
        <f t="shared" si="195"/>
        <v>-</v>
      </c>
      <c r="BA135" s="1415" t="str">
        <f t="shared" si="195"/>
        <v>-</v>
      </c>
      <c r="BB135" s="1415" t="str">
        <f t="shared" si="195"/>
        <v>-</v>
      </c>
      <c r="BC135" s="1415" t="str">
        <f t="shared" si="195"/>
        <v>-</v>
      </c>
      <c r="BD135" s="1415" t="str">
        <f t="shared" si="196"/>
        <v>-</v>
      </c>
      <c r="BE135" s="1415" t="str">
        <f t="shared" si="197"/>
        <v>-</v>
      </c>
      <c r="BF135" s="1415" t="str">
        <f t="shared" si="198"/>
        <v>-</v>
      </c>
      <c r="BG135" s="1416" t="str">
        <f t="shared" si="199"/>
        <v>-</v>
      </c>
      <c r="BH135" s="1417" t="str">
        <f t="shared" si="200"/>
        <v>-</v>
      </c>
      <c r="BI135" s="1417" t="str">
        <f t="shared" si="201"/>
        <v>-</v>
      </c>
      <c r="BJ135" s="1417" t="str">
        <f t="shared" si="202"/>
        <v>-</v>
      </c>
      <c r="BK135" s="1417" t="str">
        <f t="shared" si="203"/>
        <v>-</v>
      </c>
      <c r="BL135" s="1418" t="str">
        <f t="shared" si="204"/>
        <v>-</v>
      </c>
      <c r="BM135" s="1417" t="str">
        <f t="shared" si="205"/>
        <v>-</v>
      </c>
      <c r="BN135" s="1417" t="str">
        <f t="shared" si="206"/>
        <v>-</v>
      </c>
      <c r="BO135" s="1417" t="str">
        <f t="shared" si="207"/>
        <v>-</v>
      </c>
      <c r="BP135" s="1417" t="str">
        <f t="shared" si="208"/>
        <v>-</v>
      </c>
      <c r="BQ135" s="1419" t="str">
        <f t="shared" si="209"/>
        <v>-</v>
      </c>
      <c r="BR135" s="1378"/>
      <c r="BS135" s="1420"/>
      <c r="BT135" s="1421"/>
      <c r="BU135" s="1422"/>
      <c r="BV135" s="1423"/>
      <c r="BW135" s="1378"/>
      <c r="BX135" s="1412" t="str">
        <f t="shared" si="210"/>
        <v>Price</v>
      </c>
      <c r="BY135" s="1413" t="str">
        <f t="shared" si="105"/>
        <v>[Service]</v>
      </c>
      <c r="BZ135" s="1414" t="str">
        <f t="shared" si="106"/>
        <v>[Price]</v>
      </c>
      <c r="CA135" s="1424" t="str">
        <f>IFERROR((S135/R135-1)*(R137/R$13),"-")</f>
        <v>-</v>
      </c>
      <c r="CB135" s="1415" t="str">
        <f>IFERROR((T135/S135-1)*(S137/S$13),"-")</f>
        <v>-</v>
      </c>
      <c r="CC135" s="1415" t="str">
        <f>IFERROR((U135/T135-1)*(T137/T$13),"-")</f>
        <v>-</v>
      </c>
      <c r="CD135" s="1415" t="str">
        <f>IFERROR((V135/U135-1)*(U137/U$13),"-")</f>
        <v>-</v>
      </c>
      <c r="CE135" s="1415" t="str">
        <f t="shared" ref="CE135:CR135" si="234">IFERROR((T135/S135-1)*(S137/S$13),"-")</f>
        <v>-</v>
      </c>
      <c r="CF135" s="1415" t="str">
        <f t="shared" si="234"/>
        <v>-</v>
      </c>
      <c r="CG135" s="1415" t="str">
        <f t="shared" si="234"/>
        <v>-</v>
      </c>
      <c r="CH135" s="1425" t="str">
        <f t="shared" si="234"/>
        <v>-</v>
      </c>
      <c r="CI135" s="1417" t="str">
        <f t="shared" si="234"/>
        <v>-</v>
      </c>
      <c r="CJ135" s="1417" t="str">
        <f t="shared" si="234"/>
        <v>-</v>
      </c>
      <c r="CK135" s="1417" t="str">
        <f t="shared" si="234"/>
        <v>-</v>
      </c>
      <c r="CL135" s="1417" t="str">
        <f t="shared" si="234"/>
        <v>-</v>
      </c>
      <c r="CM135" s="1418" t="str">
        <f t="shared" si="234"/>
        <v>-</v>
      </c>
      <c r="CN135" s="1417" t="str">
        <f t="shared" si="234"/>
        <v>-</v>
      </c>
      <c r="CO135" s="1417" t="str">
        <f t="shared" si="234"/>
        <v>-</v>
      </c>
      <c r="CP135" s="1417" t="str">
        <f t="shared" si="234"/>
        <v>-</v>
      </c>
      <c r="CQ135" s="1417" t="str">
        <f t="shared" si="234"/>
        <v>-</v>
      </c>
      <c r="CR135" s="1419" t="str">
        <f t="shared" si="234"/>
        <v>-</v>
      </c>
      <c r="CS135" s="1378"/>
      <c r="CT135" s="1412" t="str">
        <f t="shared" si="191"/>
        <v>Price</v>
      </c>
      <c r="CU135" s="1413" t="str">
        <f t="shared" si="192"/>
        <v>[Service]</v>
      </c>
      <c r="CV135" s="1426" t="str">
        <f t="shared" si="193"/>
        <v>[Price]</v>
      </c>
      <c r="CW135" s="1427" t="str">
        <f t="shared" si="212"/>
        <v>-</v>
      </c>
      <c r="CX135" s="1417" t="str">
        <f t="shared" si="213"/>
        <v>-</v>
      </c>
      <c r="CY135" s="1417" t="str">
        <f t="shared" si="214"/>
        <v>-</v>
      </c>
      <c r="CZ135" s="1418" t="str">
        <f t="shared" si="215"/>
        <v>-</v>
      </c>
      <c r="DA135" s="1417" t="str">
        <f t="shared" si="216"/>
        <v>-</v>
      </c>
      <c r="DB135" s="1417" t="str">
        <f t="shared" si="217"/>
        <v>-</v>
      </c>
      <c r="DC135" s="1417" t="str">
        <f t="shared" si="218"/>
        <v>-</v>
      </c>
      <c r="DD135" s="1417" t="str">
        <f t="shared" si="219"/>
        <v>-</v>
      </c>
      <c r="DE135" s="1419" t="str">
        <f t="shared" si="220"/>
        <v>-</v>
      </c>
      <c r="DF135" s="1378"/>
      <c r="DG135" s="1412" t="str">
        <f t="shared" si="232"/>
        <v>Price</v>
      </c>
      <c r="DH135" s="1413" t="str">
        <f t="shared" si="232"/>
        <v>[Service]</v>
      </c>
      <c r="DI135" s="1426" t="str">
        <f t="shared" si="232"/>
        <v>[Price]</v>
      </c>
      <c r="DJ135" s="1427" t="str">
        <f t="shared" si="221"/>
        <v>-</v>
      </c>
      <c r="DK135" s="1417" t="str">
        <f t="shared" si="222"/>
        <v>-</v>
      </c>
      <c r="DL135" s="1417" t="str">
        <f t="shared" si="223"/>
        <v>-</v>
      </c>
      <c r="DM135" s="1418" t="str">
        <f t="shared" si="224"/>
        <v>-</v>
      </c>
      <c r="DN135" s="1417" t="str">
        <f t="shared" si="225"/>
        <v>-</v>
      </c>
      <c r="DO135" s="1417" t="str">
        <f t="shared" si="226"/>
        <v>-</v>
      </c>
      <c r="DP135" s="1417" t="str">
        <f t="shared" si="227"/>
        <v>-</v>
      </c>
      <c r="DQ135" s="1419" t="str">
        <f t="shared" si="228"/>
        <v>-</v>
      </c>
    </row>
    <row r="136" spans="4:121">
      <c r="E136" s="742" t="s">
        <v>45</v>
      </c>
      <c r="F136" s="722" t="str">
        <f>+F135</f>
        <v>[Service]</v>
      </c>
      <c r="G136" s="723">
        <f>+G135</f>
        <v>0</v>
      </c>
      <c r="H136" s="723">
        <f>+H135</f>
        <v>0</v>
      </c>
      <c r="I136" s="724" t="str">
        <f>+I135</f>
        <v>[Price]</v>
      </c>
      <c r="J136" s="782" t="s">
        <v>322</v>
      </c>
      <c r="K136" s="725"/>
      <c r="L136" s="726"/>
      <c r="M136" s="726"/>
      <c r="N136" s="727"/>
      <c r="O136" s="786"/>
      <c r="P136" s="787"/>
      <c r="Q136" s="786"/>
      <c r="R136" s="786"/>
      <c r="S136" s="786"/>
      <c r="T136" s="786"/>
      <c r="U136" s="786"/>
      <c r="V136" s="786"/>
      <c r="W136" s="786"/>
      <c r="X136" s="787"/>
      <c r="Y136" s="786"/>
      <c r="Z136" s="786"/>
      <c r="AA136" s="786"/>
      <c r="AB136" s="786"/>
      <c r="AC136" s="787"/>
      <c r="AD136" s="786"/>
      <c r="AE136" s="786"/>
      <c r="AF136" s="786"/>
      <c r="AG136" s="788"/>
      <c r="AH136" s="823"/>
      <c r="AI136" s="702"/>
      <c r="AJ136" s="728"/>
      <c r="AK136" s="729"/>
      <c r="AL136" s="729"/>
      <c r="AM136" s="729"/>
      <c r="AN136" s="729"/>
      <c r="AO136" s="730"/>
      <c r="AP136" s="74"/>
      <c r="AQ136" s="74"/>
      <c r="AR136" s="74"/>
      <c r="AS136" s="106"/>
      <c r="AW136" s="1392" t="str">
        <f t="shared" si="230"/>
        <v>Qty</v>
      </c>
      <c r="AX136" s="1393" t="str">
        <f t="shared" si="230"/>
        <v>[Service]</v>
      </c>
      <c r="AY136" s="1394" t="str">
        <f t="shared" si="194"/>
        <v>[Price]</v>
      </c>
      <c r="AZ136" s="1395" t="str">
        <f t="shared" si="195"/>
        <v>-</v>
      </c>
      <c r="BA136" s="1395" t="str">
        <f t="shared" si="195"/>
        <v>-</v>
      </c>
      <c r="BB136" s="1395" t="str">
        <f t="shared" si="195"/>
        <v>-</v>
      </c>
      <c r="BC136" s="1395" t="str">
        <f t="shared" si="195"/>
        <v>-</v>
      </c>
      <c r="BD136" s="1395" t="str">
        <f t="shared" si="196"/>
        <v>-</v>
      </c>
      <c r="BE136" s="1395" t="str">
        <f t="shared" si="197"/>
        <v>-</v>
      </c>
      <c r="BF136" s="1395" t="str">
        <f t="shared" si="198"/>
        <v>-</v>
      </c>
      <c r="BG136" s="1396" t="str">
        <f t="shared" si="199"/>
        <v>-</v>
      </c>
      <c r="BH136" s="1395" t="str">
        <f t="shared" si="200"/>
        <v>-</v>
      </c>
      <c r="BI136" s="1395" t="str">
        <f t="shared" si="201"/>
        <v>-</v>
      </c>
      <c r="BJ136" s="1395" t="str">
        <f t="shared" si="202"/>
        <v>-</v>
      </c>
      <c r="BK136" s="1395" t="str">
        <f t="shared" si="203"/>
        <v>-</v>
      </c>
      <c r="BL136" s="1397" t="str">
        <f t="shared" si="204"/>
        <v>-</v>
      </c>
      <c r="BM136" s="1395" t="str">
        <f t="shared" si="205"/>
        <v>-</v>
      </c>
      <c r="BN136" s="1395" t="str">
        <f t="shared" si="206"/>
        <v>-</v>
      </c>
      <c r="BO136" s="1395" t="str">
        <f t="shared" si="207"/>
        <v>-</v>
      </c>
      <c r="BP136" s="1395" t="str">
        <f t="shared" si="208"/>
        <v>-</v>
      </c>
      <c r="BQ136" s="1398" t="str">
        <f t="shared" si="209"/>
        <v>-</v>
      </c>
      <c r="BR136" s="1378"/>
      <c r="BS136" s="1329"/>
      <c r="BT136" s="1399"/>
      <c r="BU136" s="1331"/>
      <c r="BV136" s="1400"/>
      <c r="BW136" s="1378"/>
      <c r="BX136" s="1392" t="str">
        <f t="shared" si="210"/>
        <v>Qty</v>
      </c>
      <c r="BY136" s="1393" t="str">
        <f t="shared" si="105"/>
        <v>[Service]</v>
      </c>
      <c r="BZ136" s="1394" t="str">
        <f t="shared" si="106"/>
        <v>[Price]</v>
      </c>
      <c r="CA136" s="1401" t="str">
        <f>IFERROR((S136/R136-1)*(R137/R$13),"-")</f>
        <v>-</v>
      </c>
      <c r="CB136" s="1395" t="str">
        <f>IFERROR((T136/S136-1)*(S137/S$13),"-")</f>
        <v>-</v>
      </c>
      <c r="CC136" s="1395" t="str">
        <f>IFERROR((U136/T136-1)*(T137/T$13),"-")</f>
        <v>-</v>
      </c>
      <c r="CD136" s="1395" t="str">
        <f>IFERROR((V136/U136-1)*(U137/U$13),"-")</f>
        <v>-</v>
      </c>
      <c r="CE136" s="1395" t="str">
        <f t="shared" ref="CE136:CR136" si="235">IFERROR((T136/S136-1)*(S137/S$13),"-")</f>
        <v>-</v>
      </c>
      <c r="CF136" s="1395" t="str">
        <f t="shared" si="235"/>
        <v>-</v>
      </c>
      <c r="CG136" s="1395" t="str">
        <f t="shared" si="235"/>
        <v>-</v>
      </c>
      <c r="CH136" s="1397" t="str">
        <f t="shared" si="235"/>
        <v>-</v>
      </c>
      <c r="CI136" s="1395" t="str">
        <f t="shared" si="235"/>
        <v>-</v>
      </c>
      <c r="CJ136" s="1395" t="str">
        <f t="shared" si="235"/>
        <v>-</v>
      </c>
      <c r="CK136" s="1395" t="str">
        <f t="shared" si="235"/>
        <v>-</v>
      </c>
      <c r="CL136" s="1395" t="str">
        <f t="shared" si="235"/>
        <v>-</v>
      </c>
      <c r="CM136" s="1397" t="str">
        <f t="shared" si="235"/>
        <v>-</v>
      </c>
      <c r="CN136" s="1395" t="str">
        <f t="shared" si="235"/>
        <v>-</v>
      </c>
      <c r="CO136" s="1395" t="str">
        <f t="shared" si="235"/>
        <v>-</v>
      </c>
      <c r="CP136" s="1395" t="str">
        <f t="shared" si="235"/>
        <v>-</v>
      </c>
      <c r="CQ136" s="1395" t="str">
        <f t="shared" si="235"/>
        <v>-</v>
      </c>
      <c r="CR136" s="1398" t="str">
        <f t="shared" si="235"/>
        <v>-</v>
      </c>
      <c r="CS136" s="1378"/>
      <c r="CT136" s="1392" t="str">
        <f t="shared" si="191"/>
        <v>Qty</v>
      </c>
      <c r="CU136" s="1393" t="str">
        <f t="shared" si="192"/>
        <v>[Service]</v>
      </c>
      <c r="CV136" s="1393" t="str">
        <f t="shared" si="193"/>
        <v>[Price]</v>
      </c>
      <c r="CW136" s="1401" t="str">
        <f t="shared" si="212"/>
        <v>-</v>
      </c>
      <c r="CX136" s="1395" t="str">
        <f t="shared" si="213"/>
        <v>-</v>
      </c>
      <c r="CY136" s="1395" t="str">
        <f t="shared" si="214"/>
        <v>-</v>
      </c>
      <c r="CZ136" s="1397" t="str">
        <f t="shared" si="215"/>
        <v>-</v>
      </c>
      <c r="DA136" s="1395" t="str">
        <f t="shared" si="216"/>
        <v>-</v>
      </c>
      <c r="DB136" s="1395" t="str">
        <f t="shared" si="217"/>
        <v>-</v>
      </c>
      <c r="DC136" s="1395" t="str">
        <f t="shared" si="218"/>
        <v>-</v>
      </c>
      <c r="DD136" s="1395" t="str">
        <f t="shared" si="219"/>
        <v>-</v>
      </c>
      <c r="DE136" s="1398" t="str">
        <f t="shared" si="220"/>
        <v>-</v>
      </c>
      <c r="DF136" s="1378"/>
      <c r="DG136" s="1392" t="str">
        <f t="shared" si="232"/>
        <v>Qty</v>
      </c>
      <c r="DH136" s="1393" t="str">
        <f t="shared" si="232"/>
        <v>[Service]</v>
      </c>
      <c r="DI136" s="1393" t="str">
        <f t="shared" si="232"/>
        <v>[Price]</v>
      </c>
      <c r="DJ136" s="1401" t="str">
        <f t="shared" si="221"/>
        <v>-</v>
      </c>
      <c r="DK136" s="1395" t="str">
        <f t="shared" si="222"/>
        <v>-</v>
      </c>
      <c r="DL136" s="1395" t="str">
        <f t="shared" si="223"/>
        <v>-</v>
      </c>
      <c r="DM136" s="1397" t="str">
        <f t="shared" si="224"/>
        <v>-</v>
      </c>
      <c r="DN136" s="1395" t="str">
        <f t="shared" si="225"/>
        <v>-</v>
      </c>
      <c r="DO136" s="1395" t="str">
        <f t="shared" si="226"/>
        <v>-</v>
      </c>
      <c r="DP136" s="1395" t="str">
        <f t="shared" si="227"/>
        <v>-</v>
      </c>
      <c r="DQ136" s="1398" t="str">
        <f t="shared" si="228"/>
        <v>-</v>
      </c>
    </row>
    <row r="137" spans="4:121" ht="12.75" thickBot="1">
      <c r="E137" s="743" t="s">
        <v>46</v>
      </c>
      <c r="F137" s="732" t="str">
        <f>+F135</f>
        <v>[Service]</v>
      </c>
      <c r="G137" s="733">
        <f>+G135</f>
        <v>0</v>
      </c>
      <c r="H137" s="733">
        <f>+H135</f>
        <v>0</v>
      </c>
      <c r="I137" s="734" t="str">
        <f>+I135</f>
        <v>[Price]</v>
      </c>
      <c r="J137" s="735" t="s">
        <v>344</v>
      </c>
      <c r="K137" s="736">
        <f t="shared" ref="K137:AG137" si="236">K135*K136/10^6</f>
        <v>0</v>
      </c>
      <c r="L137" s="737">
        <f t="shared" si="236"/>
        <v>0</v>
      </c>
      <c r="M137" s="737">
        <f t="shared" si="236"/>
        <v>0</v>
      </c>
      <c r="N137" s="738">
        <f t="shared" si="236"/>
        <v>0</v>
      </c>
      <c r="O137" s="737">
        <f t="shared" si="236"/>
        <v>0</v>
      </c>
      <c r="P137" s="738">
        <f t="shared" si="236"/>
        <v>0</v>
      </c>
      <c r="Q137" s="737">
        <f t="shared" si="236"/>
        <v>0</v>
      </c>
      <c r="R137" s="737">
        <f t="shared" si="236"/>
        <v>0</v>
      </c>
      <c r="S137" s="737">
        <f t="shared" si="236"/>
        <v>0</v>
      </c>
      <c r="T137" s="737">
        <f t="shared" si="236"/>
        <v>0</v>
      </c>
      <c r="U137" s="737">
        <f t="shared" si="236"/>
        <v>0</v>
      </c>
      <c r="V137" s="737">
        <f t="shared" si="236"/>
        <v>0</v>
      </c>
      <c r="W137" s="737">
        <f t="shared" si="236"/>
        <v>0</v>
      </c>
      <c r="X137" s="738">
        <f t="shared" si="236"/>
        <v>0</v>
      </c>
      <c r="Y137" s="737">
        <f t="shared" si="236"/>
        <v>0</v>
      </c>
      <c r="Z137" s="737">
        <f t="shared" si="236"/>
        <v>0</v>
      </c>
      <c r="AA137" s="737">
        <f t="shared" si="236"/>
        <v>0</v>
      </c>
      <c r="AB137" s="737">
        <f t="shared" si="236"/>
        <v>0</v>
      </c>
      <c r="AC137" s="738">
        <f t="shared" si="236"/>
        <v>0</v>
      </c>
      <c r="AD137" s="737">
        <f t="shared" si="236"/>
        <v>0</v>
      </c>
      <c r="AE137" s="737">
        <f t="shared" si="236"/>
        <v>0</v>
      </c>
      <c r="AF137" s="737">
        <f t="shared" si="236"/>
        <v>0</v>
      </c>
      <c r="AG137" s="739">
        <f t="shared" si="236"/>
        <v>0</v>
      </c>
      <c r="AH137" s="823"/>
      <c r="AI137" s="744"/>
      <c r="AJ137" s="741"/>
      <c r="AK137" s="729"/>
      <c r="AL137" s="729"/>
      <c r="AM137" s="729"/>
      <c r="AN137" s="729"/>
      <c r="AO137" s="730"/>
      <c r="AP137" s="74"/>
      <c r="AQ137" s="74"/>
      <c r="AR137" s="74"/>
      <c r="AS137" s="106"/>
      <c r="AW137" s="1428" t="str">
        <f t="shared" si="230"/>
        <v>Rev</v>
      </c>
      <c r="AX137" s="1429" t="str">
        <f t="shared" si="230"/>
        <v>[Service]</v>
      </c>
      <c r="AY137" s="1430" t="str">
        <f t="shared" si="194"/>
        <v>[Price]</v>
      </c>
      <c r="AZ137" s="1431" t="str">
        <f t="shared" si="195"/>
        <v>-</v>
      </c>
      <c r="BA137" s="1431" t="str">
        <f t="shared" si="195"/>
        <v>-</v>
      </c>
      <c r="BB137" s="1431" t="str">
        <f t="shared" si="195"/>
        <v>-</v>
      </c>
      <c r="BC137" s="1431" t="str">
        <f t="shared" si="195"/>
        <v>-</v>
      </c>
      <c r="BD137" s="1431" t="str">
        <f t="shared" si="196"/>
        <v>-</v>
      </c>
      <c r="BE137" s="1431" t="str">
        <f t="shared" si="197"/>
        <v>-</v>
      </c>
      <c r="BF137" s="1431" t="str">
        <f t="shared" si="198"/>
        <v>-</v>
      </c>
      <c r="BG137" s="1432" t="str">
        <f t="shared" si="199"/>
        <v>-</v>
      </c>
      <c r="BH137" s="1431" t="str">
        <f t="shared" si="200"/>
        <v>-</v>
      </c>
      <c r="BI137" s="1431" t="str">
        <f t="shared" si="201"/>
        <v>-</v>
      </c>
      <c r="BJ137" s="1431" t="str">
        <f t="shared" si="202"/>
        <v>-</v>
      </c>
      <c r="BK137" s="1431" t="str">
        <f t="shared" si="203"/>
        <v>-</v>
      </c>
      <c r="BL137" s="1433" t="str">
        <f t="shared" si="204"/>
        <v>-</v>
      </c>
      <c r="BM137" s="1431" t="str">
        <f t="shared" si="205"/>
        <v>-</v>
      </c>
      <c r="BN137" s="1431" t="str">
        <f t="shared" si="206"/>
        <v>-</v>
      </c>
      <c r="BO137" s="1431" t="str">
        <f t="shared" si="207"/>
        <v>-</v>
      </c>
      <c r="BP137" s="1431" t="str">
        <f t="shared" si="208"/>
        <v>-</v>
      </c>
      <c r="BQ137" s="1434" t="str">
        <f t="shared" si="209"/>
        <v>-</v>
      </c>
      <c r="BR137" s="1378"/>
      <c r="BS137" s="1407"/>
      <c r="BT137" s="1408"/>
      <c r="BU137" s="1409"/>
      <c r="BV137" s="1410"/>
      <c r="BW137" s="1378"/>
      <c r="BX137" s="1428" t="str">
        <f t="shared" si="210"/>
        <v>Rev</v>
      </c>
      <c r="BY137" s="1429" t="str">
        <f t="shared" si="105"/>
        <v>[Service]</v>
      </c>
      <c r="BZ137" s="1430" t="str">
        <f t="shared" si="106"/>
        <v>[Price]</v>
      </c>
      <c r="CA137" s="1435" t="str">
        <f>IFERROR((S137/R137-1)*(R137/R$13),"-")</f>
        <v>-</v>
      </c>
      <c r="CB137" s="1431" t="str">
        <f>IFERROR((T137/S137-1)*(S137/S$13),"-")</f>
        <v>-</v>
      </c>
      <c r="CC137" s="1431" t="str">
        <f>IFERROR((U137/T137-1)*(T137/T$13),"-")</f>
        <v>-</v>
      </c>
      <c r="CD137" s="1431" t="str">
        <f>IFERROR((V137/U137-1)*(U137/U$13),"-")</f>
        <v>-</v>
      </c>
      <c r="CE137" s="1431" t="str">
        <f t="shared" ref="CE137:CR137" si="237">IFERROR((T137/S137-1)*(S137/S$13),"-")</f>
        <v>-</v>
      </c>
      <c r="CF137" s="1431" t="str">
        <f t="shared" si="237"/>
        <v>-</v>
      </c>
      <c r="CG137" s="1431" t="str">
        <f t="shared" si="237"/>
        <v>-</v>
      </c>
      <c r="CH137" s="1433" t="str">
        <f t="shared" si="237"/>
        <v>-</v>
      </c>
      <c r="CI137" s="1431" t="str">
        <f t="shared" si="237"/>
        <v>-</v>
      </c>
      <c r="CJ137" s="1431" t="str">
        <f t="shared" si="237"/>
        <v>-</v>
      </c>
      <c r="CK137" s="1431" t="str">
        <f t="shared" si="237"/>
        <v>-</v>
      </c>
      <c r="CL137" s="1431" t="str">
        <f t="shared" si="237"/>
        <v>-</v>
      </c>
      <c r="CM137" s="1433" t="str">
        <f t="shared" si="237"/>
        <v>-</v>
      </c>
      <c r="CN137" s="1431" t="str">
        <f t="shared" si="237"/>
        <v>-</v>
      </c>
      <c r="CO137" s="1431" t="str">
        <f t="shared" si="237"/>
        <v>-</v>
      </c>
      <c r="CP137" s="1431" t="str">
        <f t="shared" si="237"/>
        <v>-</v>
      </c>
      <c r="CQ137" s="1431" t="str">
        <f t="shared" si="237"/>
        <v>-</v>
      </c>
      <c r="CR137" s="1434" t="str">
        <f t="shared" si="237"/>
        <v>-</v>
      </c>
      <c r="CS137" s="1378"/>
      <c r="CT137" s="1428" t="str">
        <f t="shared" si="191"/>
        <v>Rev</v>
      </c>
      <c r="CU137" s="1429" t="str">
        <f t="shared" si="192"/>
        <v>[Service]</v>
      </c>
      <c r="CV137" s="1429" t="str">
        <f t="shared" si="193"/>
        <v>[Price]</v>
      </c>
      <c r="CW137" s="1435" t="str">
        <f t="shared" si="212"/>
        <v>-</v>
      </c>
      <c r="CX137" s="1431" t="str">
        <f t="shared" si="213"/>
        <v>-</v>
      </c>
      <c r="CY137" s="1431" t="str">
        <f t="shared" si="214"/>
        <v>-</v>
      </c>
      <c r="CZ137" s="1433" t="str">
        <f t="shared" si="215"/>
        <v>-</v>
      </c>
      <c r="DA137" s="1431" t="str">
        <f t="shared" si="216"/>
        <v>-</v>
      </c>
      <c r="DB137" s="1431" t="str">
        <f t="shared" si="217"/>
        <v>-</v>
      </c>
      <c r="DC137" s="1431" t="str">
        <f t="shared" si="218"/>
        <v>-</v>
      </c>
      <c r="DD137" s="1431" t="str">
        <f t="shared" si="219"/>
        <v>-</v>
      </c>
      <c r="DE137" s="1434" t="str">
        <f t="shared" si="220"/>
        <v>-</v>
      </c>
      <c r="DF137" s="1378"/>
      <c r="DG137" s="1428" t="str">
        <f t="shared" si="232"/>
        <v>Rev</v>
      </c>
      <c r="DH137" s="1429" t="str">
        <f t="shared" si="232"/>
        <v>[Service]</v>
      </c>
      <c r="DI137" s="1429" t="str">
        <f t="shared" si="232"/>
        <v>[Price]</v>
      </c>
      <c r="DJ137" s="1435" t="str">
        <f t="shared" si="221"/>
        <v>-</v>
      </c>
      <c r="DK137" s="1431" t="str">
        <f t="shared" si="222"/>
        <v>-</v>
      </c>
      <c r="DL137" s="1431" t="str">
        <f t="shared" si="223"/>
        <v>-</v>
      </c>
      <c r="DM137" s="1433" t="str">
        <f t="shared" si="224"/>
        <v>-</v>
      </c>
      <c r="DN137" s="1431" t="str">
        <f t="shared" si="225"/>
        <v>-</v>
      </c>
      <c r="DO137" s="1431" t="str">
        <f t="shared" si="226"/>
        <v>-</v>
      </c>
      <c r="DP137" s="1431" t="str">
        <f t="shared" si="227"/>
        <v>-</v>
      </c>
      <c r="DQ137" s="1434" t="str">
        <f t="shared" si="228"/>
        <v>-</v>
      </c>
    </row>
    <row r="138" spans="4:121">
      <c r="D138" s="70">
        <f>D135+1</f>
        <v>24</v>
      </c>
      <c r="E138" s="713" t="s">
        <v>44</v>
      </c>
      <c r="F138" s="789" t="s">
        <v>27</v>
      </c>
      <c r="G138" s="789"/>
      <c r="H138" s="789"/>
      <c r="I138" s="781" t="s">
        <v>318</v>
      </c>
      <c r="J138" s="781" t="s">
        <v>345</v>
      </c>
      <c r="K138" s="714"/>
      <c r="L138" s="715"/>
      <c r="M138" s="715"/>
      <c r="N138" s="716"/>
      <c r="O138" s="783"/>
      <c r="P138" s="784"/>
      <c r="Q138" s="783"/>
      <c r="R138" s="783"/>
      <c r="S138" s="783"/>
      <c r="T138" s="783"/>
      <c r="U138" s="783"/>
      <c r="V138" s="783"/>
      <c r="W138" s="783"/>
      <c r="X138" s="784"/>
      <c r="Y138" s="783"/>
      <c r="Z138" s="783"/>
      <c r="AA138" s="783"/>
      <c r="AB138" s="783"/>
      <c r="AC138" s="784"/>
      <c r="AD138" s="783"/>
      <c r="AE138" s="783"/>
      <c r="AF138" s="783"/>
      <c r="AG138" s="785"/>
      <c r="AI138" s="702"/>
      <c r="AJ138" s="717" t="str">
        <f t="shared" ref="AJ138:AS138" si="238">IFERROR((X138-W138)/W138,"")</f>
        <v/>
      </c>
      <c r="AK138" s="718" t="str">
        <f t="shared" si="238"/>
        <v/>
      </c>
      <c r="AL138" s="718" t="str">
        <f t="shared" si="238"/>
        <v/>
      </c>
      <c r="AM138" s="718" t="str">
        <f t="shared" si="238"/>
        <v/>
      </c>
      <c r="AN138" s="718" t="str">
        <f t="shared" si="238"/>
        <v/>
      </c>
      <c r="AO138" s="719" t="str">
        <f t="shared" si="238"/>
        <v/>
      </c>
      <c r="AP138" s="494" t="str">
        <f t="shared" si="238"/>
        <v/>
      </c>
      <c r="AQ138" s="494" t="str">
        <f t="shared" si="238"/>
        <v/>
      </c>
      <c r="AR138" s="494" t="str">
        <f t="shared" si="238"/>
        <v/>
      </c>
      <c r="AS138" s="720" t="str">
        <f t="shared" si="238"/>
        <v/>
      </c>
      <c r="AU138" s="1369"/>
      <c r="AW138" s="1412" t="str">
        <f t="shared" si="230"/>
        <v>Price</v>
      </c>
      <c r="AX138" s="1413" t="str">
        <f t="shared" si="230"/>
        <v>[Service]</v>
      </c>
      <c r="AY138" s="1414" t="str">
        <f t="shared" si="194"/>
        <v>[Price]</v>
      </c>
      <c r="AZ138" s="1415" t="str">
        <f t="shared" si="195"/>
        <v>-</v>
      </c>
      <c r="BA138" s="1415" t="str">
        <f t="shared" si="195"/>
        <v>-</v>
      </c>
      <c r="BB138" s="1415" t="str">
        <f t="shared" si="195"/>
        <v>-</v>
      </c>
      <c r="BC138" s="1415" t="str">
        <f t="shared" si="195"/>
        <v>-</v>
      </c>
      <c r="BD138" s="1415" t="str">
        <f t="shared" si="196"/>
        <v>-</v>
      </c>
      <c r="BE138" s="1415" t="str">
        <f t="shared" si="197"/>
        <v>-</v>
      </c>
      <c r="BF138" s="1415" t="str">
        <f t="shared" si="198"/>
        <v>-</v>
      </c>
      <c r="BG138" s="1416" t="str">
        <f t="shared" si="199"/>
        <v>-</v>
      </c>
      <c r="BH138" s="1417" t="str">
        <f t="shared" si="200"/>
        <v>-</v>
      </c>
      <c r="BI138" s="1417" t="str">
        <f t="shared" si="201"/>
        <v>-</v>
      </c>
      <c r="BJ138" s="1417" t="str">
        <f t="shared" si="202"/>
        <v>-</v>
      </c>
      <c r="BK138" s="1417" t="str">
        <f t="shared" si="203"/>
        <v>-</v>
      </c>
      <c r="BL138" s="1418" t="str">
        <f t="shared" si="204"/>
        <v>-</v>
      </c>
      <c r="BM138" s="1417" t="str">
        <f t="shared" si="205"/>
        <v>-</v>
      </c>
      <c r="BN138" s="1417" t="str">
        <f t="shared" si="206"/>
        <v>-</v>
      </c>
      <c r="BO138" s="1417" t="str">
        <f t="shared" si="207"/>
        <v>-</v>
      </c>
      <c r="BP138" s="1417" t="str">
        <f t="shared" si="208"/>
        <v>-</v>
      </c>
      <c r="BQ138" s="1419" t="str">
        <f t="shared" si="209"/>
        <v>-</v>
      </c>
      <c r="BR138" s="1378"/>
      <c r="BS138" s="1420"/>
      <c r="BT138" s="1421"/>
      <c r="BU138" s="1422"/>
      <c r="BV138" s="1423"/>
      <c r="BW138" s="1378"/>
      <c r="BX138" s="1412" t="str">
        <f t="shared" si="210"/>
        <v>Price</v>
      </c>
      <c r="BY138" s="1413" t="str">
        <f t="shared" si="105"/>
        <v>[Service]</v>
      </c>
      <c r="BZ138" s="1414" t="str">
        <f t="shared" si="106"/>
        <v>[Price]</v>
      </c>
      <c r="CA138" s="1424" t="str">
        <f>IFERROR((S138/R138-1)*(R140/R$13),"-")</f>
        <v>-</v>
      </c>
      <c r="CB138" s="1415" t="str">
        <f>IFERROR((T138/S138-1)*(S140/S$13),"-")</f>
        <v>-</v>
      </c>
      <c r="CC138" s="1415" t="str">
        <f>IFERROR((U138/T138-1)*(T140/T$13),"-")</f>
        <v>-</v>
      </c>
      <c r="CD138" s="1415" t="str">
        <f>IFERROR((V138/U138-1)*(U140/U$13),"-")</f>
        <v>-</v>
      </c>
      <c r="CE138" s="1415" t="str">
        <f t="shared" ref="CE138:CR138" si="239">IFERROR((T138/S138-1)*(S140/S$13),"-")</f>
        <v>-</v>
      </c>
      <c r="CF138" s="1415" t="str">
        <f t="shared" si="239"/>
        <v>-</v>
      </c>
      <c r="CG138" s="1415" t="str">
        <f t="shared" si="239"/>
        <v>-</v>
      </c>
      <c r="CH138" s="1425" t="str">
        <f t="shared" si="239"/>
        <v>-</v>
      </c>
      <c r="CI138" s="1417" t="str">
        <f t="shared" si="239"/>
        <v>-</v>
      </c>
      <c r="CJ138" s="1417" t="str">
        <f t="shared" si="239"/>
        <v>-</v>
      </c>
      <c r="CK138" s="1417" t="str">
        <f t="shared" si="239"/>
        <v>-</v>
      </c>
      <c r="CL138" s="1417" t="str">
        <f t="shared" si="239"/>
        <v>-</v>
      </c>
      <c r="CM138" s="1418" t="str">
        <f t="shared" si="239"/>
        <v>-</v>
      </c>
      <c r="CN138" s="1417" t="str">
        <f t="shared" si="239"/>
        <v>-</v>
      </c>
      <c r="CO138" s="1417" t="str">
        <f t="shared" si="239"/>
        <v>-</v>
      </c>
      <c r="CP138" s="1417" t="str">
        <f t="shared" si="239"/>
        <v>-</v>
      </c>
      <c r="CQ138" s="1417" t="str">
        <f t="shared" si="239"/>
        <v>-</v>
      </c>
      <c r="CR138" s="1419" t="str">
        <f t="shared" si="239"/>
        <v>-</v>
      </c>
      <c r="CS138" s="1378"/>
      <c r="CT138" s="1412" t="str">
        <f t="shared" si="191"/>
        <v>Price</v>
      </c>
      <c r="CU138" s="1413" t="str">
        <f t="shared" si="192"/>
        <v>[Service]</v>
      </c>
      <c r="CV138" s="1426" t="str">
        <f t="shared" si="193"/>
        <v>[Price]</v>
      </c>
      <c r="CW138" s="1427" t="str">
        <f t="shared" si="212"/>
        <v>-</v>
      </c>
      <c r="CX138" s="1417" t="str">
        <f t="shared" si="213"/>
        <v>-</v>
      </c>
      <c r="CY138" s="1417" t="str">
        <f t="shared" si="214"/>
        <v>-</v>
      </c>
      <c r="CZ138" s="1418" t="str">
        <f t="shared" si="215"/>
        <v>-</v>
      </c>
      <c r="DA138" s="1417" t="str">
        <f t="shared" si="216"/>
        <v>-</v>
      </c>
      <c r="DB138" s="1417" t="str">
        <f t="shared" si="217"/>
        <v>-</v>
      </c>
      <c r="DC138" s="1417" t="str">
        <f t="shared" si="218"/>
        <v>-</v>
      </c>
      <c r="DD138" s="1417" t="str">
        <f t="shared" si="219"/>
        <v>-</v>
      </c>
      <c r="DE138" s="1419" t="str">
        <f t="shared" si="220"/>
        <v>-</v>
      </c>
      <c r="DF138" s="1378"/>
      <c r="DG138" s="1412" t="str">
        <f t="shared" si="232"/>
        <v>Price</v>
      </c>
      <c r="DH138" s="1413" t="str">
        <f t="shared" si="232"/>
        <v>[Service]</v>
      </c>
      <c r="DI138" s="1426" t="str">
        <f t="shared" si="232"/>
        <v>[Price]</v>
      </c>
      <c r="DJ138" s="1427" t="str">
        <f t="shared" si="221"/>
        <v>-</v>
      </c>
      <c r="DK138" s="1417" t="str">
        <f t="shared" si="222"/>
        <v>-</v>
      </c>
      <c r="DL138" s="1417" t="str">
        <f t="shared" si="223"/>
        <v>-</v>
      </c>
      <c r="DM138" s="1418" t="str">
        <f t="shared" si="224"/>
        <v>-</v>
      </c>
      <c r="DN138" s="1417" t="str">
        <f t="shared" si="225"/>
        <v>-</v>
      </c>
      <c r="DO138" s="1417" t="str">
        <f t="shared" si="226"/>
        <v>-</v>
      </c>
      <c r="DP138" s="1417" t="str">
        <f t="shared" si="227"/>
        <v>-</v>
      </c>
      <c r="DQ138" s="1419" t="str">
        <f t="shared" si="228"/>
        <v>-</v>
      </c>
    </row>
    <row r="139" spans="4:121">
      <c r="E139" s="742" t="s">
        <v>45</v>
      </c>
      <c r="F139" s="722" t="str">
        <f>+F138</f>
        <v>[Service]</v>
      </c>
      <c r="G139" s="723">
        <f>+G138</f>
        <v>0</v>
      </c>
      <c r="H139" s="723">
        <f>+H138</f>
        <v>0</v>
      </c>
      <c r="I139" s="724" t="str">
        <f>+I138</f>
        <v>[Price]</v>
      </c>
      <c r="J139" s="782" t="s">
        <v>322</v>
      </c>
      <c r="K139" s="725"/>
      <c r="L139" s="726"/>
      <c r="M139" s="726"/>
      <c r="N139" s="727"/>
      <c r="O139" s="786"/>
      <c r="P139" s="787"/>
      <c r="Q139" s="786"/>
      <c r="R139" s="786"/>
      <c r="S139" s="786"/>
      <c r="T139" s="786"/>
      <c r="U139" s="786"/>
      <c r="V139" s="786"/>
      <c r="W139" s="786"/>
      <c r="X139" s="787"/>
      <c r="Y139" s="786"/>
      <c r="Z139" s="786"/>
      <c r="AA139" s="786"/>
      <c r="AB139" s="786"/>
      <c r="AC139" s="787"/>
      <c r="AD139" s="786"/>
      <c r="AE139" s="786"/>
      <c r="AF139" s="786"/>
      <c r="AG139" s="788"/>
      <c r="AH139" s="823"/>
      <c r="AI139" s="702"/>
      <c r="AJ139" s="728"/>
      <c r="AK139" s="729"/>
      <c r="AL139" s="729"/>
      <c r="AM139" s="729"/>
      <c r="AN139" s="729"/>
      <c r="AO139" s="730"/>
      <c r="AP139" s="74"/>
      <c r="AQ139" s="74"/>
      <c r="AR139" s="74"/>
      <c r="AS139" s="106"/>
      <c r="AW139" s="1392" t="str">
        <f t="shared" si="230"/>
        <v>Qty</v>
      </c>
      <c r="AX139" s="1393" t="str">
        <f t="shared" si="230"/>
        <v>[Service]</v>
      </c>
      <c r="AY139" s="1394" t="str">
        <f t="shared" si="194"/>
        <v>[Price]</v>
      </c>
      <c r="AZ139" s="1395" t="str">
        <f t="shared" si="195"/>
        <v>-</v>
      </c>
      <c r="BA139" s="1395" t="str">
        <f t="shared" si="195"/>
        <v>-</v>
      </c>
      <c r="BB139" s="1395" t="str">
        <f t="shared" si="195"/>
        <v>-</v>
      </c>
      <c r="BC139" s="1395" t="str">
        <f t="shared" si="195"/>
        <v>-</v>
      </c>
      <c r="BD139" s="1395" t="str">
        <f t="shared" si="196"/>
        <v>-</v>
      </c>
      <c r="BE139" s="1395" t="str">
        <f t="shared" si="197"/>
        <v>-</v>
      </c>
      <c r="BF139" s="1395" t="str">
        <f t="shared" si="198"/>
        <v>-</v>
      </c>
      <c r="BG139" s="1396" t="str">
        <f t="shared" si="199"/>
        <v>-</v>
      </c>
      <c r="BH139" s="1395" t="str">
        <f t="shared" si="200"/>
        <v>-</v>
      </c>
      <c r="BI139" s="1395" t="str">
        <f t="shared" si="201"/>
        <v>-</v>
      </c>
      <c r="BJ139" s="1395" t="str">
        <f t="shared" si="202"/>
        <v>-</v>
      </c>
      <c r="BK139" s="1395" t="str">
        <f t="shared" si="203"/>
        <v>-</v>
      </c>
      <c r="BL139" s="1397" t="str">
        <f t="shared" si="204"/>
        <v>-</v>
      </c>
      <c r="BM139" s="1395" t="str">
        <f t="shared" si="205"/>
        <v>-</v>
      </c>
      <c r="BN139" s="1395" t="str">
        <f t="shared" si="206"/>
        <v>-</v>
      </c>
      <c r="BO139" s="1395" t="str">
        <f t="shared" si="207"/>
        <v>-</v>
      </c>
      <c r="BP139" s="1395" t="str">
        <f t="shared" si="208"/>
        <v>-</v>
      </c>
      <c r="BQ139" s="1398" t="str">
        <f t="shared" si="209"/>
        <v>-</v>
      </c>
      <c r="BR139" s="1378"/>
      <c r="BS139" s="1329"/>
      <c r="BT139" s="1399"/>
      <c r="BU139" s="1331"/>
      <c r="BV139" s="1400"/>
      <c r="BW139" s="1378"/>
      <c r="BX139" s="1392" t="str">
        <f t="shared" si="210"/>
        <v>Qty</v>
      </c>
      <c r="BY139" s="1393" t="str">
        <f t="shared" si="105"/>
        <v>[Service]</v>
      </c>
      <c r="BZ139" s="1394" t="str">
        <f t="shared" si="106"/>
        <v>[Price]</v>
      </c>
      <c r="CA139" s="1401" t="str">
        <f>IFERROR((S139/R139-1)*(R140/R$13),"-")</f>
        <v>-</v>
      </c>
      <c r="CB139" s="1395" t="str">
        <f>IFERROR((T139/S139-1)*(S140/S$13),"-")</f>
        <v>-</v>
      </c>
      <c r="CC139" s="1395" t="str">
        <f>IFERROR((U139/T139-1)*(T140/T$13),"-")</f>
        <v>-</v>
      </c>
      <c r="CD139" s="1395" t="str">
        <f>IFERROR((V139/U139-1)*(U140/U$13),"-")</f>
        <v>-</v>
      </c>
      <c r="CE139" s="1395" t="str">
        <f t="shared" ref="CE139:CR139" si="240">IFERROR((T139/S139-1)*(S140/S$13),"-")</f>
        <v>-</v>
      </c>
      <c r="CF139" s="1395" t="str">
        <f t="shared" si="240"/>
        <v>-</v>
      </c>
      <c r="CG139" s="1395" t="str">
        <f t="shared" si="240"/>
        <v>-</v>
      </c>
      <c r="CH139" s="1397" t="str">
        <f t="shared" si="240"/>
        <v>-</v>
      </c>
      <c r="CI139" s="1395" t="str">
        <f t="shared" si="240"/>
        <v>-</v>
      </c>
      <c r="CJ139" s="1395" t="str">
        <f t="shared" si="240"/>
        <v>-</v>
      </c>
      <c r="CK139" s="1395" t="str">
        <f t="shared" si="240"/>
        <v>-</v>
      </c>
      <c r="CL139" s="1395" t="str">
        <f t="shared" si="240"/>
        <v>-</v>
      </c>
      <c r="CM139" s="1397" t="str">
        <f t="shared" si="240"/>
        <v>-</v>
      </c>
      <c r="CN139" s="1395" t="str">
        <f t="shared" si="240"/>
        <v>-</v>
      </c>
      <c r="CO139" s="1395" t="str">
        <f t="shared" si="240"/>
        <v>-</v>
      </c>
      <c r="CP139" s="1395" t="str">
        <f t="shared" si="240"/>
        <v>-</v>
      </c>
      <c r="CQ139" s="1395" t="str">
        <f t="shared" si="240"/>
        <v>-</v>
      </c>
      <c r="CR139" s="1398" t="str">
        <f t="shared" si="240"/>
        <v>-</v>
      </c>
      <c r="CS139" s="1378"/>
      <c r="CT139" s="1392" t="str">
        <f t="shared" si="191"/>
        <v>Qty</v>
      </c>
      <c r="CU139" s="1393" t="str">
        <f t="shared" si="192"/>
        <v>[Service]</v>
      </c>
      <c r="CV139" s="1393" t="str">
        <f t="shared" si="193"/>
        <v>[Price]</v>
      </c>
      <c r="CW139" s="1401" t="str">
        <f t="shared" si="212"/>
        <v>-</v>
      </c>
      <c r="CX139" s="1395" t="str">
        <f t="shared" si="213"/>
        <v>-</v>
      </c>
      <c r="CY139" s="1395" t="str">
        <f t="shared" si="214"/>
        <v>-</v>
      </c>
      <c r="CZ139" s="1397" t="str">
        <f t="shared" si="215"/>
        <v>-</v>
      </c>
      <c r="DA139" s="1395" t="str">
        <f t="shared" si="216"/>
        <v>-</v>
      </c>
      <c r="DB139" s="1395" t="str">
        <f t="shared" si="217"/>
        <v>-</v>
      </c>
      <c r="DC139" s="1395" t="str">
        <f t="shared" si="218"/>
        <v>-</v>
      </c>
      <c r="DD139" s="1395" t="str">
        <f t="shared" si="219"/>
        <v>-</v>
      </c>
      <c r="DE139" s="1398" t="str">
        <f t="shared" si="220"/>
        <v>-</v>
      </c>
      <c r="DF139" s="1378"/>
      <c r="DG139" s="1392" t="str">
        <f t="shared" si="232"/>
        <v>Qty</v>
      </c>
      <c r="DH139" s="1393" t="str">
        <f t="shared" si="232"/>
        <v>[Service]</v>
      </c>
      <c r="DI139" s="1393" t="str">
        <f t="shared" si="232"/>
        <v>[Price]</v>
      </c>
      <c r="DJ139" s="1401" t="str">
        <f t="shared" si="221"/>
        <v>-</v>
      </c>
      <c r="DK139" s="1395" t="str">
        <f t="shared" si="222"/>
        <v>-</v>
      </c>
      <c r="DL139" s="1395" t="str">
        <f t="shared" si="223"/>
        <v>-</v>
      </c>
      <c r="DM139" s="1397" t="str">
        <f t="shared" si="224"/>
        <v>-</v>
      </c>
      <c r="DN139" s="1395" t="str">
        <f t="shared" si="225"/>
        <v>-</v>
      </c>
      <c r="DO139" s="1395" t="str">
        <f t="shared" si="226"/>
        <v>-</v>
      </c>
      <c r="DP139" s="1395" t="str">
        <f t="shared" si="227"/>
        <v>-</v>
      </c>
      <c r="DQ139" s="1398" t="str">
        <f t="shared" si="228"/>
        <v>-</v>
      </c>
    </row>
    <row r="140" spans="4:121" ht="12.75" thickBot="1">
      <c r="E140" s="743" t="s">
        <v>46</v>
      </c>
      <c r="F140" s="732" t="str">
        <f>+F138</f>
        <v>[Service]</v>
      </c>
      <c r="G140" s="733">
        <f>+G138</f>
        <v>0</v>
      </c>
      <c r="H140" s="733">
        <f>+H138</f>
        <v>0</v>
      </c>
      <c r="I140" s="734" t="str">
        <f>+I138</f>
        <v>[Price]</v>
      </c>
      <c r="J140" s="735" t="s">
        <v>344</v>
      </c>
      <c r="K140" s="736">
        <f t="shared" ref="K140:AG140" si="241">K138*K139/10^6</f>
        <v>0</v>
      </c>
      <c r="L140" s="737">
        <f t="shared" si="241"/>
        <v>0</v>
      </c>
      <c r="M140" s="737">
        <f t="shared" si="241"/>
        <v>0</v>
      </c>
      <c r="N140" s="738">
        <f t="shared" si="241"/>
        <v>0</v>
      </c>
      <c r="O140" s="737">
        <f t="shared" si="241"/>
        <v>0</v>
      </c>
      <c r="P140" s="738">
        <f t="shared" si="241"/>
        <v>0</v>
      </c>
      <c r="Q140" s="737">
        <f t="shared" si="241"/>
        <v>0</v>
      </c>
      <c r="R140" s="737">
        <f t="shared" si="241"/>
        <v>0</v>
      </c>
      <c r="S140" s="737">
        <f t="shared" si="241"/>
        <v>0</v>
      </c>
      <c r="T140" s="737">
        <f t="shared" si="241"/>
        <v>0</v>
      </c>
      <c r="U140" s="737">
        <f t="shared" si="241"/>
        <v>0</v>
      </c>
      <c r="V140" s="737">
        <f t="shared" si="241"/>
        <v>0</v>
      </c>
      <c r="W140" s="737">
        <f t="shared" si="241"/>
        <v>0</v>
      </c>
      <c r="X140" s="738">
        <f t="shared" si="241"/>
        <v>0</v>
      </c>
      <c r="Y140" s="737">
        <f t="shared" si="241"/>
        <v>0</v>
      </c>
      <c r="Z140" s="737">
        <f t="shared" si="241"/>
        <v>0</v>
      </c>
      <c r="AA140" s="737">
        <f t="shared" si="241"/>
        <v>0</v>
      </c>
      <c r="AB140" s="737">
        <f t="shared" si="241"/>
        <v>0</v>
      </c>
      <c r="AC140" s="738">
        <f t="shared" si="241"/>
        <v>0</v>
      </c>
      <c r="AD140" s="737">
        <f t="shared" si="241"/>
        <v>0</v>
      </c>
      <c r="AE140" s="737">
        <f t="shared" si="241"/>
        <v>0</v>
      </c>
      <c r="AF140" s="737">
        <f t="shared" si="241"/>
        <v>0</v>
      </c>
      <c r="AG140" s="739">
        <f t="shared" si="241"/>
        <v>0</v>
      </c>
      <c r="AH140" s="823"/>
      <c r="AI140" s="744"/>
      <c r="AJ140" s="741"/>
      <c r="AK140" s="729"/>
      <c r="AL140" s="729"/>
      <c r="AM140" s="729"/>
      <c r="AN140" s="729"/>
      <c r="AO140" s="730"/>
      <c r="AP140" s="74"/>
      <c r="AQ140" s="74"/>
      <c r="AR140" s="74"/>
      <c r="AS140" s="106"/>
      <c r="AW140" s="1428" t="str">
        <f t="shared" si="230"/>
        <v>Rev</v>
      </c>
      <c r="AX140" s="1429" t="str">
        <f t="shared" si="230"/>
        <v>[Service]</v>
      </c>
      <c r="AY140" s="1430" t="str">
        <f t="shared" si="194"/>
        <v>[Price]</v>
      </c>
      <c r="AZ140" s="1431" t="str">
        <f t="shared" si="195"/>
        <v>-</v>
      </c>
      <c r="BA140" s="1431" t="str">
        <f t="shared" si="195"/>
        <v>-</v>
      </c>
      <c r="BB140" s="1431" t="str">
        <f t="shared" si="195"/>
        <v>-</v>
      </c>
      <c r="BC140" s="1431" t="str">
        <f t="shared" si="195"/>
        <v>-</v>
      </c>
      <c r="BD140" s="1431" t="str">
        <f t="shared" si="196"/>
        <v>-</v>
      </c>
      <c r="BE140" s="1431" t="str">
        <f t="shared" si="197"/>
        <v>-</v>
      </c>
      <c r="BF140" s="1431" t="str">
        <f t="shared" si="198"/>
        <v>-</v>
      </c>
      <c r="BG140" s="1432" t="str">
        <f t="shared" si="199"/>
        <v>-</v>
      </c>
      <c r="BH140" s="1431" t="str">
        <f t="shared" si="200"/>
        <v>-</v>
      </c>
      <c r="BI140" s="1431" t="str">
        <f t="shared" si="201"/>
        <v>-</v>
      </c>
      <c r="BJ140" s="1431" t="str">
        <f t="shared" si="202"/>
        <v>-</v>
      </c>
      <c r="BK140" s="1431" t="str">
        <f t="shared" si="203"/>
        <v>-</v>
      </c>
      <c r="BL140" s="1433" t="str">
        <f t="shared" si="204"/>
        <v>-</v>
      </c>
      <c r="BM140" s="1431" t="str">
        <f t="shared" si="205"/>
        <v>-</v>
      </c>
      <c r="BN140" s="1431" t="str">
        <f t="shared" si="206"/>
        <v>-</v>
      </c>
      <c r="BO140" s="1431" t="str">
        <f t="shared" si="207"/>
        <v>-</v>
      </c>
      <c r="BP140" s="1431" t="str">
        <f t="shared" si="208"/>
        <v>-</v>
      </c>
      <c r="BQ140" s="1434" t="str">
        <f t="shared" si="209"/>
        <v>-</v>
      </c>
      <c r="BR140" s="1378"/>
      <c r="BS140" s="1407"/>
      <c r="BT140" s="1408"/>
      <c r="BU140" s="1409"/>
      <c r="BV140" s="1410"/>
      <c r="BW140" s="1378"/>
      <c r="BX140" s="1428" t="str">
        <f t="shared" si="210"/>
        <v>Rev</v>
      </c>
      <c r="BY140" s="1429" t="str">
        <f t="shared" si="105"/>
        <v>[Service]</v>
      </c>
      <c r="BZ140" s="1430" t="str">
        <f t="shared" si="106"/>
        <v>[Price]</v>
      </c>
      <c r="CA140" s="1435" t="str">
        <f>IFERROR((S140/R140-1)*(R140/R$13),"-")</f>
        <v>-</v>
      </c>
      <c r="CB140" s="1431" t="str">
        <f>IFERROR((T140/S140-1)*(S140/S$13),"-")</f>
        <v>-</v>
      </c>
      <c r="CC140" s="1431" t="str">
        <f>IFERROR((U140/T140-1)*(T140/T$13),"-")</f>
        <v>-</v>
      </c>
      <c r="CD140" s="1431" t="str">
        <f>IFERROR((V140/U140-1)*(U140/U$13),"-")</f>
        <v>-</v>
      </c>
      <c r="CE140" s="1431" t="str">
        <f t="shared" ref="CE140:CR140" si="242">IFERROR((T140/S140-1)*(S140/S$13),"-")</f>
        <v>-</v>
      </c>
      <c r="CF140" s="1431" t="str">
        <f t="shared" si="242"/>
        <v>-</v>
      </c>
      <c r="CG140" s="1431" t="str">
        <f t="shared" si="242"/>
        <v>-</v>
      </c>
      <c r="CH140" s="1433" t="str">
        <f t="shared" si="242"/>
        <v>-</v>
      </c>
      <c r="CI140" s="1431" t="str">
        <f t="shared" si="242"/>
        <v>-</v>
      </c>
      <c r="CJ140" s="1431" t="str">
        <f t="shared" si="242"/>
        <v>-</v>
      </c>
      <c r="CK140" s="1431" t="str">
        <f t="shared" si="242"/>
        <v>-</v>
      </c>
      <c r="CL140" s="1431" t="str">
        <f t="shared" si="242"/>
        <v>-</v>
      </c>
      <c r="CM140" s="1433" t="str">
        <f t="shared" si="242"/>
        <v>-</v>
      </c>
      <c r="CN140" s="1431" t="str">
        <f t="shared" si="242"/>
        <v>-</v>
      </c>
      <c r="CO140" s="1431" t="str">
        <f t="shared" si="242"/>
        <v>-</v>
      </c>
      <c r="CP140" s="1431" t="str">
        <f t="shared" si="242"/>
        <v>-</v>
      </c>
      <c r="CQ140" s="1431" t="str">
        <f t="shared" si="242"/>
        <v>-</v>
      </c>
      <c r="CR140" s="1434" t="str">
        <f t="shared" si="242"/>
        <v>-</v>
      </c>
      <c r="CS140" s="1378"/>
      <c r="CT140" s="1428" t="str">
        <f t="shared" si="191"/>
        <v>Rev</v>
      </c>
      <c r="CU140" s="1429" t="str">
        <f t="shared" si="192"/>
        <v>[Service]</v>
      </c>
      <c r="CV140" s="1429" t="str">
        <f t="shared" si="193"/>
        <v>[Price]</v>
      </c>
      <c r="CW140" s="1435" t="str">
        <f t="shared" si="212"/>
        <v>-</v>
      </c>
      <c r="CX140" s="1431" t="str">
        <f t="shared" si="213"/>
        <v>-</v>
      </c>
      <c r="CY140" s="1431" t="str">
        <f t="shared" si="214"/>
        <v>-</v>
      </c>
      <c r="CZ140" s="1433" t="str">
        <f t="shared" si="215"/>
        <v>-</v>
      </c>
      <c r="DA140" s="1431" t="str">
        <f t="shared" si="216"/>
        <v>-</v>
      </c>
      <c r="DB140" s="1431" t="str">
        <f t="shared" si="217"/>
        <v>-</v>
      </c>
      <c r="DC140" s="1431" t="str">
        <f t="shared" si="218"/>
        <v>-</v>
      </c>
      <c r="DD140" s="1431" t="str">
        <f t="shared" si="219"/>
        <v>-</v>
      </c>
      <c r="DE140" s="1434" t="str">
        <f t="shared" si="220"/>
        <v>-</v>
      </c>
      <c r="DF140" s="1378"/>
      <c r="DG140" s="1428" t="str">
        <f t="shared" si="232"/>
        <v>Rev</v>
      </c>
      <c r="DH140" s="1429" t="str">
        <f t="shared" si="232"/>
        <v>[Service]</v>
      </c>
      <c r="DI140" s="1429" t="str">
        <f t="shared" si="232"/>
        <v>[Price]</v>
      </c>
      <c r="DJ140" s="1435" t="str">
        <f t="shared" si="221"/>
        <v>-</v>
      </c>
      <c r="DK140" s="1431" t="str">
        <f t="shared" si="222"/>
        <v>-</v>
      </c>
      <c r="DL140" s="1431" t="str">
        <f t="shared" si="223"/>
        <v>-</v>
      </c>
      <c r="DM140" s="1433" t="str">
        <f t="shared" si="224"/>
        <v>-</v>
      </c>
      <c r="DN140" s="1431" t="str">
        <f t="shared" si="225"/>
        <v>-</v>
      </c>
      <c r="DO140" s="1431" t="str">
        <f t="shared" si="226"/>
        <v>-</v>
      </c>
      <c r="DP140" s="1431" t="str">
        <f t="shared" si="227"/>
        <v>-</v>
      </c>
      <c r="DQ140" s="1434" t="str">
        <f t="shared" si="228"/>
        <v>-</v>
      </c>
    </row>
    <row r="141" spans="4:121">
      <c r="D141" s="70">
        <f>D138+1</f>
        <v>25</v>
      </c>
      <c r="E141" s="713" t="s">
        <v>44</v>
      </c>
      <c r="F141" s="789" t="s">
        <v>27</v>
      </c>
      <c r="G141" s="789"/>
      <c r="H141" s="789"/>
      <c r="I141" s="781" t="s">
        <v>318</v>
      </c>
      <c r="J141" s="781" t="s">
        <v>345</v>
      </c>
      <c r="K141" s="714"/>
      <c r="L141" s="715"/>
      <c r="M141" s="715"/>
      <c r="N141" s="716"/>
      <c r="O141" s="783"/>
      <c r="P141" s="784"/>
      <c r="Q141" s="783"/>
      <c r="R141" s="783"/>
      <c r="S141" s="783"/>
      <c r="T141" s="783"/>
      <c r="U141" s="783"/>
      <c r="V141" s="783"/>
      <c r="W141" s="783"/>
      <c r="X141" s="784"/>
      <c r="Y141" s="783"/>
      <c r="Z141" s="783"/>
      <c r="AA141" s="783"/>
      <c r="AB141" s="783"/>
      <c r="AC141" s="784"/>
      <c r="AD141" s="783"/>
      <c r="AE141" s="783"/>
      <c r="AF141" s="783"/>
      <c r="AG141" s="785"/>
      <c r="AI141" s="702"/>
      <c r="AJ141" s="717" t="str">
        <f t="shared" ref="AJ141:AS141" si="243">IFERROR((X141-W141)/W141,"")</f>
        <v/>
      </c>
      <c r="AK141" s="718" t="str">
        <f t="shared" si="243"/>
        <v/>
      </c>
      <c r="AL141" s="718" t="str">
        <f t="shared" si="243"/>
        <v/>
      </c>
      <c r="AM141" s="718" t="str">
        <f t="shared" si="243"/>
        <v/>
      </c>
      <c r="AN141" s="718" t="str">
        <f t="shared" si="243"/>
        <v/>
      </c>
      <c r="AO141" s="719" t="str">
        <f t="shared" si="243"/>
        <v/>
      </c>
      <c r="AP141" s="494" t="str">
        <f t="shared" si="243"/>
        <v/>
      </c>
      <c r="AQ141" s="494" t="str">
        <f t="shared" si="243"/>
        <v/>
      </c>
      <c r="AR141" s="494" t="str">
        <f t="shared" si="243"/>
        <v/>
      </c>
      <c r="AS141" s="720" t="str">
        <f t="shared" si="243"/>
        <v/>
      </c>
      <c r="AU141" s="1369"/>
      <c r="AW141" s="1412" t="str">
        <f t="shared" si="230"/>
        <v>Price</v>
      </c>
      <c r="AX141" s="1413" t="str">
        <f t="shared" si="230"/>
        <v>[Service]</v>
      </c>
      <c r="AY141" s="1414" t="str">
        <f t="shared" si="194"/>
        <v>[Price]</v>
      </c>
      <c r="AZ141" s="1415" t="str">
        <f t="shared" si="195"/>
        <v>-</v>
      </c>
      <c r="BA141" s="1415" t="str">
        <f t="shared" si="195"/>
        <v>-</v>
      </c>
      <c r="BB141" s="1415" t="str">
        <f t="shared" si="195"/>
        <v>-</v>
      </c>
      <c r="BC141" s="1415" t="str">
        <f t="shared" si="195"/>
        <v>-</v>
      </c>
      <c r="BD141" s="1415" t="str">
        <f t="shared" si="196"/>
        <v>-</v>
      </c>
      <c r="BE141" s="1415" t="str">
        <f t="shared" si="197"/>
        <v>-</v>
      </c>
      <c r="BF141" s="1415" t="str">
        <f t="shared" si="198"/>
        <v>-</v>
      </c>
      <c r="BG141" s="1416" t="str">
        <f t="shared" si="199"/>
        <v>-</v>
      </c>
      <c r="BH141" s="1417" t="str">
        <f t="shared" si="200"/>
        <v>-</v>
      </c>
      <c r="BI141" s="1417" t="str">
        <f t="shared" si="201"/>
        <v>-</v>
      </c>
      <c r="BJ141" s="1417" t="str">
        <f t="shared" si="202"/>
        <v>-</v>
      </c>
      <c r="BK141" s="1417" t="str">
        <f t="shared" si="203"/>
        <v>-</v>
      </c>
      <c r="BL141" s="1418" t="str">
        <f t="shared" si="204"/>
        <v>-</v>
      </c>
      <c r="BM141" s="1417" t="str">
        <f t="shared" si="205"/>
        <v>-</v>
      </c>
      <c r="BN141" s="1417" t="str">
        <f t="shared" si="206"/>
        <v>-</v>
      </c>
      <c r="BO141" s="1417" t="str">
        <f t="shared" si="207"/>
        <v>-</v>
      </c>
      <c r="BP141" s="1417" t="str">
        <f t="shared" si="208"/>
        <v>-</v>
      </c>
      <c r="BQ141" s="1419" t="str">
        <f t="shared" si="209"/>
        <v>-</v>
      </c>
      <c r="BR141" s="1378"/>
      <c r="BS141" s="1420"/>
      <c r="BT141" s="1421"/>
      <c r="BU141" s="1422"/>
      <c r="BV141" s="1423"/>
      <c r="BW141" s="1378"/>
      <c r="BX141" s="1412" t="str">
        <f t="shared" si="210"/>
        <v>Price</v>
      </c>
      <c r="BY141" s="1413" t="str">
        <f t="shared" si="105"/>
        <v>[Service]</v>
      </c>
      <c r="BZ141" s="1414" t="str">
        <f t="shared" si="106"/>
        <v>[Price]</v>
      </c>
      <c r="CA141" s="1424" t="str">
        <f>IFERROR((S141/R141-1)*(R143/R$13),"-")</f>
        <v>-</v>
      </c>
      <c r="CB141" s="1415" t="str">
        <f>IFERROR((T141/S141-1)*(S143/S$13),"-")</f>
        <v>-</v>
      </c>
      <c r="CC141" s="1415" t="str">
        <f>IFERROR((U141/T141-1)*(T143/T$13),"-")</f>
        <v>-</v>
      </c>
      <c r="CD141" s="1415" t="str">
        <f>IFERROR((V141/U141-1)*(U143/U$13),"-")</f>
        <v>-</v>
      </c>
      <c r="CE141" s="1415" t="str">
        <f t="shared" ref="CE141:CR141" si="244">IFERROR((T141/S141-1)*(S143/S$13),"-")</f>
        <v>-</v>
      </c>
      <c r="CF141" s="1415" t="str">
        <f t="shared" si="244"/>
        <v>-</v>
      </c>
      <c r="CG141" s="1415" t="str">
        <f t="shared" si="244"/>
        <v>-</v>
      </c>
      <c r="CH141" s="1425" t="str">
        <f t="shared" si="244"/>
        <v>-</v>
      </c>
      <c r="CI141" s="1417" t="str">
        <f t="shared" si="244"/>
        <v>-</v>
      </c>
      <c r="CJ141" s="1417" t="str">
        <f t="shared" si="244"/>
        <v>-</v>
      </c>
      <c r="CK141" s="1417" t="str">
        <f t="shared" si="244"/>
        <v>-</v>
      </c>
      <c r="CL141" s="1417" t="str">
        <f t="shared" si="244"/>
        <v>-</v>
      </c>
      <c r="CM141" s="1418" t="str">
        <f t="shared" si="244"/>
        <v>-</v>
      </c>
      <c r="CN141" s="1417" t="str">
        <f t="shared" si="244"/>
        <v>-</v>
      </c>
      <c r="CO141" s="1417" t="str">
        <f t="shared" si="244"/>
        <v>-</v>
      </c>
      <c r="CP141" s="1417" t="str">
        <f t="shared" si="244"/>
        <v>-</v>
      </c>
      <c r="CQ141" s="1417" t="str">
        <f t="shared" si="244"/>
        <v>-</v>
      </c>
      <c r="CR141" s="1419" t="str">
        <f t="shared" si="244"/>
        <v>-</v>
      </c>
      <c r="CS141" s="1378"/>
      <c r="CT141" s="1412" t="str">
        <f t="shared" si="191"/>
        <v>Price</v>
      </c>
      <c r="CU141" s="1413" t="str">
        <f t="shared" si="192"/>
        <v>[Service]</v>
      </c>
      <c r="CV141" s="1426" t="str">
        <f t="shared" si="193"/>
        <v>[Price]</v>
      </c>
      <c r="CW141" s="1427" t="str">
        <f t="shared" si="212"/>
        <v>-</v>
      </c>
      <c r="CX141" s="1417" t="str">
        <f t="shared" si="213"/>
        <v>-</v>
      </c>
      <c r="CY141" s="1417" t="str">
        <f t="shared" si="214"/>
        <v>-</v>
      </c>
      <c r="CZ141" s="1418" t="str">
        <f t="shared" si="215"/>
        <v>-</v>
      </c>
      <c r="DA141" s="1417" t="str">
        <f t="shared" si="216"/>
        <v>-</v>
      </c>
      <c r="DB141" s="1417" t="str">
        <f t="shared" si="217"/>
        <v>-</v>
      </c>
      <c r="DC141" s="1417" t="str">
        <f t="shared" si="218"/>
        <v>-</v>
      </c>
      <c r="DD141" s="1417" t="str">
        <f t="shared" si="219"/>
        <v>-</v>
      </c>
      <c r="DE141" s="1419" t="str">
        <f t="shared" si="220"/>
        <v>-</v>
      </c>
      <c r="DF141" s="1378"/>
      <c r="DG141" s="1412" t="str">
        <f t="shared" si="232"/>
        <v>Price</v>
      </c>
      <c r="DH141" s="1413" t="str">
        <f t="shared" si="232"/>
        <v>[Service]</v>
      </c>
      <c r="DI141" s="1426" t="str">
        <f t="shared" si="232"/>
        <v>[Price]</v>
      </c>
      <c r="DJ141" s="1427" t="str">
        <f t="shared" si="221"/>
        <v>-</v>
      </c>
      <c r="DK141" s="1417" t="str">
        <f t="shared" si="222"/>
        <v>-</v>
      </c>
      <c r="DL141" s="1417" t="str">
        <f t="shared" si="223"/>
        <v>-</v>
      </c>
      <c r="DM141" s="1418" t="str">
        <f t="shared" si="224"/>
        <v>-</v>
      </c>
      <c r="DN141" s="1417" t="str">
        <f t="shared" si="225"/>
        <v>-</v>
      </c>
      <c r="DO141" s="1417" t="str">
        <f t="shared" si="226"/>
        <v>-</v>
      </c>
      <c r="DP141" s="1417" t="str">
        <f t="shared" si="227"/>
        <v>-</v>
      </c>
      <c r="DQ141" s="1419" t="str">
        <f t="shared" si="228"/>
        <v>-</v>
      </c>
    </row>
    <row r="142" spans="4:121">
      <c r="E142" s="742" t="s">
        <v>45</v>
      </c>
      <c r="F142" s="722" t="str">
        <f>+F141</f>
        <v>[Service]</v>
      </c>
      <c r="G142" s="723">
        <f>+G141</f>
        <v>0</v>
      </c>
      <c r="H142" s="723">
        <f>+H141</f>
        <v>0</v>
      </c>
      <c r="I142" s="724" t="str">
        <f>+I141</f>
        <v>[Price]</v>
      </c>
      <c r="J142" s="782" t="s">
        <v>322</v>
      </c>
      <c r="K142" s="725"/>
      <c r="L142" s="726"/>
      <c r="M142" s="726"/>
      <c r="N142" s="727"/>
      <c r="O142" s="786"/>
      <c r="P142" s="787"/>
      <c r="Q142" s="786"/>
      <c r="R142" s="786"/>
      <c r="S142" s="786"/>
      <c r="T142" s="786"/>
      <c r="U142" s="786"/>
      <c r="V142" s="786"/>
      <c r="W142" s="786"/>
      <c r="X142" s="787"/>
      <c r="Y142" s="786"/>
      <c r="Z142" s="786"/>
      <c r="AA142" s="786"/>
      <c r="AB142" s="786"/>
      <c r="AC142" s="787"/>
      <c r="AD142" s="786"/>
      <c r="AE142" s="786"/>
      <c r="AF142" s="786"/>
      <c r="AG142" s="788"/>
      <c r="AH142" s="823"/>
      <c r="AI142" s="702"/>
      <c r="AJ142" s="728"/>
      <c r="AK142" s="729"/>
      <c r="AL142" s="729"/>
      <c r="AM142" s="729"/>
      <c r="AN142" s="729"/>
      <c r="AO142" s="730"/>
      <c r="AP142" s="74"/>
      <c r="AQ142" s="74"/>
      <c r="AR142" s="74"/>
      <c r="AS142" s="106"/>
      <c r="AW142" s="1392" t="str">
        <f t="shared" si="230"/>
        <v>Qty</v>
      </c>
      <c r="AX142" s="1393" t="str">
        <f t="shared" si="230"/>
        <v>[Service]</v>
      </c>
      <c r="AY142" s="1394" t="str">
        <f t="shared" si="194"/>
        <v>[Price]</v>
      </c>
      <c r="AZ142" s="1395" t="str">
        <f t="shared" si="195"/>
        <v>-</v>
      </c>
      <c r="BA142" s="1395" t="str">
        <f t="shared" si="195"/>
        <v>-</v>
      </c>
      <c r="BB142" s="1395" t="str">
        <f t="shared" si="195"/>
        <v>-</v>
      </c>
      <c r="BC142" s="1395" t="str">
        <f t="shared" si="195"/>
        <v>-</v>
      </c>
      <c r="BD142" s="1395" t="str">
        <f t="shared" si="196"/>
        <v>-</v>
      </c>
      <c r="BE142" s="1395" t="str">
        <f t="shared" si="197"/>
        <v>-</v>
      </c>
      <c r="BF142" s="1395" t="str">
        <f t="shared" si="198"/>
        <v>-</v>
      </c>
      <c r="BG142" s="1396" t="str">
        <f t="shared" si="199"/>
        <v>-</v>
      </c>
      <c r="BH142" s="1395" t="str">
        <f t="shared" si="200"/>
        <v>-</v>
      </c>
      <c r="BI142" s="1395" t="str">
        <f t="shared" si="201"/>
        <v>-</v>
      </c>
      <c r="BJ142" s="1395" t="str">
        <f t="shared" si="202"/>
        <v>-</v>
      </c>
      <c r="BK142" s="1395" t="str">
        <f t="shared" si="203"/>
        <v>-</v>
      </c>
      <c r="BL142" s="1397" t="str">
        <f t="shared" si="204"/>
        <v>-</v>
      </c>
      <c r="BM142" s="1395" t="str">
        <f t="shared" si="205"/>
        <v>-</v>
      </c>
      <c r="BN142" s="1395" t="str">
        <f t="shared" si="206"/>
        <v>-</v>
      </c>
      <c r="BO142" s="1395" t="str">
        <f t="shared" si="207"/>
        <v>-</v>
      </c>
      <c r="BP142" s="1395" t="str">
        <f t="shared" si="208"/>
        <v>-</v>
      </c>
      <c r="BQ142" s="1398" t="str">
        <f t="shared" si="209"/>
        <v>-</v>
      </c>
      <c r="BR142" s="1378"/>
      <c r="BS142" s="1329"/>
      <c r="BT142" s="1399"/>
      <c r="BU142" s="1331"/>
      <c r="BV142" s="1400"/>
      <c r="BW142" s="1378"/>
      <c r="BX142" s="1392" t="str">
        <f t="shared" si="210"/>
        <v>Qty</v>
      </c>
      <c r="BY142" s="1393" t="str">
        <f t="shared" si="105"/>
        <v>[Service]</v>
      </c>
      <c r="BZ142" s="1394" t="str">
        <f t="shared" si="106"/>
        <v>[Price]</v>
      </c>
      <c r="CA142" s="1401" t="str">
        <f>IFERROR((S142/R142-1)*(R143/R$13),"-")</f>
        <v>-</v>
      </c>
      <c r="CB142" s="1395" t="str">
        <f>IFERROR((T142/S142-1)*(S143/S$13),"-")</f>
        <v>-</v>
      </c>
      <c r="CC142" s="1395" t="str">
        <f>IFERROR((U142/T142-1)*(T143/T$13),"-")</f>
        <v>-</v>
      </c>
      <c r="CD142" s="1395" t="str">
        <f>IFERROR((V142/U142-1)*(U143/U$13),"-")</f>
        <v>-</v>
      </c>
      <c r="CE142" s="1395" t="str">
        <f t="shared" ref="CE142:CR142" si="245">IFERROR((T142/S142-1)*(S143/S$13),"-")</f>
        <v>-</v>
      </c>
      <c r="CF142" s="1395" t="str">
        <f t="shared" si="245"/>
        <v>-</v>
      </c>
      <c r="CG142" s="1395" t="str">
        <f t="shared" si="245"/>
        <v>-</v>
      </c>
      <c r="CH142" s="1397" t="str">
        <f t="shared" si="245"/>
        <v>-</v>
      </c>
      <c r="CI142" s="1395" t="str">
        <f t="shared" si="245"/>
        <v>-</v>
      </c>
      <c r="CJ142" s="1395" t="str">
        <f t="shared" si="245"/>
        <v>-</v>
      </c>
      <c r="CK142" s="1395" t="str">
        <f t="shared" si="245"/>
        <v>-</v>
      </c>
      <c r="CL142" s="1395" t="str">
        <f t="shared" si="245"/>
        <v>-</v>
      </c>
      <c r="CM142" s="1397" t="str">
        <f t="shared" si="245"/>
        <v>-</v>
      </c>
      <c r="CN142" s="1395" t="str">
        <f t="shared" si="245"/>
        <v>-</v>
      </c>
      <c r="CO142" s="1395" t="str">
        <f t="shared" si="245"/>
        <v>-</v>
      </c>
      <c r="CP142" s="1395" t="str">
        <f t="shared" si="245"/>
        <v>-</v>
      </c>
      <c r="CQ142" s="1395" t="str">
        <f t="shared" si="245"/>
        <v>-</v>
      </c>
      <c r="CR142" s="1398" t="str">
        <f t="shared" si="245"/>
        <v>-</v>
      </c>
      <c r="CS142" s="1378"/>
      <c r="CT142" s="1392" t="str">
        <f t="shared" si="191"/>
        <v>Qty</v>
      </c>
      <c r="CU142" s="1393" t="str">
        <f t="shared" si="192"/>
        <v>[Service]</v>
      </c>
      <c r="CV142" s="1393" t="str">
        <f t="shared" si="193"/>
        <v>[Price]</v>
      </c>
      <c r="CW142" s="1401" t="str">
        <f t="shared" si="212"/>
        <v>-</v>
      </c>
      <c r="CX142" s="1395" t="str">
        <f t="shared" si="213"/>
        <v>-</v>
      </c>
      <c r="CY142" s="1395" t="str">
        <f t="shared" si="214"/>
        <v>-</v>
      </c>
      <c r="CZ142" s="1397" t="str">
        <f t="shared" si="215"/>
        <v>-</v>
      </c>
      <c r="DA142" s="1395" t="str">
        <f t="shared" si="216"/>
        <v>-</v>
      </c>
      <c r="DB142" s="1395" t="str">
        <f t="shared" si="217"/>
        <v>-</v>
      </c>
      <c r="DC142" s="1395" t="str">
        <f t="shared" si="218"/>
        <v>-</v>
      </c>
      <c r="DD142" s="1395" t="str">
        <f t="shared" si="219"/>
        <v>-</v>
      </c>
      <c r="DE142" s="1398" t="str">
        <f t="shared" si="220"/>
        <v>-</v>
      </c>
      <c r="DF142" s="1378"/>
      <c r="DG142" s="1392" t="str">
        <f t="shared" si="232"/>
        <v>Qty</v>
      </c>
      <c r="DH142" s="1393" t="str">
        <f t="shared" si="232"/>
        <v>[Service]</v>
      </c>
      <c r="DI142" s="1393" t="str">
        <f t="shared" si="232"/>
        <v>[Price]</v>
      </c>
      <c r="DJ142" s="1401" t="str">
        <f t="shared" si="221"/>
        <v>-</v>
      </c>
      <c r="DK142" s="1395" t="str">
        <f t="shared" si="222"/>
        <v>-</v>
      </c>
      <c r="DL142" s="1395" t="str">
        <f t="shared" si="223"/>
        <v>-</v>
      </c>
      <c r="DM142" s="1397" t="str">
        <f t="shared" si="224"/>
        <v>-</v>
      </c>
      <c r="DN142" s="1395" t="str">
        <f t="shared" si="225"/>
        <v>-</v>
      </c>
      <c r="DO142" s="1395" t="str">
        <f t="shared" si="226"/>
        <v>-</v>
      </c>
      <c r="DP142" s="1395" t="str">
        <f t="shared" si="227"/>
        <v>-</v>
      </c>
      <c r="DQ142" s="1398" t="str">
        <f t="shared" si="228"/>
        <v>-</v>
      </c>
    </row>
    <row r="143" spans="4:121" ht="12.75" thickBot="1">
      <c r="E143" s="743" t="s">
        <v>46</v>
      </c>
      <c r="F143" s="732" t="str">
        <f>+F141</f>
        <v>[Service]</v>
      </c>
      <c r="G143" s="733">
        <f>+G141</f>
        <v>0</v>
      </c>
      <c r="H143" s="733">
        <f>+H141</f>
        <v>0</v>
      </c>
      <c r="I143" s="734" t="str">
        <f>+I141</f>
        <v>[Price]</v>
      </c>
      <c r="J143" s="735" t="s">
        <v>344</v>
      </c>
      <c r="K143" s="736">
        <f t="shared" ref="K143:AG143" si="246">K141*K142/10^6</f>
        <v>0</v>
      </c>
      <c r="L143" s="737">
        <f t="shared" si="246"/>
        <v>0</v>
      </c>
      <c r="M143" s="737">
        <f t="shared" si="246"/>
        <v>0</v>
      </c>
      <c r="N143" s="738">
        <f t="shared" si="246"/>
        <v>0</v>
      </c>
      <c r="O143" s="737">
        <f t="shared" si="246"/>
        <v>0</v>
      </c>
      <c r="P143" s="738">
        <f t="shared" si="246"/>
        <v>0</v>
      </c>
      <c r="Q143" s="737">
        <f t="shared" si="246"/>
        <v>0</v>
      </c>
      <c r="R143" s="737">
        <f t="shared" si="246"/>
        <v>0</v>
      </c>
      <c r="S143" s="737">
        <f t="shared" si="246"/>
        <v>0</v>
      </c>
      <c r="T143" s="737">
        <f t="shared" si="246"/>
        <v>0</v>
      </c>
      <c r="U143" s="737">
        <f t="shared" si="246"/>
        <v>0</v>
      </c>
      <c r="V143" s="737">
        <f t="shared" si="246"/>
        <v>0</v>
      </c>
      <c r="W143" s="737">
        <f t="shared" si="246"/>
        <v>0</v>
      </c>
      <c r="X143" s="738">
        <f t="shared" si="246"/>
        <v>0</v>
      </c>
      <c r="Y143" s="737">
        <f t="shared" si="246"/>
        <v>0</v>
      </c>
      <c r="Z143" s="737">
        <f t="shared" si="246"/>
        <v>0</v>
      </c>
      <c r="AA143" s="737">
        <f t="shared" si="246"/>
        <v>0</v>
      </c>
      <c r="AB143" s="737">
        <f t="shared" si="246"/>
        <v>0</v>
      </c>
      <c r="AC143" s="738">
        <f t="shared" si="246"/>
        <v>0</v>
      </c>
      <c r="AD143" s="737">
        <f t="shared" si="246"/>
        <v>0</v>
      </c>
      <c r="AE143" s="737">
        <f t="shared" si="246"/>
        <v>0</v>
      </c>
      <c r="AF143" s="737">
        <f t="shared" si="246"/>
        <v>0</v>
      </c>
      <c r="AG143" s="739">
        <f t="shared" si="246"/>
        <v>0</v>
      </c>
      <c r="AH143" s="823"/>
      <c r="AI143" s="744"/>
      <c r="AJ143" s="741"/>
      <c r="AK143" s="729"/>
      <c r="AL143" s="729"/>
      <c r="AM143" s="729"/>
      <c r="AN143" s="729"/>
      <c r="AO143" s="730"/>
      <c r="AP143" s="74"/>
      <c r="AQ143" s="74"/>
      <c r="AR143" s="74"/>
      <c r="AS143" s="106"/>
      <c r="AW143" s="1428" t="str">
        <f t="shared" si="230"/>
        <v>Rev</v>
      </c>
      <c r="AX143" s="1429" t="str">
        <f t="shared" si="230"/>
        <v>[Service]</v>
      </c>
      <c r="AY143" s="1430" t="str">
        <f t="shared" si="194"/>
        <v>[Price]</v>
      </c>
      <c r="AZ143" s="1431" t="str">
        <f t="shared" si="195"/>
        <v>-</v>
      </c>
      <c r="BA143" s="1431" t="str">
        <f t="shared" si="195"/>
        <v>-</v>
      </c>
      <c r="BB143" s="1431" t="str">
        <f t="shared" si="195"/>
        <v>-</v>
      </c>
      <c r="BC143" s="1431" t="str">
        <f t="shared" si="195"/>
        <v>-</v>
      </c>
      <c r="BD143" s="1431" t="str">
        <f t="shared" si="196"/>
        <v>-</v>
      </c>
      <c r="BE143" s="1431" t="str">
        <f t="shared" si="197"/>
        <v>-</v>
      </c>
      <c r="BF143" s="1431" t="str">
        <f t="shared" si="198"/>
        <v>-</v>
      </c>
      <c r="BG143" s="1432" t="str">
        <f t="shared" si="199"/>
        <v>-</v>
      </c>
      <c r="BH143" s="1431" t="str">
        <f t="shared" si="200"/>
        <v>-</v>
      </c>
      <c r="BI143" s="1431" t="str">
        <f t="shared" si="201"/>
        <v>-</v>
      </c>
      <c r="BJ143" s="1431" t="str">
        <f t="shared" si="202"/>
        <v>-</v>
      </c>
      <c r="BK143" s="1431" t="str">
        <f t="shared" si="203"/>
        <v>-</v>
      </c>
      <c r="BL143" s="1433" t="str">
        <f t="shared" si="204"/>
        <v>-</v>
      </c>
      <c r="BM143" s="1431" t="str">
        <f t="shared" si="205"/>
        <v>-</v>
      </c>
      <c r="BN143" s="1431" t="str">
        <f t="shared" si="206"/>
        <v>-</v>
      </c>
      <c r="BO143" s="1431" t="str">
        <f t="shared" si="207"/>
        <v>-</v>
      </c>
      <c r="BP143" s="1431" t="str">
        <f t="shared" si="208"/>
        <v>-</v>
      </c>
      <c r="BQ143" s="1434" t="str">
        <f t="shared" si="209"/>
        <v>-</v>
      </c>
      <c r="BR143" s="1378"/>
      <c r="BS143" s="1407"/>
      <c r="BT143" s="1408"/>
      <c r="BU143" s="1409"/>
      <c r="BV143" s="1410"/>
      <c r="BW143" s="1378"/>
      <c r="BX143" s="1428" t="str">
        <f t="shared" si="210"/>
        <v>Rev</v>
      </c>
      <c r="BY143" s="1429" t="str">
        <f t="shared" si="105"/>
        <v>[Service]</v>
      </c>
      <c r="BZ143" s="1430" t="str">
        <f t="shared" si="106"/>
        <v>[Price]</v>
      </c>
      <c r="CA143" s="1435" t="str">
        <f>IFERROR((S143/R143-1)*(R143/R$13),"-")</f>
        <v>-</v>
      </c>
      <c r="CB143" s="1431" t="str">
        <f>IFERROR((T143/S143-1)*(S143/S$13),"-")</f>
        <v>-</v>
      </c>
      <c r="CC143" s="1431" t="str">
        <f>IFERROR((U143/T143-1)*(T143/T$13),"-")</f>
        <v>-</v>
      </c>
      <c r="CD143" s="1431" t="str">
        <f>IFERROR((V143/U143-1)*(U143/U$13),"-")</f>
        <v>-</v>
      </c>
      <c r="CE143" s="1431" t="str">
        <f t="shared" ref="CE143:CR143" si="247">IFERROR((T143/S143-1)*(S143/S$13),"-")</f>
        <v>-</v>
      </c>
      <c r="CF143" s="1431" t="str">
        <f t="shared" si="247"/>
        <v>-</v>
      </c>
      <c r="CG143" s="1431" t="str">
        <f t="shared" si="247"/>
        <v>-</v>
      </c>
      <c r="CH143" s="1433" t="str">
        <f t="shared" si="247"/>
        <v>-</v>
      </c>
      <c r="CI143" s="1431" t="str">
        <f t="shared" si="247"/>
        <v>-</v>
      </c>
      <c r="CJ143" s="1431" t="str">
        <f t="shared" si="247"/>
        <v>-</v>
      </c>
      <c r="CK143" s="1431" t="str">
        <f t="shared" si="247"/>
        <v>-</v>
      </c>
      <c r="CL143" s="1431" t="str">
        <f t="shared" si="247"/>
        <v>-</v>
      </c>
      <c r="CM143" s="1433" t="str">
        <f t="shared" si="247"/>
        <v>-</v>
      </c>
      <c r="CN143" s="1431" t="str">
        <f t="shared" si="247"/>
        <v>-</v>
      </c>
      <c r="CO143" s="1431" t="str">
        <f t="shared" si="247"/>
        <v>-</v>
      </c>
      <c r="CP143" s="1431" t="str">
        <f t="shared" si="247"/>
        <v>-</v>
      </c>
      <c r="CQ143" s="1431" t="str">
        <f t="shared" si="247"/>
        <v>-</v>
      </c>
      <c r="CR143" s="1434" t="str">
        <f t="shared" si="247"/>
        <v>-</v>
      </c>
      <c r="CS143" s="1378"/>
      <c r="CT143" s="1428" t="str">
        <f t="shared" si="191"/>
        <v>Rev</v>
      </c>
      <c r="CU143" s="1429" t="str">
        <f t="shared" si="192"/>
        <v>[Service]</v>
      </c>
      <c r="CV143" s="1429" t="str">
        <f t="shared" si="193"/>
        <v>[Price]</v>
      </c>
      <c r="CW143" s="1435" t="str">
        <f t="shared" si="212"/>
        <v>-</v>
      </c>
      <c r="CX143" s="1431" t="str">
        <f t="shared" si="213"/>
        <v>-</v>
      </c>
      <c r="CY143" s="1431" t="str">
        <f t="shared" si="214"/>
        <v>-</v>
      </c>
      <c r="CZ143" s="1433" t="str">
        <f t="shared" si="215"/>
        <v>-</v>
      </c>
      <c r="DA143" s="1431" t="str">
        <f t="shared" si="216"/>
        <v>-</v>
      </c>
      <c r="DB143" s="1431" t="str">
        <f t="shared" si="217"/>
        <v>-</v>
      </c>
      <c r="DC143" s="1431" t="str">
        <f t="shared" si="218"/>
        <v>-</v>
      </c>
      <c r="DD143" s="1431" t="str">
        <f t="shared" si="219"/>
        <v>-</v>
      </c>
      <c r="DE143" s="1434" t="str">
        <f t="shared" si="220"/>
        <v>-</v>
      </c>
      <c r="DF143" s="1378"/>
      <c r="DG143" s="1428" t="str">
        <f t="shared" si="232"/>
        <v>Rev</v>
      </c>
      <c r="DH143" s="1429" t="str">
        <f t="shared" si="232"/>
        <v>[Service]</v>
      </c>
      <c r="DI143" s="1429" t="str">
        <f t="shared" si="232"/>
        <v>[Price]</v>
      </c>
      <c r="DJ143" s="1435" t="str">
        <f t="shared" si="221"/>
        <v>-</v>
      </c>
      <c r="DK143" s="1431" t="str">
        <f t="shared" si="222"/>
        <v>-</v>
      </c>
      <c r="DL143" s="1431" t="str">
        <f t="shared" si="223"/>
        <v>-</v>
      </c>
      <c r="DM143" s="1433" t="str">
        <f t="shared" si="224"/>
        <v>-</v>
      </c>
      <c r="DN143" s="1431" t="str">
        <f t="shared" si="225"/>
        <v>-</v>
      </c>
      <c r="DO143" s="1431" t="str">
        <f t="shared" si="226"/>
        <v>-</v>
      </c>
      <c r="DP143" s="1431" t="str">
        <f t="shared" si="227"/>
        <v>-</v>
      </c>
      <c r="DQ143" s="1434" t="str">
        <f t="shared" si="228"/>
        <v>-</v>
      </c>
    </row>
    <row r="144" spans="4:121">
      <c r="D144" s="70">
        <f>D141+1</f>
        <v>26</v>
      </c>
      <c r="E144" s="713" t="s">
        <v>44</v>
      </c>
      <c r="F144" s="789" t="s">
        <v>27</v>
      </c>
      <c r="G144" s="789"/>
      <c r="H144" s="789"/>
      <c r="I144" s="781" t="s">
        <v>318</v>
      </c>
      <c r="J144" s="781" t="s">
        <v>345</v>
      </c>
      <c r="K144" s="714"/>
      <c r="L144" s="715"/>
      <c r="M144" s="715"/>
      <c r="N144" s="716"/>
      <c r="O144" s="783"/>
      <c r="P144" s="784"/>
      <c r="Q144" s="783"/>
      <c r="R144" s="783"/>
      <c r="S144" s="783"/>
      <c r="T144" s="783"/>
      <c r="U144" s="783"/>
      <c r="V144" s="783"/>
      <c r="W144" s="783"/>
      <c r="X144" s="784"/>
      <c r="Y144" s="783"/>
      <c r="Z144" s="783"/>
      <c r="AA144" s="783"/>
      <c r="AB144" s="783"/>
      <c r="AC144" s="784"/>
      <c r="AD144" s="783"/>
      <c r="AE144" s="783"/>
      <c r="AF144" s="783"/>
      <c r="AG144" s="785"/>
      <c r="AI144" s="702"/>
      <c r="AJ144" s="717" t="str">
        <f t="shared" ref="AJ144:AS144" si="248">IFERROR((X144-W144)/W144,"")</f>
        <v/>
      </c>
      <c r="AK144" s="718" t="str">
        <f t="shared" si="248"/>
        <v/>
      </c>
      <c r="AL144" s="718" t="str">
        <f t="shared" si="248"/>
        <v/>
      </c>
      <c r="AM144" s="718" t="str">
        <f t="shared" si="248"/>
        <v/>
      </c>
      <c r="AN144" s="718" t="str">
        <f t="shared" si="248"/>
        <v/>
      </c>
      <c r="AO144" s="719" t="str">
        <f t="shared" si="248"/>
        <v/>
      </c>
      <c r="AP144" s="494" t="str">
        <f t="shared" si="248"/>
        <v/>
      </c>
      <c r="AQ144" s="494" t="str">
        <f t="shared" si="248"/>
        <v/>
      </c>
      <c r="AR144" s="494" t="str">
        <f t="shared" si="248"/>
        <v/>
      </c>
      <c r="AS144" s="720" t="str">
        <f t="shared" si="248"/>
        <v/>
      </c>
      <c r="AU144" s="1369"/>
      <c r="AW144" s="1412" t="str">
        <f t="shared" si="230"/>
        <v>Price</v>
      </c>
      <c r="AX144" s="1413" t="str">
        <f t="shared" si="230"/>
        <v>[Service]</v>
      </c>
      <c r="AY144" s="1414" t="str">
        <f t="shared" si="194"/>
        <v>[Price]</v>
      </c>
      <c r="AZ144" s="1415" t="str">
        <f t="shared" si="195"/>
        <v>-</v>
      </c>
      <c r="BA144" s="1415" t="str">
        <f t="shared" si="195"/>
        <v>-</v>
      </c>
      <c r="BB144" s="1415" t="str">
        <f t="shared" si="195"/>
        <v>-</v>
      </c>
      <c r="BC144" s="1415" t="str">
        <f t="shared" si="195"/>
        <v>-</v>
      </c>
      <c r="BD144" s="1415" t="str">
        <f t="shared" si="196"/>
        <v>-</v>
      </c>
      <c r="BE144" s="1415" t="str">
        <f t="shared" si="197"/>
        <v>-</v>
      </c>
      <c r="BF144" s="1415" t="str">
        <f t="shared" si="198"/>
        <v>-</v>
      </c>
      <c r="BG144" s="1416" t="str">
        <f t="shared" si="199"/>
        <v>-</v>
      </c>
      <c r="BH144" s="1417" t="str">
        <f t="shared" si="200"/>
        <v>-</v>
      </c>
      <c r="BI144" s="1417" t="str">
        <f t="shared" si="201"/>
        <v>-</v>
      </c>
      <c r="BJ144" s="1417" t="str">
        <f t="shared" si="202"/>
        <v>-</v>
      </c>
      <c r="BK144" s="1417" t="str">
        <f t="shared" si="203"/>
        <v>-</v>
      </c>
      <c r="BL144" s="1418" t="str">
        <f t="shared" si="204"/>
        <v>-</v>
      </c>
      <c r="BM144" s="1417" t="str">
        <f t="shared" si="205"/>
        <v>-</v>
      </c>
      <c r="BN144" s="1417" t="str">
        <f t="shared" si="206"/>
        <v>-</v>
      </c>
      <c r="BO144" s="1417" t="str">
        <f t="shared" si="207"/>
        <v>-</v>
      </c>
      <c r="BP144" s="1417" t="str">
        <f t="shared" si="208"/>
        <v>-</v>
      </c>
      <c r="BQ144" s="1419" t="str">
        <f t="shared" si="209"/>
        <v>-</v>
      </c>
      <c r="BR144" s="1378"/>
      <c r="BS144" s="1420"/>
      <c r="BT144" s="1421"/>
      <c r="BU144" s="1422"/>
      <c r="BV144" s="1423"/>
      <c r="BW144" s="1378"/>
      <c r="BX144" s="1412" t="str">
        <f t="shared" si="210"/>
        <v>Price</v>
      </c>
      <c r="BY144" s="1413" t="str">
        <f t="shared" si="105"/>
        <v>[Service]</v>
      </c>
      <c r="BZ144" s="1414" t="str">
        <f t="shared" si="106"/>
        <v>[Price]</v>
      </c>
      <c r="CA144" s="1424" t="str">
        <f>IFERROR((S144/R144-1)*(R146/R$13),"-")</f>
        <v>-</v>
      </c>
      <c r="CB144" s="1415" t="str">
        <f>IFERROR((T144/S144-1)*(S146/S$13),"-")</f>
        <v>-</v>
      </c>
      <c r="CC144" s="1415" t="str">
        <f>IFERROR((U144/T144-1)*(T146/T$13),"-")</f>
        <v>-</v>
      </c>
      <c r="CD144" s="1415" t="str">
        <f>IFERROR((V144/U144-1)*(U146/U$13),"-")</f>
        <v>-</v>
      </c>
      <c r="CE144" s="1415" t="str">
        <f t="shared" ref="CE144:CR144" si="249">IFERROR((T144/S144-1)*(S146/S$13),"-")</f>
        <v>-</v>
      </c>
      <c r="CF144" s="1415" t="str">
        <f t="shared" si="249"/>
        <v>-</v>
      </c>
      <c r="CG144" s="1415" t="str">
        <f t="shared" si="249"/>
        <v>-</v>
      </c>
      <c r="CH144" s="1425" t="str">
        <f t="shared" si="249"/>
        <v>-</v>
      </c>
      <c r="CI144" s="1417" t="str">
        <f t="shared" si="249"/>
        <v>-</v>
      </c>
      <c r="CJ144" s="1417" t="str">
        <f t="shared" si="249"/>
        <v>-</v>
      </c>
      <c r="CK144" s="1417" t="str">
        <f t="shared" si="249"/>
        <v>-</v>
      </c>
      <c r="CL144" s="1417" t="str">
        <f t="shared" si="249"/>
        <v>-</v>
      </c>
      <c r="CM144" s="1418" t="str">
        <f t="shared" si="249"/>
        <v>-</v>
      </c>
      <c r="CN144" s="1417" t="str">
        <f t="shared" si="249"/>
        <v>-</v>
      </c>
      <c r="CO144" s="1417" t="str">
        <f t="shared" si="249"/>
        <v>-</v>
      </c>
      <c r="CP144" s="1417" t="str">
        <f t="shared" si="249"/>
        <v>-</v>
      </c>
      <c r="CQ144" s="1417" t="str">
        <f t="shared" si="249"/>
        <v>-</v>
      </c>
      <c r="CR144" s="1419" t="str">
        <f t="shared" si="249"/>
        <v>-</v>
      </c>
      <c r="CS144" s="1378"/>
      <c r="CT144" s="1412" t="str">
        <f t="shared" si="191"/>
        <v>Price</v>
      </c>
      <c r="CU144" s="1413" t="str">
        <f t="shared" si="192"/>
        <v>[Service]</v>
      </c>
      <c r="CV144" s="1426" t="str">
        <f t="shared" si="193"/>
        <v>[Price]</v>
      </c>
      <c r="CW144" s="1427" t="str">
        <f t="shared" si="212"/>
        <v>-</v>
      </c>
      <c r="CX144" s="1417" t="str">
        <f t="shared" si="213"/>
        <v>-</v>
      </c>
      <c r="CY144" s="1417" t="str">
        <f t="shared" si="214"/>
        <v>-</v>
      </c>
      <c r="CZ144" s="1418" t="str">
        <f t="shared" si="215"/>
        <v>-</v>
      </c>
      <c r="DA144" s="1417" t="str">
        <f t="shared" si="216"/>
        <v>-</v>
      </c>
      <c r="DB144" s="1417" t="str">
        <f t="shared" si="217"/>
        <v>-</v>
      </c>
      <c r="DC144" s="1417" t="str">
        <f t="shared" si="218"/>
        <v>-</v>
      </c>
      <c r="DD144" s="1417" t="str">
        <f t="shared" si="219"/>
        <v>-</v>
      </c>
      <c r="DE144" s="1419" t="str">
        <f t="shared" si="220"/>
        <v>-</v>
      </c>
      <c r="DF144" s="1378"/>
      <c r="DG144" s="1412" t="str">
        <f t="shared" si="232"/>
        <v>Price</v>
      </c>
      <c r="DH144" s="1413" t="str">
        <f t="shared" si="232"/>
        <v>[Service]</v>
      </c>
      <c r="DI144" s="1426" t="str">
        <f t="shared" si="232"/>
        <v>[Price]</v>
      </c>
      <c r="DJ144" s="1427" t="str">
        <f t="shared" si="221"/>
        <v>-</v>
      </c>
      <c r="DK144" s="1417" t="str">
        <f t="shared" si="222"/>
        <v>-</v>
      </c>
      <c r="DL144" s="1417" t="str">
        <f t="shared" si="223"/>
        <v>-</v>
      </c>
      <c r="DM144" s="1418" t="str">
        <f t="shared" si="224"/>
        <v>-</v>
      </c>
      <c r="DN144" s="1417" t="str">
        <f t="shared" si="225"/>
        <v>-</v>
      </c>
      <c r="DO144" s="1417" t="str">
        <f t="shared" si="226"/>
        <v>-</v>
      </c>
      <c r="DP144" s="1417" t="str">
        <f t="shared" si="227"/>
        <v>-</v>
      </c>
      <c r="DQ144" s="1419" t="str">
        <f t="shared" si="228"/>
        <v>-</v>
      </c>
    </row>
    <row r="145" spans="4:121">
      <c r="E145" s="742" t="s">
        <v>45</v>
      </c>
      <c r="F145" s="722" t="str">
        <f>+F144</f>
        <v>[Service]</v>
      </c>
      <c r="G145" s="723">
        <f>+G144</f>
        <v>0</v>
      </c>
      <c r="H145" s="723">
        <f>+H144</f>
        <v>0</v>
      </c>
      <c r="I145" s="724" t="str">
        <f>+I144</f>
        <v>[Price]</v>
      </c>
      <c r="J145" s="782" t="s">
        <v>322</v>
      </c>
      <c r="K145" s="725"/>
      <c r="L145" s="726"/>
      <c r="M145" s="726"/>
      <c r="N145" s="727"/>
      <c r="O145" s="786"/>
      <c r="P145" s="787"/>
      <c r="Q145" s="786"/>
      <c r="R145" s="786"/>
      <c r="S145" s="786"/>
      <c r="T145" s="786"/>
      <c r="U145" s="786"/>
      <c r="V145" s="786"/>
      <c r="W145" s="786"/>
      <c r="X145" s="787"/>
      <c r="Y145" s="786"/>
      <c r="Z145" s="786"/>
      <c r="AA145" s="786"/>
      <c r="AB145" s="786"/>
      <c r="AC145" s="787"/>
      <c r="AD145" s="786"/>
      <c r="AE145" s="786"/>
      <c r="AF145" s="786"/>
      <c r="AG145" s="788"/>
      <c r="AH145" s="823"/>
      <c r="AI145" s="702"/>
      <c r="AJ145" s="728"/>
      <c r="AK145" s="729"/>
      <c r="AL145" s="729"/>
      <c r="AM145" s="729"/>
      <c r="AN145" s="729"/>
      <c r="AO145" s="730"/>
      <c r="AP145" s="74"/>
      <c r="AQ145" s="74"/>
      <c r="AR145" s="74"/>
      <c r="AS145" s="106"/>
      <c r="AW145" s="1392" t="str">
        <f t="shared" si="230"/>
        <v>Qty</v>
      </c>
      <c r="AX145" s="1393" t="str">
        <f t="shared" si="230"/>
        <v>[Service]</v>
      </c>
      <c r="AY145" s="1394" t="str">
        <f t="shared" si="194"/>
        <v>[Price]</v>
      </c>
      <c r="AZ145" s="1395" t="str">
        <f t="shared" si="195"/>
        <v>-</v>
      </c>
      <c r="BA145" s="1395" t="str">
        <f t="shared" si="195"/>
        <v>-</v>
      </c>
      <c r="BB145" s="1395" t="str">
        <f t="shared" si="195"/>
        <v>-</v>
      </c>
      <c r="BC145" s="1395" t="str">
        <f t="shared" si="195"/>
        <v>-</v>
      </c>
      <c r="BD145" s="1395" t="str">
        <f t="shared" si="196"/>
        <v>-</v>
      </c>
      <c r="BE145" s="1395" t="str">
        <f t="shared" si="197"/>
        <v>-</v>
      </c>
      <c r="BF145" s="1395" t="str">
        <f t="shared" si="198"/>
        <v>-</v>
      </c>
      <c r="BG145" s="1396" t="str">
        <f t="shared" si="199"/>
        <v>-</v>
      </c>
      <c r="BH145" s="1395" t="str">
        <f t="shared" si="200"/>
        <v>-</v>
      </c>
      <c r="BI145" s="1395" t="str">
        <f t="shared" si="201"/>
        <v>-</v>
      </c>
      <c r="BJ145" s="1395" t="str">
        <f t="shared" si="202"/>
        <v>-</v>
      </c>
      <c r="BK145" s="1395" t="str">
        <f t="shared" si="203"/>
        <v>-</v>
      </c>
      <c r="BL145" s="1397" t="str">
        <f t="shared" si="204"/>
        <v>-</v>
      </c>
      <c r="BM145" s="1395" t="str">
        <f t="shared" si="205"/>
        <v>-</v>
      </c>
      <c r="BN145" s="1395" t="str">
        <f t="shared" si="206"/>
        <v>-</v>
      </c>
      <c r="BO145" s="1395" t="str">
        <f t="shared" si="207"/>
        <v>-</v>
      </c>
      <c r="BP145" s="1395" t="str">
        <f t="shared" si="208"/>
        <v>-</v>
      </c>
      <c r="BQ145" s="1398" t="str">
        <f t="shared" si="209"/>
        <v>-</v>
      </c>
      <c r="BR145" s="1378"/>
      <c r="BS145" s="1329"/>
      <c r="BT145" s="1399"/>
      <c r="BU145" s="1331"/>
      <c r="BV145" s="1400"/>
      <c r="BW145" s="1378"/>
      <c r="BX145" s="1392" t="str">
        <f t="shared" si="210"/>
        <v>Qty</v>
      </c>
      <c r="BY145" s="1393" t="str">
        <f t="shared" si="105"/>
        <v>[Service]</v>
      </c>
      <c r="BZ145" s="1394" t="str">
        <f t="shared" si="106"/>
        <v>[Price]</v>
      </c>
      <c r="CA145" s="1401" t="str">
        <f>IFERROR((S145/R145-1)*(R146/R$13),"-")</f>
        <v>-</v>
      </c>
      <c r="CB145" s="1395" t="str">
        <f>IFERROR((T145/S145-1)*(S146/S$13),"-")</f>
        <v>-</v>
      </c>
      <c r="CC145" s="1395" t="str">
        <f>IFERROR((U145/T145-1)*(T146/T$13),"-")</f>
        <v>-</v>
      </c>
      <c r="CD145" s="1395" t="str">
        <f>IFERROR((V145/U145-1)*(U146/U$13),"-")</f>
        <v>-</v>
      </c>
      <c r="CE145" s="1395" t="str">
        <f t="shared" ref="CE145:CR145" si="250">IFERROR((T145/S145-1)*(S146/S$13),"-")</f>
        <v>-</v>
      </c>
      <c r="CF145" s="1395" t="str">
        <f t="shared" si="250"/>
        <v>-</v>
      </c>
      <c r="CG145" s="1395" t="str">
        <f t="shared" si="250"/>
        <v>-</v>
      </c>
      <c r="CH145" s="1397" t="str">
        <f t="shared" si="250"/>
        <v>-</v>
      </c>
      <c r="CI145" s="1395" t="str">
        <f t="shared" si="250"/>
        <v>-</v>
      </c>
      <c r="CJ145" s="1395" t="str">
        <f t="shared" si="250"/>
        <v>-</v>
      </c>
      <c r="CK145" s="1395" t="str">
        <f t="shared" si="250"/>
        <v>-</v>
      </c>
      <c r="CL145" s="1395" t="str">
        <f t="shared" si="250"/>
        <v>-</v>
      </c>
      <c r="CM145" s="1397" t="str">
        <f t="shared" si="250"/>
        <v>-</v>
      </c>
      <c r="CN145" s="1395" t="str">
        <f t="shared" si="250"/>
        <v>-</v>
      </c>
      <c r="CO145" s="1395" t="str">
        <f t="shared" si="250"/>
        <v>-</v>
      </c>
      <c r="CP145" s="1395" t="str">
        <f t="shared" si="250"/>
        <v>-</v>
      </c>
      <c r="CQ145" s="1395" t="str">
        <f t="shared" si="250"/>
        <v>-</v>
      </c>
      <c r="CR145" s="1398" t="str">
        <f t="shared" si="250"/>
        <v>-</v>
      </c>
      <c r="CS145" s="1378"/>
      <c r="CT145" s="1392" t="str">
        <f t="shared" si="191"/>
        <v>Qty</v>
      </c>
      <c r="CU145" s="1393" t="str">
        <f t="shared" si="192"/>
        <v>[Service]</v>
      </c>
      <c r="CV145" s="1393" t="str">
        <f t="shared" si="193"/>
        <v>[Price]</v>
      </c>
      <c r="CW145" s="1401" t="str">
        <f t="shared" si="212"/>
        <v>-</v>
      </c>
      <c r="CX145" s="1395" t="str">
        <f t="shared" si="213"/>
        <v>-</v>
      </c>
      <c r="CY145" s="1395" t="str">
        <f t="shared" si="214"/>
        <v>-</v>
      </c>
      <c r="CZ145" s="1397" t="str">
        <f t="shared" si="215"/>
        <v>-</v>
      </c>
      <c r="DA145" s="1395" t="str">
        <f t="shared" si="216"/>
        <v>-</v>
      </c>
      <c r="DB145" s="1395" t="str">
        <f t="shared" si="217"/>
        <v>-</v>
      </c>
      <c r="DC145" s="1395" t="str">
        <f t="shared" si="218"/>
        <v>-</v>
      </c>
      <c r="DD145" s="1395" t="str">
        <f t="shared" si="219"/>
        <v>-</v>
      </c>
      <c r="DE145" s="1398" t="str">
        <f t="shared" si="220"/>
        <v>-</v>
      </c>
      <c r="DF145" s="1378"/>
      <c r="DG145" s="1392" t="str">
        <f t="shared" si="232"/>
        <v>Qty</v>
      </c>
      <c r="DH145" s="1393" t="str">
        <f t="shared" si="232"/>
        <v>[Service]</v>
      </c>
      <c r="DI145" s="1393" t="str">
        <f t="shared" si="232"/>
        <v>[Price]</v>
      </c>
      <c r="DJ145" s="1401" t="str">
        <f t="shared" si="221"/>
        <v>-</v>
      </c>
      <c r="DK145" s="1395" t="str">
        <f t="shared" si="222"/>
        <v>-</v>
      </c>
      <c r="DL145" s="1395" t="str">
        <f t="shared" si="223"/>
        <v>-</v>
      </c>
      <c r="DM145" s="1397" t="str">
        <f t="shared" si="224"/>
        <v>-</v>
      </c>
      <c r="DN145" s="1395" t="str">
        <f t="shared" si="225"/>
        <v>-</v>
      </c>
      <c r="DO145" s="1395" t="str">
        <f t="shared" si="226"/>
        <v>-</v>
      </c>
      <c r="DP145" s="1395" t="str">
        <f t="shared" si="227"/>
        <v>-</v>
      </c>
      <c r="DQ145" s="1398" t="str">
        <f t="shared" si="228"/>
        <v>-</v>
      </c>
    </row>
    <row r="146" spans="4:121" ht="12.75" thickBot="1">
      <c r="E146" s="743" t="s">
        <v>46</v>
      </c>
      <c r="F146" s="732" t="str">
        <f>+F144</f>
        <v>[Service]</v>
      </c>
      <c r="G146" s="733">
        <f>+G144</f>
        <v>0</v>
      </c>
      <c r="H146" s="733">
        <f>+H144</f>
        <v>0</v>
      </c>
      <c r="I146" s="734" t="str">
        <f>+I144</f>
        <v>[Price]</v>
      </c>
      <c r="J146" s="735" t="s">
        <v>344</v>
      </c>
      <c r="K146" s="736">
        <f t="shared" ref="K146:AG146" si="251">K144*K145/10^6</f>
        <v>0</v>
      </c>
      <c r="L146" s="737">
        <f t="shared" si="251"/>
        <v>0</v>
      </c>
      <c r="M146" s="737">
        <f t="shared" si="251"/>
        <v>0</v>
      </c>
      <c r="N146" s="738">
        <f t="shared" si="251"/>
        <v>0</v>
      </c>
      <c r="O146" s="737">
        <f t="shared" si="251"/>
        <v>0</v>
      </c>
      <c r="P146" s="738">
        <f t="shared" si="251"/>
        <v>0</v>
      </c>
      <c r="Q146" s="737">
        <f t="shared" si="251"/>
        <v>0</v>
      </c>
      <c r="R146" s="737">
        <f t="shared" si="251"/>
        <v>0</v>
      </c>
      <c r="S146" s="737">
        <f t="shared" si="251"/>
        <v>0</v>
      </c>
      <c r="T146" s="737">
        <f t="shared" si="251"/>
        <v>0</v>
      </c>
      <c r="U146" s="737">
        <f t="shared" si="251"/>
        <v>0</v>
      </c>
      <c r="V146" s="737">
        <f t="shared" si="251"/>
        <v>0</v>
      </c>
      <c r="W146" s="737">
        <f t="shared" si="251"/>
        <v>0</v>
      </c>
      <c r="X146" s="738">
        <f t="shared" si="251"/>
        <v>0</v>
      </c>
      <c r="Y146" s="737">
        <f t="shared" si="251"/>
        <v>0</v>
      </c>
      <c r="Z146" s="737">
        <f t="shared" si="251"/>
        <v>0</v>
      </c>
      <c r="AA146" s="737">
        <f t="shared" si="251"/>
        <v>0</v>
      </c>
      <c r="AB146" s="737">
        <f t="shared" si="251"/>
        <v>0</v>
      </c>
      <c r="AC146" s="738">
        <f t="shared" si="251"/>
        <v>0</v>
      </c>
      <c r="AD146" s="737">
        <f t="shared" si="251"/>
        <v>0</v>
      </c>
      <c r="AE146" s="737">
        <f t="shared" si="251"/>
        <v>0</v>
      </c>
      <c r="AF146" s="737">
        <f t="shared" si="251"/>
        <v>0</v>
      </c>
      <c r="AG146" s="739">
        <f t="shared" si="251"/>
        <v>0</v>
      </c>
      <c r="AH146" s="823"/>
      <c r="AI146" s="744"/>
      <c r="AJ146" s="741"/>
      <c r="AK146" s="729"/>
      <c r="AL146" s="729"/>
      <c r="AM146" s="729"/>
      <c r="AN146" s="729"/>
      <c r="AO146" s="730"/>
      <c r="AP146" s="74"/>
      <c r="AQ146" s="74"/>
      <c r="AR146" s="74"/>
      <c r="AS146" s="106"/>
      <c r="AW146" s="1428" t="str">
        <f t="shared" si="230"/>
        <v>Rev</v>
      </c>
      <c r="AX146" s="1429" t="str">
        <f t="shared" si="230"/>
        <v>[Service]</v>
      </c>
      <c r="AY146" s="1430" t="str">
        <f t="shared" si="194"/>
        <v>[Price]</v>
      </c>
      <c r="AZ146" s="1431" t="str">
        <f t="shared" si="195"/>
        <v>-</v>
      </c>
      <c r="BA146" s="1431" t="str">
        <f t="shared" si="195"/>
        <v>-</v>
      </c>
      <c r="BB146" s="1431" t="str">
        <f t="shared" si="195"/>
        <v>-</v>
      </c>
      <c r="BC146" s="1431" t="str">
        <f t="shared" si="195"/>
        <v>-</v>
      </c>
      <c r="BD146" s="1431" t="str">
        <f t="shared" si="196"/>
        <v>-</v>
      </c>
      <c r="BE146" s="1431" t="str">
        <f t="shared" si="197"/>
        <v>-</v>
      </c>
      <c r="BF146" s="1431" t="str">
        <f t="shared" si="198"/>
        <v>-</v>
      </c>
      <c r="BG146" s="1432" t="str">
        <f t="shared" si="199"/>
        <v>-</v>
      </c>
      <c r="BH146" s="1431" t="str">
        <f t="shared" si="200"/>
        <v>-</v>
      </c>
      <c r="BI146" s="1431" t="str">
        <f t="shared" si="201"/>
        <v>-</v>
      </c>
      <c r="BJ146" s="1431" t="str">
        <f t="shared" si="202"/>
        <v>-</v>
      </c>
      <c r="BK146" s="1431" t="str">
        <f t="shared" si="203"/>
        <v>-</v>
      </c>
      <c r="BL146" s="1433" t="str">
        <f t="shared" si="204"/>
        <v>-</v>
      </c>
      <c r="BM146" s="1431" t="str">
        <f t="shared" si="205"/>
        <v>-</v>
      </c>
      <c r="BN146" s="1431" t="str">
        <f t="shared" si="206"/>
        <v>-</v>
      </c>
      <c r="BO146" s="1431" t="str">
        <f t="shared" si="207"/>
        <v>-</v>
      </c>
      <c r="BP146" s="1431" t="str">
        <f t="shared" si="208"/>
        <v>-</v>
      </c>
      <c r="BQ146" s="1434" t="str">
        <f t="shared" si="209"/>
        <v>-</v>
      </c>
      <c r="BR146" s="1378"/>
      <c r="BS146" s="1407"/>
      <c r="BT146" s="1408"/>
      <c r="BU146" s="1409"/>
      <c r="BV146" s="1410"/>
      <c r="BW146" s="1378"/>
      <c r="BX146" s="1428" t="str">
        <f t="shared" si="210"/>
        <v>Rev</v>
      </c>
      <c r="BY146" s="1429" t="str">
        <f t="shared" si="105"/>
        <v>[Service]</v>
      </c>
      <c r="BZ146" s="1430" t="str">
        <f t="shared" si="106"/>
        <v>[Price]</v>
      </c>
      <c r="CA146" s="1435" t="str">
        <f>IFERROR((S146/R146-1)*(R146/R$13),"-")</f>
        <v>-</v>
      </c>
      <c r="CB146" s="1431" t="str">
        <f>IFERROR((T146/S146-1)*(S146/S$13),"-")</f>
        <v>-</v>
      </c>
      <c r="CC146" s="1431" t="str">
        <f>IFERROR((U146/T146-1)*(T146/T$13),"-")</f>
        <v>-</v>
      </c>
      <c r="CD146" s="1431" t="str">
        <f>IFERROR((V146/U146-1)*(U146/U$13),"-")</f>
        <v>-</v>
      </c>
      <c r="CE146" s="1431" t="str">
        <f t="shared" ref="CE146:CR146" si="252">IFERROR((T146/S146-1)*(S146/S$13),"-")</f>
        <v>-</v>
      </c>
      <c r="CF146" s="1431" t="str">
        <f t="shared" si="252"/>
        <v>-</v>
      </c>
      <c r="CG146" s="1431" t="str">
        <f t="shared" si="252"/>
        <v>-</v>
      </c>
      <c r="CH146" s="1433" t="str">
        <f t="shared" si="252"/>
        <v>-</v>
      </c>
      <c r="CI146" s="1431" t="str">
        <f t="shared" si="252"/>
        <v>-</v>
      </c>
      <c r="CJ146" s="1431" t="str">
        <f t="shared" si="252"/>
        <v>-</v>
      </c>
      <c r="CK146" s="1431" t="str">
        <f t="shared" si="252"/>
        <v>-</v>
      </c>
      <c r="CL146" s="1431" t="str">
        <f t="shared" si="252"/>
        <v>-</v>
      </c>
      <c r="CM146" s="1433" t="str">
        <f t="shared" si="252"/>
        <v>-</v>
      </c>
      <c r="CN146" s="1431" t="str">
        <f t="shared" si="252"/>
        <v>-</v>
      </c>
      <c r="CO146" s="1431" t="str">
        <f t="shared" si="252"/>
        <v>-</v>
      </c>
      <c r="CP146" s="1431" t="str">
        <f t="shared" si="252"/>
        <v>-</v>
      </c>
      <c r="CQ146" s="1431" t="str">
        <f t="shared" si="252"/>
        <v>-</v>
      </c>
      <c r="CR146" s="1434" t="str">
        <f t="shared" si="252"/>
        <v>-</v>
      </c>
      <c r="CS146" s="1378"/>
      <c r="CT146" s="1428" t="str">
        <f t="shared" si="191"/>
        <v>Rev</v>
      </c>
      <c r="CU146" s="1429" t="str">
        <f t="shared" si="192"/>
        <v>[Service]</v>
      </c>
      <c r="CV146" s="1429" t="str">
        <f t="shared" si="193"/>
        <v>[Price]</v>
      </c>
      <c r="CW146" s="1435" t="str">
        <f t="shared" si="212"/>
        <v>-</v>
      </c>
      <c r="CX146" s="1431" t="str">
        <f t="shared" si="213"/>
        <v>-</v>
      </c>
      <c r="CY146" s="1431" t="str">
        <f t="shared" si="214"/>
        <v>-</v>
      </c>
      <c r="CZ146" s="1433" t="str">
        <f t="shared" si="215"/>
        <v>-</v>
      </c>
      <c r="DA146" s="1431" t="str">
        <f t="shared" si="216"/>
        <v>-</v>
      </c>
      <c r="DB146" s="1431" t="str">
        <f t="shared" si="217"/>
        <v>-</v>
      </c>
      <c r="DC146" s="1431" t="str">
        <f t="shared" si="218"/>
        <v>-</v>
      </c>
      <c r="DD146" s="1431" t="str">
        <f t="shared" si="219"/>
        <v>-</v>
      </c>
      <c r="DE146" s="1434" t="str">
        <f t="shared" si="220"/>
        <v>-</v>
      </c>
      <c r="DF146" s="1378"/>
      <c r="DG146" s="1428" t="str">
        <f t="shared" si="232"/>
        <v>Rev</v>
      </c>
      <c r="DH146" s="1429" t="str">
        <f t="shared" si="232"/>
        <v>[Service]</v>
      </c>
      <c r="DI146" s="1429" t="str">
        <f t="shared" si="232"/>
        <v>[Price]</v>
      </c>
      <c r="DJ146" s="1435" t="str">
        <f t="shared" si="221"/>
        <v>-</v>
      </c>
      <c r="DK146" s="1431" t="str">
        <f t="shared" si="222"/>
        <v>-</v>
      </c>
      <c r="DL146" s="1431" t="str">
        <f t="shared" si="223"/>
        <v>-</v>
      </c>
      <c r="DM146" s="1433" t="str">
        <f t="shared" si="224"/>
        <v>-</v>
      </c>
      <c r="DN146" s="1431" t="str">
        <f t="shared" si="225"/>
        <v>-</v>
      </c>
      <c r="DO146" s="1431" t="str">
        <f t="shared" si="226"/>
        <v>-</v>
      </c>
      <c r="DP146" s="1431" t="str">
        <f t="shared" si="227"/>
        <v>-</v>
      </c>
      <c r="DQ146" s="1434" t="str">
        <f t="shared" si="228"/>
        <v>-</v>
      </c>
    </row>
    <row r="147" spans="4:121">
      <c r="D147" s="70">
        <f>D144+1</f>
        <v>27</v>
      </c>
      <c r="E147" s="713" t="s">
        <v>44</v>
      </c>
      <c r="F147" s="789" t="s">
        <v>27</v>
      </c>
      <c r="G147" s="789"/>
      <c r="H147" s="789"/>
      <c r="I147" s="781" t="s">
        <v>318</v>
      </c>
      <c r="J147" s="781" t="s">
        <v>345</v>
      </c>
      <c r="K147" s="714"/>
      <c r="L147" s="715"/>
      <c r="M147" s="715"/>
      <c r="N147" s="716"/>
      <c r="O147" s="783"/>
      <c r="P147" s="784"/>
      <c r="Q147" s="783"/>
      <c r="R147" s="783"/>
      <c r="S147" s="783"/>
      <c r="T147" s="783"/>
      <c r="U147" s="783"/>
      <c r="V147" s="783"/>
      <c r="W147" s="783"/>
      <c r="X147" s="784"/>
      <c r="Y147" s="783"/>
      <c r="Z147" s="783"/>
      <c r="AA147" s="783"/>
      <c r="AB147" s="783"/>
      <c r="AC147" s="784"/>
      <c r="AD147" s="783"/>
      <c r="AE147" s="783"/>
      <c r="AF147" s="783"/>
      <c r="AG147" s="785"/>
      <c r="AI147" s="702"/>
      <c r="AJ147" s="717" t="str">
        <f t="shared" ref="AJ147:AS147" si="253">IFERROR((X147-W147)/W147,"")</f>
        <v/>
      </c>
      <c r="AK147" s="718" t="str">
        <f t="shared" si="253"/>
        <v/>
      </c>
      <c r="AL147" s="718" t="str">
        <f t="shared" si="253"/>
        <v/>
      </c>
      <c r="AM147" s="718" t="str">
        <f t="shared" si="253"/>
        <v/>
      </c>
      <c r="AN147" s="718" t="str">
        <f t="shared" si="253"/>
        <v/>
      </c>
      <c r="AO147" s="719" t="str">
        <f t="shared" si="253"/>
        <v/>
      </c>
      <c r="AP147" s="494" t="str">
        <f t="shared" si="253"/>
        <v/>
      </c>
      <c r="AQ147" s="494" t="str">
        <f t="shared" si="253"/>
        <v/>
      </c>
      <c r="AR147" s="494" t="str">
        <f t="shared" si="253"/>
        <v/>
      </c>
      <c r="AS147" s="720" t="str">
        <f t="shared" si="253"/>
        <v/>
      </c>
      <c r="AU147" s="1369"/>
      <c r="AW147" s="1412" t="str">
        <f t="shared" si="230"/>
        <v>Price</v>
      </c>
      <c r="AX147" s="1413" t="str">
        <f t="shared" si="230"/>
        <v>[Service]</v>
      </c>
      <c r="AY147" s="1414" t="str">
        <f t="shared" si="194"/>
        <v>[Price]</v>
      </c>
      <c r="AZ147" s="1415" t="str">
        <f t="shared" si="195"/>
        <v>-</v>
      </c>
      <c r="BA147" s="1415" t="str">
        <f t="shared" si="195"/>
        <v>-</v>
      </c>
      <c r="BB147" s="1415" t="str">
        <f t="shared" si="195"/>
        <v>-</v>
      </c>
      <c r="BC147" s="1415" t="str">
        <f t="shared" si="195"/>
        <v>-</v>
      </c>
      <c r="BD147" s="1415" t="str">
        <f t="shared" si="196"/>
        <v>-</v>
      </c>
      <c r="BE147" s="1415" t="str">
        <f t="shared" si="197"/>
        <v>-</v>
      </c>
      <c r="BF147" s="1415" t="str">
        <f t="shared" si="198"/>
        <v>-</v>
      </c>
      <c r="BG147" s="1416" t="str">
        <f t="shared" si="199"/>
        <v>-</v>
      </c>
      <c r="BH147" s="1417" t="str">
        <f t="shared" si="200"/>
        <v>-</v>
      </c>
      <c r="BI147" s="1417" t="str">
        <f t="shared" si="201"/>
        <v>-</v>
      </c>
      <c r="BJ147" s="1417" t="str">
        <f t="shared" si="202"/>
        <v>-</v>
      </c>
      <c r="BK147" s="1417" t="str">
        <f t="shared" si="203"/>
        <v>-</v>
      </c>
      <c r="BL147" s="1418" t="str">
        <f t="shared" si="204"/>
        <v>-</v>
      </c>
      <c r="BM147" s="1417" t="str">
        <f t="shared" si="205"/>
        <v>-</v>
      </c>
      <c r="BN147" s="1417" t="str">
        <f t="shared" si="206"/>
        <v>-</v>
      </c>
      <c r="BO147" s="1417" t="str">
        <f t="shared" si="207"/>
        <v>-</v>
      </c>
      <c r="BP147" s="1417" t="str">
        <f t="shared" si="208"/>
        <v>-</v>
      </c>
      <c r="BQ147" s="1419" t="str">
        <f t="shared" si="209"/>
        <v>-</v>
      </c>
      <c r="BR147" s="1378"/>
      <c r="BS147" s="1420"/>
      <c r="BT147" s="1421"/>
      <c r="BU147" s="1422"/>
      <c r="BV147" s="1423"/>
      <c r="BW147" s="1378"/>
      <c r="BX147" s="1412" t="str">
        <f t="shared" si="210"/>
        <v>Price</v>
      </c>
      <c r="BY147" s="1413" t="str">
        <f t="shared" si="105"/>
        <v>[Service]</v>
      </c>
      <c r="BZ147" s="1414" t="str">
        <f t="shared" si="106"/>
        <v>[Price]</v>
      </c>
      <c r="CA147" s="1424" t="str">
        <f>IFERROR((S147/R147-1)*(R149/R$13),"-")</f>
        <v>-</v>
      </c>
      <c r="CB147" s="1415" t="str">
        <f>IFERROR((T147/S147-1)*(S149/S$13),"-")</f>
        <v>-</v>
      </c>
      <c r="CC147" s="1415" t="str">
        <f>IFERROR((U147/T147-1)*(T149/T$13),"-")</f>
        <v>-</v>
      </c>
      <c r="CD147" s="1415" t="str">
        <f>IFERROR((V147/U147-1)*(U149/U$13),"-")</f>
        <v>-</v>
      </c>
      <c r="CE147" s="1415" t="str">
        <f t="shared" ref="CE147:CR147" si="254">IFERROR((T147/S147-1)*(S149/S$13),"-")</f>
        <v>-</v>
      </c>
      <c r="CF147" s="1415" t="str">
        <f t="shared" si="254"/>
        <v>-</v>
      </c>
      <c r="CG147" s="1415" t="str">
        <f t="shared" si="254"/>
        <v>-</v>
      </c>
      <c r="CH147" s="1425" t="str">
        <f t="shared" si="254"/>
        <v>-</v>
      </c>
      <c r="CI147" s="1417" t="str">
        <f t="shared" si="254"/>
        <v>-</v>
      </c>
      <c r="CJ147" s="1417" t="str">
        <f t="shared" si="254"/>
        <v>-</v>
      </c>
      <c r="CK147" s="1417" t="str">
        <f t="shared" si="254"/>
        <v>-</v>
      </c>
      <c r="CL147" s="1417" t="str">
        <f t="shared" si="254"/>
        <v>-</v>
      </c>
      <c r="CM147" s="1418" t="str">
        <f t="shared" si="254"/>
        <v>-</v>
      </c>
      <c r="CN147" s="1417" t="str">
        <f t="shared" si="254"/>
        <v>-</v>
      </c>
      <c r="CO147" s="1417" t="str">
        <f t="shared" si="254"/>
        <v>-</v>
      </c>
      <c r="CP147" s="1417" t="str">
        <f t="shared" si="254"/>
        <v>-</v>
      </c>
      <c r="CQ147" s="1417" t="str">
        <f t="shared" si="254"/>
        <v>-</v>
      </c>
      <c r="CR147" s="1419" t="str">
        <f t="shared" si="254"/>
        <v>-</v>
      </c>
      <c r="CS147" s="1378"/>
      <c r="CT147" s="1412" t="str">
        <f t="shared" si="191"/>
        <v>Price</v>
      </c>
      <c r="CU147" s="1413" t="str">
        <f t="shared" si="192"/>
        <v>[Service]</v>
      </c>
      <c r="CV147" s="1426" t="str">
        <f t="shared" si="193"/>
        <v>[Price]</v>
      </c>
      <c r="CW147" s="1427" t="str">
        <f t="shared" si="212"/>
        <v>-</v>
      </c>
      <c r="CX147" s="1417" t="str">
        <f t="shared" si="213"/>
        <v>-</v>
      </c>
      <c r="CY147" s="1417" t="str">
        <f t="shared" si="214"/>
        <v>-</v>
      </c>
      <c r="CZ147" s="1418" t="str">
        <f t="shared" si="215"/>
        <v>-</v>
      </c>
      <c r="DA147" s="1417" t="str">
        <f t="shared" si="216"/>
        <v>-</v>
      </c>
      <c r="DB147" s="1417" t="str">
        <f t="shared" si="217"/>
        <v>-</v>
      </c>
      <c r="DC147" s="1417" t="str">
        <f t="shared" si="218"/>
        <v>-</v>
      </c>
      <c r="DD147" s="1417" t="str">
        <f t="shared" si="219"/>
        <v>-</v>
      </c>
      <c r="DE147" s="1419" t="str">
        <f t="shared" si="220"/>
        <v>-</v>
      </c>
      <c r="DF147" s="1378"/>
      <c r="DG147" s="1412" t="str">
        <f t="shared" si="232"/>
        <v>Price</v>
      </c>
      <c r="DH147" s="1413" t="str">
        <f t="shared" si="232"/>
        <v>[Service]</v>
      </c>
      <c r="DI147" s="1426" t="str">
        <f t="shared" si="232"/>
        <v>[Price]</v>
      </c>
      <c r="DJ147" s="1427" t="str">
        <f t="shared" si="221"/>
        <v>-</v>
      </c>
      <c r="DK147" s="1417" t="str">
        <f t="shared" si="222"/>
        <v>-</v>
      </c>
      <c r="DL147" s="1417" t="str">
        <f t="shared" si="223"/>
        <v>-</v>
      </c>
      <c r="DM147" s="1418" t="str">
        <f t="shared" si="224"/>
        <v>-</v>
      </c>
      <c r="DN147" s="1417" t="str">
        <f t="shared" si="225"/>
        <v>-</v>
      </c>
      <c r="DO147" s="1417" t="str">
        <f t="shared" si="226"/>
        <v>-</v>
      </c>
      <c r="DP147" s="1417" t="str">
        <f t="shared" si="227"/>
        <v>-</v>
      </c>
      <c r="DQ147" s="1419" t="str">
        <f t="shared" si="228"/>
        <v>-</v>
      </c>
    </row>
    <row r="148" spans="4:121">
      <c r="E148" s="742" t="s">
        <v>45</v>
      </c>
      <c r="F148" s="722" t="str">
        <f>+F147</f>
        <v>[Service]</v>
      </c>
      <c r="G148" s="723">
        <f>+G147</f>
        <v>0</v>
      </c>
      <c r="H148" s="723">
        <f>+H147</f>
        <v>0</v>
      </c>
      <c r="I148" s="724" t="str">
        <f>+I147</f>
        <v>[Price]</v>
      </c>
      <c r="J148" s="782" t="s">
        <v>322</v>
      </c>
      <c r="K148" s="725"/>
      <c r="L148" s="726"/>
      <c r="M148" s="726"/>
      <c r="N148" s="727"/>
      <c r="O148" s="786"/>
      <c r="P148" s="787"/>
      <c r="Q148" s="786"/>
      <c r="R148" s="786"/>
      <c r="S148" s="786"/>
      <c r="T148" s="786"/>
      <c r="U148" s="786"/>
      <c r="V148" s="786"/>
      <c r="W148" s="786"/>
      <c r="X148" s="787"/>
      <c r="Y148" s="786"/>
      <c r="Z148" s="786"/>
      <c r="AA148" s="786"/>
      <c r="AB148" s="786"/>
      <c r="AC148" s="787"/>
      <c r="AD148" s="786"/>
      <c r="AE148" s="786"/>
      <c r="AF148" s="786"/>
      <c r="AG148" s="788"/>
      <c r="AH148" s="823"/>
      <c r="AI148" s="702"/>
      <c r="AJ148" s="728"/>
      <c r="AK148" s="729"/>
      <c r="AL148" s="729"/>
      <c r="AM148" s="729"/>
      <c r="AN148" s="729"/>
      <c r="AO148" s="730"/>
      <c r="AP148" s="74"/>
      <c r="AQ148" s="74"/>
      <c r="AR148" s="74"/>
      <c r="AS148" s="106"/>
      <c r="AW148" s="1392" t="str">
        <f t="shared" si="230"/>
        <v>Qty</v>
      </c>
      <c r="AX148" s="1393" t="str">
        <f t="shared" si="230"/>
        <v>[Service]</v>
      </c>
      <c r="AY148" s="1394" t="str">
        <f t="shared" si="194"/>
        <v>[Price]</v>
      </c>
      <c r="AZ148" s="1395" t="str">
        <f t="shared" si="195"/>
        <v>-</v>
      </c>
      <c r="BA148" s="1395" t="str">
        <f t="shared" si="195"/>
        <v>-</v>
      </c>
      <c r="BB148" s="1395" t="str">
        <f t="shared" si="195"/>
        <v>-</v>
      </c>
      <c r="BC148" s="1395" t="str">
        <f t="shared" si="195"/>
        <v>-</v>
      </c>
      <c r="BD148" s="1395" t="str">
        <f t="shared" si="196"/>
        <v>-</v>
      </c>
      <c r="BE148" s="1395" t="str">
        <f t="shared" si="197"/>
        <v>-</v>
      </c>
      <c r="BF148" s="1395" t="str">
        <f t="shared" si="198"/>
        <v>-</v>
      </c>
      <c r="BG148" s="1396" t="str">
        <f t="shared" si="199"/>
        <v>-</v>
      </c>
      <c r="BH148" s="1395" t="str">
        <f t="shared" si="200"/>
        <v>-</v>
      </c>
      <c r="BI148" s="1395" t="str">
        <f t="shared" si="201"/>
        <v>-</v>
      </c>
      <c r="BJ148" s="1395" t="str">
        <f t="shared" si="202"/>
        <v>-</v>
      </c>
      <c r="BK148" s="1395" t="str">
        <f t="shared" si="203"/>
        <v>-</v>
      </c>
      <c r="BL148" s="1397" t="str">
        <f t="shared" si="204"/>
        <v>-</v>
      </c>
      <c r="BM148" s="1395" t="str">
        <f t="shared" si="205"/>
        <v>-</v>
      </c>
      <c r="BN148" s="1395" t="str">
        <f t="shared" si="206"/>
        <v>-</v>
      </c>
      <c r="BO148" s="1395" t="str">
        <f t="shared" si="207"/>
        <v>-</v>
      </c>
      <c r="BP148" s="1395" t="str">
        <f t="shared" si="208"/>
        <v>-</v>
      </c>
      <c r="BQ148" s="1398" t="str">
        <f t="shared" si="209"/>
        <v>-</v>
      </c>
      <c r="BR148" s="1378"/>
      <c r="BS148" s="1329"/>
      <c r="BT148" s="1399"/>
      <c r="BU148" s="1331"/>
      <c r="BV148" s="1400"/>
      <c r="BW148" s="1378"/>
      <c r="BX148" s="1392" t="str">
        <f t="shared" si="210"/>
        <v>Qty</v>
      </c>
      <c r="BY148" s="1393" t="str">
        <f t="shared" ref="BY148:BY211" si="255">AX148</f>
        <v>[Service]</v>
      </c>
      <c r="BZ148" s="1394" t="str">
        <f t="shared" ref="BZ148:BZ211" si="256">AY148</f>
        <v>[Price]</v>
      </c>
      <c r="CA148" s="1401" t="str">
        <f>IFERROR((S148/R148-1)*(R149/R$13),"-")</f>
        <v>-</v>
      </c>
      <c r="CB148" s="1395" t="str">
        <f>IFERROR((T148/S148-1)*(S149/S$13),"-")</f>
        <v>-</v>
      </c>
      <c r="CC148" s="1395" t="str">
        <f>IFERROR((U148/T148-1)*(T149/T$13),"-")</f>
        <v>-</v>
      </c>
      <c r="CD148" s="1395" t="str">
        <f>IFERROR((V148/U148-1)*(U149/U$13),"-")</f>
        <v>-</v>
      </c>
      <c r="CE148" s="1395" t="str">
        <f t="shared" ref="CE148:CR148" si="257">IFERROR((T148/S148-1)*(S149/S$13),"-")</f>
        <v>-</v>
      </c>
      <c r="CF148" s="1395" t="str">
        <f t="shared" si="257"/>
        <v>-</v>
      </c>
      <c r="CG148" s="1395" t="str">
        <f t="shared" si="257"/>
        <v>-</v>
      </c>
      <c r="CH148" s="1397" t="str">
        <f t="shared" si="257"/>
        <v>-</v>
      </c>
      <c r="CI148" s="1395" t="str">
        <f t="shared" si="257"/>
        <v>-</v>
      </c>
      <c r="CJ148" s="1395" t="str">
        <f t="shared" si="257"/>
        <v>-</v>
      </c>
      <c r="CK148" s="1395" t="str">
        <f t="shared" si="257"/>
        <v>-</v>
      </c>
      <c r="CL148" s="1395" t="str">
        <f t="shared" si="257"/>
        <v>-</v>
      </c>
      <c r="CM148" s="1397" t="str">
        <f t="shared" si="257"/>
        <v>-</v>
      </c>
      <c r="CN148" s="1395" t="str">
        <f t="shared" si="257"/>
        <v>-</v>
      </c>
      <c r="CO148" s="1395" t="str">
        <f t="shared" si="257"/>
        <v>-</v>
      </c>
      <c r="CP148" s="1395" t="str">
        <f t="shared" si="257"/>
        <v>-</v>
      </c>
      <c r="CQ148" s="1395" t="str">
        <f t="shared" si="257"/>
        <v>-</v>
      </c>
      <c r="CR148" s="1398" t="str">
        <f t="shared" si="257"/>
        <v>-</v>
      </c>
      <c r="CS148" s="1378"/>
      <c r="CT148" s="1392" t="str">
        <f t="shared" si="191"/>
        <v>Qty</v>
      </c>
      <c r="CU148" s="1393" t="str">
        <f t="shared" si="192"/>
        <v>[Service]</v>
      </c>
      <c r="CV148" s="1393" t="str">
        <f t="shared" si="193"/>
        <v>[Price]</v>
      </c>
      <c r="CW148" s="1401" t="str">
        <f t="shared" si="212"/>
        <v>-</v>
      </c>
      <c r="CX148" s="1395" t="str">
        <f t="shared" si="213"/>
        <v>-</v>
      </c>
      <c r="CY148" s="1395" t="str">
        <f t="shared" si="214"/>
        <v>-</v>
      </c>
      <c r="CZ148" s="1397" t="str">
        <f t="shared" si="215"/>
        <v>-</v>
      </c>
      <c r="DA148" s="1395" t="str">
        <f t="shared" si="216"/>
        <v>-</v>
      </c>
      <c r="DB148" s="1395" t="str">
        <f t="shared" si="217"/>
        <v>-</v>
      </c>
      <c r="DC148" s="1395" t="str">
        <f t="shared" si="218"/>
        <v>-</v>
      </c>
      <c r="DD148" s="1395" t="str">
        <f t="shared" si="219"/>
        <v>-</v>
      </c>
      <c r="DE148" s="1398" t="str">
        <f t="shared" si="220"/>
        <v>-</v>
      </c>
      <c r="DF148" s="1378"/>
      <c r="DG148" s="1392" t="str">
        <f t="shared" si="232"/>
        <v>Qty</v>
      </c>
      <c r="DH148" s="1393" t="str">
        <f t="shared" si="232"/>
        <v>[Service]</v>
      </c>
      <c r="DI148" s="1393" t="str">
        <f t="shared" si="232"/>
        <v>[Price]</v>
      </c>
      <c r="DJ148" s="1401" t="str">
        <f t="shared" si="221"/>
        <v>-</v>
      </c>
      <c r="DK148" s="1395" t="str">
        <f t="shared" si="222"/>
        <v>-</v>
      </c>
      <c r="DL148" s="1395" t="str">
        <f t="shared" si="223"/>
        <v>-</v>
      </c>
      <c r="DM148" s="1397" t="str">
        <f t="shared" si="224"/>
        <v>-</v>
      </c>
      <c r="DN148" s="1395" t="str">
        <f t="shared" si="225"/>
        <v>-</v>
      </c>
      <c r="DO148" s="1395" t="str">
        <f t="shared" si="226"/>
        <v>-</v>
      </c>
      <c r="DP148" s="1395" t="str">
        <f t="shared" si="227"/>
        <v>-</v>
      </c>
      <c r="DQ148" s="1398" t="str">
        <f t="shared" si="228"/>
        <v>-</v>
      </c>
    </row>
    <row r="149" spans="4:121" ht="12.75" thickBot="1">
      <c r="E149" s="743" t="s">
        <v>46</v>
      </c>
      <c r="F149" s="732" t="str">
        <f>+F147</f>
        <v>[Service]</v>
      </c>
      <c r="G149" s="733">
        <f>+G147</f>
        <v>0</v>
      </c>
      <c r="H149" s="733">
        <f>+H147</f>
        <v>0</v>
      </c>
      <c r="I149" s="734" t="str">
        <f>+I147</f>
        <v>[Price]</v>
      </c>
      <c r="J149" s="735" t="s">
        <v>344</v>
      </c>
      <c r="K149" s="736">
        <f t="shared" ref="K149:AG149" si="258">K147*K148/10^6</f>
        <v>0</v>
      </c>
      <c r="L149" s="737">
        <f t="shared" si="258"/>
        <v>0</v>
      </c>
      <c r="M149" s="737">
        <f t="shared" si="258"/>
        <v>0</v>
      </c>
      <c r="N149" s="738">
        <f t="shared" si="258"/>
        <v>0</v>
      </c>
      <c r="O149" s="737">
        <f t="shared" si="258"/>
        <v>0</v>
      </c>
      <c r="P149" s="738">
        <f t="shared" si="258"/>
        <v>0</v>
      </c>
      <c r="Q149" s="737">
        <f t="shared" si="258"/>
        <v>0</v>
      </c>
      <c r="R149" s="737">
        <f t="shared" si="258"/>
        <v>0</v>
      </c>
      <c r="S149" s="737">
        <f t="shared" si="258"/>
        <v>0</v>
      </c>
      <c r="T149" s="737">
        <f t="shared" si="258"/>
        <v>0</v>
      </c>
      <c r="U149" s="737">
        <f t="shared" si="258"/>
        <v>0</v>
      </c>
      <c r="V149" s="737">
        <f t="shared" si="258"/>
        <v>0</v>
      </c>
      <c r="W149" s="737">
        <f t="shared" si="258"/>
        <v>0</v>
      </c>
      <c r="X149" s="738">
        <f t="shared" si="258"/>
        <v>0</v>
      </c>
      <c r="Y149" s="737">
        <f t="shared" si="258"/>
        <v>0</v>
      </c>
      <c r="Z149" s="737">
        <f t="shared" si="258"/>
        <v>0</v>
      </c>
      <c r="AA149" s="737">
        <f t="shared" si="258"/>
        <v>0</v>
      </c>
      <c r="AB149" s="737">
        <f t="shared" si="258"/>
        <v>0</v>
      </c>
      <c r="AC149" s="738">
        <f t="shared" si="258"/>
        <v>0</v>
      </c>
      <c r="AD149" s="737">
        <f t="shared" si="258"/>
        <v>0</v>
      </c>
      <c r="AE149" s="737">
        <f t="shared" si="258"/>
        <v>0</v>
      </c>
      <c r="AF149" s="737">
        <f t="shared" si="258"/>
        <v>0</v>
      </c>
      <c r="AG149" s="739">
        <f t="shared" si="258"/>
        <v>0</v>
      </c>
      <c r="AH149" s="823"/>
      <c r="AI149" s="744"/>
      <c r="AJ149" s="741"/>
      <c r="AK149" s="729"/>
      <c r="AL149" s="729"/>
      <c r="AM149" s="729"/>
      <c r="AN149" s="729"/>
      <c r="AO149" s="730"/>
      <c r="AP149" s="74"/>
      <c r="AQ149" s="74"/>
      <c r="AR149" s="74"/>
      <c r="AS149" s="106"/>
      <c r="AW149" s="1428" t="str">
        <f t="shared" si="230"/>
        <v>Rev</v>
      </c>
      <c r="AX149" s="1429" t="str">
        <f t="shared" si="230"/>
        <v>[Service]</v>
      </c>
      <c r="AY149" s="1430" t="str">
        <f t="shared" si="194"/>
        <v>[Price]</v>
      </c>
      <c r="AZ149" s="1431" t="str">
        <f t="shared" ref="AZ149:BC164" si="259">IFERROR(P149/O149-1,"-")</f>
        <v>-</v>
      </c>
      <c r="BA149" s="1431" t="str">
        <f t="shared" si="259"/>
        <v>-</v>
      </c>
      <c r="BB149" s="1431" t="str">
        <f t="shared" si="259"/>
        <v>-</v>
      </c>
      <c r="BC149" s="1431" t="str">
        <f t="shared" si="259"/>
        <v>-</v>
      </c>
      <c r="BD149" s="1431" t="str">
        <f t="shared" si="196"/>
        <v>-</v>
      </c>
      <c r="BE149" s="1431" t="str">
        <f t="shared" si="197"/>
        <v>-</v>
      </c>
      <c r="BF149" s="1431" t="str">
        <f t="shared" si="198"/>
        <v>-</v>
      </c>
      <c r="BG149" s="1432" t="str">
        <f t="shared" si="199"/>
        <v>-</v>
      </c>
      <c r="BH149" s="1431" t="str">
        <f t="shared" si="200"/>
        <v>-</v>
      </c>
      <c r="BI149" s="1431" t="str">
        <f t="shared" si="201"/>
        <v>-</v>
      </c>
      <c r="BJ149" s="1431" t="str">
        <f t="shared" si="202"/>
        <v>-</v>
      </c>
      <c r="BK149" s="1431" t="str">
        <f t="shared" si="203"/>
        <v>-</v>
      </c>
      <c r="BL149" s="1433" t="str">
        <f t="shared" si="204"/>
        <v>-</v>
      </c>
      <c r="BM149" s="1431" t="str">
        <f t="shared" si="205"/>
        <v>-</v>
      </c>
      <c r="BN149" s="1431" t="str">
        <f t="shared" si="206"/>
        <v>-</v>
      </c>
      <c r="BO149" s="1431" t="str">
        <f t="shared" si="207"/>
        <v>-</v>
      </c>
      <c r="BP149" s="1431" t="str">
        <f t="shared" si="208"/>
        <v>-</v>
      </c>
      <c r="BQ149" s="1434" t="str">
        <f t="shared" si="209"/>
        <v>-</v>
      </c>
      <c r="BR149" s="1378"/>
      <c r="BS149" s="1407"/>
      <c r="BT149" s="1408"/>
      <c r="BU149" s="1409"/>
      <c r="BV149" s="1410"/>
      <c r="BW149" s="1378"/>
      <c r="BX149" s="1428" t="str">
        <f t="shared" si="210"/>
        <v>Rev</v>
      </c>
      <c r="BY149" s="1429" t="str">
        <f t="shared" si="255"/>
        <v>[Service]</v>
      </c>
      <c r="BZ149" s="1430" t="str">
        <f t="shared" si="256"/>
        <v>[Price]</v>
      </c>
      <c r="CA149" s="1435" t="str">
        <f>IFERROR((S149/R149-1)*(R149/R$13),"-")</f>
        <v>-</v>
      </c>
      <c r="CB149" s="1431" t="str">
        <f>IFERROR((T149/S149-1)*(S149/S$13),"-")</f>
        <v>-</v>
      </c>
      <c r="CC149" s="1431" t="str">
        <f>IFERROR((U149/T149-1)*(T149/T$13),"-")</f>
        <v>-</v>
      </c>
      <c r="CD149" s="1431" t="str">
        <f>IFERROR((V149/U149-1)*(U149/U$13),"-")</f>
        <v>-</v>
      </c>
      <c r="CE149" s="1431" t="str">
        <f t="shared" ref="CE149:CR149" si="260">IFERROR((T149/S149-1)*(S149/S$13),"-")</f>
        <v>-</v>
      </c>
      <c r="CF149" s="1431" t="str">
        <f t="shared" si="260"/>
        <v>-</v>
      </c>
      <c r="CG149" s="1431" t="str">
        <f t="shared" si="260"/>
        <v>-</v>
      </c>
      <c r="CH149" s="1433" t="str">
        <f t="shared" si="260"/>
        <v>-</v>
      </c>
      <c r="CI149" s="1431" t="str">
        <f t="shared" si="260"/>
        <v>-</v>
      </c>
      <c r="CJ149" s="1431" t="str">
        <f t="shared" si="260"/>
        <v>-</v>
      </c>
      <c r="CK149" s="1431" t="str">
        <f t="shared" si="260"/>
        <v>-</v>
      </c>
      <c r="CL149" s="1431" t="str">
        <f t="shared" si="260"/>
        <v>-</v>
      </c>
      <c r="CM149" s="1433" t="str">
        <f t="shared" si="260"/>
        <v>-</v>
      </c>
      <c r="CN149" s="1431" t="str">
        <f t="shared" si="260"/>
        <v>-</v>
      </c>
      <c r="CO149" s="1431" t="str">
        <f t="shared" si="260"/>
        <v>-</v>
      </c>
      <c r="CP149" s="1431" t="str">
        <f t="shared" si="260"/>
        <v>-</v>
      </c>
      <c r="CQ149" s="1431" t="str">
        <f t="shared" si="260"/>
        <v>-</v>
      </c>
      <c r="CR149" s="1434" t="str">
        <f t="shared" si="260"/>
        <v>-</v>
      </c>
      <c r="CS149" s="1378"/>
      <c r="CT149" s="1428" t="str">
        <f t="shared" si="191"/>
        <v>Rev</v>
      </c>
      <c r="CU149" s="1429" t="str">
        <f t="shared" si="192"/>
        <v>[Service]</v>
      </c>
      <c r="CV149" s="1429" t="str">
        <f t="shared" si="193"/>
        <v>[Price]</v>
      </c>
      <c r="CW149" s="1435" t="str">
        <f t="shared" si="212"/>
        <v>-</v>
      </c>
      <c r="CX149" s="1431" t="str">
        <f t="shared" si="213"/>
        <v>-</v>
      </c>
      <c r="CY149" s="1431" t="str">
        <f t="shared" si="214"/>
        <v>-</v>
      </c>
      <c r="CZ149" s="1433" t="str">
        <f t="shared" si="215"/>
        <v>-</v>
      </c>
      <c r="DA149" s="1431" t="str">
        <f t="shared" si="216"/>
        <v>-</v>
      </c>
      <c r="DB149" s="1431" t="str">
        <f t="shared" si="217"/>
        <v>-</v>
      </c>
      <c r="DC149" s="1431" t="str">
        <f t="shared" si="218"/>
        <v>-</v>
      </c>
      <c r="DD149" s="1431" t="str">
        <f t="shared" si="219"/>
        <v>-</v>
      </c>
      <c r="DE149" s="1434" t="str">
        <f t="shared" si="220"/>
        <v>-</v>
      </c>
      <c r="DF149" s="1378"/>
      <c r="DG149" s="1428" t="str">
        <f t="shared" si="232"/>
        <v>Rev</v>
      </c>
      <c r="DH149" s="1429" t="str">
        <f t="shared" si="232"/>
        <v>[Service]</v>
      </c>
      <c r="DI149" s="1429" t="str">
        <f t="shared" si="232"/>
        <v>[Price]</v>
      </c>
      <c r="DJ149" s="1435" t="str">
        <f t="shared" si="221"/>
        <v>-</v>
      </c>
      <c r="DK149" s="1431" t="str">
        <f t="shared" si="222"/>
        <v>-</v>
      </c>
      <c r="DL149" s="1431" t="str">
        <f t="shared" si="223"/>
        <v>-</v>
      </c>
      <c r="DM149" s="1433" t="str">
        <f t="shared" si="224"/>
        <v>-</v>
      </c>
      <c r="DN149" s="1431" t="str">
        <f t="shared" si="225"/>
        <v>-</v>
      </c>
      <c r="DO149" s="1431" t="str">
        <f t="shared" si="226"/>
        <v>-</v>
      </c>
      <c r="DP149" s="1431" t="str">
        <f t="shared" si="227"/>
        <v>-</v>
      </c>
      <c r="DQ149" s="1434" t="str">
        <f t="shared" si="228"/>
        <v>-</v>
      </c>
    </row>
    <row r="150" spans="4:121">
      <c r="D150" s="70">
        <f>D147+1</f>
        <v>28</v>
      </c>
      <c r="E150" s="713" t="s">
        <v>44</v>
      </c>
      <c r="F150" s="789" t="s">
        <v>27</v>
      </c>
      <c r="G150" s="789"/>
      <c r="H150" s="789"/>
      <c r="I150" s="781" t="s">
        <v>318</v>
      </c>
      <c r="J150" s="781" t="s">
        <v>345</v>
      </c>
      <c r="K150" s="714"/>
      <c r="L150" s="715"/>
      <c r="M150" s="715"/>
      <c r="N150" s="716"/>
      <c r="O150" s="783"/>
      <c r="P150" s="784"/>
      <c r="Q150" s="783"/>
      <c r="R150" s="783"/>
      <c r="S150" s="783"/>
      <c r="T150" s="783"/>
      <c r="U150" s="783"/>
      <c r="V150" s="783"/>
      <c r="W150" s="783"/>
      <c r="X150" s="784"/>
      <c r="Y150" s="783"/>
      <c r="Z150" s="783"/>
      <c r="AA150" s="783"/>
      <c r="AB150" s="783"/>
      <c r="AC150" s="784"/>
      <c r="AD150" s="783"/>
      <c r="AE150" s="783"/>
      <c r="AF150" s="783"/>
      <c r="AG150" s="785"/>
      <c r="AI150" s="702"/>
      <c r="AJ150" s="717" t="str">
        <f t="shared" ref="AJ150:AS150" si="261">IFERROR((X150-W150)/W150,"")</f>
        <v/>
      </c>
      <c r="AK150" s="718" t="str">
        <f t="shared" si="261"/>
        <v/>
      </c>
      <c r="AL150" s="718" t="str">
        <f t="shared" si="261"/>
        <v/>
      </c>
      <c r="AM150" s="718" t="str">
        <f t="shared" si="261"/>
        <v/>
      </c>
      <c r="AN150" s="718" t="str">
        <f t="shared" si="261"/>
        <v/>
      </c>
      <c r="AO150" s="719" t="str">
        <f t="shared" si="261"/>
        <v/>
      </c>
      <c r="AP150" s="494" t="str">
        <f t="shared" si="261"/>
        <v/>
      </c>
      <c r="AQ150" s="494" t="str">
        <f t="shared" si="261"/>
        <v/>
      </c>
      <c r="AR150" s="494" t="str">
        <f t="shared" si="261"/>
        <v/>
      </c>
      <c r="AS150" s="720" t="str">
        <f t="shared" si="261"/>
        <v/>
      </c>
      <c r="AU150" s="1369"/>
      <c r="AW150" s="1412" t="str">
        <f t="shared" si="230"/>
        <v>Price</v>
      </c>
      <c r="AX150" s="1413" t="str">
        <f t="shared" si="230"/>
        <v>[Service]</v>
      </c>
      <c r="AY150" s="1414" t="str">
        <f t="shared" si="194"/>
        <v>[Price]</v>
      </c>
      <c r="AZ150" s="1415" t="str">
        <f t="shared" si="259"/>
        <v>-</v>
      </c>
      <c r="BA150" s="1415" t="str">
        <f t="shared" si="259"/>
        <v>-</v>
      </c>
      <c r="BB150" s="1415" t="str">
        <f t="shared" si="259"/>
        <v>-</v>
      </c>
      <c r="BC150" s="1415" t="str">
        <f t="shared" si="259"/>
        <v>-</v>
      </c>
      <c r="BD150" s="1415" t="str">
        <f t="shared" si="196"/>
        <v>-</v>
      </c>
      <c r="BE150" s="1415" t="str">
        <f t="shared" si="197"/>
        <v>-</v>
      </c>
      <c r="BF150" s="1415" t="str">
        <f t="shared" si="198"/>
        <v>-</v>
      </c>
      <c r="BG150" s="1416" t="str">
        <f t="shared" si="199"/>
        <v>-</v>
      </c>
      <c r="BH150" s="1417" t="str">
        <f t="shared" si="200"/>
        <v>-</v>
      </c>
      <c r="BI150" s="1417" t="str">
        <f t="shared" si="201"/>
        <v>-</v>
      </c>
      <c r="BJ150" s="1417" t="str">
        <f t="shared" si="202"/>
        <v>-</v>
      </c>
      <c r="BK150" s="1417" t="str">
        <f t="shared" si="203"/>
        <v>-</v>
      </c>
      <c r="BL150" s="1418" t="str">
        <f t="shared" si="204"/>
        <v>-</v>
      </c>
      <c r="BM150" s="1417" t="str">
        <f t="shared" si="205"/>
        <v>-</v>
      </c>
      <c r="BN150" s="1417" t="str">
        <f t="shared" si="206"/>
        <v>-</v>
      </c>
      <c r="BO150" s="1417" t="str">
        <f t="shared" si="207"/>
        <v>-</v>
      </c>
      <c r="BP150" s="1417" t="str">
        <f t="shared" si="208"/>
        <v>-</v>
      </c>
      <c r="BQ150" s="1419" t="str">
        <f t="shared" si="209"/>
        <v>-</v>
      </c>
      <c r="BR150" s="1378"/>
      <c r="BS150" s="1420"/>
      <c r="BT150" s="1421"/>
      <c r="BU150" s="1422"/>
      <c r="BV150" s="1423"/>
      <c r="BW150" s="1378"/>
      <c r="BX150" s="1412" t="str">
        <f t="shared" si="210"/>
        <v>Price</v>
      </c>
      <c r="BY150" s="1413" t="str">
        <f t="shared" si="255"/>
        <v>[Service]</v>
      </c>
      <c r="BZ150" s="1414" t="str">
        <f t="shared" si="256"/>
        <v>[Price]</v>
      </c>
      <c r="CA150" s="1424" t="str">
        <f>IFERROR((S150/R150-1)*(R152/R$13),"-")</f>
        <v>-</v>
      </c>
      <c r="CB150" s="1415" t="str">
        <f>IFERROR((T150/S150-1)*(S152/S$13),"-")</f>
        <v>-</v>
      </c>
      <c r="CC150" s="1415" t="str">
        <f>IFERROR((U150/T150-1)*(T152/T$13),"-")</f>
        <v>-</v>
      </c>
      <c r="CD150" s="1415" t="str">
        <f>IFERROR((V150/U150-1)*(U152/U$13),"-")</f>
        <v>-</v>
      </c>
      <c r="CE150" s="1415" t="str">
        <f t="shared" ref="CE150:CR150" si="262">IFERROR((T150/S150-1)*(S152/S$13),"-")</f>
        <v>-</v>
      </c>
      <c r="CF150" s="1415" t="str">
        <f t="shared" si="262"/>
        <v>-</v>
      </c>
      <c r="CG150" s="1415" t="str">
        <f t="shared" si="262"/>
        <v>-</v>
      </c>
      <c r="CH150" s="1425" t="str">
        <f t="shared" si="262"/>
        <v>-</v>
      </c>
      <c r="CI150" s="1417" t="str">
        <f t="shared" si="262"/>
        <v>-</v>
      </c>
      <c r="CJ150" s="1417" t="str">
        <f t="shared" si="262"/>
        <v>-</v>
      </c>
      <c r="CK150" s="1417" t="str">
        <f t="shared" si="262"/>
        <v>-</v>
      </c>
      <c r="CL150" s="1417" t="str">
        <f t="shared" si="262"/>
        <v>-</v>
      </c>
      <c r="CM150" s="1418" t="str">
        <f t="shared" si="262"/>
        <v>-</v>
      </c>
      <c r="CN150" s="1417" t="str">
        <f t="shared" si="262"/>
        <v>-</v>
      </c>
      <c r="CO150" s="1417" t="str">
        <f t="shared" si="262"/>
        <v>-</v>
      </c>
      <c r="CP150" s="1417" t="str">
        <f t="shared" si="262"/>
        <v>-</v>
      </c>
      <c r="CQ150" s="1417" t="str">
        <f t="shared" si="262"/>
        <v>-</v>
      </c>
      <c r="CR150" s="1419" t="str">
        <f t="shared" si="262"/>
        <v>-</v>
      </c>
      <c r="CS150" s="1378"/>
      <c r="CT150" s="1412" t="str">
        <f t="shared" si="191"/>
        <v>Price</v>
      </c>
      <c r="CU150" s="1413" t="str">
        <f t="shared" si="192"/>
        <v>[Service]</v>
      </c>
      <c r="CV150" s="1426" t="str">
        <f t="shared" si="193"/>
        <v>[Price]</v>
      </c>
      <c r="CW150" s="1427" t="str">
        <f t="shared" si="212"/>
        <v>-</v>
      </c>
      <c r="CX150" s="1417" t="str">
        <f t="shared" si="213"/>
        <v>-</v>
      </c>
      <c r="CY150" s="1417" t="str">
        <f t="shared" si="214"/>
        <v>-</v>
      </c>
      <c r="CZ150" s="1418" t="str">
        <f t="shared" si="215"/>
        <v>-</v>
      </c>
      <c r="DA150" s="1417" t="str">
        <f t="shared" si="216"/>
        <v>-</v>
      </c>
      <c r="DB150" s="1417" t="str">
        <f t="shared" si="217"/>
        <v>-</v>
      </c>
      <c r="DC150" s="1417" t="str">
        <f t="shared" si="218"/>
        <v>-</v>
      </c>
      <c r="DD150" s="1417" t="str">
        <f t="shared" si="219"/>
        <v>-</v>
      </c>
      <c r="DE150" s="1419" t="str">
        <f t="shared" si="220"/>
        <v>-</v>
      </c>
      <c r="DF150" s="1378"/>
      <c r="DG150" s="1412" t="str">
        <f t="shared" si="232"/>
        <v>Price</v>
      </c>
      <c r="DH150" s="1413" t="str">
        <f t="shared" si="232"/>
        <v>[Service]</v>
      </c>
      <c r="DI150" s="1426" t="str">
        <f t="shared" si="232"/>
        <v>[Price]</v>
      </c>
      <c r="DJ150" s="1427" t="str">
        <f t="shared" si="221"/>
        <v>-</v>
      </c>
      <c r="DK150" s="1417" t="str">
        <f t="shared" si="222"/>
        <v>-</v>
      </c>
      <c r="DL150" s="1417" t="str">
        <f t="shared" si="223"/>
        <v>-</v>
      </c>
      <c r="DM150" s="1418" t="str">
        <f t="shared" si="224"/>
        <v>-</v>
      </c>
      <c r="DN150" s="1417" t="str">
        <f t="shared" si="225"/>
        <v>-</v>
      </c>
      <c r="DO150" s="1417" t="str">
        <f t="shared" si="226"/>
        <v>-</v>
      </c>
      <c r="DP150" s="1417" t="str">
        <f t="shared" si="227"/>
        <v>-</v>
      </c>
      <c r="DQ150" s="1419" t="str">
        <f t="shared" si="228"/>
        <v>-</v>
      </c>
    </row>
    <row r="151" spans="4:121">
      <c r="E151" s="742" t="s">
        <v>45</v>
      </c>
      <c r="F151" s="722" t="str">
        <f>+F150</f>
        <v>[Service]</v>
      </c>
      <c r="G151" s="723">
        <f>+G150</f>
        <v>0</v>
      </c>
      <c r="H151" s="723">
        <f>+H150</f>
        <v>0</v>
      </c>
      <c r="I151" s="724" t="str">
        <f>+I150</f>
        <v>[Price]</v>
      </c>
      <c r="J151" s="782" t="s">
        <v>322</v>
      </c>
      <c r="K151" s="725"/>
      <c r="L151" s="726"/>
      <c r="M151" s="726"/>
      <c r="N151" s="727"/>
      <c r="O151" s="786"/>
      <c r="P151" s="787"/>
      <c r="Q151" s="786"/>
      <c r="R151" s="786"/>
      <c r="S151" s="786"/>
      <c r="T151" s="786"/>
      <c r="U151" s="786"/>
      <c r="V151" s="786"/>
      <c r="W151" s="786"/>
      <c r="X151" s="787"/>
      <c r="Y151" s="786"/>
      <c r="Z151" s="786"/>
      <c r="AA151" s="786"/>
      <c r="AB151" s="786"/>
      <c r="AC151" s="787"/>
      <c r="AD151" s="786"/>
      <c r="AE151" s="786"/>
      <c r="AF151" s="786"/>
      <c r="AG151" s="788"/>
      <c r="AH151" s="823"/>
      <c r="AI151" s="702"/>
      <c r="AJ151" s="728"/>
      <c r="AK151" s="729"/>
      <c r="AL151" s="729"/>
      <c r="AM151" s="729"/>
      <c r="AN151" s="729"/>
      <c r="AO151" s="730"/>
      <c r="AP151" s="74"/>
      <c r="AQ151" s="74"/>
      <c r="AR151" s="74"/>
      <c r="AS151" s="106"/>
      <c r="AW151" s="1392" t="str">
        <f t="shared" si="230"/>
        <v>Qty</v>
      </c>
      <c r="AX151" s="1393" t="str">
        <f t="shared" si="230"/>
        <v>[Service]</v>
      </c>
      <c r="AY151" s="1394" t="str">
        <f t="shared" si="194"/>
        <v>[Price]</v>
      </c>
      <c r="AZ151" s="1395" t="str">
        <f t="shared" si="259"/>
        <v>-</v>
      </c>
      <c r="BA151" s="1395" t="str">
        <f t="shared" si="259"/>
        <v>-</v>
      </c>
      <c r="BB151" s="1395" t="str">
        <f t="shared" si="259"/>
        <v>-</v>
      </c>
      <c r="BC151" s="1395" t="str">
        <f t="shared" si="259"/>
        <v>-</v>
      </c>
      <c r="BD151" s="1395" t="str">
        <f t="shared" si="196"/>
        <v>-</v>
      </c>
      <c r="BE151" s="1395" t="str">
        <f t="shared" si="197"/>
        <v>-</v>
      </c>
      <c r="BF151" s="1395" t="str">
        <f t="shared" si="198"/>
        <v>-</v>
      </c>
      <c r="BG151" s="1396" t="str">
        <f t="shared" si="199"/>
        <v>-</v>
      </c>
      <c r="BH151" s="1395" t="str">
        <f t="shared" si="200"/>
        <v>-</v>
      </c>
      <c r="BI151" s="1395" t="str">
        <f t="shared" si="201"/>
        <v>-</v>
      </c>
      <c r="BJ151" s="1395" t="str">
        <f t="shared" si="202"/>
        <v>-</v>
      </c>
      <c r="BK151" s="1395" t="str">
        <f t="shared" si="203"/>
        <v>-</v>
      </c>
      <c r="BL151" s="1397" t="str">
        <f t="shared" si="204"/>
        <v>-</v>
      </c>
      <c r="BM151" s="1395" t="str">
        <f t="shared" si="205"/>
        <v>-</v>
      </c>
      <c r="BN151" s="1395" t="str">
        <f t="shared" si="206"/>
        <v>-</v>
      </c>
      <c r="BO151" s="1395" t="str">
        <f t="shared" si="207"/>
        <v>-</v>
      </c>
      <c r="BP151" s="1395" t="str">
        <f t="shared" si="208"/>
        <v>-</v>
      </c>
      <c r="BQ151" s="1398" t="str">
        <f t="shared" si="209"/>
        <v>-</v>
      </c>
      <c r="BR151" s="1378"/>
      <c r="BS151" s="1329"/>
      <c r="BT151" s="1399"/>
      <c r="BU151" s="1331"/>
      <c r="BV151" s="1400"/>
      <c r="BW151" s="1378"/>
      <c r="BX151" s="1392" t="str">
        <f t="shared" si="210"/>
        <v>Qty</v>
      </c>
      <c r="BY151" s="1393" t="str">
        <f t="shared" si="255"/>
        <v>[Service]</v>
      </c>
      <c r="BZ151" s="1394" t="str">
        <f t="shared" si="256"/>
        <v>[Price]</v>
      </c>
      <c r="CA151" s="1401" t="str">
        <f>IFERROR((S151/R151-1)*(R152/R$13),"-")</f>
        <v>-</v>
      </c>
      <c r="CB151" s="1395" t="str">
        <f>IFERROR((T151/S151-1)*(S152/S$13),"-")</f>
        <v>-</v>
      </c>
      <c r="CC151" s="1395" t="str">
        <f>IFERROR((U151/T151-1)*(T152/T$13),"-")</f>
        <v>-</v>
      </c>
      <c r="CD151" s="1395" t="str">
        <f>IFERROR((V151/U151-1)*(U152/U$13),"-")</f>
        <v>-</v>
      </c>
      <c r="CE151" s="1395" t="str">
        <f t="shared" ref="CE151:CR151" si="263">IFERROR((T151/S151-1)*(S152/S$13),"-")</f>
        <v>-</v>
      </c>
      <c r="CF151" s="1395" t="str">
        <f t="shared" si="263"/>
        <v>-</v>
      </c>
      <c r="CG151" s="1395" t="str">
        <f t="shared" si="263"/>
        <v>-</v>
      </c>
      <c r="CH151" s="1397" t="str">
        <f t="shared" si="263"/>
        <v>-</v>
      </c>
      <c r="CI151" s="1395" t="str">
        <f t="shared" si="263"/>
        <v>-</v>
      </c>
      <c r="CJ151" s="1395" t="str">
        <f t="shared" si="263"/>
        <v>-</v>
      </c>
      <c r="CK151" s="1395" t="str">
        <f t="shared" si="263"/>
        <v>-</v>
      </c>
      <c r="CL151" s="1395" t="str">
        <f t="shared" si="263"/>
        <v>-</v>
      </c>
      <c r="CM151" s="1397" t="str">
        <f t="shared" si="263"/>
        <v>-</v>
      </c>
      <c r="CN151" s="1395" t="str">
        <f t="shared" si="263"/>
        <v>-</v>
      </c>
      <c r="CO151" s="1395" t="str">
        <f t="shared" si="263"/>
        <v>-</v>
      </c>
      <c r="CP151" s="1395" t="str">
        <f t="shared" si="263"/>
        <v>-</v>
      </c>
      <c r="CQ151" s="1395" t="str">
        <f t="shared" si="263"/>
        <v>-</v>
      </c>
      <c r="CR151" s="1398" t="str">
        <f t="shared" si="263"/>
        <v>-</v>
      </c>
      <c r="CS151" s="1378"/>
      <c r="CT151" s="1392" t="str">
        <f t="shared" si="191"/>
        <v>Qty</v>
      </c>
      <c r="CU151" s="1393" t="str">
        <f t="shared" si="192"/>
        <v>[Service]</v>
      </c>
      <c r="CV151" s="1393" t="str">
        <f t="shared" si="193"/>
        <v>[Price]</v>
      </c>
      <c r="CW151" s="1401" t="str">
        <f t="shared" si="212"/>
        <v>-</v>
      </c>
      <c r="CX151" s="1395" t="str">
        <f t="shared" si="213"/>
        <v>-</v>
      </c>
      <c r="CY151" s="1395" t="str">
        <f t="shared" si="214"/>
        <v>-</v>
      </c>
      <c r="CZ151" s="1397" t="str">
        <f t="shared" si="215"/>
        <v>-</v>
      </c>
      <c r="DA151" s="1395" t="str">
        <f t="shared" si="216"/>
        <v>-</v>
      </c>
      <c r="DB151" s="1395" t="str">
        <f t="shared" si="217"/>
        <v>-</v>
      </c>
      <c r="DC151" s="1395" t="str">
        <f t="shared" si="218"/>
        <v>-</v>
      </c>
      <c r="DD151" s="1395" t="str">
        <f t="shared" si="219"/>
        <v>-</v>
      </c>
      <c r="DE151" s="1398" t="str">
        <f t="shared" si="220"/>
        <v>-</v>
      </c>
      <c r="DF151" s="1378"/>
      <c r="DG151" s="1392" t="str">
        <f t="shared" si="232"/>
        <v>Qty</v>
      </c>
      <c r="DH151" s="1393" t="str">
        <f t="shared" si="232"/>
        <v>[Service]</v>
      </c>
      <c r="DI151" s="1393" t="str">
        <f t="shared" si="232"/>
        <v>[Price]</v>
      </c>
      <c r="DJ151" s="1401" t="str">
        <f t="shared" si="221"/>
        <v>-</v>
      </c>
      <c r="DK151" s="1395" t="str">
        <f t="shared" si="222"/>
        <v>-</v>
      </c>
      <c r="DL151" s="1395" t="str">
        <f t="shared" si="223"/>
        <v>-</v>
      </c>
      <c r="DM151" s="1397" t="str">
        <f t="shared" si="224"/>
        <v>-</v>
      </c>
      <c r="DN151" s="1395" t="str">
        <f t="shared" si="225"/>
        <v>-</v>
      </c>
      <c r="DO151" s="1395" t="str">
        <f t="shared" si="226"/>
        <v>-</v>
      </c>
      <c r="DP151" s="1395" t="str">
        <f t="shared" si="227"/>
        <v>-</v>
      </c>
      <c r="DQ151" s="1398" t="str">
        <f t="shared" si="228"/>
        <v>-</v>
      </c>
    </row>
    <row r="152" spans="4:121" ht="12.75" thickBot="1">
      <c r="E152" s="743" t="s">
        <v>46</v>
      </c>
      <c r="F152" s="732" t="str">
        <f>+F150</f>
        <v>[Service]</v>
      </c>
      <c r="G152" s="733">
        <f>+G150</f>
        <v>0</v>
      </c>
      <c r="H152" s="733">
        <f>+H150</f>
        <v>0</v>
      </c>
      <c r="I152" s="734" t="str">
        <f>+I150</f>
        <v>[Price]</v>
      </c>
      <c r="J152" s="735" t="s">
        <v>344</v>
      </c>
      <c r="K152" s="736">
        <f t="shared" ref="K152:AG152" si="264">K150*K151/10^6</f>
        <v>0</v>
      </c>
      <c r="L152" s="737">
        <f t="shared" si="264"/>
        <v>0</v>
      </c>
      <c r="M152" s="737">
        <f t="shared" si="264"/>
        <v>0</v>
      </c>
      <c r="N152" s="738">
        <f t="shared" si="264"/>
        <v>0</v>
      </c>
      <c r="O152" s="737">
        <f t="shared" si="264"/>
        <v>0</v>
      </c>
      <c r="P152" s="738">
        <f t="shared" si="264"/>
        <v>0</v>
      </c>
      <c r="Q152" s="737">
        <f t="shared" si="264"/>
        <v>0</v>
      </c>
      <c r="R152" s="737">
        <f t="shared" si="264"/>
        <v>0</v>
      </c>
      <c r="S152" s="737">
        <f t="shared" si="264"/>
        <v>0</v>
      </c>
      <c r="T152" s="737">
        <f t="shared" si="264"/>
        <v>0</v>
      </c>
      <c r="U152" s="737">
        <f t="shared" si="264"/>
        <v>0</v>
      </c>
      <c r="V152" s="737">
        <f t="shared" si="264"/>
        <v>0</v>
      </c>
      <c r="W152" s="737">
        <f t="shared" si="264"/>
        <v>0</v>
      </c>
      <c r="X152" s="738">
        <f t="shared" si="264"/>
        <v>0</v>
      </c>
      <c r="Y152" s="737">
        <f t="shared" si="264"/>
        <v>0</v>
      </c>
      <c r="Z152" s="737">
        <f t="shared" si="264"/>
        <v>0</v>
      </c>
      <c r="AA152" s="737">
        <f t="shared" si="264"/>
        <v>0</v>
      </c>
      <c r="AB152" s="737">
        <f t="shared" si="264"/>
        <v>0</v>
      </c>
      <c r="AC152" s="738">
        <f t="shared" si="264"/>
        <v>0</v>
      </c>
      <c r="AD152" s="737">
        <f t="shared" si="264"/>
        <v>0</v>
      </c>
      <c r="AE152" s="737">
        <f t="shared" si="264"/>
        <v>0</v>
      </c>
      <c r="AF152" s="737">
        <f t="shared" si="264"/>
        <v>0</v>
      </c>
      <c r="AG152" s="739">
        <f t="shared" si="264"/>
        <v>0</v>
      </c>
      <c r="AH152" s="823"/>
      <c r="AI152" s="744"/>
      <c r="AJ152" s="741"/>
      <c r="AK152" s="729"/>
      <c r="AL152" s="729"/>
      <c r="AM152" s="729"/>
      <c r="AN152" s="729"/>
      <c r="AO152" s="730"/>
      <c r="AP152" s="74"/>
      <c r="AQ152" s="74"/>
      <c r="AR152" s="74"/>
      <c r="AS152" s="106"/>
      <c r="AW152" s="1428" t="str">
        <f t="shared" si="230"/>
        <v>Rev</v>
      </c>
      <c r="AX152" s="1429" t="str">
        <f t="shared" si="230"/>
        <v>[Service]</v>
      </c>
      <c r="AY152" s="1430" t="str">
        <f t="shared" si="194"/>
        <v>[Price]</v>
      </c>
      <c r="AZ152" s="1431" t="str">
        <f t="shared" si="259"/>
        <v>-</v>
      </c>
      <c r="BA152" s="1431" t="str">
        <f t="shared" si="259"/>
        <v>-</v>
      </c>
      <c r="BB152" s="1431" t="str">
        <f t="shared" si="259"/>
        <v>-</v>
      </c>
      <c r="BC152" s="1431" t="str">
        <f t="shared" si="259"/>
        <v>-</v>
      </c>
      <c r="BD152" s="1431" t="str">
        <f t="shared" si="196"/>
        <v>-</v>
      </c>
      <c r="BE152" s="1431" t="str">
        <f t="shared" si="197"/>
        <v>-</v>
      </c>
      <c r="BF152" s="1431" t="str">
        <f t="shared" si="198"/>
        <v>-</v>
      </c>
      <c r="BG152" s="1432" t="str">
        <f t="shared" si="199"/>
        <v>-</v>
      </c>
      <c r="BH152" s="1431" t="str">
        <f t="shared" si="200"/>
        <v>-</v>
      </c>
      <c r="BI152" s="1431" t="str">
        <f t="shared" si="201"/>
        <v>-</v>
      </c>
      <c r="BJ152" s="1431" t="str">
        <f t="shared" si="202"/>
        <v>-</v>
      </c>
      <c r="BK152" s="1431" t="str">
        <f t="shared" si="203"/>
        <v>-</v>
      </c>
      <c r="BL152" s="1433" t="str">
        <f t="shared" si="204"/>
        <v>-</v>
      </c>
      <c r="BM152" s="1431" t="str">
        <f t="shared" si="205"/>
        <v>-</v>
      </c>
      <c r="BN152" s="1431" t="str">
        <f t="shared" si="206"/>
        <v>-</v>
      </c>
      <c r="BO152" s="1431" t="str">
        <f t="shared" si="207"/>
        <v>-</v>
      </c>
      <c r="BP152" s="1431" t="str">
        <f t="shared" si="208"/>
        <v>-</v>
      </c>
      <c r="BQ152" s="1434" t="str">
        <f t="shared" si="209"/>
        <v>-</v>
      </c>
      <c r="BR152" s="1378"/>
      <c r="BS152" s="1407"/>
      <c r="BT152" s="1408"/>
      <c r="BU152" s="1409"/>
      <c r="BV152" s="1410"/>
      <c r="BW152" s="1378"/>
      <c r="BX152" s="1428" t="str">
        <f t="shared" si="210"/>
        <v>Rev</v>
      </c>
      <c r="BY152" s="1429" t="str">
        <f t="shared" si="255"/>
        <v>[Service]</v>
      </c>
      <c r="BZ152" s="1430" t="str">
        <f t="shared" si="256"/>
        <v>[Price]</v>
      </c>
      <c r="CA152" s="1435" t="str">
        <f>IFERROR((S152/R152-1)*(R152/R$13),"-")</f>
        <v>-</v>
      </c>
      <c r="CB152" s="1431" t="str">
        <f>IFERROR((T152/S152-1)*(S152/S$13),"-")</f>
        <v>-</v>
      </c>
      <c r="CC152" s="1431" t="str">
        <f>IFERROR((U152/T152-1)*(T152/T$13),"-")</f>
        <v>-</v>
      </c>
      <c r="CD152" s="1431" t="str">
        <f>IFERROR((V152/U152-1)*(U152/U$13),"-")</f>
        <v>-</v>
      </c>
      <c r="CE152" s="1431" t="str">
        <f t="shared" ref="CE152:CR152" si="265">IFERROR((T152/S152-1)*(S152/S$13),"-")</f>
        <v>-</v>
      </c>
      <c r="CF152" s="1431" t="str">
        <f t="shared" si="265"/>
        <v>-</v>
      </c>
      <c r="CG152" s="1431" t="str">
        <f t="shared" si="265"/>
        <v>-</v>
      </c>
      <c r="CH152" s="1433" t="str">
        <f t="shared" si="265"/>
        <v>-</v>
      </c>
      <c r="CI152" s="1431" t="str">
        <f t="shared" si="265"/>
        <v>-</v>
      </c>
      <c r="CJ152" s="1431" t="str">
        <f t="shared" si="265"/>
        <v>-</v>
      </c>
      <c r="CK152" s="1431" t="str">
        <f t="shared" si="265"/>
        <v>-</v>
      </c>
      <c r="CL152" s="1431" t="str">
        <f t="shared" si="265"/>
        <v>-</v>
      </c>
      <c r="CM152" s="1433" t="str">
        <f t="shared" si="265"/>
        <v>-</v>
      </c>
      <c r="CN152" s="1431" t="str">
        <f t="shared" si="265"/>
        <v>-</v>
      </c>
      <c r="CO152" s="1431" t="str">
        <f t="shared" si="265"/>
        <v>-</v>
      </c>
      <c r="CP152" s="1431" t="str">
        <f t="shared" si="265"/>
        <v>-</v>
      </c>
      <c r="CQ152" s="1431" t="str">
        <f t="shared" si="265"/>
        <v>-</v>
      </c>
      <c r="CR152" s="1434" t="str">
        <f t="shared" si="265"/>
        <v>-</v>
      </c>
      <c r="CS152" s="1378"/>
      <c r="CT152" s="1428" t="str">
        <f t="shared" si="191"/>
        <v>Rev</v>
      </c>
      <c r="CU152" s="1429" t="str">
        <f t="shared" si="192"/>
        <v>[Service]</v>
      </c>
      <c r="CV152" s="1429" t="str">
        <f t="shared" si="193"/>
        <v>[Price]</v>
      </c>
      <c r="CW152" s="1435" t="str">
        <f t="shared" si="212"/>
        <v>-</v>
      </c>
      <c r="CX152" s="1431" t="str">
        <f t="shared" si="213"/>
        <v>-</v>
      </c>
      <c r="CY152" s="1431" t="str">
        <f t="shared" si="214"/>
        <v>-</v>
      </c>
      <c r="CZ152" s="1433" t="str">
        <f t="shared" si="215"/>
        <v>-</v>
      </c>
      <c r="DA152" s="1431" t="str">
        <f t="shared" si="216"/>
        <v>-</v>
      </c>
      <c r="DB152" s="1431" t="str">
        <f t="shared" si="217"/>
        <v>-</v>
      </c>
      <c r="DC152" s="1431" t="str">
        <f t="shared" si="218"/>
        <v>-</v>
      </c>
      <c r="DD152" s="1431" t="str">
        <f t="shared" si="219"/>
        <v>-</v>
      </c>
      <c r="DE152" s="1434" t="str">
        <f t="shared" si="220"/>
        <v>-</v>
      </c>
      <c r="DF152" s="1378"/>
      <c r="DG152" s="1428" t="str">
        <f t="shared" si="232"/>
        <v>Rev</v>
      </c>
      <c r="DH152" s="1429" t="str">
        <f t="shared" si="232"/>
        <v>[Service]</v>
      </c>
      <c r="DI152" s="1429" t="str">
        <f t="shared" si="232"/>
        <v>[Price]</v>
      </c>
      <c r="DJ152" s="1435" t="str">
        <f t="shared" si="221"/>
        <v>-</v>
      </c>
      <c r="DK152" s="1431" t="str">
        <f t="shared" si="222"/>
        <v>-</v>
      </c>
      <c r="DL152" s="1431" t="str">
        <f t="shared" si="223"/>
        <v>-</v>
      </c>
      <c r="DM152" s="1433" t="str">
        <f t="shared" si="224"/>
        <v>-</v>
      </c>
      <c r="DN152" s="1431" t="str">
        <f t="shared" si="225"/>
        <v>-</v>
      </c>
      <c r="DO152" s="1431" t="str">
        <f t="shared" si="226"/>
        <v>-</v>
      </c>
      <c r="DP152" s="1431" t="str">
        <f t="shared" si="227"/>
        <v>-</v>
      </c>
      <c r="DQ152" s="1434" t="str">
        <f t="shared" si="228"/>
        <v>-</v>
      </c>
    </row>
    <row r="153" spans="4:121">
      <c r="D153" s="70">
        <f>D150+1</f>
        <v>29</v>
      </c>
      <c r="E153" s="713" t="s">
        <v>44</v>
      </c>
      <c r="F153" s="789" t="s">
        <v>27</v>
      </c>
      <c r="G153" s="789"/>
      <c r="H153" s="789"/>
      <c r="I153" s="781" t="s">
        <v>318</v>
      </c>
      <c r="J153" s="781" t="s">
        <v>345</v>
      </c>
      <c r="K153" s="714"/>
      <c r="L153" s="715"/>
      <c r="M153" s="715"/>
      <c r="N153" s="716"/>
      <c r="O153" s="783"/>
      <c r="P153" s="784"/>
      <c r="Q153" s="783"/>
      <c r="R153" s="783"/>
      <c r="S153" s="783"/>
      <c r="T153" s="783"/>
      <c r="U153" s="783"/>
      <c r="V153" s="783"/>
      <c r="W153" s="783"/>
      <c r="X153" s="784"/>
      <c r="Y153" s="783"/>
      <c r="Z153" s="783"/>
      <c r="AA153" s="783"/>
      <c r="AB153" s="783"/>
      <c r="AC153" s="784"/>
      <c r="AD153" s="783"/>
      <c r="AE153" s="783"/>
      <c r="AF153" s="783"/>
      <c r="AG153" s="785"/>
      <c r="AI153" s="702"/>
      <c r="AJ153" s="717" t="str">
        <f t="shared" ref="AJ153:AS153" si="266">IFERROR((X153-W153)/W153,"")</f>
        <v/>
      </c>
      <c r="AK153" s="718" t="str">
        <f t="shared" si="266"/>
        <v/>
      </c>
      <c r="AL153" s="718" t="str">
        <f t="shared" si="266"/>
        <v/>
      </c>
      <c r="AM153" s="718" t="str">
        <f t="shared" si="266"/>
        <v/>
      </c>
      <c r="AN153" s="718" t="str">
        <f t="shared" si="266"/>
        <v/>
      </c>
      <c r="AO153" s="719" t="str">
        <f t="shared" si="266"/>
        <v/>
      </c>
      <c r="AP153" s="494" t="str">
        <f t="shared" si="266"/>
        <v/>
      </c>
      <c r="AQ153" s="494" t="str">
        <f t="shared" si="266"/>
        <v/>
      </c>
      <c r="AR153" s="494" t="str">
        <f t="shared" si="266"/>
        <v/>
      </c>
      <c r="AS153" s="720" t="str">
        <f t="shared" si="266"/>
        <v/>
      </c>
      <c r="AU153" s="1369"/>
      <c r="AW153" s="1412" t="str">
        <f t="shared" si="230"/>
        <v>Price</v>
      </c>
      <c r="AX153" s="1413" t="str">
        <f t="shared" si="230"/>
        <v>[Service]</v>
      </c>
      <c r="AY153" s="1414" t="str">
        <f t="shared" si="194"/>
        <v>[Price]</v>
      </c>
      <c r="AZ153" s="1415" t="str">
        <f t="shared" si="259"/>
        <v>-</v>
      </c>
      <c r="BA153" s="1415" t="str">
        <f t="shared" si="259"/>
        <v>-</v>
      </c>
      <c r="BB153" s="1415" t="str">
        <f t="shared" si="259"/>
        <v>-</v>
      </c>
      <c r="BC153" s="1415" t="str">
        <f t="shared" si="259"/>
        <v>-</v>
      </c>
      <c r="BD153" s="1415" t="str">
        <f t="shared" si="196"/>
        <v>-</v>
      </c>
      <c r="BE153" s="1415" t="str">
        <f t="shared" si="197"/>
        <v>-</v>
      </c>
      <c r="BF153" s="1415" t="str">
        <f t="shared" si="198"/>
        <v>-</v>
      </c>
      <c r="BG153" s="1416" t="str">
        <f t="shared" si="199"/>
        <v>-</v>
      </c>
      <c r="BH153" s="1417" t="str">
        <f t="shared" si="200"/>
        <v>-</v>
      </c>
      <c r="BI153" s="1417" t="str">
        <f t="shared" si="201"/>
        <v>-</v>
      </c>
      <c r="BJ153" s="1417" t="str">
        <f t="shared" si="202"/>
        <v>-</v>
      </c>
      <c r="BK153" s="1417" t="str">
        <f t="shared" si="203"/>
        <v>-</v>
      </c>
      <c r="BL153" s="1418" t="str">
        <f t="shared" si="204"/>
        <v>-</v>
      </c>
      <c r="BM153" s="1417" t="str">
        <f t="shared" si="205"/>
        <v>-</v>
      </c>
      <c r="BN153" s="1417" t="str">
        <f t="shared" si="206"/>
        <v>-</v>
      </c>
      <c r="BO153" s="1417" t="str">
        <f t="shared" si="207"/>
        <v>-</v>
      </c>
      <c r="BP153" s="1417" t="str">
        <f t="shared" si="208"/>
        <v>-</v>
      </c>
      <c r="BQ153" s="1419" t="str">
        <f t="shared" si="209"/>
        <v>-</v>
      </c>
      <c r="BR153" s="1378"/>
      <c r="BS153" s="1420"/>
      <c r="BT153" s="1421"/>
      <c r="BU153" s="1422"/>
      <c r="BV153" s="1423"/>
      <c r="BW153" s="1378"/>
      <c r="BX153" s="1412" t="str">
        <f t="shared" si="210"/>
        <v>Price</v>
      </c>
      <c r="BY153" s="1413" t="str">
        <f t="shared" si="255"/>
        <v>[Service]</v>
      </c>
      <c r="BZ153" s="1414" t="str">
        <f t="shared" si="256"/>
        <v>[Price]</v>
      </c>
      <c r="CA153" s="1424" t="str">
        <f>IFERROR((S153/R153-1)*(R155/R$13),"-")</f>
        <v>-</v>
      </c>
      <c r="CB153" s="1415" t="str">
        <f>IFERROR((T153/S153-1)*(S155/S$13),"-")</f>
        <v>-</v>
      </c>
      <c r="CC153" s="1415" t="str">
        <f>IFERROR((U153/T153-1)*(T155/T$13),"-")</f>
        <v>-</v>
      </c>
      <c r="CD153" s="1415" t="str">
        <f>IFERROR((V153/U153-1)*(U155/U$13),"-")</f>
        <v>-</v>
      </c>
      <c r="CE153" s="1415" t="str">
        <f t="shared" ref="CE153:CR153" si="267">IFERROR((T153/S153-1)*(S155/S$13),"-")</f>
        <v>-</v>
      </c>
      <c r="CF153" s="1415" t="str">
        <f t="shared" si="267"/>
        <v>-</v>
      </c>
      <c r="CG153" s="1415" t="str">
        <f t="shared" si="267"/>
        <v>-</v>
      </c>
      <c r="CH153" s="1425" t="str">
        <f t="shared" si="267"/>
        <v>-</v>
      </c>
      <c r="CI153" s="1417" t="str">
        <f t="shared" si="267"/>
        <v>-</v>
      </c>
      <c r="CJ153" s="1417" t="str">
        <f t="shared" si="267"/>
        <v>-</v>
      </c>
      <c r="CK153" s="1417" t="str">
        <f t="shared" si="267"/>
        <v>-</v>
      </c>
      <c r="CL153" s="1417" t="str">
        <f t="shared" si="267"/>
        <v>-</v>
      </c>
      <c r="CM153" s="1418" t="str">
        <f t="shared" si="267"/>
        <v>-</v>
      </c>
      <c r="CN153" s="1417" t="str">
        <f t="shared" si="267"/>
        <v>-</v>
      </c>
      <c r="CO153" s="1417" t="str">
        <f t="shared" si="267"/>
        <v>-</v>
      </c>
      <c r="CP153" s="1417" t="str">
        <f t="shared" si="267"/>
        <v>-</v>
      </c>
      <c r="CQ153" s="1417" t="str">
        <f t="shared" si="267"/>
        <v>-</v>
      </c>
      <c r="CR153" s="1419" t="str">
        <f t="shared" si="267"/>
        <v>-</v>
      </c>
      <c r="CS153" s="1378"/>
      <c r="CT153" s="1412" t="str">
        <f t="shared" si="191"/>
        <v>Price</v>
      </c>
      <c r="CU153" s="1413" t="str">
        <f t="shared" si="192"/>
        <v>[Service]</v>
      </c>
      <c r="CV153" s="1426" t="str">
        <f t="shared" si="193"/>
        <v>[Price]</v>
      </c>
      <c r="CW153" s="1427" t="str">
        <f t="shared" si="212"/>
        <v>-</v>
      </c>
      <c r="CX153" s="1417" t="str">
        <f t="shared" si="213"/>
        <v>-</v>
      </c>
      <c r="CY153" s="1417" t="str">
        <f t="shared" si="214"/>
        <v>-</v>
      </c>
      <c r="CZ153" s="1418" t="str">
        <f t="shared" si="215"/>
        <v>-</v>
      </c>
      <c r="DA153" s="1417" t="str">
        <f t="shared" si="216"/>
        <v>-</v>
      </c>
      <c r="DB153" s="1417" t="str">
        <f t="shared" si="217"/>
        <v>-</v>
      </c>
      <c r="DC153" s="1417" t="str">
        <f t="shared" si="218"/>
        <v>-</v>
      </c>
      <c r="DD153" s="1417" t="str">
        <f t="shared" si="219"/>
        <v>-</v>
      </c>
      <c r="DE153" s="1419" t="str">
        <f t="shared" si="220"/>
        <v>-</v>
      </c>
      <c r="DF153" s="1378"/>
      <c r="DG153" s="1412" t="str">
        <f t="shared" si="232"/>
        <v>Price</v>
      </c>
      <c r="DH153" s="1413" t="str">
        <f t="shared" si="232"/>
        <v>[Service]</v>
      </c>
      <c r="DI153" s="1426" t="str">
        <f t="shared" si="232"/>
        <v>[Price]</v>
      </c>
      <c r="DJ153" s="1427" t="str">
        <f t="shared" si="221"/>
        <v>-</v>
      </c>
      <c r="DK153" s="1417" t="str">
        <f t="shared" si="222"/>
        <v>-</v>
      </c>
      <c r="DL153" s="1417" t="str">
        <f t="shared" si="223"/>
        <v>-</v>
      </c>
      <c r="DM153" s="1418" t="str">
        <f t="shared" si="224"/>
        <v>-</v>
      </c>
      <c r="DN153" s="1417" t="str">
        <f t="shared" si="225"/>
        <v>-</v>
      </c>
      <c r="DO153" s="1417" t="str">
        <f t="shared" si="226"/>
        <v>-</v>
      </c>
      <c r="DP153" s="1417" t="str">
        <f t="shared" si="227"/>
        <v>-</v>
      </c>
      <c r="DQ153" s="1419" t="str">
        <f t="shared" si="228"/>
        <v>-</v>
      </c>
    </row>
    <row r="154" spans="4:121">
      <c r="E154" s="742" t="s">
        <v>45</v>
      </c>
      <c r="F154" s="722" t="str">
        <f>+F153</f>
        <v>[Service]</v>
      </c>
      <c r="G154" s="723">
        <f>+G153</f>
        <v>0</v>
      </c>
      <c r="H154" s="723">
        <f>+H153</f>
        <v>0</v>
      </c>
      <c r="I154" s="724" t="str">
        <f>+I153</f>
        <v>[Price]</v>
      </c>
      <c r="J154" s="782" t="s">
        <v>322</v>
      </c>
      <c r="K154" s="725"/>
      <c r="L154" s="726"/>
      <c r="M154" s="726"/>
      <c r="N154" s="727"/>
      <c r="O154" s="786"/>
      <c r="P154" s="787"/>
      <c r="Q154" s="786"/>
      <c r="R154" s="786"/>
      <c r="S154" s="786"/>
      <c r="T154" s="786"/>
      <c r="U154" s="786"/>
      <c r="V154" s="786"/>
      <c r="W154" s="786"/>
      <c r="X154" s="787"/>
      <c r="Y154" s="786"/>
      <c r="Z154" s="786"/>
      <c r="AA154" s="786"/>
      <c r="AB154" s="786"/>
      <c r="AC154" s="787"/>
      <c r="AD154" s="786"/>
      <c r="AE154" s="786"/>
      <c r="AF154" s="786"/>
      <c r="AG154" s="788"/>
      <c r="AH154" s="823"/>
      <c r="AI154" s="702"/>
      <c r="AJ154" s="728"/>
      <c r="AK154" s="729"/>
      <c r="AL154" s="729"/>
      <c r="AM154" s="729"/>
      <c r="AN154" s="729"/>
      <c r="AO154" s="730"/>
      <c r="AP154" s="74"/>
      <c r="AQ154" s="74"/>
      <c r="AR154" s="74"/>
      <c r="AS154" s="106"/>
      <c r="AW154" s="1392" t="str">
        <f t="shared" si="230"/>
        <v>Qty</v>
      </c>
      <c r="AX154" s="1393" t="str">
        <f t="shared" si="230"/>
        <v>[Service]</v>
      </c>
      <c r="AY154" s="1394" t="str">
        <f t="shared" si="194"/>
        <v>[Price]</v>
      </c>
      <c r="AZ154" s="1395" t="str">
        <f t="shared" si="259"/>
        <v>-</v>
      </c>
      <c r="BA154" s="1395" t="str">
        <f t="shared" si="259"/>
        <v>-</v>
      </c>
      <c r="BB154" s="1395" t="str">
        <f t="shared" si="259"/>
        <v>-</v>
      </c>
      <c r="BC154" s="1395" t="str">
        <f t="shared" si="259"/>
        <v>-</v>
      </c>
      <c r="BD154" s="1395" t="str">
        <f t="shared" si="196"/>
        <v>-</v>
      </c>
      <c r="BE154" s="1395" t="str">
        <f t="shared" si="197"/>
        <v>-</v>
      </c>
      <c r="BF154" s="1395" t="str">
        <f t="shared" si="198"/>
        <v>-</v>
      </c>
      <c r="BG154" s="1396" t="str">
        <f t="shared" si="199"/>
        <v>-</v>
      </c>
      <c r="BH154" s="1395" t="str">
        <f t="shared" si="200"/>
        <v>-</v>
      </c>
      <c r="BI154" s="1395" t="str">
        <f t="shared" si="201"/>
        <v>-</v>
      </c>
      <c r="BJ154" s="1395" t="str">
        <f t="shared" si="202"/>
        <v>-</v>
      </c>
      <c r="BK154" s="1395" t="str">
        <f t="shared" si="203"/>
        <v>-</v>
      </c>
      <c r="BL154" s="1397" t="str">
        <f t="shared" si="204"/>
        <v>-</v>
      </c>
      <c r="BM154" s="1395" t="str">
        <f t="shared" si="205"/>
        <v>-</v>
      </c>
      <c r="BN154" s="1395" t="str">
        <f t="shared" si="206"/>
        <v>-</v>
      </c>
      <c r="BO154" s="1395" t="str">
        <f t="shared" si="207"/>
        <v>-</v>
      </c>
      <c r="BP154" s="1395" t="str">
        <f t="shared" si="208"/>
        <v>-</v>
      </c>
      <c r="BQ154" s="1398" t="str">
        <f t="shared" si="209"/>
        <v>-</v>
      </c>
      <c r="BR154" s="1378"/>
      <c r="BS154" s="1329"/>
      <c r="BT154" s="1399"/>
      <c r="BU154" s="1331"/>
      <c r="BV154" s="1400"/>
      <c r="BW154" s="1378"/>
      <c r="BX154" s="1392" t="str">
        <f t="shared" si="210"/>
        <v>Qty</v>
      </c>
      <c r="BY154" s="1393" t="str">
        <f t="shared" si="255"/>
        <v>[Service]</v>
      </c>
      <c r="BZ154" s="1394" t="str">
        <f t="shared" si="256"/>
        <v>[Price]</v>
      </c>
      <c r="CA154" s="1401" t="str">
        <f>IFERROR((S154/R154-1)*(R155/R$13),"-")</f>
        <v>-</v>
      </c>
      <c r="CB154" s="1395" t="str">
        <f>IFERROR((T154/S154-1)*(S155/S$13),"-")</f>
        <v>-</v>
      </c>
      <c r="CC154" s="1395" t="str">
        <f>IFERROR((U154/T154-1)*(T155/T$13),"-")</f>
        <v>-</v>
      </c>
      <c r="CD154" s="1395" t="str">
        <f>IFERROR((V154/U154-1)*(U155/U$13),"-")</f>
        <v>-</v>
      </c>
      <c r="CE154" s="1395" t="str">
        <f t="shared" ref="CE154:CR154" si="268">IFERROR((T154/S154-1)*(S155/S$13),"-")</f>
        <v>-</v>
      </c>
      <c r="CF154" s="1395" t="str">
        <f t="shared" si="268"/>
        <v>-</v>
      </c>
      <c r="CG154" s="1395" t="str">
        <f t="shared" si="268"/>
        <v>-</v>
      </c>
      <c r="CH154" s="1397" t="str">
        <f t="shared" si="268"/>
        <v>-</v>
      </c>
      <c r="CI154" s="1395" t="str">
        <f t="shared" si="268"/>
        <v>-</v>
      </c>
      <c r="CJ154" s="1395" t="str">
        <f t="shared" si="268"/>
        <v>-</v>
      </c>
      <c r="CK154" s="1395" t="str">
        <f t="shared" si="268"/>
        <v>-</v>
      </c>
      <c r="CL154" s="1395" t="str">
        <f t="shared" si="268"/>
        <v>-</v>
      </c>
      <c r="CM154" s="1397" t="str">
        <f t="shared" si="268"/>
        <v>-</v>
      </c>
      <c r="CN154" s="1395" t="str">
        <f t="shared" si="268"/>
        <v>-</v>
      </c>
      <c r="CO154" s="1395" t="str">
        <f t="shared" si="268"/>
        <v>-</v>
      </c>
      <c r="CP154" s="1395" t="str">
        <f t="shared" si="268"/>
        <v>-</v>
      </c>
      <c r="CQ154" s="1395" t="str">
        <f t="shared" si="268"/>
        <v>-</v>
      </c>
      <c r="CR154" s="1398" t="str">
        <f t="shared" si="268"/>
        <v>-</v>
      </c>
      <c r="CS154" s="1378"/>
      <c r="CT154" s="1392" t="str">
        <f t="shared" si="191"/>
        <v>Qty</v>
      </c>
      <c r="CU154" s="1393" t="str">
        <f t="shared" si="192"/>
        <v>[Service]</v>
      </c>
      <c r="CV154" s="1393" t="str">
        <f t="shared" si="193"/>
        <v>[Price]</v>
      </c>
      <c r="CW154" s="1401" t="str">
        <f t="shared" si="212"/>
        <v>-</v>
      </c>
      <c r="CX154" s="1395" t="str">
        <f t="shared" si="213"/>
        <v>-</v>
      </c>
      <c r="CY154" s="1395" t="str">
        <f t="shared" si="214"/>
        <v>-</v>
      </c>
      <c r="CZ154" s="1397" t="str">
        <f t="shared" si="215"/>
        <v>-</v>
      </c>
      <c r="DA154" s="1395" t="str">
        <f t="shared" si="216"/>
        <v>-</v>
      </c>
      <c r="DB154" s="1395" t="str">
        <f t="shared" si="217"/>
        <v>-</v>
      </c>
      <c r="DC154" s="1395" t="str">
        <f t="shared" si="218"/>
        <v>-</v>
      </c>
      <c r="DD154" s="1395" t="str">
        <f t="shared" si="219"/>
        <v>-</v>
      </c>
      <c r="DE154" s="1398" t="str">
        <f t="shared" si="220"/>
        <v>-</v>
      </c>
      <c r="DF154" s="1378"/>
      <c r="DG154" s="1392" t="str">
        <f t="shared" si="232"/>
        <v>Qty</v>
      </c>
      <c r="DH154" s="1393" t="str">
        <f t="shared" si="232"/>
        <v>[Service]</v>
      </c>
      <c r="DI154" s="1393" t="str">
        <f t="shared" si="232"/>
        <v>[Price]</v>
      </c>
      <c r="DJ154" s="1401" t="str">
        <f t="shared" si="221"/>
        <v>-</v>
      </c>
      <c r="DK154" s="1395" t="str">
        <f t="shared" si="222"/>
        <v>-</v>
      </c>
      <c r="DL154" s="1395" t="str">
        <f t="shared" si="223"/>
        <v>-</v>
      </c>
      <c r="DM154" s="1397" t="str">
        <f t="shared" si="224"/>
        <v>-</v>
      </c>
      <c r="DN154" s="1395" t="str">
        <f t="shared" si="225"/>
        <v>-</v>
      </c>
      <c r="DO154" s="1395" t="str">
        <f t="shared" si="226"/>
        <v>-</v>
      </c>
      <c r="DP154" s="1395" t="str">
        <f t="shared" si="227"/>
        <v>-</v>
      </c>
      <c r="DQ154" s="1398" t="str">
        <f t="shared" si="228"/>
        <v>-</v>
      </c>
    </row>
    <row r="155" spans="4:121" ht="12.75" thickBot="1">
      <c r="E155" s="743" t="s">
        <v>46</v>
      </c>
      <c r="F155" s="732" t="str">
        <f>+F153</f>
        <v>[Service]</v>
      </c>
      <c r="G155" s="733">
        <f>+G153</f>
        <v>0</v>
      </c>
      <c r="H155" s="733">
        <f>+H153</f>
        <v>0</v>
      </c>
      <c r="I155" s="734" t="str">
        <f>+I153</f>
        <v>[Price]</v>
      </c>
      <c r="J155" s="735" t="s">
        <v>344</v>
      </c>
      <c r="K155" s="736">
        <f t="shared" ref="K155:AG155" si="269">K153*K154/10^6</f>
        <v>0</v>
      </c>
      <c r="L155" s="737">
        <f t="shared" si="269"/>
        <v>0</v>
      </c>
      <c r="M155" s="737">
        <f t="shared" si="269"/>
        <v>0</v>
      </c>
      <c r="N155" s="738">
        <f t="shared" si="269"/>
        <v>0</v>
      </c>
      <c r="O155" s="737">
        <f t="shared" si="269"/>
        <v>0</v>
      </c>
      <c r="P155" s="738">
        <f t="shared" si="269"/>
        <v>0</v>
      </c>
      <c r="Q155" s="737">
        <f t="shared" si="269"/>
        <v>0</v>
      </c>
      <c r="R155" s="737">
        <f t="shared" si="269"/>
        <v>0</v>
      </c>
      <c r="S155" s="737">
        <f t="shared" si="269"/>
        <v>0</v>
      </c>
      <c r="T155" s="737">
        <f t="shared" si="269"/>
        <v>0</v>
      </c>
      <c r="U155" s="737">
        <f t="shared" si="269"/>
        <v>0</v>
      </c>
      <c r="V155" s="737">
        <f t="shared" si="269"/>
        <v>0</v>
      </c>
      <c r="W155" s="737">
        <f t="shared" si="269"/>
        <v>0</v>
      </c>
      <c r="X155" s="738">
        <f t="shared" si="269"/>
        <v>0</v>
      </c>
      <c r="Y155" s="737">
        <f t="shared" si="269"/>
        <v>0</v>
      </c>
      <c r="Z155" s="737">
        <f t="shared" si="269"/>
        <v>0</v>
      </c>
      <c r="AA155" s="737">
        <f t="shared" si="269"/>
        <v>0</v>
      </c>
      <c r="AB155" s="737">
        <f t="shared" si="269"/>
        <v>0</v>
      </c>
      <c r="AC155" s="738">
        <f t="shared" si="269"/>
        <v>0</v>
      </c>
      <c r="AD155" s="737">
        <f t="shared" si="269"/>
        <v>0</v>
      </c>
      <c r="AE155" s="737">
        <f t="shared" si="269"/>
        <v>0</v>
      </c>
      <c r="AF155" s="737">
        <f t="shared" si="269"/>
        <v>0</v>
      </c>
      <c r="AG155" s="739">
        <f t="shared" si="269"/>
        <v>0</v>
      </c>
      <c r="AH155" s="823"/>
      <c r="AI155" s="744"/>
      <c r="AJ155" s="741"/>
      <c r="AK155" s="729"/>
      <c r="AL155" s="729"/>
      <c r="AM155" s="729"/>
      <c r="AN155" s="729"/>
      <c r="AO155" s="730"/>
      <c r="AP155" s="74"/>
      <c r="AQ155" s="74"/>
      <c r="AR155" s="74"/>
      <c r="AS155" s="106"/>
      <c r="AW155" s="1428" t="str">
        <f t="shared" si="230"/>
        <v>Rev</v>
      </c>
      <c r="AX155" s="1429" t="str">
        <f t="shared" si="230"/>
        <v>[Service]</v>
      </c>
      <c r="AY155" s="1430" t="str">
        <f t="shared" si="194"/>
        <v>[Price]</v>
      </c>
      <c r="AZ155" s="1431" t="str">
        <f t="shared" si="259"/>
        <v>-</v>
      </c>
      <c r="BA155" s="1431" t="str">
        <f t="shared" si="259"/>
        <v>-</v>
      </c>
      <c r="BB155" s="1431" t="str">
        <f t="shared" si="259"/>
        <v>-</v>
      </c>
      <c r="BC155" s="1431" t="str">
        <f t="shared" si="259"/>
        <v>-</v>
      </c>
      <c r="BD155" s="1431" t="str">
        <f t="shared" si="196"/>
        <v>-</v>
      </c>
      <c r="BE155" s="1431" t="str">
        <f t="shared" si="197"/>
        <v>-</v>
      </c>
      <c r="BF155" s="1431" t="str">
        <f t="shared" si="198"/>
        <v>-</v>
      </c>
      <c r="BG155" s="1432" t="str">
        <f t="shared" si="199"/>
        <v>-</v>
      </c>
      <c r="BH155" s="1431" t="str">
        <f t="shared" si="200"/>
        <v>-</v>
      </c>
      <c r="BI155" s="1431" t="str">
        <f t="shared" si="201"/>
        <v>-</v>
      </c>
      <c r="BJ155" s="1431" t="str">
        <f t="shared" si="202"/>
        <v>-</v>
      </c>
      <c r="BK155" s="1431" t="str">
        <f t="shared" si="203"/>
        <v>-</v>
      </c>
      <c r="BL155" s="1433" t="str">
        <f t="shared" si="204"/>
        <v>-</v>
      </c>
      <c r="BM155" s="1431" t="str">
        <f t="shared" si="205"/>
        <v>-</v>
      </c>
      <c r="BN155" s="1431" t="str">
        <f t="shared" si="206"/>
        <v>-</v>
      </c>
      <c r="BO155" s="1431" t="str">
        <f t="shared" si="207"/>
        <v>-</v>
      </c>
      <c r="BP155" s="1431" t="str">
        <f t="shared" si="208"/>
        <v>-</v>
      </c>
      <c r="BQ155" s="1434" t="str">
        <f t="shared" si="209"/>
        <v>-</v>
      </c>
      <c r="BR155" s="1378"/>
      <c r="BS155" s="1407"/>
      <c r="BT155" s="1408"/>
      <c r="BU155" s="1409"/>
      <c r="BV155" s="1410"/>
      <c r="BW155" s="1378"/>
      <c r="BX155" s="1428" t="str">
        <f t="shared" si="210"/>
        <v>Rev</v>
      </c>
      <c r="BY155" s="1429" t="str">
        <f t="shared" si="255"/>
        <v>[Service]</v>
      </c>
      <c r="BZ155" s="1430" t="str">
        <f t="shared" si="256"/>
        <v>[Price]</v>
      </c>
      <c r="CA155" s="1435" t="str">
        <f>IFERROR((S155/R155-1)*(R155/R$13),"-")</f>
        <v>-</v>
      </c>
      <c r="CB155" s="1431" t="str">
        <f>IFERROR((T155/S155-1)*(S155/S$13),"-")</f>
        <v>-</v>
      </c>
      <c r="CC155" s="1431" t="str">
        <f>IFERROR((U155/T155-1)*(T155/T$13),"-")</f>
        <v>-</v>
      </c>
      <c r="CD155" s="1431" t="str">
        <f>IFERROR((V155/U155-1)*(U155/U$13),"-")</f>
        <v>-</v>
      </c>
      <c r="CE155" s="1431" t="str">
        <f t="shared" ref="CE155:CR155" si="270">IFERROR((T155/S155-1)*(S155/S$13),"-")</f>
        <v>-</v>
      </c>
      <c r="CF155" s="1431" t="str">
        <f t="shared" si="270"/>
        <v>-</v>
      </c>
      <c r="CG155" s="1431" t="str">
        <f t="shared" si="270"/>
        <v>-</v>
      </c>
      <c r="CH155" s="1433" t="str">
        <f t="shared" si="270"/>
        <v>-</v>
      </c>
      <c r="CI155" s="1431" t="str">
        <f t="shared" si="270"/>
        <v>-</v>
      </c>
      <c r="CJ155" s="1431" t="str">
        <f t="shared" si="270"/>
        <v>-</v>
      </c>
      <c r="CK155" s="1431" t="str">
        <f t="shared" si="270"/>
        <v>-</v>
      </c>
      <c r="CL155" s="1431" t="str">
        <f t="shared" si="270"/>
        <v>-</v>
      </c>
      <c r="CM155" s="1433" t="str">
        <f t="shared" si="270"/>
        <v>-</v>
      </c>
      <c r="CN155" s="1431" t="str">
        <f t="shared" si="270"/>
        <v>-</v>
      </c>
      <c r="CO155" s="1431" t="str">
        <f t="shared" si="270"/>
        <v>-</v>
      </c>
      <c r="CP155" s="1431" t="str">
        <f t="shared" si="270"/>
        <v>-</v>
      </c>
      <c r="CQ155" s="1431" t="str">
        <f t="shared" si="270"/>
        <v>-</v>
      </c>
      <c r="CR155" s="1434" t="str">
        <f t="shared" si="270"/>
        <v>-</v>
      </c>
      <c r="CS155" s="1378"/>
      <c r="CT155" s="1428" t="str">
        <f t="shared" si="191"/>
        <v>Rev</v>
      </c>
      <c r="CU155" s="1429" t="str">
        <f t="shared" si="192"/>
        <v>[Service]</v>
      </c>
      <c r="CV155" s="1429" t="str">
        <f t="shared" si="193"/>
        <v>[Price]</v>
      </c>
      <c r="CW155" s="1435" t="str">
        <f t="shared" si="212"/>
        <v>-</v>
      </c>
      <c r="CX155" s="1431" t="str">
        <f t="shared" si="213"/>
        <v>-</v>
      </c>
      <c r="CY155" s="1431" t="str">
        <f t="shared" si="214"/>
        <v>-</v>
      </c>
      <c r="CZ155" s="1433" t="str">
        <f t="shared" si="215"/>
        <v>-</v>
      </c>
      <c r="DA155" s="1431" t="str">
        <f t="shared" si="216"/>
        <v>-</v>
      </c>
      <c r="DB155" s="1431" t="str">
        <f t="shared" si="217"/>
        <v>-</v>
      </c>
      <c r="DC155" s="1431" t="str">
        <f t="shared" si="218"/>
        <v>-</v>
      </c>
      <c r="DD155" s="1431" t="str">
        <f t="shared" si="219"/>
        <v>-</v>
      </c>
      <c r="DE155" s="1434" t="str">
        <f t="shared" si="220"/>
        <v>-</v>
      </c>
      <c r="DF155" s="1378"/>
      <c r="DG155" s="1428" t="str">
        <f t="shared" si="232"/>
        <v>Rev</v>
      </c>
      <c r="DH155" s="1429" t="str">
        <f t="shared" si="232"/>
        <v>[Service]</v>
      </c>
      <c r="DI155" s="1429" t="str">
        <f t="shared" si="232"/>
        <v>[Price]</v>
      </c>
      <c r="DJ155" s="1435" t="str">
        <f t="shared" si="221"/>
        <v>-</v>
      </c>
      <c r="DK155" s="1431" t="str">
        <f t="shared" si="222"/>
        <v>-</v>
      </c>
      <c r="DL155" s="1431" t="str">
        <f t="shared" si="223"/>
        <v>-</v>
      </c>
      <c r="DM155" s="1433" t="str">
        <f t="shared" si="224"/>
        <v>-</v>
      </c>
      <c r="DN155" s="1431" t="str">
        <f t="shared" si="225"/>
        <v>-</v>
      </c>
      <c r="DO155" s="1431" t="str">
        <f t="shared" si="226"/>
        <v>-</v>
      </c>
      <c r="DP155" s="1431" t="str">
        <f t="shared" si="227"/>
        <v>-</v>
      </c>
      <c r="DQ155" s="1434" t="str">
        <f t="shared" si="228"/>
        <v>-</v>
      </c>
    </row>
    <row r="156" spans="4:121">
      <c r="D156" s="70">
        <f>D153+1</f>
        <v>30</v>
      </c>
      <c r="E156" s="713" t="s">
        <v>44</v>
      </c>
      <c r="F156" s="789" t="s">
        <v>27</v>
      </c>
      <c r="G156" s="789"/>
      <c r="H156" s="789"/>
      <c r="I156" s="781" t="s">
        <v>318</v>
      </c>
      <c r="J156" s="781" t="s">
        <v>345</v>
      </c>
      <c r="K156" s="714"/>
      <c r="L156" s="715"/>
      <c r="M156" s="715"/>
      <c r="N156" s="716"/>
      <c r="O156" s="783"/>
      <c r="P156" s="784"/>
      <c r="Q156" s="783"/>
      <c r="R156" s="783"/>
      <c r="S156" s="783"/>
      <c r="T156" s="783"/>
      <c r="U156" s="783"/>
      <c r="V156" s="783"/>
      <c r="W156" s="783"/>
      <c r="X156" s="784"/>
      <c r="Y156" s="783"/>
      <c r="Z156" s="783"/>
      <c r="AA156" s="783"/>
      <c r="AB156" s="783"/>
      <c r="AC156" s="784"/>
      <c r="AD156" s="783"/>
      <c r="AE156" s="783"/>
      <c r="AF156" s="783"/>
      <c r="AG156" s="785"/>
      <c r="AI156" s="702"/>
      <c r="AJ156" s="717" t="str">
        <f t="shared" ref="AJ156:AS156" si="271">IFERROR((X156-W156)/W156,"")</f>
        <v/>
      </c>
      <c r="AK156" s="718" t="str">
        <f t="shared" si="271"/>
        <v/>
      </c>
      <c r="AL156" s="718" t="str">
        <f t="shared" si="271"/>
        <v/>
      </c>
      <c r="AM156" s="718" t="str">
        <f t="shared" si="271"/>
        <v/>
      </c>
      <c r="AN156" s="718" t="str">
        <f t="shared" si="271"/>
        <v/>
      </c>
      <c r="AO156" s="719" t="str">
        <f t="shared" si="271"/>
        <v/>
      </c>
      <c r="AP156" s="494" t="str">
        <f t="shared" si="271"/>
        <v/>
      </c>
      <c r="AQ156" s="494" t="str">
        <f t="shared" si="271"/>
        <v/>
      </c>
      <c r="AR156" s="494" t="str">
        <f t="shared" si="271"/>
        <v/>
      </c>
      <c r="AS156" s="720" t="str">
        <f t="shared" si="271"/>
        <v/>
      </c>
      <c r="AU156" s="1369"/>
      <c r="AW156" s="1412" t="str">
        <f t="shared" si="230"/>
        <v>Price</v>
      </c>
      <c r="AX156" s="1413" t="str">
        <f t="shared" si="230"/>
        <v>[Service]</v>
      </c>
      <c r="AY156" s="1414" t="str">
        <f t="shared" si="194"/>
        <v>[Price]</v>
      </c>
      <c r="AZ156" s="1415" t="str">
        <f t="shared" si="259"/>
        <v>-</v>
      </c>
      <c r="BA156" s="1415" t="str">
        <f t="shared" si="259"/>
        <v>-</v>
      </c>
      <c r="BB156" s="1415" t="str">
        <f t="shared" si="259"/>
        <v>-</v>
      </c>
      <c r="BC156" s="1415" t="str">
        <f t="shared" si="259"/>
        <v>-</v>
      </c>
      <c r="BD156" s="1415" t="str">
        <f t="shared" si="196"/>
        <v>-</v>
      </c>
      <c r="BE156" s="1415" t="str">
        <f t="shared" si="197"/>
        <v>-</v>
      </c>
      <c r="BF156" s="1415" t="str">
        <f t="shared" si="198"/>
        <v>-</v>
      </c>
      <c r="BG156" s="1416" t="str">
        <f t="shared" si="199"/>
        <v>-</v>
      </c>
      <c r="BH156" s="1417" t="str">
        <f t="shared" si="200"/>
        <v>-</v>
      </c>
      <c r="BI156" s="1417" t="str">
        <f t="shared" si="201"/>
        <v>-</v>
      </c>
      <c r="BJ156" s="1417" t="str">
        <f t="shared" si="202"/>
        <v>-</v>
      </c>
      <c r="BK156" s="1417" t="str">
        <f t="shared" si="203"/>
        <v>-</v>
      </c>
      <c r="BL156" s="1418" t="str">
        <f t="shared" si="204"/>
        <v>-</v>
      </c>
      <c r="BM156" s="1417" t="str">
        <f t="shared" si="205"/>
        <v>-</v>
      </c>
      <c r="BN156" s="1417" t="str">
        <f t="shared" si="206"/>
        <v>-</v>
      </c>
      <c r="BO156" s="1417" t="str">
        <f t="shared" si="207"/>
        <v>-</v>
      </c>
      <c r="BP156" s="1417" t="str">
        <f t="shared" si="208"/>
        <v>-</v>
      </c>
      <c r="BQ156" s="1419" t="str">
        <f t="shared" si="209"/>
        <v>-</v>
      </c>
      <c r="BR156" s="1378"/>
      <c r="BS156" s="1420"/>
      <c r="BT156" s="1421"/>
      <c r="BU156" s="1422"/>
      <c r="BV156" s="1423"/>
      <c r="BW156" s="1378"/>
      <c r="BX156" s="1412" t="str">
        <f t="shared" si="210"/>
        <v>Price</v>
      </c>
      <c r="BY156" s="1413" t="str">
        <f t="shared" si="255"/>
        <v>[Service]</v>
      </c>
      <c r="BZ156" s="1414" t="str">
        <f t="shared" si="256"/>
        <v>[Price]</v>
      </c>
      <c r="CA156" s="1424" t="str">
        <f>IFERROR((S156/R156-1)*(R158/R$13),"-")</f>
        <v>-</v>
      </c>
      <c r="CB156" s="1415" t="str">
        <f>IFERROR((T156/S156-1)*(S158/S$13),"-")</f>
        <v>-</v>
      </c>
      <c r="CC156" s="1415" t="str">
        <f>IFERROR((U156/T156-1)*(T158/T$13),"-")</f>
        <v>-</v>
      </c>
      <c r="CD156" s="1415" t="str">
        <f>IFERROR((V156/U156-1)*(U158/U$13),"-")</f>
        <v>-</v>
      </c>
      <c r="CE156" s="1415" t="str">
        <f t="shared" ref="CE156:CR156" si="272">IFERROR((T156/S156-1)*(S158/S$13),"-")</f>
        <v>-</v>
      </c>
      <c r="CF156" s="1415" t="str">
        <f t="shared" si="272"/>
        <v>-</v>
      </c>
      <c r="CG156" s="1415" t="str">
        <f t="shared" si="272"/>
        <v>-</v>
      </c>
      <c r="CH156" s="1425" t="str">
        <f t="shared" si="272"/>
        <v>-</v>
      </c>
      <c r="CI156" s="1417" t="str">
        <f t="shared" si="272"/>
        <v>-</v>
      </c>
      <c r="CJ156" s="1417" t="str">
        <f t="shared" si="272"/>
        <v>-</v>
      </c>
      <c r="CK156" s="1417" t="str">
        <f t="shared" si="272"/>
        <v>-</v>
      </c>
      <c r="CL156" s="1417" t="str">
        <f t="shared" si="272"/>
        <v>-</v>
      </c>
      <c r="CM156" s="1418" t="str">
        <f t="shared" si="272"/>
        <v>-</v>
      </c>
      <c r="CN156" s="1417" t="str">
        <f t="shared" si="272"/>
        <v>-</v>
      </c>
      <c r="CO156" s="1417" t="str">
        <f t="shared" si="272"/>
        <v>-</v>
      </c>
      <c r="CP156" s="1417" t="str">
        <f t="shared" si="272"/>
        <v>-</v>
      </c>
      <c r="CQ156" s="1417" t="str">
        <f t="shared" si="272"/>
        <v>-</v>
      </c>
      <c r="CR156" s="1419" t="str">
        <f t="shared" si="272"/>
        <v>-</v>
      </c>
      <c r="CS156" s="1378"/>
      <c r="CT156" s="1412" t="str">
        <f t="shared" si="191"/>
        <v>Price</v>
      </c>
      <c r="CU156" s="1413" t="str">
        <f t="shared" si="192"/>
        <v>[Service]</v>
      </c>
      <c r="CV156" s="1426" t="str">
        <f t="shared" si="193"/>
        <v>[Price]</v>
      </c>
      <c r="CW156" s="1427" t="str">
        <f t="shared" si="212"/>
        <v>-</v>
      </c>
      <c r="CX156" s="1417" t="str">
        <f t="shared" si="213"/>
        <v>-</v>
      </c>
      <c r="CY156" s="1417" t="str">
        <f t="shared" si="214"/>
        <v>-</v>
      </c>
      <c r="CZ156" s="1418" t="str">
        <f t="shared" si="215"/>
        <v>-</v>
      </c>
      <c r="DA156" s="1417" t="str">
        <f t="shared" si="216"/>
        <v>-</v>
      </c>
      <c r="DB156" s="1417" t="str">
        <f t="shared" si="217"/>
        <v>-</v>
      </c>
      <c r="DC156" s="1417" t="str">
        <f t="shared" si="218"/>
        <v>-</v>
      </c>
      <c r="DD156" s="1417" t="str">
        <f t="shared" si="219"/>
        <v>-</v>
      </c>
      <c r="DE156" s="1419" t="str">
        <f t="shared" si="220"/>
        <v>-</v>
      </c>
      <c r="DF156" s="1378"/>
      <c r="DG156" s="1412" t="str">
        <f t="shared" si="232"/>
        <v>Price</v>
      </c>
      <c r="DH156" s="1413" t="str">
        <f t="shared" si="232"/>
        <v>[Service]</v>
      </c>
      <c r="DI156" s="1426" t="str">
        <f t="shared" si="232"/>
        <v>[Price]</v>
      </c>
      <c r="DJ156" s="1427" t="str">
        <f t="shared" si="221"/>
        <v>-</v>
      </c>
      <c r="DK156" s="1417" t="str">
        <f t="shared" si="222"/>
        <v>-</v>
      </c>
      <c r="DL156" s="1417" t="str">
        <f t="shared" si="223"/>
        <v>-</v>
      </c>
      <c r="DM156" s="1418" t="str">
        <f t="shared" si="224"/>
        <v>-</v>
      </c>
      <c r="DN156" s="1417" t="str">
        <f t="shared" si="225"/>
        <v>-</v>
      </c>
      <c r="DO156" s="1417" t="str">
        <f t="shared" si="226"/>
        <v>-</v>
      </c>
      <c r="DP156" s="1417" t="str">
        <f t="shared" si="227"/>
        <v>-</v>
      </c>
      <c r="DQ156" s="1419" t="str">
        <f t="shared" si="228"/>
        <v>-</v>
      </c>
    </row>
    <row r="157" spans="4:121">
      <c r="E157" s="742" t="s">
        <v>45</v>
      </c>
      <c r="F157" s="722" t="str">
        <f>+F156</f>
        <v>[Service]</v>
      </c>
      <c r="G157" s="723">
        <f>+G156</f>
        <v>0</v>
      </c>
      <c r="H157" s="723">
        <f>+H156</f>
        <v>0</v>
      </c>
      <c r="I157" s="724" t="str">
        <f>+I156</f>
        <v>[Price]</v>
      </c>
      <c r="J157" s="782" t="s">
        <v>322</v>
      </c>
      <c r="K157" s="725"/>
      <c r="L157" s="726"/>
      <c r="M157" s="726"/>
      <c r="N157" s="727"/>
      <c r="O157" s="786"/>
      <c r="P157" s="787"/>
      <c r="Q157" s="786"/>
      <c r="R157" s="786"/>
      <c r="S157" s="786"/>
      <c r="T157" s="786"/>
      <c r="U157" s="786"/>
      <c r="V157" s="786"/>
      <c r="W157" s="786"/>
      <c r="X157" s="787"/>
      <c r="Y157" s="786"/>
      <c r="Z157" s="786"/>
      <c r="AA157" s="786"/>
      <c r="AB157" s="786"/>
      <c r="AC157" s="787"/>
      <c r="AD157" s="786"/>
      <c r="AE157" s="786"/>
      <c r="AF157" s="786"/>
      <c r="AG157" s="788"/>
      <c r="AH157" s="823"/>
      <c r="AI157" s="702"/>
      <c r="AJ157" s="728"/>
      <c r="AK157" s="729"/>
      <c r="AL157" s="729"/>
      <c r="AM157" s="729"/>
      <c r="AN157" s="729"/>
      <c r="AO157" s="730"/>
      <c r="AP157" s="74"/>
      <c r="AQ157" s="74"/>
      <c r="AR157" s="74"/>
      <c r="AS157" s="106"/>
      <c r="AW157" s="1392" t="str">
        <f t="shared" si="230"/>
        <v>Qty</v>
      </c>
      <c r="AX157" s="1393" t="str">
        <f t="shared" si="230"/>
        <v>[Service]</v>
      </c>
      <c r="AY157" s="1394" t="str">
        <f t="shared" si="194"/>
        <v>[Price]</v>
      </c>
      <c r="AZ157" s="1395" t="str">
        <f t="shared" si="259"/>
        <v>-</v>
      </c>
      <c r="BA157" s="1395" t="str">
        <f t="shared" si="259"/>
        <v>-</v>
      </c>
      <c r="BB157" s="1395" t="str">
        <f t="shared" si="259"/>
        <v>-</v>
      </c>
      <c r="BC157" s="1395" t="str">
        <f t="shared" si="259"/>
        <v>-</v>
      </c>
      <c r="BD157" s="1395" t="str">
        <f t="shared" si="196"/>
        <v>-</v>
      </c>
      <c r="BE157" s="1395" t="str">
        <f t="shared" si="197"/>
        <v>-</v>
      </c>
      <c r="BF157" s="1395" t="str">
        <f t="shared" si="198"/>
        <v>-</v>
      </c>
      <c r="BG157" s="1396" t="str">
        <f t="shared" si="199"/>
        <v>-</v>
      </c>
      <c r="BH157" s="1395" t="str">
        <f t="shared" si="200"/>
        <v>-</v>
      </c>
      <c r="BI157" s="1395" t="str">
        <f t="shared" si="201"/>
        <v>-</v>
      </c>
      <c r="BJ157" s="1395" t="str">
        <f t="shared" si="202"/>
        <v>-</v>
      </c>
      <c r="BK157" s="1395" t="str">
        <f t="shared" si="203"/>
        <v>-</v>
      </c>
      <c r="BL157" s="1397" t="str">
        <f t="shared" si="204"/>
        <v>-</v>
      </c>
      <c r="BM157" s="1395" t="str">
        <f t="shared" si="205"/>
        <v>-</v>
      </c>
      <c r="BN157" s="1395" t="str">
        <f t="shared" si="206"/>
        <v>-</v>
      </c>
      <c r="BO157" s="1395" t="str">
        <f t="shared" si="207"/>
        <v>-</v>
      </c>
      <c r="BP157" s="1395" t="str">
        <f t="shared" si="208"/>
        <v>-</v>
      </c>
      <c r="BQ157" s="1398" t="str">
        <f t="shared" si="209"/>
        <v>-</v>
      </c>
      <c r="BR157" s="1378"/>
      <c r="BS157" s="1329"/>
      <c r="BT157" s="1399"/>
      <c r="BU157" s="1331"/>
      <c r="BV157" s="1400"/>
      <c r="BW157" s="1378"/>
      <c r="BX157" s="1392" t="str">
        <f t="shared" si="210"/>
        <v>Qty</v>
      </c>
      <c r="BY157" s="1393" t="str">
        <f t="shared" si="255"/>
        <v>[Service]</v>
      </c>
      <c r="BZ157" s="1394" t="str">
        <f t="shared" si="256"/>
        <v>[Price]</v>
      </c>
      <c r="CA157" s="1401" t="str">
        <f>IFERROR((S157/R157-1)*(R158/R$13),"-")</f>
        <v>-</v>
      </c>
      <c r="CB157" s="1395" t="str">
        <f>IFERROR((T157/S157-1)*(S158/S$13),"-")</f>
        <v>-</v>
      </c>
      <c r="CC157" s="1395" t="str">
        <f>IFERROR((U157/T157-1)*(T158/T$13),"-")</f>
        <v>-</v>
      </c>
      <c r="CD157" s="1395" t="str">
        <f>IFERROR((V157/U157-1)*(U158/U$13),"-")</f>
        <v>-</v>
      </c>
      <c r="CE157" s="1395" t="str">
        <f t="shared" ref="CE157:CR157" si="273">IFERROR((T157/S157-1)*(S158/S$13),"-")</f>
        <v>-</v>
      </c>
      <c r="CF157" s="1395" t="str">
        <f t="shared" si="273"/>
        <v>-</v>
      </c>
      <c r="CG157" s="1395" t="str">
        <f t="shared" si="273"/>
        <v>-</v>
      </c>
      <c r="CH157" s="1397" t="str">
        <f t="shared" si="273"/>
        <v>-</v>
      </c>
      <c r="CI157" s="1395" t="str">
        <f t="shared" si="273"/>
        <v>-</v>
      </c>
      <c r="CJ157" s="1395" t="str">
        <f t="shared" si="273"/>
        <v>-</v>
      </c>
      <c r="CK157" s="1395" t="str">
        <f t="shared" si="273"/>
        <v>-</v>
      </c>
      <c r="CL157" s="1395" t="str">
        <f t="shared" si="273"/>
        <v>-</v>
      </c>
      <c r="CM157" s="1397" t="str">
        <f t="shared" si="273"/>
        <v>-</v>
      </c>
      <c r="CN157" s="1395" t="str">
        <f t="shared" si="273"/>
        <v>-</v>
      </c>
      <c r="CO157" s="1395" t="str">
        <f t="shared" si="273"/>
        <v>-</v>
      </c>
      <c r="CP157" s="1395" t="str">
        <f t="shared" si="273"/>
        <v>-</v>
      </c>
      <c r="CQ157" s="1395" t="str">
        <f t="shared" si="273"/>
        <v>-</v>
      </c>
      <c r="CR157" s="1398" t="str">
        <f t="shared" si="273"/>
        <v>-</v>
      </c>
      <c r="CS157" s="1378"/>
      <c r="CT157" s="1392" t="str">
        <f t="shared" si="191"/>
        <v>Qty</v>
      </c>
      <c r="CU157" s="1393" t="str">
        <f t="shared" si="192"/>
        <v>[Service]</v>
      </c>
      <c r="CV157" s="1393" t="str">
        <f t="shared" si="193"/>
        <v>[Price]</v>
      </c>
      <c r="CW157" s="1401" t="str">
        <f t="shared" si="212"/>
        <v>-</v>
      </c>
      <c r="CX157" s="1395" t="str">
        <f t="shared" si="213"/>
        <v>-</v>
      </c>
      <c r="CY157" s="1395" t="str">
        <f t="shared" si="214"/>
        <v>-</v>
      </c>
      <c r="CZ157" s="1397" t="str">
        <f t="shared" si="215"/>
        <v>-</v>
      </c>
      <c r="DA157" s="1395" t="str">
        <f t="shared" si="216"/>
        <v>-</v>
      </c>
      <c r="DB157" s="1395" t="str">
        <f t="shared" si="217"/>
        <v>-</v>
      </c>
      <c r="DC157" s="1395" t="str">
        <f t="shared" si="218"/>
        <v>-</v>
      </c>
      <c r="DD157" s="1395" t="str">
        <f t="shared" si="219"/>
        <v>-</v>
      </c>
      <c r="DE157" s="1398" t="str">
        <f t="shared" si="220"/>
        <v>-</v>
      </c>
      <c r="DF157" s="1378"/>
      <c r="DG157" s="1392" t="str">
        <f t="shared" si="232"/>
        <v>Qty</v>
      </c>
      <c r="DH157" s="1393" t="str">
        <f t="shared" si="232"/>
        <v>[Service]</v>
      </c>
      <c r="DI157" s="1393" t="str">
        <f t="shared" si="232"/>
        <v>[Price]</v>
      </c>
      <c r="DJ157" s="1401" t="str">
        <f t="shared" si="221"/>
        <v>-</v>
      </c>
      <c r="DK157" s="1395" t="str">
        <f t="shared" si="222"/>
        <v>-</v>
      </c>
      <c r="DL157" s="1395" t="str">
        <f t="shared" si="223"/>
        <v>-</v>
      </c>
      <c r="DM157" s="1397" t="str">
        <f t="shared" si="224"/>
        <v>-</v>
      </c>
      <c r="DN157" s="1395" t="str">
        <f t="shared" si="225"/>
        <v>-</v>
      </c>
      <c r="DO157" s="1395" t="str">
        <f t="shared" si="226"/>
        <v>-</v>
      </c>
      <c r="DP157" s="1395" t="str">
        <f t="shared" si="227"/>
        <v>-</v>
      </c>
      <c r="DQ157" s="1398" t="str">
        <f t="shared" si="228"/>
        <v>-</v>
      </c>
    </row>
    <row r="158" spans="4:121" ht="12.75" thickBot="1">
      <c r="E158" s="743" t="s">
        <v>46</v>
      </c>
      <c r="F158" s="732" t="str">
        <f>+F156</f>
        <v>[Service]</v>
      </c>
      <c r="G158" s="733">
        <f>+G156</f>
        <v>0</v>
      </c>
      <c r="H158" s="733">
        <f>+H156</f>
        <v>0</v>
      </c>
      <c r="I158" s="734" t="str">
        <f>+I156</f>
        <v>[Price]</v>
      </c>
      <c r="J158" s="735" t="s">
        <v>344</v>
      </c>
      <c r="K158" s="736">
        <f t="shared" ref="K158:AG158" si="274">K156*K157/10^6</f>
        <v>0</v>
      </c>
      <c r="L158" s="737">
        <f t="shared" si="274"/>
        <v>0</v>
      </c>
      <c r="M158" s="737">
        <f t="shared" si="274"/>
        <v>0</v>
      </c>
      <c r="N158" s="738">
        <f t="shared" si="274"/>
        <v>0</v>
      </c>
      <c r="O158" s="737">
        <f t="shared" si="274"/>
        <v>0</v>
      </c>
      <c r="P158" s="738">
        <f t="shared" si="274"/>
        <v>0</v>
      </c>
      <c r="Q158" s="737">
        <f t="shared" si="274"/>
        <v>0</v>
      </c>
      <c r="R158" s="737">
        <f t="shared" si="274"/>
        <v>0</v>
      </c>
      <c r="S158" s="737">
        <f t="shared" si="274"/>
        <v>0</v>
      </c>
      <c r="T158" s="737">
        <f t="shared" si="274"/>
        <v>0</v>
      </c>
      <c r="U158" s="737">
        <f t="shared" si="274"/>
        <v>0</v>
      </c>
      <c r="V158" s="737">
        <f t="shared" si="274"/>
        <v>0</v>
      </c>
      <c r="W158" s="737">
        <f t="shared" si="274"/>
        <v>0</v>
      </c>
      <c r="X158" s="738">
        <f t="shared" si="274"/>
        <v>0</v>
      </c>
      <c r="Y158" s="737">
        <f t="shared" si="274"/>
        <v>0</v>
      </c>
      <c r="Z158" s="737">
        <f t="shared" si="274"/>
        <v>0</v>
      </c>
      <c r="AA158" s="737">
        <f t="shared" si="274"/>
        <v>0</v>
      </c>
      <c r="AB158" s="737">
        <f t="shared" si="274"/>
        <v>0</v>
      </c>
      <c r="AC158" s="738">
        <f t="shared" si="274"/>
        <v>0</v>
      </c>
      <c r="AD158" s="737">
        <f t="shared" si="274"/>
        <v>0</v>
      </c>
      <c r="AE158" s="737">
        <f t="shared" si="274"/>
        <v>0</v>
      </c>
      <c r="AF158" s="737">
        <f t="shared" si="274"/>
        <v>0</v>
      </c>
      <c r="AG158" s="739">
        <f t="shared" si="274"/>
        <v>0</v>
      </c>
      <c r="AH158" s="823"/>
      <c r="AI158" s="744"/>
      <c r="AJ158" s="741"/>
      <c r="AK158" s="729"/>
      <c r="AL158" s="729"/>
      <c r="AM158" s="729"/>
      <c r="AN158" s="729"/>
      <c r="AO158" s="730"/>
      <c r="AP158" s="74"/>
      <c r="AQ158" s="74"/>
      <c r="AR158" s="74"/>
      <c r="AS158" s="106"/>
      <c r="AW158" s="1428" t="str">
        <f t="shared" si="230"/>
        <v>Rev</v>
      </c>
      <c r="AX158" s="1429" t="str">
        <f t="shared" si="230"/>
        <v>[Service]</v>
      </c>
      <c r="AY158" s="1430" t="str">
        <f t="shared" si="194"/>
        <v>[Price]</v>
      </c>
      <c r="AZ158" s="1431" t="str">
        <f t="shared" si="259"/>
        <v>-</v>
      </c>
      <c r="BA158" s="1431" t="str">
        <f t="shared" si="259"/>
        <v>-</v>
      </c>
      <c r="BB158" s="1431" t="str">
        <f t="shared" si="259"/>
        <v>-</v>
      </c>
      <c r="BC158" s="1431" t="str">
        <f t="shared" si="259"/>
        <v>-</v>
      </c>
      <c r="BD158" s="1431" t="str">
        <f t="shared" si="196"/>
        <v>-</v>
      </c>
      <c r="BE158" s="1431" t="str">
        <f t="shared" si="197"/>
        <v>-</v>
      </c>
      <c r="BF158" s="1431" t="str">
        <f t="shared" si="198"/>
        <v>-</v>
      </c>
      <c r="BG158" s="1432" t="str">
        <f t="shared" si="199"/>
        <v>-</v>
      </c>
      <c r="BH158" s="1431" t="str">
        <f t="shared" si="200"/>
        <v>-</v>
      </c>
      <c r="BI158" s="1431" t="str">
        <f t="shared" si="201"/>
        <v>-</v>
      </c>
      <c r="BJ158" s="1431" t="str">
        <f t="shared" si="202"/>
        <v>-</v>
      </c>
      <c r="BK158" s="1431" t="str">
        <f t="shared" si="203"/>
        <v>-</v>
      </c>
      <c r="BL158" s="1433" t="str">
        <f t="shared" si="204"/>
        <v>-</v>
      </c>
      <c r="BM158" s="1431" t="str">
        <f t="shared" si="205"/>
        <v>-</v>
      </c>
      <c r="BN158" s="1431" t="str">
        <f t="shared" si="206"/>
        <v>-</v>
      </c>
      <c r="BO158" s="1431" t="str">
        <f t="shared" si="207"/>
        <v>-</v>
      </c>
      <c r="BP158" s="1431" t="str">
        <f t="shared" si="208"/>
        <v>-</v>
      </c>
      <c r="BQ158" s="1434" t="str">
        <f t="shared" si="209"/>
        <v>-</v>
      </c>
      <c r="BR158" s="1378"/>
      <c r="BS158" s="1407"/>
      <c r="BT158" s="1408"/>
      <c r="BU158" s="1409"/>
      <c r="BV158" s="1410"/>
      <c r="BW158" s="1378"/>
      <c r="BX158" s="1428" t="str">
        <f t="shared" si="210"/>
        <v>Rev</v>
      </c>
      <c r="BY158" s="1429" t="str">
        <f t="shared" si="255"/>
        <v>[Service]</v>
      </c>
      <c r="BZ158" s="1430" t="str">
        <f t="shared" si="256"/>
        <v>[Price]</v>
      </c>
      <c r="CA158" s="1435" t="str">
        <f>IFERROR((S158/R158-1)*(R158/R$13),"-")</f>
        <v>-</v>
      </c>
      <c r="CB158" s="1431" t="str">
        <f>IFERROR((T158/S158-1)*(S158/S$13),"-")</f>
        <v>-</v>
      </c>
      <c r="CC158" s="1431" t="str">
        <f>IFERROR((U158/T158-1)*(T158/T$13),"-")</f>
        <v>-</v>
      </c>
      <c r="CD158" s="1431" t="str">
        <f>IFERROR((V158/U158-1)*(U158/U$13),"-")</f>
        <v>-</v>
      </c>
      <c r="CE158" s="1431" t="str">
        <f t="shared" ref="CE158:CR158" si="275">IFERROR((T158/S158-1)*(S158/S$13),"-")</f>
        <v>-</v>
      </c>
      <c r="CF158" s="1431" t="str">
        <f t="shared" si="275"/>
        <v>-</v>
      </c>
      <c r="CG158" s="1431" t="str">
        <f t="shared" si="275"/>
        <v>-</v>
      </c>
      <c r="CH158" s="1433" t="str">
        <f t="shared" si="275"/>
        <v>-</v>
      </c>
      <c r="CI158" s="1431" t="str">
        <f t="shared" si="275"/>
        <v>-</v>
      </c>
      <c r="CJ158" s="1431" t="str">
        <f t="shared" si="275"/>
        <v>-</v>
      </c>
      <c r="CK158" s="1431" t="str">
        <f t="shared" si="275"/>
        <v>-</v>
      </c>
      <c r="CL158" s="1431" t="str">
        <f t="shared" si="275"/>
        <v>-</v>
      </c>
      <c r="CM158" s="1433" t="str">
        <f t="shared" si="275"/>
        <v>-</v>
      </c>
      <c r="CN158" s="1431" t="str">
        <f t="shared" si="275"/>
        <v>-</v>
      </c>
      <c r="CO158" s="1431" t="str">
        <f t="shared" si="275"/>
        <v>-</v>
      </c>
      <c r="CP158" s="1431" t="str">
        <f t="shared" si="275"/>
        <v>-</v>
      </c>
      <c r="CQ158" s="1431" t="str">
        <f t="shared" si="275"/>
        <v>-</v>
      </c>
      <c r="CR158" s="1434" t="str">
        <f t="shared" si="275"/>
        <v>-</v>
      </c>
      <c r="CS158" s="1378"/>
      <c r="CT158" s="1428" t="str">
        <f t="shared" si="191"/>
        <v>Rev</v>
      </c>
      <c r="CU158" s="1429" t="str">
        <f t="shared" si="192"/>
        <v>[Service]</v>
      </c>
      <c r="CV158" s="1429" t="str">
        <f t="shared" si="193"/>
        <v>[Price]</v>
      </c>
      <c r="CW158" s="1435" t="str">
        <f t="shared" si="212"/>
        <v>-</v>
      </c>
      <c r="CX158" s="1431" t="str">
        <f t="shared" si="213"/>
        <v>-</v>
      </c>
      <c r="CY158" s="1431" t="str">
        <f t="shared" si="214"/>
        <v>-</v>
      </c>
      <c r="CZ158" s="1433" t="str">
        <f t="shared" si="215"/>
        <v>-</v>
      </c>
      <c r="DA158" s="1431" t="str">
        <f t="shared" si="216"/>
        <v>-</v>
      </c>
      <c r="DB158" s="1431" t="str">
        <f t="shared" si="217"/>
        <v>-</v>
      </c>
      <c r="DC158" s="1431" t="str">
        <f t="shared" si="218"/>
        <v>-</v>
      </c>
      <c r="DD158" s="1431" t="str">
        <f t="shared" si="219"/>
        <v>-</v>
      </c>
      <c r="DE158" s="1434" t="str">
        <f t="shared" si="220"/>
        <v>-</v>
      </c>
      <c r="DF158" s="1378"/>
      <c r="DG158" s="1428" t="str">
        <f t="shared" si="232"/>
        <v>Rev</v>
      </c>
      <c r="DH158" s="1429" t="str">
        <f t="shared" si="232"/>
        <v>[Service]</v>
      </c>
      <c r="DI158" s="1429" t="str">
        <f t="shared" si="232"/>
        <v>[Price]</v>
      </c>
      <c r="DJ158" s="1435" t="str">
        <f t="shared" si="221"/>
        <v>-</v>
      </c>
      <c r="DK158" s="1431" t="str">
        <f t="shared" si="222"/>
        <v>-</v>
      </c>
      <c r="DL158" s="1431" t="str">
        <f t="shared" si="223"/>
        <v>-</v>
      </c>
      <c r="DM158" s="1433" t="str">
        <f t="shared" si="224"/>
        <v>-</v>
      </c>
      <c r="DN158" s="1431" t="str">
        <f t="shared" si="225"/>
        <v>-</v>
      </c>
      <c r="DO158" s="1431" t="str">
        <f t="shared" si="226"/>
        <v>-</v>
      </c>
      <c r="DP158" s="1431" t="str">
        <f t="shared" si="227"/>
        <v>-</v>
      </c>
      <c r="DQ158" s="1434" t="str">
        <f t="shared" si="228"/>
        <v>-</v>
      </c>
    </row>
    <row r="159" spans="4:121">
      <c r="D159" s="70">
        <f>D156+1</f>
        <v>31</v>
      </c>
      <c r="E159" s="713" t="s">
        <v>44</v>
      </c>
      <c r="F159" s="789" t="s">
        <v>27</v>
      </c>
      <c r="G159" s="789"/>
      <c r="H159" s="789"/>
      <c r="I159" s="781" t="s">
        <v>318</v>
      </c>
      <c r="J159" s="781" t="s">
        <v>345</v>
      </c>
      <c r="K159" s="714"/>
      <c r="L159" s="715"/>
      <c r="M159" s="715"/>
      <c r="N159" s="716"/>
      <c r="O159" s="783"/>
      <c r="P159" s="784"/>
      <c r="Q159" s="783"/>
      <c r="R159" s="783"/>
      <c r="S159" s="783"/>
      <c r="T159" s="783"/>
      <c r="U159" s="783"/>
      <c r="V159" s="783"/>
      <c r="W159" s="783"/>
      <c r="X159" s="784"/>
      <c r="Y159" s="783"/>
      <c r="Z159" s="783"/>
      <c r="AA159" s="783"/>
      <c r="AB159" s="783"/>
      <c r="AC159" s="784"/>
      <c r="AD159" s="783"/>
      <c r="AE159" s="783"/>
      <c r="AF159" s="783"/>
      <c r="AG159" s="785"/>
      <c r="AI159" s="702"/>
      <c r="AJ159" s="717" t="str">
        <f t="shared" ref="AJ159:AS159" si="276">IFERROR((X159-W159)/W159,"")</f>
        <v/>
      </c>
      <c r="AK159" s="718" t="str">
        <f t="shared" si="276"/>
        <v/>
      </c>
      <c r="AL159" s="718" t="str">
        <f t="shared" si="276"/>
        <v/>
      </c>
      <c r="AM159" s="718" t="str">
        <f t="shared" si="276"/>
        <v/>
      </c>
      <c r="AN159" s="718" t="str">
        <f t="shared" si="276"/>
        <v/>
      </c>
      <c r="AO159" s="719" t="str">
        <f t="shared" si="276"/>
        <v/>
      </c>
      <c r="AP159" s="494" t="str">
        <f t="shared" si="276"/>
        <v/>
      </c>
      <c r="AQ159" s="494" t="str">
        <f t="shared" si="276"/>
        <v/>
      </c>
      <c r="AR159" s="494" t="str">
        <f t="shared" si="276"/>
        <v/>
      </c>
      <c r="AS159" s="720" t="str">
        <f t="shared" si="276"/>
        <v/>
      </c>
      <c r="AU159" s="1369"/>
      <c r="AW159" s="1412" t="str">
        <f t="shared" si="230"/>
        <v>Price</v>
      </c>
      <c r="AX159" s="1413" t="str">
        <f t="shared" si="230"/>
        <v>[Service]</v>
      </c>
      <c r="AY159" s="1414" t="str">
        <f t="shared" si="194"/>
        <v>[Price]</v>
      </c>
      <c r="AZ159" s="1415" t="str">
        <f t="shared" si="259"/>
        <v>-</v>
      </c>
      <c r="BA159" s="1415" t="str">
        <f t="shared" si="259"/>
        <v>-</v>
      </c>
      <c r="BB159" s="1415" t="str">
        <f t="shared" si="259"/>
        <v>-</v>
      </c>
      <c r="BC159" s="1415" t="str">
        <f t="shared" si="259"/>
        <v>-</v>
      </c>
      <c r="BD159" s="1415" t="str">
        <f t="shared" si="196"/>
        <v>-</v>
      </c>
      <c r="BE159" s="1415" t="str">
        <f t="shared" si="197"/>
        <v>-</v>
      </c>
      <c r="BF159" s="1415" t="str">
        <f t="shared" si="198"/>
        <v>-</v>
      </c>
      <c r="BG159" s="1416" t="str">
        <f t="shared" si="199"/>
        <v>-</v>
      </c>
      <c r="BH159" s="1417" t="str">
        <f t="shared" si="200"/>
        <v>-</v>
      </c>
      <c r="BI159" s="1417" t="str">
        <f t="shared" si="201"/>
        <v>-</v>
      </c>
      <c r="BJ159" s="1417" t="str">
        <f t="shared" si="202"/>
        <v>-</v>
      </c>
      <c r="BK159" s="1417" t="str">
        <f t="shared" si="203"/>
        <v>-</v>
      </c>
      <c r="BL159" s="1418" t="str">
        <f t="shared" si="204"/>
        <v>-</v>
      </c>
      <c r="BM159" s="1417" t="str">
        <f t="shared" si="205"/>
        <v>-</v>
      </c>
      <c r="BN159" s="1417" t="str">
        <f t="shared" si="206"/>
        <v>-</v>
      </c>
      <c r="BO159" s="1417" t="str">
        <f t="shared" si="207"/>
        <v>-</v>
      </c>
      <c r="BP159" s="1417" t="str">
        <f t="shared" si="208"/>
        <v>-</v>
      </c>
      <c r="BQ159" s="1419" t="str">
        <f t="shared" si="209"/>
        <v>-</v>
      </c>
      <c r="BR159" s="1378"/>
      <c r="BS159" s="1420"/>
      <c r="BT159" s="1421"/>
      <c r="BU159" s="1422"/>
      <c r="BV159" s="1423"/>
      <c r="BW159" s="1378"/>
      <c r="BX159" s="1412" t="str">
        <f t="shared" si="210"/>
        <v>Price</v>
      </c>
      <c r="BY159" s="1413" t="str">
        <f t="shared" si="255"/>
        <v>[Service]</v>
      </c>
      <c r="BZ159" s="1414" t="str">
        <f t="shared" si="256"/>
        <v>[Price]</v>
      </c>
      <c r="CA159" s="1424" t="str">
        <f>IFERROR((S159/R159-1)*(R161/R$13),"-")</f>
        <v>-</v>
      </c>
      <c r="CB159" s="1415" t="str">
        <f>IFERROR((T159/S159-1)*(S161/S$13),"-")</f>
        <v>-</v>
      </c>
      <c r="CC159" s="1415" t="str">
        <f>IFERROR((U159/T159-1)*(T161/T$13),"-")</f>
        <v>-</v>
      </c>
      <c r="CD159" s="1415" t="str">
        <f>IFERROR((V159/U159-1)*(U161/U$13),"-")</f>
        <v>-</v>
      </c>
      <c r="CE159" s="1415" t="str">
        <f t="shared" ref="CE159:CR159" si="277">IFERROR((T159/S159-1)*(S161/S$13),"-")</f>
        <v>-</v>
      </c>
      <c r="CF159" s="1415" t="str">
        <f t="shared" si="277"/>
        <v>-</v>
      </c>
      <c r="CG159" s="1415" t="str">
        <f t="shared" si="277"/>
        <v>-</v>
      </c>
      <c r="CH159" s="1425" t="str">
        <f t="shared" si="277"/>
        <v>-</v>
      </c>
      <c r="CI159" s="1417" t="str">
        <f t="shared" si="277"/>
        <v>-</v>
      </c>
      <c r="CJ159" s="1417" t="str">
        <f t="shared" si="277"/>
        <v>-</v>
      </c>
      <c r="CK159" s="1417" t="str">
        <f t="shared" si="277"/>
        <v>-</v>
      </c>
      <c r="CL159" s="1417" t="str">
        <f t="shared" si="277"/>
        <v>-</v>
      </c>
      <c r="CM159" s="1418" t="str">
        <f t="shared" si="277"/>
        <v>-</v>
      </c>
      <c r="CN159" s="1417" t="str">
        <f t="shared" si="277"/>
        <v>-</v>
      </c>
      <c r="CO159" s="1417" t="str">
        <f t="shared" si="277"/>
        <v>-</v>
      </c>
      <c r="CP159" s="1417" t="str">
        <f t="shared" si="277"/>
        <v>-</v>
      </c>
      <c r="CQ159" s="1417" t="str">
        <f t="shared" si="277"/>
        <v>-</v>
      </c>
      <c r="CR159" s="1419" t="str">
        <f t="shared" si="277"/>
        <v>-</v>
      </c>
      <c r="CS159" s="1378"/>
      <c r="CT159" s="1412" t="str">
        <f t="shared" si="191"/>
        <v>Price</v>
      </c>
      <c r="CU159" s="1413" t="str">
        <f t="shared" si="192"/>
        <v>[Service]</v>
      </c>
      <c r="CV159" s="1426" t="str">
        <f t="shared" si="193"/>
        <v>[Price]</v>
      </c>
      <c r="CW159" s="1427" t="str">
        <f t="shared" si="212"/>
        <v>-</v>
      </c>
      <c r="CX159" s="1417" t="str">
        <f t="shared" si="213"/>
        <v>-</v>
      </c>
      <c r="CY159" s="1417" t="str">
        <f t="shared" si="214"/>
        <v>-</v>
      </c>
      <c r="CZ159" s="1418" t="str">
        <f t="shared" si="215"/>
        <v>-</v>
      </c>
      <c r="DA159" s="1417" t="str">
        <f t="shared" si="216"/>
        <v>-</v>
      </c>
      <c r="DB159" s="1417" t="str">
        <f t="shared" si="217"/>
        <v>-</v>
      </c>
      <c r="DC159" s="1417" t="str">
        <f t="shared" si="218"/>
        <v>-</v>
      </c>
      <c r="DD159" s="1417" t="str">
        <f t="shared" si="219"/>
        <v>-</v>
      </c>
      <c r="DE159" s="1419" t="str">
        <f t="shared" si="220"/>
        <v>-</v>
      </c>
      <c r="DF159" s="1378"/>
      <c r="DG159" s="1412" t="str">
        <f t="shared" si="232"/>
        <v>Price</v>
      </c>
      <c r="DH159" s="1413" t="str">
        <f t="shared" si="232"/>
        <v>[Service]</v>
      </c>
      <c r="DI159" s="1426" t="str">
        <f t="shared" si="232"/>
        <v>[Price]</v>
      </c>
      <c r="DJ159" s="1427" t="str">
        <f t="shared" si="221"/>
        <v>-</v>
      </c>
      <c r="DK159" s="1417" t="str">
        <f t="shared" si="222"/>
        <v>-</v>
      </c>
      <c r="DL159" s="1417" t="str">
        <f t="shared" si="223"/>
        <v>-</v>
      </c>
      <c r="DM159" s="1418" t="str">
        <f t="shared" si="224"/>
        <v>-</v>
      </c>
      <c r="DN159" s="1417" t="str">
        <f t="shared" si="225"/>
        <v>-</v>
      </c>
      <c r="DO159" s="1417" t="str">
        <f t="shared" si="226"/>
        <v>-</v>
      </c>
      <c r="DP159" s="1417" t="str">
        <f t="shared" si="227"/>
        <v>-</v>
      </c>
      <c r="DQ159" s="1419" t="str">
        <f t="shared" si="228"/>
        <v>-</v>
      </c>
    </row>
    <row r="160" spans="4:121">
      <c r="E160" s="742" t="s">
        <v>45</v>
      </c>
      <c r="F160" s="722" t="str">
        <f>+F159</f>
        <v>[Service]</v>
      </c>
      <c r="G160" s="723">
        <f>+G159</f>
        <v>0</v>
      </c>
      <c r="H160" s="723">
        <f>+H159</f>
        <v>0</v>
      </c>
      <c r="I160" s="724" t="str">
        <f>+I159</f>
        <v>[Price]</v>
      </c>
      <c r="J160" s="782" t="s">
        <v>322</v>
      </c>
      <c r="K160" s="725"/>
      <c r="L160" s="726"/>
      <c r="M160" s="726"/>
      <c r="N160" s="727"/>
      <c r="O160" s="786"/>
      <c r="P160" s="787"/>
      <c r="Q160" s="786"/>
      <c r="R160" s="786"/>
      <c r="S160" s="786"/>
      <c r="T160" s="786"/>
      <c r="U160" s="786"/>
      <c r="V160" s="786"/>
      <c r="W160" s="786"/>
      <c r="X160" s="787"/>
      <c r="Y160" s="786"/>
      <c r="Z160" s="786"/>
      <c r="AA160" s="786"/>
      <c r="AB160" s="786"/>
      <c r="AC160" s="787"/>
      <c r="AD160" s="786"/>
      <c r="AE160" s="786"/>
      <c r="AF160" s="786"/>
      <c r="AG160" s="788"/>
      <c r="AH160" s="823"/>
      <c r="AI160" s="702"/>
      <c r="AJ160" s="728"/>
      <c r="AK160" s="729"/>
      <c r="AL160" s="729"/>
      <c r="AM160" s="729"/>
      <c r="AN160" s="729"/>
      <c r="AO160" s="730"/>
      <c r="AP160" s="74"/>
      <c r="AQ160" s="74"/>
      <c r="AR160" s="74"/>
      <c r="AS160" s="106"/>
      <c r="AW160" s="1392" t="str">
        <f t="shared" si="230"/>
        <v>Qty</v>
      </c>
      <c r="AX160" s="1393" t="str">
        <f t="shared" si="230"/>
        <v>[Service]</v>
      </c>
      <c r="AY160" s="1394" t="str">
        <f t="shared" si="194"/>
        <v>[Price]</v>
      </c>
      <c r="AZ160" s="1395" t="str">
        <f t="shared" si="259"/>
        <v>-</v>
      </c>
      <c r="BA160" s="1395" t="str">
        <f t="shared" si="259"/>
        <v>-</v>
      </c>
      <c r="BB160" s="1395" t="str">
        <f t="shared" si="259"/>
        <v>-</v>
      </c>
      <c r="BC160" s="1395" t="str">
        <f t="shared" si="259"/>
        <v>-</v>
      </c>
      <c r="BD160" s="1395" t="str">
        <f t="shared" si="196"/>
        <v>-</v>
      </c>
      <c r="BE160" s="1395" t="str">
        <f t="shared" si="197"/>
        <v>-</v>
      </c>
      <c r="BF160" s="1395" t="str">
        <f t="shared" si="198"/>
        <v>-</v>
      </c>
      <c r="BG160" s="1396" t="str">
        <f t="shared" si="199"/>
        <v>-</v>
      </c>
      <c r="BH160" s="1395" t="str">
        <f t="shared" si="200"/>
        <v>-</v>
      </c>
      <c r="BI160" s="1395" t="str">
        <f t="shared" si="201"/>
        <v>-</v>
      </c>
      <c r="BJ160" s="1395" t="str">
        <f t="shared" si="202"/>
        <v>-</v>
      </c>
      <c r="BK160" s="1395" t="str">
        <f t="shared" si="203"/>
        <v>-</v>
      </c>
      <c r="BL160" s="1397" t="str">
        <f t="shared" si="204"/>
        <v>-</v>
      </c>
      <c r="BM160" s="1395" t="str">
        <f t="shared" si="205"/>
        <v>-</v>
      </c>
      <c r="BN160" s="1395" t="str">
        <f t="shared" si="206"/>
        <v>-</v>
      </c>
      <c r="BO160" s="1395" t="str">
        <f t="shared" si="207"/>
        <v>-</v>
      </c>
      <c r="BP160" s="1395" t="str">
        <f t="shared" si="208"/>
        <v>-</v>
      </c>
      <c r="BQ160" s="1398" t="str">
        <f t="shared" si="209"/>
        <v>-</v>
      </c>
      <c r="BR160" s="1378"/>
      <c r="BS160" s="1329"/>
      <c r="BT160" s="1399"/>
      <c r="BU160" s="1331"/>
      <c r="BV160" s="1400"/>
      <c r="BW160" s="1378"/>
      <c r="BX160" s="1392" t="str">
        <f t="shared" si="210"/>
        <v>Qty</v>
      </c>
      <c r="BY160" s="1393" t="str">
        <f t="shared" si="255"/>
        <v>[Service]</v>
      </c>
      <c r="BZ160" s="1394" t="str">
        <f t="shared" si="256"/>
        <v>[Price]</v>
      </c>
      <c r="CA160" s="1401" t="str">
        <f>IFERROR((S160/R160-1)*(R161/R$13),"-")</f>
        <v>-</v>
      </c>
      <c r="CB160" s="1395" t="str">
        <f>IFERROR((T160/S160-1)*(S161/S$13),"-")</f>
        <v>-</v>
      </c>
      <c r="CC160" s="1395" t="str">
        <f>IFERROR((U160/T160-1)*(T161/T$13),"-")</f>
        <v>-</v>
      </c>
      <c r="CD160" s="1395" t="str">
        <f>IFERROR((V160/U160-1)*(U161/U$13),"-")</f>
        <v>-</v>
      </c>
      <c r="CE160" s="1395" t="str">
        <f t="shared" ref="CE160:CR160" si="278">IFERROR((T160/S160-1)*(S161/S$13),"-")</f>
        <v>-</v>
      </c>
      <c r="CF160" s="1395" t="str">
        <f t="shared" si="278"/>
        <v>-</v>
      </c>
      <c r="CG160" s="1395" t="str">
        <f t="shared" si="278"/>
        <v>-</v>
      </c>
      <c r="CH160" s="1397" t="str">
        <f t="shared" si="278"/>
        <v>-</v>
      </c>
      <c r="CI160" s="1395" t="str">
        <f t="shared" si="278"/>
        <v>-</v>
      </c>
      <c r="CJ160" s="1395" t="str">
        <f t="shared" si="278"/>
        <v>-</v>
      </c>
      <c r="CK160" s="1395" t="str">
        <f t="shared" si="278"/>
        <v>-</v>
      </c>
      <c r="CL160" s="1395" t="str">
        <f t="shared" si="278"/>
        <v>-</v>
      </c>
      <c r="CM160" s="1397" t="str">
        <f t="shared" si="278"/>
        <v>-</v>
      </c>
      <c r="CN160" s="1395" t="str">
        <f t="shared" si="278"/>
        <v>-</v>
      </c>
      <c r="CO160" s="1395" t="str">
        <f t="shared" si="278"/>
        <v>-</v>
      </c>
      <c r="CP160" s="1395" t="str">
        <f t="shared" si="278"/>
        <v>-</v>
      </c>
      <c r="CQ160" s="1395" t="str">
        <f t="shared" si="278"/>
        <v>-</v>
      </c>
      <c r="CR160" s="1398" t="str">
        <f t="shared" si="278"/>
        <v>-</v>
      </c>
      <c r="CS160" s="1378"/>
      <c r="CT160" s="1392" t="str">
        <f t="shared" si="191"/>
        <v>Qty</v>
      </c>
      <c r="CU160" s="1393" t="str">
        <f t="shared" si="192"/>
        <v>[Service]</v>
      </c>
      <c r="CV160" s="1393" t="str">
        <f t="shared" si="193"/>
        <v>[Price]</v>
      </c>
      <c r="CW160" s="1401" t="str">
        <f t="shared" si="212"/>
        <v>-</v>
      </c>
      <c r="CX160" s="1395" t="str">
        <f t="shared" si="213"/>
        <v>-</v>
      </c>
      <c r="CY160" s="1395" t="str">
        <f t="shared" si="214"/>
        <v>-</v>
      </c>
      <c r="CZ160" s="1397" t="str">
        <f t="shared" si="215"/>
        <v>-</v>
      </c>
      <c r="DA160" s="1395" t="str">
        <f t="shared" si="216"/>
        <v>-</v>
      </c>
      <c r="DB160" s="1395" t="str">
        <f t="shared" si="217"/>
        <v>-</v>
      </c>
      <c r="DC160" s="1395" t="str">
        <f t="shared" si="218"/>
        <v>-</v>
      </c>
      <c r="DD160" s="1395" t="str">
        <f t="shared" si="219"/>
        <v>-</v>
      </c>
      <c r="DE160" s="1398" t="str">
        <f t="shared" si="220"/>
        <v>-</v>
      </c>
      <c r="DF160" s="1378"/>
      <c r="DG160" s="1392" t="str">
        <f t="shared" si="232"/>
        <v>Qty</v>
      </c>
      <c r="DH160" s="1393" t="str">
        <f t="shared" si="232"/>
        <v>[Service]</v>
      </c>
      <c r="DI160" s="1393" t="str">
        <f t="shared" si="232"/>
        <v>[Price]</v>
      </c>
      <c r="DJ160" s="1401" t="str">
        <f t="shared" si="221"/>
        <v>-</v>
      </c>
      <c r="DK160" s="1395" t="str">
        <f t="shared" si="222"/>
        <v>-</v>
      </c>
      <c r="DL160" s="1395" t="str">
        <f t="shared" si="223"/>
        <v>-</v>
      </c>
      <c r="DM160" s="1397" t="str">
        <f t="shared" si="224"/>
        <v>-</v>
      </c>
      <c r="DN160" s="1395" t="str">
        <f t="shared" si="225"/>
        <v>-</v>
      </c>
      <c r="DO160" s="1395" t="str">
        <f t="shared" si="226"/>
        <v>-</v>
      </c>
      <c r="DP160" s="1395" t="str">
        <f t="shared" si="227"/>
        <v>-</v>
      </c>
      <c r="DQ160" s="1398" t="str">
        <f t="shared" si="228"/>
        <v>-</v>
      </c>
    </row>
    <row r="161" spans="4:121" ht="12.75" thickBot="1">
      <c r="E161" s="743" t="s">
        <v>46</v>
      </c>
      <c r="F161" s="732" t="str">
        <f>+F159</f>
        <v>[Service]</v>
      </c>
      <c r="G161" s="733">
        <f>+G159</f>
        <v>0</v>
      </c>
      <c r="H161" s="733">
        <f>+H159</f>
        <v>0</v>
      </c>
      <c r="I161" s="734" t="str">
        <f>+I159</f>
        <v>[Price]</v>
      </c>
      <c r="J161" s="735" t="s">
        <v>344</v>
      </c>
      <c r="K161" s="736">
        <f t="shared" ref="K161:AG161" si="279">K159*K160/10^6</f>
        <v>0</v>
      </c>
      <c r="L161" s="737">
        <f t="shared" si="279"/>
        <v>0</v>
      </c>
      <c r="M161" s="737">
        <f t="shared" si="279"/>
        <v>0</v>
      </c>
      <c r="N161" s="738">
        <f t="shared" si="279"/>
        <v>0</v>
      </c>
      <c r="O161" s="737">
        <f t="shared" si="279"/>
        <v>0</v>
      </c>
      <c r="P161" s="738">
        <f t="shared" si="279"/>
        <v>0</v>
      </c>
      <c r="Q161" s="737">
        <f t="shared" si="279"/>
        <v>0</v>
      </c>
      <c r="R161" s="737">
        <f t="shared" si="279"/>
        <v>0</v>
      </c>
      <c r="S161" s="737">
        <f t="shared" si="279"/>
        <v>0</v>
      </c>
      <c r="T161" s="737">
        <f t="shared" si="279"/>
        <v>0</v>
      </c>
      <c r="U161" s="737">
        <f t="shared" si="279"/>
        <v>0</v>
      </c>
      <c r="V161" s="737">
        <f t="shared" si="279"/>
        <v>0</v>
      </c>
      <c r="W161" s="737">
        <f t="shared" si="279"/>
        <v>0</v>
      </c>
      <c r="X161" s="738">
        <f t="shared" si="279"/>
        <v>0</v>
      </c>
      <c r="Y161" s="737">
        <f t="shared" si="279"/>
        <v>0</v>
      </c>
      <c r="Z161" s="737">
        <f t="shared" si="279"/>
        <v>0</v>
      </c>
      <c r="AA161" s="737">
        <f t="shared" si="279"/>
        <v>0</v>
      </c>
      <c r="AB161" s="737">
        <f t="shared" si="279"/>
        <v>0</v>
      </c>
      <c r="AC161" s="738">
        <f t="shared" si="279"/>
        <v>0</v>
      </c>
      <c r="AD161" s="737">
        <f t="shared" si="279"/>
        <v>0</v>
      </c>
      <c r="AE161" s="737">
        <f t="shared" si="279"/>
        <v>0</v>
      </c>
      <c r="AF161" s="737">
        <f t="shared" si="279"/>
        <v>0</v>
      </c>
      <c r="AG161" s="739">
        <f t="shared" si="279"/>
        <v>0</v>
      </c>
      <c r="AH161" s="823"/>
      <c r="AI161" s="744"/>
      <c r="AJ161" s="741"/>
      <c r="AK161" s="729"/>
      <c r="AL161" s="729"/>
      <c r="AM161" s="729"/>
      <c r="AN161" s="729"/>
      <c r="AO161" s="730"/>
      <c r="AP161" s="74"/>
      <c r="AQ161" s="74"/>
      <c r="AR161" s="74"/>
      <c r="AS161" s="106"/>
      <c r="AW161" s="1428" t="str">
        <f t="shared" si="230"/>
        <v>Rev</v>
      </c>
      <c r="AX161" s="1429" t="str">
        <f t="shared" si="230"/>
        <v>[Service]</v>
      </c>
      <c r="AY161" s="1430" t="str">
        <f t="shared" si="194"/>
        <v>[Price]</v>
      </c>
      <c r="AZ161" s="1431" t="str">
        <f t="shared" si="259"/>
        <v>-</v>
      </c>
      <c r="BA161" s="1431" t="str">
        <f t="shared" si="259"/>
        <v>-</v>
      </c>
      <c r="BB161" s="1431" t="str">
        <f t="shared" si="259"/>
        <v>-</v>
      </c>
      <c r="BC161" s="1431" t="str">
        <f t="shared" si="259"/>
        <v>-</v>
      </c>
      <c r="BD161" s="1431" t="str">
        <f t="shared" si="196"/>
        <v>-</v>
      </c>
      <c r="BE161" s="1431" t="str">
        <f t="shared" si="197"/>
        <v>-</v>
      </c>
      <c r="BF161" s="1431" t="str">
        <f t="shared" si="198"/>
        <v>-</v>
      </c>
      <c r="BG161" s="1432" t="str">
        <f t="shared" si="199"/>
        <v>-</v>
      </c>
      <c r="BH161" s="1431" t="str">
        <f t="shared" si="200"/>
        <v>-</v>
      </c>
      <c r="BI161" s="1431" t="str">
        <f t="shared" si="201"/>
        <v>-</v>
      </c>
      <c r="BJ161" s="1431" t="str">
        <f t="shared" si="202"/>
        <v>-</v>
      </c>
      <c r="BK161" s="1431" t="str">
        <f t="shared" si="203"/>
        <v>-</v>
      </c>
      <c r="BL161" s="1433" t="str">
        <f t="shared" si="204"/>
        <v>-</v>
      </c>
      <c r="BM161" s="1431" t="str">
        <f t="shared" si="205"/>
        <v>-</v>
      </c>
      <c r="BN161" s="1431" t="str">
        <f t="shared" si="206"/>
        <v>-</v>
      </c>
      <c r="BO161" s="1431" t="str">
        <f t="shared" si="207"/>
        <v>-</v>
      </c>
      <c r="BP161" s="1431" t="str">
        <f t="shared" si="208"/>
        <v>-</v>
      </c>
      <c r="BQ161" s="1434" t="str">
        <f t="shared" si="209"/>
        <v>-</v>
      </c>
      <c r="BR161" s="1378"/>
      <c r="BS161" s="1407"/>
      <c r="BT161" s="1408"/>
      <c r="BU161" s="1409"/>
      <c r="BV161" s="1410"/>
      <c r="BW161" s="1378"/>
      <c r="BX161" s="1428" t="str">
        <f t="shared" si="210"/>
        <v>Rev</v>
      </c>
      <c r="BY161" s="1429" t="str">
        <f t="shared" si="255"/>
        <v>[Service]</v>
      </c>
      <c r="BZ161" s="1430" t="str">
        <f t="shared" si="256"/>
        <v>[Price]</v>
      </c>
      <c r="CA161" s="1435" t="str">
        <f>IFERROR((S161/R161-1)*(R161/R$13),"-")</f>
        <v>-</v>
      </c>
      <c r="CB161" s="1431" t="str">
        <f>IFERROR((T161/S161-1)*(S161/S$13),"-")</f>
        <v>-</v>
      </c>
      <c r="CC161" s="1431" t="str">
        <f>IFERROR((U161/T161-1)*(T161/T$13),"-")</f>
        <v>-</v>
      </c>
      <c r="CD161" s="1431" t="str">
        <f>IFERROR((V161/U161-1)*(U161/U$13),"-")</f>
        <v>-</v>
      </c>
      <c r="CE161" s="1431" t="str">
        <f t="shared" ref="CE161:CR161" si="280">IFERROR((T161/S161-1)*(S161/S$13),"-")</f>
        <v>-</v>
      </c>
      <c r="CF161" s="1431" t="str">
        <f t="shared" si="280"/>
        <v>-</v>
      </c>
      <c r="CG161" s="1431" t="str">
        <f t="shared" si="280"/>
        <v>-</v>
      </c>
      <c r="CH161" s="1433" t="str">
        <f t="shared" si="280"/>
        <v>-</v>
      </c>
      <c r="CI161" s="1431" t="str">
        <f t="shared" si="280"/>
        <v>-</v>
      </c>
      <c r="CJ161" s="1431" t="str">
        <f t="shared" si="280"/>
        <v>-</v>
      </c>
      <c r="CK161" s="1431" t="str">
        <f t="shared" si="280"/>
        <v>-</v>
      </c>
      <c r="CL161" s="1431" t="str">
        <f t="shared" si="280"/>
        <v>-</v>
      </c>
      <c r="CM161" s="1433" t="str">
        <f t="shared" si="280"/>
        <v>-</v>
      </c>
      <c r="CN161" s="1431" t="str">
        <f t="shared" si="280"/>
        <v>-</v>
      </c>
      <c r="CO161" s="1431" t="str">
        <f t="shared" si="280"/>
        <v>-</v>
      </c>
      <c r="CP161" s="1431" t="str">
        <f t="shared" si="280"/>
        <v>-</v>
      </c>
      <c r="CQ161" s="1431" t="str">
        <f t="shared" si="280"/>
        <v>-</v>
      </c>
      <c r="CR161" s="1434" t="str">
        <f t="shared" si="280"/>
        <v>-</v>
      </c>
      <c r="CS161" s="1378"/>
      <c r="CT161" s="1428" t="str">
        <f t="shared" si="191"/>
        <v>Rev</v>
      </c>
      <c r="CU161" s="1429" t="str">
        <f t="shared" si="192"/>
        <v>[Service]</v>
      </c>
      <c r="CV161" s="1429" t="str">
        <f t="shared" si="193"/>
        <v>[Price]</v>
      </c>
      <c r="CW161" s="1435" t="str">
        <f t="shared" si="212"/>
        <v>-</v>
      </c>
      <c r="CX161" s="1431" t="str">
        <f t="shared" si="213"/>
        <v>-</v>
      </c>
      <c r="CY161" s="1431" t="str">
        <f t="shared" si="214"/>
        <v>-</v>
      </c>
      <c r="CZ161" s="1433" t="str">
        <f t="shared" si="215"/>
        <v>-</v>
      </c>
      <c r="DA161" s="1431" t="str">
        <f t="shared" si="216"/>
        <v>-</v>
      </c>
      <c r="DB161" s="1431" t="str">
        <f t="shared" si="217"/>
        <v>-</v>
      </c>
      <c r="DC161" s="1431" t="str">
        <f t="shared" si="218"/>
        <v>-</v>
      </c>
      <c r="DD161" s="1431" t="str">
        <f t="shared" si="219"/>
        <v>-</v>
      </c>
      <c r="DE161" s="1434" t="str">
        <f t="shared" si="220"/>
        <v>-</v>
      </c>
      <c r="DF161" s="1378"/>
      <c r="DG161" s="1428" t="str">
        <f t="shared" si="232"/>
        <v>Rev</v>
      </c>
      <c r="DH161" s="1429" t="str">
        <f t="shared" si="232"/>
        <v>[Service]</v>
      </c>
      <c r="DI161" s="1429" t="str">
        <f t="shared" si="232"/>
        <v>[Price]</v>
      </c>
      <c r="DJ161" s="1435" t="str">
        <f t="shared" si="221"/>
        <v>-</v>
      </c>
      <c r="DK161" s="1431" t="str">
        <f t="shared" si="222"/>
        <v>-</v>
      </c>
      <c r="DL161" s="1431" t="str">
        <f t="shared" si="223"/>
        <v>-</v>
      </c>
      <c r="DM161" s="1433" t="str">
        <f t="shared" si="224"/>
        <v>-</v>
      </c>
      <c r="DN161" s="1431" t="str">
        <f t="shared" si="225"/>
        <v>-</v>
      </c>
      <c r="DO161" s="1431" t="str">
        <f t="shared" si="226"/>
        <v>-</v>
      </c>
      <c r="DP161" s="1431" t="str">
        <f t="shared" si="227"/>
        <v>-</v>
      </c>
      <c r="DQ161" s="1434" t="str">
        <f t="shared" si="228"/>
        <v>-</v>
      </c>
    </row>
    <row r="162" spans="4:121">
      <c r="D162" s="70">
        <f>D159+1</f>
        <v>32</v>
      </c>
      <c r="E162" s="713" t="s">
        <v>44</v>
      </c>
      <c r="F162" s="789" t="s">
        <v>27</v>
      </c>
      <c r="G162" s="789"/>
      <c r="H162" s="789"/>
      <c r="I162" s="781" t="s">
        <v>318</v>
      </c>
      <c r="J162" s="781" t="s">
        <v>345</v>
      </c>
      <c r="K162" s="714"/>
      <c r="L162" s="715"/>
      <c r="M162" s="715"/>
      <c r="N162" s="716"/>
      <c r="O162" s="783"/>
      <c r="P162" s="784"/>
      <c r="Q162" s="783"/>
      <c r="R162" s="783"/>
      <c r="S162" s="783"/>
      <c r="T162" s="783"/>
      <c r="U162" s="783"/>
      <c r="V162" s="783"/>
      <c r="W162" s="783"/>
      <c r="X162" s="784"/>
      <c r="Y162" s="783"/>
      <c r="Z162" s="783"/>
      <c r="AA162" s="783"/>
      <c r="AB162" s="783"/>
      <c r="AC162" s="784"/>
      <c r="AD162" s="783"/>
      <c r="AE162" s="783"/>
      <c r="AF162" s="783"/>
      <c r="AG162" s="785"/>
      <c r="AI162" s="702"/>
      <c r="AJ162" s="717" t="str">
        <f t="shared" ref="AJ162:AS162" si="281">IFERROR((X162-W162)/W162,"")</f>
        <v/>
      </c>
      <c r="AK162" s="718" t="str">
        <f t="shared" si="281"/>
        <v/>
      </c>
      <c r="AL162" s="718" t="str">
        <f t="shared" si="281"/>
        <v/>
      </c>
      <c r="AM162" s="718" t="str">
        <f t="shared" si="281"/>
        <v/>
      </c>
      <c r="AN162" s="718" t="str">
        <f t="shared" si="281"/>
        <v/>
      </c>
      <c r="AO162" s="719" t="str">
        <f t="shared" si="281"/>
        <v/>
      </c>
      <c r="AP162" s="494" t="str">
        <f t="shared" si="281"/>
        <v/>
      </c>
      <c r="AQ162" s="494" t="str">
        <f t="shared" si="281"/>
        <v/>
      </c>
      <c r="AR162" s="494" t="str">
        <f t="shared" si="281"/>
        <v/>
      </c>
      <c r="AS162" s="720" t="str">
        <f t="shared" si="281"/>
        <v/>
      </c>
      <c r="AU162" s="1369"/>
      <c r="AW162" s="1412" t="str">
        <f t="shared" si="230"/>
        <v>Price</v>
      </c>
      <c r="AX162" s="1413" t="str">
        <f t="shared" si="230"/>
        <v>[Service]</v>
      </c>
      <c r="AY162" s="1414" t="str">
        <f t="shared" si="194"/>
        <v>[Price]</v>
      </c>
      <c r="AZ162" s="1415" t="str">
        <f t="shared" si="259"/>
        <v>-</v>
      </c>
      <c r="BA162" s="1415" t="str">
        <f t="shared" si="259"/>
        <v>-</v>
      </c>
      <c r="BB162" s="1415" t="str">
        <f t="shared" si="259"/>
        <v>-</v>
      </c>
      <c r="BC162" s="1415" t="str">
        <f t="shared" si="259"/>
        <v>-</v>
      </c>
      <c r="BD162" s="1415" t="str">
        <f t="shared" si="196"/>
        <v>-</v>
      </c>
      <c r="BE162" s="1415" t="str">
        <f t="shared" si="197"/>
        <v>-</v>
      </c>
      <c r="BF162" s="1415" t="str">
        <f t="shared" si="198"/>
        <v>-</v>
      </c>
      <c r="BG162" s="1416" t="str">
        <f t="shared" si="199"/>
        <v>-</v>
      </c>
      <c r="BH162" s="1417" t="str">
        <f t="shared" si="200"/>
        <v>-</v>
      </c>
      <c r="BI162" s="1417" t="str">
        <f t="shared" si="201"/>
        <v>-</v>
      </c>
      <c r="BJ162" s="1417" t="str">
        <f t="shared" si="202"/>
        <v>-</v>
      </c>
      <c r="BK162" s="1417" t="str">
        <f t="shared" si="203"/>
        <v>-</v>
      </c>
      <c r="BL162" s="1418" t="str">
        <f t="shared" si="204"/>
        <v>-</v>
      </c>
      <c r="BM162" s="1417" t="str">
        <f t="shared" si="205"/>
        <v>-</v>
      </c>
      <c r="BN162" s="1417" t="str">
        <f t="shared" si="206"/>
        <v>-</v>
      </c>
      <c r="BO162" s="1417" t="str">
        <f t="shared" si="207"/>
        <v>-</v>
      </c>
      <c r="BP162" s="1417" t="str">
        <f t="shared" si="208"/>
        <v>-</v>
      </c>
      <c r="BQ162" s="1419" t="str">
        <f t="shared" si="209"/>
        <v>-</v>
      </c>
      <c r="BR162" s="1378"/>
      <c r="BS162" s="1420"/>
      <c r="BT162" s="1421"/>
      <c r="BU162" s="1422"/>
      <c r="BV162" s="1423"/>
      <c r="BW162" s="1378"/>
      <c r="BX162" s="1412" t="str">
        <f t="shared" si="210"/>
        <v>Price</v>
      </c>
      <c r="BY162" s="1413" t="str">
        <f t="shared" si="255"/>
        <v>[Service]</v>
      </c>
      <c r="BZ162" s="1414" t="str">
        <f t="shared" si="256"/>
        <v>[Price]</v>
      </c>
      <c r="CA162" s="1424" t="str">
        <f>IFERROR((S162/R162-1)*(R164/R$13),"-")</f>
        <v>-</v>
      </c>
      <c r="CB162" s="1415" t="str">
        <f>IFERROR((T162/S162-1)*(S164/S$13),"-")</f>
        <v>-</v>
      </c>
      <c r="CC162" s="1415" t="str">
        <f>IFERROR((U162/T162-1)*(T164/T$13),"-")</f>
        <v>-</v>
      </c>
      <c r="CD162" s="1415" t="str">
        <f>IFERROR((V162/U162-1)*(U164/U$13),"-")</f>
        <v>-</v>
      </c>
      <c r="CE162" s="1415" t="str">
        <f t="shared" ref="CE162:CR162" si="282">IFERROR((T162/S162-1)*(S164/S$13),"-")</f>
        <v>-</v>
      </c>
      <c r="CF162" s="1415" t="str">
        <f t="shared" si="282"/>
        <v>-</v>
      </c>
      <c r="CG162" s="1415" t="str">
        <f t="shared" si="282"/>
        <v>-</v>
      </c>
      <c r="CH162" s="1425" t="str">
        <f t="shared" si="282"/>
        <v>-</v>
      </c>
      <c r="CI162" s="1417" t="str">
        <f t="shared" si="282"/>
        <v>-</v>
      </c>
      <c r="CJ162" s="1417" t="str">
        <f t="shared" si="282"/>
        <v>-</v>
      </c>
      <c r="CK162" s="1417" t="str">
        <f t="shared" si="282"/>
        <v>-</v>
      </c>
      <c r="CL162" s="1417" t="str">
        <f t="shared" si="282"/>
        <v>-</v>
      </c>
      <c r="CM162" s="1418" t="str">
        <f t="shared" si="282"/>
        <v>-</v>
      </c>
      <c r="CN162" s="1417" t="str">
        <f t="shared" si="282"/>
        <v>-</v>
      </c>
      <c r="CO162" s="1417" t="str">
        <f t="shared" si="282"/>
        <v>-</v>
      </c>
      <c r="CP162" s="1417" t="str">
        <f t="shared" si="282"/>
        <v>-</v>
      </c>
      <c r="CQ162" s="1417" t="str">
        <f t="shared" si="282"/>
        <v>-</v>
      </c>
      <c r="CR162" s="1419" t="str">
        <f t="shared" si="282"/>
        <v>-</v>
      </c>
      <c r="CS162" s="1378"/>
      <c r="CT162" s="1412" t="str">
        <f t="shared" si="191"/>
        <v>Price</v>
      </c>
      <c r="CU162" s="1413" t="str">
        <f t="shared" si="192"/>
        <v>[Service]</v>
      </c>
      <c r="CV162" s="1426" t="str">
        <f t="shared" si="193"/>
        <v>[Price]</v>
      </c>
      <c r="CW162" s="1427" t="str">
        <f t="shared" si="212"/>
        <v>-</v>
      </c>
      <c r="CX162" s="1417" t="str">
        <f t="shared" si="213"/>
        <v>-</v>
      </c>
      <c r="CY162" s="1417" t="str">
        <f t="shared" si="214"/>
        <v>-</v>
      </c>
      <c r="CZ162" s="1418" t="str">
        <f t="shared" si="215"/>
        <v>-</v>
      </c>
      <c r="DA162" s="1417" t="str">
        <f t="shared" si="216"/>
        <v>-</v>
      </c>
      <c r="DB162" s="1417" t="str">
        <f t="shared" si="217"/>
        <v>-</v>
      </c>
      <c r="DC162" s="1417" t="str">
        <f t="shared" si="218"/>
        <v>-</v>
      </c>
      <c r="DD162" s="1417" t="str">
        <f t="shared" si="219"/>
        <v>-</v>
      </c>
      <c r="DE162" s="1419" t="str">
        <f t="shared" si="220"/>
        <v>-</v>
      </c>
      <c r="DF162" s="1378"/>
      <c r="DG162" s="1412" t="str">
        <f t="shared" si="232"/>
        <v>Price</v>
      </c>
      <c r="DH162" s="1413" t="str">
        <f t="shared" si="232"/>
        <v>[Service]</v>
      </c>
      <c r="DI162" s="1426" t="str">
        <f t="shared" si="232"/>
        <v>[Price]</v>
      </c>
      <c r="DJ162" s="1427" t="str">
        <f t="shared" si="221"/>
        <v>-</v>
      </c>
      <c r="DK162" s="1417" t="str">
        <f t="shared" si="222"/>
        <v>-</v>
      </c>
      <c r="DL162" s="1417" t="str">
        <f t="shared" si="223"/>
        <v>-</v>
      </c>
      <c r="DM162" s="1418" t="str">
        <f t="shared" si="224"/>
        <v>-</v>
      </c>
      <c r="DN162" s="1417" t="str">
        <f t="shared" si="225"/>
        <v>-</v>
      </c>
      <c r="DO162" s="1417" t="str">
        <f t="shared" si="226"/>
        <v>-</v>
      </c>
      <c r="DP162" s="1417" t="str">
        <f t="shared" si="227"/>
        <v>-</v>
      </c>
      <c r="DQ162" s="1419" t="str">
        <f t="shared" si="228"/>
        <v>-</v>
      </c>
    </row>
    <row r="163" spans="4:121">
      <c r="E163" s="742" t="s">
        <v>45</v>
      </c>
      <c r="F163" s="722" t="str">
        <f>+F162</f>
        <v>[Service]</v>
      </c>
      <c r="G163" s="723">
        <f>+G162</f>
        <v>0</v>
      </c>
      <c r="H163" s="723">
        <f>+H162</f>
        <v>0</v>
      </c>
      <c r="I163" s="724" t="str">
        <f>+I162</f>
        <v>[Price]</v>
      </c>
      <c r="J163" s="782" t="s">
        <v>322</v>
      </c>
      <c r="K163" s="725"/>
      <c r="L163" s="726"/>
      <c r="M163" s="726"/>
      <c r="N163" s="727"/>
      <c r="O163" s="786"/>
      <c r="P163" s="787"/>
      <c r="Q163" s="786"/>
      <c r="R163" s="786"/>
      <c r="S163" s="786"/>
      <c r="T163" s="786"/>
      <c r="U163" s="786"/>
      <c r="V163" s="786"/>
      <c r="W163" s="786"/>
      <c r="X163" s="787"/>
      <c r="Y163" s="786"/>
      <c r="Z163" s="786"/>
      <c r="AA163" s="786"/>
      <c r="AB163" s="786"/>
      <c r="AC163" s="787"/>
      <c r="AD163" s="786"/>
      <c r="AE163" s="786"/>
      <c r="AF163" s="786"/>
      <c r="AG163" s="788"/>
      <c r="AH163" s="823"/>
      <c r="AI163" s="702"/>
      <c r="AJ163" s="728"/>
      <c r="AK163" s="729"/>
      <c r="AL163" s="729"/>
      <c r="AM163" s="729"/>
      <c r="AN163" s="729"/>
      <c r="AO163" s="730"/>
      <c r="AP163" s="74"/>
      <c r="AQ163" s="74"/>
      <c r="AR163" s="74"/>
      <c r="AS163" s="106"/>
      <c r="AW163" s="1392" t="str">
        <f t="shared" si="230"/>
        <v>Qty</v>
      </c>
      <c r="AX163" s="1393" t="str">
        <f t="shared" si="230"/>
        <v>[Service]</v>
      </c>
      <c r="AY163" s="1394" t="str">
        <f t="shared" si="194"/>
        <v>[Price]</v>
      </c>
      <c r="AZ163" s="1395" t="str">
        <f t="shared" si="259"/>
        <v>-</v>
      </c>
      <c r="BA163" s="1395" t="str">
        <f t="shared" si="259"/>
        <v>-</v>
      </c>
      <c r="BB163" s="1395" t="str">
        <f t="shared" si="259"/>
        <v>-</v>
      </c>
      <c r="BC163" s="1395" t="str">
        <f t="shared" si="259"/>
        <v>-</v>
      </c>
      <c r="BD163" s="1395" t="str">
        <f t="shared" si="196"/>
        <v>-</v>
      </c>
      <c r="BE163" s="1395" t="str">
        <f t="shared" si="197"/>
        <v>-</v>
      </c>
      <c r="BF163" s="1395" t="str">
        <f t="shared" si="198"/>
        <v>-</v>
      </c>
      <c r="BG163" s="1396" t="str">
        <f t="shared" si="199"/>
        <v>-</v>
      </c>
      <c r="BH163" s="1395" t="str">
        <f t="shared" si="200"/>
        <v>-</v>
      </c>
      <c r="BI163" s="1395" t="str">
        <f t="shared" si="201"/>
        <v>-</v>
      </c>
      <c r="BJ163" s="1395" t="str">
        <f t="shared" si="202"/>
        <v>-</v>
      </c>
      <c r="BK163" s="1395" t="str">
        <f t="shared" si="203"/>
        <v>-</v>
      </c>
      <c r="BL163" s="1397" t="str">
        <f t="shared" si="204"/>
        <v>-</v>
      </c>
      <c r="BM163" s="1395" t="str">
        <f t="shared" si="205"/>
        <v>-</v>
      </c>
      <c r="BN163" s="1395" t="str">
        <f t="shared" si="206"/>
        <v>-</v>
      </c>
      <c r="BO163" s="1395" t="str">
        <f t="shared" si="207"/>
        <v>-</v>
      </c>
      <c r="BP163" s="1395" t="str">
        <f t="shared" si="208"/>
        <v>-</v>
      </c>
      <c r="BQ163" s="1398" t="str">
        <f t="shared" si="209"/>
        <v>-</v>
      </c>
      <c r="BR163" s="1378"/>
      <c r="BS163" s="1329"/>
      <c r="BT163" s="1399"/>
      <c r="BU163" s="1331"/>
      <c r="BV163" s="1400"/>
      <c r="BW163" s="1378"/>
      <c r="BX163" s="1392" t="str">
        <f t="shared" si="210"/>
        <v>Qty</v>
      </c>
      <c r="BY163" s="1393" t="str">
        <f t="shared" si="255"/>
        <v>[Service]</v>
      </c>
      <c r="BZ163" s="1394" t="str">
        <f t="shared" si="256"/>
        <v>[Price]</v>
      </c>
      <c r="CA163" s="1401" t="str">
        <f>IFERROR((S163/R163-1)*(R164/R$13),"-")</f>
        <v>-</v>
      </c>
      <c r="CB163" s="1395" t="str">
        <f>IFERROR((T163/S163-1)*(S164/S$13),"-")</f>
        <v>-</v>
      </c>
      <c r="CC163" s="1395" t="str">
        <f>IFERROR((U163/T163-1)*(T164/T$13),"-")</f>
        <v>-</v>
      </c>
      <c r="CD163" s="1395" t="str">
        <f>IFERROR((V163/U163-1)*(U164/U$13),"-")</f>
        <v>-</v>
      </c>
      <c r="CE163" s="1395" t="str">
        <f t="shared" ref="CE163:CR163" si="283">IFERROR((T163/S163-1)*(S164/S$13),"-")</f>
        <v>-</v>
      </c>
      <c r="CF163" s="1395" t="str">
        <f t="shared" si="283"/>
        <v>-</v>
      </c>
      <c r="CG163" s="1395" t="str">
        <f t="shared" si="283"/>
        <v>-</v>
      </c>
      <c r="CH163" s="1397" t="str">
        <f t="shared" si="283"/>
        <v>-</v>
      </c>
      <c r="CI163" s="1395" t="str">
        <f t="shared" si="283"/>
        <v>-</v>
      </c>
      <c r="CJ163" s="1395" t="str">
        <f t="shared" si="283"/>
        <v>-</v>
      </c>
      <c r="CK163" s="1395" t="str">
        <f t="shared" si="283"/>
        <v>-</v>
      </c>
      <c r="CL163" s="1395" t="str">
        <f t="shared" si="283"/>
        <v>-</v>
      </c>
      <c r="CM163" s="1397" t="str">
        <f t="shared" si="283"/>
        <v>-</v>
      </c>
      <c r="CN163" s="1395" t="str">
        <f t="shared" si="283"/>
        <v>-</v>
      </c>
      <c r="CO163" s="1395" t="str">
        <f t="shared" si="283"/>
        <v>-</v>
      </c>
      <c r="CP163" s="1395" t="str">
        <f t="shared" si="283"/>
        <v>-</v>
      </c>
      <c r="CQ163" s="1395" t="str">
        <f t="shared" si="283"/>
        <v>-</v>
      </c>
      <c r="CR163" s="1398" t="str">
        <f t="shared" si="283"/>
        <v>-</v>
      </c>
      <c r="CS163" s="1378"/>
      <c r="CT163" s="1392" t="str">
        <f t="shared" si="191"/>
        <v>Qty</v>
      </c>
      <c r="CU163" s="1393" t="str">
        <f t="shared" si="192"/>
        <v>[Service]</v>
      </c>
      <c r="CV163" s="1393" t="str">
        <f t="shared" si="193"/>
        <v>[Price]</v>
      </c>
      <c r="CW163" s="1401" t="str">
        <f t="shared" si="212"/>
        <v>-</v>
      </c>
      <c r="CX163" s="1395" t="str">
        <f t="shared" si="213"/>
        <v>-</v>
      </c>
      <c r="CY163" s="1395" t="str">
        <f t="shared" si="214"/>
        <v>-</v>
      </c>
      <c r="CZ163" s="1397" t="str">
        <f t="shared" si="215"/>
        <v>-</v>
      </c>
      <c r="DA163" s="1395" t="str">
        <f t="shared" si="216"/>
        <v>-</v>
      </c>
      <c r="DB163" s="1395" t="str">
        <f t="shared" si="217"/>
        <v>-</v>
      </c>
      <c r="DC163" s="1395" t="str">
        <f t="shared" si="218"/>
        <v>-</v>
      </c>
      <c r="DD163" s="1395" t="str">
        <f t="shared" si="219"/>
        <v>-</v>
      </c>
      <c r="DE163" s="1398" t="str">
        <f t="shared" si="220"/>
        <v>-</v>
      </c>
      <c r="DF163" s="1378"/>
      <c r="DG163" s="1392" t="str">
        <f t="shared" si="232"/>
        <v>Qty</v>
      </c>
      <c r="DH163" s="1393" t="str">
        <f t="shared" si="232"/>
        <v>[Service]</v>
      </c>
      <c r="DI163" s="1393" t="str">
        <f t="shared" si="232"/>
        <v>[Price]</v>
      </c>
      <c r="DJ163" s="1401" t="str">
        <f t="shared" si="221"/>
        <v>-</v>
      </c>
      <c r="DK163" s="1395" t="str">
        <f t="shared" si="222"/>
        <v>-</v>
      </c>
      <c r="DL163" s="1395" t="str">
        <f t="shared" si="223"/>
        <v>-</v>
      </c>
      <c r="DM163" s="1397" t="str">
        <f t="shared" si="224"/>
        <v>-</v>
      </c>
      <c r="DN163" s="1395" t="str">
        <f t="shared" si="225"/>
        <v>-</v>
      </c>
      <c r="DO163" s="1395" t="str">
        <f t="shared" si="226"/>
        <v>-</v>
      </c>
      <c r="DP163" s="1395" t="str">
        <f t="shared" si="227"/>
        <v>-</v>
      </c>
      <c r="DQ163" s="1398" t="str">
        <f t="shared" si="228"/>
        <v>-</v>
      </c>
    </row>
    <row r="164" spans="4:121" ht="12.75" thickBot="1">
      <c r="E164" s="743" t="s">
        <v>46</v>
      </c>
      <c r="F164" s="732" t="str">
        <f>+F162</f>
        <v>[Service]</v>
      </c>
      <c r="G164" s="733">
        <f>+G162</f>
        <v>0</v>
      </c>
      <c r="H164" s="733">
        <f>+H162</f>
        <v>0</v>
      </c>
      <c r="I164" s="734" t="str">
        <f>+I162</f>
        <v>[Price]</v>
      </c>
      <c r="J164" s="735" t="s">
        <v>344</v>
      </c>
      <c r="K164" s="736">
        <f t="shared" ref="K164:AG164" si="284">K162*K163/10^6</f>
        <v>0</v>
      </c>
      <c r="L164" s="737">
        <f t="shared" si="284"/>
        <v>0</v>
      </c>
      <c r="M164" s="737">
        <f t="shared" si="284"/>
        <v>0</v>
      </c>
      <c r="N164" s="738">
        <f t="shared" si="284"/>
        <v>0</v>
      </c>
      <c r="O164" s="737">
        <f t="shared" si="284"/>
        <v>0</v>
      </c>
      <c r="P164" s="738">
        <f t="shared" si="284"/>
        <v>0</v>
      </c>
      <c r="Q164" s="737">
        <f t="shared" si="284"/>
        <v>0</v>
      </c>
      <c r="R164" s="737">
        <f t="shared" si="284"/>
        <v>0</v>
      </c>
      <c r="S164" s="737">
        <f t="shared" si="284"/>
        <v>0</v>
      </c>
      <c r="T164" s="737">
        <f t="shared" si="284"/>
        <v>0</v>
      </c>
      <c r="U164" s="737">
        <f t="shared" si="284"/>
        <v>0</v>
      </c>
      <c r="V164" s="737">
        <f t="shared" si="284"/>
        <v>0</v>
      </c>
      <c r="W164" s="737">
        <f t="shared" si="284"/>
        <v>0</v>
      </c>
      <c r="X164" s="738">
        <f t="shared" si="284"/>
        <v>0</v>
      </c>
      <c r="Y164" s="737">
        <f t="shared" si="284"/>
        <v>0</v>
      </c>
      <c r="Z164" s="737">
        <f t="shared" si="284"/>
        <v>0</v>
      </c>
      <c r="AA164" s="737">
        <f t="shared" si="284"/>
        <v>0</v>
      </c>
      <c r="AB164" s="737">
        <f t="shared" si="284"/>
        <v>0</v>
      </c>
      <c r="AC164" s="738">
        <f t="shared" si="284"/>
        <v>0</v>
      </c>
      <c r="AD164" s="737">
        <f t="shared" si="284"/>
        <v>0</v>
      </c>
      <c r="AE164" s="737">
        <f t="shared" si="284"/>
        <v>0</v>
      </c>
      <c r="AF164" s="737">
        <f t="shared" si="284"/>
        <v>0</v>
      </c>
      <c r="AG164" s="739">
        <f t="shared" si="284"/>
        <v>0</v>
      </c>
      <c r="AH164" s="823"/>
      <c r="AI164" s="744"/>
      <c r="AJ164" s="741"/>
      <c r="AK164" s="729"/>
      <c r="AL164" s="729"/>
      <c r="AM164" s="729"/>
      <c r="AN164" s="729"/>
      <c r="AO164" s="730"/>
      <c r="AP164" s="74"/>
      <c r="AQ164" s="74"/>
      <c r="AR164" s="74"/>
      <c r="AS164" s="106"/>
      <c r="AW164" s="1428" t="str">
        <f t="shared" si="230"/>
        <v>Rev</v>
      </c>
      <c r="AX164" s="1429" t="str">
        <f t="shared" si="230"/>
        <v>[Service]</v>
      </c>
      <c r="AY164" s="1430" t="str">
        <f t="shared" si="194"/>
        <v>[Price]</v>
      </c>
      <c r="AZ164" s="1431" t="str">
        <f t="shared" si="259"/>
        <v>-</v>
      </c>
      <c r="BA164" s="1431" t="str">
        <f t="shared" si="259"/>
        <v>-</v>
      </c>
      <c r="BB164" s="1431" t="str">
        <f t="shared" si="259"/>
        <v>-</v>
      </c>
      <c r="BC164" s="1431" t="str">
        <f t="shared" si="259"/>
        <v>-</v>
      </c>
      <c r="BD164" s="1431" t="str">
        <f t="shared" si="196"/>
        <v>-</v>
      </c>
      <c r="BE164" s="1431" t="str">
        <f t="shared" si="197"/>
        <v>-</v>
      </c>
      <c r="BF164" s="1431" t="str">
        <f t="shared" si="198"/>
        <v>-</v>
      </c>
      <c r="BG164" s="1432" t="str">
        <f t="shared" si="199"/>
        <v>-</v>
      </c>
      <c r="BH164" s="1431" t="str">
        <f t="shared" si="200"/>
        <v>-</v>
      </c>
      <c r="BI164" s="1431" t="str">
        <f t="shared" si="201"/>
        <v>-</v>
      </c>
      <c r="BJ164" s="1431" t="str">
        <f t="shared" si="202"/>
        <v>-</v>
      </c>
      <c r="BK164" s="1431" t="str">
        <f t="shared" si="203"/>
        <v>-</v>
      </c>
      <c r="BL164" s="1433" t="str">
        <f t="shared" si="204"/>
        <v>-</v>
      </c>
      <c r="BM164" s="1431" t="str">
        <f t="shared" si="205"/>
        <v>-</v>
      </c>
      <c r="BN164" s="1431" t="str">
        <f t="shared" si="206"/>
        <v>-</v>
      </c>
      <c r="BO164" s="1431" t="str">
        <f t="shared" si="207"/>
        <v>-</v>
      </c>
      <c r="BP164" s="1431" t="str">
        <f t="shared" si="208"/>
        <v>-</v>
      </c>
      <c r="BQ164" s="1434" t="str">
        <f t="shared" si="209"/>
        <v>-</v>
      </c>
      <c r="BR164" s="1378"/>
      <c r="BS164" s="1407"/>
      <c r="BT164" s="1408"/>
      <c r="BU164" s="1409"/>
      <c r="BV164" s="1410"/>
      <c r="BW164" s="1378"/>
      <c r="BX164" s="1428" t="str">
        <f t="shared" si="210"/>
        <v>Rev</v>
      </c>
      <c r="BY164" s="1429" t="str">
        <f t="shared" si="255"/>
        <v>[Service]</v>
      </c>
      <c r="BZ164" s="1430" t="str">
        <f t="shared" si="256"/>
        <v>[Price]</v>
      </c>
      <c r="CA164" s="1435" t="str">
        <f>IFERROR((S164/R164-1)*(R164/R$13),"-")</f>
        <v>-</v>
      </c>
      <c r="CB164" s="1431" t="str">
        <f>IFERROR((T164/S164-1)*(S164/S$13),"-")</f>
        <v>-</v>
      </c>
      <c r="CC164" s="1431" t="str">
        <f>IFERROR((U164/T164-1)*(T164/T$13),"-")</f>
        <v>-</v>
      </c>
      <c r="CD164" s="1431" t="str">
        <f>IFERROR((V164/U164-1)*(U164/U$13),"-")</f>
        <v>-</v>
      </c>
      <c r="CE164" s="1431" t="str">
        <f t="shared" ref="CE164:CR164" si="285">IFERROR((T164/S164-1)*(S164/S$13),"-")</f>
        <v>-</v>
      </c>
      <c r="CF164" s="1431" t="str">
        <f t="shared" si="285"/>
        <v>-</v>
      </c>
      <c r="CG164" s="1431" t="str">
        <f t="shared" si="285"/>
        <v>-</v>
      </c>
      <c r="CH164" s="1433" t="str">
        <f t="shared" si="285"/>
        <v>-</v>
      </c>
      <c r="CI164" s="1431" t="str">
        <f t="shared" si="285"/>
        <v>-</v>
      </c>
      <c r="CJ164" s="1431" t="str">
        <f t="shared" si="285"/>
        <v>-</v>
      </c>
      <c r="CK164" s="1431" t="str">
        <f t="shared" si="285"/>
        <v>-</v>
      </c>
      <c r="CL164" s="1431" t="str">
        <f t="shared" si="285"/>
        <v>-</v>
      </c>
      <c r="CM164" s="1433" t="str">
        <f t="shared" si="285"/>
        <v>-</v>
      </c>
      <c r="CN164" s="1431" t="str">
        <f t="shared" si="285"/>
        <v>-</v>
      </c>
      <c r="CO164" s="1431" t="str">
        <f t="shared" si="285"/>
        <v>-</v>
      </c>
      <c r="CP164" s="1431" t="str">
        <f t="shared" si="285"/>
        <v>-</v>
      </c>
      <c r="CQ164" s="1431" t="str">
        <f t="shared" si="285"/>
        <v>-</v>
      </c>
      <c r="CR164" s="1434" t="str">
        <f t="shared" si="285"/>
        <v>-</v>
      </c>
      <c r="CS164" s="1378"/>
      <c r="CT164" s="1428" t="str">
        <f t="shared" si="191"/>
        <v>Rev</v>
      </c>
      <c r="CU164" s="1429" t="str">
        <f t="shared" si="192"/>
        <v>[Service]</v>
      </c>
      <c r="CV164" s="1429" t="str">
        <f t="shared" si="193"/>
        <v>[Price]</v>
      </c>
      <c r="CW164" s="1435" t="str">
        <f t="shared" si="212"/>
        <v>-</v>
      </c>
      <c r="CX164" s="1431" t="str">
        <f t="shared" si="213"/>
        <v>-</v>
      </c>
      <c r="CY164" s="1431" t="str">
        <f t="shared" si="214"/>
        <v>-</v>
      </c>
      <c r="CZ164" s="1433" t="str">
        <f t="shared" si="215"/>
        <v>-</v>
      </c>
      <c r="DA164" s="1431" t="str">
        <f t="shared" si="216"/>
        <v>-</v>
      </c>
      <c r="DB164" s="1431" t="str">
        <f t="shared" si="217"/>
        <v>-</v>
      </c>
      <c r="DC164" s="1431" t="str">
        <f t="shared" si="218"/>
        <v>-</v>
      </c>
      <c r="DD164" s="1431" t="str">
        <f t="shared" si="219"/>
        <v>-</v>
      </c>
      <c r="DE164" s="1434" t="str">
        <f t="shared" si="220"/>
        <v>-</v>
      </c>
      <c r="DF164" s="1378"/>
      <c r="DG164" s="1428" t="str">
        <f t="shared" si="232"/>
        <v>Rev</v>
      </c>
      <c r="DH164" s="1429" t="str">
        <f t="shared" si="232"/>
        <v>[Service]</v>
      </c>
      <c r="DI164" s="1429" t="str">
        <f t="shared" si="232"/>
        <v>[Price]</v>
      </c>
      <c r="DJ164" s="1435" t="str">
        <f t="shared" si="221"/>
        <v>-</v>
      </c>
      <c r="DK164" s="1431" t="str">
        <f t="shared" si="222"/>
        <v>-</v>
      </c>
      <c r="DL164" s="1431" t="str">
        <f t="shared" si="223"/>
        <v>-</v>
      </c>
      <c r="DM164" s="1433" t="str">
        <f t="shared" si="224"/>
        <v>-</v>
      </c>
      <c r="DN164" s="1431" t="str">
        <f t="shared" si="225"/>
        <v>-</v>
      </c>
      <c r="DO164" s="1431" t="str">
        <f t="shared" si="226"/>
        <v>-</v>
      </c>
      <c r="DP164" s="1431" t="str">
        <f t="shared" si="227"/>
        <v>-</v>
      </c>
      <c r="DQ164" s="1434" t="str">
        <f t="shared" si="228"/>
        <v>-</v>
      </c>
    </row>
    <row r="165" spans="4:121">
      <c r="D165" s="70">
        <f>D162+1</f>
        <v>33</v>
      </c>
      <c r="E165" s="713" t="s">
        <v>44</v>
      </c>
      <c r="F165" s="789" t="s">
        <v>27</v>
      </c>
      <c r="G165" s="789"/>
      <c r="H165" s="789"/>
      <c r="I165" s="781" t="s">
        <v>318</v>
      </c>
      <c r="J165" s="781" t="s">
        <v>345</v>
      </c>
      <c r="K165" s="714"/>
      <c r="L165" s="715"/>
      <c r="M165" s="715"/>
      <c r="N165" s="716"/>
      <c r="O165" s="783"/>
      <c r="P165" s="784"/>
      <c r="Q165" s="783"/>
      <c r="R165" s="783"/>
      <c r="S165" s="783"/>
      <c r="T165" s="783"/>
      <c r="U165" s="783"/>
      <c r="V165" s="783"/>
      <c r="W165" s="783"/>
      <c r="X165" s="784"/>
      <c r="Y165" s="783"/>
      <c r="Z165" s="783"/>
      <c r="AA165" s="783"/>
      <c r="AB165" s="783"/>
      <c r="AC165" s="784"/>
      <c r="AD165" s="783"/>
      <c r="AE165" s="783"/>
      <c r="AF165" s="783"/>
      <c r="AG165" s="785"/>
      <c r="AI165" s="702"/>
      <c r="AJ165" s="717" t="str">
        <f t="shared" ref="AJ165:AS165" si="286">IFERROR((X165-W165)/W165,"")</f>
        <v/>
      </c>
      <c r="AK165" s="718" t="str">
        <f t="shared" si="286"/>
        <v/>
      </c>
      <c r="AL165" s="718" t="str">
        <f t="shared" si="286"/>
        <v/>
      </c>
      <c r="AM165" s="718" t="str">
        <f t="shared" si="286"/>
        <v/>
      </c>
      <c r="AN165" s="718" t="str">
        <f t="shared" si="286"/>
        <v/>
      </c>
      <c r="AO165" s="719" t="str">
        <f t="shared" si="286"/>
        <v/>
      </c>
      <c r="AP165" s="494" t="str">
        <f t="shared" si="286"/>
        <v/>
      </c>
      <c r="AQ165" s="494" t="str">
        <f t="shared" si="286"/>
        <v/>
      </c>
      <c r="AR165" s="494" t="str">
        <f t="shared" si="286"/>
        <v/>
      </c>
      <c r="AS165" s="720" t="str">
        <f t="shared" si="286"/>
        <v/>
      </c>
      <c r="AU165" s="1369"/>
      <c r="AW165" s="1412" t="str">
        <f t="shared" si="230"/>
        <v>Price</v>
      </c>
      <c r="AX165" s="1413" t="str">
        <f t="shared" si="230"/>
        <v>[Service]</v>
      </c>
      <c r="AY165" s="1414" t="str">
        <f t="shared" si="194"/>
        <v>[Price]</v>
      </c>
      <c r="AZ165" s="1415" t="str">
        <f t="shared" ref="AZ165:BC180" si="287">IFERROR(P165/O165-1,"-")</f>
        <v>-</v>
      </c>
      <c r="BA165" s="1415" t="str">
        <f t="shared" si="287"/>
        <v>-</v>
      </c>
      <c r="BB165" s="1415" t="str">
        <f t="shared" si="287"/>
        <v>-</v>
      </c>
      <c r="BC165" s="1415" t="str">
        <f t="shared" si="287"/>
        <v>-</v>
      </c>
      <c r="BD165" s="1415" t="str">
        <f t="shared" si="196"/>
        <v>-</v>
      </c>
      <c r="BE165" s="1415" t="str">
        <f t="shared" si="197"/>
        <v>-</v>
      </c>
      <c r="BF165" s="1415" t="str">
        <f t="shared" si="198"/>
        <v>-</v>
      </c>
      <c r="BG165" s="1416" t="str">
        <f t="shared" si="199"/>
        <v>-</v>
      </c>
      <c r="BH165" s="1417" t="str">
        <f t="shared" si="200"/>
        <v>-</v>
      </c>
      <c r="BI165" s="1417" t="str">
        <f t="shared" si="201"/>
        <v>-</v>
      </c>
      <c r="BJ165" s="1417" t="str">
        <f t="shared" si="202"/>
        <v>-</v>
      </c>
      <c r="BK165" s="1417" t="str">
        <f t="shared" si="203"/>
        <v>-</v>
      </c>
      <c r="BL165" s="1418" t="str">
        <f t="shared" si="204"/>
        <v>-</v>
      </c>
      <c r="BM165" s="1417" t="str">
        <f t="shared" si="205"/>
        <v>-</v>
      </c>
      <c r="BN165" s="1417" t="str">
        <f t="shared" si="206"/>
        <v>-</v>
      </c>
      <c r="BO165" s="1417" t="str">
        <f t="shared" si="207"/>
        <v>-</v>
      </c>
      <c r="BP165" s="1417" t="str">
        <f t="shared" si="208"/>
        <v>-</v>
      </c>
      <c r="BQ165" s="1419" t="str">
        <f t="shared" si="209"/>
        <v>-</v>
      </c>
      <c r="BR165" s="1378"/>
      <c r="BS165" s="1420"/>
      <c r="BT165" s="1421"/>
      <c r="BU165" s="1422"/>
      <c r="BV165" s="1423"/>
      <c r="BW165" s="1378"/>
      <c r="BX165" s="1412" t="str">
        <f t="shared" si="210"/>
        <v>Price</v>
      </c>
      <c r="BY165" s="1413" t="str">
        <f t="shared" si="255"/>
        <v>[Service]</v>
      </c>
      <c r="BZ165" s="1414" t="str">
        <f t="shared" si="256"/>
        <v>[Price]</v>
      </c>
      <c r="CA165" s="1424" t="str">
        <f>IFERROR((S165/R165-1)*(R167/R$13),"-")</f>
        <v>-</v>
      </c>
      <c r="CB165" s="1415" t="str">
        <f>IFERROR((T165/S165-1)*(S167/S$13),"-")</f>
        <v>-</v>
      </c>
      <c r="CC165" s="1415" t="str">
        <f>IFERROR((U165/T165-1)*(T167/T$13),"-")</f>
        <v>-</v>
      </c>
      <c r="CD165" s="1415" t="str">
        <f>IFERROR((V165/U165-1)*(U167/U$13),"-")</f>
        <v>-</v>
      </c>
      <c r="CE165" s="1415" t="str">
        <f t="shared" ref="CE165:CR165" si="288">IFERROR((T165/S165-1)*(S167/S$13),"-")</f>
        <v>-</v>
      </c>
      <c r="CF165" s="1415" t="str">
        <f t="shared" si="288"/>
        <v>-</v>
      </c>
      <c r="CG165" s="1415" t="str">
        <f t="shared" si="288"/>
        <v>-</v>
      </c>
      <c r="CH165" s="1425" t="str">
        <f t="shared" si="288"/>
        <v>-</v>
      </c>
      <c r="CI165" s="1417" t="str">
        <f t="shared" si="288"/>
        <v>-</v>
      </c>
      <c r="CJ165" s="1417" t="str">
        <f t="shared" si="288"/>
        <v>-</v>
      </c>
      <c r="CK165" s="1417" t="str">
        <f t="shared" si="288"/>
        <v>-</v>
      </c>
      <c r="CL165" s="1417" t="str">
        <f t="shared" si="288"/>
        <v>-</v>
      </c>
      <c r="CM165" s="1418" t="str">
        <f t="shared" si="288"/>
        <v>-</v>
      </c>
      <c r="CN165" s="1417" t="str">
        <f t="shared" si="288"/>
        <v>-</v>
      </c>
      <c r="CO165" s="1417" t="str">
        <f t="shared" si="288"/>
        <v>-</v>
      </c>
      <c r="CP165" s="1417" t="str">
        <f t="shared" si="288"/>
        <v>-</v>
      </c>
      <c r="CQ165" s="1417" t="str">
        <f t="shared" si="288"/>
        <v>-</v>
      </c>
      <c r="CR165" s="1419" t="str">
        <f t="shared" si="288"/>
        <v>-</v>
      </c>
      <c r="CS165" s="1378"/>
      <c r="CT165" s="1412" t="str">
        <f t="shared" si="191"/>
        <v>Price</v>
      </c>
      <c r="CU165" s="1413" t="str">
        <f t="shared" si="192"/>
        <v>[Service]</v>
      </c>
      <c r="CV165" s="1426" t="str">
        <f t="shared" si="193"/>
        <v>[Price]</v>
      </c>
      <c r="CW165" s="1427" t="str">
        <f t="shared" si="212"/>
        <v>-</v>
      </c>
      <c r="CX165" s="1417" t="str">
        <f t="shared" si="213"/>
        <v>-</v>
      </c>
      <c r="CY165" s="1417" t="str">
        <f t="shared" si="214"/>
        <v>-</v>
      </c>
      <c r="CZ165" s="1418" t="str">
        <f t="shared" si="215"/>
        <v>-</v>
      </c>
      <c r="DA165" s="1417" t="str">
        <f t="shared" si="216"/>
        <v>-</v>
      </c>
      <c r="DB165" s="1417" t="str">
        <f t="shared" si="217"/>
        <v>-</v>
      </c>
      <c r="DC165" s="1417" t="str">
        <f t="shared" si="218"/>
        <v>-</v>
      </c>
      <c r="DD165" s="1417" t="str">
        <f t="shared" si="219"/>
        <v>-</v>
      </c>
      <c r="DE165" s="1419" t="str">
        <f t="shared" si="220"/>
        <v>-</v>
      </c>
      <c r="DF165" s="1378"/>
      <c r="DG165" s="1412" t="str">
        <f t="shared" si="232"/>
        <v>Price</v>
      </c>
      <c r="DH165" s="1413" t="str">
        <f t="shared" si="232"/>
        <v>[Service]</v>
      </c>
      <c r="DI165" s="1426" t="str">
        <f t="shared" si="232"/>
        <v>[Price]</v>
      </c>
      <c r="DJ165" s="1427" t="str">
        <f t="shared" si="221"/>
        <v>-</v>
      </c>
      <c r="DK165" s="1417" t="str">
        <f t="shared" si="222"/>
        <v>-</v>
      </c>
      <c r="DL165" s="1417" t="str">
        <f t="shared" si="223"/>
        <v>-</v>
      </c>
      <c r="DM165" s="1418" t="str">
        <f t="shared" si="224"/>
        <v>-</v>
      </c>
      <c r="DN165" s="1417" t="str">
        <f t="shared" si="225"/>
        <v>-</v>
      </c>
      <c r="DO165" s="1417" t="str">
        <f t="shared" si="226"/>
        <v>-</v>
      </c>
      <c r="DP165" s="1417" t="str">
        <f t="shared" si="227"/>
        <v>-</v>
      </c>
      <c r="DQ165" s="1419" t="str">
        <f t="shared" si="228"/>
        <v>-</v>
      </c>
    </row>
    <row r="166" spans="4:121">
      <c r="E166" s="742" t="s">
        <v>45</v>
      </c>
      <c r="F166" s="722" t="str">
        <f>+F165</f>
        <v>[Service]</v>
      </c>
      <c r="G166" s="723">
        <f>+G165</f>
        <v>0</v>
      </c>
      <c r="H166" s="723">
        <f>+H165</f>
        <v>0</v>
      </c>
      <c r="I166" s="724" t="str">
        <f>+I165</f>
        <v>[Price]</v>
      </c>
      <c r="J166" s="782" t="s">
        <v>322</v>
      </c>
      <c r="K166" s="725"/>
      <c r="L166" s="726"/>
      <c r="M166" s="726"/>
      <c r="N166" s="727"/>
      <c r="O166" s="786"/>
      <c r="P166" s="787"/>
      <c r="Q166" s="786"/>
      <c r="R166" s="786"/>
      <c r="S166" s="786"/>
      <c r="T166" s="786"/>
      <c r="U166" s="786"/>
      <c r="V166" s="786"/>
      <c r="W166" s="786"/>
      <c r="X166" s="787"/>
      <c r="Y166" s="786"/>
      <c r="Z166" s="786"/>
      <c r="AA166" s="786"/>
      <c r="AB166" s="786"/>
      <c r="AC166" s="787"/>
      <c r="AD166" s="786"/>
      <c r="AE166" s="786"/>
      <c r="AF166" s="786"/>
      <c r="AG166" s="788"/>
      <c r="AH166" s="823"/>
      <c r="AI166" s="702"/>
      <c r="AJ166" s="728"/>
      <c r="AK166" s="729"/>
      <c r="AL166" s="729"/>
      <c r="AM166" s="729"/>
      <c r="AN166" s="729"/>
      <c r="AO166" s="730"/>
      <c r="AP166" s="74"/>
      <c r="AQ166" s="74"/>
      <c r="AR166" s="74"/>
      <c r="AS166" s="106"/>
      <c r="AW166" s="1392" t="str">
        <f t="shared" si="230"/>
        <v>Qty</v>
      </c>
      <c r="AX166" s="1393" t="str">
        <f t="shared" si="230"/>
        <v>[Service]</v>
      </c>
      <c r="AY166" s="1394" t="str">
        <f t="shared" si="194"/>
        <v>[Price]</v>
      </c>
      <c r="AZ166" s="1395" t="str">
        <f t="shared" si="287"/>
        <v>-</v>
      </c>
      <c r="BA166" s="1395" t="str">
        <f t="shared" si="287"/>
        <v>-</v>
      </c>
      <c r="BB166" s="1395" t="str">
        <f t="shared" si="287"/>
        <v>-</v>
      </c>
      <c r="BC166" s="1395" t="str">
        <f t="shared" si="287"/>
        <v>-</v>
      </c>
      <c r="BD166" s="1395" t="str">
        <f t="shared" si="196"/>
        <v>-</v>
      </c>
      <c r="BE166" s="1395" t="str">
        <f t="shared" si="197"/>
        <v>-</v>
      </c>
      <c r="BF166" s="1395" t="str">
        <f t="shared" si="198"/>
        <v>-</v>
      </c>
      <c r="BG166" s="1396" t="str">
        <f t="shared" si="199"/>
        <v>-</v>
      </c>
      <c r="BH166" s="1395" t="str">
        <f t="shared" si="200"/>
        <v>-</v>
      </c>
      <c r="BI166" s="1395" t="str">
        <f t="shared" si="201"/>
        <v>-</v>
      </c>
      <c r="BJ166" s="1395" t="str">
        <f t="shared" si="202"/>
        <v>-</v>
      </c>
      <c r="BK166" s="1395" t="str">
        <f t="shared" si="203"/>
        <v>-</v>
      </c>
      <c r="BL166" s="1397" t="str">
        <f t="shared" si="204"/>
        <v>-</v>
      </c>
      <c r="BM166" s="1395" t="str">
        <f t="shared" si="205"/>
        <v>-</v>
      </c>
      <c r="BN166" s="1395" t="str">
        <f t="shared" si="206"/>
        <v>-</v>
      </c>
      <c r="BO166" s="1395" t="str">
        <f t="shared" si="207"/>
        <v>-</v>
      </c>
      <c r="BP166" s="1395" t="str">
        <f t="shared" si="208"/>
        <v>-</v>
      </c>
      <c r="BQ166" s="1398" t="str">
        <f t="shared" si="209"/>
        <v>-</v>
      </c>
      <c r="BR166" s="1378"/>
      <c r="BS166" s="1329"/>
      <c r="BT166" s="1399"/>
      <c r="BU166" s="1331"/>
      <c r="BV166" s="1400"/>
      <c r="BW166" s="1378"/>
      <c r="BX166" s="1392" t="str">
        <f t="shared" si="210"/>
        <v>Qty</v>
      </c>
      <c r="BY166" s="1393" t="str">
        <f t="shared" si="255"/>
        <v>[Service]</v>
      </c>
      <c r="BZ166" s="1394" t="str">
        <f t="shared" si="256"/>
        <v>[Price]</v>
      </c>
      <c r="CA166" s="1401" t="str">
        <f>IFERROR((S166/R166-1)*(R167/R$13),"-")</f>
        <v>-</v>
      </c>
      <c r="CB166" s="1395" t="str">
        <f>IFERROR((T166/S166-1)*(S167/S$13),"-")</f>
        <v>-</v>
      </c>
      <c r="CC166" s="1395" t="str">
        <f>IFERROR((U166/T166-1)*(T167/T$13),"-")</f>
        <v>-</v>
      </c>
      <c r="CD166" s="1395" t="str">
        <f>IFERROR((V166/U166-1)*(U167/U$13),"-")</f>
        <v>-</v>
      </c>
      <c r="CE166" s="1395" t="str">
        <f t="shared" ref="CE166:CR166" si="289">IFERROR((T166/S166-1)*(S167/S$13),"-")</f>
        <v>-</v>
      </c>
      <c r="CF166" s="1395" t="str">
        <f t="shared" si="289"/>
        <v>-</v>
      </c>
      <c r="CG166" s="1395" t="str">
        <f t="shared" si="289"/>
        <v>-</v>
      </c>
      <c r="CH166" s="1397" t="str">
        <f t="shared" si="289"/>
        <v>-</v>
      </c>
      <c r="CI166" s="1395" t="str">
        <f t="shared" si="289"/>
        <v>-</v>
      </c>
      <c r="CJ166" s="1395" t="str">
        <f t="shared" si="289"/>
        <v>-</v>
      </c>
      <c r="CK166" s="1395" t="str">
        <f t="shared" si="289"/>
        <v>-</v>
      </c>
      <c r="CL166" s="1395" t="str">
        <f t="shared" si="289"/>
        <v>-</v>
      </c>
      <c r="CM166" s="1397" t="str">
        <f t="shared" si="289"/>
        <v>-</v>
      </c>
      <c r="CN166" s="1395" t="str">
        <f t="shared" si="289"/>
        <v>-</v>
      </c>
      <c r="CO166" s="1395" t="str">
        <f t="shared" si="289"/>
        <v>-</v>
      </c>
      <c r="CP166" s="1395" t="str">
        <f t="shared" si="289"/>
        <v>-</v>
      </c>
      <c r="CQ166" s="1395" t="str">
        <f t="shared" si="289"/>
        <v>-</v>
      </c>
      <c r="CR166" s="1398" t="str">
        <f t="shared" si="289"/>
        <v>-</v>
      </c>
      <c r="CS166" s="1378"/>
      <c r="CT166" s="1392" t="str">
        <f t="shared" si="191"/>
        <v>Qty</v>
      </c>
      <c r="CU166" s="1393" t="str">
        <f t="shared" si="192"/>
        <v>[Service]</v>
      </c>
      <c r="CV166" s="1393" t="str">
        <f t="shared" si="193"/>
        <v>[Price]</v>
      </c>
      <c r="CW166" s="1401" t="str">
        <f t="shared" si="212"/>
        <v>-</v>
      </c>
      <c r="CX166" s="1395" t="str">
        <f t="shared" si="213"/>
        <v>-</v>
      </c>
      <c r="CY166" s="1395" t="str">
        <f t="shared" si="214"/>
        <v>-</v>
      </c>
      <c r="CZ166" s="1397" t="str">
        <f t="shared" si="215"/>
        <v>-</v>
      </c>
      <c r="DA166" s="1395" t="str">
        <f t="shared" si="216"/>
        <v>-</v>
      </c>
      <c r="DB166" s="1395" t="str">
        <f t="shared" si="217"/>
        <v>-</v>
      </c>
      <c r="DC166" s="1395" t="str">
        <f t="shared" si="218"/>
        <v>-</v>
      </c>
      <c r="DD166" s="1395" t="str">
        <f t="shared" si="219"/>
        <v>-</v>
      </c>
      <c r="DE166" s="1398" t="str">
        <f t="shared" si="220"/>
        <v>-</v>
      </c>
      <c r="DF166" s="1378"/>
      <c r="DG166" s="1392" t="str">
        <f t="shared" si="232"/>
        <v>Qty</v>
      </c>
      <c r="DH166" s="1393" t="str">
        <f t="shared" si="232"/>
        <v>[Service]</v>
      </c>
      <c r="DI166" s="1393" t="str">
        <f t="shared" si="232"/>
        <v>[Price]</v>
      </c>
      <c r="DJ166" s="1401" t="str">
        <f t="shared" si="221"/>
        <v>-</v>
      </c>
      <c r="DK166" s="1395" t="str">
        <f t="shared" si="222"/>
        <v>-</v>
      </c>
      <c r="DL166" s="1395" t="str">
        <f t="shared" si="223"/>
        <v>-</v>
      </c>
      <c r="DM166" s="1397" t="str">
        <f t="shared" si="224"/>
        <v>-</v>
      </c>
      <c r="DN166" s="1395" t="str">
        <f t="shared" si="225"/>
        <v>-</v>
      </c>
      <c r="DO166" s="1395" t="str">
        <f t="shared" si="226"/>
        <v>-</v>
      </c>
      <c r="DP166" s="1395" t="str">
        <f t="shared" si="227"/>
        <v>-</v>
      </c>
      <c r="DQ166" s="1398" t="str">
        <f t="shared" si="228"/>
        <v>-</v>
      </c>
    </row>
    <row r="167" spans="4:121" ht="12.75" thickBot="1">
      <c r="E167" s="743" t="s">
        <v>46</v>
      </c>
      <c r="F167" s="732" t="str">
        <f>+F165</f>
        <v>[Service]</v>
      </c>
      <c r="G167" s="733">
        <f>+G165</f>
        <v>0</v>
      </c>
      <c r="H167" s="733">
        <f>+H165</f>
        <v>0</v>
      </c>
      <c r="I167" s="734" t="str">
        <f>+I165</f>
        <v>[Price]</v>
      </c>
      <c r="J167" s="735" t="s">
        <v>344</v>
      </c>
      <c r="K167" s="736">
        <f t="shared" ref="K167:AG167" si="290">K165*K166/10^6</f>
        <v>0</v>
      </c>
      <c r="L167" s="737">
        <f t="shared" si="290"/>
        <v>0</v>
      </c>
      <c r="M167" s="737">
        <f t="shared" si="290"/>
        <v>0</v>
      </c>
      <c r="N167" s="738">
        <f t="shared" si="290"/>
        <v>0</v>
      </c>
      <c r="O167" s="737">
        <f t="shared" si="290"/>
        <v>0</v>
      </c>
      <c r="P167" s="738">
        <f t="shared" si="290"/>
        <v>0</v>
      </c>
      <c r="Q167" s="737">
        <f t="shared" si="290"/>
        <v>0</v>
      </c>
      <c r="R167" s="737">
        <f t="shared" si="290"/>
        <v>0</v>
      </c>
      <c r="S167" s="737">
        <f t="shared" si="290"/>
        <v>0</v>
      </c>
      <c r="T167" s="737">
        <f t="shared" si="290"/>
        <v>0</v>
      </c>
      <c r="U167" s="737">
        <f t="shared" si="290"/>
        <v>0</v>
      </c>
      <c r="V167" s="737">
        <f t="shared" si="290"/>
        <v>0</v>
      </c>
      <c r="W167" s="737">
        <f t="shared" si="290"/>
        <v>0</v>
      </c>
      <c r="X167" s="738">
        <f t="shared" si="290"/>
        <v>0</v>
      </c>
      <c r="Y167" s="737">
        <f t="shared" si="290"/>
        <v>0</v>
      </c>
      <c r="Z167" s="737">
        <f t="shared" si="290"/>
        <v>0</v>
      </c>
      <c r="AA167" s="737">
        <f t="shared" si="290"/>
        <v>0</v>
      </c>
      <c r="AB167" s="737">
        <f t="shared" si="290"/>
        <v>0</v>
      </c>
      <c r="AC167" s="738">
        <f t="shared" si="290"/>
        <v>0</v>
      </c>
      <c r="AD167" s="737">
        <f t="shared" si="290"/>
        <v>0</v>
      </c>
      <c r="AE167" s="737">
        <f t="shared" si="290"/>
        <v>0</v>
      </c>
      <c r="AF167" s="737">
        <f t="shared" si="290"/>
        <v>0</v>
      </c>
      <c r="AG167" s="739">
        <f t="shared" si="290"/>
        <v>0</v>
      </c>
      <c r="AH167" s="823"/>
      <c r="AI167" s="744"/>
      <c r="AJ167" s="741"/>
      <c r="AK167" s="729"/>
      <c r="AL167" s="729"/>
      <c r="AM167" s="729"/>
      <c r="AN167" s="729"/>
      <c r="AO167" s="730"/>
      <c r="AP167" s="74"/>
      <c r="AQ167" s="74"/>
      <c r="AR167" s="74"/>
      <c r="AS167" s="106"/>
      <c r="AW167" s="1428" t="str">
        <f t="shared" si="230"/>
        <v>Rev</v>
      </c>
      <c r="AX167" s="1429" t="str">
        <f t="shared" si="230"/>
        <v>[Service]</v>
      </c>
      <c r="AY167" s="1430" t="str">
        <f t="shared" si="194"/>
        <v>[Price]</v>
      </c>
      <c r="AZ167" s="1431" t="str">
        <f t="shared" si="287"/>
        <v>-</v>
      </c>
      <c r="BA167" s="1431" t="str">
        <f t="shared" si="287"/>
        <v>-</v>
      </c>
      <c r="BB167" s="1431" t="str">
        <f t="shared" si="287"/>
        <v>-</v>
      </c>
      <c r="BC167" s="1431" t="str">
        <f t="shared" si="287"/>
        <v>-</v>
      </c>
      <c r="BD167" s="1431" t="str">
        <f t="shared" si="196"/>
        <v>-</v>
      </c>
      <c r="BE167" s="1431" t="str">
        <f t="shared" si="197"/>
        <v>-</v>
      </c>
      <c r="BF167" s="1431" t="str">
        <f t="shared" si="198"/>
        <v>-</v>
      </c>
      <c r="BG167" s="1432" t="str">
        <f t="shared" si="199"/>
        <v>-</v>
      </c>
      <c r="BH167" s="1431" t="str">
        <f t="shared" si="200"/>
        <v>-</v>
      </c>
      <c r="BI167" s="1431" t="str">
        <f t="shared" si="201"/>
        <v>-</v>
      </c>
      <c r="BJ167" s="1431" t="str">
        <f t="shared" si="202"/>
        <v>-</v>
      </c>
      <c r="BK167" s="1431" t="str">
        <f t="shared" si="203"/>
        <v>-</v>
      </c>
      <c r="BL167" s="1433" t="str">
        <f t="shared" si="204"/>
        <v>-</v>
      </c>
      <c r="BM167" s="1431" t="str">
        <f t="shared" si="205"/>
        <v>-</v>
      </c>
      <c r="BN167" s="1431" t="str">
        <f t="shared" si="206"/>
        <v>-</v>
      </c>
      <c r="BO167" s="1431" t="str">
        <f t="shared" si="207"/>
        <v>-</v>
      </c>
      <c r="BP167" s="1431" t="str">
        <f t="shared" si="208"/>
        <v>-</v>
      </c>
      <c r="BQ167" s="1434" t="str">
        <f t="shared" si="209"/>
        <v>-</v>
      </c>
      <c r="BR167" s="1378"/>
      <c r="BS167" s="1407"/>
      <c r="BT167" s="1408"/>
      <c r="BU167" s="1409"/>
      <c r="BV167" s="1410"/>
      <c r="BW167" s="1378"/>
      <c r="BX167" s="1428" t="str">
        <f t="shared" si="210"/>
        <v>Rev</v>
      </c>
      <c r="BY167" s="1429" t="str">
        <f t="shared" si="255"/>
        <v>[Service]</v>
      </c>
      <c r="BZ167" s="1430" t="str">
        <f t="shared" si="256"/>
        <v>[Price]</v>
      </c>
      <c r="CA167" s="1435" t="str">
        <f>IFERROR((S167/R167-1)*(R167/R$13),"-")</f>
        <v>-</v>
      </c>
      <c r="CB167" s="1431" t="str">
        <f>IFERROR((T167/S167-1)*(S167/S$13),"-")</f>
        <v>-</v>
      </c>
      <c r="CC167" s="1431" t="str">
        <f>IFERROR((U167/T167-1)*(T167/T$13),"-")</f>
        <v>-</v>
      </c>
      <c r="CD167" s="1431" t="str">
        <f>IFERROR((V167/U167-1)*(U167/U$13),"-")</f>
        <v>-</v>
      </c>
      <c r="CE167" s="1431" t="str">
        <f t="shared" ref="CE167:CR167" si="291">IFERROR((T167/S167-1)*(S167/S$13),"-")</f>
        <v>-</v>
      </c>
      <c r="CF167" s="1431" t="str">
        <f t="shared" si="291"/>
        <v>-</v>
      </c>
      <c r="CG167" s="1431" t="str">
        <f t="shared" si="291"/>
        <v>-</v>
      </c>
      <c r="CH167" s="1433" t="str">
        <f t="shared" si="291"/>
        <v>-</v>
      </c>
      <c r="CI167" s="1431" t="str">
        <f t="shared" si="291"/>
        <v>-</v>
      </c>
      <c r="CJ167" s="1431" t="str">
        <f t="shared" si="291"/>
        <v>-</v>
      </c>
      <c r="CK167" s="1431" t="str">
        <f t="shared" si="291"/>
        <v>-</v>
      </c>
      <c r="CL167" s="1431" t="str">
        <f t="shared" si="291"/>
        <v>-</v>
      </c>
      <c r="CM167" s="1433" t="str">
        <f t="shared" si="291"/>
        <v>-</v>
      </c>
      <c r="CN167" s="1431" t="str">
        <f t="shared" si="291"/>
        <v>-</v>
      </c>
      <c r="CO167" s="1431" t="str">
        <f t="shared" si="291"/>
        <v>-</v>
      </c>
      <c r="CP167" s="1431" t="str">
        <f t="shared" si="291"/>
        <v>-</v>
      </c>
      <c r="CQ167" s="1431" t="str">
        <f t="shared" si="291"/>
        <v>-</v>
      </c>
      <c r="CR167" s="1434" t="str">
        <f t="shared" si="291"/>
        <v>-</v>
      </c>
      <c r="CS167" s="1378"/>
      <c r="CT167" s="1428" t="str">
        <f t="shared" si="191"/>
        <v>Rev</v>
      </c>
      <c r="CU167" s="1429" t="str">
        <f t="shared" si="192"/>
        <v>[Service]</v>
      </c>
      <c r="CV167" s="1429" t="str">
        <f t="shared" si="193"/>
        <v>[Price]</v>
      </c>
      <c r="CW167" s="1435" t="str">
        <f t="shared" si="212"/>
        <v>-</v>
      </c>
      <c r="CX167" s="1431" t="str">
        <f t="shared" si="213"/>
        <v>-</v>
      </c>
      <c r="CY167" s="1431" t="str">
        <f t="shared" si="214"/>
        <v>-</v>
      </c>
      <c r="CZ167" s="1433" t="str">
        <f t="shared" si="215"/>
        <v>-</v>
      </c>
      <c r="DA167" s="1431" t="str">
        <f t="shared" si="216"/>
        <v>-</v>
      </c>
      <c r="DB167" s="1431" t="str">
        <f t="shared" si="217"/>
        <v>-</v>
      </c>
      <c r="DC167" s="1431" t="str">
        <f t="shared" si="218"/>
        <v>-</v>
      </c>
      <c r="DD167" s="1431" t="str">
        <f t="shared" si="219"/>
        <v>-</v>
      </c>
      <c r="DE167" s="1434" t="str">
        <f t="shared" si="220"/>
        <v>-</v>
      </c>
      <c r="DF167" s="1378"/>
      <c r="DG167" s="1428" t="str">
        <f t="shared" si="232"/>
        <v>Rev</v>
      </c>
      <c r="DH167" s="1429" t="str">
        <f t="shared" si="232"/>
        <v>[Service]</v>
      </c>
      <c r="DI167" s="1429" t="str">
        <f t="shared" si="232"/>
        <v>[Price]</v>
      </c>
      <c r="DJ167" s="1435" t="str">
        <f t="shared" si="221"/>
        <v>-</v>
      </c>
      <c r="DK167" s="1431" t="str">
        <f t="shared" si="222"/>
        <v>-</v>
      </c>
      <c r="DL167" s="1431" t="str">
        <f t="shared" si="223"/>
        <v>-</v>
      </c>
      <c r="DM167" s="1433" t="str">
        <f t="shared" si="224"/>
        <v>-</v>
      </c>
      <c r="DN167" s="1431" t="str">
        <f t="shared" si="225"/>
        <v>-</v>
      </c>
      <c r="DO167" s="1431" t="str">
        <f t="shared" si="226"/>
        <v>-</v>
      </c>
      <c r="DP167" s="1431" t="str">
        <f t="shared" si="227"/>
        <v>-</v>
      </c>
      <c r="DQ167" s="1434" t="str">
        <f t="shared" si="228"/>
        <v>-</v>
      </c>
    </row>
    <row r="168" spans="4:121">
      <c r="D168" s="70">
        <f>D165+1</f>
        <v>34</v>
      </c>
      <c r="E168" s="713" t="s">
        <v>44</v>
      </c>
      <c r="F168" s="789" t="s">
        <v>27</v>
      </c>
      <c r="G168" s="789"/>
      <c r="H168" s="789"/>
      <c r="I168" s="781" t="s">
        <v>318</v>
      </c>
      <c r="J168" s="781" t="s">
        <v>345</v>
      </c>
      <c r="K168" s="714"/>
      <c r="L168" s="715"/>
      <c r="M168" s="715"/>
      <c r="N168" s="716"/>
      <c r="O168" s="783"/>
      <c r="P168" s="784"/>
      <c r="Q168" s="783"/>
      <c r="R168" s="783"/>
      <c r="S168" s="783"/>
      <c r="T168" s="783"/>
      <c r="U168" s="783"/>
      <c r="V168" s="783"/>
      <c r="W168" s="783"/>
      <c r="X168" s="784"/>
      <c r="Y168" s="783"/>
      <c r="Z168" s="783"/>
      <c r="AA168" s="783"/>
      <c r="AB168" s="783"/>
      <c r="AC168" s="784"/>
      <c r="AD168" s="783"/>
      <c r="AE168" s="783"/>
      <c r="AF168" s="783"/>
      <c r="AG168" s="785"/>
      <c r="AI168" s="702"/>
      <c r="AJ168" s="717" t="str">
        <f t="shared" ref="AJ168:AS168" si="292">IFERROR((X168-W168)/W168,"")</f>
        <v/>
      </c>
      <c r="AK168" s="718" t="str">
        <f t="shared" si="292"/>
        <v/>
      </c>
      <c r="AL168" s="718" t="str">
        <f t="shared" si="292"/>
        <v/>
      </c>
      <c r="AM168" s="718" t="str">
        <f t="shared" si="292"/>
        <v/>
      </c>
      <c r="AN168" s="718" t="str">
        <f t="shared" si="292"/>
        <v/>
      </c>
      <c r="AO168" s="719" t="str">
        <f t="shared" si="292"/>
        <v/>
      </c>
      <c r="AP168" s="494" t="str">
        <f t="shared" si="292"/>
        <v/>
      </c>
      <c r="AQ168" s="494" t="str">
        <f t="shared" si="292"/>
        <v/>
      </c>
      <c r="AR168" s="494" t="str">
        <f t="shared" si="292"/>
        <v/>
      </c>
      <c r="AS168" s="720" t="str">
        <f t="shared" si="292"/>
        <v/>
      </c>
      <c r="AU168" s="1369"/>
      <c r="AW168" s="1412" t="str">
        <f t="shared" si="230"/>
        <v>Price</v>
      </c>
      <c r="AX168" s="1413" t="str">
        <f t="shared" si="230"/>
        <v>[Service]</v>
      </c>
      <c r="AY168" s="1414" t="str">
        <f t="shared" si="194"/>
        <v>[Price]</v>
      </c>
      <c r="AZ168" s="1415" t="str">
        <f t="shared" si="287"/>
        <v>-</v>
      </c>
      <c r="BA168" s="1415" t="str">
        <f t="shared" si="287"/>
        <v>-</v>
      </c>
      <c r="BB168" s="1415" t="str">
        <f t="shared" si="287"/>
        <v>-</v>
      </c>
      <c r="BC168" s="1415" t="str">
        <f t="shared" si="287"/>
        <v>-</v>
      </c>
      <c r="BD168" s="1415" t="str">
        <f t="shared" si="196"/>
        <v>-</v>
      </c>
      <c r="BE168" s="1415" t="str">
        <f t="shared" si="197"/>
        <v>-</v>
      </c>
      <c r="BF168" s="1415" t="str">
        <f t="shared" si="198"/>
        <v>-</v>
      </c>
      <c r="BG168" s="1416" t="str">
        <f t="shared" si="199"/>
        <v>-</v>
      </c>
      <c r="BH168" s="1417" t="str">
        <f t="shared" si="200"/>
        <v>-</v>
      </c>
      <c r="BI168" s="1417" t="str">
        <f t="shared" si="201"/>
        <v>-</v>
      </c>
      <c r="BJ168" s="1417" t="str">
        <f t="shared" si="202"/>
        <v>-</v>
      </c>
      <c r="BK168" s="1417" t="str">
        <f t="shared" si="203"/>
        <v>-</v>
      </c>
      <c r="BL168" s="1418" t="str">
        <f t="shared" si="204"/>
        <v>-</v>
      </c>
      <c r="BM168" s="1417" t="str">
        <f t="shared" si="205"/>
        <v>-</v>
      </c>
      <c r="BN168" s="1417" t="str">
        <f t="shared" si="206"/>
        <v>-</v>
      </c>
      <c r="BO168" s="1417" t="str">
        <f t="shared" si="207"/>
        <v>-</v>
      </c>
      <c r="BP168" s="1417" t="str">
        <f t="shared" si="208"/>
        <v>-</v>
      </c>
      <c r="BQ168" s="1419" t="str">
        <f t="shared" si="209"/>
        <v>-</v>
      </c>
      <c r="BR168" s="1378"/>
      <c r="BS168" s="1420"/>
      <c r="BT168" s="1421"/>
      <c r="BU168" s="1422"/>
      <c r="BV168" s="1423"/>
      <c r="BW168" s="1378"/>
      <c r="BX168" s="1412" t="str">
        <f t="shared" si="210"/>
        <v>Price</v>
      </c>
      <c r="BY168" s="1413" t="str">
        <f t="shared" si="255"/>
        <v>[Service]</v>
      </c>
      <c r="BZ168" s="1414" t="str">
        <f t="shared" si="256"/>
        <v>[Price]</v>
      </c>
      <c r="CA168" s="1424" t="str">
        <f>IFERROR((S168/R168-1)*(R170/R$13),"-")</f>
        <v>-</v>
      </c>
      <c r="CB168" s="1415" t="str">
        <f>IFERROR((T168/S168-1)*(S170/S$13),"-")</f>
        <v>-</v>
      </c>
      <c r="CC168" s="1415" t="str">
        <f>IFERROR((U168/T168-1)*(T170/T$13),"-")</f>
        <v>-</v>
      </c>
      <c r="CD168" s="1415" t="str">
        <f>IFERROR((V168/U168-1)*(U170/U$13),"-")</f>
        <v>-</v>
      </c>
      <c r="CE168" s="1415" t="str">
        <f t="shared" ref="CE168:CR168" si="293">IFERROR((T168/S168-1)*(S170/S$13),"-")</f>
        <v>-</v>
      </c>
      <c r="CF168" s="1415" t="str">
        <f t="shared" si="293"/>
        <v>-</v>
      </c>
      <c r="CG168" s="1415" t="str">
        <f t="shared" si="293"/>
        <v>-</v>
      </c>
      <c r="CH168" s="1425" t="str">
        <f t="shared" si="293"/>
        <v>-</v>
      </c>
      <c r="CI168" s="1417" t="str">
        <f t="shared" si="293"/>
        <v>-</v>
      </c>
      <c r="CJ168" s="1417" t="str">
        <f t="shared" si="293"/>
        <v>-</v>
      </c>
      <c r="CK168" s="1417" t="str">
        <f t="shared" si="293"/>
        <v>-</v>
      </c>
      <c r="CL168" s="1417" t="str">
        <f t="shared" si="293"/>
        <v>-</v>
      </c>
      <c r="CM168" s="1418" t="str">
        <f t="shared" si="293"/>
        <v>-</v>
      </c>
      <c r="CN168" s="1417" t="str">
        <f t="shared" si="293"/>
        <v>-</v>
      </c>
      <c r="CO168" s="1417" t="str">
        <f t="shared" si="293"/>
        <v>-</v>
      </c>
      <c r="CP168" s="1417" t="str">
        <f t="shared" si="293"/>
        <v>-</v>
      </c>
      <c r="CQ168" s="1417" t="str">
        <f t="shared" si="293"/>
        <v>-</v>
      </c>
      <c r="CR168" s="1419" t="str">
        <f t="shared" si="293"/>
        <v>-</v>
      </c>
      <c r="CS168" s="1378"/>
      <c r="CT168" s="1412" t="str">
        <f t="shared" si="191"/>
        <v>Price</v>
      </c>
      <c r="CU168" s="1413" t="str">
        <f t="shared" si="192"/>
        <v>[Service]</v>
      </c>
      <c r="CV168" s="1426" t="str">
        <f t="shared" si="193"/>
        <v>[Price]</v>
      </c>
      <c r="CW168" s="1427" t="str">
        <f t="shared" si="212"/>
        <v>-</v>
      </c>
      <c r="CX168" s="1417" t="str">
        <f t="shared" si="213"/>
        <v>-</v>
      </c>
      <c r="CY168" s="1417" t="str">
        <f t="shared" si="214"/>
        <v>-</v>
      </c>
      <c r="CZ168" s="1418" t="str">
        <f t="shared" si="215"/>
        <v>-</v>
      </c>
      <c r="DA168" s="1417" t="str">
        <f t="shared" si="216"/>
        <v>-</v>
      </c>
      <c r="DB168" s="1417" t="str">
        <f t="shared" si="217"/>
        <v>-</v>
      </c>
      <c r="DC168" s="1417" t="str">
        <f t="shared" si="218"/>
        <v>-</v>
      </c>
      <c r="DD168" s="1417" t="str">
        <f t="shared" si="219"/>
        <v>-</v>
      </c>
      <c r="DE168" s="1419" t="str">
        <f t="shared" si="220"/>
        <v>-</v>
      </c>
      <c r="DF168" s="1378"/>
      <c r="DG168" s="1412" t="str">
        <f t="shared" si="232"/>
        <v>Price</v>
      </c>
      <c r="DH168" s="1413" t="str">
        <f t="shared" si="232"/>
        <v>[Service]</v>
      </c>
      <c r="DI168" s="1426" t="str">
        <f t="shared" si="232"/>
        <v>[Price]</v>
      </c>
      <c r="DJ168" s="1427" t="str">
        <f t="shared" si="221"/>
        <v>-</v>
      </c>
      <c r="DK168" s="1417" t="str">
        <f t="shared" si="222"/>
        <v>-</v>
      </c>
      <c r="DL168" s="1417" t="str">
        <f t="shared" si="223"/>
        <v>-</v>
      </c>
      <c r="DM168" s="1418" t="str">
        <f t="shared" si="224"/>
        <v>-</v>
      </c>
      <c r="DN168" s="1417" t="str">
        <f t="shared" si="225"/>
        <v>-</v>
      </c>
      <c r="DO168" s="1417" t="str">
        <f t="shared" si="226"/>
        <v>-</v>
      </c>
      <c r="DP168" s="1417" t="str">
        <f t="shared" si="227"/>
        <v>-</v>
      </c>
      <c r="DQ168" s="1419" t="str">
        <f t="shared" si="228"/>
        <v>-</v>
      </c>
    </row>
    <row r="169" spans="4:121">
      <c r="E169" s="742" t="s">
        <v>45</v>
      </c>
      <c r="F169" s="722" t="str">
        <f>+F168</f>
        <v>[Service]</v>
      </c>
      <c r="G169" s="723">
        <f>+G168</f>
        <v>0</v>
      </c>
      <c r="H169" s="723">
        <f>+H168</f>
        <v>0</v>
      </c>
      <c r="I169" s="724" t="str">
        <f>+I168</f>
        <v>[Price]</v>
      </c>
      <c r="J169" s="782" t="s">
        <v>322</v>
      </c>
      <c r="K169" s="725"/>
      <c r="L169" s="726"/>
      <c r="M169" s="726"/>
      <c r="N169" s="727"/>
      <c r="O169" s="786"/>
      <c r="P169" s="787"/>
      <c r="Q169" s="786"/>
      <c r="R169" s="786"/>
      <c r="S169" s="786"/>
      <c r="T169" s="786"/>
      <c r="U169" s="786"/>
      <c r="V169" s="786"/>
      <c r="W169" s="786"/>
      <c r="X169" s="787"/>
      <c r="Y169" s="786"/>
      <c r="Z169" s="786"/>
      <c r="AA169" s="786"/>
      <c r="AB169" s="786"/>
      <c r="AC169" s="787"/>
      <c r="AD169" s="786"/>
      <c r="AE169" s="786"/>
      <c r="AF169" s="786"/>
      <c r="AG169" s="788"/>
      <c r="AH169" s="823"/>
      <c r="AI169" s="702"/>
      <c r="AJ169" s="728"/>
      <c r="AK169" s="729"/>
      <c r="AL169" s="729"/>
      <c r="AM169" s="729"/>
      <c r="AN169" s="729"/>
      <c r="AO169" s="730"/>
      <c r="AP169" s="74"/>
      <c r="AQ169" s="74"/>
      <c r="AR169" s="74"/>
      <c r="AS169" s="106"/>
      <c r="AW169" s="1392" t="str">
        <f t="shared" si="230"/>
        <v>Qty</v>
      </c>
      <c r="AX169" s="1393" t="str">
        <f t="shared" si="230"/>
        <v>[Service]</v>
      </c>
      <c r="AY169" s="1394" t="str">
        <f t="shared" si="194"/>
        <v>[Price]</v>
      </c>
      <c r="AZ169" s="1395" t="str">
        <f t="shared" si="287"/>
        <v>-</v>
      </c>
      <c r="BA169" s="1395" t="str">
        <f t="shared" si="287"/>
        <v>-</v>
      </c>
      <c r="BB169" s="1395" t="str">
        <f t="shared" si="287"/>
        <v>-</v>
      </c>
      <c r="BC169" s="1395" t="str">
        <f t="shared" si="287"/>
        <v>-</v>
      </c>
      <c r="BD169" s="1395" t="str">
        <f t="shared" si="196"/>
        <v>-</v>
      </c>
      <c r="BE169" s="1395" t="str">
        <f t="shared" si="197"/>
        <v>-</v>
      </c>
      <c r="BF169" s="1395" t="str">
        <f t="shared" si="198"/>
        <v>-</v>
      </c>
      <c r="BG169" s="1396" t="str">
        <f t="shared" si="199"/>
        <v>-</v>
      </c>
      <c r="BH169" s="1395" t="str">
        <f t="shared" si="200"/>
        <v>-</v>
      </c>
      <c r="BI169" s="1395" t="str">
        <f t="shared" si="201"/>
        <v>-</v>
      </c>
      <c r="BJ169" s="1395" t="str">
        <f t="shared" si="202"/>
        <v>-</v>
      </c>
      <c r="BK169" s="1395" t="str">
        <f t="shared" si="203"/>
        <v>-</v>
      </c>
      <c r="BL169" s="1397" t="str">
        <f t="shared" si="204"/>
        <v>-</v>
      </c>
      <c r="BM169" s="1395" t="str">
        <f t="shared" si="205"/>
        <v>-</v>
      </c>
      <c r="BN169" s="1395" t="str">
        <f t="shared" si="206"/>
        <v>-</v>
      </c>
      <c r="BO169" s="1395" t="str">
        <f t="shared" si="207"/>
        <v>-</v>
      </c>
      <c r="BP169" s="1395" t="str">
        <f t="shared" si="208"/>
        <v>-</v>
      </c>
      <c r="BQ169" s="1398" t="str">
        <f t="shared" si="209"/>
        <v>-</v>
      </c>
      <c r="BR169" s="1378"/>
      <c r="BS169" s="1329"/>
      <c r="BT169" s="1399"/>
      <c r="BU169" s="1331"/>
      <c r="BV169" s="1400"/>
      <c r="BW169" s="1378"/>
      <c r="BX169" s="1392" t="str">
        <f t="shared" si="210"/>
        <v>Qty</v>
      </c>
      <c r="BY169" s="1393" t="str">
        <f t="shared" si="255"/>
        <v>[Service]</v>
      </c>
      <c r="BZ169" s="1394" t="str">
        <f t="shared" si="256"/>
        <v>[Price]</v>
      </c>
      <c r="CA169" s="1401" t="str">
        <f>IFERROR((S169/R169-1)*(R170/R$13),"-")</f>
        <v>-</v>
      </c>
      <c r="CB169" s="1395" t="str">
        <f>IFERROR((T169/S169-1)*(S170/S$13),"-")</f>
        <v>-</v>
      </c>
      <c r="CC169" s="1395" t="str">
        <f>IFERROR((U169/T169-1)*(T170/T$13),"-")</f>
        <v>-</v>
      </c>
      <c r="CD169" s="1395" t="str">
        <f>IFERROR((V169/U169-1)*(U170/U$13),"-")</f>
        <v>-</v>
      </c>
      <c r="CE169" s="1395" t="str">
        <f t="shared" ref="CE169:CR169" si="294">IFERROR((T169/S169-1)*(S170/S$13),"-")</f>
        <v>-</v>
      </c>
      <c r="CF169" s="1395" t="str">
        <f t="shared" si="294"/>
        <v>-</v>
      </c>
      <c r="CG169" s="1395" t="str">
        <f t="shared" si="294"/>
        <v>-</v>
      </c>
      <c r="CH169" s="1397" t="str">
        <f t="shared" si="294"/>
        <v>-</v>
      </c>
      <c r="CI169" s="1395" t="str">
        <f t="shared" si="294"/>
        <v>-</v>
      </c>
      <c r="CJ169" s="1395" t="str">
        <f t="shared" si="294"/>
        <v>-</v>
      </c>
      <c r="CK169" s="1395" t="str">
        <f t="shared" si="294"/>
        <v>-</v>
      </c>
      <c r="CL169" s="1395" t="str">
        <f t="shared" si="294"/>
        <v>-</v>
      </c>
      <c r="CM169" s="1397" t="str">
        <f t="shared" si="294"/>
        <v>-</v>
      </c>
      <c r="CN169" s="1395" t="str">
        <f t="shared" si="294"/>
        <v>-</v>
      </c>
      <c r="CO169" s="1395" t="str">
        <f t="shared" si="294"/>
        <v>-</v>
      </c>
      <c r="CP169" s="1395" t="str">
        <f t="shared" si="294"/>
        <v>-</v>
      </c>
      <c r="CQ169" s="1395" t="str">
        <f t="shared" si="294"/>
        <v>-</v>
      </c>
      <c r="CR169" s="1398" t="str">
        <f t="shared" si="294"/>
        <v>-</v>
      </c>
      <c r="CS169" s="1378"/>
      <c r="CT169" s="1392" t="str">
        <f t="shared" si="191"/>
        <v>Qty</v>
      </c>
      <c r="CU169" s="1393" t="str">
        <f t="shared" si="192"/>
        <v>[Service]</v>
      </c>
      <c r="CV169" s="1393" t="str">
        <f t="shared" si="193"/>
        <v>[Price]</v>
      </c>
      <c r="CW169" s="1401" t="str">
        <f t="shared" si="212"/>
        <v>-</v>
      </c>
      <c r="CX169" s="1395" t="str">
        <f t="shared" si="213"/>
        <v>-</v>
      </c>
      <c r="CY169" s="1395" t="str">
        <f t="shared" si="214"/>
        <v>-</v>
      </c>
      <c r="CZ169" s="1397" t="str">
        <f t="shared" si="215"/>
        <v>-</v>
      </c>
      <c r="DA169" s="1395" t="str">
        <f t="shared" si="216"/>
        <v>-</v>
      </c>
      <c r="DB169" s="1395" t="str">
        <f t="shared" si="217"/>
        <v>-</v>
      </c>
      <c r="DC169" s="1395" t="str">
        <f t="shared" si="218"/>
        <v>-</v>
      </c>
      <c r="DD169" s="1395" t="str">
        <f t="shared" si="219"/>
        <v>-</v>
      </c>
      <c r="DE169" s="1398" t="str">
        <f t="shared" si="220"/>
        <v>-</v>
      </c>
      <c r="DF169" s="1378"/>
      <c r="DG169" s="1392" t="str">
        <f t="shared" si="232"/>
        <v>Qty</v>
      </c>
      <c r="DH169" s="1393" t="str">
        <f t="shared" si="232"/>
        <v>[Service]</v>
      </c>
      <c r="DI169" s="1393" t="str">
        <f t="shared" si="232"/>
        <v>[Price]</v>
      </c>
      <c r="DJ169" s="1401" t="str">
        <f t="shared" si="221"/>
        <v>-</v>
      </c>
      <c r="DK169" s="1395" t="str">
        <f t="shared" si="222"/>
        <v>-</v>
      </c>
      <c r="DL169" s="1395" t="str">
        <f t="shared" si="223"/>
        <v>-</v>
      </c>
      <c r="DM169" s="1397" t="str">
        <f t="shared" si="224"/>
        <v>-</v>
      </c>
      <c r="DN169" s="1395" t="str">
        <f t="shared" si="225"/>
        <v>-</v>
      </c>
      <c r="DO169" s="1395" t="str">
        <f t="shared" si="226"/>
        <v>-</v>
      </c>
      <c r="DP169" s="1395" t="str">
        <f t="shared" si="227"/>
        <v>-</v>
      </c>
      <c r="DQ169" s="1398" t="str">
        <f t="shared" si="228"/>
        <v>-</v>
      </c>
    </row>
    <row r="170" spans="4:121" ht="12.75" thickBot="1">
      <c r="E170" s="743" t="s">
        <v>46</v>
      </c>
      <c r="F170" s="732" t="str">
        <f>+F168</f>
        <v>[Service]</v>
      </c>
      <c r="G170" s="733">
        <f>+G168</f>
        <v>0</v>
      </c>
      <c r="H170" s="733">
        <f>+H168</f>
        <v>0</v>
      </c>
      <c r="I170" s="734" t="str">
        <f>+I168</f>
        <v>[Price]</v>
      </c>
      <c r="J170" s="735" t="s">
        <v>344</v>
      </c>
      <c r="K170" s="736">
        <f t="shared" ref="K170:AG170" si="295">K168*K169/10^6</f>
        <v>0</v>
      </c>
      <c r="L170" s="737">
        <f t="shared" si="295"/>
        <v>0</v>
      </c>
      <c r="M170" s="737">
        <f t="shared" si="295"/>
        <v>0</v>
      </c>
      <c r="N170" s="738">
        <f t="shared" si="295"/>
        <v>0</v>
      </c>
      <c r="O170" s="737">
        <f t="shared" si="295"/>
        <v>0</v>
      </c>
      <c r="P170" s="738">
        <f t="shared" si="295"/>
        <v>0</v>
      </c>
      <c r="Q170" s="737">
        <f t="shared" si="295"/>
        <v>0</v>
      </c>
      <c r="R170" s="737">
        <f t="shared" si="295"/>
        <v>0</v>
      </c>
      <c r="S170" s="737">
        <f t="shared" si="295"/>
        <v>0</v>
      </c>
      <c r="T170" s="737">
        <f t="shared" si="295"/>
        <v>0</v>
      </c>
      <c r="U170" s="737">
        <f t="shared" si="295"/>
        <v>0</v>
      </c>
      <c r="V170" s="737">
        <f t="shared" si="295"/>
        <v>0</v>
      </c>
      <c r="W170" s="737">
        <f t="shared" si="295"/>
        <v>0</v>
      </c>
      <c r="X170" s="738">
        <f t="shared" si="295"/>
        <v>0</v>
      </c>
      <c r="Y170" s="737">
        <f t="shared" si="295"/>
        <v>0</v>
      </c>
      <c r="Z170" s="737">
        <f t="shared" si="295"/>
        <v>0</v>
      </c>
      <c r="AA170" s="737">
        <f t="shared" si="295"/>
        <v>0</v>
      </c>
      <c r="AB170" s="737">
        <f t="shared" si="295"/>
        <v>0</v>
      </c>
      <c r="AC170" s="738">
        <f t="shared" si="295"/>
        <v>0</v>
      </c>
      <c r="AD170" s="737">
        <f t="shared" si="295"/>
        <v>0</v>
      </c>
      <c r="AE170" s="737">
        <f t="shared" si="295"/>
        <v>0</v>
      </c>
      <c r="AF170" s="737">
        <f t="shared" si="295"/>
        <v>0</v>
      </c>
      <c r="AG170" s="739">
        <f t="shared" si="295"/>
        <v>0</v>
      </c>
      <c r="AH170" s="823"/>
      <c r="AI170" s="744"/>
      <c r="AJ170" s="741"/>
      <c r="AK170" s="729"/>
      <c r="AL170" s="729"/>
      <c r="AM170" s="729"/>
      <c r="AN170" s="729"/>
      <c r="AO170" s="730"/>
      <c r="AP170" s="74"/>
      <c r="AQ170" s="74"/>
      <c r="AR170" s="74"/>
      <c r="AS170" s="106"/>
      <c r="AW170" s="1428" t="str">
        <f t="shared" si="230"/>
        <v>Rev</v>
      </c>
      <c r="AX170" s="1429" t="str">
        <f t="shared" si="230"/>
        <v>[Service]</v>
      </c>
      <c r="AY170" s="1430" t="str">
        <f t="shared" si="194"/>
        <v>[Price]</v>
      </c>
      <c r="AZ170" s="1431" t="str">
        <f t="shared" si="287"/>
        <v>-</v>
      </c>
      <c r="BA170" s="1431" t="str">
        <f t="shared" si="287"/>
        <v>-</v>
      </c>
      <c r="BB170" s="1431" t="str">
        <f t="shared" si="287"/>
        <v>-</v>
      </c>
      <c r="BC170" s="1431" t="str">
        <f t="shared" si="287"/>
        <v>-</v>
      </c>
      <c r="BD170" s="1431" t="str">
        <f t="shared" si="196"/>
        <v>-</v>
      </c>
      <c r="BE170" s="1431" t="str">
        <f t="shared" si="197"/>
        <v>-</v>
      </c>
      <c r="BF170" s="1431" t="str">
        <f t="shared" si="198"/>
        <v>-</v>
      </c>
      <c r="BG170" s="1432" t="str">
        <f t="shared" si="199"/>
        <v>-</v>
      </c>
      <c r="BH170" s="1431" t="str">
        <f t="shared" si="200"/>
        <v>-</v>
      </c>
      <c r="BI170" s="1431" t="str">
        <f t="shared" si="201"/>
        <v>-</v>
      </c>
      <c r="BJ170" s="1431" t="str">
        <f t="shared" si="202"/>
        <v>-</v>
      </c>
      <c r="BK170" s="1431" t="str">
        <f t="shared" si="203"/>
        <v>-</v>
      </c>
      <c r="BL170" s="1433" t="str">
        <f t="shared" si="204"/>
        <v>-</v>
      </c>
      <c r="BM170" s="1431" t="str">
        <f t="shared" si="205"/>
        <v>-</v>
      </c>
      <c r="BN170" s="1431" t="str">
        <f t="shared" si="206"/>
        <v>-</v>
      </c>
      <c r="BO170" s="1431" t="str">
        <f t="shared" si="207"/>
        <v>-</v>
      </c>
      <c r="BP170" s="1431" t="str">
        <f t="shared" si="208"/>
        <v>-</v>
      </c>
      <c r="BQ170" s="1434" t="str">
        <f t="shared" si="209"/>
        <v>-</v>
      </c>
      <c r="BR170" s="1378"/>
      <c r="BS170" s="1407"/>
      <c r="BT170" s="1408"/>
      <c r="BU170" s="1409"/>
      <c r="BV170" s="1410"/>
      <c r="BW170" s="1378"/>
      <c r="BX170" s="1428" t="str">
        <f t="shared" si="210"/>
        <v>Rev</v>
      </c>
      <c r="BY170" s="1429" t="str">
        <f t="shared" si="255"/>
        <v>[Service]</v>
      </c>
      <c r="BZ170" s="1430" t="str">
        <f t="shared" si="256"/>
        <v>[Price]</v>
      </c>
      <c r="CA170" s="1435" t="str">
        <f>IFERROR((S170/R170-1)*(R170/R$13),"-")</f>
        <v>-</v>
      </c>
      <c r="CB170" s="1431" t="str">
        <f>IFERROR((T170/S170-1)*(S170/S$13),"-")</f>
        <v>-</v>
      </c>
      <c r="CC170" s="1431" t="str">
        <f>IFERROR((U170/T170-1)*(T170/T$13),"-")</f>
        <v>-</v>
      </c>
      <c r="CD170" s="1431" t="str">
        <f>IFERROR((V170/U170-1)*(U170/U$13),"-")</f>
        <v>-</v>
      </c>
      <c r="CE170" s="1431" t="str">
        <f t="shared" ref="CE170:CR170" si="296">IFERROR((T170/S170-1)*(S170/S$13),"-")</f>
        <v>-</v>
      </c>
      <c r="CF170" s="1431" t="str">
        <f t="shared" si="296"/>
        <v>-</v>
      </c>
      <c r="CG170" s="1431" t="str">
        <f t="shared" si="296"/>
        <v>-</v>
      </c>
      <c r="CH170" s="1433" t="str">
        <f t="shared" si="296"/>
        <v>-</v>
      </c>
      <c r="CI170" s="1431" t="str">
        <f t="shared" si="296"/>
        <v>-</v>
      </c>
      <c r="CJ170" s="1431" t="str">
        <f t="shared" si="296"/>
        <v>-</v>
      </c>
      <c r="CK170" s="1431" t="str">
        <f t="shared" si="296"/>
        <v>-</v>
      </c>
      <c r="CL170" s="1431" t="str">
        <f t="shared" si="296"/>
        <v>-</v>
      </c>
      <c r="CM170" s="1433" t="str">
        <f t="shared" si="296"/>
        <v>-</v>
      </c>
      <c r="CN170" s="1431" t="str">
        <f t="shared" si="296"/>
        <v>-</v>
      </c>
      <c r="CO170" s="1431" t="str">
        <f t="shared" si="296"/>
        <v>-</v>
      </c>
      <c r="CP170" s="1431" t="str">
        <f t="shared" si="296"/>
        <v>-</v>
      </c>
      <c r="CQ170" s="1431" t="str">
        <f t="shared" si="296"/>
        <v>-</v>
      </c>
      <c r="CR170" s="1434" t="str">
        <f t="shared" si="296"/>
        <v>-</v>
      </c>
      <c r="CS170" s="1378"/>
      <c r="CT170" s="1428" t="str">
        <f t="shared" si="191"/>
        <v>Rev</v>
      </c>
      <c r="CU170" s="1429" t="str">
        <f t="shared" si="192"/>
        <v>[Service]</v>
      </c>
      <c r="CV170" s="1429" t="str">
        <f t="shared" si="193"/>
        <v>[Price]</v>
      </c>
      <c r="CW170" s="1435" t="str">
        <f t="shared" si="212"/>
        <v>-</v>
      </c>
      <c r="CX170" s="1431" t="str">
        <f t="shared" si="213"/>
        <v>-</v>
      </c>
      <c r="CY170" s="1431" t="str">
        <f t="shared" si="214"/>
        <v>-</v>
      </c>
      <c r="CZ170" s="1433" t="str">
        <f t="shared" si="215"/>
        <v>-</v>
      </c>
      <c r="DA170" s="1431" t="str">
        <f t="shared" si="216"/>
        <v>-</v>
      </c>
      <c r="DB170" s="1431" t="str">
        <f t="shared" si="217"/>
        <v>-</v>
      </c>
      <c r="DC170" s="1431" t="str">
        <f t="shared" si="218"/>
        <v>-</v>
      </c>
      <c r="DD170" s="1431" t="str">
        <f t="shared" si="219"/>
        <v>-</v>
      </c>
      <c r="DE170" s="1434" t="str">
        <f t="shared" si="220"/>
        <v>-</v>
      </c>
      <c r="DF170" s="1378"/>
      <c r="DG170" s="1428" t="str">
        <f t="shared" si="232"/>
        <v>Rev</v>
      </c>
      <c r="DH170" s="1429" t="str">
        <f t="shared" si="232"/>
        <v>[Service]</v>
      </c>
      <c r="DI170" s="1429" t="str">
        <f t="shared" si="232"/>
        <v>[Price]</v>
      </c>
      <c r="DJ170" s="1435" t="str">
        <f t="shared" si="221"/>
        <v>-</v>
      </c>
      <c r="DK170" s="1431" t="str">
        <f t="shared" si="222"/>
        <v>-</v>
      </c>
      <c r="DL170" s="1431" t="str">
        <f t="shared" si="223"/>
        <v>-</v>
      </c>
      <c r="DM170" s="1433" t="str">
        <f t="shared" si="224"/>
        <v>-</v>
      </c>
      <c r="DN170" s="1431" t="str">
        <f t="shared" si="225"/>
        <v>-</v>
      </c>
      <c r="DO170" s="1431" t="str">
        <f t="shared" si="226"/>
        <v>-</v>
      </c>
      <c r="DP170" s="1431" t="str">
        <f t="shared" si="227"/>
        <v>-</v>
      </c>
      <c r="DQ170" s="1434" t="str">
        <f t="shared" si="228"/>
        <v>-</v>
      </c>
    </row>
    <row r="171" spans="4:121">
      <c r="D171" s="70">
        <f>D168+1</f>
        <v>35</v>
      </c>
      <c r="E171" s="713" t="s">
        <v>44</v>
      </c>
      <c r="F171" s="789" t="s">
        <v>27</v>
      </c>
      <c r="G171" s="789"/>
      <c r="H171" s="789"/>
      <c r="I171" s="781" t="s">
        <v>318</v>
      </c>
      <c r="J171" s="781" t="s">
        <v>345</v>
      </c>
      <c r="K171" s="714"/>
      <c r="L171" s="715"/>
      <c r="M171" s="715"/>
      <c r="N171" s="716"/>
      <c r="O171" s="783"/>
      <c r="P171" s="784"/>
      <c r="Q171" s="783"/>
      <c r="R171" s="783"/>
      <c r="S171" s="783"/>
      <c r="T171" s="783"/>
      <c r="U171" s="783"/>
      <c r="V171" s="783"/>
      <c r="W171" s="783"/>
      <c r="X171" s="784"/>
      <c r="Y171" s="783"/>
      <c r="Z171" s="783"/>
      <c r="AA171" s="783"/>
      <c r="AB171" s="783"/>
      <c r="AC171" s="784"/>
      <c r="AD171" s="783"/>
      <c r="AE171" s="783"/>
      <c r="AF171" s="783"/>
      <c r="AG171" s="785"/>
      <c r="AI171" s="702"/>
      <c r="AJ171" s="717" t="str">
        <f t="shared" ref="AJ171:AS171" si="297">IFERROR((X171-W171)/W171,"")</f>
        <v/>
      </c>
      <c r="AK171" s="718" t="str">
        <f t="shared" si="297"/>
        <v/>
      </c>
      <c r="AL171" s="718" t="str">
        <f t="shared" si="297"/>
        <v/>
      </c>
      <c r="AM171" s="718" t="str">
        <f t="shared" si="297"/>
        <v/>
      </c>
      <c r="AN171" s="718" t="str">
        <f t="shared" si="297"/>
        <v/>
      </c>
      <c r="AO171" s="719" t="str">
        <f t="shared" si="297"/>
        <v/>
      </c>
      <c r="AP171" s="494" t="str">
        <f t="shared" si="297"/>
        <v/>
      </c>
      <c r="AQ171" s="494" t="str">
        <f t="shared" si="297"/>
        <v/>
      </c>
      <c r="AR171" s="494" t="str">
        <f t="shared" si="297"/>
        <v/>
      </c>
      <c r="AS171" s="720" t="str">
        <f t="shared" si="297"/>
        <v/>
      </c>
      <c r="AU171" s="1369"/>
      <c r="AW171" s="1412" t="str">
        <f t="shared" si="230"/>
        <v>Price</v>
      </c>
      <c r="AX171" s="1413" t="str">
        <f t="shared" si="230"/>
        <v>[Service]</v>
      </c>
      <c r="AY171" s="1414" t="str">
        <f t="shared" si="194"/>
        <v>[Price]</v>
      </c>
      <c r="AZ171" s="1415" t="str">
        <f t="shared" si="287"/>
        <v>-</v>
      </c>
      <c r="BA171" s="1415" t="str">
        <f t="shared" si="287"/>
        <v>-</v>
      </c>
      <c r="BB171" s="1415" t="str">
        <f t="shared" si="287"/>
        <v>-</v>
      </c>
      <c r="BC171" s="1415" t="str">
        <f t="shared" si="287"/>
        <v>-</v>
      </c>
      <c r="BD171" s="1415" t="str">
        <f t="shared" si="196"/>
        <v>-</v>
      </c>
      <c r="BE171" s="1415" t="str">
        <f t="shared" si="197"/>
        <v>-</v>
      </c>
      <c r="BF171" s="1415" t="str">
        <f t="shared" si="198"/>
        <v>-</v>
      </c>
      <c r="BG171" s="1416" t="str">
        <f t="shared" si="199"/>
        <v>-</v>
      </c>
      <c r="BH171" s="1417" t="str">
        <f t="shared" si="200"/>
        <v>-</v>
      </c>
      <c r="BI171" s="1417" t="str">
        <f t="shared" si="201"/>
        <v>-</v>
      </c>
      <c r="BJ171" s="1417" t="str">
        <f t="shared" si="202"/>
        <v>-</v>
      </c>
      <c r="BK171" s="1417" t="str">
        <f t="shared" si="203"/>
        <v>-</v>
      </c>
      <c r="BL171" s="1418" t="str">
        <f t="shared" si="204"/>
        <v>-</v>
      </c>
      <c r="BM171" s="1417" t="str">
        <f t="shared" si="205"/>
        <v>-</v>
      </c>
      <c r="BN171" s="1417" t="str">
        <f t="shared" si="206"/>
        <v>-</v>
      </c>
      <c r="BO171" s="1417" t="str">
        <f t="shared" si="207"/>
        <v>-</v>
      </c>
      <c r="BP171" s="1417" t="str">
        <f t="shared" si="208"/>
        <v>-</v>
      </c>
      <c r="BQ171" s="1419" t="str">
        <f t="shared" si="209"/>
        <v>-</v>
      </c>
      <c r="BR171" s="1378"/>
      <c r="BS171" s="1420"/>
      <c r="BT171" s="1421"/>
      <c r="BU171" s="1422"/>
      <c r="BV171" s="1423"/>
      <c r="BW171" s="1378"/>
      <c r="BX171" s="1412" t="str">
        <f t="shared" si="210"/>
        <v>Price</v>
      </c>
      <c r="BY171" s="1413" t="str">
        <f t="shared" si="255"/>
        <v>[Service]</v>
      </c>
      <c r="BZ171" s="1414" t="str">
        <f t="shared" si="256"/>
        <v>[Price]</v>
      </c>
      <c r="CA171" s="1424" t="str">
        <f>IFERROR((S171/R171-1)*(R173/R$13),"-")</f>
        <v>-</v>
      </c>
      <c r="CB171" s="1415" t="str">
        <f>IFERROR((T171/S171-1)*(S173/S$13),"-")</f>
        <v>-</v>
      </c>
      <c r="CC171" s="1415" t="str">
        <f>IFERROR((U171/T171-1)*(T173/T$13),"-")</f>
        <v>-</v>
      </c>
      <c r="CD171" s="1415" t="str">
        <f>IFERROR((V171/U171-1)*(U173/U$13),"-")</f>
        <v>-</v>
      </c>
      <c r="CE171" s="1415" t="str">
        <f t="shared" ref="CE171:CR171" si="298">IFERROR((T171/S171-1)*(S173/S$13),"-")</f>
        <v>-</v>
      </c>
      <c r="CF171" s="1415" t="str">
        <f t="shared" si="298"/>
        <v>-</v>
      </c>
      <c r="CG171" s="1415" t="str">
        <f t="shared" si="298"/>
        <v>-</v>
      </c>
      <c r="CH171" s="1425" t="str">
        <f t="shared" si="298"/>
        <v>-</v>
      </c>
      <c r="CI171" s="1417" t="str">
        <f t="shared" si="298"/>
        <v>-</v>
      </c>
      <c r="CJ171" s="1417" t="str">
        <f t="shared" si="298"/>
        <v>-</v>
      </c>
      <c r="CK171" s="1417" t="str">
        <f t="shared" si="298"/>
        <v>-</v>
      </c>
      <c r="CL171" s="1417" t="str">
        <f t="shared" si="298"/>
        <v>-</v>
      </c>
      <c r="CM171" s="1418" t="str">
        <f t="shared" si="298"/>
        <v>-</v>
      </c>
      <c r="CN171" s="1417" t="str">
        <f t="shared" si="298"/>
        <v>-</v>
      </c>
      <c r="CO171" s="1417" t="str">
        <f t="shared" si="298"/>
        <v>-</v>
      </c>
      <c r="CP171" s="1417" t="str">
        <f t="shared" si="298"/>
        <v>-</v>
      </c>
      <c r="CQ171" s="1417" t="str">
        <f t="shared" si="298"/>
        <v>-</v>
      </c>
      <c r="CR171" s="1419" t="str">
        <f t="shared" si="298"/>
        <v>-</v>
      </c>
      <c r="CS171" s="1378"/>
      <c r="CT171" s="1412" t="str">
        <f t="shared" si="191"/>
        <v>Price</v>
      </c>
      <c r="CU171" s="1413" t="str">
        <f t="shared" si="192"/>
        <v>[Service]</v>
      </c>
      <c r="CV171" s="1426" t="str">
        <f t="shared" si="193"/>
        <v>[Price]</v>
      </c>
      <c r="CW171" s="1427" t="str">
        <f t="shared" si="212"/>
        <v>-</v>
      </c>
      <c r="CX171" s="1417" t="str">
        <f t="shared" si="213"/>
        <v>-</v>
      </c>
      <c r="CY171" s="1417" t="str">
        <f t="shared" si="214"/>
        <v>-</v>
      </c>
      <c r="CZ171" s="1418" t="str">
        <f t="shared" si="215"/>
        <v>-</v>
      </c>
      <c r="DA171" s="1417" t="str">
        <f t="shared" si="216"/>
        <v>-</v>
      </c>
      <c r="DB171" s="1417" t="str">
        <f t="shared" si="217"/>
        <v>-</v>
      </c>
      <c r="DC171" s="1417" t="str">
        <f t="shared" si="218"/>
        <v>-</v>
      </c>
      <c r="DD171" s="1417" t="str">
        <f t="shared" si="219"/>
        <v>-</v>
      </c>
      <c r="DE171" s="1419" t="str">
        <f t="shared" si="220"/>
        <v>-</v>
      </c>
      <c r="DF171" s="1378"/>
      <c r="DG171" s="1412" t="str">
        <f t="shared" si="232"/>
        <v>Price</v>
      </c>
      <c r="DH171" s="1413" t="str">
        <f t="shared" si="232"/>
        <v>[Service]</v>
      </c>
      <c r="DI171" s="1426" t="str">
        <f t="shared" si="232"/>
        <v>[Price]</v>
      </c>
      <c r="DJ171" s="1427" t="str">
        <f t="shared" si="221"/>
        <v>-</v>
      </c>
      <c r="DK171" s="1417" t="str">
        <f t="shared" si="222"/>
        <v>-</v>
      </c>
      <c r="DL171" s="1417" t="str">
        <f t="shared" si="223"/>
        <v>-</v>
      </c>
      <c r="DM171" s="1418" t="str">
        <f t="shared" si="224"/>
        <v>-</v>
      </c>
      <c r="DN171" s="1417" t="str">
        <f t="shared" si="225"/>
        <v>-</v>
      </c>
      <c r="DO171" s="1417" t="str">
        <f t="shared" si="226"/>
        <v>-</v>
      </c>
      <c r="DP171" s="1417" t="str">
        <f t="shared" si="227"/>
        <v>-</v>
      </c>
      <c r="DQ171" s="1419" t="str">
        <f t="shared" si="228"/>
        <v>-</v>
      </c>
    </row>
    <row r="172" spans="4:121">
      <c r="E172" s="742" t="s">
        <v>45</v>
      </c>
      <c r="F172" s="722" t="str">
        <f>+F171</f>
        <v>[Service]</v>
      </c>
      <c r="G172" s="723">
        <f>+G171</f>
        <v>0</v>
      </c>
      <c r="H172" s="723">
        <f>+H171</f>
        <v>0</v>
      </c>
      <c r="I172" s="724" t="str">
        <f>+I171</f>
        <v>[Price]</v>
      </c>
      <c r="J172" s="782" t="s">
        <v>322</v>
      </c>
      <c r="K172" s="725"/>
      <c r="L172" s="726"/>
      <c r="M172" s="726"/>
      <c r="N172" s="727"/>
      <c r="O172" s="786"/>
      <c r="P172" s="787"/>
      <c r="Q172" s="786"/>
      <c r="R172" s="786"/>
      <c r="S172" s="786"/>
      <c r="T172" s="786"/>
      <c r="U172" s="786"/>
      <c r="V172" s="786"/>
      <c r="W172" s="786"/>
      <c r="X172" s="787"/>
      <c r="Y172" s="786"/>
      <c r="Z172" s="786"/>
      <c r="AA172" s="786"/>
      <c r="AB172" s="786"/>
      <c r="AC172" s="787"/>
      <c r="AD172" s="786"/>
      <c r="AE172" s="786"/>
      <c r="AF172" s="786"/>
      <c r="AG172" s="788"/>
      <c r="AH172" s="823"/>
      <c r="AI172" s="702"/>
      <c r="AJ172" s="728"/>
      <c r="AK172" s="729"/>
      <c r="AL172" s="729"/>
      <c r="AM172" s="729"/>
      <c r="AN172" s="729"/>
      <c r="AO172" s="730"/>
      <c r="AP172" s="74"/>
      <c r="AQ172" s="74"/>
      <c r="AR172" s="74"/>
      <c r="AS172" s="106"/>
      <c r="AW172" s="1392" t="str">
        <f t="shared" si="230"/>
        <v>Qty</v>
      </c>
      <c r="AX172" s="1393" t="str">
        <f t="shared" si="230"/>
        <v>[Service]</v>
      </c>
      <c r="AY172" s="1394" t="str">
        <f t="shared" si="194"/>
        <v>[Price]</v>
      </c>
      <c r="AZ172" s="1395" t="str">
        <f t="shared" si="287"/>
        <v>-</v>
      </c>
      <c r="BA172" s="1395" t="str">
        <f t="shared" si="287"/>
        <v>-</v>
      </c>
      <c r="BB172" s="1395" t="str">
        <f t="shared" si="287"/>
        <v>-</v>
      </c>
      <c r="BC172" s="1395" t="str">
        <f t="shared" si="287"/>
        <v>-</v>
      </c>
      <c r="BD172" s="1395" t="str">
        <f t="shared" si="196"/>
        <v>-</v>
      </c>
      <c r="BE172" s="1395" t="str">
        <f t="shared" si="197"/>
        <v>-</v>
      </c>
      <c r="BF172" s="1395" t="str">
        <f t="shared" si="198"/>
        <v>-</v>
      </c>
      <c r="BG172" s="1396" t="str">
        <f t="shared" si="199"/>
        <v>-</v>
      </c>
      <c r="BH172" s="1395" t="str">
        <f t="shared" si="200"/>
        <v>-</v>
      </c>
      <c r="BI172" s="1395" t="str">
        <f t="shared" si="201"/>
        <v>-</v>
      </c>
      <c r="BJ172" s="1395" t="str">
        <f t="shared" si="202"/>
        <v>-</v>
      </c>
      <c r="BK172" s="1395" t="str">
        <f t="shared" si="203"/>
        <v>-</v>
      </c>
      <c r="BL172" s="1397" t="str">
        <f t="shared" si="204"/>
        <v>-</v>
      </c>
      <c r="BM172" s="1395" t="str">
        <f t="shared" si="205"/>
        <v>-</v>
      </c>
      <c r="BN172" s="1395" t="str">
        <f t="shared" si="206"/>
        <v>-</v>
      </c>
      <c r="BO172" s="1395" t="str">
        <f t="shared" si="207"/>
        <v>-</v>
      </c>
      <c r="BP172" s="1395" t="str">
        <f t="shared" si="208"/>
        <v>-</v>
      </c>
      <c r="BQ172" s="1398" t="str">
        <f t="shared" si="209"/>
        <v>-</v>
      </c>
      <c r="BR172" s="1378"/>
      <c r="BS172" s="1329"/>
      <c r="BT172" s="1399"/>
      <c r="BU172" s="1331"/>
      <c r="BV172" s="1400"/>
      <c r="BW172" s="1378"/>
      <c r="BX172" s="1392" t="str">
        <f t="shared" si="210"/>
        <v>Qty</v>
      </c>
      <c r="BY172" s="1393" t="str">
        <f t="shared" si="255"/>
        <v>[Service]</v>
      </c>
      <c r="BZ172" s="1394" t="str">
        <f t="shared" si="256"/>
        <v>[Price]</v>
      </c>
      <c r="CA172" s="1401" t="str">
        <f>IFERROR((S172/R172-1)*(R173/R$13),"-")</f>
        <v>-</v>
      </c>
      <c r="CB172" s="1395" t="str">
        <f>IFERROR((T172/S172-1)*(S173/S$13),"-")</f>
        <v>-</v>
      </c>
      <c r="CC172" s="1395" t="str">
        <f>IFERROR((U172/T172-1)*(T173/T$13),"-")</f>
        <v>-</v>
      </c>
      <c r="CD172" s="1395" t="str">
        <f>IFERROR((V172/U172-1)*(U173/U$13),"-")</f>
        <v>-</v>
      </c>
      <c r="CE172" s="1395" t="str">
        <f t="shared" ref="CE172:CR172" si="299">IFERROR((T172/S172-1)*(S173/S$13),"-")</f>
        <v>-</v>
      </c>
      <c r="CF172" s="1395" t="str">
        <f t="shared" si="299"/>
        <v>-</v>
      </c>
      <c r="CG172" s="1395" t="str">
        <f t="shared" si="299"/>
        <v>-</v>
      </c>
      <c r="CH172" s="1397" t="str">
        <f t="shared" si="299"/>
        <v>-</v>
      </c>
      <c r="CI172" s="1395" t="str">
        <f t="shared" si="299"/>
        <v>-</v>
      </c>
      <c r="CJ172" s="1395" t="str">
        <f t="shared" si="299"/>
        <v>-</v>
      </c>
      <c r="CK172" s="1395" t="str">
        <f t="shared" si="299"/>
        <v>-</v>
      </c>
      <c r="CL172" s="1395" t="str">
        <f t="shared" si="299"/>
        <v>-</v>
      </c>
      <c r="CM172" s="1397" t="str">
        <f t="shared" si="299"/>
        <v>-</v>
      </c>
      <c r="CN172" s="1395" t="str">
        <f t="shared" si="299"/>
        <v>-</v>
      </c>
      <c r="CO172" s="1395" t="str">
        <f t="shared" si="299"/>
        <v>-</v>
      </c>
      <c r="CP172" s="1395" t="str">
        <f t="shared" si="299"/>
        <v>-</v>
      </c>
      <c r="CQ172" s="1395" t="str">
        <f t="shared" si="299"/>
        <v>-</v>
      </c>
      <c r="CR172" s="1398" t="str">
        <f t="shared" si="299"/>
        <v>-</v>
      </c>
      <c r="CS172" s="1378"/>
      <c r="CT172" s="1392" t="str">
        <f t="shared" si="191"/>
        <v>Qty</v>
      </c>
      <c r="CU172" s="1393" t="str">
        <f t="shared" si="192"/>
        <v>[Service]</v>
      </c>
      <c r="CV172" s="1393" t="str">
        <f t="shared" si="193"/>
        <v>[Price]</v>
      </c>
      <c r="CW172" s="1401" t="str">
        <f t="shared" si="212"/>
        <v>-</v>
      </c>
      <c r="CX172" s="1395" t="str">
        <f t="shared" si="213"/>
        <v>-</v>
      </c>
      <c r="CY172" s="1395" t="str">
        <f t="shared" si="214"/>
        <v>-</v>
      </c>
      <c r="CZ172" s="1397" t="str">
        <f t="shared" si="215"/>
        <v>-</v>
      </c>
      <c r="DA172" s="1395" t="str">
        <f t="shared" si="216"/>
        <v>-</v>
      </c>
      <c r="DB172" s="1395" t="str">
        <f t="shared" si="217"/>
        <v>-</v>
      </c>
      <c r="DC172" s="1395" t="str">
        <f t="shared" si="218"/>
        <v>-</v>
      </c>
      <c r="DD172" s="1395" t="str">
        <f t="shared" si="219"/>
        <v>-</v>
      </c>
      <c r="DE172" s="1398" t="str">
        <f t="shared" si="220"/>
        <v>-</v>
      </c>
      <c r="DF172" s="1378"/>
      <c r="DG172" s="1392" t="str">
        <f t="shared" si="232"/>
        <v>Qty</v>
      </c>
      <c r="DH172" s="1393" t="str">
        <f t="shared" si="232"/>
        <v>[Service]</v>
      </c>
      <c r="DI172" s="1393" t="str">
        <f t="shared" si="232"/>
        <v>[Price]</v>
      </c>
      <c r="DJ172" s="1401" t="str">
        <f t="shared" si="221"/>
        <v>-</v>
      </c>
      <c r="DK172" s="1395" t="str">
        <f t="shared" si="222"/>
        <v>-</v>
      </c>
      <c r="DL172" s="1395" t="str">
        <f t="shared" si="223"/>
        <v>-</v>
      </c>
      <c r="DM172" s="1397" t="str">
        <f t="shared" si="224"/>
        <v>-</v>
      </c>
      <c r="DN172" s="1395" t="str">
        <f t="shared" si="225"/>
        <v>-</v>
      </c>
      <c r="DO172" s="1395" t="str">
        <f t="shared" si="226"/>
        <v>-</v>
      </c>
      <c r="DP172" s="1395" t="str">
        <f t="shared" si="227"/>
        <v>-</v>
      </c>
      <c r="DQ172" s="1398" t="str">
        <f t="shared" si="228"/>
        <v>-</v>
      </c>
    </row>
    <row r="173" spans="4:121" ht="12.75" thickBot="1">
      <c r="E173" s="743" t="s">
        <v>46</v>
      </c>
      <c r="F173" s="732" t="str">
        <f>+F171</f>
        <v>[Service]</v>
      </c>
      <c r="G173" s="733">
        <f>+G171</f>
        <v>0</v>
      </c>
      <c r="H173" s="733">
        <f>+H171</f>
        <v>0</v>
      </c>
      <c r="I173" s="734" t="str">
        <f>+I171</f>
        <v>[Price]</v>
      </c>
      <c r="J173" s="735" t="s">
        <v>344</v>
      </c>
      <c r="K173" s="736">
        <f t="shared" ref="K173:AG173" si="300">K171*K172/10^6</f>
        <v>0</v>
      </c>
      <c r="L173" s="737">
        <f t="shared" si="300"/>
        <v>0</v>
      </c>
      <c r="M173" s="737">
        <f t="shared" si="300"/>
        <v>0</v>
      </c>
      <c r="N173" s="738">
        <f t="shared" si="300"/>
        <v>0</v>
      </c>
      <c r="O173" s="737">
        <f t="shared" si="300"/>
        <v>0</v>
      </c>
      <c r="P173" s="738">
        <f t="shared" si="300"/>
        <v>0</v>
      </c>
      <c r="Q173" s="737">
        <f t="shared" si="300"/>
        <v>0</v>
      </c>
      <c r="R173" s="737">
        <f t="shared" si="300"/>
        <v>0</v>
      </c>
      <c r="S173" s="737">
        <f t="shared" si="300"/>
        <v>0</v>
      </c>
      <c r="T173" s="737">
        <f t="shared" si="300"/>
        <v>0</v>
      </c>
      <c r="U173" s="737">
        <f t="shared" si="300"/>
        <v>0</v>
      </c>
      <c r="V173" s="737">
        <f t="shared" si="300"/>
        <v>0</v>
      </c>
      <c r="W173" s="737">
        <f t="shared" si="300"/>
        <v>0</v>
      </c>
      <c r="X173" s="738">
        <f t="shared" si="300"/>
        <v>0</v>
      </c>
      <c r="Y173" s="737">
        <f t="shared" si="300"/>
        <v>0</v>
      </c>
      <c r="Z173" s="737">
        <f t="shared" si="300"/>
        <v>0</v>
      </c>
      <c r="AA173" s="737">
        <f t="shared" si="300"/>
        <v>0</v>
      </c>
      <c r="AB173" s="737">
        <f t="shared" si="300"/>
        <v>0</v>
      </c>
      <c r="AC173" s="738">
        <f t="shared" si="300"/>
        <v>0</v>
      </c>
      <c r="AD173" s="737">
        <f t="shared" si="300"/>
        <v>0</v>
      </c>
      <c r="AE173" s="737">
        <f t="shared" si="300"/>
        <v>0</v>
      </c>
      <c r="AF173" s="737">
        <f t="shared" si="300"/>
        <v>0</v>
      </c>
      <c r="AG173" s="739">
        <f t="shared" si="300"/>
        <v>0</v>
      </c>
      <c r="AH173" s="823"/>
      <c r="AI173" s="744"/>
      <c r="AJ173" s="741"/>
      <c r="AK173" s="729"/>
      <c r="AL173" s="729"/>
      <c r="AM173" s="729"/>
      <c r="AN173" s="729"/>
      <c r="AO173" s="730"/>
      <c r="AP173" s="74"/>
      <c r="AQ173" s="74"/>
      <c r="AR173" s="74"/>
      <c r="AS173" s="106"/>
      <c r="AW173" s="1428" t="str">
        <f t="shared" si="230"/>
        <v>Rev</v>
      </c>
      <c r="AX173" s="1429" t="str">
        <f t="shared" si="230"/>
        <v>[Service]</v>
      </c>
      <c r="AY173" s="1430" t="str">
        <f t="shared" si="194"/>
        <v>[Price]</v>
      </c>
      <c r="AZ173" s="1431" t="str">
        <f t="shared" si="287"/>
        <v>-</v>
      </c>
      <c r="BA173" s="1431" t="str">
        <f t="shared" si="287"/>
        <v>-</v>
      </c>
      <c r="BB173" s="1431" t="str">
        <f t="shared" si="287"/>
        <v>-</v>
      </c>
      <c r="BC173" s="1431" t="str">
        <f t="shared" si="287"/>
        <v>-</v>
      </c>
      <c r="BD173" s="1431" t="str">
        <f t="shared" si="196"/>
        <v>-</v>
      </c>
      <c r="BE173" s="1431" t="str">
        <f t="shared" si="197"/>
        <v>-</v>
      </c>
      <c r="BF173" s="1431" t="str">
        <f t="shared" si="198"/>
        <v>-</v>
      </c>
      <c r="BG173" s="1432" t="str">
        <f t="shared" si="199"/>
        <v>-</v>
      </c>
      <c r="BH173" s="1431" t="str">
        <f t="shared" si="200"/>
        <v>-</v>
      </c>
      <c r="BI173" s="1431" t="str">
        <f t="shared" si="201"/>
        <v>-</v>
      </c>
      <c r="BJ173" s="1431" t="str">
        <f t="shared" si="202"/>
        <v>-</v>
      </c>
      <c r="BK173" s="1431" t="str">
        <f t="shared" si="203"/>
        <v>-</v>
      </c>
      <c r="BL173" s="1433" t="str">
        <f t="shared" si="204"/>
        <v>-</v>
      </c>
      <c r="BM173" s="1431" t="str">
        <f t="shared" si="205"/>
        <v>-</v>
      </c>
      <c r="BN173" s="1431" t="str">
        <f t="shared" si="206"/>
        <v>-</v>
      </c>
      <c r="BO173" s="1431" t="str">
        <f t="shared" si="207"/>
        <v>-</v>
      </c>
      <c r="BP173" s="1431" t="str">
        <f t="shared" si="208"/>
        <v>-</v>
      </c>
      <c r="BQ173" s="1434" t="str">
        <f t="shared" si="209"/>
        <v>-</v>
      </c>
      <c r="BR173" s="1378"/>
      <c r="BS173" s="1407"/>
      <c r="BT173" s="1408"/>
      <c r="BU173" s="1409"/>
      <c r="BV173" s="1410"/>
      <c r="BW173" s="1378"/>
      <c r="BX173" s="1428" t="str">
        <f t="shared" si="210"/>
        <v>Rev</v>
      </c>
      <c r="BY173" s="1429" t="str">
        <f t="shared" si="255"/>
        <v>[Service]</v>
      </c>
      <c r="BZ173" s="1430" t="str">
        <f t="shared" si="256"/>
        <v>[Price]</v>
      </c>
      <c r="CA173" s="1435" t="str">
        <f>IFERROR((S173/R173-1)*(R173/R$13),"-")</f>
        <v>-</v>
      </c>
      <c r="CB173" s="1431" t="str">
        <f>IFERROR((T173/S173-1)*(S173/S$13),"-")</f>
        <v>-</v>
      </c>
      <c r="CC173" s="1431" t="str">
        <f>IFERROR((U173/T173-1)*(T173/T$13),"-")</f>
        <v>-</v>
      </c>
      <c r="CD173" s="1431" t="str">
        <f>IFERROR((V173/U173-1)*(U173/U$13),"-")</f>
        <v>-</v>
      </c>
      <c r="CE173" s="1431" t="str">
        <f t="shared" ref="CE173:CR173" si="301">IFERROR((T173/S173-1)*(S173/S$13),"-")</f>
        <v>-</v>
      </c>
      <c r="CF173" s="1431" t="str">
        <f t="shared" si="301"/>
        <v>-</v>
      </c>
      <c r="CG173" s="1431" t="str">
        <f t="shared" si="301"/>
        <v>-</v>
      </c>
      <c r="CH173" s="1433" t="str">
        <f t="shared" si="301"/>
        <v>-</v>
      </c>
      <c r="CI173" s="1431" t="str">
        <f t="shared" si="301"/>
        <v>-</v>
      </c>
      <c r="CJ173" s="1431" t="str">
        <f t="shared" si="301"/>
        <v>-</v>
      </c>
      <c r="CK173" s="1431" t="str">
        <f t="shared" si="301"/>
        <v>-</v>
      </c>
      <c r="CL173" s="1431" t="str">
        <f t="shared" si="301"/>
        <v>-</v>
      </c>
      <c r="CM173" s="1433" t="str">
        <f t="shared" si="301"/>
        <v>-</v>
      </c>
      <c r="CN173" s="1431" t="str">
        <f t="shared" si="301"/>
        <v>-</v>
      </c>
      <c r="CO173" s="1431" t="str">
        <f t="shared" si="301"/>
        <v>-</v>
      </c>
      <c r="CP173" s="1431" t="str">
        <f t="shared" si="301"/>
        <v>-</v>
      </c>
      <c r="CQ173" s="1431" t="str">
        <f t="shared" si="301"/>
        <v>-</v>
      </c>
      <c r="CR173" s="1434" t="str">
        <f t="shared" si="301"/>
        <v>-</v>
      </c>
      <c r="CS173" s="1378"/>
      <c r="CT173" s="1428" t="str">
        <f t="shared" si="191"/>
        <v>Rev</v>
      </c>
      <c r="CU173" s="1429" t="str">
        <f t="shared" si="192"/>
        <v>[Service]</v>
      </c>
      <c r="CV173" s="1429" t="str">
        <f t="shared" si="193"/>
        <v>[Price]</v>
      </c>
      <c r="CW173" s="1435" t="str">
        <f t="shared" si="212"/>
        <v>-</v>
      </c>
      <c r="CX173" s="1431" t="str">
        <f t="shared" si="213"/>
        <v>-</v>
      </c>
      <c r="CY173" s="1431" t="str">
        <f t="shared" si="214"/>
        <v>-</v>
      </c>
      <c r="CZ173" s="1433" t="str">
        <f t="shared" si="215"/>
        <v>-</v>
      </c>
      <c r="DA173" s="1431" t="str">
        <f t="shared" si="216"/>
        <v>-</v>
      </c>
      <c r="DB173" s="1431" t="str">
        <f t="shared" si="217"/>
        <v>-</v>
      </c>
      <c r="DC173" s="1431" t="str">
        <f t="shared" si="218"/>
        <v>-</v>
      </c>
      <c r="DD173" s="1431" t="str">
        <f t="shared" si="219"/>
        <v>-</v>
      </c>
      <c r="DE173" s="1434" t="str">
        <f t="shared" si="220"/>
        <v>-</v>
      </c>
      <c r="DF173" s="1378"/>
      <c r="DG173" s="1428" t="str">
        <f t="shared" si="232"/>
        <v>Rev</v>
      </c>
      <c r="DH173" s="1429" t="str">
        <f t="shared" si="232"/>
        <v>[Service]</v>
      </c>
      <c r="DI173" s="1429" t="str">
        <f t="shared" si="232"/>
        <v>[Price]</v>
      </c>
      <c r="DJ173" s="1435" t="str">
        <f t="shared" si="221"/>
        <v>-</v>
      </c>
      <c r="DK173" s="1431" t="str">
        <f t="shared" si="222"/>
        <v>-</v>
      </c>
      <c r="DL173" s="1431" t="str">
        <f t="shared" si="223"/>
        <v>-</v>
      </c>
      <c r="DM173" s="1433" t="str">
        <f t="shared" si="224"/>
        <v>-</v>
      </c>
      <c r="DN173" s="1431" t="str">
        <f t="shared" si="225"/>
        <v>-</v>
      </c>
      <c r="DO173" s="1431" t="str">
        <f t="shared" si="226"/>
        <v>-</v>
      </c>
      <c r="DP173" s="1431" t="str">
        <f t="shared" si="227"/>
        <v>-</v>
      </c>
      <c r="DQ173" s="1434" t="str">
        <f t="shared" si="228"/>
        <v>-</v>
      </c>
    </row>
    <row r="174" spans="4:121">
      <c r="D174" s="70">
        <f>D171+1</f>
        <v>36</v>
      </c>
      <c r="E174" s="713" t="s">
        <v>44</v>
      </c>
      <c r="F174" s="789" t="s">
        <v>27</v>
      </c>
      <c r="G174" s="789"/>
      <c r="H174" s="789"/>
      <c r="I174" s="781" t="s">
        <v>318</v>
      </c>
      <c r="J174" s="781" t="s">
        <v>345</v>
      </c>
      <c r="K174" s="714"/>
      <c r="L174" s="715"/>
      <c r="M174" s="715"/>
      <c r="N174" s="716"/>
      <c r="O174" s="783"/>
      <c r="P174" s="784"/>
      <c r="Q174" s="783"/>
      <c r="R174" s="783"/>
      <c r="S174" s="783"/>
      <c r="T174" s="783"/>
      <c r="U174" s="783"/>
      <c r="V174" s="783"/>
      <c r="W174" s="783"/>
      <c r="X174" s="784"/>
      <c r="Y174" s="783"/>
      <c r="Z174" s="783"/>
      <c r="AA174" s="783"/>
      <c r="AB174" s="783"/>
      <c r="AC174" s="784"/>
      <c r="AD174" s="783"/>
      <c r="AE174" s="783"/>
      <c r="AF174" s="783"/>
      <c r="AG174" s="785"/>
      <c r="AI174" s="702"/>
      <c r="AJ174" s="717" t="str">
        <f t="shared" ref="AJ174:AS174" si="302">IFERROR((X174-W174)/W174,"")</f>
        <v/>
      </c>
      <c r="AK174" s="718" t="str">
        <f t="shared" si="302"/>
        <v/>
      </c>
      <c r="AL174" s="718" t="str">
        <f t="shared" si="302"/>
        <v/>
      </c>
      <c r="AM174" s="718" t="str">
        <f t="shared" si="302"/>
        <v/>
      </c>
      <c r="AN174" s="718" t="str">
        <f t="shared" si="302"/>
        <v/>
      </c>
      <c r="AO174" s="719" t="str">
        <f t="shared" si="302"/>
        <v/>
      </c>
      <c r="AP174" s="494" t="str">
        <f t="shared" si="302"/>
        <v/>
      </c>
      <c r="AQ174" s="494" t="str">
        <f t="shared" si="302"/>
        <v/>
      </c>
      <c r="AR174" s="494" t="str">
        <f t="shared" si="302"/>
        <v/>
      </c>
      <c r="AS174" s="720" t="str">
        <f t="shared" si="302"/>
        <v/>
      </c>
      <c r="AU174" s="1369"/>
      <c r="AW174" s="1412" t="str">
        <f t="shared" si="230"/>
        <v>Price</v>
      </c>
      <c r="AX174" s="1413" t="str">
        <f t="shared" si="230"/>
        <v>[Service]</v>
      </c>
      <c r="AY174" s="1414" t="str">
        <f t="shared" si="194"/>
        <v>[Price]</v>
      </c>
      <c r="AZ174" s="1415" t="str">
        <f t="shared" si="287"/>
        <v>-</v>
      </c>
      <c r="BA174" s="1415" t="str">
        <f t="shared" si="287"/>
        <v>-</v>
      </c>
      <c r="BB174" s="1415" t="str">
        <f t="shared" si="287"/>
        <v>-</v>
      </c>
      <c r="BC174" s="1415" t="str">
        <f t="shared" si="287"/>
        <v>-</v>
      </c>
      <c r="BD174" s="1415" t="str">
        <f t="shared" si="196"/>
        <v>-</v>
      </c>
      <c r="BE174" s="1415" t="str">
        <f t="shared" si="197"/>
        <v>-</v>
      </c>
      <c r="BF174" s="1415" t="str">
        <f t="shared" si="198"/>
        <v>-</v>
      </c>
      <c r="BG174" s="1416" t="str">
        <f t="shared" si="199"/>
        <v>-</v>
      </c>
      <c r="BH174" s="1417" t="str">
        <f t="shared" si="200"/>
        <v>-</v>
      </c>
      <c r="BI174" s="1417" t="str">
        <f t="shared" si="201"/>
        <v>-</v>
      </c>
      <c r="BJ174" s="1417" t="str">
        <f t="shared" si="202"/>
        <v>-</v>
      </c>
      <c r="BK174" s="1417" t="str">
        <f t="shared" si="203"/>
        <v>-</v>
      </c>
      <c r="BL174" s="1418" t="str">
        <f t="shared" si="204"/>
        <v>-</v>
      </c>
      <c r="BM174" s="1417" t="str">
        <f t="shared" si="205"/>
        <v>-</v>
      </c>
      <c r="BN174" s="1417" t="str">
        <f t="shared" si="206"/>
        <v>-</v>
      </c>
      <c r="BO174" s="1417" t="str">
        <f t="shared" si="207"/>
        <v>-</v>
      </c>
      <c r="BP174" s="1417" t="str">
        <f t="shared" si="208"/>
        <v>-</v>
      </c>
      <c r="BQ174" s="1419" t="str">
        <f t="shared" si="209"/>
        <v>-</v>
      </c>
      <c r="BR174" s="1378"/>
      <c r="BS174" s="1420"/>
      <c r="BT174" s="1421"/>
      <c r="BU174" s="1422"/>
      <c r="BV174" s="1423"/>
      <c r="BW174" s="1378"/>
      <c r="BX174" s="1412" t="str">
        <f t="shared" si="210"/>
        <v>Price</v>
      </c>
      <c r="BY174" s="1413" t="str">
        <f t="shared" si="255"/>
        <v>[Service]</v>
      </c>
      <c r="BZ174" s="1414" t="str">
        <f t="shared" si="256"/>
        <v>[Price]</v>
      </c>
      <c r="CA174" s="1424" t="str">
        <f>IFERROR((S174/R174-1)*(R176/R$13),"-")</f>
        <v>-</v>
      </c>
      <c r="CB174" s="1415" t="str">
        <f>IFERROR((T174/S174-1)*(S176/S$13),"-")</f>
        <v>-</v>
      </c>
      <c r="CC174" s="1415" t="str">
        <f>IFERROR((U174/T174-1)*(T176/T$13),"-")</f>
        <v>-</v>
      </c>
      <c r="CD174" s="1415" t="str">
        <f>IFERROR((V174/U174-1)*(U176/U$13),"-")</f>
        <v>-</v>
      </c>
      <c r="CE174" s="1415" t="str">
        <f t="shared" ref="CE174:CR174" si="303">IFERROR((T174/S174-1)*(S176/S$13),"-")</f>
        <v>-</v>
      </c>
      <c r="CF174" s="1415" t="str">
        <f t="shared" si="303"/>
        <v>-</v>
      </c>
      <c r="CG174" s="1415" t="str">
        <f t="shared" si="303"/>
        <v>-</v>
      </c>
      <c r="CH174" s="1425" t="str">
        <f t="shared" si="303"/>
        <v>-</v>
      </c>
      <c r="CI174" s="1417" t="str">
        <f t="shared" si="303"/>
        <v>-</v>
      </c>
      <c r="CJ174" s="1417" t="str">
        <f t="shared" si="303"/>
        <v>-</v>
      </c>
      <c r="CK174" s="1417" t="str">
        <f t="shared" si="303"/>
        <v>-</v>
      </c>
      <c r="CL174" s="1417" t="str">
        <f t="shared" si="303"/>
        <v>-</v>
      </c>
      <c r="CM174" s="1418" t="str">
        <f t="shared" si="303"/>
        <v>-</v>
      </c>
      <c r="CN174" s="1417" t="str">
        <f t="shared" si="303"/>
        <v>-</v>
      </c>
      <c r="CO174" s="1417" t="str">
        <f t="shared" si="303"/>
        <v>-</v>
      </c>
      <c r="CP174" s="1417" t="str">
        <f t="shared" si="303"/>
        <v>-</v>
      </c>
      <c r="CQ174" s="1417" t="str">
        <f t="shared" si="303"/>
        <v>-</v>
      </c>
      <c r="CR174" s="1419" t="str">
        <f t="shared" si="303"/>
        <v>-</v>
      </c>
      <c r="CS174" s="1378"/>
      <c r="CT174" s="1412" t="str">
        <f t="shared" si="191"/>
        <v>Price</v>
      </c>
      <c r="CU174" s="1413" t="str">
        <f t="shared" si="192"/>
        <v>[Service]</v>
      </c>
      <c r="CV174" s="1426" t="str">
        <f t="shared" si="193"/>
        <v>[Price]</v>
      </c>
      <c r="CW174" s="1427" t="str">
        <f t="shared" si="212"/>
        <v>-</v>
      </c>
      <c r="CX174" s="1417" t="str">
        <f t="shared" si="213"/>
        <v>-</v>
      </c>
      <c r="CY174" s="1417" t="str">
        <f t="shared" si="214"/>
        <v>-</v>
      </c>
      <c r="CZ174" s="1418" t="str">
        <f t="shared" si="215"/>
        <v>-</v>
      </c>
      <c r="DA174" s="1417" t="str">
        <f t="shared" si="216"/>
        <v>-</v>
      </c>
      <c r="DB174" s="1417" t="str">
        <f t="shared" si="217"/>
        <v>-</v>
      </c>
      <c r="DC174" s="1417" t="str">
        <f t="shared" si="218"/>
        <v>-</v>
      </c>
      <c r="DD174" s="1417" t="str">
        <f t="shared" si="219"/>
        <v>-</v>
      </c>
      <c r="DE174" s="1419" t="str">
        <f t="shared" si="220"/>
        <v>-</v>
      </c>
      <c r="DF174" s="1378"/>
      <c r="DG174" s="1412" t="str">
        <f t="shared" si="232"/>
        <v>Price</v>
      </c>
      <c r="DH174" s="1413" t="str">
        <f t="shared" si="232"/>
        <v>[Service]</v>
      </c>
      <c r="DI174" s="1426" t="str">
        <f t="shared" si="232"/>
        <v>[Price]</v>
      </c>
      <c r="DJ174" s="1427" t="str">
        <f t="shared" si="221"/>
        <v>-</v>
      </c>
      <c r="DK174" s="1417" t="str">
        <f t="shared" si="222"/>
        <v>-</v>
      </c>
      <c r="DL174" s="1417" t="str">
        <f t="shared" si="223"/>
        <v>-</v>
      </c>
      <c r="DM174" s="1418" t="str">
        <f t="shared" si="224"/>
        <v>-</v>
      </c>
      <c r="DN174" s="1417" t="str">
        <f t="shared" si="225"/>
        <v>-</v>
      </c>
      <c r="DO174" s="1417" t="str">
        <f t="shared" si="226"/>
        <v>-</v>
      </c>
      <c r="DP174" s="1417" t="str">
        <f t="shared" si="227"/>
        <v>-</v>
      </c>
      <c r="DQ174" s="1419" t="str">
        <f t="shared" si="228"/>
        <v>-</v>
      </c>
    </row>
    <row r="175" spans="4:121">
      <c r="E175" s="742" t="s">
        <v>45</v>
      </c>
      <c r="F175" s="722" t="str">
        <f>+F174</f>
        <v>[Service]</v>
      </c>
      <c r="G175" s="723">
        <f>+G174</f>
        <v>0</v>
      </c>
      <c r="H175" s="723">
        <f>+H174</f>
        <v>0</v>
      </c>
      <c r="I175" s="724" t="str">
        <f>+I174</f>
        <v>[Price]</v>
      </c>
      <c r="J175" s="782" t="s">
        <v>322</v>
      </c>
      <c r="K175" s="725"/>
      <c r="L175" s="726"/>
      <c r="M175" s="726"/>
      <c r="N175" s="727"/>
      <c r="O175" s="786"/>
      <c r="P175" s="787"/>
      <c r="Q175" s="786"/>
      <c r="R175" s="786"/>
      <c r="S175" s="786"/>
      <c r="T175" s="786"/>
      <c r="U175" s="786"/>
      <c r="V175" s="786"/>
      <c r="W175" s="786"/>
      <c r="X175" s="787"/>
      <c r="Y175" s="786"/>
      <c r="Z175" s="786"/>
      <c r="AA175" s="786"/>
      <c r="AB175" s="786"/>
      <c r="AC175" s="787"/>
      <c r="AD175" s="786"/>
      <c r="AE175" s="786"/>
      <c r="AF175" s="786"/>
      <c r="AG175" s="788"/>
      <c r="AH175" s="823"/>
      <c r="AI175" s="702"/>
      <c r="AJ175" s="728"/>
      <c r="AK175" s="729"/>
      <c r="AL175" s="729"/>
      <c r="AM175" s="729"/>
      <c r="AN175" s="729"/>
      <c r="AO175" s="730"/>
      <c r="AP175" s="74"/>
      <c r="AQ175" s="74"/>
      <c r="AR175" s="74"/>
      <c r="AS175" s="106"/>
      <c r="AW175" s="1392" t="str">
        <f t="shared" si="230"/>
        <v>Qty</v>
      </c>
      <c r="AX175" s="1393" t="str">
        <f t="shared" si="230"/>
        <v>[Service]</v>
      </c>
      <c r="AY175" s="1394" t="str">
        <f t="shared" si="194"/>
        <v>[Price]</v>
      </c>
      <c r="AZ175" s="1395" t="str">
        <f t="shared" si="287"/>
        <v>-</v>
      </c>
      <c r="BA175" s="1395" t="str">
        <f t="shared" si="287"/>
        <v>-</v>
      </c>
      <c r="BB175" s="1395" t="str">
        <f t="shared" si="287"/>
        <v>-</v>
      </c>
      <c r="BC175" s="1395" t="str">
        <f t="shared" si="287"/>
        <v>-</v>
      </c>
      <c r="BD175" s="1395" t="str">
        <f t="shared" si="196"/>
        <v>-</v>
      </c>
      <c r="BE175" s="1395" t="str">
        <f t="shared" si="197"/>
        <v>-</v>
      </c>
      <c r="BF175" s="1395" t="str">
        <f t="shared" si="198"/>
        <v>-</v>
      </c>
      <c r="BG175" s="1396" t="str">
        <f t="shared" si="199"/>
        <v>-</v>
      </c>
      <c r="BH175" s="1395" t="str">
        <f t="shared" si="200"/>
        <v>-</v>
      </c>
      <c r="BI175" s="1395" t="str">
        <f t="shared" si="201"/>
        <v>-</v>
      </c>
      <c r="BJ175" s="1395" t="str">
        <f t="shared" si="202"/>
        <v>-</v>
      </c>
      <c r="BK175" s="1395" t="str">
        <f t="shared" si="203"/>
        <v>-</v>
      </c>
      <c r="BL175" s="1397" t="str">
        <f t="shared" si="204"/>
        <v>-</v>
      </c>
      <c r="BM175" s="1395" t="str">
        <f t="shared" si="205"/>
        <v>-</v>
      </c>
      <c r="BN175" s="1395" t="str">
        <f t="shared" si="206"/>
        <v>-</v>
      </c>
      <c r="BO175" s="1395" t="str">
        <f t="shared" si="207"/>
        <v>-</v>
      </c>
      <c r="BP175" s="1395" t="str">
        <f t="shared" si="208"/>
        <v>-</v>
      </c>
      <c r="BQ175" s="1398" t="str">
        <f t="shared" si="209"/>
        <v>-</v>
      </c>
      <c r="BR175" s="1378"/>
      <c r="BS175" s="1329"/>
      <c r="BT175" s="1399"/>
      <c r="BU175" s="1331"/>
      <c r="BV175" s="1400"/>
      <c r="BW175" s="1378"/>
      <c r="BX175" s="1392" t="str">
        <f t="shared" si="210"/>
        <v>Qty</v>
      </c>
      <c r="BY175" s="1393" t="str">
        <f t="shared" si="255"/>
        <v>[Service]</v>
      </c>
      <c r="BZ175" s="1394" t="str">
        <f t="shared" si="256"/>
        <v>[Price]</v>
      </c>
      <c r="CA175" s="1401" t="str">
        <f>IFERROR((S175/R175-1)*(R176/R$13),"-")</f>
        <v>-</v>
      </c>
      <c r="CB175" s="1395" t="str">
        <f>IFERROR((T175/S175-1)*(S176/S$13),"-")</f>
        <v>-</v>
      </c>
      <c r="CC175" s="1395" t="str">
        <f>IFERROR((U175/T175-1)*(T176/T$13),"-")</f>
        <v>-</v>
      </c>
      <c r="CD175" s="1395" t="str">
        <f>IFERROR((V175/U175-1)*(U176/U$13),"-")</f>
        <v>-</v>
      </c>
      <c r="CE175" s="1395" t="str">
        <f t="shared" ref="CE175:CR175" si="304">IFERROR((T175/S175-1)*(S176/S$13),"-")</f>
        <v>-</v>
      </c>
      <c r="CF175" s="1395" t="str">
        <f t="shared" si="304"/>
        <v>-</v>
      </c>
      <c r="CG175" s="1395" t="str">
        <f t="shared" si="304"/>
        <v>-</v>
      </c>
      <c r="CH175" s="1397" t="str">
        <f t="shared" si="304"/>
        <v>-</v>
      </c>
      <c r="CI175" s="1395" t="str">
        <f t="shared" si="304"/>
        <v>-</v>
      </c>
      <c r="CJ175" s="1395" t="str">
        <f t="shared" si="304"/>
        <v>-</v>
      </c>
      <c r="CK175" s="1395" t="str">
        <f t="shared" si="304"/>
        <v>-</v>
      </c>
      <c r="CL175" s="1395" t="str">
        <f t="shared" si="304"/>
        <v>-</v>
      </c>
      <c r="CM175" s="1397" t="str">
        <f t="shared" si="304"/>
        <v>-</v>
      </c>
      <c r="CN175" s="1395" t="str">
        <f t="shared" si="304"/>
        <v>-</v>
      </c>
      <c r="CO175" s="1395" t="str">
        <f t="shared" si="304"/>
        <v>-</v>
      </c>
      <c r="CP175" s="1395" t="str">
        <f t="shared" si="304"/>
        <v>-</v>
      </c>
      <c r="CQ175" s="1395" t="str">
        <f t="shared" si="304"/>
        <v>-</v>
      </c>
      <c r="CR175" s="1398" t="str">
        <f t="shared" si="304"/>
        <v>-</v>
      </c>
      <c r="CS175" s="1378"/>
      <c r="CT175" s="1392" t="str">
        <f t="shared" si="191"/>
        <v>Qty</v>
      </c>
      <c r="CU175" s="1393" t="str">
        <f t="shared" si="192"/>
        <v>[Service]</v>
      </c>
      <c r="CV175" s="1393" t="str">
        <f t="shared" si="193"/>
        <v>[Price]</v>
      </c>
      <c r="CW175" s="1401" t="str">
        <f t="shared" si="212"/>
        <v>-</v>
      </c>
      <c r="CX175" s="1395" t="str">
        <f t="shared" si="213"/>
        <v>-</v>
      </c>
      <c r="CY175" s="1395" t="str">
        <f t="shared" si="214"/>
        <v>-</v>
      </c>
      <c r="CZ175" s="1397" t="str">
        <f t="shared" si="215"/>
        <v>-</v>
      </c>
      <c r="DA175" s="1395" t="str">
        <f t="shared" si="216"/>
        <v>-</v>
      </c>
      <c r="DB175" s="1395" t="str">
        <f t="shared" si="217"/>
        <v>-</v>
      </c>
      <c r="DC175" s="1395" t="str">
        <f t="shared" si="218"/>
        <v>-</v>
      </c>
      <c r="DD175" s="1395" t="str">
        <f t="shared" si="219"/>
        <v>-</v>
      </c>
      <c r="DE175" s="1398" t="str">
        <f t="shared" si="220"/>
        <v>-</v>
      </c>
      <c r="DF175" s="1378"/>
      <c r="DG175" s="1392" t="str">
        <f t="shared" si="232"/>
        <v>Qty</v>
      </c>
      <c r="DH175" s="1393" t="str">
        <f t="shared" si="232"/>
        <v>[Service]</v>
      </c>
      <c r="DI175" s="1393" t="str">
        <f t="shared" si="232"/>
        <v>[Price]</v>
      </c>
      <c r="DJ175" s="1401" t="str">
        <f t="shared" si="221"/>
        <v>-</v>
      </c>
      <c r="DK175" s="1395" t="str">
        <f t="shared" si="222"/>
        <v>-</v>
      </c>
      <c r="DL175" s="1395" t="str">
        <f t="shared" si="223"/>
        <v>-</v>
      </c>
      <c r="DM175" s="1397" t="str">
        <f t="shared" si="224"/>
        <v>-</v>
      </c>
      <c r="DN175" s="1395" t="str">
        <f t="shared" si="225"/>
        <v>-</v>
      </c>
      <c r="DO175" s="1395" t="str">
        <f t="shared" si="226"/>
        <v>-</v>
      </c>
      <c r="DP175" s="1395" t="str">
        <f t="shared" si="227"/>
        <v>-</v>
      </c>
      <c r="DQ175" s="1398" t="str">
        <f t="shared" si="228"/>
        <v>-</v>
      </c>
    </row>
    <row r="176" spans="4:121" ht="12.75" thickBot="1">
      <c r="E176" s="743" t="s">
        <v>46</v>
      </c>
      <c r="F176" s="732" t="str">
        <f>+F174</f>
        <v>[Service]</v>
      </c>
      <c r="G176" s="733">
        <f>+G174</f>
        <v>0</v>
      </c>
      <c r="H176" s="733">
        <f>+H174</f>
        <v>0</v>
      </c>
      <c r="I176" s="734" t="str">
        <f>+I174</f>
        <v>[Price]</v>
      </c>
      <c r="J176" s="735" t="s">
        <v>344</v>
      </c>
      <c r="K176" s="736">
        <f t="shared" ref="K176:AG176" si="305">K174*K175/10^6</f>
        <v>0</v>
      </c>
      <c r="L176" s="737">
        <f t="shared" si="305"/>
        <v>0</v>
      </c>
      <c r="M176" s="737">
        <f t="shared" si="305"/>
        <v>0</v>
      </c>
      <c r="N176" s="738">
        <f t="shared" si="305"/>
        <v>0</v>
      </c>
      <c r="O176" s="737">
        <f t="shared" si="305"/>
        <v>0</v>
      </c>
      <c r="P176" s="738">
        <f t="shared" si="305"/>
        <v>0</v>
      </c>
      <c r="Q176" s="737">
        <f t="shared" si="305"/>
        <v>0</v>
      </c>
      <c r="R176" s="737">
        <f t="shared" si="305"/>
        <v>0</v>
      </c>
      <c r="S176" s="737">
        <f t="shared" si="305"/>
        <v>0</v>
      </c>
      <c r="T176" s="737">
        <f t="shared" si="305"/>
        <v>0</v>
      </c>
      <c r="U176" s="737">
        <f t="shared" si="305"/>
        <v>0</v>
      </c>
      <c r="V176" s="737">
        <f t="shared" si="305"/>
        <v>0</v>
      </c>
      <c r="W176" s="737">
        <f t="shared" si="305"/>
        <v>0</v>
      </c>
      <c r="X176" s="738">
        <f t="shared" si="305"/>
        <v>0</v>
      </c>
      <c r="Y176" s="737">
        <f t="shared" si="305"/>
        <v>0</v>
      </c>
      <c r="Z176" s="737">
        <f t="shared" si="305"/>
        <v>0</v>
      </c>
      <c r="AA176" s="737">
        <f t="shared" si="305"/>
        <v>0</v>
      </c>
      <c r="AB176" s="737">
        <f t="shared" si="305"/>
        <v>0</v>
      </c>
      <c r="AC176" s="738">
        <f t="shared" si="305"/>
        <v>0</v>
      </c>
      <c r="AD176" s="737">
        <f t="shared" si="305"/>
        <v>0</v>
      </c>
      <c r="AE176" s="737">
        <f t="shared" si="305"/>
        <v>0</v>
      </c>
      <c r="AF176" s="737">
        <f t="shared" si="305"/>
        <v>0</v>
      </c>
      <c r="AG176" s="739">
        <f t="shared" si="305"/>
        <v>0</v>
      </c>
      <c r="AH176" s="823"/>
      <c r="AI176" s="744"/>
      <c r="AJ176" s="741"/>
      <c r="AK176" s="729"/>
      <c r="AL176" s="729"/>
      <c r="AM176" s="729"/>
      <c r="AN176" s="729"/>
      <c r="AO176" s="730"/>
      <c r="AP176" s="74"/>
      <c r="AQ176" s="74"/>
      <c r="AR176" s="74"/>
      <c r="AS176" s="106"/>
      <c r="AW176" s="1428" t="str">
        <f t="shared" si="230"/>
        <v>Rev</v>
      </c>
      <c r="AX176" s="1429" t="str">
        <f t="shared" si="230"/>
        <v>[Service]</v>
      </c>
      <c r="AY176" s="1430" t="str">
        <f t="shared" si="194"/>
        <v>[Price]</v>
      </c>
      <c r="AZ176" s="1431" t="str">
        <f t="shared" si="287"/>
        <v>-</v>
      </c>
      <c r="BA176" s="1431" t="str">
        <f t="shared" si="287"/>
        <v>-</v>
      </c>
      <c r="BB176" s="1431" t="str">
        <f t="shared" si="287"/>
        <v>-</v>
      </c>
      <c r="BC176" s="1431" t="str">
        <f t="shared" si="287"/>
        <v>-</v>
      </c>
      <c r="BD176" s="1431" t="str">
        <f t="shared" si="196"/>
        <v>-</v>
      </c>
      <c r="BE176" s="1431" t="str">
        <f t="shared" si="197"/>
        <v>-</v>
      </c>
      <c r="BF176" s="1431" t="str">
        <f t="shared" si="198"/>
        <v>-</v>
      </c>
      <c r="BG176" s="1432" t="str">
        <f t="shared" si="199"/>
        <v>-</v>
      </c>
      <c r="BH176" s="1431" t="str">
        <f t="shared" si="200"/>
        <v>-</v>
      </c>
      <c r="BI176" s="1431" t="str">
        <f t="shared" si="201"/>
        <v>-</v>
      </c>
      <c r="BJ176" s="1431" t="str">
        <f t="shared" si="202"/>
        <v>-</v>
      </c>
      <c r="BK176" s="1431" t="str">
        <f t="shared" si="203"/>
        <v>-</v>
      </c>
      <c r="BL176" s="1433" t="str">
        <f t="shared" si="204"/>
        <v>-</v>
      </c>
      <c r="BM176" s="1431" t="str">
        <f t="shared" si="205"/>
        <v>-</v>
      </c>
      <c r="BN176" s="1431" t="str">
        <f t="shared" si="206"/>
        <v>-</v>
      </c>
      <c r="BO176" s="1431" t="str">
        <f t="shared" si="207"/>
        <v>-</v>
      </c>
      <c r="BP176" s="1431" t="str">
        <f t="shared" si="208"/>
        <v>-</v>
      </c>
      <c r="BQ176" s="1434" t="str">
        <f t="shared" si="209"/>
        <v>-</v>
      </c>
      <c r="BR176" s="1378"/>
      <c r="BS176" s="1407"/>
      <c r="BT176" s="1408"/>
      <c r="BU176" s="1409"/>
      <c r="BV176" s="1410"/>
      <c r="BW176" s="1378"/>
      <c r="BX176" s="1428" t="str">
        <f t="shared" si="210"/>
        <v>Rev</v>
      </c>
      <c r="BY176" s="1429" t="str">
        <f t="shared" si="255"/>
        <v>[Service]</v>
      </c>
      <c r="BZ176" s="1430" t="str">
        <f t="shared" si="256"/>
        <v>[Price]</v>
      </c>
      <c r="CA176" s="1435" t="str">
        <f>IFERROR((S176/R176-1)*(R176/R$13),"-")</f>
        <v>-</v>
      </c>
      <c r="CB176" s="1431" t="str">
        <f>IFERROR((T176/S176-1)*(S176/S$13),"-")</f>
        <v>-</v>
      </c>
      <c r="CC176" s="1431" t="str">
        <f>IFERROR((U176/T176-1)*(T176/T$13),"-")</f>
        <v>-</v>
      </c>
      <c r="CD176" s="1431" t="str">
        <f>IFERROR((V176/U176-1)*(U176/U$13),"-")</f>
        <v>-</v>
      </c>
      <c r="CE176" s="1431" t="str">
        <f t="shared" ref="CE176:CR176" si="306">IFERROR((T176/S176-1)*(S176/S$13),"-")</f>
        <v>-</v>
      </c>
      <c r="CF176" s="1431" t="str">
        <f t="shared" si="306"/>
        <v>-</v>
      </c>
      <c r="CG176" s="1431" t="str">
        <f t="shared" si="306"/>
        <v>-</v>
      </c>
      <c r="CH176" s="1433" t="str">
        <f t="shared" si="306"/>
        <v>-</v>
      </c>
      <c r="CI176" s="1431" t="str">
        <f t="shared" si="306"/>
        <v>-</v>
      </c>
      <c r="CJ176" s="1431" t="str">
        <f t="shared" si="306"/>
        <v>-</v>
      </c>
      <c r="CK176" s="1431" t="str">
        <f t="shared" si="306"/>
        <v>-</v>
      </c>
      <c r="CL176" s="1431" t="str">
        <f t="shared" si="306"/>
        <v>-</v>
      </c>
      <c r="CM176" s="1433" t="str">
        <f t="shared" si="306"/>
        <v>-</v>
      </c>
      <c r="CN176" s="1431" t="str">
        <f t="shared" si="306"/>
        <v>-</v>
      </c>
      <c r="CO176" s="1431" t="str">
        <f t="shared" si="306"/>
        <v>-</v>
      </c>
      <c r="CP176" s="1431" t="str">
        <f t="shared" si="306"/>
        <v>-</v>
      </c>
      <c r="CQ176" s="1431" t="str">
        <f t="shared" si="306"/>
        <v>-</v>
      </c>
      <c r="CR176" s="1434" t="str">
        <f t="shared" si="306"/>
        <v>-</v>
      </c>
      <c r="CS176" s="1378"/>
      <c r="CT176" s="1428" t="str">
        <f t="shared" si="191"/>
        <v>Rev</v>
      </c>
      <c r="CU176" s="1429" t="str">
        <f t="shared" si="192"/>
        <v>[Service]</v>
      </c>
      <c r="CV176" s="1429" t="str">
        <f t="shared" si="193"/>
        <v>[Price]</v>
      </c>
      <c r="CW176" s="1435" t="str">
        <f t="shared" si="212"/>
        <v>-</v>
      </c>
      <c r="CX176" s="1431" t="str">
        <f t="shared" si="213"/>
        <v>-</v>
      </c>
      <c r="CY176" s="1431" t="str">
        <f t="shared" si="214"/>
        <v>-</v>
      </c>
      <c r="CZ176" s="1433" t="str">
        <f t="shared" si="215"/>
        <v>-</v>
      </c>
      <c r="DA176" s="1431" t="str">
        <f t="shared" si="216"/>
        <v>-</v>
      </c>
      <c r="DB176" s="1431" t="str">
        <f t="shared" si="217"/>
        <v>-</v>
      </c>
      <c r="DC176" s="1431" t="str">
        <f t="shared" si="218"/>
        <v>-</v>
      </c>
      <c r="DD176" s="1431" t="str">
        <f t="shared" si="219"/>
        <v>-</v>
      </c>
      <c r="DE176" s="1434" t="str">
        <f t="shared" si="220"/>
        <v>-</v>
      </c>
      <c r="DF176" s="1378"/>
      <c r="DG176" s="1428" t="str">
        <f t="shared" si="232"/>
        <v>Rev</v>
      </c>
      <c r="DH176" s="1429" t="str">
        <f t="shared" si="232"/>
        <v>[Service]</v>
      </c>
      <c r="DI176" s="1429" t="str">
        <f t="shared" si="232"/>
        <v>[Price]</v>
      </c>
      <c r="DJ176" s="1435" t="str">
        <f t="shared" si="221"/>
        <v>-</v>
      </c>
      <c r="DK176" s="1431" t="str">
        <f t="shared" si="222"/>
        <v>-</v>
      </c>
      <c r="DL176" s="1431" t="str">
        <f t="shared" si="223"/>
        <v>-</v>
      </c>
      <c r="DM176" s="1433" t="str">
        <f t="shared" si="224"/>
        <v>-</v>
      </c>
      <c r="DN176" s="1431" t="str">
        <f t="shared" si="225"/>
        <v>-</v>
      </c>
      <c r="DO176" s="1431" t="str">
        <f t="shared" si="226"/>
        <v>-</v>
      </c>
      <c r="DP176" s="1431" t="str">
        <f t="shared" si="227"/>
        <v>-</v>
      </c>
      <c r="DQ176" s="1434" t="str">
        <f t="shared" si="228"/>
        <v>-</v>
      </c>
    </row>
    <row r="177" spans="4:121">
      <c r="D177" s="70">
        <f>D174+1</f>
        <v>37</v>
      </c>
      <c r="E177" s="713" t="s">
        <v>44</v>
      </c>
      <c r="F177" s="789" t="s">
        <v>27</v>
      </c>
      <c r="G177" s="789"/>
      <c r="H177" s="789"/>
      <c r="I177" s="781" t="s">
        <v>318</v>
      </c>
      <c r="J177" s="781" t="s">
        <v>345</v>
      </c>
      <c r="K177" s="714"/>
      <c r="L177" s="715"/>
      <c r="M177" s="715"/>
      <c r="N177" s="716"/>
      <c r="O177" s="783"/>
      <c r="P177" s="784"/>
      <c r="Q177" s="783"/>
      <c r="R177" s="783"/>
      <c r="S177" s="783"/>
      <c r="T177" s="783"/>
      <c r="U177" s="783"/>
      <c r="V177" s="783"/>
      <c r="W177" s="783"/>
      <c r="X177" s="784"/>
      <c r="Y177" s="783"/>
      <c r="Z177" s="783"/>
      <c r="AA177" s="783"/>
      <c r="AB177" s="783"/>
      <c r="AC177" s="784"/>
      <c r="AD177" s="783"/>
      <c r="AE177" s="783"/>
      <c r="AF177" s="783"/>
      <c r="AG177" s="785"/>
      <c r="AI177" s="702"/>
      <c r="AJ177" s="717" t="str">
        <f t="shared" ref="AJ177:AS177" si="307">IFERROR((X177-W177)/W177,"")</f>
        <v/>
      </c>
      <c r="AK177" s="718" t="str">
        <f t="shared" si="307"/>
        <v/>
      </c>
      <c r="AL177" s="718" t="str">
        <f t="shared" si="307"/>
        <v/>
      </c>
      <c r="AM177" s="718" t="str">
        <f t="shared" si="307"/>
        <v/>
      </c>
      <c r="AN177" s="718" t="str">
        <f t="shared" si="307"/>
        <v/>
      </c>
      <c r="AO177" s="719" t="str">
        <f t="shared" si="307"/>
        <v/>
      </c>
      <c r="AP177" s="494" t="str">
        <f t="shared" si="307"/>
        <v/>
      </c>
      <c r="AQ177" s="494" t="str">
        <f t="shared" si="307"/>
        <v/>
      </c>
      <c r="AR177" s="494" t="str">
        <f t="shared" si="307"/>
        <v/>
      </c>
      <c r="AS177" s="720" t="str">
        <f t="shared" si="307"/>
        <v/>
      </c>
      <c r="AU177" s="1369"/>
      <c r="AW177" s="1412" t="str">
        <f t="shared" si="230"/>
        <v>Price</v>
      </c>
      <c r="AX177" s="1413" t="str">
        <f t="shared" si="230"/>
        <v>[Service]</v>
      </c>
      <c r="AY177" s="1414" t="str">
        <f t="shared" si="194"/>
        <v>[Price]</v>
      </c>
      <c r="AZ177" s="1415" t="str">
        <f t="shared" si="287"/>
        <v>-</v>
      </c>
      <c r="BA177" s="1415" t="str">
        <f t="shared" si="287"/>
        <v>-</v>
      </c>
      <c r="BB177" s="1415" t="str">
        <f t="shared" si="287"/>
        <v>-</v>
      </c>
      <c r="BC177" s="1415" t="str">
        <f t="shared" si="287"/>
        <v>-</v>
      </c>
      <c r="BD177" s="1415" t="str">
        <f t="shared" si="196"/>
        <v>-</v>
      </c>
      <c r="BE177" s="1415" t="str">
        <f t="shared" si="197"/>
        <v>-</v>
      </c>
      <c r="BF177" s="1415" t="str">
        <f t="shared" si="198"/>
        <v>-</v>
      </c>
      <c r="BG177" s="1416" t="str">
        <f t="shared" si="199"/>
        <v>-</v>
      </c>
      <c r="BH177" s="1417" t="str">
        <f t="shared" si="200"/>
        <v>-</v>
      </c>
      <c r="BI177" s="1417" t="str">
        <f t="shared" si="201"/>
        <v>-</v>
      </c>
      <c r="BJ177" s="1417" t="str">
        <f t="shared" si="202"/>
        <v>-</v>
      </c>
      <c r="BK177" s="1417" t="str">
        <f t="shared" si="203"/>
        <v>-</v>
      </c>
      <c r="BL177" s="1418" t="str">
        <f t="shared" si="204"/>
        <v>-</v>
      </c>
      <c r="BM177" s="1417" t="str">
        <f t="shared" si="205"/>
        <v>-</v>
      </c>
      <c r="BN177" s="1417" t="str">
        <f t="shared" si="206"/>
        <v>-</v>
      </c>
      <c r="BO177" s="1417" t="str">
        <f t="shared" si="207"/>
        <v>-</v>
      </c>
      <c r="BP177" s="1417" t="str">
        <f t="shared" si="208"/>
        <v>-</v>
      </c>
      <c r="BQ177" s="1419" t="str">
        <f t="shared" si="209"/>
        <v>-</v>
      </c>
      <c r="BR177" s="1378"/>
      <c r="BS177" s="1420"/>
      <c r="BT177" s="1421"/>
      <c r="BU177" s="1422"/>
      <c r="BV177" s="1423"/>
      <c r="BW177" s="1378"/>
      <c r="BX177" s="1412" t="str">
        <f t="shared" si="210"/>
        <v>Price</v>
      </c>
      <c r="BY177" s="1413" t="str">
        <f t="shared" si="255"/>
        <v>[Service]</v>
      </c>
      <c r="BZ177" s="1414" t="str">
        <f t="shared" si="256"/>
        <v>[Price]</v>
      </c>
      <c r="CA177" s="1424" t="str">
        <f>IFERROR((S177/R177-1)*(R179/R$13),"-")</f>
        <v>-</v>
      </c>
      <c r="CB177" s="1415" t="str">
        <f>IFERROR((T177/S177-1)*(S179/S$13),"-")</f>
        <v>-</v>
      </c>
      <c r="CC177" s="1415" t="str">
        <f>IFERROR((U177/T177-1)*(T179/T$13),"-")</f>
        <v>-</v>
      </c>
      <c r="CD177" s="1415" t="str">
        <f>IFERROR((V177/U177-1)*(U179/U$13),"-")</f>
        <v>-</v>
      </c>
      <c r="CE177" s="1415" t="str">
        <f t="shared" ref="CE177:CR177" si="308">IFERROR((T177/S177-1)*(S179/S$13),"-")</f>
        <v>-</v>
      </c>
      <c r="CF177" s="1415" t="str">
        <f t="shared" si="308"/>
        <v>-</v>
      </c>
      <c r="CG177" s="1415" t="str">
        <f t="shared" si="308"/>
        <v>-</v>
      </c>
      <c r="CH177" s="1425" t="str">
        <f t="shared" si="308"/>
        <v>-</v>
      </c>
      <c r="CI177" s="1417" t="str">
        <f t="shared" si="308"/>
        <v>-</v>
      </c>
      <c r="CJ177" s="1417" t="str">
        <f t="shared" si="308"/>
        <v>-</v>
      </c>
      <c r="CK177" s="1417" t="str">
        <f t="shared" si="308"/>
        <v>-</v>
      </c>
      <c r="CL177" s="1417" t="str">
        <f t="shared" si="308"/>
        <v>-</v>
      </c>
      <c r="CM177" s="1418" t="str">
        <f t="shared" si="308"/>
        <v>-</v>
      </c>
      <c r="CN177" s="1417" t="str">
        <f t="shared" si="308"/>
        <v>-</v>
      </c>
      <c r="CO177" s="1417" t="str">
        <f t="shared" si="308"/>
        <v>-</v>
      </c>
      <c r="CP177" s="1417" t="str">
        <f t="shared" si="308"/>
        <v>-</v>
      </c>
      <c r="CQ177" s="1417" t="str">
        <f t="shared" si="308"/>
        <v>-</v>
      </c>
      <c r="CR177" s="1419" t="str">
        <f t="shared" si="308"/>
        <v>-</v>
      </c>
      <c r="CS177" s="1378"/>
      <c r="CT177" s="1412" t="str">
        <f t="shared" si="191"/>
        <v>Price</v>
      </c>
      <c r="CU177" s="1413" t="str">
        <f t="shared" si="192"/>
        <v>[Service]</v>
      </c>
      <c r="CV177" s="1426" t="str">
        <f t="shared" si="193"/>
        <v>[Price]</v>
      </c>
      <c r="CW177" s="1427" t="str">
        <f t="shared" si="212"/>
        <v>-</v>
      </c>
      <c r="CX177" s="1417" t="str">
        <f t="shared" si="213"/>
        <v>-</v>
      </c>
      <c r="CY177" s="1417" t="str">
        <f t="shared" si="214"/>
        <v>-</v>
      </c>
      <c r="CZ177" s="1418" t="str">
        <f t="shared" si="215"/>
        <v>-</v>
      </c>
      <c r="DA177" s="1417" t="str">
        <f t="shared" si="216"/>
        <v>-</v>
      </c>
      <c r="DB177" s="1417" t="str">
        <f t="shared" si="217"/>
        <v>-</v>
      </c>
      <c r="DC177" s="1417" t="str">
        <f t="shared" si="218"/>
        <v>-</v>
      </c>
      <c r="DD177" s="1417" t="str">
        <f t="shared" si="219"/>
        <v>-</v>
      </c>
      <c r="DE177" s="1419" t="str">
        <f t="shared" si="220"/>
        <v>-</v>
      </c>
      <c r="DF177" s="1378"/>
      <c r="DG177" s="1412" t="str">
        <f t="shared" si="232"/>
        <v>Price</v>
      </c>
      <c r="DH177" s="1413" t="str">
        <f t="shared" si="232"/>
        <v>[Service]</v>
      </c>
      <c r="DI177" s="1426" t="str">
        <f t="shared" si="232"/>
        <v>[Price]</v>
      </c>
      <c r="DJ177" s="1427" t="str">
        <f t="shared" si="221"/>
        <v>-</v>
      </c>
      <c r="DK177" s="1417" t="str">
        <f t="shared" si="222"/>
        <v>-</v>
      </c>
      <c r="DL177" s="1417" t="str">
        <f t="shared" si="223"/>
        <v>-</v>
      </c>
      <c r="DM177" s="1418" t="str">
        <f t="shared" si="224"/>
        <v>-</v>
      </c>
      <c r="DN177" s="1417" t="str">
        <f t="shared" si="225"/>
        <v>-</v>
      </c>
      <c r="DO177" s="1417" t="str">
        <f t="shared" si="226"/>
        <v>-</v>
      </c>
      <c r="DP177" s="1417" t="str">
        <f t="shared" si="227"/>
        <v>-</v>
      </c>
      <c r="DQ177" s="1419" t="str">
        <f t="shared" si="228"/>
        <v>-</v>
      </c>
    </row>
    <row r="178" spans="4:121">
      <c r="E178" s="742" t="s">
        <v>45</v>
      </c>
      <c r="F178" s="722" t="str">
        <f>+F177</f>
        <v>[Service]</v>
      </c>
      <c r="G178" s="723">
        <f>+G177</f>
        <v>0</v>
      </c>
      <c r="H178" s="723">
        <f>+H177</f>
        <v>0</v>
      </c>
      <c r="I178" s="724" t="str">
        <f>+I177</f>
        <v>[Price]</v>
      </c>
      <c r="J178" s="782" t="s">
        <v>322</v>
      </c>
      <c r="K178" s="725"/>
      <c r="L178" s="726"/>
      <c r="M178" s="726"/>
      <c r="N178" s="727"/>
      <c r="O178" s="786"/>
      <c r="P178" s="787"/>
      <c r="Q178" s="786"/>
      <c r="R178" s="786"/>
      <c r="S178" s="786"/>
      <c r="T178" s="786"/>
      <c r="U178" s="786"/>
      <c r="V178" s="786"/>
      <c r="W178" s="786"/>
      <c r="X178" s="787"/>
      <c r="Y178" s="786"/>
      <c r="Z178" s="786"/>
      <c r="AA178" s="786"/>
      <c r="AB178" s="786"/>
      <c r="AC178" s="787"/>
      <c r="AD178" s="786"/>
      <c r="AE178" s="786"/>
      <c r="AF178" s="786"/>
      <c r="AG178" s="788"/>
      <c r="AH178" s="823"/>
      <c r="AI178" s="702"/>
      <c r="AJ178" s="728"/>
      <c r="AK178" s="729"/>
      <c r="AL178" s="729"/>
      <c r="AM178" s="729"/>
      <c r="AN178" s="729"/>
      <c r="AO178" s="730"/>
      <c r="AP178" s="74"/>
      <c r="AQ178" s="74"/>
      <c r="AR178" s="74"/>
      <c r="AS178" s="106"/>
      <c r="AW178" s="1392" t="str">
        <f t="shared" si="230"/>
        <v>Qty</v>
      </c>
      <c r="AX178" s="1393" t="str">
        <f t="shared" si="230"/>
        <v>[Service]</v>
      </c>
      <c r="AY178" s="1394" t="str">
        <f t="shared" si="194"/>
        <v>[Price]</v>
      </c>
      <c r="AZ178" s="1395" t="str">
        <f t="shared" si="287"/>
        <v>-</v>
      </c>
      <c r="BA178" s="1395" t="str">
        <f t="shared" si="287"/>
        <v>-</v>
      </c>
      <c r="BB178" s="1395" t="str">
        <f t="shared" si="287"/>
        <v>-</v>
      </c>
      <c r="BC178" s="1395" t="str">
        <f t="shared" si="287"/>
        <v>-</v>
      </c>
      <c r="BD178" s="1395" t="str">
        <f t="shared" si="196"/>
        <v>-</v>
      </c>
      <c r="BE178" s="1395" t="str">
        <f t="shared" si="197"/>
        <v>-</v>
      </c>
      <c r="BF178" s="1395" t="str">
        <f t="shared" si="198"/>
        <v>-</v>
      </c>
      <c r="BG178" s="1396" t="str">
        <f t="shared" si="199"/>
        <v>-</v>
      </c>
      <c r="BH178" s="1395" t="str">
        <f t="shared" si="200"/>
        <v>-</v>
      </c>
      <c r="BI178" s="1395" t="str">
        <f t="shared" si="201"/>
        <v>-</v>
      </c>
      <c r="BJ178" s="1395" t="str">
        <f t="shared" si="202"/>
        <v>-</v>
      </c>
      <c r="BK178" s="1395" t="str">
        <f t="shared" si="203"/>
        <v>-</v>
      </c>
      <c r="BL178" s="1397" t="str">
        <f t="shared" si="204"/>
        <v>-</v>
      </c>
      <c r="BM178" s="1395" t="str">
        <f t="shared" si="205"/>
        <v>-</v>
      </c>
      <c r="BN178" s="1395" t="str">
        <f t="shared" si="206"/>
        <v>-</v>
      </c>
      <c r="BO178" s="1395" t="str">
        <f t="shared" si="207"/>
        <v>-</v>
      </c>
      <c r="BP178" s="1395" t="str">
        <f t="shared" si="208"/>
        <v>-</v>
      </c>
      <c r="BQ178" s="1398" t="str">
        <f t="shared" si="209"/>
        <v>-</v>
      </c>
      <c r="BR178" s="1378"/>
      <c r="BS178" s="1329"/>
      <c r="BT178" s="1399"/>
      <c r="BU178" s="1331"/>
      <c r="BV178" s="1400"/>
      <c r="BW178" s="1378"/>
      <c r="BX178" s="1392" t="str">
        <f t="shared" si="210"/>
        <v>Qty</v>
      </c>
      <c r="BY178" s="1393" t="str">
        <f t="shared" si="255"/>
        <v>[Service]</v>
      </c>
      <c r="BZ178" s="1394" t="str">
        <f t="shared" si="256"/>
        <v>[Price]</v>
      </c>
      <c r="CA178" s="1401" t="str">
        <f>IFERROR((S178/R178-1)*(R179/R$13),"-")</f>
        <v>-</v>
      </c>
      <c r="CB178" s="1395" t="str">
        <f>IFERROR((T178/S178-1)*(S179/S$13),"-")</f>
        <v>-</v>
      </c>
      <c r="CC178" s="1395" t="str">
        <f>IFERROR((U178/T178-1)*(T179/T$13),"-")</f>
        <v>-</v>
      </c>
      <c r="CD178" s="1395" t="str">
        <f>IFERROR((V178/U178-1)*(U179/U$13),"-")</f>
        <v>-</v>
      </c>
      <c r="CE178" s="1395" t="str">
        <f t="shared" ref="CE178:CR178" si="309">IFERROR((T178/S178-1)*(S179/S$13),"-")</f>
        <v>-</v>
      </c>
      <c r="CF178" s="1395" t="str">
        <f t="shared" si="309"/>
        <v>-</v>
      </c>
      <c r="CG178" s="1395" t="str">
        <f t="shared" si="309"/>
        <v>-</v>
      </c>
      <c r="CH178" s="1397" t="str">
        <f t="shared" si="309"/>
        <v>-</v>
      </c>
      <c r="CI178" s="1395" t="str">
        <f t="shared" si="309"/>
        <v>-</v>
      </c>
      <c r="CJ178" s="1395" t="str">
        <f t="shared" si="309"/>
        <v>-</v>
      </c>
      <c r="CK178" s="1395" t="str">
        <f t="shared" si="309"/>
        <v>-</v>
      </c>
      <c r="CL178" s="1395" t="str">
        <f t="shared" si="309"/>
        <v>-</v>
      </c>
      <c r="CM178" s="1397" t="str">
        <f t="shared" si="309"/>
        <v>-</v>
      </c>
      <c r="CN178" s="1395" t="str">
        <f t="shared" si="309"/>
        <v>-</v>
      </c>
      <c r="CO178" s="1395" t="str">
        <f t="shared" si="309"/>
        <v>-</v>
      </c>
      <c r="CP178" s="1395" t="str">
        <f t="shared" si="309"/>
        <v>-</v>
      </c>
      <c r="CQ178" s="1395" t="str">
        <f t="shared" si="309"/>
        <v>-</v>
      </c>
      <c r="CR178" s="1398" t="str">
        <f t="shared" si="309"/>
        <v>-</v>
      </c>
      <c r="CS178" s="1378"/>
      <c r="CT178" s="1392" t="str">
        <f t="shared" si="191"/>
        <v>Qty</v>
      </c>
      <c r="CU178" s="1393" t="str">
        <f t="shared" si="192"/>
        <v>[Service]</v>
      </c>
      <c r="CV178" s="1393" t="str">
        <f t="shared" si="193"/>
        <v>[Price]</v>
      </c>
      <c r="CW178" s="1401" t="str">
        <f t="shared" si="212"/>
        <v>-</v>
      </c>
      <c r="CX178" s="1395" t="str">
        <f t="shared" si="213"/>
        <v>-</v>
      </c>
      <c r="CY178" s="1395" t="str">
        <f t="shared" si="214"/>
        <v>-</v>
      </c>
      <c r="CZ178" s="1397" t="str">
        <f t="shared" si="215"/>
        <v>-</v>
      </c>
      <c r="DA178" s="1395" t="str">
        <f t="shared" si="216"/>
        <v>-</v>
      </c>
      <c r="DB178" s="1395" t="str">
        <f t="shared" si="217"/>
        <v>-</v>
      </c>
      <c r="DC178" s="1395" t="str">
        <f t="shared" si="218"/>
        <v>-</v>
      </c>
      <c r="DD178" s="1395" t="str">
        <f t="shared" si="219"/>
        <v>-</v>
      </c>
      <c r="DE178" s="1398" t="str">
        <f t="shared" si="220"/>
        <v>-</v>
      </c>
      <c r="DF178" s="1378"/>
      <c r="DG178" s="1392" t="str">
        <f t="shared" si="232"/>
        <v>Qty</v>
      </c>
      <c r="DH178" s="1393" t="str">
        <f t="shared" si="232"/>
        <v>[Service]</v>
      </c>
      <c r="DI178" s="1393" t="str">
        <f t="shared" si="232"/>
        <v>[Price]</v>
      </c>
      <c r="DJ178" s="1401" t="str">
        <f t="shared" si="221"/>
        <v>-</v>
      </c>
      <c r="DK178" s="1395" t="str">
        <f t="shared" si="222"/>
        <v>-</v>
      </c>
      <c r="DL178" s="1395" t="str">
        <f t="shared" si="223"/>
        <v>-</v>
      </c>
      <c r="DM178" s="1397" t="str">
        <f t="shared" si="224"/>
        <v>-</v>
      </c>
      <c r="DN178" s="1395" t="str">
        <f t="shared" si="225"/>
        <v>-</v>
      </c>
      <c r="DO178" s="1395" t="str">
        <f t="shared" si="226"/>
        <v>-</v>
      </c>
      <c r="DP178" s="1395" t="str">
        <f t="shared" si="227"/>
        <v>-</v>
      </c>
      <c r="DQ178" s="1398" t="str">
        <f t="shared" si="228"/>
        <v>-</v>
      </c>
    </row>
    <row r="179" spans="4:121" ht="12.75" thickBot="1">
      <c r="E179" s="743" t="s">
        <v>46</v>
      </c>
      <c r="F179" s="732" t="str">
        <f>+F177</f>
        <v>[Service]</v>
      </c>
      <c r="G179" s="733">
        <f>+G177</f>
        <v>0</v>
      </c>
      <c r="H179" s="733">
        <f>+H177</f>
        <v>0</v>
      </c>
      <c r="I179" s="734" t="str">
        <f>+I177</f>
        <v>[Price]</v>
      </c>
      <c r="J179" s="735" t="s">
        <v>344</v>
      </c>
      <c r="K179" s="736">
        <f t="shared" ref="K179:AG179" si="310">K177*K178/10^6</f>
        <v>0</v>
      </c>
      <c r="L179" s="737">
        <f t="shared" si="310"/>
        <v>0</v>
      </c>
      <c r="M179" s="737">
        <f t="shared" si="310"/>
        <v>0</v>
      </c>
      <c r="N179" s="738">
        <f t="shared" si="310"/>
        <v>0</v>
      </c>
      <c r="O179" s="737">
        <f t="shared" si="310"/>
        <v>0</v>
      </c>
      <c r="P179" s="738">
        <f t="shared" si="310"/>
        <v>0</v>
      </c>
      <c r="Q179" s="737">
        <f t="shared" si="310"/>
        <v>0</v>
      </c>
      <c r="R179" s="737">
        <f t="shared" si="310"/>
        <v>0</v>
      </c>
      <c r="S179" s="737">
        <f t="shared" si="310"/>
        <v>0</v>
      </c>
      <c r="T179" s="737">
        <f t="shared" si="310"/>
        <v>0</v>
      </c>
      <c r="U179" s="737">
        <f t="shared" si="310"/>
        <v>0</v>
      </c>
      <c r="V179" s="737">
        <f t="shared" si="310"/>
        <v>0</v>
      </c>
      <c r="W179" s="737">
        <f t="shared" si="310"/>
        <v>0</v>
      </c>
      <c r="X179" s="738">
        <f t="shared" si="310"/>
        <v>0</v>
      </c>
      <c r="Y179" s="737">
        <f t="shared" si="310"/>
        <v>0</v>
      </c>
      <c r="Z179" s="737">
        <f t="shared" si="310"/>
        <v>0</v>
      </c>
      <c r="AA179" s="737">
        <f t="shared" si="310"/>
        <v>0</v>
      </c>
      <c r="AB179" s="737">
        <f t="shared" si="310"/>
        <v>0</v>
      </c>
      <c r="AC179" s="738">
        <f t="shared" si="310"/>
        <v>0</v>
      </c>
      <c r="AD179" s="737">
        <f t="shared" si="310"/>
        <v>0</v>
      </c>
      <c r="AE179" s="737">
        <f t="shared" si="310"/>
        <v>0</v>
      </c>
      <c r="AF179" s="737">
        <f t="shared" si="310"/>
        <v>0</v>
      </c>
      <c r="AG179" s="739">
        <f t="shared" si="310"/>
        <v>0</v>
      </c>
      <c r="AH179" s="823"/>
      <c r="AI179" s="744"/>
      <c r="AJ179" s="741"/>
      <c r="AK179" s="729"/>
      <c r="AL179" s="729"/>
      <c r="AM179" s="729"/>
      <c r="AN179" s="729"/>
      <c r="AO179" s="730"/>
      <c r="AP179" s="74"/>
      <c r="AQ179" s="74"/>
      <c r="AR179" s="74"/>
      <c r="AS179" s="106"/>
      <c r="AW179" s="1428" t="str">
        <f t="shared" si="230"/>
        <v>Rev</v>
      </c>
      <c r="AX179" s="1429" t="str">
        <f t="shared" si="230"/>
        <v>[Service]</v>
      </c>
      <c r="AY179" s="1430" t="str">
        <f t="shared" si="194"/>
        <v>[Price]</v>
      </c>
      <c r="AZ179" s="1431" t="str">
        <f t="shared" si="287"/>
        <v>-</v>
      </c>
      <c r="BA179" s="1431" t="str">
        <f t="shared" si="287"/>
        <v>-</v>
      </c>
      <c r="BB179" s="1431" t="str">
        <f t="shared" si="287"/>
        <v>-</v>
      </c>
      <c r="BC179" s="1431" t="str">
        <f t="shared" si="287"/>
        <v>-</v>
      </c>
      <c r="BD179" s="1431" t="str">
        <f t="shared" si="196"/>
        <v>-</v>
      </c>
      <c r="BE179" s="1431" t="str">
        <f t="shared" si="197"/>
        <v>-</v>
      </c>
      <c r="BF179" s="1431" t="str">
        <f t="shared" si="198"/>
        <v>-</v>
      </c>
      <c r="BG179" s="1432" t="str">
        <f t="shared" si="199"/>
        <v>-</v>
      </c>
      <c r="BH179" s="1431" t="str">
        <f t="shared" si="200"/>
        <v>-</v>
      </c>
      <c r="BI179" s="1431" t="str">
        <f t="shared" si="201"/>
        <v>-</v>
      </c>
      <c r="BJ179" s="1431" t="str">
        <f t="shared" si="202"/>
        <v>-</v>
      </c>
      <c r="BK179" s="1431" t="str">
        <f t="shared" si="203"/>
        <v>-</v>
      </c>
      <c r="BL179" s="1433" t="str">
        <f t="shared" si="204"/>
        <v>-</v>
      </c>
      <c r="BM179" s="1431" t="str">
        <f t="shared" si="205"/>
        <v>-</v>
      </c>
      <c r="BN179" s="1431" t="str">
        <f t="shared" si="206"/>
        <v>-</v>
      </c>
      <c r="BO179" s="1431" t="str">
        <f t="shared" si="207"/>
        <v>-</v>
      </c>
      <c r="BP179" s="1431" t="str">
        <f t="shared" si="208"/>
        <v>-</v>
      </c>
      <c r="BQ179" s="1434" t="str">
        <f t="shared" si="209"/>
        <v>-</v>
      </c>
      <c r="BR179" s="1378"/>
      <c r="BS179" s="1407"/>
      <c r="BT179" s="1408"/>
      <c r="BU179" s="1409"/>
      <c r="BV179" s="1410"/>
      <c r="BW179" s="1378"/>
      <c r="BX179" s="1428" t="str">
        <f t="shared" si="210"/>
        <v>Rev</v>
      </c>
      <c r="BY179" s="1429" t="str">
        <f t="shared" si="255"/>
        <v>[Service]</v>
      </c>
      <c r="BZ179" s="1430" t="str">
        <f t="shared" si="256"/>
        <v>[Price]</v>
      </c>
      <c r="CA179" s="1435" t="str">
        <f>IFERROR((S179/R179-1)*(R179/R$13),"-")</f>
        <v>-</v>
      </c>
      <c r="CB179" s="1431" t="str">
        <f>IFERROR((T179/S179-1)*(S179/S$13),"-")</f>
        <v>-</v>
      </c>
      <c r="CC179" s="1431" t="str">
        <f>IFERROR((U179/T179-1)*(T179/T$13),"-")</f>
        <v>-</v>
      </c>
      <c r="CD179" s="1431" t="str">
        <f>IFERROR((V179/U179-1)*(U179/U$13),"-")</f>
        <v>-</v>
      </c>
      <c r="CE179" s="1431" t="str">
        <f t="shared" ref="CE179:CR179" si="311">IFERROR((T179/S179-1)*(S179/S$13),"-")</f>
        <v>-</v>
      </c>
      <c r="CF179" s="1431" t="str">
        <f t="shared" si="311"/>
        <v>-</v>
      </c>
      <c r="CG179" s="1431" t="str">
        <f t="shared" si="311"/>
        <v>-</v>
      </c>
      <c r="CH179" s="1433" t="str">
        <f t="shared" si="311"/>
        <v>-</v>
      </c>
      <c r="CI179" s="1431" t="str">
        <f t="shared" si="311"/>
        <v>-</v>
      </c>
      <c r="CJ179" s="1431" t="str">
        <f t="shared" si="311"/>
        <v>-</v>
      </c>
      <c r="CK179" s="1431" t="str">
        <f t="shared" si="311"/>
        <v>-</v>
      </c>
      <c r="CL179" s="1431" t="str">
        <f t="shared" si="311"/>
        <v>-</v>
      </c>
      <c r="CM179" s="1433" t="str">
        <f t="shared" si="311"/>
        <v>-</v>
      </c>
      <c r="CN179" s="1431" t="str">
        <f t="shared" si="311"/>
        <v>-</v>
      </c>
      <c r="CO179" s="1431" t="str">
        <f t="shared" si="311"/>
        <v>-</v>
      </c>
      <c r="CP179" s="1431" t="str">
        <f t="shared" si="311"/>
        <v>-</v>
      </c>
      <c r="CQ179" s="1431" t="str">
        <f t="shared" si="311"/>
        <v>-</v>
      </c>
      <c r="CR179" s="1434" t="str">
        <f t="shared" si="311"/>
        <v>-</v>
      </c>
      <c r="CS179" s="1378"/>
      <c r="CT179" s="1428" t="str">
        <f t="shared" si="191"/>
        <v>Rev</v>
      </c>
      <c r="CU179" s="1429" t="str">
        <f t="shared" si="192"/>
        <v>[Service]</v>
      </c>
      <c r="CV179" s="1429" t="str">
        <f t="shared" si="193"/>
        <v>[Price]</v>
      </c>
      <c r="CW179" s="1435" t="str">
        <f t="shared" si="212"/>
        <v>-</v>
      </c>
      <c r="CX179" s="1431" t="str">
        <f t="shared" si="213"/>
        <v>-</v>
      </c>
      <c r="CY179" s="1431" t="str">
        <f t="shared" si="214"/>
        <v>-</v>
      </c>
      <c r="CZ179" s="1433" t="str">
        <f t="shared" si="215"/>
        <v>-</v>
      </c>
      <c r="DA179" s="1431" t="str">
        <f t="shared" si="216"/>
        <v>-</v>
      </c>
      <c r="DB179" s="1431" t="str">
        <f t="shared" si="217"/>
        <v>-</v>
      </c>
      <c r="DC179" s="1431" t="str">
        <f t="shared" si="218"/>
        <v>-</v>
      </c>
      <c r="DD179" s="1431" t="str">
        <f t="shared" si="219"/>
        <v>-</v>
      </c>
      <c r="DE179" s="1434" t="str">
        <f t="shared" si="220"/>
        <v>-</v>
      </c>
      <c r="DF179" s="1378"/>
      <c r="DG179" s="1428" t="str">
        <f t="shared" si="232"/>
        <v>Rev</v>
      </c>
      <c r="DH179" s="1429" t="str">
        <f t="shared" si="232"/>
        <v>[Service]</v>
      </c>
      <c r="DI179" s="1429" t="str">
        <f t="shared" si="232"/>
        <v>[Price]</v>
      </c>
      <c r="DJ179" s="1435" t="str">
        <f t="shared" si="221"/>
        <v>-</v>
      </c>
      <c r="DK179" s="1431" t="str">
        <f t="shared" si="222"/>
        <v>-</v>
      </c>
      <c r="DL179" s="1431" t="str">
        <f t="shared" si="223"/>
        <v>-</v>
      </c>
      <c r="DM179" s="1433" t="str">
        <f t="shared" si="224"/>
        <v>-</v>
      </c>
      <c r="DN179" s="1431" t="str">
        <f t="shared" si="225"/>
        <v>-</v>
      </c>
      <c r="DO179" s="1431" t="str">
        <f t="shared" si="226"/>
        <v>-</v>
      </c>
      <c r="DP179" s="1431" t="str">
        <f t="shared" si="227"/>
        <v>-</v>
      </c>
      <c r="DQ179" s="1434" t="str">
        <f t="shared" si="228"/>
        <v>-</v>
      </c>
    </row>
    <row r="180" spans="4:121">
      <c r="D180" s="70">
        <f>D177+1</f>
        <v>38</v>
      </c>
      <c r="E180" s="713" t="s">
        <v>44</v>
      </c>
      <c r="F180" s="789" t="s">
        <v>27</v>
      </c>
      <c r="G180" s="789"/>
      <c r="H180" s="789"/>
      <c r="I180" s="781" t="s">
        <v>318</v>
      </c>
      <c r="J180" s="781" t="s">
        <v>345</v>
      </c>
      <c r="K180" s="714"/>
      <c r="L180" s="715"/>
      <c r="M180" s="715"/>
      <c r="N180" s="716"/>
      <c r="O180" s="783"/>
      <c r="P180" s="784"/>
      <c r="Q180" s="783"/>
      <c r="R180" s="783"/>
      <c r="S180" s="783"/>
      <c r="T180" s="783"/>
      <c r="U180" s="783"/>
      <c r="V180" s="783"/>
      <c r="W180" s="783"/>
      <c r="X180" s="784"/>
      <c r="Y180" s="783"/>
      <c r="Z180" s="783"/>
      <c r="AA180" s="783"/>
      <c r="AB180" s="783"/>
      <c r="AC180" s="784"/>
      <c r="AD180" s="783"/>
      <c r="AE180" s="783"/>
      <c r="AF180" s="783"/>
      <c r="AG180" s="785"/>
      <c r="AI180" s="702"/>
      <c r="AJ180" s="717" t="str">
        <f t="shared" ref="AJ180:AS180" si="312">IFERROR((X180-W180)/W180,"")</f>
        <v/>
      </c>
      <c r="AK180" s="718" t="str">
        <f t="shared" si="312"/>
        <v/>
      </c>
      <c r="AL180" s="718" t="str">
        <f t="shared" si="312"/>
        <v/>
      </c>
      <c r="AM180" s="718" t="str">
        <f t="shared" si="312"/>
        <v/>
      </c>
      <c r="AN180" s="718" t="str">
        <f t="shared" si="312"/>
        <v/>
      </c>
      <c r="AO180" s="719" t="str">
        <f t="shared" si="312"/>
        <v/>
      </c>
      <c r="AP180" s="494" t="str">
        <f t="shared" si="312"/>
        <v/>
      </c>
      <c r="AQ180" s="494" t="str">
        <f t="shared" si="312"/>
        <v/>
      </c>
      <c r="AR180" s="494" t="str">
        <f t="shared" si="312"/>
        <v/>
      </c>
      <c r="AS180" s="720" t="str">
        <f t="shared" si="312"/>
        <v/>
      </c>
      <c r="AU180" s="1369"/>
      <c r="AW180" s="1412" t="str">
        <f t="shared" si="230"/>
        <v>Price</v>
      </c>
      <c r="AX180" s="1413" t="str">
        <f t="shared" si="230"/>
        <v>[Service]</v>
      </c>
      <c r="AY180" s="1414" t="str">
        <f t="shared" si="194"/>
        <v>[Price]</v>
      </c>
      <c r="AZ180" s="1415" t="str">
        <f t="shared" si="287"/>
        <v>-</v>
      </c>
      <c r="BA180" s="1415" t="str">
        <f t="shared" si="287"/>
        <v>-</v>
      </c>
      <c r="BB180" s="1415" t="str">
        <f t="shared" si="287"/>
        <v>-</v>
      </c>
      <c r="BC180" s="1415" t="str">
        <f t="shared" si="287"/>
        <v>-</v>
      </c>
      <c r="BD180" s="1415" t="str">
        <f t="shared" si="196"/>
        <v>-</v>
      </c>
      <c r="BE180" s="1415" t="str">
        <f t="shared" si="197"/>
        <v>-</v>
      </c>
      <c r="BF180" s="1415" t="str">
        <f t="shared" si="198"/>
        <v>-</v>
      </c>
      <c r="BG180" s="1416" t="str">
        <f t="shared" si="199"/>
        <v>-</v>
      </c>
      <c r="BH180" s="1417" t="str">
        <f t="shared" si="200"/>
        <v>-</v>
      </c>
      <c r="BI180" s="1417" t="str">
        <f t="shared" si="201"/>
        <v>-</v>
      </c>
      <c r="BJ180" s="1417" t="str">
        <f t="shared" si="202"/>
        <v>-</v>
      </c>
      <c r="BK180" s="1417" t="str">
        <f t="shared" si="203"/>
        <v>-</v>
      </c>
      <c r="BL180" s="1418" t="str">
        <f t="shared" si="204"/>
        <v>-</v>
      </c>
      <c r="BM180" s="1417" t="str">
        <f t="shared" si="205"/>
        <v>-</v>
      </c>
      <c r="BN180" s="1417" t="str">
        <f t="shared" si="206"/>
        <v>-</v>
      </c>
      <c r="BO180" s="1417" t="str">
        <f t="shared" si="207"/>
        <v>-</v>
      </c>
      <c r="BP180" s="1417" t="str">
        <f t="shared" si="208"/>
        <v>-</v>
      </c>
      <c r="BQ180" s="1419" t="str">
        <f t="shared" si="209"/>
        <v>-</v>
      </c>
      <c r="BR180" s="1378"/>
      <c r="BS180" s="1420"/>
      <c r="BT180" s="1421"/>
      <c r="BU180" s="1422"/>
      <c r="BV180" s="1423"/>
      <c r="BW180" s="1378"/>
      <c r="BX180" s="1412" t="str">
        <f t="shared" si="210"/>
        <v>Price</v>
      </c>
      <c r="BY180" s="1413" t="str">
        <f t="shared" si="255"/>
        <v>[Service]</v>
      </c>
      <c r="BZ180" s="1414" t="str">
        <f t="shared" si="256"/>
        <v>[Price]</v>
      </c>
      <c r="CA180" s="1424" t="str">
        <f>IFERROR((S180/R180-1)*(R182/R$13),"-")</f>
        <v>-</v>
      </c>
      <c r="CB180" s="1415" t="str">
        <f>IFERROR((T180/S180-1)*(S182/S$13),"-")</f>
        <v>-</v>
      </c>
      <c r="CC180" s="1415" t="str">
        <f>IFERROR((U180/T180-1)*(T182/T$13),"-")</f>
        <v>-</v>
      </c>
      <c r="CD180" s="1415" t="str">
        <f>IFERROR((V180/U180-1)*(U182/U$13),"-")</f>
        <v>-</v>
      </c>
      <c r="CE180" s="1415" t="str">
        <f t="shared" ref="CE180:CR180" si="313">IFERROR((T180/S180-1)*(S182/S$13),"-")</f>
        <v>-</v>
      </c>
      <c r="CF180" s="1415" t="str">
        <f t="shared" si="313"/>
        <v>-</v>
      </c>
      <c r="CG180" s="1415" t="str">
        <f t="shared" si="313"/>
        <v>-</v>
      </c>
      <c r="CH180" s="1425" t="str">
        <f t="shared" si="313"/>
        <v>-</v>
      </c>
      <c r="CI180" s="1417" t="str">
        <f t="shared" si="313"/>
        <v>-</v>
      </c>
      <c r="CJ180" s="1417" t="str">
        <f t="shared" si="313"/>
        <v>-</v>
      </c>
      <c r="CK180" s="1417" t="str">
        <f t="shared" si="313"/>
        <v>-</v>
      </c>
      <c r="CL180" s="1417" t="str">
        <f t="shared" si="313"/>
        <v>-</v>
      </c>
      <c r="CM180" s="1418" t="str">
        <f t="shared" si="313"/>
        <v>-</v>
      </c>
      <c r="CN180" s="1417" t="str">
        <f t="shared" si="313"/>
        <v>-</v>
      </c>
      <c r="CO180" s="1417" t="str">
        <f t="shared" si="313"/>
        <v>-</v>
      </c>
      <c r="CP180" s="1417" t="str">
        <f t="shared" si="313"/>
        <v>-</v>
      </c>
      <c r="CQ180" s="1417" t="str">
        <f t="shared" si="313"/>
        <v>-</v>
      </c>
      <c r="CR180" s="1419" t="str">
        <f t="shared" si="313"/>
        <v>-</v>
      </c>
      <c r="CS180" s="1378"/>
      <c r="CT180" s="1412" t="str">
        <f t="shared" si="191"/>
        <v>Price</v>
      </c>
      <c r="CU180" s="1413" t="str">
        <f t="shared" si="192"/>
        <v>[Service]</v>
      </c>
      <c r="CV180" s="1426" t="str">
        <f t="shared" si="193"/>
        <v>[Price]</v>
      </c>
      <c r="CW180" s="1427" t="str">
        <f t="shared" si="212"/>
        <v>-</v>
      </c>
      <c r="CX180" s="1417" t="str">
        <f t="shared" si="213"/>
        <v>-</v>
      </c>
      <c r="CY180" s="1417" t="str">
        <f t="shared" si="214"/>
        <v>-</v>
      </c>
      <c r="CZ180" s="1418" t="str">
        <f t="shared" si="215"/>
        <v>-</v>
      </c>
      <c r="DA180" s="1417" t="str">
        <f t="shared" si="216"/>
        <v>-</v>
      </c>
      <c r="DB180" s="1417" t="str">
        <f t="shared" si="217"/>
        <v>-</v>
      </c>
      <c r="DC180" s="1417" t="str">
        <f t="shared" si="218"/>
        <v>-</v>
      </c>
      <c r="DD180" s="1417" t="str">
        <f t="shared" si="219"/>
        <v>-</v>
      </c>
      <c r="DE180" s="1419" t="str">
        <f t="shared" si="220"/>
        <v>-</v>
      </c>
      <c r="DF180" s="1378"/>
      <c r="DG180" s="1412" t="str">
        <f t="shared" si="232"/>
        <v>Price</v>
      </c>
      <c r="DH180" s="1413" t="str">
        <f t="shared" si="232"/>
        <v>[Service]</v>
      </c>
      <c r="DI180" s="1426" t="str">
        <f t="shared" si="232"/>
        <v>[Price]</v>
      </c>
      <c r="DJ180" s="1427" t="str">
        <f t="shared" si="221"/>
        <v>-</v>
      </c>
      <c r="DK180" s="1417" t="str">
        <f t="shared" si="222"/>
        <v>-</v>
      </c>
      <c r="DL180" s="1417" t="str">
        <f t="shared" si="223"/>
        <v>-</v>
      </c>
      <c r="DM180" s="1418" t="str">
        <f t="shared" si="224"/>
        <v>-</v>
      </c>
      <c r="DN180" s="1417" t="str">
        <f t="shared" si="225"/>
        <v>-</v>
      </c>
      <c r="DO180" s="1417" t="str">
        <f t="shared" si="226"/>
        <v>-</v>
      </c>
      <c r="DP180" s="1417" t="str">
        <f t="shared" si="227"/>
        <v>-</v>
      </c>
      <c r="DQ180" s="1419" t="str">
        <f t="shared" si="228"/>
        <v>-</v>
      </c>
    </row>
    <row r="181" spans="4:121">
      <c r="E181" s="742" t="s">
        <v>45</v>
      </c>
      <c r="F181" s="722" t="str">
        <f>+F180</f>
        <v>[Service]</v>
      </c>
      <c r="G181" s="723">
        <f>+G180</f>
        <v>0</v>
      </c>
      <c r="H181" s="723">
        <f>+H180</f>
        <v>0</v>
      </c>
      <c r="I181" s="724" t="str">
        <f>+I180</f>
        <v>[Price]</v>
      </c>
      <c r="J181" s="782" t="s">
        <v>322</v>
      </c>
      <c r="K181" s="725"/>
      <c r="L181" s="726"/>
      <c r="M181" s="726"/>
      <c r="N181" s="727"/>
      <c r="O181" s="786"/>
      <c r="P181" s="787"/>
      <c r="Q181" s="786"/>
      <c r="R181" s="786"/>
      <c r="S181" s="786"/>
      <c r="T181" s="786"/>
      <c r="U181" s="786"/>
      <c r="V181" s="786"/>
      <c r="W181" s="786"/>
      <c r="X181" s="787"/>
      <c r="Y181" s="786"/>
      <c r="Z181" s="786"/>
      <c r="AA181" s="786"/>
      <c r="AB181" s="786"/>
      <c r="AC181" s="787"/>
      <c r="AD181" s="786"/>
      <c r="AE181" s="786"/>
      <c r="AF181" s="786"/>
      <c r="AG181" s="788"/>
      <c r="AH181" s="823"/>
      <c r="AI181" s="702"/>
      <c r="AJ181" s="728"/>
      <c r="AK181" s="729"/>
      <c r="AL181" s="729"/>
      <c r="AM181" s="729"/>
      <c r="AN181" s="729"/>
      <c r="AO181" s="730"/>
      <c r="AP181" s="74"/>
      <c r="AQ181" s="74"/>
      <c r="AR181" s="74"/>
      <c r="AS181" s="106"/>
      <c r="AW181" s="1392" t="str">
        <f t="shared" si="230"/>
        <v>Qty</v>
      </c>
      <c r="AX181" s="1393" t="str">
        <f t="shared" si="230"/>
        <v>[Service]</v>
      </c>
      <c r="AY181" s="1394" t="str">
        <f t="shared" si="194"/>
        <v>[Price]</v>
      </c>
      <c r="AZ181" s="1395" t="str">
        <f t="shared" ref="AZ181:BC196" si="314">IFERROR(P181/O181-1,"-")</f>
        <v>-</v>
      </c>
      <c r="BA181" s="1395" t="str">
        <f t="shared" si="314"/>
        <v>-</v>
      </c>
      <c r="BB181" s="1395" t="str">
        <f t="shared" si="314"/>
        <v>-</v>
      </c>
      <c r="BC181" s="1395" t="str">
        <f t="shared" si="314"/>
        <v>-</v>
      </c>
      <c r="BD181" s="1395" t="str">
        <f t="shared" si="196"/>
        <v>-</v>
      </c>
      <c r="BE181" s="1395" t="str">
        <f t="shared" si="197"/>
        <v>-</v>
      </c>
      <c r="BF181" s="1395" t="str">
        <f t="shared" si="198"/>
        <v>-</v>
      </c>
      <c r="BG181" s="1396" t="str">
        <f t="shared" si="199"/>
        <v>-</v>
      </c>
      <c r="BH181" s="1395" t="str">
        <f t="shared" si="200"/>
        <v>-</v>
      </c>
      <c r="BI181" s="1395" t="str">
        <f t="shared" si="201"/>
        <v>-</v>
      </c>
      <c r="BJ181" s="1395" t="str">
        <f t="shared" si="202"/>
        <v>-</v>
      </c>
      <c r="BK181" s="1395" t="str">
        <f t="shared" si="203"/>
        <v>-</v>
      </c>
      <c r="BL181" s="1397" t="str">
        <f t="shared" si="204"/>
        <v>-</v>
      </c>
      <c r="BM181" s="1395" t="str">
        <f t="shared" si="205"/>
        <v>-</v>
      </c>
      <c r="BN181" s="1395" t="str">
        <f t="shared" si="206"/>
        <v>-</v>
      </c>
      <c r="BO181" s="1395" t="str">
        <f t="shared" si="207"/>
        <v>-</v>
      </c>
      <c r="BP181" s="1395" t="str">
        <f t="shared" si="208"/>
        <v>-</v>
      </c>
      <c r="BQ181" s="1398" t="str">
        <f t="shared" si="209"/>
        <v>-</v>
      </c>
      <c r="BR181" s="1378"/>
      <c r="BS181" s="1329"/>
      <c r="BT181" s="1399"/>
      <c r="BU181" s="1331"/>
      <c r="BV181" s="1400"/>
      <c r="BW181" s="1378"/>
      <c r="BX181" s="1392" t="str">
        <f t="shared" si="210"/>
        <v>Qty</v>
      </c>
      <c r="BY181" s="1393" t="str">
        <f t="shared" si="255"/>
        <v>[Service]</v>
      </c>
      <c r="BZ181" s="1394" t="str">
        <f t="shared" si="256"/>
        <v>[Price]</v>
      </c>
      <c r="CA181" s="1401" t="str">
        <f>IFERROR((S181/R181-1)*(R182/R$13),"-")</f>
        <v>-</v>
      </c>
      <c r="CB181" s="1395" t="str">
        <f>IFERROR((T181/S181-1)*(S182/S$13),"-")</f>
        <v>-</v>
      </c>
      <c r="CC181" s="1395" t="str">
        <f>IFERROR((U181/T181-1)*(T182/T$13),"-")</f>
        <v>-</v>
      </c>
      <c r="CD181" s="1395" t="str">
        <f>IFERROR((V181/U181-1)*(U182/U$13),"-")</f>
        <v>-</v>
      </c>
      <c r="CE181" s="1395" t="str">
        <f t="shared" ref="CE181:CR181" si="315">IFERROR((T181/S181-1)*(S182/S$13),"-")</f>
        <v>-</v>
      </c>
      <c r="CF181" s="1395" t="str">
        <f t="shared" si="315"/>
        <v>-</v>
      </c>
      <c r="CG181" s="1395" t="str">
        <f t="shared" si="315"/>
        <v>-</v>
      </c>
      <c r="CH181" s="1397" t="str">
        <f t="shared" si="315"/>
        <v>-</v>
      </c>
      <c r="CI181" s="1395" t="str">
        <f t="shared" si="315"/>
        <v>-</v>
      </c>
      <c r="CJ181" s="1395" t="str">
        <f t="shared" si="315"/>
        <v>-</v>
      </c>
      <c r="CK181" s="1395" t="str">
        <f t="shared" si="315"/>
        <v>-</v>
      </c>
      <c r="CL181" s="1395" t="str">
        <f t="shared" si="315"/>
        <v>-</v>
      </c>
      <c r="CM181" s="1397" t="str">
        <f t="shared" si="315"/>
        <v>-</v>
      </c>
      <c r="CN181" s="1395" t="str">
        <f t="shared" si="315"/>
        <v>-</v>
      </c>
      <c r="CO181" s="1395" t="str">
        <f t="shared" si="315"/>
        <v>-</v>
      </c>
      <c r="CP181" s="1395" t="str">
        <f t="shared" si="315"/>
        <v>-</v>
      </c>
      <c r="CQ181" s="1395" t="str">
        <f t="shared" si="315"/>
        <v>-</v>
      </c>
      <c r="CR181" s="1398" t="str">
        <f t="shared" si="315"/>
        <v>-</v>
      </c>
      <c r="CS181" s="1378"/>
      <c r="CT181" s="1392" t="str">
        <f t="shared" si="191"/>
        <v>Qty</v>
      </c>
      <c r="CU181" s="1393" t="str">
        <f t="shared" si="192"/>
        <v>[Service]</v>
      </c>
      <c r="CV181" s="1393" t="str">
        <f t="shared" si="193"/>
        <v>[Price]</v>
      </c>
      <c r="CW181" s="1401" t="str">
        <f t="shared" si="212"/>
        <v>-</v>
      </c>
      <c r="CX181" s="1395" t="str">
        <f t="shared" si="213"/>
        <v>-</v>
      </c>
      <c r="CY181" s="1395" t="str">
        <f t="shared" si="214"/>
        <v>-</v>
      </c>
      <c r="CZ181" s="1397" t="str">
        <f t="shared" si="215"/>
        <v>-</v>
      </c>
      <c r="DA181" s="1395" t="str">
        <f t="shared" si="216"/>
        <v>-</v>
      </c>
      <c r="DB181" s="1395" t="str">
        <f t="shared" si="217"/>
        <v>-</v>
      </c>
      <c r="DC181" s="1395" t="str">
        <f t="shared" si="218"/>
        <v>-</v>
      </c>
      <c r="DD181" s="1395" t="str">
        <f t="shared" si="219"/>
        <v>-</v>
      </c>
      <c r="DE181" s="1398" t="str">
        <f t="shared" si="220"/>
        <v>-</v>
      </c>
      <c r="DF181" s="1378"/>
      <c r="DG181" s="1392" t="str">
        <f t="shared" si="232"/>
        <v>Qty</v>
      </c>
      <c r="DH181" s="1393" t="str">
        <f t="shared" si="232"/>
        <v>[Service]</v>
      </c>
      <c r="DI181" s="1393" t="str">
        <f t="shared" si="232"/>
        <v>[Price]</v>
      </c>
      <c r="DJ181" s="1401" t="str">
        <f t="shared" si="221"/>
        <v>-</v>
      </c>
      <c r="DK181" s="1395" t="str">
        <f t="shared" si="222"/>
        <v>-</v>
      </c>
      <c r="DL181" s="1395" t="str">
        <f t="shared" si="223"/>
        <v>-</v>
      </c>
      <c r="DM181" s="1397" t="str">
        <f t="shared" si="224"/>
        <v>-</v>
      </c>
      <c r="DN181" s="1395" t="str">
        <f t="shared" si="225"/>
        <v>-</v>
      </c>
      <c r="DO181" s="1395" t="str">
        <f t="shared" si="226"/>
        <v>-</v>
      </c>
      <c r="DP181" s="1395" t="str">
        <f t="shared" si="227"/>
        <v>-</v>
      </c>
      <c r="DQ181" s="1398" t="str">
        <f t="shared" si="228"/>
        <v>-</v>
      </c>
    </row>
    <row r="182" spans="4:121" ht="12.75" thickBot="1">
      <c r="E182" s="743" t="s">
        <v>46</v>
      </c>
      <c r="F182" s="732" t="str">
        <f>+F180</f>
        <v>[Service]</v>
      </c>
      <c r="G182" s="733">
        <f>+G180</f>
        <v>0</v>
      </c>
      <c r="H182" s="733">
        <f>+H180</f>
        <v>0</v>
      </c>
      <c r="I182" s="734" t="str">
        <f>+I180</f>
        <v>[Price]</v>
      </c>
      <c r="J182" s="735" t="s">
        <v>344</v>
      </c>
      <c r="K182" s="736">
        <f t="shared" ref="K182:AG182" si="316">K180*K181/10^6</f>
        <v>0</v>
      </c>
      <c r="L182" s="737">
        <f t="shared" si="316"/>
        <v>0</v>
      </c>
      <c r="M182" s="737">
        <f t="shared" si="316"/>
        <v>0</v>
      </c>
      <c r="N182" s="738">
        <f t="shared" si="316"/>
        <v>0</v>
      </c>
      <c r="O182" s="737">
        <f t="shared" si="316"/>
        <v>0</v>
      </c>
      <c r="P182" s="738">
        <f t="shared" si="316"/>
        <v>0</v>
      </c>
      <c r="Q182" s="737">
        <f t="shared" si="316"/>
        <v>0</v>
      </c>
      <c r="R182" s="737">
        <f t="shared" si="316"/>
        <v>0</v>
      </c>
      <c r="S182" s="737">
        <f t="shared" si="316"/>
        <v>0</v>
      </c>
      <c r="T182" s="737">
        <f t="shared" si="316"/>
        <v>0</v>
      </c>
      <c r="U182" s="737">
        <f t="shared" si="316"/>
        <v>0</v>
      </c>
      <c r="V182" s="737">
        <f t="shared" si="316"/>
        <v>0</v>
      </c>
      <c r="W182" s="737">
        <f t="shared" si="316"/>
        <v>0</v>
      </c>
      <c r="X182" s="738">
        <f t="shared" si="316"/>
        <v>0</v>
      </c>
      <c r="Y182" s="737">
        <f t="shared" si="316"/>
        <v>0</v>
      </c>
      <c r="Z182" s="737">
        <f t="shared" si="316"/>
        <v>0</v>
      </c>
      <c r="AA182" s="737">
        <f t="shared" si="316"/>
        <v>0</v>
      </c>
      <c r="AB182" s="737">
        <f t="shared" si="316"/>
        <v>0</v>
      </c>
      <c r="AC182" s="738">
        <f t="shared" si="316"/>
        <v>0</v>
      </c>
      <c r="AD182" s="737">
        <f t="shared" si="316"/>
        <v>0</v>
      </c>
      <c r="AE182" s="737">
        <f t="shared" si="316"/>
        <v>0</v>
      </c>
      <c r="AF182" s="737">
        <f t="shared" si="316"/>
        <v>0</v>
      </c>
      <c r="AG182" s="739">
        <f t="shared" si="316"/>
        <v>0</v>
      </c>
      <c r="AH182" s="823"/>
      <c r="AI182" s="744"/>
      <c r="AJ182" s="741"/>
      <c r="AK182" s="729"/>
      <c r="AL182" s="729"/>
      <c r="AM182" s="729"/>
      <c r="AN182" s="729"/>
      <c r="AO182" s="730"/>
      <c r="AP182" s="74"/>
      <c r="AQ182" s="74"/>
      <c r="AR182" s="74"/>
      <c r="AS182" s="106"/>
      <c r="AW182" s="1428" t="str">
        <f t="shared" si="230"/>
        <v>Rev</v>
      </c>
      <c r="AX182" s="1429" t="str">
        <f t="shared" si="230"/>
        <v>[Service]</v>
      </c>
      <c r="AY182" s="1430" t="str">
        <f t="shared" si="194"/>
        <v>[Price]</v>
      </c>
      <c r="AZ182" s="1431" t="str">
        <f t="shared" si="314"/>
        <v>-</v>
      </c>
      <c r="BA182" s="1431" t="str">
        <f t="shared" si="314"/>
        <v>-</v>
      </c>
      <c r="BB182" s="1431" t="str">
        <f t="shared" si="314"/>
        <v>-</v>
      </c>
      <c r="BC182" s="1431" t="str">
        <f t="shared" si="314"/>
        <v>-</v>
      </c>
      <c r="BD182" s="1431" t="str">
        <f t="shared" si="196"/>
        <v>-</v>
      </c>
      <c r="BE182" s="1431" t="str">
        <f t="shared" si="197"/>
        <v>-</v>
      </c>
      <c r="BF182" s="1431" t="str">
        <f t="shared" si="198"/>
        <v>-</v>
      </c>
      <c r="BG182" s="1432" t="str">
        <f t="shared" si="199"/>
        <v>-</v>
      </c>
      <c r="BH182" s="1431" t="str">
        <f t="shared" si="200"/>
        <v>-</v>
      </c>
      <c r="BI182" s="1431" t="str">
        <f t="shared" si="201"/>
        <v>-</v>
      </c>
      <c r="BJ182" s="1431" t="str">
        <f t="shared" si="202"/>
        <v>-</v>
      </c>
      <c r="BK182" s="1431" t="str">
        <f t="shared" si="203"/>
        <v>-</v>
      </c>
      <c r="BL182" s="1433" t="str">
        <f t="shared" si="204"/>
        <v>-</v>
      </c>
      <c r="BM182" s="1431" t="str">
        <f t="shared" si="205"/>
        <v>-</v>
      </c>
      <c r="BN182" s="1431" t="str">
        <f t="shared" si="206"/>
        <v>-</v>
      </c>
      <c r="BO182" s="1431" t="str">
        <f t="shared" si="207"/>
        <v>-</v>
      </c>
      <c r="BP182" s="1431" t="str">
        <f t="shared" si="208"/>
        <v>-</v>
      </c>
      <c r="BQ182" s="1434" t="str">
        <f t="shared" si="209"/>
        <v>-</v>
      </c>
      <c r="BR182" s="1378"/>
      <c r="BS182" s="1407"/>
      <c r="BT182" s="1408"/>
      <c r="BU182" s="1409"/>
      <c r="BV182" s="1410"/>
      <c r="BW182" s="1378"/>
      <c r="BX182" s="1428" t="str">
        <f t="shared" si="210"/>
        <v>Rev</v>
      </c>
      <c r="BY182" s="1429" t="str">
        <f t="shared" si="255"/>
        <v>[Service]</v>
      </c>
      <c r="BZ182" s="1430" t="str">
        <f t="shared" si="256"/>
        <v>[Price]</v>
      </c>
      <c r="CA182" s="1435" t="str">
        <f>IFERROR((S182/R182-1)*(R182/R$13),"-")</f>
        <v>-</v>
      </c>
      <c r="CB182" s="1431" t="str">
        <f>IFERROR((T182/S182-1)*(S182/S$13),"-")</f>
        <v>-</v>
      </c>
      <c r="CC182" s="1431" t="str">
        <f>IFERROR((U182/T182-1)*(T182/T$13),"-")</f>
        <v>-</v>
      </c>
      <c r="CD182" s="1431" t="str">
        <f>IFERROR((V182/U182-1)*(U182/U$13),"-")</f>
        <v>-</v>
      </c>
      <c r="CE182" s="1431" t="str">
        <f t="shared" ref="CE182:CR182" si="317">IFERROR((T182/S182-1)*(S182/S$13),"-")</f>
        <v>-</v>
      </c>
      <c r="CF182" s="1431" t="str">
        <f t="shared" si="317"/>
        <v>-</v>
      </c>
      <c r="CG182" s="1431" t="str">
        <f t="shared" si="317"/>
        <v>-</v>
      </c>
      <c r="CH182" s="1433" t="str">
        <f t="shared" si="317"/>
        <v>-</v>
      </c>
      <c r="CI182" s="1431" t="str">
        <f t="shared" si="317"/>
        <v>-</v>
      </c>
      <c r="CJ182" s="1431" t="str">
        <f t="shared" si="317"/>
        <v>-</v>
      </c>
      <c r="CK182" s="1431" t="str">
        <f t="shared" si="317"/>
        <v>-</v>
      </c>
      <c r="CL182" s="1431" t="str">
        <f t="shared" si="317"/>
        <v>-</v>
      </c>
      <c r="CM182" s="1433" t="str">
        <f t="shared" si="317"/>
        <v>-</v>
      </c>
      <c r="CN182" s="1431" t="str">
        <f t="shared" si="317"/>
        <v>-</v>
      </c>
      <c r="CO182" s="1431" t="str">
        <f t="shared" si="317"/>
        <v>-</v>
      </c>
      <c r="CP182" s="1431" t="str">
        <f t="shared" si="317"/>
        <v>-</v>
      </c>
      <c r="CQ182" s="1431" t="str">
        <f t="shared" si="317"/>
        <v>-</v>
      </c>
      <c r="CR182" s="1434" t="str">
        <f t="shared" si="317"/>
        <v>-</v>
      </c>
      <c r="CS182" s="1378"/>
      <c r="CT182" s="1428" t="str">
        <f t="shared" si="191"/>
        <v>Rev</v>
      </c>
      <c r="CU182" s="1429" t="str">
        <f t="shared" si="192"/>
        <v>[Service]</v>
      </c>
      <c r="CV182" s="1429" t="str">
        <f t="shared" si="193"/>
        <v>[Price]</v>
      </c>
      <c r="CW182" s="1435" t="str">
        <f t="shared" si="212"/>
        <v>-</v>
      </c>
      <c r="CX182" s="1431" t="str">
        <f t="shared" si="213"/>
        <v>-</v>
      </c>
      <c r="CY182" s="1431" t="str">
        <f t="shared" si="214"/>
        <v>-</v>
      </c>
      <c r="CZ182" s="1433" t="str">
        <f t="shared" si="215"/>
        <v>-</v>
      </c>
      <c r="DA182" s="1431" t="str">
        <f t="shared" si="216"/>
        <v>-</v>
      </c>
      <c r="DB182" s="1431" t="str">
        <f t="shared" si="217"/>
        <v>-</v>
      </c>
      <c r="DC182" s="1431" t="str">
        <f t="shared" si="218"/>
        <v>-</v>
      </c>
      <c r="DD182" s="1431" t="str">
        <f t="shared" si="219"/>
        <v>-</v>
      </c>
      <c r="DE182" s="1434" t="str">
        <f t="shared" si="220"/>
        <v>-</v>
      </c>
      <c r="DF182" s="1378"/>
      <c r="DG182" s="1428" t="str">
        <f t="shared" si="232"/>
        <v>Rev</v>
      </c>
      <c r="DH182" s="1429" t="str">
        <f t="shared" si="232"/>
        <v>[Service]</v>
      </c>
      <c r="DI182" s="1429" t="str">
        <f t="shared" si="232"/>
        <v>[Price]</v>
      </c>
      <c r="DJ182" s="1435" t="str">
        <f t="shared" si="221"/>
        <v>-</v>
      </c>
      <c r="DK182" s="1431" t="str">
        <f t="shared" si="222"/>
        <v>-</v>
      </c>
      <c r="DL182" s="1431" t="str">
        <f t="shared" si="223"/>
        <v>-</v>
      </c>
      <c r="DM182" s="1433" t="str">
        <f t="shared" si="224"/>
        <v>-</v>
      </c>
      <c r="DN182" s="1431" t="str">
        <f t="shared" si="225"/>
        <v>-</v>
      </c>
      <c r="DO182" s="1431" t="str">
        <f t="shared" si="226"/>
        <v>-</v>
      </c>
      <c r="DP182" s="1431" t="str">
        <f t="shared" si="227"/>
        <v>-</v>
      </c>
      <c r="DQ182" s="1434" t="str">
        <f t="shared" si="228"/>
        <v>-</v>
      </c>
    </row>
    <row r="183" spans="4:121">
      <c r="D183" s="70">
        <f>D180+1</f>
        <v>39</v>
      </c>
      <c r="E183" s="713" t="s">
        <v>44</v>
      </c>
      <c r="F183" s="789" t="s">
        <v>27</v>
      </c>
      <c r="G183" s="789"/>
      <c r="H183" s="789"/>
      <c r="I183" s="781" t="s">
        <v>318</v>
      </c>
      <c r="J183" s="781" t="s">
        <v>345</v>
      </c>
      <c r="K183" s="714"/>
      <c r="L183" s="715"/>
      <c r="M183" s="715"/>
      <c r="N183" s="716"/>
      <c r="O183" s="783"/>
      <c r="P183" s="784"/>
      <c r="Q183" s="783"/>
      <c r="R183" s="783"/>
      <c r="S183" s="783"/>
      <c r="T183" s="783"/>
      <c r="U183" s="783"/>
      <c r="V183" s="783"/>
      <c r="W183" s="783"/>
      <c r="X183" s="784"/>
      <c r="Y183" s="783"/>
      <c r="Z183" s="783"/>
      <c r="AA183" s="783"/>
      <c r="AB183" s="783"/>
      <c r="AC183" s="784"/>
      <c r="AD183" s="783"/>
      <c r="AE183" s="783"/>
      <c r="AF183" s="783"/>
      <c r="AG183" s="785"/>
      <c r="AI183" s="702"/>
      <c r="AJ183" s="717" t="str">
        <f t="shared" ref="AJ183:AS183" si="318">IFERROR((X183-W183)/W183,"")</f>
        <v/>
      </c>
      <c r="AK183" s="718" t="str">
        <f t="shared" si="318"/>
        <v/>
      </c>
      <c r="AL183" s="718" t="str">
        <f t="shared" si="318"/>
        <v/>
      </c>
      <c r="AM183" s="718" t="str">
        <f t="shared" si="318"/>
        <v/>
      </c>
      <c r="AN183" s="718" t="str">
        <f t="shared" si="318"/>
        <v/>
      </c>
      <c r="AO183" s="719" t="str">
        <f t="shared" si="318"/>
        <v/>
      </c>
      <c r="AP183" s="494" t="str">
        <f t="shared" si="318"/>
        <v/>
      </c>
      <c r="AQ183" s="494" t="str">
        <f t="shared" si="318"/>
        <v/>
      </c>
      <c r="AR183" s="494" t="str">
        <f t="shared" si="318"/>
        <v/>
      </c>
      <c r="AS183" s="720" t="str">
        <f t="shared" si="318"/>
        <v/>
      </c>
      <c r="AU183" s="1369"/>
      <c r="AW183" s="1412" t="str">
        <f t="shared" si="230"/>
        <v>Price</v>
      </c>
      <c r="AX183" s="1413" t="str">
        <f t="shared" si="230"/>
        <v>[Service]</v>
      </c>
      <c r="AY183" s="1414" t="str">
        <f t="shared" si="194"/>
        <v>[Price]</v>
      </c>
      <c r="AZ183" s="1415" t="str">
        <f t="shared" si="314"/>
        <v>-</v>
      </c>
      <c r="BA183" s="1415" t="str">
        <f t="shared" si="314"/>
        <v>-</v>
      </c>
      <c r="BB183" s="1415" t="str">
        <f t="shared" si="314"/>
        <v>-</v>
      </c>
      <c r="BC183" s="1415" t="str">
        <f t="shared" si="314"/>
        <v>-</v>
      </c>
      <c r="BD183" s="1415" t="str">
        <f t="shared" si="196"/>
        <v>-</v>
      </c>
      <c r="BE183" s="1415" t="str">
        <f t="shared" si="197"/>
        <v>-</v>
      </c>
      <c r="BF183" s="1415" t="str">
        <f t="shared" si="198"/>
        <v>-</v>
      </c>
      <c r="BG183" s="1416" t="str">
        <f t="shared" si="199"/>
        <v>-</v>
      </c>
      <c r="BH183" s="1417" t="str">
        <f t="shared" si="200"/>
        <v>-</v>
      </c>
      <c r="BI183" s="1417" t="str">
        <f t="shared" si="201"/>
        <v>-</v>
      </c>
      <c r="BJ183" s="1417" t="str">
        <f t="shared" si="202"/>
        <v>-</v>
      </c>
      <c r="BK183" s="1417" t="str">
        <f t="shared" si="203"/>
        <v>-</v>
      </c>
      <c r="BL183" s="1418" t="str">
        <f t="shared" si="204"/>
        <v>-</v>
      </c>
      <c r="BM183" s="1417" t="str">
        <f t="shared" si="205"/>
        <v>-</v>
      </c>
      <c r="BN183" s="1417" t="str">
        <f t="shared" si="206"/>
        <v>-</v>
      </c>
      <c r="BO183" s="1417" t="str">
        <f t="shared" si="207"/>
        <v>-</v>
      </c>
      <c r="BP183" s="1417" t="str">
        <f t="shared" si="208"/>
        <v>-</v>
      </c>
      <c r="BQ183" s="1419" t="str">
        <f t="shared" si="209"/>
        <v>-</v>
      </c>
      <c r="BR183" s="1378"/>
      <c r="BS183" s="1420"/>
      <c r="BT183" s="1421"/>
      <c r="BU183" s="1422"/>
      <c r="BV183" s="1423"/>
      <c r="BW183" s="1378"/>
      <c r="BX183" s="1412" t="str">
        <f t="shared" si="210"/>
        <v>Price</v>
      </c>
      <c r="BY183" s="1413" t="str">
        <f t="shared" si="255"/>
        <v>[Service]</v>
      </c>
      <c r="BZ183" s="1414" t="str">
        <f t="shared" si="256"/>
        <v>[Price]</v>
      </c>
      <c r="CA183" s="1424" t="str">
        <f>IFERROR((S183/R183-1)*(R185/R$13),"-")</f>
        <v>-</v>
      </c>
      <c r="CB183" s="1415" t="str">
        <f>IFERROR((T183/S183-1)*(S185/S$13),"-")</f>
        <v>-</v>
      </c>
      <c r="CC183" s="1415" t="str">
        <f>IFERROR((U183/T183-1)*(T185/T$13),"-")</f>
        <v>-</v>
      </c>
      <c r="CD183" s="1415" t="str">
        <f>IFERROR((V183/U183-1)*(U185/U$13),"-")</f>
        <v>-</v>
      </c>
      <c r="CE183" s="1415" t="str">
        <f t="shared" ref="CE183:CR183" si="319">IFERROR((T183/S183-1)*(S185/S$13),"-")</f>
        <v>-</v>
      </c>
      <c r="CF183" s="1415" t="str">
        <f t="shared" si="319"/>
        <v>-</v>
      </c>
      <c r="CG183" s="1415" t="str">
        <f t="shared" si="319"/>
        <v>-</v>
      </c>
      <c r="CH183" s="1425" t="str">
        <f t="shared" si="319"/>
        <v>-</v>
      </c>
      <c r="CI183" s="1417" t="str">
        <f t="shared" si="319"/>
        <v>-</v>
      </c>
      <c r="CJ183" s="1417" t="str">
        <f t="shared" si="319"/>
        <v>-</v>
      </c>
      <c r="CK183" s="1417" t="str">
        <f t="shared" si="319"/>
        <v>-</v>
      </c>
      <c r="CL183" s="1417" t="str">
        <f t="shared" si="319"/>
        <v>-</v>
      </c>
      <c r="CM183" s="1418" t="str">
        <f t="shared" si="319"/>
        <v>-</v>
      </c>
      <c r="CN183" s="1417" t="str">
        <f t="shared" si="319"/>
        <v>-</v>
      </c>
      <c r="CO183" s="1417" t="str">
        <f t="shared" si="319"/>
        <v>-</v>
      </c>
      <c r="CP183" s="1417" t="str">
        <f t="shared" si="319"/>
        <v>-</v>
      </c>
      <c r="CQ183" s="1417" t="str">
        <f t="shared" si="319"/>
        <v>-</v>
      </c>
      <c r="CR183" s="1419" t="str">
        <f t="shared" si="319"/>
        <v>-</v>
      </c>
      <c r="CS183" s="1378"/>
      <c r="CT183" s="1412" t="str">
        <f t="shared" si="191"/>
        <v>Price</v>
      </c>
      <c r="CU183" s="1413" t="str">
        <f t="shared" si="192"/>
        <v>[Service]</v>
      </c>
      <c r="CV183" s="1426" t="str">
        <f t="shared" si="193"/>
        <v>[Price]</v>
      </c>
      <c r="CW183" s="1427" t="str">
        <f t="shared" si="212"/>
        <v>-</v>
      </c>
      <c r="CX183" s="1417" t="str">
        <f t="shared" si="213"/>
        <v>-</v>
      </c>
      <c r="CY183" s="1417" t="str">
        <f t="shared" si="214"/>
        <v>-</v>
      </c>
      <c r="CZ183" s="1418" t="str">
        <f t="shared" si="215"/>
        <v>-</v>
      </c>
      <c r="DA183" s="1417" t="str">
        <f t="shared" si="216"/>
        <v>-</v>
      </c>
      <c r="DB183" s="1417" t="str">
        <f t="shared" si="217"/>
        <v>-</v>
      </c>
      <c r="DC183" s="1417" t="str">
        <f t="shared" si="218"/>
        <v>-</v>
      </c>
      <c r="DD183" s="1417" t="str">
        <f t="shared" si="219"/>
        <v>-</v>
      </c>
      <c r="DE183" s="1419" t="str">
        <f t="shared" si="220"/>
        <v>-</v>
      </c>
      <c r="DF183" s="1378"/>
      <c r="DG183" s="1412" t="str">
        <f t="shared" si="232"/>
        <v>Price</v>
      </c>
      <c r="DH183" s="1413" t="str">
        <f t="shared" si="232"/>
        <v>[Service]</v>
      </c>
      <c r="DI183" s="1426" t="str">
        <f t="shared" si="232"/>
        <v>[Price]</v>
      </c>
      <c r="DJ183" s="1427" t="str">
        <f t="shared" si="221"/>
        <v>-</v>
      </c>
      <c r="DK183" s="1417" t="str">
        <f t="shared" si="222"/>
        <v>-</v>
      </c>
      <c r="DL183" s="1417" t="str">
        <f t="shared" si="223"/>
        <v>-</v>
      </c>
      <c r="DM183" s="1418" t="str">
        <f t="shared" si="224"/>
        <v>-</v>
      </c>
      <c r="DN183" s="1417" t="str">
        <f t="shared" si="225"/>
        <v>-</v>
      </c>
      <c r="DO183" s="1417" t="str">
        <f t="shared" si="226"/>
        <v>-</v>
      </c>
      <c r="DP183" s="1417" t="str">
        <f t="shared" si="227"/>
        <v>-</v>
      </c>
      <c r="DQ183" s="1419" t="str">
        <f t="shared" si="228"/>
        <v>-</v>
      </c>
    </row>
    <row r="184" spans="4:121">
      <c r="E184" s="742" t="s">
        <v>45</v>
      </c>
      <c r="F184" s="722" t="str">
        <f>+F183</f>
        <v>[Service]</v>
      </c>
      <c r="G184" s="723">
        <f>+G183</f>
        <v>0</v>
      </c>
      <c r="H184" s="723">
        <f>+H183</f>
        <v>0</v>
      </c>
      <c r="I184" s="724" t="str">
        <f>+I183</f>
        <v>[Price]</v>
      </c>
      <c r="J184" s="782" t="s">
        <v>322</v>
      </c>
      <c r="K184" s="725"/>
      <c r="L184" s="726"/>
      <c r="M184" s="726"/>
      <c r="N184" s="727"/>
      <c r="O184" s="786"/>
      <c r="P184" s="787"/>
      <c r="Q184" s="786"/>
      <c r="R184" s="786"/>
      <c r="S184" s="786"/>
      <c r="T184" s="786"/>
      <c r="U184" s="786"/>
      <c r="V184" s="786"/>
      <c r="W184" s="786"/>
      <c r="X184" s="787"/>
      <c r="Y184" s="786"/>
      <c r="Z184" s="786"/>
      <c r="AA184" s="786"/>
      <c r="AB184" s="786"/>
      <c r="AC184" s="787"/>
      <c r="AD184" s="786"/>
      <c r="AE184" s="786"/>
      <c r="AF184" s="786"/>
      <c r="AG184" s="788"/>
      <c r="AH184" s="823"/>
      <c r="AI184" s="702"/>
      <c r="AJ184" s="728"/>
      <c r="AK184" s="729"/>
      <c r="AL184" s="729"/>
      <c r="AM184" s="729"/>
      <c r="AN184" s="729"/>
      <c r="AO184" s="730"/>
      <c r="AP184" s="74"/>
      <c r="AQ184" s="74"/>
      <c r="AR184" s="74"/>
      <c r="AS184" s="106"/>
      <c r="AW184" s="1392" t="str">
        <f t="shared" si="230"/>
        <v>Qty</v>
      </c>
      <c r="AX184" s="1393" t="str">
        <f t="shared" si="230"/>
        <v>[Service]</v>
      </c>
      <c r="AY184" s="1394" t="str">
        <f t="shared" si="194"/>
        <v>[Price]</v>
      </c>
      <c r="AZ184" s="1395" t="str">
        <f t="shared" si="314"/>
        <v>-</v>
      </c>
      <c r="BA184" s="1395" t="str">
        <f t="shared" si="314"/>
        <v>-</v>
      </c>
      <c r="BB184" s="1395" t="str">
        <f t="shared" si="314"/>
        <v>-</v>
      </c>
      <c r="BC184" s="1395" t="str">
        <f t="shared" si="314"/>
        <v>-</v>
      </c>
      <c r="BD184" s="1395" t="str">
        <f t="shared" si="196"/>
        <v>-</v>
      </c>
      <c r="BE184" s="1395" t="str">
        <f t="shared" si="197"/>
        <v>-</v>
      </c>
      <c r="BF184" s="1395" t="str">
        <f t="shared" si="198"/>
        <v>-</v>
      </c>
      <c r="BG184" s="1396" t="str">
        <f t="shared" si="199"/>
        <v>-</v>
      </c>
      <c r="BH184" s="1395" t="str">
        <f t="shared" si="200"/>
        <v>-</v>
      </c>
      <c r="BI184" s="1395" t="str">
        <f t="shared" si="201"/>
        <v>-</v>
      </c>
      <c r="BJ184" s="1395" t="str">
        <f t="shared" si="202"/>
        <v>-</v>
      </c>
      <c r="BK184" s="1395" t="str">
        <f t="shared" si="203"/>
        <v>-</v>
      </c>
      <c r="BL184" s="1397" t="str">
        <f t="shared" si="204"/>
        <v>-</v>
      </c>
      <c r="BM184" s="1395" t="str">
        <f t="shared" si="205"/>
        <v>-</v>
      </c>
      <c r="BN184" s="1395" t="str">
        <f t="shared" si="206"/>
        <v>-</v>
      </c>
      <c r="BO184" s="1395" t="str">
        <f t="shared" si="207"/>
        <v>-</v>
      </c>
      <c r="BP184" s="1395" t="str">
        <f t="shared" si="208"/>
        <v>-</v>
      </c>
      <c r="BQ184" s="1398" t="str">
        <f t="shared" si="209"/>
        <v>-</v>
      </c>
      <c r="BR184" s="1378"/>
      <c r="BS184" s="1329"/>
      <c r="BT184" s="1399"/>
      <c r="BU184" s="1331"/>
      <c r="BV184" s="1400"/>
      <c r="BW184" s="1378"/>
      <c r="BX184" s="1392" t="str">
        <f t="shared" si="210"/>
        <v>Qty</v>
      </c>
      <c r="BY184" s="1393" t="str">
        <f t="shared" si="255"/>
        <v>[Service]</v>
      </c>
      <c r="BZ184" s="1394" t="str">
        <f t="shared" si="256"/>
        <v>[Price]</v>
      </c>
      <c r="CA184" s="1401" t="str">
        <f>IFERROR((S184/R184-1)*(R185/R$13),"-")</f>
        <v>-</v>
      </c>
      <c r="CB184" s="1395" t="str">
        <f>IFERROR((T184/S184-1)*(S185/S$13),"-")</f>
        <v>-</v>
      </c>
      <c r="CC184" s="1395" t="str">
        <f>IFERROR((U184/T184-1)*(T185/T$13),"-")</f>
        <v>-</v>
      </c>
      <c r="CD184" s="1395" t="str">
        <f>IFERROR((V184/U184-1)*(U185/U$13),"-")</f>
        <v>-</v>
      </c>
      <c r="CE184" s="1395" t="str">
        <f t="shared" ref="CE184:CR184" si="320">IFERROR((T184/S184-1)*(S185/S$13),"-")</f>
        <v>-</v>
      </c>
      <c r="CF184" s="1395" t="str">
        <f t="shared" si="320"/>
        <v>-</v>
      </c>
      <c r="CG184" s="1395" t="str">
        <f t="shared" si="320"/>
        <v>-</v>
      </c>
      <c r="CH184" s="1397" t="str">
        <f t="shared" si="320"/>
        <v>-</v>
      </c>
      <c r="CI184" s="1395" t="str">
        <f t="shared" si="320"/>
        <v>-</v>
      </c>
      <c r="CJ184" s="1395" t="str">
        <f t="shared" si="320"/>
        <v>-</v>
      </c>
      <c r="CK184" s="1395" t="str">
        <f t="shared" si="320"/>
        <v>-</v>
      </c>
      <c r="CL184" s="1395" t="str">
        <f t="shared" si="320"/>
        <v>-</v>
      </c>
      <c r="CM184" s="1397" t="str">
        <f t="shared" si="320"/>
        <v>-</v>
      </c>
      <c r="CN184" s="1395" t="str">
        <f t="shared" si="320"/>
        <v>-</v>
      </c>
      <c r="CO184" s="1395" t="str">
        <f t="shared" si="320"/>
        <v>-</v>
      </c>
      <c r="CP184" s="1395" t="str">
        <f t="shared" si="320"/>
        <v>-</v>
      </c>
      <c r="CQ184" s="1395" t="str">
        <f t="shared" si="320"/>
        <v>-</v>
      </c>
      <c r="CR184" s="1398" t="str">
        <f t="shared" si="320"/>
        <v>-</v>
      </c>
      <c r="CS184" s="1378"/>
      <c r="CT184" s="1392" t="str">
        <f t="shared" si="191"/>
        <v>Qty</v>
      </c>
      <c r="CU184" s="1393" t="str">
        <f t="shared" si="192"/>
        <v>[Service]</v>
      </c>
      <c r="CV184" s="1393" t="str">
        <f t="shared" si="193"/>
        <v>[Price]</v>
      </c>
      <c r="CW184" s="1401" t="str">
        <f t="shared" si="212"/>
        <v>-</v>
      </c>
      <c r="CX184" s="1395" t="str">
        <f t="shared" si="213"/>
        <v>-</v>
      </c>
      <c r="CY184" s="1395" t="str">
        <f t="shared" si="214"/>
        <v>-</v>
      </c>
      <c r="CZ184" s="1397" t="str">
        <f t="shared" si="215"/>
        <v>-</v>
      </c>
      <c r="DA184" s="1395" t="str">
        <f t="shared" si="216"/>
        <v>-</v>
      </c>
      <c r="DB184" s="1395" t="str">
        <f t="shared" si="217"/>
        <v>-</v>
      </c>
      <c r="DC184" s="1395" t="str">
        <f t="shared" si="218"/>
        <v>-</v>
      </c>
      <c r="DD184" s="1395" t="str">
        <f t="shared" si="219"/>
        <v>-</v>
      </c>
      <c r="DE184" s="1398" t="str">
        <f t="shared" si="220"/>
        <v>-</v>
      </c>
      <c r="DF184" s="1378"/>
      <c r="DG184" s="1392" t="str">
        <f t="shared" si="232"/>
        <v>Qty</v>
      </c>
      <c r="DH184" s="1393" t="str">
        <f t="shared" si="232"/>
        <v>[Service]</v>
      </c>
      <c r="DI184" s="1393" t="str">
        <f t="shared" si="232"/>
        <v>[Price]</v>
      </c>
      <c r="DJ184" s="1401" t="str">
        <f t="shared" si="221"/>
        <v>-</v>
      </c>
      <c r="DK184" s="1395" t="str">
        <f t="shared" si="222"/>
        <v>-</v>
      </c>
      <c r="DL184" s="1395" t="str">
        <f t="shared" si="223"/>
        <v>-</v>
      </c>
      <c r="DM184" s="1397" t="str">
        <f t="shared" si="224"/>
        <v>-</v>
      </c>
      <c r="DN184" s="1395" t="str">
        <f t="shared" si="225"/>
        <v>-</v>
      </c>
      <c r="DO184" s="1395" t="str">
        <f t="shared" si="226"/>
        <v>-</v>
      </c>
      <c r="DP184" s="1395" t="str">
        <f t="shared" si="227"/>
        <v>-</v>
      </c>
      <c r="DQ184" s="1398" t="str">
        <f t="shared" si="228"/>
        <v>-</v>
      </c>
    </row>
    <row r="185" spans="4:121" ht="12.75" thickBot="1">
      <c r="E185" s="743" t="s">
        <v>46</v>
      </c>
      <c r="F185" s="732" t="str">
        <f>+F183</f>
        <v>[Service]</v>
      </c>
      <c r="G185" s="733">
        <f>+G183</f>
        <v>0</v>
      </c>
      <c r="H185" s="733">
        <f>+H183</f>
        <v>0</v>
      </c>
      <c r="I185" s="734" t="str">
        <f>+I183</f>
        <v>[Price]</v>
      </c>
      <c r="J185" s="735" t="s">
        <v>344</v>
      </c>
      <c r="K185" s="736">
        <f t="shared" ref="K185:AG185" si="321">K183*K184/10^6</f>
        <v>0</v>
      </c>
      <c r="L185" s="737">
        <f t="shared" si="321"/>
        <v>0</v>
      </c>
      <c r="M185" s="737">
        <f t="shared" si="321"/>
        <v>0</v>
      </c>
      <c r="N185" s="738">
        <f t="shared" si="321"/>
        <v>0</v>
      </c>
      <c r="O185" s="737">
        <f t="shared" si="321"/>
        <v>0</v>
      </c>
      <c r="P185" s="738">
        <f t="shared" si="321"/>
        <v>0</v>
      </c>
      <c r="Q185" s="737">
        <f t="shared" si="321"/>
        <v>0</v>
      </c>
      <c r="R185" s="737">
        <f t="shared" si="321"/>
        <v>0</v>
      </c>
      <c r="S185" s="737">
        <f t="shared" si="321"/>
        <v>0</v>
      </c>
      <c r="T185" s="737">
        <f t="shared" si="321"/>
        <v>0</v>
      </c>
      <c r="U185" s="737">
        <f t="shared" si="321"/>
        <v>0</v>
      </c>
      <c r="V185" s="737">
        <f t="shared" si="321"/>
        <v>0</v>
      </c>
      <c r="W185" s="737">
        <f t="shared" si="321"/>
        <v>0</v>
      </c>
      <c r="X185" s="738">
        <f t="shared" si="321"/>
        <v>0</v>
      </c>
      <c r="Y185" s="737">
        <f t="shared" si="321"/>
        <v>0</v>
      </c>
      <c r="Z185" s="737">
        <f t="shared" si="321"/>
        <v>0</v>
      </c>
      <c r="AA185" s="737">
        <f t="shared" si="321"/>
        <v>0</v>
      </c>
      <c r="AB185" s="737">
        <f t="shared" si="321"/>
        <v>0</v>
      </c>
      <c r="AC185" s="738">
        <f t="shared" si="321"/>
        <v>0</v>
      </c>
      <c r="AD185" s="737">
        <f t="shared" si="321"/>
        <v>0</v>
      </c>
      <c r="AE185" s="737">
        <f t="shared" si="321"/>
        <v>0</v>
      </c>
      <c r="AF185" s="737">
        <f t="shared" si="321"/>
        <v>0</v>
      </c>
      <c r="AG185" s="739">
        <f t="shared" si="321"/>
        <v>0</v>
      </c>
      <c r="AH185" s="823"/>
      <c r="AI185" s="744"/>
      <c r="AJ185" s="741"/>
      <c r="AK185" s="729"/>
      <c r="AL185" s="729"/>
      <c r="AM185" s="729"/>
      <c r="AN185" s="729"/>
      <c r="AO185" s="730"/>
      <c r="AP185" s="74"/>
      <c r="AQ185" s="74"/>
      <c r="AR185" s="74"/>
      <c r="AS185" s="106"/>
      <c r="AW185" s="1428" t="str">
        <f t="shared" si="230"/>
        <v>Rev</v>
      </c>
      <c r="AX185" s="1429" t="str">
        <f t="shared" si="230"/>
        <v>[Service]</v>
      </c>
      <c r="AY185" s="1430" t="str">
        <f t="shared" si="194"/>
        <v>[Price]</v>
      </c>
      <c r="AZ185" s="1431" t="str">
        <f t="shared" si="314"/>
        <v>-</v>
      </c>
      <c r="BA185" s="1431" t="str">
        <f t="shared" si="314"/>
        <v>-</v>
      </c>
      <c r="BB185" s="1431" t="str">
        <f t="shared" si="314"/>
        <v>-</v>
      </c>
      <c r="BC185" s="1431" t="str">
        <f t="shared" si="314"/>
        <v>-</v>
      </c>
      <c r="BD185" s="1431" t="str">
        <f t="shared" si="196"/>
        <v>-</v>
      </c>
      <c r="BE185" s="1431" t="str">
        <f t="shared" si="197"/>
        <v>-</v>
      </c>
      <c r="BF185" s="1431" t="str">
        <f t="shared" si="198"/>
        <v>-</v>
      </c>
      <c r="BG185" s="1432" t="str">
        <f t="shared" si="199"/>
        <v>-</v>
      </c>
      <c r="BH185" s="1431" t="str">
        <f t="shared" si="200"/>
        <v>-</v>
      </c>
      <c r="BI185" s="1431" t="str">
        <f t="shared" si="201"/>
        <v>-</v>
      </c>
      <c r="BJ185" s="1431" t="str">
        <f t="shared" si="202"/>
        <v>-</v>
      </c>
      <c r="BK185" s="1431" t="str">
        <f t="shared" si="203"/>
        <v>-</v>
      </c>
      <c r="BL185" s="1433" t="str">
        <f t="shared" si="204"/>
        <v>-</v>
      </c>
      <c r="BM185" s="1431" t="str">
        <f t="shared" si="205"/>
        <v>-</v>
      </c>
      <c r="BN185" s="1431" t="str">
        <f t="shared" si="206"/>
        <v>-</v>
      </c>
      <c r="BO185" s="1431" t="str">
        <f t="shared" si="207"/>
        <v>-</v>
      </c>
      <c r="BP185" s="1431" t="str">
        <f t="shared" si="208"/>
        <v>-</v>
      </c>
      <c r="BQ185" s="1434" t="str">
        <f t="shared" si="209"/>
        <v>-</v>
      </c>
      <c r="BR185" s="1378"/>
      <c r="BS185" s="1407"/>
      <c r="BT185" s="1408"/>
      <c r="BU185" s="1409"/>
      <c r="BV185" s="1410"/>
      <c r="BW185" s="1378"/>
      <c r="BX185" s="1428" t="str">
        <f t="shared" si="210"/>
        <v>Rev</v>
      </c>
      <c r="BY185" s="1429" t="str">
        <f t="shared" si="255"/>
        <v>[Service]</v>
      </c>
      <c r="BZ185" s="1430" t="str">
        <f t="shared" si="256"/>
        <v>[Price]</v>
      </c>
      <c r="CA185" s="1435" t="str">
        <f>IFERROR((S185/R185-1)*(R185/R$13),"-")</f>
        <v>-</v>
      </c>
      <c r="CB185" s="1431" t="str">
        <f>IFERROR((T185/S185-1)*(S185/S$13),"-")</f>
        <v>-</v>
      </c>
      <c r="CC185" s="1431" t="str">
        <f>IFERROR((U185/T185-1)*(T185/T$13),"-")</f>
        <v>-</v>
      </c>
      <c r="CD185" s="1431" t="str">
        <f>IFERROR((V185/U185-1)*(U185/U$13),"-")</f>
        <v>-</v>
      </c>
      <c r="CE185" s="1431" t="str">
        <f t="shared" ref="CE185:CR185" si="322">IFERROR((T185/S185-1)*(S185/S$13),"-")</f>
        <v>-</v>
      </c>
      <c r="CF185" s="1431" t="str">
        <f t="shared" si="322"/>
        <v>-</v>
      </c>
      <c r="CG185" s="1431" t="str">
        <f t="shared" si="322"/>
        <v>-</v>
      </c>
      <c r="CH185" s="1433" t="str">
        <f t="shared" si="322"/>
        <v>-</v>
      </c>
      <c r="CI185" s="1431" t="str">
        <f t="shared" si="322"/>
        <v>-</v>
      </c>
      <c r="CJ185" s="1431" t="str">
        <f t="shared" si="322"/>
        <v>-</v>
      </c>
      <c r="CK185" s="1431" t="str">
        <f t="shared" si="322"/>
        <v>-</v>
      </c>
      <c r="CL185" s="1431" t="str">
        <f t="shared" si="322"/>
        <v>-</v>
      </c>
      <c r="CM185" s="1433" t="str">
        <f t="shared" si="322"/>
        <v>-</v>
      </c>
      <c r="CN185" s="1431" t="str">
        <f t="shared" si="322"/>
        <v>-</v>
      </c>
      <c r="CO185" s="1431" t="str">
        <f t="shared" si="322"/>
        <v>-</v>
      </c>
      <c r="CP185" s="1431" t="str">
        <f t="shared" si="322"/>
        <v>-</v>
      </c>
      <c r="CQ185" s="1431" t="str">
        <f t="shared" si="322"/>
        <v>-</v>
      </c>
      <c r="CR185" s="1434" t="str">
        <f t="shared" si="322"/>
        <v>-</v>
      </c>
      <c r="CS185" s="1378"/>
      <c r="CT185" s="1428" t="str">
        <f t="shared" si="191"/>
        <v>Rev</v>
      </c>
      <c r="CU185" s="1429" t="str">
        <f t="shared" si="192"/>
        <v>[Service]</v>
      </c>
      <c r="CV185" s="1429" t="str">
        <f t="shared" si="193"/>
        <v>[Price]</v>
      </c>
      <c r="CW185" s="1435" t="str">
        <f t="shared" si="212"/>
        <v>-</v>
      </c>
      <c r="CX185" s="1431" t="str">
        <f t="shared" si="213"/>
        <v>-</v>
      </c>
      <c r="CY185" s="1431" t="str">
        <f t="shared" si="214"/>
        <v>-</v>
      </c>
      <c r="CZ185" s="1433" t="str">
        <f t="shared" si="215"/>
        <v>-</v>
      </c>
      <c r="DA185" s="1431" t="str">
        <f t="shared" si="216"/>
        <v>-</v>
      </c>
      <c r="DB185" s="1431" t="str">
        <f t="shared" si="217"/>
        <v>-</v>
      </c>
      <c r="DC185" s="1431" t="str">
        <f t="shared" si="218"/>
        <v>-</v>
      </c>
      <c r="DD185" s="1431" t="str">
        <f t="shared" si="219"/>
        <v>-</v>
      </c>
      <c r="DE185" s="1434" t="str">
        <f t="shared" si="220"/>
        <v>-</v>
      </c>
      <c r="DF185" s="1378"/>
      <c r="DG185" s="1428" t="str">
        <f t="shared" si="232"/>
        <v>Rev</v>
      </c>
      <c r="DH185" s="1429" t="str">
        <f t="shared" si="232"/>
        <v>[Service]</v>
      </c>
      <c r="DI185" s="1429" t="str">
        <f t="shared" si="232"/>
        <v>[Price]</v>
      </c>
      <c r="DJ185" s="1435" t="str">
        <f t="shared" si="221"/>
        <v>-</v>
      </c>
      <c r="DK185" s="1431" t="str">
        <f t="shared" si="222"/>
        <v>-</v>
      </c>
      <c r="DL185" s="1431" t="str">
        <f t="shared" si="223"/>
        <v>-</v>
      </c>
      <c r="DM185" s="1433" t="str">
        <f t="shared" si="224"/>
        <v>-</v>
      </c>
      <c r="DN185" s="1431" t="str">
        <f t="shared" si="225"/>
        <v>-</v>
      </c>
      <c r="DO185" s="1431" t="str">
        <f t="shared" si="226"/>
        <v>-</v>
      </c>
      <c r="DP185" s="1431" t="str">
        <f t="shared" si="227"/>
        <v>-</v>
      </c>
      <c r="DQ185" s="1434" t="str">
        <f t="shared" si="228"/>
        <v>-</v>
      </c>
    </row>
    <row r="186" spans="4:121">
      <c r="D186" s="70">
        <f>D183+1</f>
        <v>40</v>
      </c>
      <c r="E186" s="713" t="s">
        <v>44</v>
      </c>
      <c r="F186" s="789" t="s">
        <v>27</v>
      </c>
      <c r="G186" s="789"/>
      <c r="H186" s="789"/>
      <c r="I186" s="781" t="s">
        <v>318</v>
      </c>
      <c r="J186" s="781" t="s">
        <v>345</v>
      </c>
      <c r="K186" s="714"/>
      <c r="L186" s="715"/>
      <c r="M186" s="715"/>
      <c r="N186" s="716"/>
      <c r="O186" s="783"/>
      <c r="P186" s="784"/>
      <c r="Q186" s="783"/>
      <c r="R186" s="783"/>
      <c r="S186" s="783"/>
      <c r="T186" s="783"/>
      <c r="U186" s="783"/>
      <c r="V186" s="783"/>
      <c r="W186" s="783"/>
      <c r="X186" s="784"/>
      <c r="Y186" s="783"/>
      <c r="Z186" s="783"/>
      <c r="AA186" s="783"/>
      <c r="AB186" s="783"/>
      <c r="AC186" s="784"/>
      <c r="AD186" s="783"/>
      <c r="AE186" s="783"/>
      <c r="AF186" s="783"/>
      <c r="AG186" s="785"/>
      <c r="AI186" s="702"/>
      <c r="AJ186" s="717" t="str">
        <f t="shared" ref="AJ186:AS186" si="323">IFERROR((X186-W186)/W186,"")</f>
        <v/>
      </c>
      <c r="AK186" s="718" t="str">
        <f t="shared" si="323"/>
        <v/>
      </c>
      <c r="AL186" s="718" t="str">
        <f t="shared" si="323"/>
        <v/>
      </c>
      <c r="AM186" s="718" t="str">
        <f t="shared" si="323"/>
        <v/>
      </c>
      <c r="AN186" s="718" t="str">
        <f t="shared" si="323"/>
        <v/>
      </c>
      <c r="AO186" s="719" t="str">
        <f t="shared" si="323"/>
        <v/>
      </c>
      <c r="AP186" s="494" t="str">
        <f t="shared" si="323"/>
        <v/>
      </c>
      <c r="AQ186" s="494" t="str">
        <f t="shared" si="323"/>
        <v/>
      </c>
      <c r="AR186" s="494" t="str">
        <f t="shared" si="323"/>
        <v/>
      </c>
      <c r="AS186" s="720" t="str">
        <f t="shared" si="323"/>
        <v/>
      </c>
      <c r="AU186" s="1369"/>
      <c r="AW186" s="1412" t="str">
        <f t="shared" si="230"/>
        <v>Price</v>
      </c>
      <c r="AX186" s="1413" t="str">
        <f t="shared" si="230"/>
        <v>[Service]</v>
      </c>
      <c r="AY186" s="1414" t="str">
        <f t="shared" si="194"/>
        <v>[Price]</v>
      </c>
      <c r="AZ186" s="1415" t="str">
        <f t="shared" si="314"/>
        <v>-</v>
      </c>
      <c r="BA186" s="1415" t="str">
        <f t="shared" si="314"/>
        <v>-</v>
      </c>
      <c r="BB186" s="1415" t="str">
        <f t="shared" si="314"/>
        <v>-</v>
      </c>
      <c r="BC186" s="1415" t="str">
        <f t="shared" si="314"/>
        <v>-</v>
      </c>
      <c r="BD186" s="1415" t="str">
        <f t="shared" si="196"/>
        <v>-</v>
      </c>
      <c r="BE186" s="1415" t="str">
        <f t="shared" si="197"/>
        <v>-</v>
      </c>
      <c r="BF186" s="1415" t="str">
        <f t="shared" si="198"/>
        <v>-</v>
      </c>
      <c r="BG186" s="1416" t="str">
        <f t="shared" si="199"/>
        <v>-</v>
      </c>
      <c r="BH186" s="1417" t="str">
        <f t="shared" si="200"/>
        <v>-</v>
      </c>
      <c r="BI186" s="1417" t="str">
        <f t="shared" si="201"/>
        <v>-</v>
      </c>
      <c r="BJ186" s="1417" t="str">
        <f t="shared" si="202"/>
        <v>-</v>
      </c>
      <c r="BK186" s="1417" t="str">
        <f t="shared" si="203"/>
        <v>-</v>
      </c>
      <c r="BL186" s="1418" t="str">
        <f t="shared" si="204"/>
        <v>-</v>
      </c>
      <c r="BM186" s="1417" t="str">
        <f t="shared" si="205"/>
        <v>-</v>
      </c>
      <c r="BN186" s="1417" t="str">
        <f t="shared" si="206"/>
        <v>-</v>
      </c>
      <c r="BO186" s="1417" t="str">
        <f t="shared" si="207"/>
        <v>-</v>
      </c>
      <c r="BP186" s="1417" t="str">
        <f t="shared" si="208"/>
        <v>-</v>
      </c>
      <c r="BQ186" s="1419" t="str">
        <f t="shared" si="209"/>
        <v>-</v>
      </c>
      <c r="BR186" s="1378"/>
      <c r="BS186" s="1420"/>
      <c r="BT186" s="1421"/>
      <c r="BU186" s="1422"/>
      <c r="BV186" s="1423"/>
      <c r="BW186" s="1378"/>
      <c r="BX186" s="1412" t="str">
        <f t="shared" si="210"/>
        <v>Price</v>
      </c>
      <c r="BY186" s="1413" t="str">
        <f t="shared" si="255"/>
        <v>[Service]</v>
      </c>
      <c r="BZ186" s="1414" t="str">
        <f t="shared" si="256"/>
        <v>[Price]</v>
      </c>
      <c r="CA186" s="1424" t="str">
        <f>IFERROR((S186/R186-1)*(R188/R$13),"-")</f>
        <v>-</v>
      </c>
      <c r="CB186" s="1415" t="str">
        <f>IFERROR((T186/S186-1)*(S188/S$13),"-")</f>
        <v>-</v>
      </c>
      <c r="CC186" s="1415" t="str">
        <f>IFERROR((U186/T186-1)*(T188/T$13),"-")</f>
        <v>-</v>
      </c>
      <c r="CD186" s="1415" t="str">
        <f>IFERROR((V186/U186-1)*(U188/U$13),"-")</f>
        <v>-</v>
      </c>
      <c r="CE186" s="1415" t="str">
        <f t="shared" ref="CE186:CR186" si="324">IFERROR((T186/S186-1)*(S188/S$13),"-")</f>
        <v>-</v>
      </c>
      <c r="CF186" s="1415" t="str">
        <f t="shared" si="324"/>
        <v>-</v>
      </c>
      <c r="CG186" s="1415" t="str">
        <f t="shared" si="324"/>
        <v>-</v>
      </c>
      <c r="CH186" s="1425" t="str">
        <f t="shared" si="324"/>
        <v>-</v>
      </c>
      <c r="CI186" s="1417" t="str">
        <f t="shared" si="324"/>
        <v>-</v>
      </c>
      <c r="CJ186" s="1417" t="str">
        <f t="shared" si="324"/>
        <v>-</v>
      </c>
      <c r="CK186" s="1417" t="str">
        <f t="shared" si="324"/>
        <v>-</v>
      </c>
      <c r="CL186" s="1417" t="str">
        <f t="shared" si="324"/>
        <v>-</v>
      </c>
      <c r="CM186" s="1418" t="str">
        <f t="shared" si="324"/>
        <v>-</v>
      </c>
      <c r="CN186" s="1417" t="str">
        <f t="shared" si="324"/>
        <v>-</v>
      </c>
      <c r="CO186" s="1417" t="str">
        <f t="shared" si="324"/>
        <v>-</v>
      </c>
      <c r="CP186" s="1417" t="str">
        <f t="shared" si="324"/>
        <v>-</v>
      </c>
      <c r="CQ186" s="1417" t="str">
        <f t="shared" si="324"/>
        <v>-</v>
      </c>
      <c r="CR186" s="1419" t="str">
        <f t="shared" si="324"/>
        <v>-</v>
      </c>
      <c r="CS186" s="1378"/>
      <c r="CT186" s="1412" t="str">
        <f t="shared" si="191"/>
        <v>Price</v>
      </c>
      <c r="CU186" s="1413" t="str">
        <f t="shared" si="192"/>
        <v>[Service]</v>
      </c>
      <c r="CV186" s="1426" t="str">
        <f t="shared" si="193"/>
        <v>[Price]</v>
      </c>
      <c r="CW186" s="1427" t="str">
        <f t="shared" si="212"/>
        <v>-</v>
      </c>
      <c r="CX186" s="1417" t="str">
        <f t="shared" si="213"/>
        <v>-</v>
      </c>
      <c r="CY186" s="1417" t="str">
        <f t="shared" si="214"/>
        <v>-</v>
      </c>
      <c r="CZ186" s="1418" t="str">
        <f t="shared" si="215"/>
        <v>-</v>
      </c>
      <c r="DA186" s="1417" t="str">
        <f t="shared" si="216"/>
        <v>-</v>
      </c>
      <c r="DB186" s="1417" t="str">
        <f t="shared" si="217"/>
        <v>-</v>
      </c>
      <c r="DC186" s="1417" t="str">
        <f t="shared" si="218"/>
        <v>-</v>
      </c>
      <c r="DD186" s="1417" t="str">
        <f t="shared" si="219"/>
        <v>-</v>
      </c>
      <c r="DE186" s="1419" t="str">
        <f t="shared" si="220"/>
        <v>-</v>
      </c>
      <c r="DF186" s="1378"/>
      <c r="DG186" s="1412" t="str">
        <f t="shared" si="232"/>
        <v>Price</v>
      </c>
      <c r="DH186" s="1413" t="str">
        <f t="shared" si="232"/>
        <v>[Service]</v>
      </c>
      <c r="DI186" s="1426" t="str">
        <f t="shared" si="232"/>
        <v>[Price]</v>
      </c>
      <c r="DJ186" s="1427" t="str">
        <f t="shared" si="221"/>
        <v>-</v>
      </c>
      <c r="DK186" s="1417" t="str">
        <f t="shared" si="222"/>
        <v>-</v>
      </c>
      <c r="DL186" s="1417" t="str">
        <f t="shared" si="223"/>
        <v>-</v>
      </c>
      <c r="DM186" s="1418" t="str">
        <f t="shared" si="224"/>
        <v>-</v>
      </c>
      <c r="DN186" s="1417" t="str">
        <f t="shared" si="225"/>
        <v>-</v>
      </c>
      <c r="DO186" s="1417" t="str">
        <f t="shared" si="226"/>
        <v>-</v>
      </c>
      <c r="DP186" s="1417" t="str">
        <f t="shared" si="227"/>
        <v>-</v>
      </c>
      <c r="DQ186" s="1419" t="str">
        <f t="shared" si="228"/>
        <v>-</v>
      </c>
    </row>
    <row r="187" spans="4:121">
      <c r="E187" s="742" t="s">
        <v>45</v>
      </c>
      <c r="F187" s="722" t="str">
        <f>+F186</f>
        <v>[Service]</v>
      </c>
      <c r="G187" s="723">
        <f>+G186</f>
        <v>0</v>
      </c>
      <c r="H187" s="723">
        <f>+H186</f>
        <v>0</v>
      </c>
      <c r="I187" s="724" t="str">
        <f>+I186</f>
        <v>[Price]</v>
      </c>
      <c r="J187" s="782" t="s">
        <v>322</v>
      </c>
      <c r="K187" s="725"/>
      <c r="L187" s="726"/>
      <c r="M187" s="726"/>
      <c r="N187" s="727"/>
      <c r="O187" s="786"/>
      <c r="P187" s="787"/>
      <c r="Q187" s="786"/>
      <c r="R187" s="786"/>
      <c r="S187" s="786"/>
      <c r="T187" s="786"/>
      <c r="U187" s="786"/>
      <c r="V187" s="786"/>
      <c r="W187" s="786"/>
      <c r="X187" s="787"/>
      <c r="Y187" s="786"/>
      <c r="Z187" s="786"/>
      <c r="AA187" s="786"/>
      <c r="AB187" s="786"/>
      <c r="AC187" s="787"/>
      <c r="AD187" s="786"/>
      <c r="AE187" s="786"/>
      <c r="AF187" s="786"/>
      <c r="AG187" s="788"/>
      <c r="AH187" s="823"/>
      <c r="AI187" s="702"/>
      <c r="AJ187" s="728"/>
      <c r="AK187" s="729"/>
      <c r="AL187" s="729"/>
      <c r="AM187" s="729"/>
      <c r="AN187" s="729"/>
      <c r="AO187" s="730"/>
      <c r="AP187" s="74"/>
      <c r="AQ187" s="74"/>
      <c r="AR187" s="74"/>
      <c r="AS187" s="106"/>
      <c r="AW187" s="1392" t="str">
        <f t="shared" si="230"/>
        <v>Qty</v>
      </c>
      <c r="AX187" s="1393" t="str">
        <f t="shared" si="230"/>
        <v>[Service]</v>
      </c>
      <c r="AY187" s="1394" t="str">
        <f t="shared" si="194"/>
        <v>[Price]</v>
      </c>
      <c r="AZ187" s="1395" t="str">
        <f t="shared" si="314"/>
        <v>-</v>
      </c>
      <c r="BA187" s="1395" t="str">
        <f t="shared" si="314"/>
        <v>-</v>
      </c>
      <c r="BB187" s="1395" t="str">
        <f t="shared" si="314"/>
        <v>-</v>
      </c>
      <c r="BC187" s="1395" t="str">
        <f t="shared" si="314"/>
        <v>-</v>
      </c>
      <c r="BD187" s="1395" t="str">
        <f t="shared" si="196"/>
        <v>-</v>
      </c>
      <c r="BE187" s="1395" t="str">
        <f t="shared" si="197"/>
        <v>-</v>
      </c>
      <c r="BF187" s="1395" t="str">
        <f t="shared" si="198"/>
        <v>-</v>
      </c>
      <c r="BG187" s="1396" t="str">
        <f t="shared" si="199"/>
        <v>-</v>
      </c>
      <c r="BH187" s="1395" t="str">
        <f t="shared" si="200"/>
        <v>-</v>
      </c>
      <c r="BI187" s="1395" t="str">
        <f t="shared" si="201"/>
        <v>-</v>
      </c>
      <c r="BJ187" s="1395" t="str">
        <f t="shared" si="202"/>
        <v>-</v>
      </c>
      <c r="BK187" s="1395" t="str">
        <f t="shared" si="203"/>
        <v>-</v>
      </c>
      <c r="BL187" s="1397" t="str">
        <f t="shared" si="204"/>
        <v>-</v>
      </c>
      <c r="BM187" s="1395" t="str">
        <f t="shared" si="205"/>
        <v>-</v>
      </c>
      <c r="BN187" s="1395" t="str">
        <f t="shared" si="206"/>
        <v>-</v>
      </c>
      <c r="BO187" s="1395" t="str">
        <f t="shared" si="207"/>
        <v>-</v>
      </c>
      <c r="BP187" s="1395" t="str">
        <f t="shared" si="208"/>
        <v>-</v>
      </c>
      <c r="BQ187" s="1398" t="str">
        <f t="shared" si="209"/>
        <v>-</v>
      </c>
      <c r="BR187" s="1378"/>
      <c r="BS187" s="1329"/>
      <c r="BT187" s="1399"/>
      <c r="BU187" s="1331"/>
      <c r="BV187" s="1400"/>
      <c r="BW187" s="1378"/>
      <c r="BX187" s="1392" t="str">
        <f t="shared" si="210"/>
        <v>Qty</v>
      </c>
      <c r="BY187" s="1393" t="str">
        <f t="shared" si="255"/>
        <v>[Service]</v>
      </c>
      <c r="BZ187" s="1394" t="str">
        <f t="shared" si="256"/>
        <v>[Price]</v>
      </c>
      <c r="CA187" s="1401" t="str">
        <f>IFERROR((S187/R187-1)*(R188/R$13),"-")</f>
        <v>-</v>
      </c>
      <c r="CB187" s="1395" t="str">
        <f>IFERROR((T187/S187-1)*(S188/S$13),"-")</f>
        <v>-</v>
      </c>
      <c r="CC187" s="1395" t="str">
        <f>IFERROR((U187/T187-1)*(T188/T$13),"-")</f>
        <v>-</v>
      </c>
      <c r="CD187" s="1395" t="str">
        <f>IFERROR((V187/U187-1)*(U188/U$13),"-")</f>
        <v>-</v>
      </c>
      <c r="CE187" s="1395" t="str">
        <f t="shared" ref="CE187:CR187" si="325">IFERROR((T187/S187-1)*(S188/S$13),"-")</f>
        <v>-</v>
      </c>
      <c r="CF187" s="1395" t="str">
        <f t="shared" si="325"/>
        <v>-</v>
      </c>
      <c r="CG187" s="1395" t="str">
        <f t="shared" si="325"/>
        <v>-</v>
      </c>
      <c r="CH187" s="1397" t="str">
        <f t="shared" si="325"/>
        <v>-</v>
      </c>
      <c r="CI187" s="1395" t="str">
        <f t="shared" si="325"/>
        <v>-</v>
      </c>
      <c r="CJ187" s="1395" t="str">
        <f t="shared" si="325"/>
        <v>-</v>
      </c>
      <c r="CK187" s="1395" t="str">
        <f t="shared" si="325"/>
        <v>-</v>
      </c>
      <c r="CL187" s="1395" t="str">
        <f t="shared" si="325"/>
        <v>-</v>
      </c>
      <c r="CM187" s="1397" t="str">
        <f t="shared" si="325"/>
        <v>-</v>
      </c>
      <c r="CN187" s="1395" t="str">
        <f t="shared" si="325"/>
        <v>-</v>
      </c>
      <c r="CO187" s="1395" t="str">
        <f t="shared" si="325"/>
        <v>-</v>
      </c>
      <c r="CP187" s="1395" t="str">
        <f t="shared" si="325"/>
        <v>-</v>
      </c>
      <c r="CQ187" s="1395" t="str">
        <f t="shared" si="325"/>
        <v>-</v>
      </c>
      <c r="CR187" s="1398" t="str">
        <f t="shared" si="325"/>
        <v>-</v>
      </c>
      <c r="CS187" s="1378"/>
      <c r="CT187" s="1392" t="str">
        <f t="shared" si="191"/>
        <v>Qty</v>
      </c>
      <c r="CU187" s="1393" t="str">
        <f t="shared" si="192"/>
        <v>[Service]</v>
      </c>
      <c r="CV187" s="1393" t="str">
        <f t="shared" si="193"/>
        <v>[Price]</v>
      </c>
      <c r="CW187" s="1401" t="str">
        <f t="shared" si="212"/>
        <v>-</v>
      </c>
      <c r="CX187" s="1395" t="str">
        <f t="shared" si="213"/>
        <v>-</v>
      </c>
      <c r="CY187" s="1395" t="str">
        <f t="shared" si="214"/>
        <v>-</v>
      </c>
      <c r="CZ187" s="1397" t="str">
        <f t="shared" si="215"/>
        <v>-</v>
      </c>
      <c r="DA187" s="1395" t="str">
        <f t="shared" si="216"/>
        <v>-</v>
      </c>
      <c r="DB187" s="1395" t="str">
        <f t="shared" si="217"/>
        <v>-</v>
      </c>
      <c r="DC187" s="1395" t="str">
        <f t="shared" si="218"/>
        <v>-</v>
      </c>
      <c r="DD187" s="1395" t="str">
        <f t="shared" si="219"/>
        <v>-</v>
      </c>
      <c r="DE187" s="1398" t="str">
        <f t="shared" si="220"/>
        <v>-</v>
      </c>
      <c r="DF187" s="1378"/>
      <c r="DG187" s="1392" t="str">
        <f t="shared" si="232"/>
        <v>Qty</v>
      </c>
      <c r="DH187" s="1393" t="str">
        <f t="shared" si="232"/>
        <v>[Service]</v>
      </c>
      <c r="DI187" s="1393" t="str">
        <f t="shared" si="232"/>
        <v>[Price]</v>
      </c>
      <c r="DJ187" s="1401" t="str">
        <f t="shared" si="221"/>
        <v>-</v>
      </c>
      <c r="DK187" s="1395" t="str">
        <f t="shared" si="222"/>
        <v>-</v>
      </c>
      <c r="DL187" s="1395" t="str">
        <f t="shared" si="223"/>
        <v>-</v>
      </c>
      <c r="DM187" s="1397" t="str">
        <f t="shared" si="224"/>
        <v>-</v>
      </c>
      <c r="DN187" s="1395" t="str">
        <f t="shared" si="225"/>
        <v>-</v>
      </c>
      <c r="DO187" s="1395" t="str">
        <f t="shared" si="226"/>
        <v>-</v>
      </c>
      <c r="DP187" s="1395" t="str">
        <f t="shared" si="227"/>
        <v>-</v>
      </c>
      <c r="DQ187" s="1398" t="str">
        <f t="shared" si="228"/>
        <v>-</v>
      </c>
    </row>
    <row r="188" spans="4:121" ht="12.75" thickBot="1">
      <c r="E188" s="743" t="s">
        <v>46</v>
      </c>
      <c r="F188" s="732" t="str">
        <f>+F186</f>
        <v>[Service]</v>
      </c>
      <c r="G188" s="733">
        <f>+G186</f>
        <v>0</v>
      </c>
      <c r="H188" s="733">
        <f>+H186</f>
        <v>0</v>
      </c>
      <c r="I188" s="734" t="str">
        <f>+I186</f>
        <v>[Price]</v>
      </c>
      <c r="J188" s="735" t="s">
        <v>344</v>
      </c>
      <c r="K188" s="736">
        <f t="shared" ref="K188:AG188" si="326">K186*K187/10^6</f>
        <v>0</v>
      </c>
      <c r="L188" s="737">
        <f t="shared" si="326"/>
        <v>0</v>
      </c>
      <c r="M188" s="737">
        <f t="shared" si="326"/>
        <v>0</v>
      </c>
      <c r="N188" s="738">
        <f t="shared" si="326"/>
        <v>0</v>
      </c>
      <c r="O188" s="737">
        <f t="shared" si="326"/>
        <v>0</v>
      </c>
      <c r="P188" s="738">
        <f t="shared" si="326"/>
        <v>0</v>
      </c>
      <c r="Q188" s="737">
        <f t="shared" si="326"/>
        <v>0</v>
      </c>
      <c r="R188" s="737">
        <f t="shared" si="326"/>
        <v>0</v>
      </c>
      <c r="S188" s="737">
        <f t="shared" si="326"/>
        <v>0</v>
      </c>
      <c r="T188" s="737">
        <f t="shared" si="326"/>
        <v>0</v>
      </c>
      <c r="U188" s="737">
        <f t="shared" si="326"/>
        <v>0</v>
      </c>
      <c r="V188" s="737">
        <f t="shared" si="326"/>
        <v>0</v>
      </c>
      <c r="W188" s="737">
        <f t="shared" si="326"/>
        <v>0</v>
      </c>
      <c r="X188" s="738">
        <f t="shared" si="326"/>
        <v>0</v>
      </c>
      <c r="Y188" s="737">
        <f t="shared" si="326"/>
        <v>0</v>
      </c>
      <c r="Z188" s="737">
        <f t="shared" si="326"/>
        <v>0</v>
      </c>
      <c r="AA188" s="737">
        <f t="shared" si="326"/>
        <v>0</v>
      </c>
      <c r="AB188" s="737">
        <f t="shared" si="326"/>
        <v>0</v>
      </c>
      <c r="AC188" s="738">
        <f t="shared" si="326"/>
        <v>0</v>
      </c>
      <c r="AD188" s="737">
        <f t="shared" si="326"/>
        <v>0</v>
      </c>
      <c r="AE188" s="737">
        <f t="shared" si="326"/>
        <v>0</v>
      </c>
      <c r="AF188" s="737">
        <f t="shared" si="326"/>
        <v>0</v>
      </c>
      <c r="AG188" s="739">
        <f t="shared" si="326"/>
        <v>0</v>
      </c>
      <c r="AH188" s="823"/>
      <c r="AI188" s="744"/>
      <c r="AJ188" s="741"/>
      <c r="AK188" s="729"/>
      <c r="AL188" s="729"/>
      <c r="AM188" s="729"/>
      <c r="AN188" s="729"/>
      <c r="AO188" s="730"/>
      <c r="AP188" s="74"/>
      <c r="AQ188" s="74"/>
      <c r="AR188" s="74"/>
      <c r="AS188" s="106"/>
      <c r="AW188" s="1428" t="str">
        <f t="shared" si="230"/>
        <v>Rev</v>
      </c>
      <c r="AX188" s="1429" t="str">
        <f t="shared" si="230"/>
        <v>[Service]</v>
      </c>
      <c r="AY188" s="1430" t="str">
        <f t="shared" si="194"/>
        <v>[Price]</v>
      </c>
      <c r="AZ188" s="1431" t="str">
        <f t="shared" si="314"/>
        <v>-</v>
      </c>
      <c r="BA188" s="1431" t="str">
        <f t="shared" si="314"/>
        <v>-</v>
      </c>
      <c r="BB188" s="1431" t="str">
        <f t="shared" si="314"/>
        <v>-</v>
      </c>
      <c r="BC188" s="1431" t="str">
        <f t="shared" si="314"/>
        <v>-</v>
      </c>
      <c r="BD188" s="1431" t="str">
        <f t="shared" si="196"/>
        <v>-</v>
      </c>
      <c r="BE188" s="1431" t="str">
        <f t="shared" si="197"/>
        <v>-</v>
      </c>
      <c r="BF188" s="1431" t="str">
        <f t="shared" si="198"/>
        <v>-</v>
      </c>
      <c r="BG188" s="1432" t="str">
        <f t="shared" si="199"/>
        <v>-</v>
      </c>
      <c r="BH188" s="1431" t="str">
        <f t="shared" si="200"/>
        <v>-</v>
      </c>
      <c r="BI188" s="1431" t="str">
        <f t="shared" si="201"/>
        <v>-</v>
      </c>
      <c r="BJ188" s="1431" t="str">
        <f t="shared" si="202"/>
        <v>-</v>
      </c>
      <c r="BK188" s="1431" t="str">
        <f t="shared" si="203"/>
        <v>-</v>
      </c>
      <c r="BL188" s="1433" t="str">
        <f t="shared" si="204"/>
        <v>-</v>
      </c>
      <c r="BM188" s="1431" t="str">
        <f t="shared" si="205"/>
        <v>-</v>
      </c>
      <c r="BN188" s="1431" t="str">
        <f t="shared" si="206"/>
        <v>-</v>
      </c>
      <c r="BO188" s="1431" t="str">
        <f t="shared" si="207"/>
        <v>-</v>
      </c>
      <c r="BP188" s="1431" t="str">
        <f t="shared" si="208"/>
        <v>-</v>
      </c>
      <c r="BQ188" s="1434" t="str">
        <f t="shared" si="209"/>
        <v>-</v>
      </c>
      <c r="BR188" s="1378"/>
      <c r="BS188" s="1407"/>
      <c r="BT188" s="1408"/>
      <c r="BU188" s="1409"/>
      <c r="BV188" s="1410"/>
      <c r="BW188" s="1378"/>
      <c r="BX188" s="1428" t="str">
        <f t="shared" si="210"/>
        <v>Rev</v>
      </c>
      <c r="BY188" s="1429" t="str">
        <f t="shared" si="255"/>
        <v>[Service]</v>
      </c>
      <c r="BZ188" s="1430" t="str">
        <f t="shared" si="256"/>
        <v>[Price]</v>
      </c>
      <c r="CA188" s="1435" t="str">
        <f>IFERROR((S188/R188-1)*(R188/R$13),"-")</f>
        <v>-</v>
      </c>
      <c r="CB188" s="1431" t="str">
        <f>IFERROR((T188/S188-1)*(S188/S$13),"-")</f>
        <v>-</v>
      </c>
      <c r="CC188" s="1431" t="str">
        <f>IFERROR((U188/T188-1)*(T188/T$13),"-")</f>
        <v>-</v>
      </c>
      <c r="CD188" s="1431" t="str">
        <f>IFERROR((V188/U188-1)*(U188/U$13),"-")</f>
        <v>-</v>
      </c>
      <c r="CE188" s="1431" t="str">
        <f t="shared" ref="CE188:CR188" si="327">IFERROR((T188/S188-1)*(S188/S$13),"-")</f>
        <v>-</v>
      </c>
      <c r="CF188" s="1431" t="str">
        <f t="shared" si="327"/>
        <v>-</v>
      </c>
      <c r="CG188" s="1431" t="str">
        <f t="shared" si="327"/>
        <v>-</v>
      </c>
      <c r="CH188" s="1433" t="str">
        <f t="shared" si="327"/>
        <v>-</v>
      </c>
      <c r="CI188" s="1431" t="str">
        <f t="shared" si="327"/>
        <v>-</v>
      </c>
      <c r="CJ188" s="1431" t="str">
        <f t="shared" si="327"/>
        <v>-</v>
      </c>
      <c r="CK188" s="1431" t="str">
        <f t="shared" si="327"/>
        <v>-</v>
      </c>
      <c r="CL188" s="1431" t="str">
        <f t="shared" si="327"/>
        <v>-</v>
      </c>
      <c r="CM188" s="1433" t="str">
        <f t="shared" si="327"/>
        <v>-</v>
      </c>
      <c r="CN188" s="1431" t="str">
        <f t="shared" si="327"/>
        <v>-</v>
      </c>
      <c r="CO188" s="1431" t="str">
        <f t="shared" si="327"/>
        <v>-</v>
      </c>
      <c r="CP188" s="1431" t="str">
        <f t="shared" si="327"/>
        <v>-</v>
      </c>
      <c r="CQ188" s="1431" t="str">
        <f t="shared" si="327"/>
        <v>-</v>
      </c>
      <c r="CR188" s="1434" t="str">
        <f t="shared" si="327"/>
        <v>-</v>
      </c>
      <c r="CS188" s="1378"/>
      <c r="CT188" s="1428" t="str">
        <f t="shared" si="191"/>
        <v>Rev</v>
      </c>
      <c r="CU188" s="1429" t="str">
        <f t="shared" si="192"/>
        <v>[Service]</v>
      </c>
      <c r="CV188" s="1429" t="str">
        <f t="shared" si="193"/>
        <v>[Price]</v>
      </c>
      <c r="CW188" s="1435" t="str">
        <f t="shared" si="212"/>
        <v>-</v>
      </c>
      <c r="CX188" s="1431" t="str">
        <f t="shared" si="213"/>
        <v>-</v>
      </c>
      <c r="CY188" s="1431" t="str">
        <f t="shared" si="214"/>
        <v>-</v>
      </c>
      <c r="CZ188" s="1433" t="str">
        <f t="shared" si="215"/>
        <v>-</v>
      </c>
      <c r="DA188" s="1431" t="str">
        <f t="shared" si="216"/>
        <v>-</v>
      </c>
      <c r="DB188" s="1431" t="str">
        <f t="shared" si="217"/>
        <v>-</v>
      </c>
      <c r="DC188" s="1431" t="str">
        <f t="shared" si="218"/>
        <v>-</v>
      </c>
      <c r="DD188" s="1431" t="str">
        <f t="shared" si="219"/>
        <v>-</v>
      </c>
      <c r="DE188" s="1434" t="str">
        <f t="shared" si="220"/>
        <v>-</v>
      </c>
      <c r="DF188" s="1378"/>
      <c r="DG188" s="1428" t="str">
        <f t="shared" si="232"/>
        <v>Rev</v>
      </c>
      <c r="DH188" s="1429" t="str">
        <f t="shared" si="232"/>
        <v>[Service]</v>
      </c>
      <c r="DI188" s="1429" t="str">
        <f t="shared" si="232"/>
        <v>[Price]</v>
      </c>
      <c r="DJ188" s="1435" t="str">
        <f t="shared" si="221"/>
        <v>-</v>
      </c>
      <c r="DK188" s="1431" t="str">
        <f t="shared" si="222"/>
        <v>-</v>
      </c>
      <c r="DL188" s="1431" t="str">
        <f t="shared" si="223"/>
        <v>-</v>
      </c>
      <c r="DM188" s="1433" t="str">
        <f t="shared" si="224"/>
        <v>-</v>
      </c>
      <c r="DN188" s="1431" t="str">
        <f t="shared" si="225"/>
        <v>-</v>
      </c>
      <c r="DO188" s="1431" t="str">
        <f t="shared" si="226"/>
        <v>-</v>
      </c>
      <c r="DP188" s="1431" t="str">
        <f t="shared" si="227"/>
        <v>-</v>
      </c>
      <c r="DQ188" s="1434" t="str">
        <f t="shared" si="228"/>
        <v>-</v>
      </c>
    </row>
    <row r="189" spans="4:121">
      <c r="D189" s="70">
        <f>D186+1</f>
        <v>41</v>
      </c>
      <c r="E189" s="713" t="s">
        <v>44</v>
      </c>
      <c r="F189" s="789" t="s">
        <v>27</v>
      </c>
      <c r="G189" s="789"/>
      <c r="H189" s="789"/>
      <c r="I189" s="781" t="s">
        <v>318</v>
      </c>
      <c r="J189" s="781" t="s">
        <v>345</v>
      </c>
      <c r="K189" s="714"/>
      <c r="L189" s="715"/>
      <c r="M189" s="715"/>
      <c r="N189" s="716"/>
      <c r="O189" s="783"/>
      <c r="P189" s="784"/>
      <c r="Q189" s="783"/>
      <c r="R189" s="783"/>
      <c r="S189" s="783"/>
      <c r="T189" s="783"/>
      <c r="U189" s="783"/>
      <c r="V189" s="783"/>
      <c r="W189" s="783"/>
      <c r="X189" s="784"/>
      <c r="Y189" s="783"/>
      <c r="Z189" s="783"/>
      <c r="AA189" s="783"/>
      <c r="AB189" s="783"/>
      <c r="AC189" s="784"/>
      <c r="AD189" s="783"/>
      <c r="AE189" s="783"/>
      <c r="AF189" s="783"/>
      <c r="AG189" s="785"/>
      <c r="AI189" s="702"/>
      <c r="AJ189" s="717" t="str">
        <f t="shared" ref="AJ189:AS189" si="328">IFERROR((X189-W189)/W189,"")</f>
        <v/>
      </c>
      <c r="AK189" s="718" t="str">
        <f t="shared" si="328"/>
        <v/>
      </c>
      <c r="AL189" s="718" t="str">
        <f t="shared" si="328"/>
        <v/>
      </c>
      <c r="AM189" s="718" t="str">
        <f t="shared" si="328"/>
        <v/>
      </c>
      <c r="AN189" s="718" t="str">
        <f t="shared" si="328"/>
        <v/>
      </c>
      <c r="AO189" s="719" t="str">
        <f t="shared" si="328"/>
        <v/>
      </c>
      <c r="AP189" s="494" t="str">
        <f t="shared" si="328"/>
        <v/>
      </c>
      <c r="AQ189" s="494" t="str">
        <f t="shared" si="328"/>
        <v/>
      </c>
      <c r="AR189" s="494" t="str">
        <f t="shared" si="328"/>
        <v/>
      </c>
      <c r="AS189" s="720" t="str">
        <f t="shared" si="328"/>
        <v/>
      </c>
      <c r="AU189" s="1369"/>
      <c r="AW189" s="1412" t="str">
        <f t="shared" si="230"/>
        <v>Price</v>
      </c>
      <c r="AX189" s="1413" t="str">
        <f t="shared" si="230"/>
        <v>[Service]</v>
      </c>
      <c r="AY189" s="1414" t="str">
        <f t="shared" si="194"/>
        <v>[Price]</v>
      </c>
      <c r="AZ189" s="1415" t="str">
        <f t="shared" si="314"/>
        <v>-</v>
      </c>
      <c r="BA189" s="1415" t="str">
        <f t="shared" si="314"/>
        <v>-</v>
      </c>
      <c r="BB189" s="1415" t="str">
        <f t="shared" si="314"/>
        <v>-</v>
      </c>
      <c r="BC189" s="1415" t="str">
        <f t="shared" si="314"/>
        <v>-</v>
      </c>
      <c r="BD189" s="1415" t="str">
        <f t="shared" si="196"/>
        <v>-</v>
      </c>
      <c r="BE189" s="1415" t="str">
        <f t="shared" si="197"/>
        <v>-</v>
      </c>
      <c r="BF189" s="1415" t="str">
        <f t="shared" si="198"/>
        <v>-</v>
      </c>
      <c r="BG189" s="1416" t="str">
        <f t="shared" si="199"/>
        <v>-</v>
      </c>
      <c r="BH189" s="1417" t="str">
        <f t="shared" si="200"/>
        <v>-</v>
      </c>
      <c r="BI189" s="1417" t="str">
        <f t="shared" si="201"/>
        <v>-</v>
      </c>
      <c r="BJ189" s="1417" t="str">
        <f t="shared" si="202"/>
        <v>-</v>
      </c>
      <c r="BK189" s="1417" t="str">
        <f t="shared" si="203"/>
        <v>-</v>
      </c>
      <c r="BL189" s="1418" t="str">
        <f t="shared" si="204"/>
        <v>-</v>
      </c>
      <c r="BM189" s="1417" t="str">
        <f t="shared" si="205"/>
        <v>-</v>
      </c>
      <c r="BN189" s="1417" t="str">
        <f t="shared" si="206"/>
        <v>-</v>
      </c>
      <c r="BO189" s="1417" t="str">
        <f t="shared" si="207"/>
        <v>-</v>
      </c>
      <c r="BP189" s="1417" t="str">
        <f t="shared" si="208"/>
        <v>-</v>
      </c>
      <c r="BQ189" s="1419" t="str">
        <f t="shared" si="209"/>
        <v>-</v>
      </c>
      <c r="BR189" s="1378"/>
      <c r="BS189" s="1420"/>
      <c r="BT189" s="1421"/>
      <c r="BU189" s="1422"/>
      <c r="BV189" s="1423"/>
      <c r="BW189" s="1378"/>
      <c r="BX189" s="1412" t="str">
        <f t="shared" si="210"/>
        <v>Price</v>
      </c>
      <c r="BY189" s="1413" t="str">
        <f t="shared" si="255"/>
        <v>[Service]</v>
      </c>
      <c r="BZ189" s="1414" t="str">
        <f t="shared" si="256"/>
        <v>[Price]</v>
      </c>
      <c r="CA189" s="1424" t="str">
        <f>IFERROR((S189/R189-1)*(R191/R$13),"-")</f>
        <v>-</v>
      </c>
      <c r="CB189" s="1415" t="str">
        <f>IFERROR((T189/S189-1)*(S191/S$13),"-")</f>
        <v>-</v>
      </c>
      <c r="CC189" s="1415" t="str">
        <f>IFERROR((U189/T189-1)*(T191/T$13),"-")</f>
        <v>-</v>
      </c>
      <c r="CD189" s="1415" t="str">
        <f>IFERROR((V189/U189-1)*(U191/U$13),"-")</f>
        <v>-</v>
      </c>
      <c r="CE189" s="1415" t="str">
        <f t="shared" ref="CE189:CR189" si="329">IFERROR((T189/S189-1)*(S191/S$13),"-")</f>
        <v>-</v>
      </c>
      <c r="CF189" s="1415" t="str">
        <f t="shared" si="329"/>
        <v>-</v>
      </c>
      <c r="CG189" s="1415" t="str">
        <f t="shared" si="329"/>
        <v>-</v>
      </c>
      <c r="CH189" s="1425" t="str">
        <f t="shared" si="329"/>
        <v>-</v>
      </c>
      <c r="CI189" s="1417" t="str">
        <f t="shared" si="329"/>
        <v>-</v>
      </c>
      <c r="CJ189" s="1417" t="str">
        <f t="shared" si="329"/>
        <v>-</v>
      </c>
      <c r="CK189" s="1417" t="str">
        <f t="shared" si="329"/>
        <v>-</v>
      </c>
      <c r="CL189" s="1417" t="str">
        <f t="shared" si="329"/>
        <v>-</v>
      </c>
      <c r="CM189" s="1418" t="str">
        <f t="shared" si="329"/>
        <v>-</v>
      </c>
      <c r="CN189" s="1417" t="str">
        <f t="shared" si="329"/>
        <v>-</v>
      </c>
      <c r="CO189" s="1417" t="str">
        <f t="shared" si="329"/>
        <v>-</v>
      </c>
      <c r="CP189" s="1417" t="str">
        <f t="shared" si="329"/>
        <v>-</v>
      </c>
      <c r="CQ189" s="1417" t="str">
        <f t="shared" si="329"/>
        <v>-</v>
      </c>
      <c r="CR189" s="1419" t="str">
        <f t="shared" si="329"/>
        <v>-</v>
      </c>
      <c r="CS189" s="1378"/>
      <c r="CT189" s="1412" t="str">
        <f t="shared" si="191"/>
        <v>Price</v>
      </c>
      <c r="CU189" s="1413" t="str">
        <f t="shared" si="192"/>
        <v>[Service]</v>
      </c>
      <c r="CV189" s="1426" t="str">
        <f t="shared" si="193"/>
        <v>[Price]</v>
      </c>
      <c r="CW189" s="1427" t="str">
        <f t="shared" si="212"/>
        <v>-</v>
      </c>
      <c r="CX189" s="1417" t="str">
        <f t="shared" si="213"/>
        <v>-</v>
      </c>
      <c r="CY189" s="1417" t="str">
        <f t="shared" si="214"/>
        <v>-</v>
      </c>
      <c r="CZ189" s="1418" t="str">
        <f t="shared" si="215"/>
        <v>-</v>
      </c>
      <c r="DA189" s="1417" t="str">
        <f t="shared" si="216"/>
        <v>-</v>
      </c>
      <c r="DB189" s="1417" t="str">
        <f t="shared" si="217"/>
        <v>-</v>
      </c>
      <c r="DC189" s="1417" t="str">
        <f t="shared" si="218"/>
        <v>-</v>
      </c>
      <c r="DD189" s="1417" t="str">
        <f t="shared" si="219"/>
        <v>-</v>
      </c>
      <c r="DE189" s="1419" t="str">
        <f t="shared" si="220"/>
        <v>-</v>
      </c>
      <c r="DF189" s="1378"/>
      <c r="DG189" s="1412" t="str">
        <f t="shared" si="232"/>
        <v>Price</v>
      </c>
      <c r="DH189" s="1413" t="str">
        <f t="shared" si="232"/>
        <v>[Service]</v>
      </c>
      <c r="DI189" s="1426" t="str">
        <f t="shared" si="232"/>
        <v>[Price]</v>
      </c>
      <c r="DJ189" s="1427" t="str">
        <f t="shared" si="221"/>
        <v>-</v>
      </c>
      <c r="DK189" s="1417" t="str">
        <f t="shared" si="222"/>
        <v>-</v>
      </c>
      <c r="DL189" s="1417" t="str">
        <f t="shared" si="223"/>
        <v>-</v>
      </c>
      <c r="DM189" s="1418" t="str">
        <f t="shared" si="224"/>
        <v>-</v>
      </c>
      <c r="DN189" s="1417" t="str">
        <f t="shared" si="225"/>
        <v>-</v>
      </c>
      <c r="DO189" s="1417" t="str">
        <f t="shared" si="226"/>
        <v>-</v>
      </c>
      <c r="DP189" s="1417" t="str">
        <f t="shared" si="227"/>
        <v>-</v>
      </c>
      <c r="DQ189" s="1419" t="str">
        <f t="shared" si="228"/>
        <v>-</v>
      </c>
    </row>
    <row r="190" spans="4:121">
      <c r="E190" s="742" t="s">
        <v>45</v>
      </c>
      <c r="F190" s="722" t="str">
        <f>+F189</f>
        <v>[Service]</v>
      </c>
      <c r="G190" s="723">
        <f>+G189</f>
        <v>0</v>
      </c>
      <c r="H190" s="723">
        <f>+H189</f>
        <v>0</v>
      </c>
      <c r="I190" s="724" t="str">
        <f>+I189</f>
        <v>[Price]</v>
      </c>
      <c r="J190" s="782" t="s">
        <v>322</v>
      </c>
      <c r="K190" s="725"/>
      <c r="L190" s="726"/>
      <c r="M190" s="726"/>
      <c r="N190" s="727"/>
      <c r="O190" s="786"/>
      <c r="P190" s="787"/>
      <c r="Q190" s="786"/>
      <c r="R190" s="786"/>
      <c r="S190" s="786"/>
      <c r="T190" s="786"/>
      <c r="U190" s="786"/>
      <c r="V190" s="786"/>
      <c r="W190" s="786"/>
      <c r="X190" s="787"/>
      <c r="Y190" s="786"/>
      <c r="Z190" s="786"/>
      <c r="AA190" s="786"/>
      <c r="AB190" s="786"/>
      <c r="AC190" s="787"/>
      <c r="AD190" s="786"/>
      <c r="AE190" s="786"/>
      <c r="AF190" s="786"/>
      <c r="AG190" s="788"/>
      <c r="AH190" s="823"/>
      <c r="AI190" s="702"/>
      <c r="AJ190" s="728"/>
      <c r="AK190" s="729"/>
      <c r="AL190" s="729"/>
      <c r="AM190" s="729"/>
      <c r="AN190" s="729"/>
      <c r="AO190" s="730"/>
      <c r="AP190" s="74"/>
      <c r="AQ190" s="74"/>
      <c r="AR190" s="74"/>
      <c r="AS190" s="106"/>
      <c r="AW190" s="1392" t="str">
        <f t="shared" si="230"/>
        <v>Qty</v>
      </c>
      <c r="AX190" s="1393" t="str">
        <f t="shared" si="230"/>
        <v>[Service]</v>
      </c>
      <c r="AY190" s="1394" t="str">
        <f t="shared" si="194"/>
        <v>[Price]</v>
      </c>
      <c r="AZ190" s="1395" t="str">
        <f t="shared" si="314"/>
        <v>-</v>
      </c>
      <c r="BA190" s="1395" t="str">
        <f t="shared" si="314"/>
        <v>-</v>
      </c>
      <c r="BB190" s="1395" t="str">
        <f t="shared" si="314"/>
        <v>-</v>
      </c>
      <c r="BC190" s="1395" t="str">
        <f t="shared" si="314"/>
        <v>-</v>
      </c>
      <c r="BD190" s="1395" t="str">
        <f t="shared" si="196"/>
        <v>-</v>
      </c>
      <c r="BE190" s="1395" t="str">
        <f t="shared" si="197"/>
        <v>-</v>
      </c>
      <c r="BF190" s="1395" t="str">
        <f t="shared" si="198"/>
        <v>-</v>
      </c>
      <c r="BG190" s="1396" t="str">
        <f t="shared" si="199"/>
        <v>-</v>
      </c>
      <c r="BH190" s="1395" t="str">
        <f t="shared" si="200"/>
        <v>-</v>
      </c>
      <c r="BI190" s="1395" t="str">
        <f t="shared" si="201"/>
        <v>-</v>
      </c>
      <c r="BJ190" s="1395" t="str">
        <f t="shared" si="202"/>
        <v>-</v>
      </c>
      <c r="BK190" s="1395" t="str">
        <f t="shared" si="203"/>
        <v>-</v>
      </c>
      <c r="BL190" s="1397" t="str">
        <f t="shared" si="204"/>
        <v>-</v>
      </c>
      <c r="BM190" s="1395" t="str">
        <f t="shared" si="205"/>
        <v>-</v>
      </c>
      <c r="BN190" s="1395" t="str">
        <f t="shared" si="206"/>
        <v>-</v>
      </c>
      <c r="BO190" s="1395" t="str">
        <f t="shared" si="207"/>
        <v>-</v>
      </c>
      <c r="BP190" s="1395" t="str">
        <f t="shared" si="208"/>
        <v>-</v>
      </c>
      <c r="BQ190" s="1398" t="str">
        <f t="shared" si="209"/>
        <v>-</v>
      </c>
      <c r="BR190" s="1378"/>
      <c r="BS190" s="1329"/>
      <c r="BT190" s="1399"/>
      <c r="BU190" s="1331"/>
      <c r="BV190" s="1400"/>
      <c r="BW190" s="1378"/>
      <c r="BX190" s="1392" t="str">
        <f t="shared" si="210"/>
        <v>Qty</v>
      </c>
      <c r="BY190" s="1393" t="str">
        <f t="shared" si="255"/>
        <v>[Service]</v>
      </c>
      <c r="BZ190" s="1394" t="str">
        <f t="shared" si="256"/>
        <v>[Price]</v>
      </c>
      <c r="CA190" s="1401" t="str">
        <f>IFERROR((S190/R190-1)*(R191/R$13),"-")</f>
        <v>-</v>
      </c>
      <c r="CB190" s="1395" t="str">
        <f>IFERROR((T190/S190-1)*(S191/S$13),"-")</f>
        <v>-</v>
      </c>
      <c r="CC190" s="1395" t="str">
        <f>IFERROR((U190/T190-1)*(T191/T$13),"-")</f>
        <v>-</v>
      </c>
      <c r="CD190" s="1395" t="str">
        <f>IFERROR((V190/U190-1)*(U191/U$13),"-")</f>
        <v>-</v>
      </c>
      <c r="CE190" s="1395" t="str">
        <f t="shared" ref="CE190:CR190" si="330">IFERROR((T190/S190-1)*(S191/S$13),"-")</f>
        <v>-</v>
      </c>
      <c r="CF190" s="1395" t="str">
        <f t="shared" si="330"/>
        <v>-</v>
      </c>
      <c r="CG190" s="1395" t="str">
        <f t="shared" si="330"/>
        <v>-</v>
      </c>
      <c r="CH190" s="1397" t="str">
        <f t="shared" si="330"/>
        <v>-</v>
      </c>
      <c r="CI190" s="1395" t="str">
        <f t="shared" si="330"/>
        <v>-</v>
      </c>
      <c r="CJ190" s="1395" t="str">
        <f t="shared" si="330"/>
        <v>-</v>
      </c>
      <c r="CK190" s="1395" t="str">
        <f t="shared" si="330"/>
        <v>-</v>
      </c>
      <c r="CL190" s="1395" t="str">
        <f t="shared" si="330"/>
        <v>-</v>
      </c>
      <c r="CM190" s="1397" t="str">
        <f t="shared" si="330"/>
        <v>-</v>
      </c>
      <c r="CN190" s="1395" t="str">
        <f t="shared" si="330"/>
        <v>-</v>
      </c>
      <c r="CO190" s="1395" t="str">
        <f t="shared" si="330"/>
        <v>-</v>
      </c>
      <c r="CP190" s="1395" t="str">
        <f t="shared" si="330"/>
        <v>-</v>
      </c>
      <c r="CQ190" s="1395" t="str">
        <f t="shared" si="330"/>
        <v>-</v>
      </c>
      <c r="CR190" s="1398" t="str">
        <f t="shared" si="330"/>
        <v>-</v>
      </c>
      <c r="CS190" s="1378"/>
      <c r="CT190" s="1392" t="str">
        <f t="shared" si="191"/>
        <v>Qty</v>
      </c>
      <c r="CU190" s="1393" t="str">
        <f t="shared" si="192"/>
        <v>[Service]</v>
      </c>
      <c r="CV190" s="1393" t="str">
        <f t="shared" si="193"/>
        <v>[Price]</v>
      </c>
      <c r="CW190" s="1401" t="str">
        <f t="shared" si="212"/>
        <v>-</v>
      </c>
      <c r="CX190" s="1395" t="str">
        <f t="shared" si="213"/>
        <v>-</v>
      </c>
      <c r="CY190" s="1395" t="str">
        <f t="shared" si="214"/>
        <v>-</v>
      </c>
      <c r="CZ190" s="1397" t="str">
        <f t="shared" si="215"/>
        <v>-</v>
      </c>
      <c r="DA190" s="1395" t="str">
        <f t="shared" si="216"/>
        <v>-</v>
      </c>
      <c r="DB190" s="1395" t="str">
        <f t="shared" si="217"/>
        <v>-</v>
      </c>
      <c r="DC190" s="1395" t="str">
        <f t="shared" si="218"/>
        <v>-</v>
      </c>
      <c r="DD190" s="1395" t="str">
        <f t="shared" si="219"/>
        <v>-</v>
      </c>
      <c r="DE190" s="1398" t="str">
        <f t="shared" si="220"/>
        <v>-</v>
      </c>
      <c r="DF190" s="1378"/>
      <c r="DG190" s="1392" t="str">
        <f t="shared" si="232"/>
        <v>Qty</v>
      </c>
      <c r="DH190" s="1393" t="str">
        <f t="shared" si="232"/>
        <v>[Service]</v>
      </c>
      <c r="DI190" s="1393" t="str">
        <f t="shared" si="232"/>
        <v>[Price]</v>
      </c>
      <c r="DJ190" s="1401" t="str">
        <f t="shared" si="221"/>
        <v>-</v>
      </c>
      <c r="DK190" s="1395" t="str">
        <f t="shared" si="222"/>
        <v>-</v>
      </c>
      <c r="DL190" s="1395" t="str">
        <f t="shared" si="223"/>
        <v>-</v>
      </c>
      <c r="DM190" s="1397" t="str">
        <f t="shared" si="224"/>
        <v>-</v>
      </c>
      <c r="DN190" s="1395" t="str">
        <f t="shared" si="225"/>
        <v>-</v>
      </c>
      <c r="DO190" s="1395" t="str">
        <f t="shared" si="226"/>
        <v>-</v>
      </c>
      <c r="DP190" s="1395" t="str">
        <f t="shared" si="227"/>
        <v>-</v>
      </c>
      <c r="DQ190" s="1398" t="str">
        <f t="shared" si="228"/>
        <v>-</v>
      </c>
    </row>
    <row r="191" spans="4:121" ht="12.75" thickBot="1">
      <c r="E191" s="743" t="s">
        <v>46</v>
      </c>
      <c r="F191" s="732" t="str">
        <f>+F189</f>
        <v>[Service]</v>
      </c>
      <c r="G191" s="733">
        <f>+G189</f>
        <v>0</v>
      </c>
      <c r="H191" s="733">
        <f>+H189</f>
        <v>0</v>
      </c>
      <c r="I191" s="734" t="str">
        <f>+I189</f>
        <v>[Price]</v>
      </c>
      <c r="J191" s="735" t="s">
        <v>344</v>
      </c>
      <c r="K191" s="736">
        <f t="shared" ref="K191:AG191" si="331">K189*K190/10^6</f>
        <v>0</v>
      </c>
      <c r="L191" s="737">
        <f t="shared" si="331"/>
        <v>0</v>
      </c>
      <c r="M191" s="737">
        <f t="shared" si="331"/>
        <v>0</v>
      </c>
      <c r="N191" s="738">
        <f t="shared" si="331"/>
        <v>0</v>
      </c>
      <c r="O191" s="737">
        <f t="shared" si="331"/>
        <v>0</v>
      </c>
      <c r="P191" s="738">
        <f t="shared" si="331"/>
        <v>0</v>
      </c>
      <c r="Q191" s="737">
        <f t="shared" si="331"/>
        <v>0</v>
      </c>
      <c r="R191" s="737">
        <f t="shared" si="331"/>
        <v>0</v>
      </c>
      <c r="S191" s="737">
        <f t="shared" si="331"/>
        <v>0</v>
      </c>
      <c r="T191" s="737">
        <f t="shared" si="331"/>
        <v>0</v>
      </c>
      <c r="U191" s="737">
        <f t="shared" si="331"/>
        <v>0</v>
      </c>
      <c r="V191" s="737">
        <f t="shared" si="331"/>
        <v>0</v>
      </c>
      <c r="W191" s="737">
        <f t="shared" si="331"/>
        <v>0</v>
      </c>
      <c r="X191" s="738">
        <f t="shared" si="331"/>
        <v>0</v>
      </c>
      <c r="Y191" s="737">
        <f t="shared" si="331"/>
        <v>0</v>
      </c>
      <c r="Z191" s="737">
        <f t="shared" si="331"/>
        <v>0</v>
      </c>
      <c r="AA191" s="737">
        <f t="shared" si="331"/>
        <v>0</v>
      </c>
      <c r="AB191" s="737">
        <f t="shared" si="331"/>
        <v>0</v>
      </c>
      <c r="AC191" s="738">
        <f t="shared" si="331"/>
        <v>0</v>
      </c>
      <c r="AD191" s="737">
        <f t="shared" si="331"/>
        <v>0</v>
      </c>
      <c r="AE191" s="737">
        <f t="shared" si="331"/>
        <v>0</v>
      </c>
      <c r="AF191" s="737">
        <f t="shared" si="331"/>
        <v>0</v>
      </c>
      <c r="AG191" s="739">
        <f t="shared" si="331"/>
        <v>0</v>
      </c>
      <c r="AH191" s="823"/>
      <c r="AI191" s="744"/>
      <c r="AJ191" s="741"/>
      <c r="AK191" s="729"/>
      <c r="AL191" s="729"/>
      <c r="AM191" s="729"/>
      <c r="AN191" s="729"/>
      <c r="AO191" s="730"/>
      <c r="AP191" s="74"/>
      <c r="AQ191" s="74"/>
      <c r="AR191" s="74"/>
      <c r="AS191" s="106"/>
      <c r="AW191" s="1428" t="str">
        <f t="shared" si="230"/>
        <v>Rev</v>
      </c>
      <c r="AX191" s="1429" t="str">
        <f t="shared" si="230"/>
        <v>[Service]</v>
      </c>
      <c r="AY191" s="1430" t="str">
        <f t="shared" si="194"/>
        <v>[Price]</v>
      </c>
      <c r="AZ191" s="1431" t="str">
        <f t="shared" si="314"/>
        <v>-</v>
      </c>
      <c r="BA191" s="1431" t="str">
        <f t="shared" si="314"/>
        <v>-</v>
      </c>
      <c r="BB191" s="1431" t="str">
        <f t="shared" si="314"/>
        <v>-</v>
      </c>
      <c r="BC191" s="1431" t="str">
        <f t="shared" si="314"/>
        <v>-</v>
      </c>
      <c r="BD191" s="1431" t="str">
        <f t="shared" si="196"/>
        <v>-</v>
      </c>
      <c r="BE191" s="1431" t="str">
        <f t="shared" si="197"/>
        <v>-</v>
      </c>
      <c r="BF191" s="1431" t="str">
        <f t="shared" si="198"/>
        <v>-</v>
      </c>
      <c r="BG191" s="1432" t="str">
        <f t="shared" si="199"/>
        <v>-</v>
      </c>
      <c r="BH191" s="1431" t="str">
        <f t="shared" si="200"/>
        <v>-</v>
      </c>
      <c r="BI191" s="1431" t="str">
        <f t="shared" si="201"/>
        <v>-</v>
      </c>
      <c r="BJ191" s="1431" t="str">
        <f t="shared" si="202"/>
        <v>-</v>
      </c>
      <c r="BK191" s="1431" t="str">
        <f t="shared" si="203"/>
        <v>-</v>
      </c>
      <c r="BL191" s="1433" t="str">
        <f t="shared" si="204"/>
        <v>-</v>
      </c>
      <c r="BM191" s="1431" t="str">
        <f t="shared" si="205"/>
        <v>-</v>
      </c>
      <c r="BN191" s="1431" t="str">
        <f t="shared" si="206"/>
        <v>-</v>
      </c>
      <c r="BO191" s="1431" t="str">
        <f t="shared" si="207"/>
        <v>-</v>
      </c>
      <c r="BP191" s="1431" t="str">
        <f t="shared" si="208"/>
        <v>-</v>
      </c>
      <c r="BQ191" s="1434" t="str">
        <f t="shared" si="209"/>
        <v>-</v>
      </c>
      <c r="BR191" s="1378"/>
      <c r="BS191" s="1407"/>
      <c r="BT191" s="1408"/>
      <c r="BU191" s="1409"/>
      <c r="BV191" s="1410"/>
      <c r="BW191" s="1378"/>
      <c r="BX191" s="1428" t="str">
        <f t="shared" si="210"/>
        <v>Rev</v>
      </c>
      <c r="BY191" s="1429" t="str">
        <f t="shared" si="255"/>
        <v>[Service]</v>
      </c>
      <c r="BZ191" s="1430" t="str">
        <f t="shared" si="256"/>
        <v>[Price]</v>
      </c>
      <c r="CA191" s="1435" t="str">
        <f>IFERROR((S191/R191-1)*(R191/R$13),"-")</f>
        <v>-</v>
      </c>
      <c r="CB191" s="1431" t="str">
        <f>IFERROR((T191/S191-1)*(S191/S$13),"-")</f>
        <v>-</v>
      </c>
      <c r="CC191" s="1431" t="str">
        <f>IFERROR((U191/T191-1)*(T191/T$13),"-")</f>
        <v>-</v>
      </c>
      <c r="CD191" s="1431" t="str">
        <f>IFERROR((V191/U191-1)*(U191/U$13),"-")</f>
        <v>-</v>
      </c>
      <c r="CE191" s="1431" t="str">
        <f t="shared" ref="CE191:CR191" si="332">IFERROR((T191/S191-1)*(S191/S$13),"-")</f>
        <v>-</v>
      </c>
      <c r="CF191" s="1431" t="str">
        <f t="shared" si="332"/>
        <v>-</v>
      </c>
      <c r="CG191" s="1431" t="str">
        <f t="shared" si="332"/>
        <v>-</v>
      </c>
      <c r="CH191" s="1433" t="str">
        <f t="shared" si="332"/>
        <v>-</v>
      </c>
      <c r="CI191" s="1431" t="str">
        <f t="shared" si="332"/>
        <v>-</v>
      </c>
      <c r="CJ191" s="1431" t="str">
        <f t="shared" si="332"/>
        <v>-</v>
      </c>
      <c r="CK191" s="1431" t="str">
        <f t="shared" si="332"/>
        <v>-</v>
      </c>
      <c r="CL191" s="1431" t="str">
        <f t="shared" si="332"/>
        <v>-</v>
      </c>
      <c r="CM191" s="1433" t="str">
        <f t="shared" si="332"/>
        <v>-</v>
      </c>
      <c r="CN191" s="1431" t="str">
        <f t="shared" si="332"/>
        <v>-</v>
      </c>
      <c r="CO191" s="1431" t="str">
        <f t="shared" si="332"/>
        <v>-</v>
      </c>
      <c r="CP191" s="1431" t="str">
        <f t="shared" si="332"/>
        <v>-</v>
      </c>
      <c r="CQ191" s="1431" t="str">
        <f t="shared" si="332"/>
        <v>-</v>
      </c>
      <c r="CR191" s="1434" t="str">
        <f t="shared" si="332"/>
        <v>-</v>
      </c>
      <c r="CS191" s="1378"/>
      <c r="CT191" s="1428" t="str">
        <f t="shared" si="191"/>
        <v>Rev</v>
      </c>
      <c r="CU191" s="1429" t="str">
        <f t="shared" si="192"/>
        <v>[Service]</v>
      </c>
      <c r="CV191" s="1429" t="str">
        <f t="shared" si="193"/>
        <v>[Price]</v>
      </c>
      <c r="CW191" s="1435" t="str">
        <f t="shared" si="212"/>
        <v>-</v>
      </c>
      <c r="CX191" s="1431" t="str">
        <f t="shared" si="213"/>
        <v>-</v>
      </c>
      <c r="CY191" s="1431" t="str">
        <f t="shared" si="214"/>
        <v>-</v>
      </c>
      <c r="CZ191" s="1433" t="str">
        <f t="shared" si="215"/>
        <v>-</v>
      </c>
      <c r="DA191" s="1431" t="str">
        <f t="shared" si="216"/>
        <v>-</v>
      </c>
      <c r="DB191" s="1431" t="str">
        <f t="shared" si="217"/>
        <v>-</v>
      </c>
      <c r="DC191" s="1431" t="str">
        <f t="shared" si="218"/>
        <v>-</v>
      </c>
      <c r="DD191" s="1431" t="str">
        <f t="shared" si="219"/>
        <v>-</v>
      </c>
      <c r="DE191" s="1434" t="str">
        <f t="shared" si="220"/>
        <v>-</v>
      </c>
      <c r="DF191" s="1378"/>
      <c r="DG191" s="1428" t="str">
        <f t="shared" si="232"/>
        <v>Rev</v>
      </c>
      <c r="DH191" s="1429" t="str">
        <f t="shared" si="232"/>
        <v>[Service]</v>
      </c>
      <c r="DI191" s="1429" t="str">
        <f t="shared" si="232"/>
        <v>[Price]</v>
      </c>
      <c r="DJ191" s="1435" t="str">
        <f t="shared" si="221"/>
        <v>-</v>
      </c>
      <c r="DK191" s="1431" t="str">
        <f t="shared" si="222"/>
        <v>-</v>
      </c>
      <c r="DL191" s="1431" t="str">
        <f t="shared" si="223"/>
        <v>-</v>
      </c>
      <c r="DM191" s="1433" t="str">
        <f t="shared" si="224"/>
        <v>-</v>
      </c>
      <c r="DN191" s="1431" t="str">
        <f t="shared" si="225"/>
        <v>-</v>
      </c>
      <c r="DO191" s="1431" t="str">
        <f t="shared" si="226"/>
        <v>-</v>
      </c>
      <c r="DP191" s="1431" t="str">
        <f t="shared" si="227"/>
        <v>-</v>
      </c>
      <c r="DQ191" s="1434" t="str">
        <f t="shared" si="228"/>
        <v>-</v>
      </c>
    </row>
    <row r="192" spans="4:121">
      <c r="D192" s="70">
        <f>D189+1</f>
        <v>42</v>
      </c>
      <c r="E192" s="713" t="s">
        <v>44</v>
      </c>
      <c r="F192" s="789" t="s">
        <v>27</v>
      </c>
      <c r="G192" s="789"/>
      <c r="H192" s="789"/>
      <c r="I192" s="781" t="s">
        <v>318</v>
      </c>
      <c r="J192" s="781" t="s">
        <v>345</v>
      </c>
      <c r="K192" s="714"/>
      <c r="L192" s="715"/>
      <c r="M192" s="715"/>
      <c r="N192" s="716"/>
      <c r="O192" s="783"/>
      <c r="P192" s="784"/>
      <c r="Q192" s="783"/>
      <c r="R192" s="783"/>
      <c r="S192" s="783"/>
      <c r="T192" s="783"/>
      <c r="U192" s="783"/>
      <c r="V192" s="783"/>
      <c r="W192" s="783"/>
      <c r="X192" s="784"/>
      <c r="Y192" s="783"/>
      <c r="Z192" s="783"/>
      <c r="AA192" s="783"/>
      <c r="AB192" s="783"/>
      <c r="AC192" s="784"/>
      <c r="AD192" s="783"/>
      <c r="AE192" s="783"/>
      <c r="AF192" s="783"/>
      <c r="AG192" s="785"/>
      <c r="AI192" s="702"/>
      <c r="AJ192" s="717" t="str">
        <f t="shared" ref="AJ192:AS192" si="333">IFERROR((X192-W192)/W192,"")</f>
        <v/>
      </c>
      <c r="AK192" s="718" t="str">
        <f t="shared" si="333"/>
        <v/>
      </c>
      <c r="AL192" s="718" t="str">
        <f t="shared" si="333"/>
        <v/>
      </c>
      <c r="AM192" s="718" t="str">
        <f t="shared" si="333"/>
        <v/>
      </c>
      <c r="AN192" s="718" t="str">
        <f t="shared" si="333"/>
        <v/>
      </c>
      <c r="AO192" s="719" t="str">
        <f t="shared" si="333"/>
        <v/>
      </c>
      <c r="AP192" s="494" t="str">
        <f t="shared" si="333"/>
        <v/>
      </c>
      <c r="AQ192" s="494" t="str">
        <f t="shared" si="333"/>
        <v/>
      </c>
      <c r="AR192" s="494" t="str">
        <f t="shared" si="333"/>
        <v/>
      </c>
      <c r="AS192" s="720" t="str">
        <f t="shared" si="333"/>
        <v/>
      </c>
      <c r="AU192" s="1369"/>
      <c r="AW192" s="1412" t="str">
        <f t="shared" si="230"/>
        <v>Price</v>
      </c>
      <c r="AX192" s="1413" t="str">
        <f t="shared" si="230"/>
        <v>[Service]</v>
      </c>
      <c r="AY192" s="1414" t="str">
        <f t="shared" si="194"/>
        <v>[Price]</v>
      </c>
      <c r="AZ192" s="1415" t="str">
        <f t="shared" si="314"/>
        <v>-</v>
      </c>
      <c r="BA192" s="1415" t="str">
        <f t="shared" si="314"/>
        <v>-</v>
      </c>
      <c r="BB192" s="1415" t="str">
        <f t="shared" si="314"/>
        <v>-</v>
      </c>
      <c r="BC192" s="1415" t="str">
        <f t="shared" si="314"/>
        <v>-</v>
      </c>
      <c r="BD192" s="1415" t="str">
        <f t="shared" si="196"/>
        <v>-</v>
      </c>
      <c r="BE192" s="1415" t="str">
        <f t="shared" si="197"/>
        <v>-</v>
      </c>
      <c r="BF192" s="1415" t="str">
        <f t="shared" si="198"/>
        <v>-</v>
      </c>
      <c r="BG192" s="1416" t="str">
        <f t="shared" si="199"/>
        <v>-</v>
      </c>
      <c r="BH192" s="1417" t="str">
        <f t="shared" si="200"/>
        <v>-</v>
      </c>
      <c r="BI192" s="1417" t="str">
        <f t="shared" si="201"/>
        <v>-</v>
      </c>
      <c r="BJ192" s="1417" t="str">
        <f t="shared" si="202"/>
        <v>-</v>
      </c>
      <c r="BK192" s="1417" t="str">
        <f t="shared" si="203"/>
        <v>-</v>
      </c>
      <c r="BL192" s="1418" t="str">
        <f t="shared" si="204"/>
        <v>-</v>
      </c>
      <c r="BM192" s="1417" t="str">
        <f t="shared" si="205"/>
        <v>-</v>
      </c>
      <c r="BN192" s="1417" t="str">
        <f t="shared" si="206"/>
        <v>-</v>
      </c>
      <c r="BO192" s="1417" t="str">
        <f t="shared" si="207"/>
        <v>-</v>
      </c>
      <c r="BP192" s="1417" t="str">
        <f t="shared" si="208"/>
        <v>-</v>
      </c>
      <c r="BQ192" s="1419" t="str">
        <f t="shared" si="209"/>
        <v>-</v>
      </c>
      <c r="BR192" s="1378"/>
      <c r="BS192" s="1420"/>
      <c r="BT192" s="1421"/>
      <c r="BU192" s="1422"/>
      <c r="BV192" s="1423"/>
      <c r="BW192" s="1378"/>
      <c r="BX192" s="1412" t="str">
        <f t="shared" si="210"/>
        <v>Price</v>
      </c>
      <c r="BY192" s="1413" t="str">
        <f t="shared" si="255"/>
        <v>[Service]</v>
      </c>
      <c r="BZ192" s="1414" t="str">
        <f t="shared" si="256"/>
        <v>[Price]</v>
      </c>
      <c r="CA192" s="1424" t="str">
        <f>IFERROR((S192/R192-1)*(R194/R$13),"-")</f>
        <v>-</v>
      </c>
      <c r="CB192" s="1415" t="str">
        <f>IFERROR((T192/S192-1)*(S194/S$13),"-")</f>
        <v>-</v>
      </c>
      <c r="CC192" s="1415" t="str">
        <f>IFERROR((U192/T192-1)*(T194/T$13),"-")</f>
        <v>-</v>
      </c>
      <c r="CD192" s="1415" t="str">
        <f>IFERROR((V192/U192-1)*(U194/U$13),"-")</f>
        <v>-</v>
      </c>
      <c r="CE192" s="1415" t="str">
        <f t="shared" ref="CE192:CR192" si="334">IFERROR((T192/S192-1)*(S194/S$13),"-")</f>
        <v>-</v>
      </c>
      <c r="CF192" s="1415" t="str">
        <f t="shared" si="334"/>
        <v>-</v>
      </c>
      <c r="CG192" s="1415" t="str">
        <f t="shared" si="334"/>
        <v>-</v>
      </c>
      <c r="CH192" s="1425" t="str">
        <f t="shared" si="334"/>
        <v>-</v>
      </c>
      <c r="CI192" s="1417" t="str">
        <f t="shared" si="334"/>
        <v>-</v>
      </c>
      <c r="CJ192" s="1417" t="str">
        <f t="shared" si="334"/>
        <v>-</v>
      </c>
      <c r="CK192" s="1417" t="str">
        <f t="shared" si="334"/>
        <v>-</v>
      </c>
      <c r="CL192" s="1417" t="str">
        <f t="shared" si="334"/>
        <v>-</v>
      </c>
      <c r="CM192" s="1418" t="str">
        <f t="shared" si="334"/>
        <v>-</v>
      </c>
      <c r="CN192" s="1417" t="str">
        <f t="shared" si="334"/>
        <v>-</v>
      </c>
      <c r="CO192" s="1417" t="str">
        <f t="shared" si="334"/>
        <v>-</v>
      </c>
      <c r="CP192" s="1417" t="str">
        <f t="shared" si="334"/>
        <v>-</v>
      </c>
      <c r="CQ192" s="1417" t="str">
        <f t="shared" si="334"/>
        <v>-</v>
      </c>
      <c r="CR192" s="1419" t="str">
        <f t="shared" si="334"/>
        <v>-</v>
      </c>
      <c r="CS192" s="1378"/>
      <c r="CT192" s="1412" t="str">
        <f t="shared" si="191"/>
        <v>Price</v>
      </c>
      <c r="CU192" s="1413" t="str">
        <f t="shared" si="192"/>
        <v>[Service]</v>
      </c>
      <c r="CV192" s="1426" t="str">
        <f t="shared" si="193"/>
        <v>[Price]</v>
      </c>
      <c r="CW192" s="1427" t="str">
        <f t="shared" si="212"/>
        <v>-</v>
      </c>
      <c r="CX192" s="1417" t="str">
        <f t="shared" si="213"/>
        <v>-</v>
      </c>
      <c r="CY192" s="1417" t="str">
        <f t="shared" si="214"/>
        <v>-</v>
      </c>
      <c r="CZ192" s="1418" t="str">
        <f t="shared" si="215"/>
        <v>-</v>
      </c>
      <c r="DA192" s="1417" t="str">
        <f t="shared" si="216"/>
        <v>-</v>
      </c>
      <c r="DB192" s="1417" t="str">
        <f t="shared" si="217"/>
        <v>-</v>
      </c>
      <c r="DC192" s="1417" t="str">
        <f t="shared" si="218"/>
        <v>-</v>
      </c>
      <c r="DD192" s="1417" t="str">
        <f t="shared" si="219"/>
        <v>-</v>
      </c>
      <c r="DE192" s="1419" t="str">
        <f t="shared" si="220"/>
        <v>-</v>
      </c>
      <c r="DF192" s="1378"/>
      <c r="DG192" s="1412" t="str">
        <f t="shared" si="232"/>
        <v>Price</v>
      </c>
      <c r="DH192" s="1413" t="str">
        <f t="shared" si="232"/>
        <v>[Service]</v>
      </c>
      <c r="DI192" s="1426" t="str">
        <f t="shared" si="232"/>
        <v>[Price]</v>
      </c>
      <c r="DJ192" s="1427" t="str">
        <f t="shared" si="221"/>
        <v>-</v>
      </c>
      <c r="DK192" s="1417" t="str">
        <f t="shared" si="222"/>
        <v>-</v>
      </c>
      <c r="DL192" s="1417" t="str">
        <f t="shared" si="223"/>
        <v>-</v>
      </c>
      <c r="DM192" s="1418" t="str">
        <f t="shared" si="224"/>
        <v>-</v>
      </c>
      <c r="DN192" s="1417" t="str">
        <f t="shared" si="225"/>
        <v>-</v>
      </c>
      <c r="DO192" s="1417" t="str">
        <f t="shared" si="226"/>
        <v>-</v>
      </c>
      <c r="DP192" s="1417" t="str">
        <f t="shared" si="227"/>
        <v>-</v>
      </c>
      <c r="DQ192" s="1419" t="str">
        <f t="shared" si="228"/>
        <v>-</v>
      </c>
    </row>
    <row r="193" spans="4:121">
      <c r="E193" s="742" t="s">
        <v>45</v>
      </c>
      <c r="F193" s="722" t="str">
        <f>+F192</f>
        <v>[Service]</v>
      </c>
      <c r="G193" s="723">
        <f>+G192</f>
        <v>0</v>
      </c>
      <c r="H193" s="723">
        <f>+H192</f>
        <v>0</v>
      </c>
      <c r="I193" s="724" t="str">
        <f>+I192</f>
        <v>[Price]</v>
      </c>
      <c r="J193" s="782" t="s">
        <v>322</v>
      </c>
      <c r="K193" s="725"/>
      <c r="L193" s="726"/>
      <c r="M193" s="726"/>
      <c r="N193" s="727"/>
      <c r="O193" s="786"/>
      <c r="P193" s="787"/>
      <c r="Q193" s="786"/>
      <c r="R193" s="786"/>
      <c r="S193" s="786"/>
      <c r="T193" s="786"/>
      <c r="U193" s="786"/>
      <c r="V193" s="786"/>
      <c r="W193" s="786"/>
      <c r="X193" s="787"/>
      <c r="Y193" s="786"/>
      <c r="Z193" s="786"/>
      <c r="AA193" s="786"/>
      <c r="AB193" s="786"/>
      <c r="AC193" s="787"/>
      <c r="AD193" s="786"/>
      <c r="AE193" s="786"/>
      <c r="AF193" s="786"/>
      <c r="AG193" s="788"/>
      <c r="AH193" s="823"/>
      <c r="AI193" s="702"/>
      <c r="AJ193" s="728"/>
      <c r="AK193" s="729"/>
      <c r="AL193" s="729"/>
      <c r="AM193" s="729"/>
      <c r="AN193" s="729"/>
      <c r="AO193" s="730"/>
      <c r="AP193" s="74"/>
      <c r="AQ193" s="74"/>
      <c r="AR193" s="74"/>
      <c r="AS193" s="106"/>
      <c r="AW193" s="1392" t="str">
        <f t="shared" si="230"/>
        <v>Qty</v>
      </c>
      <c r="AX193" s="1393" t="str">
        <f t="shared" si="230"/>
        <v>[Service]</v>
      </c>
      <c r="AY193" s="1394" t="str">
        <f t="shared" si="194"/>
        <v>[Price]</v>
      </c>
      <c r="AZ193" s="1395" t="str">
        <f t="shared" si="314"/>
        <v>-</v>
      </c>
      <c r="BA193" s="1395" t="str">
        <f t="shared" si="314"/>
        <v>-</v>
      </c>
      <c r="BB193" s="1395" t="str">
        <f t="shared" si="314"/>
        <v>-</v>
      </c>
      <c r="BC193" s="1395" t="str">
        <f t="shared" si="314"/>
        <v>-</v>
      </c>
      <c r="BD193" s="1395" t="str">
        <f t="shared" si="196"/>
        <v>-</v>
      </c>
      <c r="BE193" s="1395" t="str">
        <f t="shared" si="197"/>
        <v>-</v>
      </c>
      <c r="BF193" s="1395" t="str">
        <f t="shared" si="198"/>
        <v>-</v>
      </c>
      <c r="BG193" s="1396" t="str">
        <f t="shared" si="199"/>
        <v>-</v>
      </c>
      <c r="BH193" s="1395" t="str">
        <f t="shared" si="200"/>
        <v>-</v>
      </c>
      <c r="BI193" s="1395" t="str">
        <f t="shared" si="201"/>
        <v>-</v>
      </c>
      <c r="BJ193" s="1395" t="str">
        <f t="shared" si="202"/>
        <v>-</v>
      </c>
      <c r="BK193" s="1395" t="str">
        <f t="shared" si="203"/>
        <v>-</v>
      </c>
      <c r="BL193" s="1397" t="str">
        <f t="shared" si="204"/>
        <v>-</v>
      </c>
      <c r="BM193" s="1395" t="str">
        <f t="shared" si="205"/>
        <v>-</v>
      </c>
      <c r="BN193" s="1395" t="str">
        <f t="shared" si="206"/>
        <v>-</v>
      </c>
      <c r="BO193" s="1395" t="str">
        <f t="shared" si="207"/>
        <v>-</v>
      </c>
      <c r="BP193" s="1395" t="str">
        <f t="shared" si="208"/>
        <v>-</v>
      </c>
      <c r="BQ193" s="1398" t="str">
        <f t="shared" si="209"/>
        <v>-</v>
      </c>
      <c r="BR193" s="1378"/>
      <c r="BS193" s="1329"/>
      <c r="BT193" s="1399"/>
      <c r="BU193" s="1331"/>
      <c r="BV193" s="1400"/>
      <c r="BW193" s="1378"/>
      <c r="BX193" s="1392" t="str">
        <f t="shared" si="210"/>
        <v>Qty</v>
      </c>
      <c r="BY193" s="1393" t="str">
        <f t="shared" si="255"/>
        <v>[Service]</v>
      </c>
      <c r="BZ193" s="1394" t="str">
        <f t="shared" si="256"/>
        <v>[Price]</v>
      </c>
      <c r="CA193" s="1401" t="str">
        <f>IFERROR((S193/R193-1)*(R194/R$13),"-")</f>
        <v>-</v>
      </c>
      <c r="CB193" s="1395" t="str">
        <f>IFERROR((T193/S193-1)*(S194/S$13),"-")</f>
        <v>-</v>
      </c>
      <c r="CC193" s="1395" t="str">
        <f>IFERROR((U193/T193-1)*(T194/T$13),"-")</f>
        <v>-</v>
      </c>
      <c r="CD193" s="1395" t="str">
        <f>IFERROR((V193/U193-1)*(U194/U$13),"-")</f>
        <v>-</v>
      </c>
      <c r="CE193" s="1395" t="str">
        <f t="shared" ref="CE193:CR193" si="335">IFERROR((T193/S193-1)*(S194/S$13),"-")</f>
        <v>-</v>
      </c>
      <c r="CF193" s="1395" t="str">
        <f t="shared" si="335"/>
        <v>-</v>
      </c>
      <c r="CG193" s="1395" t="str">
        <f t="shared" si="335"/>
        <v>-</v>
      </c>
      <c r="CH193" s="1397" t="str">
        <f t="shared" si="335"/>
        <v>-</v>
      </c>
      <c r="CI193" s="1395" t="str">
        <f t="shared" si="335"/>
        <v>-</v>
      </c>
      <c r="CJ193" s="1395" t="str">
        <f t="shared" si="335"/>
        <v>-</v>
      </c>
      <c r="CK193" s="1395" t="str">
        <f t="shared" si="335"/>
        <v>-</v>
      </c>
      <c r="CL193" s="1395" t="str">
        <f t="shared" si="335"/>
        <v>-</v>
      </c>
      <c r="CM193" s="1397" t="str">
        <f t="shared" si="335"/>
        <v>-</v>
      </c>
      <c r="CN193" s="1395" t="str">
        <f t="shared" si="335"/>
        <v>-</v>
      </c>
      <c r="CO193" s="1395" t="str">
        <f t="shared" si="335"/>
        <v>-</v>
      </c>
      <c r="CP193" s="1395" t="str">
        <f t="shared" si="335"/>
        <v>-</v>
      </c>
      <c r="CQ193" s="1395" t="str">
        <f t="shared" si="335"/>
        <v>-</v>
      </c>
      <c r="CR193" s="1398" t="str">
        <f t="shared" si="335"/>
        <v>-</v>
      </c>
      <c r="CS193" s="1378"/>
      <c r="CT193" s="1392" t="str">
        <f t="shared" si="191"/>
        <v>Qty</v>
      </c>
      <c r="CU193" s="1393" t="str">
        <f t="shared" si="192"/>
        <v>[Service]</v>
      </c>
      <c r="CV193" s="1393" t="str">
        <f t="shared" si="193"/>
        <v>[Price]</v>
      </c>
      <c r="CW193" s="1401" t="str">
        <f t="shared" si="212"/>
        <v>-</v>
      </c>
      <c r="CX193" s="1395" t="str">
        <f t="shared" si="213"/>
        <v>-</v>
      </c>
      <c r="CY193" s="1395" t="str">
        <f t="shared" si="214"/>
        <v>-</v>
      </c>
      <c r="CZ193" s="1397" t="str">
        <f t="shared" si="215"/>
        <v>-</v>
      </c>
      <c r="DA193" s="1395" t="str">
        <f t="shared" si="216"/>
        <v>-</v>
      </c>
      <c r="DB193" s="1395" t="str">
        <f t="shared" si="217"/>
        <v>-</v>
      </c>
      <c r="DC193" s="1395" t="str">
        <f t="shared" si="218"/>
        <v>-</v>
      </c>
      <c r="DD193" s="1395" t="str">
        <f t="shared" si="219"/>
        <v>-</v>
      </c>
      <c r="DE193" s="1398" t="str">
        <f t="shared" si="220"/>
        <v>-</v>
      </c>
      <c r="DF193" s="1378"/>
      <c r="DG193" s="1392" t="str">
        <f t="shared" si="232"/>
        <v>Qty</v>
      </c>
      <c r="DH193" s="1393" t="str">
        <f t="shared" si="232"/>
        <v>[Service]</v>
      </c>
      <c r="DI193" s="1393" t="str">
        <f t="shared" si="232"/>
        <v>[Price]</v>
      </c>
      <c r="DJ193" s="1401" t="str">
        <f t="shared" si="221"/>
        <v>-</v>
      </c>
      <c r="DK193" s="1395" t="str">
        <f t="shared" si="222"/>
        <v>-</v>
      </c>
      <c r="DL193" s="1395" t="str">
        <f t="shared" si="223"/>
        <v>-</v>
      </c>
      <c r="DM193" s="1397" t="str">
        <f t="shared" si="224"/>
        <v>-</v>
      </c>
      <c r="DN193" s="1395" t="str">
        <f t="shared" si="225"/>
        <v>-</v>
      </c>
      <c r="DO193" s="1395" t="str">
        <f t="shared" si="226"/>
        <v>-</v>
      </c>
      <c r="DP193" s="1395" t="str">
        <f t="shared" si="227"/>
        <v>-</v>
      </c>
      <c r="DQ193" s="1398" t="str">
        <f t="shared" si="228"/>
        <v>-</v>
      </c>
    </row>
    <row r="194" spans="4:121" ht="12.75" thickBot="1">
      <c r="E194" s="743" t="s">
        <v>46</v>
      </c>
      <c r="F194" s="732" t="str">
        <f>+F192</f>
        <v>[Service]</v>
      </c>
      <c r="G194" s="733">
        <f>+G192</f>
        <v>0</v>
      </c>
      <c r="H194" s="733">
        <f>+H192</f>
        <v>0</v>
      </c>
      <c r="I194" s="734" t="str">
        <f>+I192</f>
        <v>[Price]</v>
      </c>
      <c r="J194" s="735" t="s">
        <v>344</v>
      </c>
      <c r="K194" s="736">
        <f t="shared" ref="K194:AG194" si="336">K192*K193/10^6</f>
        <v>0</v>
      </c>
      <c r="L194" s="737">
        <f t="shared" si="336"/>
        <v>0</v>
      </c>
      <c r="M194" s="737">
        <f t="shared" si="336"/>
        <v>0</v>
      </c>
      <c r="N194" s="738">
        <f t="shared" si="336"/>
        <v>0</v>
      </c>
      <c r="O194" s="737">
        <f t="shared" si="336"/>
        <v>0</v>
      </c>
      <c r="P194" s="738">
        <f t="shared" si="336"/>
        <v>0</v>
      </c>
      <c r="Q194" s="737">
        <f t="shared" si="336"/>
        <v>0</v>
      </c>
      <c r="R194" s="737">
        <f t="shared" si="336"/>
        <v>0</v>
      </c>
      <c r="S194" s="737">
        <f t="shared" si="336"/>
        <v>0</v>
      </c>
      <c r="T194" s="737">
        <f t="shared" si="336"/>
        <v>0</v>
      </c>
      <c r="U194" s="737">
        <f t="shared" si="336"/>
        <v>0</v>
      </c>
      <c r="V194" s="737">
        <f t="shared" si="336"/>
        <v>0</v>
      </c>
      <c r="W194" s="737">
        <f t="shared" si="336"/>
        <v>0</v>
      </c>
      <c r="X194" s="738">
        <f t="shared" si="336"/>
        <v>0</v>
      </c>
      <c r="Y194" s="737">
        <f t="shared" si="336"/>
        <v>0</v>
      </c>
      <c r="Z194" s="737">
        <f t="shared" si="336"/>
        <v>0</v>
      </c>
      <c r="AA194" s="737">
        <f t="shared" si="336"/>
        <v>0</v>
      </c>
      <c r="AB194" s="737">
        <f t="shared" si="336"/>
        <v>0</v>
      </c>
      <c r="AC194" s="738">
        <f t="shared" si="336"/>
        <v>0</v>
      </c>
      <c r="AD194" s="737">
        <f t="shared" si="336"/>
        <v>0</v>
      </c>
      <c r="AE194" s="737">
        <f t="shared" si="336"/>
        <v>0</v>
      </c>
      <c r="AF194" s="737">
        <f t="shared" si="336"/>
        <v>0</v>
      </c>
      <c r="AG194" s="739">
        <f t="shared" si="336"/>
        <v>0</v>
      </c>
      <c r="AH194" s="823"/>
      <c r="AI194" s="744"/>
      <c r="AJ194" s="741"/>
      <c r="AK194" s="729"/>
      <c r="AL194" s="729"/>
      <c r="AM194" s="729"/>
      <c r="AN194" s="729"/>
      <c r="AO194" s="730"/>
      <c r="AP194" s="74"/>
      <c r="AQ194" s="74"/>
      <c r="AR194" s="74"/>
      <c r="AS194" s="106"/>
      <c r="AW194" s="1428" t="str">
        <f t="shared" si="230"/>
        <v>Rev</v>
      </c>
      <c r="AX194" s="1429" t="str">
        <f t="shared" si="230"/>
        <v>[Service]</v>
      </c>
      <c r="AY194" s="1430" t="str">
        <f t="shared" si="194"/>
        <v>[Price]</v>
      </c>
      <c r="AZ194" s="1431" t="str">
        <f t="shared" si="314"/>
        <v>-</v>
      </c>
      <c r="BA194" s="1431" t="str">
        <f t="shared" si="314"/>
        <v>-</v>
      </c>
      <c r="BB194" s="1431" t="str">
        <f t="shared" si="314"/>
        <v>-</v>
      </c>
      <c r="BC194" s="1431" t="str">
        <f t="shared" si="314"/>
        <v>-</v>
      </c>
      <c r="BD194" s="1431" t="str">
        <f t="shared" si="196"/>
        <v>-</v>
      </c>
      <c r="BE194" s="1431" t="str">
        <f t="shared" si="197"/>
        <v>-</v>
      </c>
      <c r="BF194" s="1431" t="str">
        <f t="shared" si="198"/>
        <v>-</v>
      </c>
      <c r="BG194" s="1432" t="str">
        <f t="shared" si="199"/>
        <v>-</v>
      </c>
      <c r="BH194" s="1431" t="str">
        <f t="shared" si="200"/>
        <v>-</v>
      </c>
      <c r="BI194" s="1431" t="str">
        <f t="shared" si="201"/>
        <v>-</v>
      </c>
      <c r="BJ194" s="1431" t="str">
        <f t="shared" si="202"/>
        <v>-</v>
      </c>
      <c r="BK194" s="1431" t="str">
        <f t="shared" si="203"/>
        <v>-</v>
      </c>
      <c r="BL194" s="1433" t="str">
        <f t="shared" si="204"/>
        <v>-</v>
      </c>
      <c r="BM194" s="1431" t="str">
        <f t="shared" si="205"/>
        <v>-</v>
      </c>
      <c r="BN194" s="1431" t="str">
        <f t="shared" si="206"/>
        <v>-</v>
      </c>
      <c r="BO194" s="1431" t="str">
        <f t="shared" si="207"/>
        <v>-</v>
      </c>
      <c r="BP194" s="1431" t="str">
        <f t="shared" si="208"/>
        <v>-</v>
      </c>
      <c r="BQ194" s="1434" t="str">
        <f t="shared" si="209"/>
        <v>-</v>
      </c>
      <c r="BR194" s="1378"/>
      <c r="BS194" s="1407"/>
      <c r="BT194" s="1408"/>
      <c r="BU194" s="1409"/>
      <c r="BV194" s="1410"/>
      <c r="BW194" s="1378"/>
      <c r="BX194" s="1428" t="str">
        <f t="shared" si="210"/>
        <v>Rev</v>
      </c>
      <c r="BY194" s="1429" t="str">
        <f t="shared" si="255"/>
        <v>[Service]</v>
      </c>
      <c r="BZ194" s="1430" t="str">
        <f t="shared" si="256"/>
        <v>[Price]</v>
      </c>
      <c r="CA194" s="1435" t="str">
        <f>IFERROR((S194/R194-1)*(R194/R$13),"-")</f>
        <v>-</v>
      </c>
      <c r="CB194" s="1431" t="str">
        <f>IFERROR((T194/S194-1)*(S194/S$13),"-")</f>
        <v>-</v>
      </c>
      <c r="CC194" s="1431" t="str">
        <f>IFERROR((U194/T194-1)*(T194/T$13),"-")</f>
        <v>-</v>
      </c>
      <c r="CD194" s="1431" t="str">
        <f>IFERROR((V194/U194-1)*(U194/U$13),"-")</f>
        <v>-</v>
      </c>
      <c r="CE194" s="1431" t="str">
        <f t="shared" ref="CE194:CR194" si="337">IFERROR((T194/S194-1)*(S194/S$13),"-")</f>
        <v>-</v>
      </c>
      <c r="CF194" s="1431" t="str">
        <f t="shared" si="337"/>
        <v>-</v>
      </c>
      <c r="CG194" s="1431" t="str">
        <f t="shared" si="337"/>
        <v>-</v>
      </c>
      <c r="CH194" s="1433" t="str">
        <f t="shared" si="337"/>
        <v>-</v>
      </c>
      <c r="CI194" s="1431" t="str">
        <f t="shared" si="337"/>
        <v>-</v>
      </c>
      <c r="CJ194" s="1431" t="str">
        <f t="shared" si="337"/>
        <v>-</v>
      </c>
      <c r="CK194" s="1431" t="str">
        <f t="shared" si="337"/>
        <v>-</v>
      </c>
      <c r="CL194" s="1431" t="str">
        <f t="shared" si="337"/>
        <v>-</v>
      </c>
      <c r="CM194" s="1433" t="str">
        <f t="shared" si="337"/>
        <v>-</v>
      </c>
      <c r="CN194" s="1431" t="str">
        <f t="shared" si="337"/>
        <v>-</v>
      </c>
      <c r="CO194" s="1431" t="str">
        <f t="shared" si="337"/>
        <v>-</v>
      </c>
      <c r="CP194" s="1431" t="str">
        <f t="shared" si="337"/>
        <v>-</v>
      </c>
      <c r="CQ194" s="1431" t="str">
        <f t="shared" si="337"/>
        <v>-</v>
      </c>
      <c r="CR194" s="1434" t="str">
        <f t="shared" si="337"/>
        <v>-</v>
      </c>
      <c r="CS194" s="1378"/>
      <c r="CT194" s="1428" t="str">
        <f t="shared" si="191"/>
        <v>Rev</v>
      </c>
      <c r="CU194" s="1429" t="str">
        <f t="shared" si="192"/>
        <v>[Service]</v>
      </c>
      <c r="CV194" s="1429" t="str">
        <f t="shared" si="193"/>
        <v>[Price]</v>
      </c>
      <c r="CW194" s="1435" t="str">
        <f t="shared" si="212"/>
        <v>-</v>
      </c>
      <c r="CX194" s="1431" t="str">
        <f t="shared" si="213"/>
        <v>-</v>
      </c>
      <c r="CY194" s="1431" t="str">
        <f t="shared" si="214"/>
        <v>-</v>
      </c>
      <c r="CZ194" s="1433" t="str">
        <f t="shared" si="215"/>
        <v>-</v>
      </c>
      <c r="DA194" s="1431" t="str">
        <f t="shared" si="216"/>
        <v>-</v>
      </c>
      <c r="DB194" s="1431" t="str">
        <f t="shared" si="217"/>
        <v>-</v>
      </c>
      <c r="DC194" s="1431" t="str">
        <f t="shared" si="218"/>
        <v>-</v>
      </c>
      <c r="DD194" s="1431" t="str">
        <f t="shared" si="219"/>
        <v>-</v>
      </c>
      <c r="DE194" s="1434" t="str">
        <f t="shared" si="220"/>
        <v>-</v>
      </c>
      <c r="DF194" s="1378"/>
      <c r="DG194" s="1428" t="str">
        <f t="shared" si="232"/>
        <v>Rev</v>
      </c>
      <c r="DH194" s="1429" t="str">
        <f t="shared" si="232"/>
        <v>[Service]</v>
      </c>
      <c r="DI194" s="1429" t="str">
        <f t="shared" si="232"/>
        <v>[Price]</v>
      </c>
      <c r="DJ194" s="1435" t="str">
        <f t="shared" si="221"/>
        <v>-</v>
      </c>
      <c r="DK194" s="1431" t="str">
        <f t="shared" si="222"/>
        <v>-</v>
      </c>
      <c r="DL194" s="1431" t="str">
        <f t="shared" si="223"/>
        <v>-</v>
      </c>
      <c r="DM194" s="1433" t="str">
        <f t="shared" si="224"/>
        <v>-</v>
      </c>
      <c r="DN194" s="1431" t="str">
        <f t="shared" si="225"/>
        <v>-</v>
      </c>
      <c r="DO194" s="1431" t="str">
        <f t="shared" si="226"/>
        <v>-</v>
      </c>
      <c r="DP194" s="1431" t="str">
        <f t="shared" si="227"/>
        <v>-</v>
      </c>
      <c r="DQ194" s="1434" t="str">
        <f t="shared" si="228"/>
        <v>-</v>
      </c>
    </row>
    <row r="195" spans="4:121">
      <c r="D195" s="70">
        <f>D192+1</f>
        <v>43</v>
      </c>
      <c r="E195" s="713" t="s">
        <v>44</v>
      </c>
      <c r="F195" s="789" t="s">
        <v>27</v>
      </c>
      <c r="G195" s="789"/>
      <c r="H195" s="789"/>
      <c r="I195" s="781" t="s">
        <v>318</v>
      </c>
      <c r="J195" s="781" t="s">
        <v>345</v>
      </c>
      <c r="K195" s="714"/>
      <c r="L195" s="715"/>
      <c r="M195" s="715"/>
      <c r="N195" s="716"/>
      <c r="O195" s="783"/>
      <c r="P195" s="784"/>
      <c r="Q195" s="783"/>
      <c r="R195" s="783"/>
      <c r="S195" s="783"/>
      <c r="T195" s="783"/>
      <c r="U195" s="783"/>
      <c r="V195" s="783"/>
      <c r="W195" s="783"/>
      <c r="X195" s="784"/>
      <c r="Y195" s="783"/>
      <c r="Z195" s="783"/>
      <c r="AA195" s="783"/>
      <c r="AB195" s="783"/>
      <c r="AC195" s="784"/>
      <c r="AD195" s="783"/>
      <c r="AE195" s="783"/>
      <c r="AF195" s="783"/>
      <c r="AG195" s="785"/>
      <c r="AI195" s="702"/>
      <c r="AJ195" s="717" t="str">
        <f t="shared" ref="AJ195:AS195" si="338">IFERROR((X195-W195)/W195,"")</f>
        <v/>
      </c>
      <c r="AK195" s="718" t="str">
        <f t="shared" si="338"/>
        <v/>
      </c>
      <c r="AL195" s="718" t="str">
        <f t="shared" si="338"/>
        <v/>
      </c>
      <c r="AM195" s="718" t="str">
        <f t="shared" si="338"/>
        <v/>
      </c>
      <c r="AN195" s="718" t="str">
        <f t="shared" si="338"/>
        <v/>
      </c>
      <c r="AO195" s="719" t="str">
        <f t="shared" si="338"/>
        <v/>
      </c>
      <c r="AP195" s="494" t="str">
        <f t="shared" si="338"/>
        <v/>
      </c>
      <c r="AQ195" s="494" t="str">
        <f t="shared" si="338"/>
        <v/>
      </c>
      <c r="AR195" s="494" t="str">
        <f t="shared" si="338"/>
        <v/>
      </c>
      <c r="AS195" s="720" t="str">
        <f t="shared" si="338"/>
        <v/>
      </c>
      <c r="AU195" s="1369"/>
      <c r="AW195" s="1412" t="str">
        <f t="shared" si="230"/>
        <v>Price</v>
      </c>
      <c r="AX195" s="1413" t="str">
        <f t="shared" si="230"/>
        <v>[Service]</v>
      </c>
      <c r="AY195" s="1414" t="str">
        <f t="shared" si="194"/>
        <v>[Price]</v>
      </c>
      <c r="AZ195" s="1415" t="str">
        <f t="shared" si="314"/>
        <v>-</v>
      </c>
      <c r="BA195" s="1415" t="str">
        <f t="shared" si="314"/>
        <v>-</v>
      </c>
      <c r="BB195" s="1415" t="str">
        <f t="shared" si="314"/>
        <v>-</v>
      </c>
      <c r="BC195" s="1415" t="str">
        <f t="shared" si="314"/>
        <v>-</v>
      </c>
      <c r="BD195" s="1415" t="str">
        <f t="shared" si="196"/>
        <v>-</v>
      </c>
      <c r="BE195" s="1415" t="str">
        <f t="shared" si="197"/>
        <v>-</v>
      </c>
      <c r="BF195" s="1415" t="str">
        <f t="shared" si="198"/>
        <v>-</v>
      </c>
      <c r="BG195" s="1416" t="str">
        <f t="shared" si="199"/>
        <v>-</v>
      </c>
      <c r="BH195" s="1417" t="str">
        <f t="shared" si="200"/>
        <v>-</v>
      </c>
      <c r="BI195" s="1417" t="str">
        <f t="shared" si="201"/>
        <v>-</v>
      </c>
      <c r="BJ195" s="1417" t="str">
        <f t="shared" si="202"/>
        <v>-</v>
      </c>
      <c r="BK195" s="1417" t="str">
        <f t="shared" si="203"/>
        <v>-</v>
      </c>
      <c r="BL195" s="1418" t="str">
        <f t="shared" si="204"/>
        <v>-</v>
      </c>
      <c r="BM195" s="1417" t="str">
        <f t="shared" si="205"/>
        <v>-</v>
      </c>
      <c r="BN195" s="1417" t="str">
        <f t="shared" si="206"/>
        <v>-</v>
      </c>
      <c r="BO195" s="1417" t="str">
        <f t="shared" si="207"/>
        <v>-</v>
      </c>
      <c r="BP195" s="1417" t="str">
        <f t="shared" si="208"/>
        <v>-</v>
      </c>
      <c r="BQ195" s="1419" t="str">
        <f t="shared" si="209"/>
        <v>-</v>
      </c>
      <c r="BR195" s="1378"/>
      <c r="BS195" s="1420"/>
      <c r="BT195" s="1421"/>
      <c r="BU195" s="1422"/>
      <c r="BV195" s="1423"/>
      <c r="BW195" s="1378"/>
      <c r="BX195" s="1412" t="str">
        <f t="shared" si="210"/>
        <v>Price</v>
      </c>
      <c r="BY195" s="1413" t="str">
        <f t="shared" si="255"/>
        <v>[Service]</v>
      </c>
      <c r="BZ195" s="1414" t="str">
        <f t="shared" si="256"/>
        <v>[Price]</v>
      </c>
      <c r="CA195" s="1424" t="str">
        <f>IFERROR((S195/R195-1)*(R197/R$13),"-")</f>
        <v>-</v>
      </c>
      <c r="CB195" s="1415" t="str">
        <f>IFERROR((T195/S195-1)*(S197/S$13),"-")</f>
        <v>-</v>
      </c>
      <c r="CC195" s="1415" t="str">
        <f>IFERROR((U195/T195-1)*(T197/T$13),"-")</f>
        <v>-</v>
      </c>
      <c r="CD195" s="1415" t="str">
        <f>IFERROR((V195/U195-1)*(U197/U$13),"-")</f>
        <v>-</v>
      </c>
      <c r="CE195" s="1415" t="str">
        <f t="shared" ref="CE195:CR195" si="339">IFERROR((T195/S195-1)*(S197/S$13),"-")</f>
        <v>-</v>
      </c>
      <c r="CF195" s="1415" t="str">
        <f t="shared" si="339"/>
        <v>-</v>
      </c>
      <c r="CG195" s="1415" t="str">
        <f t="shared" si="339"/>
        <v>-</v>
      </c>
      <c r="CH195" s="1425" t="str">
        <f t="shared" si="339"/>
        <v>-</v>
      </c>
      <c r="CI195" s="1417" t="str">
        <f t="shared" si="339"/>
        <v>-</v>
      </c>
      <c r="CJ195" s="1417" t="str">
        <f t="shared" si="339"/>
        <v>-</v>
      </c>
      <c r="CK195" s="1417" t="str">
        <f t="shared" si="339"/>
        <v>-</v>
      </c>
      <c r="CL195" s="1417" t="str">
        <f t="shared" si="339"/>
        <v>-</v>
      </c>
      <c r="CM195" s="1418" t="str">
        <f t="shared" si="339"/>
        <v>-</v>
      </c>
      <c r="CN195" s="1417" t="str">
        <f t="shared" si="339"/>
        <v>-</v>
      </c>
      <c r="CO195" s="1417" t="str">
        <f t="shared" si="339"/>
        <v>-</v>
      </c>
      <c r="CP195" s="1417" t="str">
        <f t="shared" si="339"/>
        <v>-</v>
      </c>
      <c r="CQ195" s="1417" t="str">
        <f t="shared" si="339"/>
        <v>-</v>
      </c>
      <c r="CR195" s="1419" t="str">
        <f t="shared" si="339"/>
        <v>-</v>
      </c>
      <c r="CS195" s="1378"/>
      <c r="CT195" s="1412" t="str">
        <f t="shared" si="191"/>
        <v>Price</v>
      </c>
      <c r="CU195" s="1413" t="str">
        <f t="shared" si="192"/>
        <v>[Service]</v>
      </c>
      <c r="CV195" s="1426" t="str">
        <f t="shared" si="193"/>
        <v>[Price]</v>
      </c>
      <c r="CW195" s="1427" t="str">
        <f t="shared" si="212"/>
        <v>-</v>
      </c>
      <c r="CX195" s="1417" t="str">
        <f t="shared" si="213"/>
        <v>-</v>
      </c>
      <c r="CY195" s="1417" t="str">
        <f t="shared" si="214"/>
        <v>-</v>
      </c>
      <c r="CZ195" s="1418" t="str">
        <f t="shared" si="215"/>
        <v>-</v>
      </c>
      <c r="DA195" s="1417" t="str">
        <f t="shared" si="216"/>
        <v>-</v>
      </c>
      <c r="DB195" s="1417" t="str">
        <f t="shared" si="217"/>
        <v>-</v>
      </c>
      <c r="DC195" s="1417" t="str">
        <f t="shared" si="218"/>
        <v>-</v>
      </c>
      <c r="DD195" s="1417" t="str">
        <f t="shared" si="219"/>
        <v>-</v>
      </c>
      <c r="DE195" s="1419" t="str">
        <f t="shared" si="220"/>
        <v>-</v>
      </c>
      <c r="DF195" s="1378"/>
      <c r="DG195" s="1412" t="str">
        <f t="shared" si="232"/>
        <v>Price</v>
      </c>
      <c r="DH195" s="1413" t="str">
        <f t="shared" si="232"/>
        <v>[Service]</v>
      </c>
      <c r="DI195" s="1426" t="str">
        <f t="shared" si="232"/>
        <v>[Price]</v>
      </c>
      <c r="DJ195" s="1427" t="str">
        <f t="shared" si="221"/>
        <v>-</v>
      </c>
      <c r="DK195" s="1417" t="str">
        <f t="shared" si="222"/>
        <v>-</v>
      </c>
      <c r="DL195" s="1417" t="str">
        <f t="shared" si="223"/>
        <v>-</v>
      </c>
      <c r="DM195" s="1418" t="str">
        <f t="shared" si="224"/>
        <v>-</v>
      </c>
      <c r="DN195" s="1417" t="str">
        <f t="shared" si="225"/>
        <v>-</v>
      </c>
      <c r="DO195" s="1417" t="str">
        <f t="shared" si="226"/>
        <v>-</v>
      </c>
      <c r="DP195" s="1417" t="str">
        <f t="shared" si="227"/>
        <v>-</v>
      </c>
      <c r="DQ195" s="1419" t="str">
        <f t="shared" si="228"/>
        <v>-</v>
      </c>
    </row>
    <row r="196" spans="4:121">
      <c r="E196" s="742" t="s">
        <v>45</v>
      </c>
      <c r="F196" s="722" t="str">
        <f>+F195</f>
        <v>[Service]</v>
      </c>
      <c r="G196" s="723">
        <f>+G195</f>
        <v>0</v>
      </c>
      <c r="H196" s="723">
        <f>+H195</f>
        <v>0</v>
      </c>
      <c r="I196" s="724" t="str">
        <f>+I195</f>
        <v>[Price]</v>
      </c>
      <c r="J196" s="782" t="s">
        <v>322</v>
      </c>
      <c r="K196" s="725"/>
      <c r="L196" s="726"/>
      <c r="M196" s="726"/>
      <c r="N196" s="727"/>
      <c r="O196" s="786"/>
      <c r="P196" s="787"/>
      <c r="Q196" s="786"/>
      <c r="R196" s="786"/>
      <c r="S196" s="786"/>
      <c r="T196" s="786"/>
      <c r="U196" s="786"/>
      <c r="V196" s="786"/>
      <c r="W196" s="786"/>
      <c r="X196" s="787"/>
      <c r="Y196" s="786"/>
      <c r="Z196" s="786"/>
      <c r="AA196" s="786"/>
      <c r="AB196" s="786"/>
      <c r="AC196" s="787"/>
      <c r="AD196" s="786"/>
      <c r="AE196" s="786"/>
      <c r="AF196" s="786"/>
      <c r="AG196" s="788"/>
      <c r="AH196" s="823"/>
      <c r="AI196" s="702"/>
      <c r="AJ196" s="728"/>
      <c r="AK196" s="729"/>
      <c r="AL196" s="729"/>
      <c r="AM196" s="729"/>
      <c r="AN196" s="729"/>
      <c r="AO196" s="730"/>
      <c r="AP196" s="74"/>
      <c r="AQ196" s="74"/>
      <c r="AR196" s="74"/>
      <c r="AS196" s="106"/>
      <c r="AW196" s="1392" t="str">
        <f t="shared" si="230"/>
        <v>Qty</v>
      </c>
      <c r="AX196" s="1393" t="str">
        <f t="shared" si="230"/>
        <v>[Service]</v>
      </c>
      <c r="AY196" s="1394" t="str">
        <f t="shared" si="194"/>
        <v>[Price]</v>
      </c>
      <c r="AZ196" s="1395" t="str">
        <f t="shared" si="314"/>
        <v>-</v>
      </c>
      <c r="BA196" s="1395" t="str">
        <f t="shared" si="314"/>
        <v>-</v>
      </c>
      <c r="BB196" s="1395" t="str">
        <f t="shared" si="314"/>
        <v>-</v>
      </c>
      <c r="BC196" s="1395" t="str">
        <f t="shared" si="314"/>
        <v>-</v>
      </c>
      <c r="BD196" s="1395" t="str">
        <f t="shared" si="196"/>
        <v>-</v>
      </c>
      <c r="BE196" s="1395" t="str">
        <f t="shared" si="197"/>
        <v>-</v>
      </c>
      <c r="BF196" s="1395" t="str">
        <f t="shared" si="198"/>
        <v>-</v>
      </c>
      <c r="BG196" s="1396" t="str">
        <f t="shared" si="199"/>
        <v>-</v>
      </c>
      <c r="BH196" s="1395" t="str">
        <f t="shared" si="200"/>
        <v>-</v>
      </c>
      <c r="BI196" s="1395" t="str">
        <f t="shared" si="201"/>
        <v>-</v>
      </c>
      <c r="BJ196" s="1395" t="str">
        <f t="shared" si="202"/>
        <v>-</v>
      </c>
      <c r="BK196" s="1395" t="str">
        <f t="shared" si="203"/>
        <v>-</v>
      </c>
      <c r="BL196" s="1397" t="str">
        <f t="shared" si="204"/>
        <v>-</v>
      </c>
      <c r="BM196" s="1395" t="str">
        <f t="shared" si="205"/>
        <v>-</v>
      </c>
      <c r="BN196" s="1395" t="str">
        <f t="shared" si="206"/>
        <v>-</v>
      </c>
      <c r="BO196" s="1395" t="str">
        <f t="shared" si="207"/>
        <v>-</v>
      </c>
      <c r="BP196" s="1395" t="str">
        <f t="shared" si="208"/>
        <v>-</v>
      </c>
      <c r="BQ196" s="1398" t="str">
        <f t="shared" si="209"/>
        <v>-</v>
      </c>
      <c r="BR196" s="1378"/>
      <c r="BS196" s="1329"/>
      <c r="BT196" s="1399"/>
      <c r="BU196" s="1331"/>
      <c r="BV196" s="1400"/>
      <c r="BW196" s="1378"/>
      <c r="BX196" s="1392" t="str">
        <f t="shared" si="210"/>
        <v>Qty</v>
      </c>
      <c r="BY196" s="1393" t="str">
        <f t="shared" si="255"/>
        <v>[Service]</v>
      </c>
      <c r="BZ196" s="1394" t="str">
        <f t="shared" si="256"/>
        <v>[Price]</v>
      </c>
      <c r="CA196" s="1401" t="str">
        <f>IFERROR((S196/R196-1)*(R197/R$13),"-")</f>
        <v>-</v>
      </c>
      <c r="CB196" s="1395" t="str">
        <f>IFERROR((T196/S196-1)*(S197/S$13),"-")</f>
        <v>-</v>
      </c>
      <c r="CC196" s="1395" t="str">
        <f>IFERROR((U196/T196-1)*(T197/T$13),"-")</f>
        <v>-</v>
      </c>
      <c r="CD196" s="1395" t="str">
        <f>IFERROR((V196/U196-1)*(U197/U$13),"-")</f>
        <v>-</v>
      </c>
      <c r="CE196" s="1395" t="str">
        <f t="shared" ref="CE196:CR196" si="340">IFERROR((T196/S196-1)*(S197/S$13),"-")</f>
        <v>-</v>
      </c>
      <c r="CF196" s="1395" t="str">
        <f t="shared" si="340"/>
        <v>-</v>
      </c>
      <c r="CG196" s="1395" t="str">
        <f t="shared" si="340"/>
        <v>-</v>
      </c>
      <c r="CH196" s="1397" t="str">
        <f t="shared" si="340"/>
        <v>-</v>
      </c>
      <c r="CI196" s="1395" t="str">
        <f t="shared" si="340"/>
        <v>-</v>
      </c>
      <c r="CJ196" s="1395" t="str">
        <f t="shared" si="340"/>
        <v>-</v>
      </c>
      <c r="CK196" s="1395" t="str">
        <f t="shared" si="340"/>
        <v>-</v>
      </c>
      <c r="CL196" s="1395" t="str">
        <f t="shared" si="340"/>
        <v>-</v>
      </c>
      <c r="CM196" s="1397" t="str">
        <f t="shared" si="340"/>
        <v>-</v>
      </c>
      <c r="CN196" s="1395" t="str">
        <f t="shared" si="340"/>
        <v>-</v>
      </c>
      <c r="CO196" s="1395" t="str">
        <f t="shared" si="340"/>
        <v>-</v>
      </c>
      <c r="CP196" s="1395" t="str">
        <f t="shared" si="340"/>
        <v>-</v>
      </c>
      <c r="CQ196" s="1395" t="str">
        <f t="shared" si="340"/>
        <v>-</v>
      </c>
      <c r="CR196" s="1398" t="str">
        <f t="shared" si="340"/>
        <v>-</v>
      </c>
      <c r="CS196" s="1378"/>
      <c r="CT196" s="1392" t="str">
        <f t="shared" ref="CT196:CT259" si="341">AW196</f>
        <v>Qty</v>
      </c>
      <c r="CU196" s="1393" t="str">
        <f t="shared" ref="CU196:CU259" si="342">AX196</f>
        <v>[Service]</v>
      </c>
      <c r="CV196" s="1393" t="str">
        <f t="shared" ref="CV196:CV259" si="343">AY196</f>
        <v>[Price]</v>
      </c>
      <c r="CW196" s="1401" t="str">
        <f t="shared" si="212"/>
        <v>-</v>
      </c>
      <c r="CX196" s="1395" t="str">
        <f t="shared" si="213"/>
        <v>-</v>
      </c>
      <c r="CY196" s="1395" t="str">
        <f t="shared" si="214"/>
        <v>-</v>
      </c>
      <c r="CZ196" s="1397" t="str">
        <f t="shared" si="215"/>
        <v>-</v>
      </c>
      <c r="DA196" s="1395" t="str">
        <f t="shared" si="216"/>
        <v>-</v>
      </c>
      <c r="DB196" s="1395" t="str">
        <f t="shared" si="217"/>
        <v>-</v>
      </c>
      <c r="DC196" s="1395" t="str">
        <f t="shared" si="218"/>
        <v>-</v>
      </c>
      <c r="DD196" s="1395" t="str">
        <f t="shared" si="219"/>
        <v>-</v>
      </c>
      <c r="DE196" s="1398" t="str">
        <f t="shared" si="220"/>
        <v>-</v>
      </c>
      <c r="DF196" s="1378"/>
      <c r="DG196" s="1392" t="str">
        <f t="shared" si="232"/>
        <v>Qty</v>
      </c>
      <c r="DH196" s="1393" t="str">
        <f t="shared" si="232"/>
        <v>[Service]</v>
      </c>
      <c r="DI196" s="1393" t="str">
        <f t="shared" si="232"/>
        <v>[Price]</v>
      </c>
      <c r="DJ196" s="1401" t="str">
        <f t="shared" si="221"/>
        <v>-</v>
      </c>
      <c r="DK196" s="1395" t="str">
        <f t="shared" si="222"/>
        <v>-</v>
      </c>
      <c r="DL196" s="1395" t="str">
        <f t="shared" si="223"/>
        <v>-</v>
      </c>
      <c r="DM196" s="1397" t="str">
        <f t="shared" si="224"/>
        <v>-</v>
      </c>
      <c r="DN196" s="1395" t="str">
        <f t="shared" si="225"/>
        <v>-</v>
      </c>
      <c r="DO196" s="1395" t="str">
        <f t="shared" si="226"/>
        <v>-</v>
      </c>
      <c r="DP196" s="1395" t="str">
        <f t="shared" si="227"/>
        <v>-</v>
      </c>
      <c r="DQ196" s="1398" t="str">
        <f t="shared" si="228"/>
        <v>-</v>
      </c>
    </row>
    <row r="197" spans="4:121" ht="12.75" thickBot="1">
      <c r="E197" s="743" t="s">
        <v>46</v>
      </c>
      <c r="F197" s="732" t="str">
        <f>+F195</f>
        <v>[Service]</v>
      </c>
      <c r="G197" s="733">
        <f>+G195</f>
        <v>0</v>
      </c>
      <c r="H197" s="733">
        <f>+H195</f>
        <v>0</v>
      </c>
      <c r="I197" s="734" t="str">
        <f>+I195</f>
        <v>[Price]</v>
      </c>
      <c r="J197" s="735" t="s">
        <v>344</v>
      </c>
      <c r="K197" s="736">
        <f t="shared" ref="K197:AG197" si="344">K195*K196/10^6</f>
        <v>0</v>
      </c>
      <c r="L197" s="737">
        <f t="shared" si="344"/>
        <v>0</v>
      </c>
      <c r="M197" s="737">
        <f t="shared" si="344"/>
        <v>0</v>
      </c>
      <c r="N197" s="738">
        <f t="shared" si="344"/>
        <v>0</v>
      </c>
      <c r="O197" s="737">
        <f t="shared" si="344"/>
        <v>0</v>
      </c>
      <c r="P197" s="738">
        <f t="shared" si="344"/>
        <v>0</v>
      </c>
      <c r="Q197" s="737">
        <f t="shared" si="344"/>
        <v>0</v>
      </c>
      <c r="R197" s="737">
        <f t="shared" si="344"/>
        <v>0</v>
      </c>
      <c r="S197" s="737">
        <f t="shared" si="344"/>
        <v>0</v>
      </c>
      <c r="T197" s="737">
        <f t="shared" si="344"/>
        <v>0</v>
      </c>
      <c r="U197" s="737">
        <f t="shared" si="344"/>
        <v>0</v>
      </c>
      <c r="V197" s="737">
        <f t="shared" si="344"/>
        <v>0</v>
      </c>
      <c r="W197" s="737">
        <f t="shared" si="344"/>
        <v>0</v>
      </c>
      <c r="X197" s="738">
        <f t="shared" si="344"/>
        <v>0</v>
      </c>
      <c r="Y197" s="737">
        <f t="shared" si="344"/>
        <v>0</v>
      </c>
      <c r="Z197" s="737">
        <f t="shared" si="344"/>
        <v>0</v>
      </c>
      <c r="AA197" s="737">
        <f t="shared" si="344"/>
        <v>0</v>
      </c>
      <c r="AB197" s="737">
        <f t="shared" si="344"/>
        <v>0</v>
      </c>
      <c r="AC197" s="738">
        <f t="shared" si="344"/>
        <v>0</v>
      </c>
      <c r="AD197" s="737">
        <f t="shared" si="344"/>
        <v>0</v>
      </c>
      <c r="AE197" s="737">
        <f t="shared" si="344"/>
        <v>0</v>
      </c>
      <c r="AF197" s="737">
        <f t="shared" si="344"/>
        <v>0</v>
      </c>
      <c r="AG197" s="739">
        <f t="shared" si="344"/>
        <v>0</v>
      </c>
      <c r="AH197" s="823"/>
      <c r="AI197" s="744"/>
      <c r="AJ197" s="741"/>
      <c r="AK197" s="729"/>
      <c r="AL197" s="729"/>
      <c r="AM197" s="729"/>
      <c r="AN197" s="729"/>
      <c r="AO197" s="730"/>
      <c r="AP197" s="74"/>
      <c r="AQ197" s="74"/>
      <c r="AR197" s="74"/>
      <c r="AS197" s="106"/>
      <c r="AW197" s="1428" t="str">
        <f t="shared" si="230"/>
        <v>Rev</v>
      </c>
      <c r="AX197" s="1429" t="str">
        <f t="shared" si="230"/>
        <v>[Service]</v>
      </c>
      <c r="AY197" s="1430" t="str">
        <f t="shared" ref="AY197:AY260" si="345">I197</f>
        <v>[Price]</v>
      </c>
      <c r="AZ197" s="1431" t="str">
        <f t="shared" ref="AZ197:BC212" si="346">IFERROR(P197/O197-1,"-")</f>
        <v>-</v>
      </c>
      <c r="BA197" s="1431" t="str">
        <f t="shared" si="346"/>
        <v>-</v>
      </c>
      <c r="BB197" s="1431" t="str">
        <f t="shared" si="346"/>
        <v>-</v>
      </c>
      <c r="BC197" s="1431" t="str">
        <f t="shared" si="346"/>
        <v>-</v>
      </c>
      <c r="BD197" s="1431" t="str">
        <f t="shared" ref="BD197:BD260" si="347">IFERROR(T197/S197-1,"-")</f>
        <v>-</v>
      </c>
      <c r="BE197" s="1431" t="str">
        <f t="shared" ref="BE197:BE260" si="348">IFERROR(U197/T197-1,"-")</f>
        <v>-</v>
      </c>
      <c r="BF197" s="1431" t="str">
        <f t="shared" ref="BF197:BF260" si="349">IFERROR(V197/U197-1,"-")</f>
        <v>-</v>
      </c>
      <c r="BG197" s="1432" t="str">
        <f t="shared" ref="BG197:BG260" si="350">IFERROR(W197/V197-1,"-")</f>
        <v>-</v>
      </c>
      <c r="BH197" s="1431" t="str">
        <f t="shared" ref="BH197:BH260" si="351">IFERROR(X197/W197-1,"-")</f>
        <v>-</v>
      </c>
      <c r="BI197" s="1431" t="str">
        <f t="shared" ref="BI197:BI260" si="352">IFERROR(Y197/X197-1,"-")</f>
        <v>-</v>
      </c>
      <c r="BJ197" s="1431" t="str">
        <f t="shared" ref="BJ197:BJ260" si="353">IFERROR(Z197/Y197-1,"-")</f>
        <v>-</v>
      </c>
      <c r="BK197" s="1431" t="str">
        <f t="shared" ref="BK197:BK260" si="354">IFERROR(AA197/Z197-1,"-")</f>
        <v>-</v>
      </c>
      <c r="BL197" s="1433" t="str">
        <f t="shared" ref="BL197:BL260" si="355">IFERROR(AB197/AA197-1,"-")</f>
        <v>-</v>
      </c>
      <c r="BM197" s="1431" t="str">
        <f t="shared" ref="BM197:BM260" si="356">IFERROR(AC197/AB197-1,"-")</f>
        <v>-</v>
      </c>
      <c r="BN197" s="1431" t="str">
        <f t="shared" ref="BN197:BN260" si="357">IFERROR(AD197/AC197-1,"-")</f>
        <v>-</v>
      </c>
      <c r="BO197" s="1431" t="str">
        <f t="shared" ref="BO197:BO260" si="358">IFERROR(AE197/AD197-1,"-")</f>
        <v>-</v>
      </c>
      <c r="BP197" s="1431" t="str">
        <f t="shared" ref="BP197:BP260" si="359">IFERROR(AF197/AE197-1,"-")</f>
        <v>-</v>
      </c>
      <c r="BQ197" s="1434" t="str">
        <f t="shared" ref="BQ197:BQ260" si="360">IFERROR(AG197/AF197-1,"-")</f>
        <v>-</v>
      </c>
      <c r="BR197" s="1378"/>
      <c r="BS197" s="1407"/>
      <c r="BT197" s="1408"/>
      <c r="BU197" s="1409"/>
      <c r="BV197" s="1410"/>
      <c r="BW197" s="1378"/>
      <c r="BX197" s="1428" t="str">
        <f t="shared" ref="BX197:BX260" si="361">AW197</f>
        <v>Rev</v>
      </c>
      <c r="BY197" s="1429" t="str">
        <f t="shared" si="255"/>
        <v>[Service]</v>
      </c>
      <c r="BZ197" s="1430" t="str">
        <f t="shared" si="256"/>
        <v>[Price]</v>
      </c>
      <c r="CA197" s="1435" t="str">
        <f>IFERROR((S197/R197-1)*(R197/R$13),"-")</f>
        <v>-</v>
      </c>
      <c r="CB197" s="1431" t="str">
        <f>IFERROR((T197/S197-1)*(S197/S$13),"-")</f>
        <v>-</v>
      </c>
      <c r="CC197" s="1431" t="str">
        <f>IFERROR((U197/T197-1)*(T197/T$13),"-")</f>
        <v>-</v>
      </c>
      <c r="CD197" s="1431" t="str">
        <f>IFERROR((V197/U197-1)*(U197/U$13),"-")</f>
        <v>-</v>
      </c>
      <c r="CE197" s="1431" t="str">
        <f t="shared" ref="CE197:CR197" si="362">IFERROR((T197/S197-1)*(S197/S$13),"-")</f>
        <v>-</v>
      </c>
      <c r="CF197" s="1431" t="str">
        <f t="shared" si="362"/>
        <v>-</v>
      </c>
      <c r="CG197" s="1431" t="str">
        <f t="shared" si="362"/>
        <v>-</v>
      </c>
      <c r="CH197" s="1433" t="str">
        <f t="shared" si="362"/>
        <v>-</v>
      </c>
      <c r="CI197" s="1431" t="str">
        <f t="shared" si="362"/>
        <v>-</v>
      </c>
      <c r="CJ197" s="1431" t="str">
        <f t="shared" si="362"/>
        <v>-</v>
      </c>
      <c r="CK197" s="1431" t="str">
        <f t="shared" si="362"/>
        <v>-</v>
      </c>
      <c r="CL197" s="1431" t="str">
        <f t="shared" si="362"/>
        <v>-</v>
      </c>
      <c r="CM197" s="1433" t="str">
        <f t="shared" si="362"/>
        <v>-</v>
      </c>
      <c r="CN197" s="1431" t="str">
        <f t="shared" si="362"/>
        <v>-</v>
      </c>
      <c r="CO197" s="1431" t="str">
        <f t="shared" si="362"/>
        <v>-</v>
      </c>
      <c r="CP197" s="1431" t="str">
        <f t="shared" si="362"/>
        <v>-</v>
      </c>
      <c r="CQ197" s="1431" t="str">
        <f t="shared" si="362"/>
        <v>-</v>
      </c>
      <c r="CR197" s="1434" t="str">
        <f t="shared" si="362"/>
        <v>-</v>
      </c>
      <c r="CS197" s="1378"/>
      <c r="CT197" s="1428" t="str">
        <f t="shared" si="341"/>
        <v>Rev</v>
      </c>
      <c r="CU197" s="1429" t="str">
        <f t="shared" si="342"/>
        <v>[Service]</v>
      </c>
      <c r="CV197" s="1429" t="str">
        <f t="shared" si="343"/>
        <v>[Price]</v>
      </c>
      <c r="CW197" s="1435" t="str">
        <f t="shared" ref="CW197:CW260" si="363">IFERROR((Y197/$W197)^(1/CW$64)-1,"-")</f>
        <v>-</v>
      </c>
      <c r="CX197" s="1431" t="str">
        <f t="shared" ref="CX197:CX260" si="364">IFERROR((Z197/$W197)^(1/CX$64)-1,"-")</f>
        <v>-</v>
      </c>
      <c r="CY197" s="1431" t="str">
        <f t="shared" ref="CY197:CY260" si="365">IFERROR((AA197/$W197)^(1/CY$64)-1,"-")</f>
        <v>-</v>
      </c>
      <c r="CZ197" s="1433" t="str">
        <f t="shared" ref="CZ197:CZ260" si="366">IFERROR((AB197/$W197)^(1/CZ$64)-1,"-")</f>
        <v>-</v>
      </c>
      <c r="DA197" s="1431" t="str">
        <f t="shared" ref="DA197:DA260" si="367">IFERROR((AC197/$W197)^(1/DA$64)-1,"-")</f>
        <v>-</v>
      </c>
      <c r="DB197" s="1431" t="str">
        <f t="shared" ref="DB197:DB260" si="368">IFERROR((AD197/$W197)^(1/DB$64)-1,"-")</f>
        <v>-</v>
      </c>
      <c r="DC197" s="1431" t="str">
        <f t="shared" ref="DC197:DC260" si="369">IFERROR((AE197/$W197)^(1/DC$64)-1,"-")</f>
        <v>-</v>
      </c>
      <c r="DD197" s="1431" t="str">
        <f t="shared" ref="DD197:DD260" si="370">IFERROR((AF197/$W197)^(1/DD$64)-1,"-")</f>
        <v>-</v>
      </c>
      <c r="DE197" s="1434" t="str">
        <f t="shared" ref="DE197:DE260" si="371">IFERROR((AG197/$W197)^(1/DE$64)-1,"-")</f>
        <v>-</v>
      </c>
      <c r="DF197" s="1378"/>
      <c r="DG197" s="1428" t="str">
        <f t="shared" si="232"/>
        <v>Rev</v>
      </c>
      <c r="DH197" s="1429" t="str">
        <f t="shared" si="232"/>
        <v>[Service]</v>
      </c>
      <c r="DI197" s="1429" t="str">
        <f t="shared" si="232"/>
        <v>[Price]</v>
      </c>
      <c r="DJ197" s="1435" t="str">
        <f t="shared" ref="DJ197:DJ260" si="372">IFERROR((Z197/$X197)^(1/DJ$64)-1,"-")</f>
        <v>-</v>
      </c>
      <c r="DK197" s="1431" t="str">
        <f t="shared" ref="DK197:DK260" si="373">IFERROR((AA197/$X197)^(1/DK$64)-1,"-")</f>
        <v>-</v>
      </c>
      <c r="DL197" s="1431" t="str">
        <f t="shared" ref="DL197:DL260" si="374">IFERROR((AB197/$X197)^(1/DL$64)-1,"-")</f>
        <v>-</v>
      </c>
      <c r="DM197" s="1433" t="str">
        <f t="shared" ref="DM197:DM260" si="375">IFERROR((AC197/$X197)^(1/DM$64)-1,"-")</f>
        <v>-</v>
      </c>
      <c r="DN197" s="1431" t="str">
        <f t="shared" ref="DN197:DN260" si="376">IFERROR((AD197/$X197)^(1/DN$64)-1,"-")</f>
        <v>-</v>
      </c>
      <c r="DO197" s="1431" t="str">
        <f t="shared" ref="DO197:DO260" si="377">IFERROR((AE197/$X197)^(1/DO$64)-1,"-")</f>
        <v>-</v>
      </c>
      <c r="DP197" s="1431" t="str">
        <f t="shared" ref="DP197:DP260" si="378">IFERROR((AF197/$X197)^(1/DP$64)-1,"-")</f>
        <v>-</v>
      </c>
      <c r="DQ197" s="1434" t="str">
        <f t="shared" ref="DQ197:DQ260" si="379">IFERROR((AG197/$X197)^(1/DQ$64)-1,"-")</f>
        <v>-</v>
      </c>
    </row>
    <row r="198" spans="4:121">
      <c r="D198" s="70">
        <f>D195+1</f>
        <v>44</v>
      </c>
      <c r="E198" s="713" t="s">
        <v>44</v>
      </c>
      <c r="F198" s="789" t="s">
        <v>27</v>
      </c>
      <c r="G198" s="789"/>
      <c r="H198" s="789"/>
      <c r="I198" s="781" t="s">
        <v>318</v>
      </c>
      <c r="J198" s="781" t="s">
        <v>345</v>
      </c>
      <c r="K198" s="714"/>
      <c r="L198" s="715"/>
      <c r="M198" s="715"/>
      <c r="N198" s="716"/>
      <c r="O198" s="783"/>
      <c r="P198" s="784"/>
      <c r="Q198" s="783"/>
      <c r="R198" s="783"/>
      <c r="S198" s="783"/>
      <c r="T198" s="783"/>
      <c r="U198" s="783"/>
      <c r="V198" s="783"/>
      <c r="W198" s="783"/>
      <c r="X198" s="784"/>
      <c r="Y198" s="783"/>
      <c r="Z198" s="783"/>
      <c r="AA198" s="783"/>
      <c r="AB198" s="783"/>
      <c r="AC198" s="784"/>
      <c r="AD198" s="783"/>
      <c r="AE198" s="783"/>
      <c r="AF198" s="783"/>
      <c r="AG198" s="785"/>
      <c r="AI198" s="702"/>
      <c r="AJ198" s="717" t="str">
        <f t="shared" ref="AJ198:AS198" si="380">IFERROR((X198-W198)/W198,"")</f>
        <v/>
      </c>
      <c r="AK198" s="718" t="str">
        <f t="shared" si="380"/>
        <v/>
      </c>
      <c r="AL198" s="718" t="str">
        <f t="shared" si="380"/>
        <v/>
      </c>
      <c r="AM198" s="718" t="str">
        <f t="shared" si="380"/>
        <v/>
      </c>
      <c r="AN198" s="718" t="str">
        <f t="shared" si="380"/>
        <v/>
      </c>
      <c r="AO198" s="719" t="str">
        <f t="shared" si="380"/>
        <v/>
      </c>
      <c r="AP198" s="494" t="str">
        <f t="shared" si="380"/>
        <v/>
      </c>
      <c r="AQ198" s="494" t="str">
        <f t="shared" si="380"/>
        <v/>
      </c>
      <c r="AR198" s="494" t="str">
        <f t="shared" si="380"/>
        <v/>
      </c>
      <c r="AS198" s="720" t="str">
        <f t="shared" si="380"/>
        <v/>
      </c>
      <c r="AU198" s="1369"/>
      <c r="AW198" s="1412" t="str">
        <f t="shared" ref="AW198:AX261" si="381">E198</f>
        <v>Price</v>
      </c>
      <c r="AX198" s="1413" t="str">
        <f t="shared" si="381"/>
        <v>[Service]</v>
      </c>
      <c r="AY198" s="1414" t="str">
        <f t="shared" si="345"/>
        <v>[Price]</v>
      </c>
      <c r="AZ198" s="1415" t="str">
        <f t="shared" si="346"/>
        <v>-</v>
      </c>
      <c r="BA198" s="1415" t="str">
        <f t="shared" si="346"/>
        <v>-</v>
      </c>
      <c r="BB198" s="1415" t="str">
        <f t="shared" si="346"/>
        <v>-</v>
      </c>
      <c r="BC198" s="1415" t="str">
        <f t="shared" si="346"/>
        <v>-</v>
      </c>
      <c r="BD198" s="1415" t="str">
        <f t="shared" si="347"/>
        <v>-</v>
      </c>
      <c r="BE198" s="1415" t="str">
        <f t="shared" si="348"/>
        <v>-</v>
      </c>
      <c r="BF198" s="1415" t="str">
        <f t="shared" si="349"/>
        <v>-</v>
      </c>
      <c r="BG198" s="1416" t="str">
        <f t="shared" si="350"/>
        <v>-</v>
      </c>
      <c r="BH198" s="1417" t="str">
        <f t="shared" si="351"/>
        <v>-</v>
      </c>
      <c r="BI198" s="1417" t="str">
        <f t="shared" si="352"/>
        <v>-</v>
      </c>
      <c r="BJ198" s="1417" t="str">
        <f t="shared" si="353"/>
        <v>-</v>
      </c>
      <c r="BK198" s="1417" t="str">
        <f t="shared" si="354"/>
        <v>-</v>
      </c>
      <c r="BL198" s="1418" t="str">
        <f t="shared" si="355"/>
        <v>-</v>
      </c>
      <c r="BM198" s="1417" t="str">
        <f t="shared" si="356"/>
        <v>-</v>
      </c>
      <c r="BN198" s="1417" t="str">
        <f t="shared" si="357"/>
        <v>-</v>
      </c>
      <c r="BO198" s="1417" t="str">
        <f t="shared" si="358"/>
        <v>-</v>
      </c>
      <c r="BP198" s="1417" t="str">
        <f t="shared" si="359"/>
        <v>-</v>
      </c>
      <c r="BQ198" s="1419" t="str">
        <f t="shared" si="360"/>
        <v>-</v>
      </c>
      <c r="BR198" s="1378"/>
      <c r="BS198" s="1420"/>
      <c r="BT198" s="1421"/>
      <c r="BU198" s="1422"/>
      <c r="BV198" s="1423"/>
      <c r="BW198" s="1378"/>
      <c r="BX198" s="1412" t="str">
        <f t="shared" si="361"/>
        <v>Price</v>
      </c>
      <c r="BY198" s="1413" t="str">
        <f t="shared" si="255"/>
        <v>[Service]</v>
      </c>
      <c r="BZ198" s="1414" t="str">
        <f t="shared" si="256"/>
        <v>[Price]</v>
      </c>
      <c r="CA198" s="1424" t="str">
        <f>IFERROR((S198/R198-1)*(R200/R$13),"-")</f>
        <v>-</v>
      </c>
      <c r="CB198" s="1415" t="str">
        <f>IFERROR((T198/S198-1)*(S200/S$13),"-")</f>
        <v>-</v>
      </c>
      <c r="CC198" s="1415" t="str">
        <f>IFERROR((U198/T198-1)*(T200/T$13),"-")</f>
        <v>-</v>
      </c>
      <c r="CD198" s="1415" t="str">
        <f>IFERROR((V198/U198-1)*(U200/U$13),"-")</f>
        <v>-</v>
      </c>
      <c r="CE198" s="1415" t="str">
        <f t="shared" ref="CE198:CR198" si="382">IFERROR((T198/S198-1)*(S200/S$13),"-")</f>
        <v>-</v>
      </c>
      <c r="CF198" s="1415" t="str">
        <f t="shared" si="382"/>
        <v>-</v>
      </c>
      <c r="CG198" s="1415" t="str">
        <f t="shared" si="382"/>
        <v>-</v>
      </c>
      <c r="CH198" s="1425" t="str">
        <f t="shared" si="382"/>
        <v>-</v>
      </c>
      <c r="CI198" s="1417" t="str">
        <f t="shared" si="382"/>
        <v>-</v>
      </c>
      <c r="CJ198" s="1417" t="str">
        <f t="shared" si="382"/>
        <v>-</v>
      </c>
      <c r="CK198" s="1417" t="str">
        <f t="shared" si="382"/>
        <v>-</v>
      </c>
      <c r="CL198" s="1417" t="str">
        <f t="shared" si="382"/>
        <v>-</v>
      </c>
      <c r="CM198" s="1418" t="str">
        <f t="shared" si="382"/>
        <v>-</v>
      </c>
      <c r="CN198" s="1417" t="str">
        <f t="shared" si="382"/>
        <v>-</v>
      </c>
      <c r="CO198" s="1417" t="str">
        <f t="shared" si="382"/>
        <v>-</v>
      </c>
      <c r="CP198" s="1417" t="str">
        <f t="shared" si="382"/>
        <v>-</v>
      </c>
      <c r="CQ198" s="1417" t="str">
        <f t="shared" si="382"/>
        <v>-</v>
      </c>
      <c r="CR198" s="1419" t="str">
        <f t="shared" si="382"/>
        <v>-</v>
      </c>
      <c r="CS198" s="1378"/>
      <c r="CT198" s="1412" t="str">
        <f t="shared" si="341"/>
        <v>Price</v>
      </c>
      <c r="CU198" s="1413" t="str">
        <f t="shared" si="342"/>
        <v>[Service]</v>
      </c>
      <c r="CV198" s="1426" t="str">
        <f t="shared" si="343"/>
        <v>[Price]</v>
      </c>
      <c r="CW198" s="1427" t="str">
        <f t="shared" si="363"/>
        <v>-</v>
      </c>
      <c r="CX198" s="1417" t="str">
        <f t="shared" si="364"/>
        <v>-</v>
      </c>
      <c r="CY198" s="1417" t="str">
        <f t="shared" si="365"/>
        <v>-</v>
      </c>
      <c r="CZ198" s="1418" t="str">
        <f t="shared" si="366"/>
        <v>-</v>
      </c>
      <c r="DA198" s="1417" t="str">
        <f t="shared" si="367"/>
        <v>-</v>
      </c>
      <c r="DB198" s="1417" t="str">
        <f t="shared" si="368"/>
        <v>-</v>
      </c>
      <c r="DC198" s="1417" t="str">
        <f t="shared" si="369"/>
        <v>-</v>
      </c>
      <c r="DD198" s="1417" t="str">
        <f t="shared" si="370"/>
        <v>-</v>
      </c>
      <c r="DE198" s="1419" t="str">
        <f t="shared" si="371"/>
        <v>-</v>
      </c>
      <c r="DF198" s="1378"/>
      <c r="DG198" s="1412" t="str">
        <f t="shared" ref="DG198:DI261" si="383">CT198</f>
        <v>Price</v>
      </c>
      <c r="DH198" s="1413" t="str">
        <f t="shared" si="383"/>
        <v>[Service]</v>
      </c>
      <c r="DI198" s="1426" t="str">
        <f t="shared" si="383"/>
        <v>[Price]</v>
      </c>
      <c r="DJ198" s="1427" t="str">
        <f t="shared" si="372"/>
        <v>-</v>
      </c>
      <c r="DK198" s="1417" t="str">
        <f t="shared" si="373"/>
        <v>-</v>
      </c>
      <c r="DL198" s="1417" t="str">
        <f t="shared" si="374"/>
        <v>-</v>
      </c>
      <c r="DM198" s="1418" t="str">
        <f t="shared" si="375"/>
        <v>-</v>
      </c>
      <c r="DN198" s="1417" t="str">
        <f t="shared" si="376"/>
        <v>-</v>
      </c>
      <c r="DO198" s="1417" t="str">
        <f t="shared" si="377"/>
        <v>-</v>
      </c>
      <c r="DP198" s="1417" t="str">
        <f t="shared" si="378"/>
        <v>-</v>
      </c>
      <c r="DQ198" s="1419" t="str">
        <f t="shared" si="379"/>
        <v>-</v>
      </c>
    </row>
    <row r="199" spans="4:121">
      <c r="E199" s="742" t="s">
        <v>45</v>
      </c>
      <c r="F199" s="722" t="str">
        <f>+F198</f>
        <v>[Service]</v>
      </c>
      <c r="G199" s="723">
        <f>+G198</f>
        <v>0</v>
      </c>
      <c r="H199" s="723">
        <f>+H198</f>
        <v>0</v>
      </c>
      <c r="I199" s="724" t="str">
        <f>+I198</f>
        <v>[Price]</v>
      </c>
      <c r="J199" s="782" t="s">
        <v>322</v>
      </c>
      <c r="K199" s="725"/>
      <c r="L199" s="726"/>
      <c r="M199" s="726"/>
      <c r="N199" s="727"/>
      <c r="O199" s="786"/>
      <c r="P199" s="787"/>
      <c r="Q199" s="786"/>
      <c r="R199" s="786"/>
      <c r="S199" s="786"/>
      <c r="T199" s="786"/>
      <c r="U199" s="786"/>
      <c r="V199" s="786"/>
      <c r="W199" s="786"/>
      <c r="X199" s="787"/>
      <c r="Y199" s="786"/>
      <c r="Z199" s="786"/>
      <c r="AA199" s="786"/>
      <c r="AB199" s="786"/>
      <c r="AC199" s="787"/>
      <c r="AD199" s="786"/>
      <c r="AE199" s="786"/>
      <c r="AF199" s="786"/>
      <c r="AG199" s="788"/>
      <c r="AH199" s="823"/>
      <c r="AI199" s="702"/>
      <c r="AJ199" s="728"/>
      <c r="AK199" s="729"/>
      <c r="AL199" s="729"/>
      <c r="AM199" s="729"/>
      <c r="AN199" s="729"/>
      <c r="AO199" s="730"/>
      <c r="AP199" s="74"/>
      <c r="AQ199" s="74"/>
      <c r="AR199" s="74"/>
      <c r="AS199" s="106"/>
      <c r="AW199" s="1392" t="str">
        <f t="shared" si="381"/>
        <v>Qty</v>
      </c>
      <c r="AX199" s="1393" t="str">
        <f t="shared" si="381"/>
        <v>[Service]</v>
      </c>
      <c r="AY199" s="1394" t="str">
        <f t="shared" si="345"/>
        <v>[Price]</v>
      </c>
      <c r="AZ199" s="1395" t="str">
        <f t="shared" si="346"/>
        <v>-</v>
      </c>
      <c r="BA199" s="1395" t="str">
        <f t="shared" si="346"/>
        <v>-</v>
      </c>
      <c r="BB199" s="1395" t="str">
        <f t="shared" si="346"/>
        <v>-</v>
      </c>
      <c r="BC199" s="1395" t="str">
        <f t="shared" si="346"/>
        <v>-</v>
      </c>
      <c r="BD199" s="1395" t="str">
        <f t="shared" si="347"/>
        <v>-</v>
      </c>
      <c r="BE199" s="1395" t="str">
        <f t="shared" si="348"/>
        <v>-</v>
      </c>
      <c r="BF199" s="1395" t="str">
        <f t="shared" si="349"/>
        <v>-</v>
      </c>
      <c r="BG199" s="1396" t="str">
        <f t="shared" si="350"/>
        <v>-</v>
      </c>
      <c r="BH199" s="1395" t="str">
        <f t="shared" si="351"/>
        <v>-</v>
      </c>
      <c r="BI199" s="1395" t="str">
        <f t="shared" si="352"/>
        <v>-</v>
      </c>
      <c r="BJ199" s="1395" t="str">
        <f t="shared" si="353"/>
        <v>-</v>
      </c>
      <c r="BK199" s="1395" t="str">
        <f t="shared" si="354"/>
        <v>-</v>
      </c>
      <c r="BL199" s="1397" t="str">
        <f t="shared" si="355"/>
        <v>-</v>
      </c>
      <c r="BM199" s="1395" t="str">
        <f t="shared" si="356"/>
        <v>-</v>
      </c>
      <c r="BN199" s="1395" t="str">
        <f t="shared" si="357"/>
        <v>-</v>
      </c>
      <c r="BO199" s="1395" t="str">
        <f t="shared" si="358"/>
        <v>-</v>
      </c>
      <c r="BP199" s="1395" t="str">
        <f t="shared" si="359"/>
        <v>-</v>
      </c>
      <c r="BQ199" s="1398" t="str">
        <f t="shared" si="360"/>
        <v>-</v>
      </c>
      <c r="BR199" s="1378"/>
      <c r="BS199" s="1329"/>
      <c r="BT199" s="1399"/>
      <c r="BU199" s="1331"/>
      <c r="BV199" s="1400"/>
      <c r="BW199" s="1378"/>
      <c r="BX199" s="1392" t="str">
        <f t="shared" si="361"/>
        <v>Qty</v>
      </c>
      <c r="BY199" s="1393" t="str">
        <f t="shared" si="255"/>
        <v>[Service]</v>
      </c>
      <c r="BZ199" s="1394" t="str">
        <f t="shared" si="256"/>
        <v>[Price]</v>
      </c>
      <c r="CA199" s="1401" t="str">
        <f>IFERROR((S199/R199-1)*(R200/R$13),"-")</f>
        <v>-</v>
      </c>
      <c r="CB199" s="1395" t="str">
        <f>IFERROR((T199/S199-1)*(S200/S$13),"-")</f>
        <v>-</v>
      </c>
      <c r="CC199" s="1395" t="str">
        <f>IFERROR((U199/T199-1)*(T200/T$13),"-")</f>
        <v>-</v>
      </c>
      <c r="CD199" s="1395" t="str">
        <f>IFERROR((V199/U199-1)*(U200/U$13),"-")</f>
        <v>-</v>
      </c>
      <c r="CE199" s="1395" t="str">
        <f t="shared" ref="CE199:CR199" si="384">IFERROR((T199/S199-1)*(S200/S$13),"-")</f>
        <v>-</v>
      </c>
      <c r="CF199" s="1395" t="str">
        <f t="shared" si="384"/>
        <v>-</v>
      </c>
      <c r="CG199" s="1395" t="str">
        <f t="shared" si="384"/>
        <v>-</v>
      </c>
      <c r="CH199" s="1397" t="str">
        <f t="shared" si="384"/>
        <v>-</v>
      </c>
      <c r="CI199" s="1395" t="str">
        <f t="shared" si="384"/>
        <v>-</v>
      </c>
      <c r="CJ199" s="1395" t="str">
        <f t="shared" si="384"/>
        <v>-</v>
      </c>
      <c r="CK199" s="1395" t="str">
        <f t="shared" si="384"/>
        <v>-</v>
      </c>
      <c r="CL199" s="1395" t="str">
        <f t="shared" si="384"/>
        <v>-</v>
      </c>
      <c r="CM199" s="1397" t="str">
        <f t="shared" si="384"/>
        <v>-</v>
      </c>
      <c r="CN199" s="1395" t="str">
        <f t="shared" si="384"/>
        <v>-</v>
      </c>
      <c r="CO199" s="1395" t="str">
        <f t="shared" si="384"/>
        <v>-</v>
      </c>
      <c r="CP199" s="1395" t="str">
        <f t="shared" si="384"/>
        <v>-</v>
      </c>
      <c r="CQ199" s="1395" t="str">
        <f t="shared" si="384"/>
        <v>-</v>
      </c>
      <c r="CR199" s="1398" t="str">
        <f t="shared" si="384"/>
        <v>-</v>
      </c>
      <c r="CS199" s="1378"/>
      <c r="CT199" s="1392" t="str">
        <f t="shared" si="341"/>
        <v>Qty</v>
      </c>
      <c r="CU199" s="1393" t="str">
        <f t="shared" si="342"/>
        <v>[Service]</v>
      </c>
      <c r="CV199" s="1393" t="str">
        <f t="shared" si="343"/>
        <v>[Price]</v>
      </c>
      <c r="CW199" s="1401" t="str">
        <f t="shared" si="363"/>
        <v>-</v>
      </c>
      <c r="CX199" s="1395" t="str">
        <f t="shared" si="364"/>
        <v>-</v>
      </c>
      <c r="CY199" s="1395" t="str">
        <f t="shared" si="365"/>
        <v>-</v>
      </c>
      <c r="CZ199" s="1397" t="str">
        <f t="shared" si="366"/>
        <v>-</v>
      </c>
      <c r="DA199" s="1395" t="str">
        <f t="shared" si="367"/>
        <v>-</v>
      </c>
      <c r="DB199" s="1395" t="str">
        <f t="shared" si="368"/>
        <v>-</v>
      </c>
      <c r="DC199" s="1395" t="str">
        <f t="shared" si="369"/>
        <v>-</v>
      </c>
      <c r="DD199" s="1395" t="str">
        <f t="shared" si="370"/>
        <v>-</v>
      </c>
      <c r="DE199" s="1398" t="str">
        <f t="shared" si="371"/>
        <v>-</v>
      </c>
      <c r="DF199" s="1378"/>
      <c r="DG199" s="1392" t="str">
        <f t="shared" si="383"/>
        <v>Qty</v>
      </c>
      <c r="DH199" s="1393" t="str">
        <f t="shared" si="383"/>
        <v>[Service]</v>
      </c>
      <c r="DI199" s="1393" t="str">
        <f t="shared" si="383"/>
        <v>[Price]</v>
      </c>
      <c r="DJ199" s="1401" t="str">
        <f t="shared" si="372"/>
        <v>-</v>
      </c>
      <c r="DK199" s="1395" t="str">
        <f t="shared" si="373"/>
        <v>-</v>
      </c>
      <c r="DL199" s="1395" t="str">
        <f t="shared" si="374"/>
        <v>-</v>
      </c>
      <c r="DM199" s="1397" t="str">
        <f t="shared" si="375"/>
        <v>-</v>
      </c>
      <c r="DN199" s="1395" t="str">
        <f t="shared" si="376"/>
        <v>-</v>
      </c>
      <c r="DO199" s="1395" t="str">
        <f t="shared" si="377"/>
        <v>-</v>
      </c>
      <c r="DP199" s="1395" t="str">
        <f t="shared" si="378"/>
        <v>-</v>
      </c>
      <c r="DQ199" s="1398" t="str">
        <f t="shared" si="379"/>
        <v>-</v>
      </c>
    </row>
    <row r="200" spans="4:121" ht="12.75" thickBot="1">
      <c r="E200" s="743" t="s">
        <v>46</v>
      </c>
      <c r="F200" s="732" t="str">
        <f>+F198</f>
        <v>[Service]</v>
      </c>
      <c r="G200" s="733">
        <f>+G198</f>
        <v>0</v>
      </c>
      <c r="H200" s="733">
        <f>+H198</f>
        <v>0</v>
      </c>
      <c r="I200" s="734" t="str">
        <f>+I198</f>
        <v>[Price]</v>
      </c>
      <c r="J200" s="735" t="s">
        <v>344</v>
      </c>
      <c r="K200" s="736">
        <f t="shared" ref="K200:AG200" si="385">K198*K199/10^6</f>
        <v>0</v>
      </c>
      <c r="L200" s="737">
        <f t="shared" si="385"/>
        <v>0</v>
      </c>
      <c r="M200" s="737">
        <f t="shared" si="385"/>
        <v>0</v>
      </c>
      <c r="N200" s="738">
        <f t="shared" si="385"/>
        <v>0</v>
      </c>
      <c r="O200" s="737">
        <f t="shared" si="385"/>
        <v>0</v>
      </c>
      <c r="P200" s="738">
        <f t="shared" si="385"/>
        <v>0</v>
      </c>
      <c r="Q200" s="737">
        <f t="shared" si="385"/>
        <v>0</v>
      </c>
      <c r="R200" s="737">
        <f t="shared" si="385"/>
        <v>0</v>
      </c>
      <c r="S200" s="737">
        <f t="shared" si="385"/>
        <v>0</v>
      </c>
      <c r="T200" s="737">
        <f t="shared" si="385"/>
        <v>0</v>
      </c>
      <c r="U200" s="737">
        <f t="shared" si="385"/>
        <v>0</v>
      </c>
      <c r="V200" s="737">
        <f t="shared" si="385"/>
        <v>0</v>
      </c>
      <c r="W200" s="737">
        <f t="shared" si="385"/>
        <v>0</v>
      </c>
      <c r="X200" s="738">
        <f t="shared" si="385"/>
        <v>0</v>
      </c>
      <c r="Y200" s="737">
        <f t="shared" si="385"/>
        <v>0</v>
      </c>
      <c r="Z200" s="737">
        <f t="shared" si="385"/>
        <v>0</v>
      </c>
      <c r="AA200" s="737">
        <f t="shared" si="385"/>
        <v>0</v>
      </c>
      <c r="AB200" s="737">
        <f t="shared" si="385"/>
        <v>0</v>
      </c>
      <c r="AC200" s="738">
        <f t="shared" si="385"/>
        <v>0</v>
      </c>
      <c r="AD200" s="737">
        <f t="shared" si="385"/>
        <v>0</v>
      </c>
      <c r="AE200" s="737">
        <f t="shared" si="385"/>
        <v>0</v>
      </c>
      <c r="AF200" s="737">
        <f t="shared" si="385"/>
        <v>0</v>
      </c>
      <c r="AG200" s="739">
        <f t="shared" si="385"/>
        <v>0</v>
      </c>
      <c r="AH200" s="823"/>
      <c r="AI200" s="744"/>
      <c r="AJ200" s="741"/>
      <c r="AK200" s="729"/>
      <c r="AL200" s="729"/>
      <c r="AM200" s="729"/>
      <c r="AN200" s="729"/>
      <c r="AO200" s="730"/>
      <c r="AP200" s="74"/>
      <c r="AQ200" s="74"/>
      <c r="AR200" s="74"/>
      <c r="AS200" s="106"/>
      <c r="AW200" s="1428" t="str">
        <f t="shared" si="381"/>
        <v>Rev</v>
      </c>
      <c r="AX200" s="1429" t="str">
        <f t="shared" si="381"/>
        <v>[Service]</v>
      </c>
      <c r="AY200" s="1430" t="str">
        <f t="shared" si="345"/>
        <v>[Price]</v>
      </c>
      <c r="AZ200" s="1431" t="str">
        <f t="shared" si="346"/>
        <v>-</v>
      </c>
      <c r="BA200" s="1431" t="str">
        <f t="shared" si="346"/>
        <v>-</v>
      </c>
      <c r="BB200" s="1431" t="str">
        <f t="shared" si="346"/>
        <v>-</v>
      </c>
      <c r="BC200" s="1431" t="str">
        <f t="shared" si="346"/>
        <v>-</v>
      </c>
      <c r="BD200" s="1431" t="str">
        <f t="shared" si="347"/>
        <v>-</v>
      </c>
      <c r="BE200" s="1431" t="str">
        <f t="shared" si="348"/>
        <v>-</v>
      </c>
      <c r="BF200" s="1431" t="str">
        <f t="shared" si="349"/>
        <v>-</v>
      </c>
      <c r="BG200" s="1432" t="str">
        <f t="shared" si="350"/>
        <v>-</v>
      </c>
      <c r="BH200" s="1431" t="str">
        <f t="shared" si="351"/>
        <v>-</v>
      </c>
      <c r="BI200" s="1431" t="str">
        <f t="shared" si="352"/>
        <v>-</v>
      </c>
      <c r="BJ200" s="1431" t="str">
        <f t="shared" si="353"/>
        <v>-</v>
      </c>
      <c r="BK200" s="1431" t="str">
        <f t="shared" si="354"/>
        <v>-</v>
      </c>
      <c r="BL200" s="1433" t="str">
        <f t="shared" si="355"/>
        <v>-</v>
      </c>
      <c r="BM200" s="1431" t="str">
        <f t="shared" si="356"/>
        <v>-</v>
      </c>
      <c r="BN200" s="1431" t="str">
        <f t="shared" si="357"/>
        <v>-</v>
      </c>
      <c r="BO200" s="1431" t="str">
        <f t="shared" si="358"/>
        <v>-</v>
      </c>
      <c r="BP200" s="1431" t="str">
        <f t="shared" si="359"/>
        <v>-</v>
      </c>
      <c r="BQ200" s="1434" t="str">
        <f t="shared" si="360"/>
        <v>-</v>
      </c>
      <c r="BR200" s="1378"/>
      <c r="BS200" s="1407"/>
      <c r="BT200" s="1408"/>
      <c r="BU200" s="1409"/>
      <c r="BV200" s="1410"/>
      <c r="BW200" s="1378"/>
      <c r="BX200" s="1428" t="str">
        <f t="shared" si="361"/>
        <v>Rev</v>
      </c>
      <c r="BY200" s="1429" t="str">
        <f t="shared" si="255"/>
        <v>[Service]</v>
      </c>
      <c r="BZ200" s="1430" t="str">
        <f t="shared" si="256"/>
        <v>[Price]</v>
      </c>
      <c r="CA200" s="1435" t="str">
        <f>IFERROR((S200/R200-1)*(R200/R$13),"-")</f>
        <v>-</v>
      </c>
      <c r="CB200" s="1431" t="str">
        <f>IFERROR((T200/S200-1)*(S200/S$13),"-")</f>
        <v>-</v>
      </c>
      <c r="CC200" s="1431" t="str">
        <f>IFERROR((U200/T200-1)*(T200/T$13),"-")</f>
        <v>-</v>
      </c>
      <c r="CD200" s="1431" t="str">
        <f>IFERROR((V200/U200-1)*(U200/U$13),"-")</f>
        <v>-</v>
      </c>
      <c r="CE200" s="1431" t="str">
        <f t="shared" ref="CE200:CR200" si="386">IFERROR((T200/S200-1)*(S200/S$13),"-")</f>
        <v>-</v>
      </c>
      <c r="CF200" s="1431" t="str">
        <f t="shared" si="386"/>
        <v>-</v>
      </c>
      <c r="CG200" s="1431" t="str">
        <f t="shared" si="386"/>
        <v>-</v>
      </c>
      <c r="CH200" s="1433" t="str">
        <f t="shared" si="386"/>
        <v>-</v>
      </c>
      <c r="CI200" s="1431" t="str">
        <f t="shared" si="386"/>
        <v>-</v>
      </c>
      <c r="CJ200" s="1431" t="str">
        <f t="shared" si="386"/>
        <v>-</v>
      </c>
      <c r="CK200" s="1431" t="str">
        <f t="shared" si="386"/>
        <v>-</v>
      </c>
      <c r="CL200" s="1431" t="str">
        <f t="shared" si="386"/>
        <v>-</v>
      </c>
      <c r="CM200" s="1433" t="str">
        <f t="shared" si="386"/>
        <v>-</v>
      </c>
      <c r="CN200" s="1431" t="str">
        <f t="shared" si="386"/>
        <v>-</v>
      </c>
      <c r="CO200" s="1431" t="str">
        <f t="shared" si="386"/>
        <v>-</v>
      </c>
      <c r="CP200" s="1431" t="str">
        <f t="shared" si="386"/>
        <v>-</v>
      </c>
      <c r="CQ200" s="1431" t="str">
        <f t="shared" si="386"/>
        <v>-</v>
      </c>
      <c r="CR200" s="1434" t="str">
        <f t="shared" si="386"/>
        <v>-</v>
      </c>
      <c r="CS200" s="1378"/>
      <c r="CT200" s="1428" t="str">
        <f t="shared" si="341"/>
        <v>Rev</v>
      </c>
      <c r="CU200" s="1429" t="str">
        <f t="shared" si="342"/>
        <v>[Service]</v>
      </c>
      <c r="CV200" s="1429" t="str">
        <f t="shared" si="343"/>
        <v>[Price]</v>
      </c>
      <c r="CW200" s="1435" t="str">
        <f t="shared" si="363"/>
        <v>-</v>
      </c>
      <c r="CX200" s="1431" t="str">
        <f t="shared" si="364"/>
        <v>-</v>
      </c>
      <c r="CY200" s="1431" t="str">
        <f t="shared" si="365"/>
        <v>-</v>
      </c>
      <c r="CZ200" s="1433" t="str">
        <f t="shared" si="366"/>
        <v>-</v>
      </c>
      <c r="DA200" s="1431" t="str">
        <f t="shared" si="367"/>
        <v>-</v>
      </c>
      <c r="DB200" s="1431" t="str">
        <f t="shared" si="368"/>
        <v>-</v>
      </c>
      <c r="DC200" s="1431" t="str">
        <f t="shared" si="369"/>
        <v>-</v>
      </c>
      <c r="DD200" s="1431" t="str">
        <f t="shared" si="370"/>
        <v>-</v>
      </c>
      <c r="DE200" s="1434" t="str">
        <f t="shared" si="371"/>
        <v>-</v>
      </c>
      <c r="DF200" s="1378"/>
      <c r="DG200" s="1428" t="str">
        <f t="shared" si="383"/>
        <v>Rev</v>
      </c>
      <c r="DH200" s="1429" t="str">
        <f t="shared" si="383"/>
        <v>[Service]</v>
      </c>
      <c r="DI200" s="1429" t="str">
        <f t="shared" si="383"/>
        <v>[Price]</v>
      </c>
      <c r="DJ200" s="1435" t="str">
        <f t="shared" si="372"/>
        <v>-</v>
      </c>
      <c r="DK200" s="1431" t="str">
        <f t="shared" si="373"/>
        <v>-</v>
      </c>
      <c r="DL200" s="1431" t="str">
        <f t="shared" si="374"/>
        <v>-</v>
      </c>
      <c r="DM200" s="1433" t="str">
        <f t="shared" si="375"/>
        <v>-</v>
      </c>
      <c r="DN200" s="1431" t="str">
        <f t="shared" si="376"/>
        <v>-</v>
      </c>
      <c r="DO200" s="1431" t="str">
        <f t="shared" si="377"/>
        <v>-</v>
      </c>
      <c r="DP200" s="1431" t="str">
        <f t="shared" si="378"/>
        <v>-</v>
      </c>
      <c r="DQ200" s="1434" t="str">
        <f t="shared" si="379"/>
        <v>-</v>
      </c>
    </row>
    <row r="201" spans="4:121">
      <c r="D201" s="70">
        <f>D198+1</f>
        <v>45</v>
      </c>
      <c r="E201" s="713" t="s">
        <v>44</v>
      </c>
      <c r="F201" s="789" t="s">
        <v>27</v>
      </c>
      <c r="G201" s="789"/>
      <c r="H201" s="789"/>
      <c r="I201" s="781" t="s">
        <v>318</v>
      </c>
      <c r="J201" s="781" t="s">
        <v>345</v>
      </c>
      <c r="K201" s="714"/>
      <c r="L201" s="715"/>
      <c r="M201" s="715"/>
      <c r="N201" s="716"/>
      <c r="O201" s="783"/>
      <c r="P201" s="784"/>
      <c r="Q201" s="783"/>
      <c r="R201" s="783"/>
      <c r="S201" s="783"/>
      <c r="T201" s="783"/>
      <c r="U201" s="783"/>
      <c r="V201" s="783"/>
      <c r="W201" s="783"/>
      <c r="X201" s="784"/>
      <c r="Y201" s="783"/>
      <c r="Z201" s="783"/>
      <c r="AA201" s="783"/>
      <c r="AB201" s="783"/>
      <c r="AC201" s="784"/>
      <c r="AD201" s="783"/>
      <c r="AE201" s="783"/>
      <c r="AF201" s="783"/>
      <c r="AG201" s="785"/>
      <c r="AI201" s="702"/>
      <c r="AJ201" s="717" t="str">
        <f t="shared" ref="AJ201:AS201" si="387">IFERROR((X201-W201)/W201,"")</f>
        <v/>
      </c>
      <c r="AK201" s="718" t="str">
        <f t="shared" si="387"/>
        <v/>
      </c>
      <c r="AL201" s="718" t="str">
        <f t="shared" si="387"/>
        <v/>
      </c>
      <c r="AM201" s="718" t="str">
        <f t="shared" si="387"/>
        <v/>
      </c>
      <c r="AN201" s="718" t="str">
        <f t="shared" si="387"/>
        <v/>
      </c>
      <c r="AO201" s="719" t="str">
        <f t="shared" si="387"/>
        <v/>
      </c>
      <c r="AP201" s="494" t="str">
        <f t="shared" si="387"/>
        <v/>
      </c>
      <c r="AQ201" s="494" t="str">
        <f t="shared" si="387"/>
        <v/>
      </c>
      <c r="AR201" s="494" t="str">
        <f t="shared" si="387"/>
        <v/>
      </c>
      <c r="AS201" s="720" t="str">
        <f t="shared" si="387"/>
        <v/>
      </c>
      <c r="AU201" s="1369"/>
      <c r="AW201" s="1412" t="str">
        <f t="shared" si="381"/>
        <v>Price</v>
      </c>
      <c r="AX201" s="1413" t="str">
        <f t="shared" si="381"/>
        <v>[Service]</v>
      </c>
      <c r="AY201" s="1414" t="str">
        <f t="shared" si="345"/>
        <v>[Price]</v>
      </c>
      <c r="AZ201" s="1415" t="str">
        <f t="shared" si="346"/>
        <v>-</v>
      </c>
      <c r="BA201" s="1415" t="str">
        <f t="shared" si="346"/>
        <v>-</v>
      </c>
      <c r="BB201" s="1415" t="str">
        <f t="shared" si="346"/>
        <v>-</v>
      </c>
      <c r="BC201" s="1415" t="str">
        <f t="shared" si="346"/>
        <v>-</v>
      </c>
      <c r="BD201" s="1415" t="str">
        <f t="shared" si="347"/>
        <v>-</v>
      </c>
      <c r="BE201" s="1415" t="str">
        <f t="shared" si="348"/>
        <v>-</v>
      </c>
      <c r="BF201" s="1415" t="str">
        <f t="shared" si="349"/>
        <v>-</v>
      </c>
      <c r="BG201" s="1416" t="str">
        <f t="shared" si="350"/>
        <v>-</v>
      </c>
      <c r="BH201" s="1417" t="str">
        <f t="shared" si="351"/>
        <v>-</v>
      </c>
      <c r="BI201" s="1417" t="str">
        <f t="shared" si="352"/>
        <v>-</v>
      </c>
      <c r="BJ201" s="1417" t="str">
        <f t="shared" si="353"/>
        <v>-</v>
      </c>
      <c r="BK201" s="1417" t="str">
        <f t="shared" si="354"/>
        <v>-</v>
      </c>
      <c r="BL201" s="1418" t="str">
        <f t="shared" si="355"/>
        <v>-</v>
      </c>
      <c r="BM201" s="1417" t="str">
        <f t="shared" si="356"/>
        <v>-</v>
      </c>
      <c r="BN201" s="1417" t="str">
        <f t="shared" si="357"/>
        <v>-</v>
      </c>
      <c r="BO201" s="1417" t="str">
        <f t="shared" si="358"/>
        <v>-</v>
      </c>
      <c r="BP201" s="1417" t="str">
        <f t="shared" si="359"/>
        <v>-</v>
      </c>
      <c r="BQ201" s="1419" t="str">
        <f t="shared" si="360"/>
        <v>-</v>
      </c>
      <c r="BR201" s="1378"/>
      <c r="BS201" s="1420"/>
      <c r="BT201" s="1421"/>
      <c r="BU201" s="1422"/>
      <c r="BV201" s="1423"/>
      <c r="BW201" s="1378"/>
      <c r="BX201" s="1412" t="str">
        <f t="shared" si="361"/>
        <v>Price</v>
      </c>
      <c r="BY201" s="1413" t="str">
        <f t="shared" si="255"/>
        <v>[Service]</v>
      </c>
      <c r="BZ201" s="1414" t="str">
        <f t="shared" si="256"/>
        <v>[Price]</v>
      </c>
      <c r="CA201" s="1424" t="str">
        <f>IFERROR((S201/R201-1)*(R203/R$13),"-")</f>
        <v>-</v>
      </c>
      <c r="CB201" s="1415" t="str">
        <f>IFERROR((T201/S201-1)*(S203/S$13),"-")</f>
        <v>-</v>
      </c>
      <c r="CC201" s="1415" t="str">
        <f>IFERROR((U201/T201-1)*(T203/T$13),"-")</f>
        <v>-</v>
      </c>
      <c r="CD201" s="1415" t="str">
        <f>IFERROR((V201/U201-1)*(U203/U$13),"-")</f>
        <v>-</v>
      </c>
      <c r="CE201" s="1415" t="str">
        <f t="shared" ref="CE201:CR201" si="388">IFERROR((T201/S201-1)*(S203/S$13),"-")</f>
        <v>-</v>
      </c>
      <c r="CF201" s="1415" t="str">
        <f t="shared" si="388"/>
        <v>-</v>
      </c>
      <c r="CG201" s="1415" t="str">
        <f t="shared" si="388"/>
        <v>-</v>
      </c>
      <c r="CH201" s="1425" t="str">
        <f t="shared" si="388"/>
        <v>-</v>
      </c>
      <c r="CI201" s="1417" t="str">
        <f t="shared" si="388"/>
        <v>-</v>
      </c>
      <c r="CJ201" s="1417" t="str">
        <f t="shared" si="388"/>
        <v>-</v>
      </c>
      <c r="CK201" s="1417" t="str">
        <f t="shared" si="388"/>
        <v>-</v>
      </c>
      <c r="CL201" s="1417" t="str">
        <f t="shared" si="388"/>
        <v>-</v>
      </c>
      <c r="CM201" s="1418" t="str">
        <f t="shared" si="388"/>
        <v>-</v>
      </c>
      <c r="CN201" s="1417" t="str">
        <f t="shared" si="388"/>
        <v>-</v>
      </c>
      <c r="CO201" s="1417" t="str">
        <f t="shared" si="388"/>
        <v>-</v>
      </c>
      <c r="CP201" s="1417" t="str">
        <f t="shared" si="388"/>
        <v>-</v>
      </c>
      <c r="CQ201" s="1417" t="str">
        <f t="shared" si="388"/>
        <v>-</v>
      </c>
      <c r="CR201" s="1419" t="str">
        <f t="shared" si="388"/>
        <v>-</v>
      </c>
      <c r="CS201" s="1378"/>
      <c r="CT201" s="1412" t="str">
        <f t="shared" si="341"/>
        <v>Price</v>
      </c>
      <c r="CU201" s="1413" t="str">
        <f t="shared" si="342"/>
        <v>[Service]</v>
      </c>
      <c r="CV201" s="1426" t="str">
        <f t="shared" si="343"/>
        <v>[Price]</v>
      </c>
      <c r="CW201" s="1427" t="str">
        <f t="shared" si="363"/>
        <v>-</v>
      </c>
      <c r="CX201" s="1417" t="str">
        <f t="shared" si="364"/>
        <v>-</v>
      </c>
      <c r="CY201" s="1417" t="str">
        <f t="shared" si="365"/>
        <v>-</v>
      </c>
      <c r="CZ201" s="1418" t="str">
        <f t="shared" si="366"/>
        <v>-</v>
      </c>
      <c r="DA201" s="1417" t="str">
        <f t="shared" si="367"/>
        <v>-</v>
      </c>
      <c r="DB201" s="1417" t="str">
        <f t="shared" si="368"/>
        <v>-</v>
      </c>
      <c r="DC201" s="1417" t="str">
        <f t="shared" si="369"/>
        <v>-</v>
      </c>
      <c r="DD201" s="1417" t="str">
        <f t="shared" si="370"/>
        <v>-</v>
      </c>
      <c r="DE201" s="1419" t="str">
        <f t="shared" si="371"/>
        <v>-</v>
      </c>
      <c r="DF201" s="1378"/>
      <c r="DG201" s="1412" t="str">
        <f t="shared" si="383"/>
        <v>Price</v>
      </c>
      <c r="DH201" s="1413" t="str">
        <f t="shared" si="383"/>
        <v>[Service]</v>
      </c>
      <c r="DI201" s="1426" t="str">
        <f t="shared" si="383"/>
        <v>[Price]</v>
      </c>
      <c r="DJ201" s="1427" t="str">
        <f t="shared" si="372"/>
        <v>-</v>
      </c>
      <c r="DK201" s="1417" t="str">
        <f t="shared" si="373"/>
        <v>-</v>
      </c>
      <c r="DL201" s="1417" t="str">
        <f t="shared" si="374"/>
        <v>-</v>
      </c>
      <c r="DM201" s="1418" t="str">
        <f t="shared" si="375"/>
        <v>-</v>
      </c>
      <c r="DN201" s="1417" t="str">
        <f t="shared" si="376"/>
        <v>-</v>
      </c>
      <c r="DO201" s="1417" t="str">
        <f t="shared" si="377"/>
        <v>-</v>
      </c>
      <c r="DP201" s="1417" t="str">
        <f t="shared" si="378"/>
        <v>-</v>
      </c>
      <c r="DQ201" s="1419" t="str">
        <f t="shared" si="379"/>
        <v>-</v>
      </c>
    </row>
    <row r="202" spans="4:121">
      <c r="E202" s="742" t="s">
        <v>45</v>
      </c>
      <c r="F202" s="722" t="str">
        <f>+F201</f>
        <v>[Service]</v>
      </c>
      <c r="G202" s="723">
        <f>+G201</f>
        <v>0</v>
      </c>
      <c r="H202" s="723">
        <f>+H201</f>
        <v>0</v>
      </c>
      <c r="I202" s="724" t="str">
        <f>+I201</f>
        <v>[Price]</v>
      </c>
      <c r="J202" s="782" t="s">
        <v>322</v>
      </c>
      <c r="K202" s="725"/>
      <c r="L202" s="726"/>
      <c r="M202" s="726"/>
      <c r="N202" s="727"/>
      <c r="O202" s="786"/>
      <c r="P202" s="787"/>
      <c r="Q202" s="786"/>
      <c r="R202" s="786"/>
      <c r="S202" s="786"/>
      <c r="T202" s="786"/>
      <c r="U202" s="786"/>
      <c r="V202" s="786"/>
      <c r="W202" s="786"/>
      <c r="X202" s="787"/>
      <c r="Y202" s="786"/>
      <c r="Z202" s="786"/>
      <c r="AA202" s="786"/>
      <c r="AB202" s="786"/>
      <c r="AC202" s="787"/>
      <c r="AD202" s="786"/>
      <c r="AE202" s="786"/>
      <c r="AF202" s="786"/>
      <c r="AG202" s="788"/>
      <c r="AH202" s="823"/>
      <c r="AI202" s="702"/>
      <c r="AJ202" s="728"/>
      <c r="AK202" s="729"/>
      <c r="AL202" s="729"/>
      <c r="AM202" s="729"/>
      <c r="AN202" s="729"/>
      <c r="AO202" s="730"/>
      <c r="AP202" s="74"/>
      <c r="AQ202" s="74"/>
      <c r="AR202" s="74"/>
      <c r="AS202" s="106"/>
      <c r="AW202" s="1392" t="str">
        <f t="shared" si="381"/>
        <v>Qty</v>
      </c>
      <c r="AX202" s="1393" t="str">
        <f t="shared" si="381"/>
        <v>[Service]</v>
      </c>
      <c r="AY202" s="1394" t="str">
        <f t="shared" si="345"/>
        <v>[Price]</v>
      </c>
      <c r="AZ202" s="1395" t="str">
        <f t="shared" si="346"/>
        <v>-</v>
      </c>
      <c r="BA202" s="1395" t="str">
        <f t="shared" si="346"/>
        <v>-</v>
      </c>
      <c r="BB202" s="1395" t="str">
        <f t="shared" si="346"/>
        <v>-</v>
      </c>
      <c r="BC202" s="1395" t="str">
        <f t="shared" si="346"/>
        <v>-</v>
      </c>
      <c r="BD202" s="1395" t="str">
        <f t="shared" si="347"/>
        <v>-</v>
      </c>
      <c r="BE202" s="1395" t="str">
        <f t="shared" si="348"/>
        <v>-</v>
      </c>
      <c r="BF202" s="1395" t="str">
        <f t="shared" si="349"/>
        <v>-</v>
      </c>
      <c r="BG202" s="1396" t="str">
        <f t="shared" si="350"/>
        <v>-</v>
      </c>
      <c r="BH202" s="1395" t="str">
        <f t="shared" si="351"/>
        <v>-</v>
      </c>
      <c r="BI202" s="1395" t="str">
        <f t="shared" si="352"/>
        <v>-</v>
      </c>
      <c r="BJ202" s="1395" t="str">
        <f t="shared" si="353"/>
        <v>-</v>
      </c>
      <c r="BK202" s="1395" t="str">
        <f t="shared" si="354"/>
        <v>-</v>
      </c>
      <c r="BL202" s="1397" t="str">
        <f t="shared" si="355"/>
        <v>-</v>
      </c>
      <c r="BM202" s="1395" t="str">
        <f t="shared" si="356"/>
        <v>-</v>
      </c>
      <c r="BN202" s="1395" t="str">
        <f t="shared" si="357"/>
        <v>-</v>
      </c>
      <c r="BO202" s="1395" t="str">
        <f t="shared" si="358"/>
        <v>-</v>
      </c>
      <c r="BP202" s="1395" t="str">
        <f t="shared" si="359"/>
        <v>-</v>
      </c>
      <c r="BQ202" s="1398" t="str">
        <f t="shared" si="360"/>
        <v>-</v>
      </c>
      <c r="BR202" s="1378"/>
      <c r="BS202" s="1329"/>
      <c r="BT202" s="1399"/>
      <c r="BU202" s="1331"/>
      <c r="BV202" s="1400"/>
      <c r="BW202" s="1378"/>
      <c r="BX202" s="1392" t="str">
        <f t="shared" si="361"/>
        <v>Qty</v>
      </c>
      <c r="BY202" s="1393" t="str">
        <f t="shared" si="255"/>
        <v>[Service]</v>
      </c>
      <c r="BZ202" s="1394" t="str">
        <f t="shared" si="256"/>
        <v>[Price]</v>
      </c>
      <c r="CA202" s="1401" t="str">
        <f>IFERROR((S202/R202-1)*(R203/R$13),"-")</f>
        <v>-</v>
      </c>
      <c r="CB202" s="1395" t="str">
        <f>IFERROR((T202/S202-1)*(S203/S$13),"-")</f>
        <v>-</v>
      </c>
      <c r="CC202" s="1395" t="str">
        <f>IFERROR((U202/T202-1)*(T203/T$13),"-")</f>
        <v>-</v>
      </c>
      <c r="CD202" s="1395" t="str">
        <f>IFERROR((V202/U202-1)*(U203/U$13),"-")</f>
        <v>-</v>
      </c>
      <c r="CE202" s="1395" t="str">
        <f t="shared" ref="CE202:CR202" si="389">IFERROR((T202/S202-1)*(S203/S$13),"-")</f>
        <v>-</v>
      </c>
      <c r="CF202" s="1395" t="str">
        <f t="shared" si="389"/>
        <v>-</v>
      </c>
      <c r="CG202" s="1395" t="str">
        <f t="shared" si="389"/>
        <v>-</v>
      </c>
      <c r="CH202" s="1397" t="str">
        <f t="shared" si="389"/>
        <v>-</v>
      </c>
      <c r="CI202" s="1395" t="str">
        <f t="shared" si="389"/>
        <v>-</v>
      </c>
      <c r="CJ202" s="1395" t="str">
        <f t="shared" si="389"/>
        <v>-</v>
      </c>
      <c r="CK202" s="1395" t="str">
        <f t="shared" si="389"/>
        <v>-</v>
      </c>
      <c r="CL202" s="1395" t="str">
        <f t="shared" si="389"/>
        <v>-</v>
      </c>
      <c r="CM202" s="1397" t="str">
        <f t="shared" si="389"/>
        <v>-</v>
      </c>
      <c r="CN202" s="1395" t="str">
        <f t="shared" si="389"/>
        <v>-</v>
      </c>
      <c r="CO202" s="1395" t="str">
        <f t="shared" si="389"/>
        <v>-</v>
      </c>
      <c r="CP202" s="1395" t="str">
        <f t="shared" si="389"/>
        <v>-</v>
      </c>
      <c r="CQ202" s="1395" t="str">
        <f t="shared" si="389"/>
        <v>-</v>
      </c>
      <c r="CR202" s="1398" t="str">
        <f t="shared" si="389"/>
        <v>-</v>
      </c>
      <c r="CS202" s="1378"/>
      <c r="CT202" s="1392" t="str">
        <f t="shared" si="341"/>
        <v>Qty</v>
      </c>
      <c r="CU202" s="1393" t="str">
        <f t="shared" si="342"/>
        <v>[Service]</v>
      </c>
      <c r="CV202" s="1393" t="str">
        <f t="shared" si="343"/>
        <v>[Price]</v>
      </c>
      <c r="CW202" s="1401" t="str">
        <f t="shared" si="363"/>
        <v>-</v>
      </c>
      <c r="CX202" s="1395" t="str">
        <f t="shared" si="364"/>
        <v>-</v>
      </c>
      <c r="CY202" s="1395" t="str">
        <f t="shared" si="365"/>
        <v>-</v>
      </c>
      <c r="CZ202" s="1397" t="str">
        <f t="shared" si="366"/>
        <v>-</v>
      </c>
      <c r="DA202" s="1395" t="str">
        <f t="shared" si="367"/>
        <v>-</v>
      </c>
      <c r="DB202" s="1395" t="str">
        <f t="shared" si="368"/>
        <v>-</v>
      </c>
      <c r="DC202" s="1395" t="str">
        <f t="shared" si="369"/>
        <v>-</v>
      </c>
      <c r="DD202" s="1395" t="str">
        <f t="shared" si="370"/>
        <v>-</v>
      </c>
      <c r="DE202" s="1398" t="str">
        <f t="shared" si="371"/>
        <v>-</v>
      </c>
      <c r="DF202" s="1378"/>
      <c r="DG202" s="1392" t="str">
        <f t="shared" si="383"/>
        <v>Qty</v>
      </c>
      <c r="DH202" s="1393" t="str">
        <f t="shared" si="383"/>
        <v>[Service]</v>
      </c>
      <c r="DI202" s="1393" t="str">
        <f t="shared" si="383"/>
        <v>[Price]</v>
      </c>
      <c r="DJ202" s="1401" t="str">
        <f t="shared" si="372"/>
        <v>-</v>
      </c>
      <c r="DK202" s="1395" t="str">
        <f t="shared" si="373"/>
        <v>-</v>
      </c>
      <c r="DL202" s="1395" t="str">
        <f t="shared" si="374"/>
        <v>-</v>
      </c>
      <c r="DM202" s="1397" t="str">
        <f t="shared" si="375"/>
        <v>-</v>
      </c>
      <c r="DN202" s="1395" t="str">
        <f t="shared" si="376"/>
        <v>-</v>
      </c>
      <c r="DO202" s="1395" t="str">
        <f t="shared" si="377"/>
        <v>-</v>
      </c>
      <c r="DP202" s="1395" t="str">
        <f t="shared" si="378"/>
        <v>-</v>
      </c>
      <c r="DQ202" s="1398" t="str">
        <f t="shared" si="379"/>
        <v>-</v>
      </c>
    </row>
    <row r="203" spans="4:121" ht="12.75" thickBot="1">
      <c r="E203" s="743" t="s">
        <v>46</v>
      </c>
      <c r="F203" s="732" t="str">
        <f>+F201</f>
        <v>[Service]</v>
      </c>
      <c r="G203" s="733">
        <f>+G201</f>
        <v>0</v>
      </c>
      <c r="H203" s="733">
        <f>+H201</f>
        <v>0</v>
      </c>
      <c r="I203" s="734" t="str">
        <f>+I201</f>
        <v>[Price]</v>
      </c>
      <c r="J203" s="735" t="s">
        <v>344</v>
      </c>
      <c r="K203" s="736">
        <f t="shared" ref="K203:AG203" si="390">K201*K202/10^6</f>
        <v>0</v>
      </c>
      <c r="L203" s="737">
        <f t="shared" si="390"/>
        <v>0</v>
      </c>
      <c r="M203" s="737">
        <f t="shared" si="390"/>
        <v>0</v>
      </c>
      <c r="N203" s="738">
        <f t="shared" si="390"/>
        <v>0</v>
      </c>
      <c r="O203" s="737">
        <f t="shared" si="390"/>
        <v>0</v>
      </c>
      <c r="P203" s="738">
        <f t="shared" si="390"/>
        <v>0</v>
      </c>
      <c r="Q203" s="737">
        <f t="shared" si="390"/>
        <v>0</v>
      </c>
      <c r="R203" s="737">
        <f t="shared" si="390"/>
        <v>0</v>
      </c>
      <c r="S203" s="737">
        <f t="shared" si="390"/>
        <v>0</v>
      </c>
      <c r="T203" s="737">
        <f t="shared" si="390"/>
        <v>0</v>
      </c>
      <c r="U203" s="737">
        <f t="shared" si="390"/>
        <v>0</v>
      </c>
      <c r="V203" s="737">
        <f t="shared" si="390"/>
        <v>0</v>
      </c>
      <c r="W203" s="737">
        <f t="shared" si="390"/>
        <v>0</v>
      </c>
      <c r="X203" s="738">
        <f t="shared" si="390"/>
        <v>0</v>
      </c>
      <c r="Y203" s="737">
        <f t="shared" si="390"/>
        <v>0</v>
      </c>
      <c r="Z203" s="737">
        <f t="shared" si="390"/>
        <v>0</v>
      </c>
      <c r="AA203" s="737">
        <f t="shared" si="390"/>
        <v>0</v>
      </c>
      <c r="AB203" s="737">
        <f t="shared" si="390"/>
        <v>0</v>
      </c>
      <c r="AC203" s="738">
        <f t="shared" si="390"/>
        <v>0</v>
      </c>
      <c r="AD203" s="737">
        <f t="shared" si="390"/>
        <v>0</v>
      </c>
      <c r="AE203" s="737">
        <f t="shared" si="390"/>
        <v>0</v>
      </c>
      <c r="AF203" s="737">
        <f t="shared" si="390"/>
        <v>0</v>
      </c>
      <c r="AG203" s="739">
        <f t="shared" si="390"/>
        <v>0</v>
      </c>
      <c r="AH203" s="823"/>
      <c r="AI203" s="744"/>
      <c r="AJ203" s="741"/>
      <c r="AK203" s="729"/>
      <c r="AL203" s="729"/>
      <c r="AM203" s="729"/>
      <c r="AN203" s="729"/>
      <c r="AO203" s="730"/>
      <c r="AP203" s="74"/>
      <c r="AQ203" s="74"/>
      <c r="AR203" s="74"/>
      <c r="AS203" s="106"/>
      <c r="AW203" s="1428" t="str">
        <f t="shared" si="381"/>
        <v>Rev</v>
      </c>
      <c r="AX203" s="1429" t="str">
        <f t="shared" si="381"/>
        <v>[Service]</v>
      </c>
      <c r="AY203" s="1430" t="str">
        <f t="shared" si="345"/>
        <v>[Price]</v>
      </c>
      <c r="AZ203" s="1431" t="str">
        <f t="shared" si="346"/>
        <v>-</v>
      </c>
      <c r="BA203" s="1431" t="str">
        <f t="shared" si="346"/>
        <v>-</v>
      </c>
      <c r="BB203" s="1431" t="str">
        <f t="shared" si="346"/>
        <v>-</v>
      </c>
      <c r="BC203" s="1431" t="str">
        <f t="shared" si="346"/>
        <v>-</v>
      </c>
      <c r="BD203" s="1431" t="str">
        <f t="shared" si="347"/>
        <v>-</v>
      </c>
      <c r="BE203" s="1431" t="str">
        <f t="shared" si="348"/>
        <v>-</v>
      </c>
      <c r="BF203" s="1431" t="str">
        <f t="shared" si="349"/>
        <v>-</v>
      </c>
      <c r="BG203" s="1432" t="str">
        <f t="shared" si="350"/>
        <v>-</v>
      </c>
      <c r="BH203" s="1431" t="str">
        <f t="shared" si="351"/>
        <v>-</v>
      </c>
      <c r="BI203" s="1431" t="str">
        <f t="shared" si="352"/>
        <v>-</v>
      </c>
      <c r="BJ203" s="1431" t="str">
        <f t="shared" si="353"/>
        <v>-</v>
      </c>
      <c r="BK203" s="1431" t="str">
        <f t="shared" si="354"/>
        <v>-</v>
      </c>
      <c r="BL203" s="1433" t="str">
        <f t="shared" si="355"/>
        <v>-</v>
      </c>
      <c r="BM203" s="1431" t="str">
        <f t="shared" si="356"/>
        <v>-</v>
      </c>
      <c r="BN203" s="1431" t="str">
        <f t="shared" si="357"/>
        <v>-</v>
      </c>
      <c r="BO203" s="1431" t="str">
        <f t="shared" si="358"/>
        <v>-</v>
      </c>
      <c r="BP203" s="1431" t="str">
        <f t="shared" si="359"/>
        <v>-</v>
      </c>
      <c r="BQ203" s="1434" t="str">
        <f t="shared" si="360"/>
        <v>-</v>
      </c>
      <c r="BR203" s="1378"/>
      <c r="BS203" s="1407"/>
      <c r="BT203" s="1408"/>
      <c r="BU203" s="1409"/>
      <c r="BV203" s="1410"/>
      <c r="BW203" s="1378"/>
      <c r="BX203" s="1428" t="str">
        <f t="shared" si="361"/>
        <v>Rev</v>
      </c>
      <c r="BY203" s="1429" t="str">
        <f t="shared" si="255"/>
        <v>[Service]</v>
      </c>
      <c r="BZ203" s="1430" t="str">
        <f t="shared" si="256"/>
        <v>[Price]</v>
      </c>
      <c r="CA203" s="1435" t="str">
        <f>IFERROR((S203/R203-1)*(R203/R$13),"-")</f>
        <v>-</v>
      </c>
      <c r="CB203" s="1431" t="str">
        <f>IFERROR((T203/S203-1)*(S203/S$13),"-")</f>
        <v>-</v>
      </c>
      <c r="CC203" s="1431" t="str">
        <f>IFERROR((U203/T203-1)*(T203/T$13),"-")</f>
        <v>-</v>
      </c>
      <c r="CD203" s="1431" t="str">
        <f>IFERROR((V203/U203-1)*(U203/U$13),"-")</f>
        <v>-</v>
      </c>
      <c r="CE203" s="1431" t="str">
        <f t="shared" ref="CE203:CR203" si="391">IFERROR((T203/S203-1)*(S203/S$13),"-")</f>
        <v>-</v>
      </c>
      <c r="CF203" s="1431" t="str">
        <f t="shared" si="391"/>
        <v>-</v>
      </c>
      <c r="CG203" s="1431" t="str">
        <f t="shared" si="391"/>
        <v>-</v>
      </c>
      <c r="CH203" s="1433" t="str">
        <f t="shared" si="391"/>
        <v>-</v>
      </c>
      <c r="CI203" s="1431" t="str">
        <f t="shared" si="391"/>
        <v>-</v>
      </c>
      <c r="CJ203" s="1431" t="str">
        <f t="shared" si="391"/>
        <v>-</v>
      </c>
      <c r="CK203" s="1431" t="str">
        <f t="shared" si="391"/>
        <v>-</v>
      </c>
      <c r="CL203" s="1431" t="str">
        <f t="shared" si="391"/>
        <v>-</v>
      </c>
      <c r="CM203" s="1433" t="str">
        <f t="shared" si="391"/>
        <v>-</v>
      </c>
      <c r="CN203" s="1431" t="str">
        <f t="shared" si="391"/>
        <v>-</v>
      </c>
      <c r="CO203" s="1431" t="str">
        <f t="shared" si="391"/>
        <v>-</v>
      </c>
      <c r="CP203" s="1431" t="str">
        <f t="shared" si="391"/>
        <v>-</v>
      </c>
      <c r="CQ203" s="1431" t="str">
        <f t="shared" si="391"/>
        <v>-</v>
      </c>
      <c r="CR203" s="1434" t="str">
        <f t="shared" si="391"/>
        <v>-</v>
      </c>
      <c r="CS203" s="1378"/>
      <c r="CT203" s="1428" t="str">
        <f t="shared" si="341"/>
        <v>Rev</v>
      </c>
      <c r="CU203" s="1429" t="str">
        <f t="shared" si="342"/>
        <v>[Service]</v>
      </c>
      <c r="CV203" s="1429" t="str">
        <f t="shared" si="343"/>
        <v>[Price]</v>
      </c>
      <c r="CW203" s="1435" t="str">
        <f t="shared" si="363"/>
        <v>-</v>
      </c>
      <c r="CX203" s="1431" t="str">
        <f t="shared" si="364"/>
        <v>-</v>
      </c>
      <c r="CY203" s="1431" t="str">
        <f t="shared" si="365"/>
        <v>-</v>
      </c>
      <c r="CZ203" s="1433" t="str">
        <f t="shared" si="366"/>
        <v>-</v>
      </c>
      <c r="DA203" s="1431" t="str">
        <f t="shared" si="367"/>
        <v>-</v>
      </c>
      <c r="DB203" s="1431" t="str">
        <f t="shared" si="368"/>
        <v>-</v>
      </c>
      <c r="DC203" s="1431" t="str">
        <f t="shared" si="369"/>
        <v>-</v>
      </c>
      <c r="DD203" s="1431" t="str">
        <f t="shared" si="370"/>
        <v>-</v>
      </c>
      <c r="DE203" s="1434" t="str">
        <f t="shared" si="371"/>
        <v>-</v>
      </c>
      <c r="DF203" s="1378"/>
      <c r="DG203" s="1428" t="str">
        <f t="shared" si="383"/>
        <v>Rev</v>
      </c>
      <c r="DH203" s="1429" t="str">
        <f t="shared" si="383"/>
        <v>[Service]</v>
      </c>
      <c r="DI203" s="1429" t="str">
        <f t="shared" si="383"/>
        <v>[Price]</v>
      </c>
      <c r="DJ203" s="1435" t="str">
        <f t="shared" si="372"/>
        <v>-</v>
      </c>
      <c r="DK203" s="1431" t="str">
        <f t="shared" si="373"/>
        <v>-</v>
      </c>
      <c r="DL203" s="1431" t="str">
        <f t="shared" si="374"/>
        <v>-</v>
      </c>
      <c r="DM203" s="1433" t="str">
        <f t="shared" si="375"/>
        <v>-</v>
      </c>
      <c r="DN203" s="1431" t="str">
        <f t="shared" si="376"/>
        <v>-</v>
      </c>
      <c r="DO203" s="1431" t="str">
        <f t="shared" si="377"/>
        <v>-</v>
      </c>
      <c r="DP203" s="1431" t="str">
        <f t="shared" si="378"/>
        <v>-</v>
      </c>
      <c r="DQ203" s="1434" t="str">
        <f t="shared" si="379"/>
        <v>-</v>
      </c>
    </row>
    <row r="204" spans="4:121">
      <c r="D204" s="70">
        <f>D201+1</f>
        <v>46</v>
      </c>
      <c r="E204" s="713" t="s">
        <v>44</v>
      </c>
      <c r="F204" s="789" t="s">
        <v>27</v>
      </c>
      <c r="G204" s="789"/>
      <c r="H204" s="789"/>
      <c r="I204" s="781" t="s">
        <v>318</v>
      </c>
      <c r="J204" s="781" t="s">
        <v>345</v>
      </c>
      <c r="K204" s="714"/>
      <c r="L204" s="715"/>
      <c r="M204" s="715"/>
      <c r="N204" s="716"/>
      <c r="O204" s="783"/>
      <c r="P204" s="784"/>
      <c r="Q204" s="783"/>
      <c r="R204" s="783"/>
      <c r="S204" s="783"/>
      <c r="T204" s="783"/>
      <c r="U204" s="783"/>
      <c r="V204" s="783"/>
      <c r="W204" s="783"/>
      <c r="X204" s="784"/>
      <c r="Y204" s="783"/>
      <c r="Z204" s="783"/>
      <c r="AA204" s="783"/>
      <c r="AB204" s="783"/>
      <c r="AC204" s="784"/>
      <c r="AD204" s="783"/>
      <c r="AE204" s="783"/>
      <c r="AF204" s="783"/>
      <c r="AG204" s="785"/>
      <c r="AI204" s="702"/>
      <c r="AJ204" s="717" t="str">
        <f t="shared" ref="AJ204:AS204" si="392">IFERROR((X204-W204)/W204,"")</f>
        <v/>
      </c>
      <c r="AK204" s="718" t="str">
        <f t="shared" si="392"/>
        <v/>
      </c>
      <c r="AL204" s="718" t="str">
        <f t="shared" si="392"/>
        <v/>
      </c>
      <c r="AM204" s="718" t="str">
        <f t="shared" si="392"/>
        <v/>
      </c>
      <c r="AN204" s="718" t="str">
        <f t="shared" si="392"/>
        <v/>
      </c>
      <c r="AO204" s="719" t="str">
        <f t="shared" si="392"/>
        <v/>
      </c>
      <c r="AP204" s="494" t="str">
        <f t="shared" si="392"/>
        <v/>
      </c>
      <c r="AQ204" s="494" t="str">
        <f t="shared" si="392"/>
        <v/>
      </c>
      <c r="AR204" s="494" t="str">
        <f t="shared" si="392"/>
        <v/>
      </c>
      <c r="AS204" s="720" t="str">
        <f t="shared" si="392"/>
        <v/>
      </c>
      <c r="AU204" s="1369"/>
      <c r="AW204" s="1412" t="str">
        <f t="shared" si="381"/>
        <v>Price</v>
      </c>
      <c r="AX204" s="1413" t="str">
        <f t="shared" si="381"/>
        <v>[Service]</v>
      </c>
      <c r="AY204" s="1414" t="str">
        <f t="shared" si="345"/>
        <v>[Price]</v>
      </c>
      <c r="AZ204" s="1415" t="str">
        <f t="shared" si="346"/>
        <v>-</v>
      </c>
      <c r="BA204" s="1415" t="str">
        <f t="shared" si="346"/>
        <v>-</v>
      </c>
      <c r="BB204" s="1415" t="str">
        <f t="shared" si="346"/>
        <v>-</v>
      </c>
      <c r="BC204" s="1415" t="str">
        <f t="shared" si="346"/>
        <v>-</v>
      </c>
      <c r="BD204" s="1415" t="str">
        <f t="shared" si="347"/>
        <v>-</v>
      </c>
      <c r="BE204" s="1415" t="str">
        <f t="shared" si="348"/>
        <v>-</v>
      </c>
      <c r="BF204" s="1415" t="str">
        <f t="shared" si="349"/>
        <v>-</v>
      </c>
      <c r="BG204" s="1416" t="str">
        <f t="shared" si="350"/>
        <v>-</v>
      </c>
      <c r="BH204" s="1417" t="str">
        <f t="shared" si="351"/>
        <v>-</v>
      </c>
      <c r="BI204" s="1417" t="str">
        <f t="shared" si="352"/>
        <v>-</v>
      </c>
      <c r="BJ204" s="1417" t="str">
        <f t="shared" si="353"/>
        <v>-</v>
      </c>
      <c r="BK204" s="1417" t="str">
        <f t="shared" si="354"/>
        <v>-</v>
      </c>
      <c r="BL204" s="1418" t="str">
        <f t="shared" si="355"/>
        <v>-</v>
      </c>
      <c r="BM204" s="1417" t="str">
        <f t="shared" si="356"/>
        <v>-</v>
      </c>
      <c r="BN204" s="1417" t="str">
        <f t="shared" si="357"/>
        <v>-</v>
      </c>
      <c r="BO204" s="1417" t="str">
        <f t="shared" si="358"/>
        <v>-</v>
      </c>
      <c r="BP204" s="1417" t="str">
        <f t="shared" si="359"/>
        <v>-</v>
      </c>
      <c r="BQ204" s="1419" t="str">
        <f t="shared" si="360"/>
        <v>-</v>
      </c>
      <c r="BR204" s="1378"/>
      <c r="BS204" s="1420"/>
      <c r="BT204" s="1421"/>
      <c r="BU204" s="1422"/>
      <c r="BV204" s="1423"/>
      <c r="BW204" s="1378"/>
      <c r="BX204" s="1412" t="str">
        <f t="shared" si="361"/>
        <v>Price</v>
      </c>
      <c r="BY204" s="1413" t="str">
        <f t="shared" si="255"/>
        <v>[Service]</v>
      </c>
      <c r="BZ204" s="1414" t="str">
        <f t="shared" si="256"/>
        <v>[Price]</v>
      </c>
      <c r="CA204" s="1424" t="str">
        <f>IFERROR((S204/R204-1)*(R206/R$13),"-")</f>
        <v>-</v>
      </c>
      <c r="CB204" s="1415" t="str">
        <f>IFERROR((T204/S204-1)*(S206/S$13),"-")</f>
        <v>-</v>
      </c>
      <c r="CC204" s="1415" t="str">
        <f>IFERROR((U204/T204-1)*(T206/T$13),"-")</f>
        <v>-</v>
      </c>
      <c r="CD204" s="1415" t="str">
        <f>IFERROR((V204/U204-1)*(U206/U$13),"-")</f>
        <v>-</v>
      </c>
      <c r="CE204" s="1415" t="str">
        <f t="shared" ref="CE204:CR204" si="393">IFERROR((T204/S204-1)*(S206/S$13),"-")</f>
        <v>-</v>
      </c>
      <c r="CF204" s="1415" t="str">
        <f t="shared" si="393"/>
        <v>-</v>
      </c>
      <c r="CG204" s="1415" t="str">
        <f t="shared" si="393"/>
        <v>-</v>
      </c>
      <c r="CH204" s="1425" t="str">
        <f t="shared" si="393"/>
        <v>-</v>
      </c>
      <c r="CI204" s="1417" t="str">
        <f t="shared" si="393"/>
        <v>-</v>
      </c>
      <c r="CJ204" s="1417" t="str">
        <f t="shared" si="393"/>
        <v>-</v>
      </c>
      <c r="CK204" s="1417" t="str">
        <f t="shared" si="393"/>
        <v>-</v>
      </c>
      <c r="CL204" s="1417" t="str">
        <f t="shared" si="393"/>
        <v>-</v>
      </c>
      <c r="CM204" s="1418" t="str">
        <f t="shared" si="393"/>
        <v>-</v>
      </c>
      <c r="CN204" s="1417" t="str">
        <f t="shared" si="393"/>
        <v>-</v>
      </c>
      <c r="CO204" s="1417" t="str">
        <f t="shared" si="393"/>
        <v>-</v>
      </c>
      <c r="CP204" s="1417" t="str">
        <f t="shared" si="393"/>
        <v>-</v>
      </c>
      <c r="CQ204" s="1417" t="str">
        <f t="shared" si="393"/>
        <v>-</v>
      </c>
      <c r="CR204" s="1419" t="str">
        <f t="shared" si="393"/>
        <v>-</v>
      </c>
      <c r="CS204" s="1378"/>
      <c r="CT204" s="1412" t="str">
        <f t="shared" si="341"/>
        <v>Price</v>
      </c>
      <c r="CU204" s="1413" t="str">
        <f t="shared" si="342"/>
        <v>[Service]</v>
      </c>
      <c r="CV204" s="1426" t="str">
        <f t="shared" si="343"/>
        <v>[Price]</v>
      </c>
      <c r="CW204" s="1427" t="str">
        <f t="shared" si="363"/>
        <v>-</v>
      </c>
      <c r="CX204" s="1417" t="str">
        <f t="shared" si="364"/>
        <v>-</v>
      </c>
      <c r="CY204" s="1417" t="str">
        <f t="shared" si="365"/>
        <v>-</v>
      </c>
      <c r="CZ204" s="1418" t="str">
        <f t="shared" si="366"/>
        <v>-</v>
      </c>
      <c r="DA204" s="1417" t="str">
        <f t="shared" si="367"/>
        <v>-</v>
      </c>
      <c r="DB204" s="1417" t="str">
        <f t="shared" si="368"/>
        <v>-</v>
      </c>
      <c r="DC204" s="1417" t="str">
        <f t="shared" si="369"/>
        <v>-</v>
      </c>
      <c r="DD204" s="1417" t="str">
        <f t="shared" si="370"/>
        <v>-</v>
      </c>
      <c r="DE204" s="1419" t="str">
        <f t="shared" si="371"/>
        <v>-</v>
      </c>
      <c r="DF204" s="1378"/>
      <c r="DG204" s="1412" t="str">
        <f t="shared" si="383"/>
        <v>Price</v>
      </c>
      <c r="DH204" s="1413" t="str">
        <f t="shared" si="383"/>
        <v>[Service]</v>
      </c>
      <c r="DI204" s="1426" t="str">
        <f t="shared" si="383"/>
        <v>[Price]</v>
      </c>
      <c r="DJ204" s="1427" t="str">
        <f t="shared" si="372"/>
        <v>-</v>
      </c>
      <c r="DK204" s="1417" t="str">
        <f t="shared" si="373"/>
        <v>-</v>
      </c>
      <c r="DL204" s="1417" t="str">
        <f t="shared" si="374"/>
        <v>-</v>
      </c>
      <c r="DM204" s="1418" t="str">
        <f t="shared" si="375"/>
        <v>-</v>
      </c>
      <c r="DN204" s="1417" t="str">
        <f t="shared" si="376"/>
        <v>-</v>
      </c>
      <c r="DO204" s="1417" t="str">
        <f t="shared" si="377"/>
        <v>-</v>
      </c>
      <c r="DP204" s="1417" t="str">
        <f t="shared" si="378"/>
        <v>-</v>
      </c>
      <c r="DQ204" s="1419" t="str">
        <f t="shared" si="379"/>
        <v>-</v>
      </c>
    </row>
    <row r="205" spans="4:121">
      <c r="E205" s="742" t="s">
        <v>45</v>
      </c>
      <c r="F205" s="722" t="str">
        <f>+F204</f>
        <v>[Service]</v>
      </c>
      <c r="G205" s="723">
        <f>+G204</f>
        <v>0</v>
      </c>
      <c r="H205" s="723">
        <f>+H204</f>
        <v>0</v>
      </c>
      <c r="I205" s="724" t="str">
        <f>+I204</f>
        <v>[Price]</v>
      </c>
      <c r="J205" s="782" t="s">
        <v>322</v>
      </c>
      <c r="K205" s="725"/>
      <c r="L205" s="726"/>
      <c r="M205" s="726"/>
      <c r="N205" s="727"/>
      <c r="O205" s="786"/>
      <c r="P205" s="787"/>
      <c r="Q205" s="786"/>
      <c r="R205" s="786"/>
      <c r="S205" s="786"/>
      <c r="T205" s="786"/>
      <c r="U205" s="786"/>
      <c r="V205" s="786"/>
      <c r="W205" s="786"/>
      <c r="X205" s="787"/>
      <c r="Y205" s="786"/>
      <c r="Z205" s="786"/>
      <c r="AA205" s="786"/>
      <c r="AB205" s="786"/>
      <c r="AC205" s="787"/>
      <c r="AD205" s="786"/>
      <c r="AE205" s="786"/>
      <c r="AF205" s="786"/>
      <c r="AG205" s="788"/>
      <c r="AH205" s="823"/>
      <c r="AI205" s="702"/>
      <c r="AJ205" s="728"/>
      <c r="AK205" s="729"/>
      <c r="AL205" s="729"/>
      <c r="AM205" s="729"/>
      <c r="AN205" s="729"/>
      <c r="AO205" s="730"/>
      <c r="AP205" s="74"/>
      <c r="AQ205" s="74"/>
      <c r="AR205" s="74"/>
      <c r="AS205" s="106"/>
      <c r="AW205" s="1392" t="str">
        <f t="shared" si="381"/>
        <v>Qty</v>
      </c>
      <c r="AX205" s="1393" t="str">
        <f t="shared" si="381"/>
        <v>[Service]</v>
      </c>
      <c r="AY205" s="1394" t="str">
        <f t="shared" si="345"/>
        <v>[Price]</v>
      </c>
      <c r="AZ205" s="1395" t="str">
        <f t="shared" si="346"/>
        <v>-</v>
      </c>
      <c r="BA205" s="1395" t="str">
        <f t="shared" si="346"/>
        <v>-</v>
      </c>
      <c r="BB205" s="1395" t="str">
        <f t="shared" si="346"/>
        <v>-</v>
      </c>
      <c r="BC205" s="1395" t="str">
        <f t="shared" si="346"/>
        <v>-</v>
      </c>
      <c r="BD205" s="1395" t="str">
        <f t="shared" si="347"/>
        <v>-</v>
      </c>
      <c r="BE205" s="1395" t="str">
        <f t="shared" si="348"/>
        <v>-</v>
      </c>
      <c r="BF205" s="1395" t="str">
        <f t="shared" si="349"/>
        <v>-</v>
      </c>
      <c r="BG205" s="1396" t="str">
        <f t="shared" si="350"/>
        <v>-</v>
      </c>
      <c r="BH205" s="1395" t="str">
        <f t="shared" si="351"/>
        <v>-</v>
      </c>
      <c r="BI205" s="1395" t="str">
        <f t="shared" si="352"/>
        <v>-</v>
      </c>
      <c r="BJ205" s="1395" t="str">
        <f t="shared" si="353"/>
        <v>-</v>
      </c>
      <c r="BK205" s="1395" t="str">
        <f t="shared" si="354"/>
        <v>-</v>
      </c>
      <c r="BL205" s="1397" t="str">
        <f t="shared" si="355"/>
        <v>-</v>
      </c>
      <c r="BM205" s="1395" t="str">
        <f t="shared" si="356"/>
        <v>-</v>
      </c>
      <c r="BN205" s="1395" t="str">
        <f t="shared" si="357"/>
        <v>-</v>
      </c>
      <c r="BO205" s="1395" t="str">
        <f t="shared" si="358"/>
        <v>-</v>
      </c>
      <c r="BP205" s="1395" t="str">
        <f t="shared" si="359"/>
        <v>-</v>
      </c>
      <c r="BQ205" s="1398" t="str">
        <f t="shared" si="360"/>
        <v>-</v>
      </c>
      <c r="BR205" s="1378"/>
      <c r="BS205" s="1329"/>
      <c r="BT205" s="1399"/>
      <c r="BU205" s="1331"/>
      <c r="BV205" s="1400"/>
      <c r="BW205" s="1378"/>
      <c r="BX205" s="1392" t="str">
        <f t="shared" si="361"/>
        <v>Qty</v>
      </c>
      <c r="BY205" s="1393" t="str">
        <f t="shared" si="255"/>
        <v>[Service]</v>
      </c>
      <c r="BZ205" s="1394" t="str">
        <f t="shared" si="256"/>
        <v>[Price]</v>
      </c>
      <c r="CA205" s="1401" t="str">
        <f>IFERROR((S205/R205-1)*(R206/R$13),"-")</f>
        <v>-</v>
      </c>
      <c r="CB205" s="1395" t="str">
        <f>IFERROR((T205/S205-1)*(S206/S$13),"-")</f>
        <v>-</v>
      </c>
      <c r="CC205" s="1395" t="str">
        <f>IFERROR((U205/T205-1)*(T206/T$13),"-")</f>
        <v>-</v>
      </c>
      <c r="CD205" s="1395" t="str">
        <f>IFERROR((V205/U205-1)*(U206/U$13),"-")</f>
        <v>-</v>
      </c>
      <c r="CE205" s="1395" t="str">
        <f t="shared" ref="CE205:CR205" si="394">IFERROR((T205/S205-1)*(S206/S$13),"-")</f>
        <v>-</v>
      </c>
      <c r="CF205" s="1395" t="str">
        <f t="shared" si="394"/>
        <v>-</v>
      </c>
      <c r="CG205" s="1395" t="str">
        <f t="shared" si="394"/>
        <v>-</v>
      </c>
      <c r="CH205" s="1397" t="str">
        <f t="shared" si="394"/>
        <v>-</v>
      </c>
      <c r="CI205" s="1395" t="str">
        <f t="shared" si="394"/>
        <v>-</v>
      </c>
      <c r="CJ205" s="1395" t="str">
        <f t="shared" si="394"/>
        <v>-</v>
      </c>
      <c r="CK205" s="1395" t="str">
        <f t="shared" si="394"/>
        <v>-</v>
      </c>
      <c r="CL205" s="1395" t="str">
        <f t="shared" si="394"/>
        <v>-</v>
      </c>
      <c r="CM205" s="1397" t="str">
        <f t="shared" si="394"/>
        <v>-</v>
      </c>
      <c r="CN205" s="1395" t="str">
        <f t="shared" si="394"/>
        <v>-</v>
      </c>
      <c r="CO205" s="1395" t="str">
        <f t="shared" si="394"/>
        <v>-</v>
      </c>
      <c r="CP205" s="1395" t="str">
        <f t="shared" si="394"/>
        <v>-</v>
      </c>
      <c r="CQ205" s="1395" t="str">
        <f t="shared" si="394"/>
        <v>-</v>
      </c>
      <c r="CR205" s="1398" t="str">
        <f t="shared" si="394"/>
        <v>-</v>
      </c>
      <c r="CS205" s="1378"/>
      <c r="CT205" s="1392" t="str">
        <f t="shared" si="341"/>
        <v>Qty</v>
      </c>
      <c r="CU205" s="1393" t="str">
        <f t="shared" si="342"/>
        <v>[Service]</v>
      </c>
      <c r="CV205" s="1393" t="str">
        <f t="shared" si="343"/>
        <v>[Price]</v>
      </c>
      <c r="CW205" s="1401" t="str">
        <f t="shared" si="363"/>
        <v>-</v>
      </c>
      <c r="CX205" s="1395" t="str">
        <f t="shared" si="364"/>
        <v>-</v>
      </c>
      <c r="CY205" s="1395" t="str">
        <f t="shared" si="365"/>
        <v>-</v>
      </c>
      <c r="CZ205" s="1397" t="str">
        <f t="shared" si="366"/>
        <v>-</v>
      </c>
      <c r="DA205" s="1395" t="str">
        <f t="shared" si="367"/>
        <v>-</v>
      </c>
      <c r="DB205" s="1395" t="str">
        <f t="shared" si="368"/>
        <v>-</v>
      </c>
      <c r="DC205" s="1395" t="str">
        <f t="shared" si="369"/>
        <v>-</v>
      </c>
      <c r="DD205" s="1395" t="str">
        <f t="shared" si="370"/>
        <v>-</v>
      </c>
      <c r="DE205" s="1398" t="str">
        <f t="shared" si="371"/>
        <v>-</v>
      </c>
      <c r="DF205" s="1378"/>
      <c r="DG205" s="1392" t="str">
        <f t="shared" si="383"/>
        <v>Qty</v>
      </c>
      <c r="DH205" s="1393" t="str">
        <f t="shared" si="383"/>
        <v>[Service]</v>
      </c>
      <c r="DI205" s="1393" t="str">
        <f t="shared" si="383"/>
        <v>[Price]</v>
      </c>
      <c r="DJ205" s="1401" t="str">
        <f t="shared" si="372"/>
        <v>-</v>
      </c>
      <c r="DK205" s="1395" t="str">
        <f t="shared" si="373"/>
        <v>-</v>
      </c>
      <c r="DL205" s="1395" t="str">
        <f t="shared" si="374"/>
        <v>-</v>
      </c>
      <c r="DM205" s="1397" t="str">
        <f t="shared" si="375"/>
        <v>-</v>
      </c>
      <c r="DN205" s="1395" t="str">
        <f t="shared" si="376"/>
        <v>-</v>
      </c>
      <c r="DO205" s="1395" t="str">
        <f t="shared" si="377"/>
        <v>-</v>
      </c>
      <c r="DP205" s="1395" t="str">
        <f t="shared" si="378"/>
        <v>-</v>
      </c>
      <c r="DQ205" s="1398" t="str">
        <f t="shared" si="379"/>
        <v>-</v>
      </c>
    </row>
    <row r="206" spans="4:121" ht="12.75" thickBot="1">
      <c r="E206" s="743" t="s">
        <v>46</v>
      </c>
      <c r="F206" s="732" t="str">
        <f>+F204</f>
        <v>[Service]</v>
      </c>
      <c r="G206" s="733">
        <f>+G204</f>
        <v>0</v>
      </c>
      <c r="H206" s="733">
        <f>+H204</f>
        <v>0</v>
      </c>
      <c r="I206" s="734" t="str">
        <f>+I204</f>
        <v>[Price]</v>
      </c>
      <c r="J206" s="735" t="s">
        <v>344</v>
      </c>
      <c r="K206" s="736">
        <f t="shared" ref="K206:AG206" si="395">K204*K205/10^6</f>
        <v>0</v>
      </c>
      <c r="L206" s="737">
        <f t="shared" si="395"/>
        <v>0</v>
      </c>
      <c r="M206" s="737">
        <f t="shared" si="395"/>
        <v>0</v>
      </c>
      <c r="N206" s="738">
        <f t="shared" si="395"/>
        <v>0</v>
      </c>
      <c r="O206" s="737">
        <f t="shared" si="395"/>
        <v>0</v>
      </c>
      <c r="P206" s="738">
        <f t="shared" si="395"/>
        <v>0</v>
      </c>
      <c r="Q206" s="737">
        <f t="shared" si="395"/>
        <v>0</v>
      </c>
      <c r="R206" s="737">
        <f t="shared" si="395"/>
        <v>0</v>
      </c>
      <c r="S206" s="737">
        <f t="shared" si="395"/>
        <v>0</v>
      </c>
      <c r="T206" s="737">
        <f t="shared" si="395"/>
        <v>0</v>
      </c>
      <c r="U206" s="737">
        <f t="shared" si="395"/>
        <v>0</v>
      </c>
      <c r="V206" s="737">
        <f t="shared" si="395"/>
        <v>0</v>
      </c>
      <c r="W206" s="737">
        <f t="shared" si="395"/>
        <v>0</v>
      </c>
      <c r="X206" s="738">
        <f t="shared" si="395"/>
        <v>0</v>
      </c>
      <c r="Y206" s="737">
        <f t="shared" si="395"/>
        <v>0</v>
      </c>
      <c r="Z206" s="737">
        <f t="shared" si="395"/>
        <v>0</v>
      </c>
      <c r="AA206" s="737">
        <f t="shared" si="395"/>
        <v>0</v>
      </c>
      <c r="AB206" s="737">
        <f t="shared" si="395"/>
        <v>0</v>
      </c>
      <c r="AC206" s="738">
        <f t="shared" si="395"/>
        <v>0</v>
      </c>
      <c r="AD206" s="737">
        <f t="shared" si="395"/>
        <v>0</v>
      </c>
      <c r="AE206" s="737">
        <f t="shared" si="395"/>
        <v>0</v>
      </c>
      <c r="AF206" s="737">
        <f t="shared" si="395"/>
        <v>0</v>
      </c>
      <c r="AG206" s="739">
        <f t="shared" si="395"/>
        <v>0</v>
      </c>
      <c r="AH206" s="823"/>
      <c r="AI206" s="744"/>
      <c r="AJ206" s="741"/>
      <c r="AK206" s="729"/>
      <c r="AL206" s="729"/>
      <c r="AM206" s="729"/>
      <c r="AN206" s="729"/>
      <c r="AO206" s="730"/>
      <c r="AP206" s="74"/>
      <c r="AQ206" s="74"/>
      <c r="AR206" s="74"/>
      <c r="AS206" s="106"/>
      <c r="AW206" s="1428" t="str">
        <f t="shared" si="381"/>
        <v>Rev</v>
      </c>
      <c r="AX206" s="1429" t="str">
        <f t="shared" si="381"/>
        <v>[Service]</v>
      </c>
      <c r="AY206" s="1430" t="str">
        <f t="shared" si="345"/>
        <v>[Price]</v>
      </c>
      <c r="AZ206" s="1431" t="str">
        <f t="shared" si="346"/>
        <v>-</v>
      </c>
      <c r="BA206" s="1431" t="str">
        <f t="shared" si="346"/>
        <v>-</v>
      </c>
      <c r="BB206" s="1431" t="str">
        <f t="shared" si="346"/>
        <v>-</v>
      </c>
      <c r="BC206" s="1431" t="str">
        <f t="shared" si="346"/>
        <v>-</v>
      </c>
      <c r="BD206" s="1431" t="str">
        <f t="shared" si="347"/>
        <v>-</v>
      </c>
      <c r="BE206" s="1431" t="str">
        <f t="shared" si="348"/>
        <v>-</v>
      </c>
      <c r="BF206" s="1431" t="str">
        <f t="shared" si="349"/>
        <v>-</v>
      </c>
      <c r="BG206" s="1432" t="str">
        <f t="shared" si="350"/>
        <v>-</v>
      </c>
      <c r="BH206" s="1431" t="str">
        <f t="shared" si="351"/>
        <v>-</v>
      </c>
      <c r="BI206" s="1431" t="str">
        <f t="shared" si="352"/>
        <v>-</v>
      </c>
      <c r="BJ206" s="1431" t="str">
        <f t="shared" si="353"/>
        <v>-</v>
      </c>
      <c r="BK206" s="1431" t="str">
        <f t="shared" si="354"/>
        <v>-</v>
      </c>
      <c r="BL206" s="1433" t="str">
        <f t="shared" si="355"/>
        <v>-</v>
      </c>
      <c r="BM206" s="1431" t="str">
        <f t="shared" si="356"/>
        <v>-</v>
      </c>
      <c r="BN206" s="1431" t="str">
        <f t="shared" si="357"/>
        <v>-</v>
      </c>
      <c r="BO206" s="1431" t="str">
        <f t="shared" si="358"/>
        <v>-</v>
      </c>
      <c r="BP206" s="1431" t="str">
        <f t="shared" si="359"/>
        <v>-</v>
      </c>
      <c r="BQ206" s="1434" t="str">
        <f t="shared" si="360"/>
        <v>-</v>
      </c>
      <c r="BR206" s="1378"/>
      <c r="BS206" s="1407"/>
      <c r="BT206" s="1408"/>
      <c r="BU206" s="1409"/>
      <c r="BV206" s="1410"/>
      <c r="BW206" s="1378"/>
      <c r="BX206" s="1428" t="str">
        <f t="shared" si="361"/>
        <v>Rev</v>
      </c>
      <c r="BY206" s="1429" t="str">
        <f t="shared" si="255"/>
        <v>[Service]</v>
      </c>
      <c r="BZ206" s="1430" t="str">
        <f t="shared" si="256"/>
        <v>[Price]</v>
      </c>
      <c r="CA206" s="1435" t="str">
        <f>IFERROR((S206/R206-1)*(R206/R$13),"-")</f>
        <v>-</v>
      </c>
      <c r="CB206" s="1431" t="str">
        <f>IFERROR((T206/S206-1)*(S206/S$13),"-")</f>
        <v>-</v>
      </c>
      <c r="CC206" s="1431" t="str">
        <f>IFERROR((U206/T206-1)*(T206/T$13),"-")</f>
        <v>-</v>
      </c>
      <c r="CD206" s="1431" t="str">
        <f>IFERROR((V206/U206-1)*(U206/U$13),"-")</f>
        <v>-</v>
      </c>
      <c r="CE206" s="1431" t="str">
        <f t="shared" ref="CE206:CR206" si="396">IFERROR((T206/S206-1)*(S206/S$13),"-")</f>
        <v>-</v>
      </c>
      <c r="CF206" s="1431" t="str">
        <f t="shared" si="396"/>
        <v>-</v>
      </c>
      <c r="CG206" s="1431" t="str">
        <f t="shared" si="396"/>
        <v>-</v>
      </c>
      <c r="CH206" s="1433" t="str">
        <f t="shared" si="396"/>
        <v>-</v>
      </c>
      <c r="CI206" s="1431" t="str">
        <f t="shared" si="396"/>
        <v>-</v>
      </c>
      <c r="CJ206" s="1431" t="str">
        <f t="shared" si="396"/>
        <v>-</v>
      </c>
      <c r="CK206" s="1431" t="str">
        <f t="shared" si="396"/>
        <v>-</v>
      </c>
      <c r="CL206" s="1431" t="str">
        <f t="shared" si="396"/>
        <v>-</v>
      </c>
      <c r="CM206" s="1433" t="str">
        <f t="shared" si="396"/>
        <v>-</v>
      </c>
      <c r="CN206" s="1431" t="str">
        <f t="shared" si="396"/>
        <v>-</v>
      </c>
      <c r="CO206" s="1431" t="str">
        <f t="shared" si="396"/>
        <v>-</v>
      </c>
      <c r="CP206" s="1431" t="str">
        <f t="shared" si="396"/>
        <v>-</v>
      </c>
      <c r="CQ206" s="1431" t="str">
        <f t="shared" si="396"/>
        <v>-</v>
      </c>
      <c r="CR206" s="1434" t="str">
        <f t="shared" si="396"/>
        <v>-</v>
      </c>
      <c r="CS206" s="1378"/>
      <c r="CT206" s="1428" t="str">
        <f t="shared" si="341"/>
        <v>Rev</v>
      </c>
      <c r="CU206" s="1429" t="str">
        <f t="shared" si="342"/>
        <v>[Service]</v>
      </c>
      <c r="CV206" s="1429" t="str">
        <f t="shared" si="343"/>
        <v>[Price]</v>
      </c>
      <c r="CW206" s="1435" t="str">
        <f t="shared" si="363"/>
        <v>-</v>
      </c>
      <c r="CX206" s="1431" t="str">
        <f t="shared" si="364"/>
        <v>-</v>
      </c>
      <c r="CY206" s="1431" t="str">
        <f t="shared" si="365"/>
        <v>-</v>
      </c>
      <c r="CZ206" s="1433" t="str">
        <f t="shared" si="366"/>
        <v>-</v>
      </c>
      <c r="DA206" s="1431" t="str">
        <f t="shared" si="367"/>
        <v>-</v>
      </c>
      <c r="DB206" s="1431" t="str">
        <f t="shared" si="368"/>
        <v>-</v>
      </c>
      <c r="DC206" s="1431" t="str">
        <f t="shared" si="369"/>
        <v>-</v>
      </c>
      <c r="DD206" s="1431" t="str">
        <f t="shared" si="370"/>
        <v>-</v>
      </c>
      <c r="DE206" s="1434" t="str">
        <f t="shared" si="371"/>
        <v>-</v>
      </c>
      <c r="DF206" s="1378"/>
      <c r="DG206" s="1428" t="str">
        <f t="shared" si="383"/>
        <v>Rev</v>
      </c>
      <c r="DH206" s="1429" t="str">
        <f t="shared" si="383"/>
        <v>[Service]</v>
      </c>
      <c r="DI206" s="1429" t="str">
        <f t="shared" si="383"/>
        <v>[Price]</v>
      </c>
      <c r="DJ206" s="1435" t="str">
        <f t="shared" si="372"/>
        <v>-</v>
      </c>
      <c r="DK206" s="1431" t="str">
        <f t="shared" si="373"/>
        <v>-</v>
      </c>
      <c r="DL206" s="1431" t="str">
        <f t="shared" si="374"/>
        <v>-</v>
      </c>
      <c r="DM206" s="1433" t="str">
        <f t="shared" si="375"/>
        <v>-</v>
      </c>
      <c r="DN206" s="1431" t="str">
        <f t="shared" si="376"/>
        <v>-</v>
      </c>
      <c r="DO206" s="1431" t="str">
        <f t="shared" si="377"/>
        <v>-</v>
      </c>
      <c r="DP206" s="1431" t="str">
        <f t="shared" si="378"/>
        <v>-</v>
      </c>
      <c r="DQ206" s="1434" t="str">
        <f t="shared" si="379"/>
        <v>-</v>
      </c>
    </row>
    <row r="207" spans="4:121">
      <c r="D207" s="70">
        <f>D204+1</f>
        <v>47</v>
      </c>
      <c r="E207" s="713" t="s">
        <v>44</v>
      </c>
      <c r="F207" s="789" t="s">
        <v>27</v>
      </c>
      <c r="G207" s="789"/>
      <c r="H207" s="789"/>
      <c r="I207" s="781" t="s">
        <v>318</v>
      </c>
      <c r="J207" s="781" t="s">
        <v>345</v>
      </c>
      <c r="K207" s="714"/>
      <c r="L207" s="715"/>
      <c r="M207" s="715"/>
      <c r="N207" s="716"/>
      <c r="O207" s="783"/>
      <c r="P207" s="784"/>
      <c r="Q207" s="783"/>
      <c r="R207" s="783"/>
      <c r="S207" s="783"/>
      <c r="T207" s="783"/>
      <c r="U207" s="783"/>
      <c r="V207" s="783"/>
      <c r="W207" s="783"/>
      <c r="X207" s="784"/>
      <c r="Y207" s="783"/>
      <c r="Z207" s="783"/>
      <c r="AA207" s="783"/>
      <c r="AB207" s="783"/>
      <c r="AC207" s="784"/>
      <c r="AD207" s="783"/>
      <c r="AE207" s="783"/>
      <c r="AF207" s="783"/>
      <c r="AG207" s="785"/>
      <c r="AI207" s="702"/>
      <c r="AJ207" s="717" t="str">
        <f t="shared" ref="AJ207:AS207" si="397">IFERROR((X207-W207)/W207,"")</f>
        <v/>
      </c>
      <c r="AK207" s="718" t="str">
        <f t="shared" si="397"/>
        <v/>
      </c>
      <c r="AL207" s="718" t="str">
        <f t="shared" si="397"/>
        <v/>
      </c>
      <c r="AM207" s="718" t="str">
        <f t="shared" si="397"/>
        <v/>
      </c>
      <c r="AN207" s="718" t="str">
        <f t="shared" si="397"/>
        <v/>
      </c>
      <c r="AO207" s="719" t="str">
        <f t="shared" si="397"/>
        <v/>
      </c>
      <c r="AP207" s="494" t="str">
        <f t="shared" si="397"/>
        <v/>
      </c>
      <c r="AQ207" s="494" t="str">
        <f t="shared" si="397"/>
        <v/>
      </c>
      <c r="AR207" s="494" t="str">
        <f t="shared" si="397"/>
        <v/>
      </c>
      <c r="AS207" s="720" t="str">
        <f t="shared" si="397"/>
        <v/>
      </c>
      <c r="AU207" s="1369"/>
      <c r="AW207" s="1412" t="str">
        <f t="shared" si="381"/>
        <v>Price</v>
      </c>
      <c r="AX207" s="1413" t="str">
        <f t="shared" si="381"/>
        <v>[Service]</v>
      </c>
      <c r="AY207" s="1414" t="str">
        <f t="shared" si="345"/>
        <v>[Price]</v>
      </c>
      <c r="AZ207" s="1415" t="str">
        <f t="shared" si="346"/>
        <v>-</v>
      </c>
      <c r="BA207" s="1415" t="str">
        <f t="shared" si="346"/>
        <v>-</v>
      </c>
      <c r="BB207" s="1415" t="str">
        <f t="shared" si="346"/>
        <v>-</v>
      </c>
      <c r="BC207" s="1415" t="str">
        <f t="shared" si="346"/>
        <v>-</v>
      </c>
      <c r="BD207" s="1415" t="str">
        <f t="shared" si="347"/>
        <v>-</v>
      </c>
      <c r="BE207" s="1415" t="str">
        <f t="shared" si="348"/>
        <v>-</v>
      </c>
      <c r="BF207" s="1415" t="str">
        <f t="shared" si="349"/>
        <v>-</v>
      </c>
      <c r="BG207" s="1416" t="str">
        <f t="shared" si="350"/>
        <v>-</v>
      </c>
      <c r="BH207" s="1417" t="str">
        <f t="shared" si="351"/>
        <v>-</v>
      </c>
      <c r="BI207" s="1417" t="str">
        <f t="shared" si="352"/>
        <v>-</v>
      </c>
      <c r="BJ207" s="1417" t="str">
        <f t="shared" si="353"/>
        <v>-</v>
      </c>
      <c r="BK207" s="1417" t="str">
        <f t="shared" si="354"/>
        <v>-</v>
      </c>
      <c r="BL207" s="1418" t="str">
        <f t="shared" si="355"/>
        <v>-</v>
      </c>
      <c r="BM207" s="1417" t="str">
        <f t="shared" si="356"/>
        <v>-</v>
      </c>
      <c r="BN207" s="1417" t="str">
        <f t="shared" si="357"/>
        <v>-</v>
      </c>
      <c r="BO207" s="1417" t="str">
        <f t="shared" si="358"/>
        <v>-</v>
      </c>
      <c r="BP207" s="1417" t="str">
        <f t="shared" si="359"/>
        <v>-</v>
      </c>
      <c r="BQ207" s="1419" t="str">
        <f t="shared" si="360"/>
        <v>-</v>
      </c>
      <c r="BR207" s="1378"/>
      <c r="BS207" s="1420"/>
      <c r="BT207" s="1421"/>
      <c r="BU207" s="1422"/>
      <c r="BV207" s="1423"/>
      <c r="BW207" s="1378"/>
      <c r="BX207" s="1412" t="str">
        <f t="shared" si="361"/>
        <v>Price</v>
      </c>
      <c r="BY207" s="1413" t="str">
        <f t="shared" si="255"/>
        <v>[Service]</v>
      </c>
      <c r="BZ207" s="1414" t="str">
        <f t="shared" si="256"/>
        <v>[Price]</v>
      </c>
      <c r="CA207" s="1424" t="str">
        <f>IFERROR((S207/R207-1)*(R209/R$13),"-")</f>
        <v>-</v>
      </c>
      <c r="CB207" s="1415" t="str">
        <f>IFERROR((T207/S207-1)*(S209/S$13),"-")</f>
        <v>-</v>
      </c>
      <c r="CC207" s="1415" t="str">
        <f>IFERROR((U207/T207-1)*(T209/T$13),"-")</f>
        <v>-</v>
      </c>
      <c r="CD207" s="1415" t="str">
        <f>IFERROR((V207/U207-1)*(U209/U$13),"-")</f>
        <v>-</v>
      </c>
      <c r="CE207" s="1415" t="str">
        <f t="shared" ref="CE207:CR207" si="398">IFERROR((T207/S207-1)*(S209/S$13),"-")</f>
        <v>-</v>
      </c>
      <c r="CF207" s="1415" t="str">
        <f t="shared" si="398"/>
        <v>-</v>
      </c>
      <c r="CG207" s="1415" t="str">
        <f t="shared" si="398"/>
        <v>-</v>
      </c>
      <c r="CH207" s="1425" t="str">
        <f t="shared" si="398"/>
        <v>-</v>
      </c>
      <c r="CI207" s="1417" t="str">
        <f t="shared" si="398"/>
        <v>-</v>
      </c>
      <c r="CJ207" s="1417" t="str">
        <f t="shared" si="398"/>
        <v>-</v>
      </c>
      <c r="CK207" s="1417" t="str">
        <f t="shared" si="398"/>
        <v>-</v>
      </c>
      <c r="CL207" s="1417" t="str">
        <f t="shared" si="398"/>
        <v>-</v>
      </c>
      <c r="CM207" s="1418" t="str">
        <f t="shared" si="398"/>
        <v>-</v>
      </c>
      <c r="CN207" s="1417" t="str">
        <f t="shared" si="398"/>
        <v>-</v>
      </c>
      <c r="CO207" s="1417" t="str">
        <f t="shared" si="398"/>
        <v>-</v>
      </c>
      <c r="CP207" s="1417" t="str">
        <f t="shared" si="398"/>
        <v>-</v>
      </c>
      <c r="CQ207" s="1417" t="str">
        <f t="shared" si="398"/>
        <v>-</v>
      </c>
      <c r="CR207" s="1419" t="str">
        <f t="shared" si="398"/>
        <v>-</v>
      </c>
      <c r="CS207" s="1378"/>
      <c r="CT207" s="1412" t="str">
        <f t="shared" si="341"/>
        <v>Price</v>
      </c>
      <c r="CU207" s="1413" t="str">
        <f t="shared" si="342"/>
        <v>[Service]</v>
      </c>
      <c r="CV207" s="1426" t="str">
        <f t="shared" si="343"/>
        <v>[Price]</v>
      </c>
      <c r="CW207" s="1427" t="str">
        <f t="shared" si="363"/>
        <v>-</v>
      </c>
      <c r="CX207" s="1417" t="str">
        <f t="shared" si="364"/>
        <v>-</v>
      </c>
      <c r="CY207" s="1417" t="str">
        <f t="shared" si="365"/>
        <v>-</v>
      </c>
      <c r="CZ207" s="1418" t="str">
        <f t="shared" si="366"/>
        <v>-</v>
      </c>
      <c r="DA207" s="1417" t="str">
        <f t="shared" si="367"/>
        <v>-</v>
      </c>
      <c r="DB207" s="1417" t="str">
        <f t="shared" si="368"/>
        <v>-</v>
      </c>
      <c r="DC207" s="1417" t="str">
        <f t="shared" si="369"/>
        <v>-</v>
      </c>
      <c r="DD207" s="1417" t="str">
        <f t="shared" si="370"/>
        <v>-</v>
      </c>
      <c r="DE207" s="1419" t="str">
        <f t="shared" si="371"/>
        <v>-</v>
      </c>
      <c r="DF207" s="1378"/>
      <c r="DG207" s="1412" t="str">
        <f t="shared" si="383"/>
        <v>Price</v>
      </c>
      <c r="DH207" s="1413" t="str">
        <f t="shared" si="383"/>
        <v>[Service]</v>
      </c>
      <c r="DI207" s="1426" t="str">
        <f t="shared" si="383"/>
        <v>[Price]</v>
      </c>
      <c r="DJ207" s="1427" t="str">
        <f t="shared" si="372"/>
        <v>-</v>
      </c>
      <c r="DK207" s="1417" t="str">
        <f t="shared" si="373"/>
        <v>-</v>
      </c>
      <c r="DL207" s="1417" t="str">
        <f t="shared" si="374"/>
        <v>-</v>
      </c>
      <c r="DM207" s="1418" t="str">
        <f t="shared" si="375"/>
        <v>-</v>
      </c>
      <c r="DN207" s="1417" t="str">
        <f t="shared" si="376"/>
        <v>-</v>
      </c>
      <c r="DO207" s="1417" t="str">
        <f t="shared" si="377"/>
        <v>-</v>
      </c>
      <c r="DP207" s="1417" t="str">
        <f t="shared" si="378"/>
        <v>-</v>
      </c>
      <c r="DQ207" s="1419" t="str">
        <f t="shared" si="379"/>
        <v>-</v>
      </c>
    </row>
    <row r="208" spans="4:121">
      <c r="E208" s="742" t="s">
        <v>45</v>
      </c>
      <c r="F208" s="722" t="str">
        <f>+F207</f>
        <v>[Service]</v>
      </c>
      <c r="G208" s="723">
        <f>+G207</f>
        <v>0</v>
      </c>
      <c r="H208" s="723">
        <f>+H207</f>
        <v>0</v>
      </c>
      <c r="I208" s="724" t="str">
        <f>+I207</f>
        <v>[Price]</v>
      </c>
      <c r="J208" s="782" t="s">
        <v>322</v>
      </c>
      <c r="K208" s="725"/>
      <c r="L208" s="726"/>
      <c r="M208" s="726"/>
      <c r="N208" s="727"/>
      <c r="O208" s="786"/>
      <c r="P208" s="787"/>
      <c r="Q208" s="786"/>
      <c r="R208" s="786"/>
      <c r="S208" s="786"/>
      <c r="T208" s="786"/>
      <c r="U208" s="786"/>
      <c r="V208" s="786"/>
      <c r="W208" s="786"/>
      <c r="X208" s="787"/>
      <c r="Y208" s="786"/>
      <c r="Z208" s="786"/>
      <c r="AA208" s="786"/>
      <c r="AB208" s="786"/>
      <c r="AC208" s="787"/>
      <c r="AD208" s="786"/>
      <c r="AE208" s="786"/>
      <c r="AF208" s="786"/>
      <c r="AG208" s="788"/>
      <c r="AH208" s="823"/>
      <c r="AI208" s="702"/>
      <c r="AJ208" s="728"/>
      <c r="AK208" s="729"/>
      <c r="AL208" s="729"/>
      <c r="AM208" s="729"/>
      <c r="AN208" s="729"/>
      <c r="AO208" s="730"/>
      <c r="AP208" s="74"/>
      <c r="AQ208" s="74"/>
      <c r="AR208" s="74"/>
      <c r="AS208" s="106"/>
      <c r="AW208" s="1392" t="str">
        <f t="shared" si="381"/>
        <v>Qty</v>
      </c>
      <c r="AX208" s="1393" t="str">
        <f t="shared" si="381"/>
        <v>[Service]</v>
      </c>
      <c r="AY208" s="1394" t="str">
        <f t="shared" si="345"/>
        <v>[Price]</v>
      </c>
      <c r="AZ208" s="1395" t="str">
        <f t="shared" si="346"/>
        <v>-</v>
      </c>
      <c r="BA208" s="1395" t="str">
        <f t="shared" si="346"/>
        <v>-</v>
      </c>
      <c r="BB208" s="1395" t="str">
        <f t="shared" si="346"/>
        <v>-</v>
      </c>
      <c r="BC208" s="1395" t="str">
        <f t="shared" si="346"/>
        <v>-</v>
      </c>
      <c r="BD208" s="1395" t="str">
        <f t="shared" si="347"/>
        <v>-</v>
      </c>
      <c r="BE208" s="1395" t="str">
        <f t="shared" si="348"/>
        <v>-</v>
      </c>
      <c r="BF208" s="1395" t="str">
        <f t="shared" si="349"/>
        <v>-</v>
      </c>
      <c r="BG208" s="1396" t="str">
        <f t="shared" si="350"/>
        <v>-</v>
      </c>
      <c r="BH208" s="1395" t="str">
        <f t="shared" si="351"/>
        <v>-</v>
      </c>
      <c r="BI208" s="1395" t="str">
        <f t="shared" si="352"/>
        <v>-</v>
      </c>
      <c r="BJ208" s="1395" t="str">
        <f t="shared" si="353"/>
        <v>-</v>
      </c>
      <c r="BK208" s="1395" t="str">
        <f t="shared" si="354"/>
        <v>-</v>
      </c>
      <c r="BL208" s="1397" t="str">
        <f t="shared" si="355"/>
        <v>-</v>
      </c>
      <c r="BM208" s="1395" t="str">
        <f t="shared" si="356"/>
        <v>-</v>
      </c>
      <c r="BN208" s="1395" t="str">
        <f t="shared" si="357"/>
        <v>-</v>
      </c>
      <c r="BO208" s="1395" t="str">
        <f t="shared" si="358"/>
        <v>-</v>
      </c>
      <c r="BP208" s="1395" t="str">
        <f t="shared" si="359"/>
        <v>-</v>
      </c>
      <c r="BQ208" s="1398" t="str">
        <f t="shared" si="360"/>
        <v>-</v>
      </c>
      <c r="BR208" s="1378"/>
      <c r="BS208" s="1329"/>
      <c r="BT208" s="1399"/>
      <c r="BU208" s="1331"/>
      <c r="BV208" s="1400"/>
      <c r="BW208" s="1378"/>
      <c r="BX208" s="1392" t="str">
        <f t="shared" si="361"/>
        <v>Qty</v>
      </c>
      <c r="BY208" s="1393" t="str">
        <f t="shared" si="255"/>
        <v>[Service]</v>
      </c>
      <c r="BZ208" s="1394" t="str">
        <f t="shared" si="256"/>
        <v>[Price]</v>
      </c>
      <c r="CA208" s="1401" t="str">
        <f>IFERROR((S208/R208-1)*(R209/R$13),"-")</f>
        <v>-</v>
      </c>
      <c r="CB208" s="1395" t="str">
        <f>IFERROR((T208/S208-1)*(S209/S$13),"-")</f>
        <v>-</v>
      </c>
      <c r="CC208" s="1395" t="str">
        <f>IFERROR((U208/T208-1)*(T209/T$13),"-")</f>
        <v>-</v>
      </c>
      <c r="CD208" s="1395" t="str">
        <f>IFERROR((V208/U208-1)*(U209/U$13),"-")</f>
        <v>-</v>
      </c>
      <c r="CE208" s="1395" t="str">
        <f t="shared" ref="CE208:CR208" si="399">IFERROR((T208/S208-1)*(S209/S$13),"-")</f>
        <v>-</v>
      </c>
      <c r="CF208" s="1395" t="str">
        <f t="shared" si="399"/>
        <v>-</v>
      </c>
      <c r="CG208" s="1395" t="str">
        <f t="shared" si="399"/>
        <v>-</v>
      </c>
      <c r="CH208" s="1397" t="str">
        <f t="shared" si="399"/>
        <v>-</v>
      </c>
      <c r="CI208" s="1395" t="str">
        <f t="shared" si="399"/>
        <v>-</v>
      </c>
      <c r="CJ208" s="1395" t="str">
        <f t="shared" si="399"/>
        <v>-</v>
      </c>
      <c r="CK208" s="1395" t="str">
        <f t="shared" si="399"/>
        <v>-</v>
      </c>
      <c r="CL208" s="1395" t="str">
        <f t="shared" si="399"/>
        <v>-</v>
      </c>
      <c r="CM208" s="1397" t="str">
        <f t="shared" si="399"/>
        <v>-</v>
      </c>
      <c r="CN208" s="1395" t="str">
        <f t="shared" si="399"/>
        <v>-</v>
      </c>
      <c r="CO208" s="1395" t="str">
        <f t="shared" si="399"/>
        <v>-</v>
      </c>
      <c r="CP208" s="1395" t="str">
        <f t="shared" si="399"/>
        <v>-</v>
      </c>
      <c r="CQ208" s="1395" t="str">
        <f t="shared" si="399"/>
        <v>-</v>
      </c>
      <c r="CR208" s="1398" t="str">
        <f t="shared" si="399"/>
        <v>-</v>
      </c>
      <c r="CS208" s="1378"/>
      <c r="CT208" s="1392" t="str">
        <f t="shared" si="341"/>
        <v>Qty</v>
      </c>
      <c r="CU208" s="1393" t="str">
        <f t="shared" si="342"/>
        <v>[Service]</v>
      </c>
      <c r="CV208" s="1393" t="str">
        <f t="shared" si="343"/>
        <v>[Price]</v>
      </c>
      <c r="CW208" s="1401" t="str">
        <f t="shared" si="363"/>
        <v>-</v>
      </c>
      <c r="CX208" s="1395" t="str">
        <f t="shared" si="364"/>
        <v>-</v>
      </c>
      <c r="CY208" s="1395" t="str">
        <f t="shared" si="365"/>
        <v>-</v>
      </c>
      <c r="CZ208" s="1397" t="str">
        <f t="shared" si="366"/>
        <v>-</v>
      </c>
      <c r="DA208" s="1395" t="str">
        <f t="shared" si="367"/>
        <v>-</v>
      </c>
      <c r="DB208" s="1395" t="str">
        <f t="shared" si="368"/>
        <v>-</v>
      </c>
      <c r="DC208" s="1395" t="str">
        <f t="shared" si="369"/>
        <v>-</v>
      </c>
      <c r="DD208" s="1395" t="str">
        <f t="shared" si="370"/>
        <v>-</v>
      </c>
      <c r="DE208" s="1398" t="str">
        <f t="shared" si="371"/>
        <v>-</v>
      </c>
      <c r="DF208" s="1378"/>
      <c r="DG208" s="1392" t="str">
        <f t="shared" si="383"/>
        <v>Qty</v>
      </c>
      <c r="DH208" s="1393" t="str">
        <f t="shared" si="383"/>
        <v>[Service]</v>
      </c>
      <c r="DI208" s="1393" t="str">
        <f t="shared" si="383"/>
        <v>[Price]</v>
      </c>
      <c r="DJ208" s="1401" t="str">
        <f t="shared" si="372"/>
        <v>-</v>
      </c>
      <c r="DK208" s="1395" t="str">
        <f t="shared" si="373"/>
        <v>-</v>
      </c>
      <c r="DL208" s="1395" t="str">
        <f t="shared" si="374"/>
        <v>-</v>
      </c>
      <c r="DM208" s="1397" t="str">
        <f t="shared" si="375"/>
        <v>-</v>
      </c>
      <c r="DN208" s="1395" t="str">
        <f t="shared" si="376"/>
        <v>-</v>
      </c>
      <c r="DO208" s="1395" t="str">
        <f t="shared" si="377"/>
        <v>-</v>
      </c>
      <c r="DP208" s="1395" t="str">
        <f t="shared" si="378"/>
        <v>-</v>
      </c>
      <c r="DQ208" s="1398" t="str">
        <f t="shared" si="379"/>
        <v>-</v>
      </c>
    </row>
    <row r="209" spans="4:121" ht="12.75" thickBot="1">
      <c r="E209" s="743" t="s">
        <v>46</v>
      </c>
      <c r="F209" s="732" t="str">
        <f>+F207</f>
        <v>[Service]</v>
      </c>
      <c r="G209" s="733">
        <f>+G207</f>
        <v>0</v>
      </c>
      <c r="H209" s="733">
        <f>+H207</f>
        <v>0</v>
      </c>
      <c r="I209" s="734" t="str">
        <f>+I207</f>
        <v>[Price]</v>
      </c>
      <c r="J209" s="735" t="s">
        <v>344</v>
      </c>
      <c r="K209" s="736">
        <f t="shared" ref="K209:AG209" si="400">K207*K208/10^6</f>
        <v>0</v>
      </c>
      <c r="L209" s="737">
        <f t="shared" si="400"/>
        <v>0</v>
      </c>
      <c r="M209" s="737">
        <f t="shared" si="400"/>
        <v>0</v>
      </c>
      <c r="N209" s="738">
        <f t="shared" si="400"/>
        <v>0</v>
      </c>
      <c r="O209" s="737">
        <f t="shared" si="400"/>
        <v>0</v>
      </c>
      <c r="P209" s="738">
        <f t="shared" si="400"/>
        <v>0</v>
      </c>
      <c r="Q209" s="737">
        <f t="shared" si="400"/>
        <v>0</v>
      </c>
      <c r="R209" s="737">
        <f t="shared" si="400"/>
        <v>0</v>
      </c>
      <c r="S209" s="737">
        <f t="shared" si="400"/>
        <v>0</v>
      </c>
      <c r="T209" s="737">
        <f t="shared" si="400"/>
        <v>0</v>
      </c>
      <c r="U209" s="737">
        <f t="shared" si="400"/>
        <v>0</v>
      </c>
      <c r="V209" s="737">
        <f t="shared" si="400"/>
        <v>0</v>
      </c>
      <c r="W209" s="737">
        <f t="shared" si="400"/>
        <v>0</v>
      </c>
      <c r="X209" s="738">
        <f t="shared" si="400"/>
        <v>0</v>
      </c>
      <c r="Y209" s="737">
        <f t="shared" si="400"/>
        <v>0</v>
      </c>
      <c r="Z209" s="737">
        <f t="shared" si="400"/>
        <v>0</v>
      </c>
      <c r="AA209" s="737">
        <f t="shared" si="400"/>
        <v>0</v>
      </c>
      <c r="AB209" s="737">
        <f t="shared" si="400"/>
        <v>0</v>
      </c>
      <c r="AC209" s="738">
        <f t="shared" si="400"/>
        <v>0</v>
      </c>
      <c r="AD209" s="737">
        <f t="shared" si="400"/>
        <v>0</v>
      </c>
      <c r="AE209" s="737">
        <f t="shared" si="400"/>
        <v>0</v>
      </c>
      <c r="AF209" s="737">
        <f t="shared" si="400"/>
        <v>0</v>
      </c>
      <c r="AG209" s="739">
        <f t="shared" si="400"/>
        <v>0</v>
      </c>
      <c r="AH209" s="823"/>
      <c r="AI209" s="744"/>
      <c r="AJ209" s="741"/>
      <c r="AK209" s="729"/>
      <c r="AL209" s="729"/>
      <c r="AM209" s="729"/>
      <c r="AN209" s="729"/>
      <c r="AO209" s="730"/>
      <c r="AP209" s="74"/>
      <c r="AQ209" s="74"/>
      <c r="AR209" s="74"/>
      <c r="AS209" s="106"/>
      <c r="AW209" s="1428" t="str">
        <f t="shared" si="381"/>
        <v>Rev</v>
      </c>
      <c r="AX209" s="1429" t="str">
        <f t="shared" si="381"/>
        <v>[Service]</v>
      </c>
      <c r="AY209" s="1430" t="str">
        <f t="shared" si="345"/>
        <v>[Price]</v>
      </c>
      <c r="AZ209" s="1431" t="str">
        <f t="shared" si="346"/>
        <v>-</v>
      </c>
      <c r="BA209" s="1431" t="str">
        <f t="shared" si="346"/>
        <v>-</v>
      </c>
      <c r="BB209" s="1431" t="str">
        <f t="shared" si="346"/>
        <v>-</v>
      </c>
      <c r="BC209" s="1431" t="str">
        <f t="shared" si="346"/>
        <v>-</v>
      </c>
      <c r="BD209" s="1431" t="str">
        <f t="shared" si="347"/>
        <v>-</v>
      </c>
      <c r="BE209" s="1431" t="str">
        <f t="shared" si="348"/>
        <v>-</v>
      </c>
      <c r="BF209" s="1431" t="str">
        <f t="shared" si="349"/>
        <v>-</v>
      </c>
      <c r="BG209" s="1432" t="str">
        <f t="shared" si="350"/>
        <v>-</v>
      </c>
      <c r="BH209" s="1431" t="str">
        <f t="shared" si="351"/>
        <v>-</v>
      </c>
      <c r="BI209" s="1431" t="str">
        <f t="shared" si="352"/>
        <v>-</v>
      </c>
      <c r="BJ209" s="1431" t="str">
        <f t="shared" si="353"/>
        <v>-</v>
      </c>
      <c r="BK209" s="1431" t="str">
        <f t="shared" si="354"/>
        <v>-</v>
      </c>
      <c r="BL209" s="1433" t="str">
        <f t="shared" si="355"/>
        <v>-</v>
      </c>
      <c r="BM209" s="1431" t="str">
        <f t="shared" si="356"/>
        <v>-</v>
      </c>
      <c r="BN209" s="1431" t="str">
        <f t="shared" si="357"/>
        <v>-</v>
      </c>
      <c r="BO209" s="1431" t="str">
        <f t="shared" si="358"/>
        <v>-</v>
      </c>
      <c r="BP209" s="1431" t="str">
        <f t="shared" si="359"/>
        <v>-</v>
      </c>
      <c r="BQ209" s="1434" t="str">
        <f t="shared" si="360"/>
        <v>-</v>
      </c>
      <c r="BR209" s="1378"/>
      <c r="BS209" s="1407"/>
      <c r="BT209" s="1408"/>
      <c r="BU209" s="1409"/>
      <c r="BV209" s="1410"/>
      <c r="BW209" s="1378"/>
      <c r="BX209" s="1428" t="str">
        <f t="shared" si="361"/>
        <v>Rev</v>
      </c>
      <c r="BY209" s="1429" t="str">
        <f t="shared" si="255"/>
        <v>[Service]</v>
      </c>
      <c r="BZ209" s="1430" t="str">
        <f t="shared" si="256"/>
        <v>[Price]</v>
      </c>
      <c r="CA209" s="1435" t="str">
        <f>IFERROR((S209/R209-1)*(R209/R$13),"-")</f>
        <v>-</v>
      </c>
      <c r="CB209" s="1431" t="str">
        <f>IFERROR((T209/S209-1)*(S209/S$13),"-")</f>
        <v>-</v>
      </c>
      <c r="CC209" s="1431" t="str">
        <f>IFERROR((U209/T209-1)*(T209/T$13),"-")</f>
        <v>-</v>
      </c>
      <c r="CD209" s="1431" t="str">
        <f>IFERROR((V209/U209-1)*(U209/U$13),"-")</f>
        <v>-</v>
      </c>
      <c r="CE209" s="1431" t="str">
        <f t="shared" ref="CE209:CR209" si="401">IFERROR((T209/S209-1)*(S209/S$13),"-")</f>
        <v>-</v>
      </c>
      <c r="CF209" s="1431" t="str">
        <f t="shared" si="401"/>
        <v>-</v>
      </c>
      <c r="CG209" s="1431" t="str">
        <f t="shared" si="401"/>
        <v>-</v>
      </c>
      <c r="CH209" s="1433" t="str">
        <f t="shared" si="401"/>
        <v>-</v>
      </c>
      <c r="CI209" s="1431" t="str">
        <f t="shared" si="401"/>
        <v>-</v>
      </c>
      <c r="CJ209" s="1431" t="str">
        <f t="shared" si="401"/>
        <v>-</v>
      </c>
      <c r="CK209" s="1431" t="str">
        <f t="shared" si="401"/>
        <v>-</v>
      </c>
      <c r="CL209" s="1431" t="str">
        <f t="shared" si="401"/>
        <v>-</v>
      </c>
      <c r="CM209" s="1433" t="str">
        <f t="shared" si="401"/>
        <v>-</v>
      </c>
      <c r="CN209" s="1431" t="str">
        <f t="shared" si="401"/>
        <v>-</v>
      </c>
      <c r="CO209" s="1431" t="str">
        <f t="shared" si="401"/>
        <v>-</v>
      </c>
      <c r="CP209" s="1431" t="str">
        <f t="shared" si="401"/>
        <v>-</v>
      </c>
      <c r="CQ209" s="1431" t="str">
        <f t="shared" si="401"/>
        <v>-</v>
      </c>
      <c r="CR209" s="1434" t="str">
        <f t="shared" si="401"/>
        <v>-</v>
      </c>
      <c r="CS209" s="1378"/>
      <c r="CT209" s="1428" t="str">
        <f t="shared" si="341"/>
        <v>Rev</v>
      </c>
      <c r="CU209" s="1429" t="str">
        <f t="shared" si="342"/>
        <v>[Service]</v>
      </c>
      <c r="CV209" s="1429" t="str">
        <f t="shared" si="343"/>
        <v>[Price]</v>
      </c>
      <c r="CW209" s="1435" t="str">
        <f t="shared" si="363"/>
        <v>-</v>
      </c>
      <c r="CX209" s="1431" t="str">
        <f t="shared" si="364"/>
        <v>-</v>
      </c>
      <c r="CY209" s="1431" t="str">
        <f t="shared" si="365"/>
        <v>-</v>
      </c>
      <c r="CZ209" s="1433" t="str">
        <f t="shared" si="366"/>
        <v>-</v>
      </c>
      <c r="DA209" s="1431" t="str">
        <f t="shared" si="367"/>
        <v>-</v>
      </c>
      <c r="DB209" s="1431" t="str">
        <f t="shared" si="368"/>
        <v>-</v>
      </c>
      <c r="DC209" s="1431" t="str">
        <f t="shared" si="369"/>
        <v>-</v>
      </c>
      <c r="DD209" s="1431" t="str">
        <f t="shared" si="370"/>
        <v>-</v>
      </c>
      <c r="DE209" s="1434" t="str">
        <f t="shared" si="371"/>
        <v>-</v>
      </c>
      <c r="DF209" s="1378"/>
      <c r="DG209" s="1428" t="str">
        <f t="shared" si="383"/>
        <v>Rev</v>
      </c>
      <c r="DH209" s="1429" t="str">
        <f t="shared" si="383"/>
        <v>[Service]</v>
      </c>
      <c r="DI209" s="1429" t="str">
        <f t="shared" si="383"/>
        <v>[Price]</v>
      </c>
      <c r="DJ209" s="1435" t="str">
        <f t="shared" si="372"/>
        <v>-</v>
      </c>
      <c r="DK209" s="1431" t="str">
        <f t="shared" si="373"/>
        <v>-</v>
      </c>
      <c r="DL209" s="1431" t="str">
        <f t="shared" si="374"/>
        <v>-</v>
      </c>
      <c r="DM209" s="1433" t="str">
        <f t="shared" si="375"/>
        <v>-</v>
      </c>
      <c r="DN209" s="1431" t="str">
        <f t="shared" si="376"/>
        <v>-</v>
      </c>
      <c r="DO209" s="1431" t="str">
        <f t="shared" si="377"/>
        <v>-</v>
      </c>
      <c r="DP209" s="1431" t="str">
        <f t="shared" si="378"/>
        <v>-</v>
      </c>
      <c r="DQ209" s="1434" t="str">
        <f t="shared" si="379"/>
        <v>-</v>
      </c>
    </row>
    <row r="210" spans="4:121">
      <c r="D210" s="70">
        <f>D207+1</f>
        <v>48</v>
      </c>
      <c r="E210" s="713" t="s">
        <v>44</v>
      </c>
      <c r="F210" s="789" t="s">
        <v>27</v>
      </c>
      <c r="G210" s="789"/>
      <c r="H210" s="789"/>
      <c r="I210" s="781" t="s">
        <v>318</v>
      </c>
      <c r="J210" s="781" t="s">
        <v>345</v>
      </c>
      <c r="K210" s="714"/>
      <c r="L210" s="715"/>
      <c r="M210" s="715"/>
      <c r="N210" s="716"/>
      <c r="O210" s="783"/>
      <c r="P210" s="784"/>
      <c r="Q210" s="783"/>
      <c r="R210" s="783"/>
      <c r="S210" s="783"/>
      <c r="T210" s="783"/>
      <c r="U210" s="783"/>
      <c r="V210" s="783"/>
      <c r="W210" s="783"/>
      <c r="X210" s="784"/>
      <c r="Y210" s="783"/>
      <c r="Z210" s="783"/>
      <c r="AA210" s="783"/>
      <c r="AB210" s="783"/>
      <c r="AC210" s="784"/>
      <c r="AD210" s="783"/>
      <c r="AE210" s="783"/>
      <c r="AF210" s="783"/>
      <c r="AG210" s="785"/>
      <c r="AI210" s="745"/>
      <c r="AJ210" s="717" t="str">
        <f t="shared" ref="AJ210:AS210" si="402">IFERROR((X210-W210)/W210,"")</f>
        <v/>
      </c>
      <c r="AK210" s="718" t="str">
        <f t="shared" si="402"/>
        <v/>
      </c>
      <c r="AL210" s="718" t="str">
        <f t="shared" si="402"/>
        <v/>
      </c>
      <c r="AM210" s="718" t="str">
        <f t="shared" si="402"/>
        <v/>
      </c>
      <c r="AN210" s="718" t="str">
        <f t="shared" si="402"/>
        <v/>
      </c>
      <c r="AO210" s="719" t="str">
        <f t="shared" si="402"/>
        <v/>
      </c>
      <c r="AP210" s="494" t="str">
        <f t="shared" si="402"/>
        <v/>
      </c>
      <c r="AQ210" s="494" t="str">
        <f t="shared" si="402"/>
        <v/>
      </c>
      <c r="AR210" s="494" t="str">
        <f t="shared" si="402"/>
        <v/>
      </c>
      <c r="AS210" s="720" t="str">
        <f t="shared" si="402"/>
        <v/>
      </c>
      <c r="AU210" s="1369"/>
      <c r="AW210" s="1412" t="str">
        <f t="shared" si="381"/>
        <v>Price</v>
      </c>
      <c r="AX210" s="1413" t="str">
        <f t="shared" si="381"/>
        <v>[Service]</v>
      </c>
      <c r="AY210" s="1414" t="str">
        <f t="shared" si="345"/>
        <v>[Price]</v>
      </c>
      <c r="AZ210" s="1415" t="str">
        <f t="shared" si="346"/>
        <v>-</v>
      </c>
      <c r="BA210" s="1415" t="str">
        <f t="shared" si="346"/>
        <v>-</v>
      </c>
      <c r="BB210" s="1415" t="str">
        <f t="shared" si="346"/>
        <v>-</v>
      </c>
      <c r="BC210" s="1415" t="str">
        <f t="shared" si="346"/>
        <v>-</v>
      </c>
      <c r="BD210" s="1415" t="str">
        <f t="shared" si="347"/>
        <v>-</v>
      </c>
      <c r="BE210" s="1415" t="str">
        <f t="shared" si="348"/>
        <v>-</v>
      </c>
      <c r="BF210" s="1415" t="str">
        <f t="shared" si="349"/>
        <v>-</v>
      </c>
      <c r="BG210" s="1416" t="str">
        <f t="shared" si="350"/>
        <v>-</v>
      </c>
      <c r="BH210" s="1417" t="str">
        <f t="shared" si="351"/>
        <v>-</v>
      </c>
      <c r="BI210" s="1417" t="str">
        <f t="shared" si="352"/>
        <v>-</v>
      </c>
      <c r="BJ210" s="1417" t="str">
        <f t="shared" si="353"/>
        <v>-</v>
      </c>
      <c r="BK210" s="1417" t="str">
        <f t="shared" si="354"/>
        <v>-</v>
      </c>
      <c r="BL210" s="1418" t="str">
        <f t="shared" si="355"/>
        <v>-</v>
      </c>
      <c r="BM210" s="1417" t="str">
        <f t="shared" si="356"/>
        <v>-</v>
      </c>
      <c r="BN210" s="1417" t="str">
        <f t="shared" si="357"/>
        <v>-</v>
      </c>
      <c r="BO210" s="1417" t="str">
        <f t="shared" si="358"/>
        <v>-</v>
      </c>
      <c r="BP210" s="1417" t="str">
        <f t="shared" si="359"/>
        <v>-</v>
      </c>
      <c r="BQ210" s="1419" t="str">
        <f t="shared" si="360"/>
        <v>-</v>
      </c>
      <c r="BR210" s="1378"/>
      <c r="BS210" s="1420"/>
      <c r="BT210" s="1421"/>
      <c r="BU210" s="1422"/>
      <c r="BV210" s="1423"/>
      <c r="BW210" s="1378"/>
      <c r="BX210" s="1412" t="str">
        <f t="shared" si="361"/>
        <v>Price</v>
      </c>
      <c r="BY210" s="1413" t="str">
        <f t="shared" si="255"/>
        <v>[Service]</v>
      </c>
      <c r="BZ210" s="1414" t="str">
        <f t="shared" si="256"/>
        <v>[Price]</v>
      </c>
      <c r="CA210" s="1424" t="str">
        <f>IFERROR((S210/R210-1)*(R212/R$13),"-")</f>
        <v>-</v>
      </c>
      <c r="CB210" s="1415" t="str">
        <f>IFERROR((T210/S210-1)*(S212/S$13),"-")</f>
        <v>-</v>
      </c>
      <c r="CC210" s="1415" t="str">
        <f>IFERROR((U210/T210-1)*(T212/T$13),"-")</f>
        <v>-</v>
      </c>
      <c r="CD210" s="1415" t="str">
        <f>IFERROR((V210/U210-1)*(U212/U$13),"-")</f>
        <v>-</v>
      </c>
      <c r="CE210" s="1415" t="str">
        <f t="shared" ref="CE210:CR210" si="403">IFERROR((T210/S210-1)*(S212/S$13),"-")</f>
        <v>-</v>
      </c>
      <c r="CF210" s="1415" t="str">
        <f t="shared" si="403"/>
        <v>-</v>
      </c>
      <c r="CG210" s="1415" t="str">
        <f t="shared" si="403"/>
        <v>-</v>
      </c>
      <c r="CH210" s="1425" t="str">
        <f t="shared" si="403"/>
        <v>-</v>
      </c>
      <c r="CI210" s="1417" t="str">
        <f t="shared" si="403"/>
        <v>-</v>
      </c>
      <c r="CJ210" s="1417" t="str">
        <f t="shared" si="403"/>
        <v>-</v>
      </c>
      <c r="CK210" s="1417" t="str">
        <f t="shared" si="403"/>
        <v>-</v>
      </c>
      <c r="CL210" s="1417" t="str">
        <f t="shared" si="403"/>
        <v>-</v>
      </c>
      <c r="CM210" s="1418" t="str">
        <f t="shared" si="403"/>
        <v>-</v>
      </c>
      <c r="CN210" s="1417" t="str">
        <f t="shared" si="403"/>
        <v>-</v>
      </c>
      <c r="CO210" s="1417" t="str">
        <f t="shared" si="403"/>
        <v>-</v>
      </c>
      <c r="CP210" s="1417" t="str">
        <f t="shared" si="403"/>
        <v>-</v>
      </c>
      <c r="CQ210" s="1417" t="str">
        <f t="shared" si="403"/>
        <v>-</v>
      </c>
      <c r="CR210" s="1419" t="str">
        <f t="shared" si="403"/>
        <v>-</v>
      </c>
      <c r="CS210" s="1378"/>
      <c r="CT210" s="1412" t="str">
        <f t="shared" si="341"/>
        <v>Price</v>
      </c>
      <c r="CU210" s="1413" t="str">
        <f t="shared" si="342"/>
        <v>[Service]</v>
      </c>
      <c r="CV210" s="1426" t="str">
        <f t="shared" si="343"/>
        <v>[Price]</v>
      </c>
      <c r="CW210" s="1427" t="str">
        <f t="shared" si="363"/>
        <v>-</v>
      </c>
      <c r="CX210" s="1417" t="str">
        <f t="shared" si="364"/>
        <v>-</v>
      </c>
      <c r="CY210" s="1417" t="str">
        <f t="shared" si="365"/>
        <v>-</v>
      </c>
      <c r="CZ210" s="1418" t="str">
        <f t="shared" si="366"/>
        <v>-</v>
      </c>
      <c r="DA210" s="1417" t="str">
        <f t="shared" si="367"/>
        <v>-</v>
      </c>
      <c r="DB210" s="1417" t="str">
        <f t="shared" si="368"/>
        <v>-</v>
      </c>
      <c r="DC210" s="1417" t="str">
        <f t="shared" si="369"/>
        <v>-</v>
      </c>
      <c r="DD210" s="1417" t="str">
        <f t="shared" si="370"/>
        <v>-</v>
      </c>
      <c r="DE210" s="1419" t="str">
        <f t="shared" si="371"/>
        <v>-</v>
      </c>
      <c r="DF210" s="1378"/>
      <c r="DG210" s="1412" t="str">
        <f t="shared" si="383"/>
        <v>Price</v>
      </c>
      <c r="DH210" s="1413" t="str">
        <f t="shared" si="383"/>
        <v>[Service]</v>
      </c>
      <c r="DI210" s="1426" t="str">
        <f t="shared" si="383"/>
        <v>[Price]</v>
      </c>
      <c r="DJ210" s="1427" t="str">
        <f t="shared" si="372"/>
        <v>-</v>
      </c>
      <c r="DK210" s="1417" t="str">
        <f t="shared" si="373"/>
        <v>-</v>
      </c>
      <c r="DL210" s="1417" t="str">
        <f t="shared" si="374"/>
        <v>-</v>
      </c>
      <c r="DM210" s="1418" t="str">
        <f t="shared" si="375"/>
        <v>-</v>
      </c>
      <c r="DN210" s="1417" t="str">
        <f t="shared" si="376"/>
        <v>-</v>
      </c>
      <c r="DO210" s="1417" t="str">
        <f t="shared" si="377"/>
        <v>-</v>
      </c>
      <c r="DP210" s="1417" t="str">
        <f t="shared" si="378"/>
        <v>-</v>
      </c>
      <c r="DQ210" s="1419" t="str">
        <f t="shared" si="379"/>
        <v>-</v>
      </c>
    </row>
    <row r="211" spans="4:121">
      <c r="E211" s="742" t="s">
        <v>45</v>
      </c>
      <c r="F211" s="722" t="str">
        <f>+F210</f>
        <v>[Service]</v>
      </c>
      <c r="G211" s="723">
        <f>+G210</f>
        <v>0</v>
      </c>
      <c r="H211" s="723">
        <f>+H210</f>
        <v>0</v>
      </c>
      <c r="I211" s="724" t="str">
        <f>+I210</f>
        <v>[Price]</v>
      </c>
      <c r="J211" s="782" t="s">
        <v>322</v>
      </c>
      <c r="K211" s="725"/>
      <c r="L211" s="726"/>
      <c r="M211" s="726"/>
      <c r="N211" s="727"/>
      <c r="O211" s="786"/>
      <c r="P211" s="787"/>
      <c r="Q211" s="786"/>
      <c r="R211" s="786"/>
      <c r="S211" s="786"/>
      <c r="T211" s="786"/>
      <c r="U211" s="786"/>
      <c r="V211" s="786"/>
      <c r="W211" s="786"/>
      <c r="X211" s="787"/>
      <c r="Y211" s="786"/>
      <c r="Z211" s="786"/>
      <c r="AA211" s="786"/>
      <c r="AB211" s="786"/>
      <c r="AC211" s="787"/>
      <c r="AD211" s="786"/>
      <c r="AE211" s="786"/>
      <c r="AF211" s="786"/>
      <c r="AG211" s="788"/>
      <c r="AH211" s="823"/>
      <c r="AI211" s="745"/>
      <c r="AJ211" s="728"/>
      <c r="AK211" s="729"/>
      <c r="AL211" s="729"/>
      <c r="AM211" s="729"/>
      <c r="AN211" s="729"/>
      <c r="AO211" s="730"/>
      <c r="AP211" s="74"/>
      <c r="AQ211" s="74"/>
      <c r="AR211" s="74"/>
      <c r="AS211" s="106"/>
      <c r="AW211" s="1392" t="str">
        <f t="shared" si="381"/>
        <v>Qty</v>
      </c>
      <c r="AX211" s="1393" t="str">
        <f t="shared" si="381"/>
        <v>[Service]</v>
      </c>
      <c r="AY211" s="1394" t="str">
        <f t="shared" si="345"/>
        <v>[Price]</v>
      </c>
      <c r="AZ211" s="1395" t="str">
        <f t="shared" si="346"/>
        <v>-</v>
      </c>
      <c r="BA211" s="1395" t="str">
        <f t="shared" si="346"/>
        <v>-</v>
      </c>
      <c r="BB211" s="1395" t="str">
        <f t="shared" si="346"/>
        <v>-</v>
      </c>
      <c r="BC211" s="1395" t="str">
        <f t="shared" si="346"/>
        <v>-</v>
      </c>
      <c r="BD211" s="1395" t="str">
        <f t="shared" si="347"/>
        <v>-</v>
      </c>
      <c r="BE211" s="1395" t="str">
        <f t="shared" si="348"/>
        <v>-</v>
      </c>
      <c r="BF211" s="1395" t="str">
        <f t="shared" si="349"/>
        <v>-</v>
      </c>
      <c r="BG211" s="1396" t="str">
        <f t="shared" si="350"/>
        <v>-</v>
      </c>
      <c r="BH211" s="1395" t="str">
        <f t="shared" si="351"/>
        <v>-</v>
      </c>
      <c r="BI211" s="1395" t="str">
        <f t="shared" si="352"/>
        <v>-</v>
      </c>
      <c r="BJ211" s="1395" t="str">
        <f t="shared" si="353"/>
        <v>-</v>
      </c>
      <c r="BK211" s="1395" t="str">
        <f t="shared" si="354"/>
        <v>-</v>
      </c>
      <c r="BL211" s="1397" t="str">
        <f t="shared" si="355"/>
        <v>-</v>
      </c>
      <c r="BM211" s="1395" t="str">
        <f t="shared" si="356"/>
        <v>-</v>
      </c>
      <c r="BN211" s="1395" t="str">
        <f t="shared" si="357"/>
        <v>-</v>
      </c>
      <c r="BO211" s="1395" t="str">
        <f t="shared" si="358"/>
        <v>-</v>
      </c>
      <c r="BP211" s="1395" t="str">
        <f t="shared" si="359"/>
        <v>-</v>
      </c>
      <c r="BQ211" s="1398" t="str">
        <f t="shared" si="360"/>
        <v>-</v>
      </c>
      <c r="BR211" s="1378"/>
      <c r="BS211" s="1329"/>
      <c r="BT211" s="1399"/>
      <c r="BU211" s="1331"/>
      <c r="BV211" s="1400"/>
      <c r="BW211" s="1378"/>
      <c r="BX211" s="1392" t="str">
        <f t="shared" si="361"/>
        <v>Qty</v>
      </c>
      <c r="BY211" s="1393" t="str">
        <f t="shared" si="255"/>
        <v>[Service]</v>
      </c>
      <c r="BZ211" s="1394" t="str">
        <f t="shared" si="256"/>
        <v>[Price]</v>
      </c>
      <c r="CA211" s="1401" t="str">
        <f>IFERROR((S211/R211-1)*(R212/R$13),"-")</f>
        <v>-</v>
      </c>
      <c r="CB211" s="1395" t="str">
        <f>IFERROR((T211/S211-1)*(S212/S$13),"-")</f>
        <v>-</v>
      </c>
      <c r="CC211" s="1395" t="str">
        <f>IFERROR((U211/T211-1)*(T212/T$13),"-")</f>
        <v>-</v>
      </c>
      <c r="CD211" s="1395" t="str">
        <f>IFERROR((V211/U211-1)*(U212/U$13),"-")</f>
        <v>-</v>
      </c>
      <c r="CE211" s="1395" t="str">
        <f t="shared" ref="CE211:CR211" si="404">IFERROR((T211/S211-1)*(S212/S$13),"-")</f>
        <v>-</v>
      </c>
      <c r="CF211" s="1395" t="str">
        <f t="shared" si="404"/>
        <v>-</v>
      </c>
      <c r="CG211" s="1395" t="str">
        <f t="shared" si="404"/>
        <v>-</v>
      </c>
      <c r="CH211" s="1397" t="str">
        <f t="shared" si="404"/>
        <v>-</v>
      </c>
      <c r="CI211" s="1395" t="str">
        <f t="shared" si="404"/>
        <v>-</v>
      </c>
      <c r="CJ211" s="1395" t="str">
        <f t="shared" si="404"/>
        <v>-</v>
      </c>
      <c r="CK211" s="1395" t="str">
        <f t="shared" si="404"/>
        <v>-</v>
      </c>
      <c r="CL211" s="1395" t="str">
        <f t="shared" si="404"/>
        <v>-</v>
      </c>
      <c r="CM211" s="1397" t="str">
        <f t="shared" si="404"/>
        <v>-</v>
      </c>
      <c r="CN211" s="1395" t="str">
        <f t="shared" si="404"/>
        <v>-</v>
      </c>
      <c r="CO211" s="1395" t="str">
        <f t="shared" si="404"/>
        <v>-</v>
      </c>
      <c r="CP211" s="1395" t="str">
        <f t="shared" si="404"/>
        <v>-</v>
      </c>
      <c r="CQ211" s="1395" t="str">
        <f t="shared" si="404"/>
        <v>-</v>
      </c>
      <c r="CR211" s="1398" t="str">
        <f t="shared" si="404"/>
        <v>-</v>
      </c>
      <c r="CS211" s="1378"/>
      <c r="CT211" s="1392" t="str">
        <f t="shared" si="341"/>
        <v>Qty</v>
      </c>
      <c r="CU211" s="1393" t="str">
        <f t="shared" si="342"/>
        <v>[Service]</v>
      </c>
      <c r="CV211" s="1393" t="str">
        <f t="shared" si="343"/>
        <v>[Price]</v>
      </c>
      <c r="CW211" s="1401" t="str">
        <f t="shared" si="363"/>
        <v>-</v>
      </c>
      <c r="CX211" s="1395" t="str">
        <f t="shared" si="364"/>
        <v>-</v>
      </c>
      <c r="CY211" s="1395" t="str">
        <f t="shared" si="365"/>
        <v>-</v>
      </c>
      <c r="CZ211" s="1397" t="str">
        <f t="shared" si="366"/>
        <v>-</v>
      </c>
      <c r="DA211" s="1395" t="str">
        <f t="shared" si="367"/>
        <v>-</v>
      </c>
      <c r="DB211" s="1395" t="str">
        <f t="shared" si="368"/>
        <v>-</v>
      </c>
      <c r="DC211" s="1395" t="str">
        <f t="shared" si="369"/>
        <v>-</v>
      </c>
      <c r="DD211" s="1395" t="str">
        <f t="shared" si="370"/>
        <v>-</v>
      </c>
      <c r="DE211" s="1398" t="str">
        <f t="shared" si="371"/>
        <v>-</v>
      </c>
      <c r="DF211" s="1378"/>
      <c r="DG211" s="1392" t="str">
        <f t="shared" si="383"/>
        <v>Qty</v>
      </c>
      <c r="DH211" s="1393" t="str">
        <f t="shared" si="383"/>
        <v>[Service]</v>
      </c>
      <c r="DI211" s="1393" t="str">
        <f t="shared" si="383"/>
        <v>[Price]</v>
      </c>
      <c r="DJ211" s="1401" t="str">
        <f t="shared" si="372"/>
        <v>-</v>
      </c>
      <c r="DK211" s="1395" t="str">
        <f t="shared" si="373"/>
        <v>-</v>
      </c>
      <c r="DL211" s="1395" t="str">
        <f t="shared" si="374"/>
        <v>-</v>
      </c>
      <c r="DM211" s="1397" t="str">
        <f t="shared" si="375"/>
        <v>-</v>
      </c>
      <c r="DN211" s="1395" t="str">
        <f t="shared" si="376"/>
        <v>-</v>
      </c>
      <c r="DO211" s="1395" t="str">
        <f t="shared" si="377"/>
        <v>-</v>
      </c>
      <c r="DP211" s="1395" t="str">
        <f t="shared" si="378"/>
        <v>-</v>
      </c>
      <c r="DQ211" s="1398" t="str">
        <f t="shared" si="379"/>
        <v>-</v>
      </c>
    </row>
    <row r="212" spans="4:121" ht="12.75" thickBot="1">
      <c r="E212" s="743" t="s">
        <v>46</v>
      </c>
      <c r="F212" s="732" t="str">
        <f>+F210</f>
        <v>[Service]</v>
      </c>
      <c r="G212" s="733">
        <f>+G210</f>
        <v>0</v>
      </c>
      <c r="H212" s="733">
        <f>+H210</f>
        <v>0</v>
      </c>
      <c r="I212" s="734" t="str">
        <f>+I210</f>
        <v>[Price]</v>
      </c>
      <c r="J212" s="735" t="s">
        <v>344</v>
      </c>
      <c r="K212" s="736">
        <f t="shared" ref="K212:AG212" si="405">K210*K211/10^6</f>
        <v>0</v>
      </c>
      <c r="L212" s="737">
        <f t="shared" si="405"/>
        <v>0</v>
      </c>
      <c r="M212" s="737">
        <f t="shared" si="405"/>
        <v>0</v>
      </c>
      <c r="N212" s="738">
        <f t="shared" si="405"/>
        <v>0</v>
      </c>
      <c r="O212" s="737">
        <f t="shared" si="405"/>
        <v>0</v>
      </c>
      <c r="P212" s="738">
        <f t="shared" si="405"/>
        <v>0</v>
      </c>
      <c r="Q212" s="737">
        <f t="shared" si="405"/>
        <v>0</v>
      </c>
      <c r="R212" s="737">
        <f t="shared" si="405"/>
        <v>0</v>
      </c>
      <c r="S212" s="737">
        <f t="shared" si="405"/>
        <v>0</v>
      </c>
      <c r="T212" s="737">
        <f t="shared" si="405"/>
        <v>0</v>
      </c>
      <c r="U212" s="737">
        <f t="shared" si="405"/>
        <v>0</v>
      </c>
      <c r="V212" s="737">
        <f t="shared" si="405"/>
        <v>0</v>
      </c>
      <c r="W212" s="737">
        <f t="shared" si="405"/>
        <v>0</v>
      </c>
      <c r="X212" s="738">
        <f t="shared" si="405"/>
        <v>0</v>
      </c>
      <c r="Y212" s="737">
        <f t="shared" si="405"/>
        <v>0</v>
      </c>
      <c r="Z212" s="737">
        <f t="shared" si="405"/>
        <v>0</v>
      </c>
      <c r="AA212" s="737">
        <f t="shared" si="405"/>
        <v>0</v>
      </c>
      <c r="AB212" s="737">
        <f t="shared" si="405"/>
        <v>0</v>
      </c>
      <c r="AC212" s="738">
        <f t="shared" si="405"/>
        <v>0</v>
      </c>
      <c r="AD212" s="737">
        <f t="shared" si="405"/>
        <v>0</v>
      </c>
      <c r="AE212" s="737">
        <f t="shared" si="405"/>
        <v>0</v>
      </c>
      <c r="AF212" s="737">
        <f t="shared" si="405"/>
        <v>0</v>
      </c>
      <c r="AG212" s="739">
        <f t="shared" si="405"/>
        <v>0</v>
      </c>
      <c r="AH212" s="823"/>
      <c r="AI212" s="745"/>
      <c r="AJ212" s="741"/>
      <c r="AK212" s="729"/>
      <c r="AL212" s="729"/>
      <c r="AM212" s="729"/>
      <c r="AN212" s="729"/>
      <c r="AO212" s="730"/>
      <c r="AP212" s="74"/>
      <c r="AQ212" s="74"/>
      <c r="AR212" s="74"/>
      <c r="AS212" s="106"/>
      <c r="AW212" s="1428" t="str">
        <f t="shared" si="381"/>
        <v>Rev</v>
      </c>
      <c r="AX212" s="1429" t="str">
        <f t="shared" si="381"/>
        <v>[Service]</v>
      </c>
      <c r="AY212" s="1430" t="str">
        <f t="shared" si="345"/>
        <v>[Price]</v>
      </c>
      <c r="AZ212" s="1431" t="str">
        <f t="shared" si="346"/>
        <v>-</v>
      </c>
      <c r="BA212" s="1431" t="str">
        <f t="shared" si="346"/>
        <v>-</v>
      </c>
      <c r="BB212" s="1431" t="str">
        <f t="shared" si="346"/>
        <v>-</v>
      </c>
      <c r="BC212" s="1431" t="str">
        <f t="shared" si="346"/>
        <v>-</v>
      </c>
      <c r="BD212" s="1431" t="str">
        <f t="shared" si="347"/>
        <v>-</v>
      </c>
      <c r="BE212" s="1431" t="str">
        <f t="shared" si="348"/>
        <v>-</v>
      </c>
      <c r="BF212" s="1431" t="str">
        <f t="shared" si="349"/>
        <v>-</v>
      </c>
      <c r="BG212" s="1432" t="str">
        <f t="shared" si="350"/>
        <v>-</v>
      </c>
      <c r="BH212" s="1431" t="str">
        <f t="shared" si="351"/>
        <v>-</v>
      </c>
      <c r="BI212" s="1431" t="str">
        <f t="shared" si="352"/>
        <v>-</v>
      </c>
      <c r="BJ212" s="1431" t="str">
        <f t="shared" si="353"/>
        <v>-</v>
      </c>
      <c r="BK212" s="1431" t="str">
        <f t="shared" si="354"/>
        <v>-</v>
      </c>
      <c r="BL212" s="1433" t="str">
        <f t="shared" si="355"/>
        <v>-</v>
      </c>
      <c r="BM212" s="1431" t="str">
        <f t="shared" si="356"/>
        <v>-</v>
      </c>
      <c r="BN212" s="1431" t="str">
        <f t="shared" si="357"/>
        <v>-</v>
      </c>
      <c r="BO212" s="1431" t="str">
        <f t="shared" si="358"/>
        <v>-</v>
      </c>
      <c r="BP212" s="1431" t="str">
        <f t="shared" si="359"/>
        <v>-</v>
      </c>
      <c r="BQ212" s="1434" t="str">
        <f t="shared" si="360"/>
        <v>-</v>
      </c>
      <c r="BR212" s="1378"/>
      <c r="BS212" s="1407"/>
      <c r="BT212" s="1408"/>
      <c r="BU212" s="1409"/>
      <c r="BV212" s="1410"/>
      <c r="BW212" s="1378"/>
      <c r="BX212" s="1428" t="str">
        <f t="shared" si="361"/>
        <v>Rev</v>
      </c>
      <c r="BY212" s="1429" t="str">
        <f t="shared" ref="BY212:BY275" si="406">AX212</f>
        <v>[Service]</v>
      </c>
      <c r="BZ212" s="1430" t="str">
        <f t="shared" ref="BZ212:BZ275" si="407">AY212</f>
        <v>[Price]</v>
      </c>
      <c r="CA212" s="1435" t="str">
        <f>IFERROR((S212/R212-1)*(R212/R$13),"-")</f>
        <v>-</v>
      </c>
      <c r="CB212" s="1431" t="str">
        <f>IFERROR((T212/S212-1)*(S212/S$13),"-")</f>
        <v>-</v>
      </c>
      <c r="CC212" s="1431" t="str">
        <f>IFERROR((U212/T212-1)*(T212/T$13),"-")</f>
        <v>-</v>
      </c>
      <c r="CD212" s="1431" t="str">
        <f>IFERROR((V212/U212-1)*(U212/U$13),"-")</f>
        <v>-</v>
      </c>
      <c r="CE212" s="1431" t="str">
        <f t="shared" ref="CE212:CR212" si="408">IFERROR((T212/S212-1)*(S212/S$13),"-")</f>
        <v>-</v>
      </c>
      <c r="CF212" s="1431" t="str">
        <f t="shared" si="408"/>
        <v>-</v>
      </c>
      <c r="CG212" s="1431" t="str">
        <f t="shared" si="408"/>
        <v>-</v>
      </c>
      <c r="CH212" s="1433" t="str">
        <f t="shared" si="408"/>
        <v>-</v>
      </c>
      <c r="CI212" s="1431" t="str">
        <f t="shared" si="408"/>
        <v>-</v>
      </c>
      <c r="CJ212" s="1431" t="str">
        <f t="shared" si="408"/>
        <v>-</v>
      </c>
      <c r="CK212" s="1431" t="str">
        <f t="shared" si="408"/>
        <v>-</v>
      </c>
      <c r="CL212" s="1431" t="str">
        <f t="shared" si="408"/>
        <v>-</v>
      </c>
      <c r="CM212" s="1433" t="str">
        <f t="shared" si="408"/>
        <v>-</v>
      </c>
      <c r="CN212" s="1431" t="str">
        <f t="shared" si="408"/>
        <v>-</v>
      </c>
      <c r="CO212" s="1431" t="str">
        <f t="shared" si="408"/>
        <v>-</v>
      </c>
      <c r="CP212" s="1431" t="str">
        <f t="shared" si="408"/>
        <v>-</v>
      </c>
      <c r="CQ212" s="1431" t="str">
        <f t="shared" si="408"/>
        <v>-</v>
      </c>
      <c r="CR212" s="1434" t="str">
        <f t="shared" si="408"/>
        <v>-</v>
      </c>
      <c r="CS212" s="1378"/>
      <c r="CT212" s="1428" t="str">
        <f t="shared" si="341"/>
        <v>Rev</v>
      </c>
      <c r="CU212" s="1429" t="str">
        <f t="shared" si="342"/>
        <v>[Service]</v>
      </c>
      <c r="CV212" s="1429" t="str">
        <f t="shared" si="343"/>
        <v>[Price]</v>
      </c>
      <c r="CW212" s="1435" t="str">
        <f t="shared" si="363"/>
        <v>-</v>
      </c>
      <c r="CX212" s="1431" t="str">
        <f t="shared" si="364"/>
        <v>-</v>
      </c>
      <c r="CY212" s="1431" t="str">
        <f t="shared" si="365"/>
        <v>-</v>
      </c>
      <c r="CZ212" s="1433" t="str">
        <f t="shared" si="366"/>
        <v>-</v>
      </c>
      <c r="DA212" s="1431" t="str">
        <f t="shared" si="367"/>
        <v>-</v>
      </c>
      <c r="DB212" s="1431" t="str">
        <f t="shared" si="368"/>
        <v>-</v>
      </c>
      <c r="DC212" s="1431" t="str">
        <f t="shared" si="369"/>
        <v>-</v>
      </c>
      <c r="DD212" s="1431" t="str">
        <f t="shared" si="370"/>
        <v>-</v>
      </c>
      <c r="DE212" s="1434" t="str">
        <f t="shared" si="371"/>
        <v>-</v>
      </c>
      <c r="DF212" s="1378"/>
      <c r="DG212" s="1428" t="str">
        <f t="shared" si="383"/>
        <v>Rev</v>
      </c>
      <c r="DH212" s="1429" t="str">
        <f t="shared" si="383"/>
        <v>[Service]</v>
      </c>
      <c r="DI212" s="1429" t="str">
        <f t="shared" si="383"/>
        <v>[Price]</v>
      </c>
      <c r="DJ212" s="1435" t="str">
        <f t="shared" si="372"/>
        <v>-</v>
      </c>
      <c r="DK212" s="1431" t="str">
        <f t="shared" si="373"/>
        <v>-</v>
      </c>
      <c r="DL212" s="1431" t="str">
        <f t="shared" si="374"/>
        <v>-</v>
      </c>
      <c r="DM212" s="1433" t="str">
        <f t="shared" si="375"/>
        <v>-</v>
      </c>
      <c r="DN212" s="1431" t="str">
        <f t="shared" si="376"/>
        <v>-</v>
      </c>
      <c r="DO212" s="1431" t="str">
        <f t="shared" si="377"/>
        <v>-</v>
      </c>
      <c r="DP212" s="1431" t="str">
        <f t="shared" si="378"/>
        <v>-</v>
      </c>
      <c r="DQ212" s="1434" t="str">
        <f t="shared" si="379"/>
        <v>-</v>
      </c>
    </row>
    <row r="213" spans="4:121">
      <c r="D213" s="70">
        <f>D210+1</f>
        <v>49</v>
      </c>
      <c r="E213" s="713" t="s">
        <v>44</v>
      </c>
      <c r="F213" s="789" t="s">
        <v>27</v>
      </c>
      <c r="G213" s="789"/>
      <c r="H213" s="789"/>
      <c r="I213" s="781" t="s">
        <v>318</v>
      </c>
      <c r="J213" s="781" t="s">
        <v>345</v>
      </c>
      <c r="K213" s="714"/>
      <c r="L213" s="715"/>
      <c r="M213" s="715"/>
      <c r="N213" s="716"/>
      <c r="O213" s="783"/>
      <c r="P213" s="784"/>
      <c r="Q213" s="783"/>
      <c r="R213" s="783"/>
      <c r="S213" s="783"/>
      <c r="T213" s="783"/>
      <c r="U213" s="783"/>
      <c r="V213" s="783"/>
      <c r="W213" s="783"/>
      <c r="X213" s="784"/>
      <c r="Y213" s="783"/>
      <c r="Z213" s="783"/>
      <c r="AA213" s="783"/>
      <c r="AB213" s="783"/>
      <c r="AC213" s="784"/>
      <c r="AD213" s="783"/>
      <c r="AE213" s="783"/>
      <c r="AF213" s="783"/>
      <c r="AG213" s="785"/>
      <c r="AI213" s="745"/>
      <c r="AJ213" s="717" t="str">
        <f t="shared" ref="AJ213:AS213" si="409">IFERROR((X213-W213)/W213,"")</f>
        <v/>
      </c>
      <c r="AK213" s="718" t="str">
        <f t="shared" si="409"/>
        <v/>
      </c>
      <c r="AL213" s="718" t="str">
        <f t="shared" si="409"/>
        <v/>
      </c>
      <c r="AM213" s="718" t="str">
        <f t="shared" si="409"/>
        <v/>
      </c>
      <c r="AN213" s="718" t="str">
        <f t="shared" si="409"/>
        <v/>
      </c>
      <c r="AO213" s="719" t="str">
        <f t="shared" si="409"/>
        <v/>
      </c>
      <c r="AP213" s="494" t="str">
        <f t="shared" si="409"/>
        <v/>
      </c>
      <c r="AQ213" s="494" t="str">
        <f t="shared" si="409"/>
        <v/>
      </c>
      <c r="AR213" s="494" t="str">
        <f t="shared" si="409"/>
        <v/>
      </c>
      <c r="AS213" s="720" t="str">
        <f t="shared" si="409"/>
        <v/>
      </c>
      <c r="AU213" s="1369"/>
      <c r="AW213" s="1412" t="str">
        <f t="shared" si="381"/>
        <v>Price</v>
      </c>
      <c r="AX213" s="1413" t="str">
        <f t="shared" si="381"/>
        <v>[Service]</v>
      </c>
      <c r="AY213" s="1414" t="str">
        <f t="shared" si="345"/>
        <v>[Price]</v>
      </c>
      <c r="AZ213" s="1415" t="str">
        <f t="shared" ref="AZ213:BC228" si="410">IFERROR(P213/O213-1,"-")</f>
        <v>-</v>
      </c>
      <c r="BA213" s="1415" t="str">
        <f t="shared" si="410"/>
        <v>-</v>
      </c>
      <c r="BB213" s="1415" t="str">
        <f t="shared" si="410"/>
        <v>-</v>
      </c>
      <c r="BC213" s="1415" t="str">
        <f t="shared" si="410"/>
        <v>-</v>
      </c>
      <c r="BD213" s="1415" t="str">
        <f t="shared" si="347"/>
        <v>-</v>
      </c>
      <c r="BE213" s="1415" t="str">
        <f t="shared" si="348"/>
        <v>-</v>
      </c>
      <c r="BF213" s="1415" t="str">
        <f t="shared" si="349"/>
        <v>-</v>
      </c>
      <c r="BG213" s="1416" t="str">
        <f t="shared" si="350"/>
        <v>-</v>
      </c>
      <c r="BH213" s="1417" t="str">
        <f t="shared" si="351"/>
        <v>-</v>
      </c>
      <c r="BI213" s="1417" t="str">
        <f t="shared" si="352"/>
        <v>-</v>
      </c>
      <c r="BJ213" s="1417" t="str">
        <f t="shared" si="353"/>
        <v>-</v>
      </c>
      <c r="BK213" s="1417" t="str">
        <f t="shared" si="354"/>
        <v>-</v>
      </c>
      <c r="BL213" s="1418" t="str">
        <f t="shared" si="355"/>
        <v>-</v>
      </c>
      <c r="BM213" s="1417" t="str">
        <f t="shared" si="356"/>
        <v>-</v>
      </c>
      <c r="BN213" s="1417" t="str">
        <f t="shared" si="357"/>
        <v>-</v>
      </c>
      <c r="BO213" s="1417" t="str">
        <f t="shared" si="358"/>
        <v>-</v>
      </c>
      <c r="BP213" s="1417" t="str">
        <f t="shared" si="359"/>
        <v>-</v>
      </c>
      <c r="BQ213" s="1419" t="str">
        <f t="shared" si="360"/>
        <v>-</v>
      </c>
      <c r="BR213" s="1378"/>
      <c r="BS213" s="1420"/>
      <c r="BT213" s="1421"/>
      <c r="BU213" s="1422"/>
      <c r="BV213" s="1423"/>
      <c r="BW213" s="1378"/>
      <c r="BX213" s="1412" t="str">
        <f t="shared" si="361"/>
        <v>Price</v>
      </c>
      <c r="BY213" s="1413" t="str">
        <f t="shared" si="406"/>
        <v>[Service]</v>
      </c>
      <c r="BZ213" s="1414" t="str">
        <f t="shared" si="407"/>
        <v>[Price]</v>
      </c>
      <c r="CA213" s="1424" t="str">
        <f>IFERROR((S213/R213-1)*(R215/R$13),"-")</f>
        <v>-</v>
      </c>
      <c r="CB213" s="1415" t="str">
        <f>IFERROR((T213/S213-1)*(S215/S$13),"-")</f>
        <v>-</v>
      </c>
      <c r="CC213" s="1415" t="str">
        <f>IFERROR((U213/T213-1)*(T215/T$13),"-")</f>
        <v>-</v>
      </c>
      <c r="CD213" s="1415" t="str">
        <f>IFERROR((V213/U213-1)*(U215/U$13),"-")</f>
        <v>-</v>
      </c>
      <c r="CE213" s="1415" t="str">
        <f t="shared" ref="CE213:CR213" si="411">IFERROR((T213/S213-1)*(S215/S$13),"-")</f>
        <v>-</v>
      </c>
      <c r="CF213" s="1415" t="str">
        <f t="shared" si="411"/>
        <v>-</v>
      </c>
      <c r="CG213" s="1415" t="str">
        <f t="shared" si="411"/>
        <v>-</v>
      </c>
      <c r="CH213" s="1425" t="str">
        <f t="shared" si="411"/>
        <v>-</v>
      </c>
      <c r="CI213" s="1417" t="str">
        <f t="shared" si="411"/>
        <v>-</v>
      </c>
      <c r="CJ213" s="1417" t="str">
        <f t="shared" si="411"/>
        <v>-</v>
      </c>
      <c r="CK213" s="1417" t="str">
        <f t="shared" si="411"/>
        <v>-</v>
      </c>
      <c r="CL213" s="1417" t="str">
        <f t="shared" si="411"/>
        <v>-</v>
      </c>
      <c r="CM213" s="1418" t="str">
        <f t="shared" si="411"/>
        <v>-</v>
      </c>
      <c r="CN213" s="1417" t="str">
        <f t="shared" si="411"/>
        <v>-</v>
      </c>
      <c r="CO213" s="1417" t="str">
        <f t="shared" si="411"/>
        <v>-</v>
      </c>
      <c r="CP213" s="1417" t="str">
        <f t="shared" si="411"/>
        <v>-</v>
      </c>
      <c r="CQ213" s="1417" t="str">
        <f t="shared" si="411"/>
        <v>-</v>
      </c>
      <c r="CR213" s="1419" t="str">
        <f t="shared" si="411"/>
        <v>-</v>
      </c>
      <c r="CS213" s="1378"/>
      <c r="CT213" s="1412" t="str">
        <f t="shared" si="341"/>
        <v>Price</v>
      </c>
      <c r="CU213" s="1413" t="str">
        <f t="shared" si="342"/>
        <v>[Service]</v>
      </c>
      <c r="CV213" s="1426" t="str">
        <f t="shared" si="343"/>
        <v>[Price]</v>
      </c>
      <c r="CW213" s="1427" t="str">
        <f t="shared" si="363"/>
        <v>-</v>
      </c>
      <c r="CX213" s="1417" t="str">
        <f t="shared" si="364"/>
        <v>-</v>
      </c>
      <c r="CY213" s="1417" t="str">
        <f t="shared" si="365"/>
        <v>-</v>
      </c>
      <c r="CZ213" s="1418" t="str">
        <f t="shared" si="366"/>
        <v>-</v>
      </c>
      <c r="DA213" s="1417" t="str">
        <f t="shared" si="367"/>
        <v>-</v>
      </c>
      <c r="DB213" s="1417" t="str">
        <f t="shared" si="368"/>
        <v>-</v>
      </c>
      <c r="DC213" s="1417" t="str">
        <f t="shared" si="369"/>
        <v>-</v>
      </c>
      <c r="DD213" s="1417" t="str">
        <f t="shared" si="370"/>
        <v>-</v>
      </c>
      <c r="DE213" s="1419" t="str">
        <f t="shared" si="371"/>
        <v>-</v>
      </c>
      <c r="DF213" s="1378"/>
      <c r="DG213" s="1412" t="str">
        <f t="shared" si="383"/>
        <v>Price</v>
      </c>
      <c r="DH213" s="1413" t="str">
        <f t="shared" si="383"/>
        <v>[Service]</v>
      </c>
      <c r="DI213" s="1426" t="str">
        <f t="shared" si="383"/>
        <v>[Price]</v>
      </c>
      <c r="DJ213" s="1427" t="str">
        <f t="shared" si="372"/>
        <v>-</v>
      </c>
      <c r="DK213" s="1417" t="str">
        <f t="shared" si="373"/>
        <v>-</v>
      </c>
      <c r="DL213" s="1417" t="str">
        <f t="shared" si="374"/>
        <v>-</v>
      </c>
      <c r="DM213" s="1418" t="str">
        <f t="shared" si="375"/>
        <v>-</v>
      </c>
      <c r="DN213" s="1417" t="str">
        <f t="shared" si="376"/>
        <v>-</v>
      </c>
      <c r="DO213" s="1417" t="str">
        <f t="shared" si="377"/>
        <v>-</v>
      </c>
      <c r="DP213" s="1417" t="str">
        <f t="shared" si="378"/>
        <v>-</v>
      </c>
      <c r="DQ213" s="1419" t="str">
        <f t="shared" si="379"/>
        <v>-</v>
      </c>
    </row>
    <row r="214" spans="4:121">
      <c r="E214" s="742" t="s">
        <v>45</v>
      </c>
      <c r="F214" s="722" t="str">
        <f>+F213</f>
        <v>[Service]</v>
      </c>
      <c r="G214" s="723">
        <f>+G213</f>
        <v>0</v>
      </c>
      <c r="H214" s="723">
        <f>+H213</f>
        <v>0</v>
      </c>
      <c r="I214" s="724" t="str">
        <f>+I213</f>
        <v>[Price]</v>
      </c>
      <c r="J214" s="782" t="s">
        <v>322</v>
      </c>
      <c r="K214" s="725"/>
      <c r="L214" s="726"/>
      <c r="M214" s="726"/>
      <c r="N214" s="727"/>
      <c r="O214" s="786"/>
      <c r="P214" s="787"/>
      <c r="Q214" s="786"/>
      <c r="R214" s="786"/>
      <c r="S214" s="786"/>
      <c r="T214" s="786"/>
      <c r="U214" s="786"/>
      <c r="V214" s="786"/>
      <c r="W214" s="786"/>
      <c r="X214" s="787"/>
      <c r="Y214" s="786"/>
      <c r="Z214" s="786"/>
      <c r="AA214" s="786"/>
      <c r="AB214" s="786"/>
      <c r="AC214" s="787"/>
      <c r="AD214" s="786"/>
      <c r="AE214" s="786"/>
      <c r="AF214" s="786"/>
      <c r="AG214" s="788"/>
      <c r="AH214" s="823"/>
      <c r="AI214" s="745"/>
      <c r="AJ214" s="728"/>
      <c r="AK214" s="729"/>
      <c r="AL214" s="729"/>
      <c r="AM214" s="729"/>
      <c r="AN214" s="729"/>
      <c r="AO214" s="730"/>
      <c r="AP214" s="74"/>
      <c r="AQ214" s="74"/>
      <c r="AR214" s="74"/>
      <c r="AS214" s="106"/>
      <c r="AW214" s="1392" t="str">
        <f t="shared" si="381"/>
        <v>Qty</v>
      </c>
      <c r="AX214" s="1393" t="str">
        <f t="shared" si="381"/>
        <v>[Service]</v>
      </c>
      <c r="AY214" s="1394" t="str">
        <f t="shared" si="345"/>
        <v>[Price]</v>
      </c>
      <c r="AZ214" s="1395" t="str">
        <f t="shared" si="410"/>
        <v>-</v>
      </c>
      <c r="BA214" s="1395" t="str">
        <f t="shared" si="410"/>
        <v>-</v>
      </c>
      <c r="BB214" s="1395" t="str">
        <f t="shared" si="410"/>
        <v>-</v>
      </c>
      <c r="BC214" s="1395" t="str">
        <f t="shared" si="410"/>
        <v>-</v>
      </c>
      <c r="BD214" s="1395" t="str">
        <f t="shared" si="347"/>
        <v>-</v>
      </c>
      <c r="BE214" s="1395" t="str">
        <f t="shared" si="348"/>
        <v>-</v>
      </c>
      <c r="BF214" s="1395" t="str">
        <f t="shared" si="349"/>
        <v>-</v>
      </c>
      <c r="BG214" s="1396" t="str">
        <f t="shared" si="350"/>
        <v>-</v>
      </c>
      <c r="BH214" s="1395" t="str">
        <f t="shared" si="351"/>
        <v>-</v>
      </c>
      <c r="BI214" s="1395" t="str">
        <f t="shared" si="352"/>
        <v>-</v>
      </c>
      <c r="BJ214" s="1395" t="str">
        <f t="shared" si="353"/>
        <v>-</v>
      </c>
      <c r="BK214" s="1395" t="str">
        <f t="shared" si="354"/>
        <v>-</v>
      </c>
      <c r="BL214" s="1397" t="str">
        <f t="shared" si="355"/>
        <v>-</v>
      </c>
      <c r="BM214" s="1395" t="str">
        <f t="shared" si="356"/>
        <v>-</v>
      </c>
      <c r="BN214" s="1395" t="str">
        <f t="shared" si="357"/>
        <v>-</v>
      </c>
      <c r="BO214" s="1395" t="str">
        <f t="shared" si="358"/>
        <v>-</v>
      </c>
      <c r="BP214" s="1395" t="str">
        <f t="shared" si="359"/>
        <v>-</v>
      </c>
      <c r="BQ214" s="1398" t="str">
        <f t="shared" si="360"/>
        <v>-</v>
      </c>
      <c r="BR214" s="1378"/>
      <c r="BS214" s="1329"/>
      <c r="BT214" s="1399"/>
      <c r="BU214" s="1331"/>
      <c r="BV214" s="1400"/>
      <c r="BW214" s="1378"/>
      <c r="BX214" s="1392" t="str">
        <f t="shared" si="361"/>
        <v>Qty</v>
      </c>
      <c r="BY214" s="1393" t="str">
        <f t="shared" si="406"/>
        <v>[Service]</v>
      </c>
      <c r="BZ214" s="1394" t="str">
        <f t="shared" si="407"/>
        <v>[Price]</v>
      </c>
      <c r="CA214" s="1401" t="str">
        <f>IFERROR((S214/R214-1)*(R215/R$13),"-")</f>
        <v>-</v>
      </c>
      <c r="CB214" s="1395" t="str">
        <f>IFERROR((T214/S214-1)*(S215/S$13),"-")</f>
        <v>-</v>
      </c>
      <c r="CC214" s="1395" t="str">
        <f>IFERROR((U214/T214-1)*(T215/T$13),"-")</f>
        <v>-</v>
      </c>
      <c r="CD214" s="1395" t="str">
        <f>IFERROR((V214/U214-1)*(U215/U$13),"-")</f>
        <v>-</v>
      </c>
      <c r="CE214" s="1395" t="str">
        <f t="shared" ref="CE214:CR214" si="412">IFERROR((T214/S214-1)*(S215/S$13),"-")</f>
        <v>-</v>
      </c>
      <c r="CF214" s="1395" t="str">
        <f t="shared" si="412"/>
        <v>-</v>
      </c>
      <c r="CG214" s="1395" t="str">
        <f t="shared" si="412"/>
        <v>-</v>
      </c>
      <c r="CH214" s="1397" t="str">
        <f t="shared" si="412"/>
        <v>-</v>
      </c>
      <c r="CI214" s="1395" t="str">
        <f t="shared" si="412"/>
        <v>-</v>
      </c>
      <c r="CJ214" s="1395" t="str">
        <f t="shared" si="412"/>
        <v>-</v>
      </c>
      <c r="CK214" s="1395" t="str">
        <f t="shared" si="412"/>
        <v>-</v>
      </c>
      <c r="CL214" s="1395" t="str">
        <f t="shared" si="412"/>
        <v>-</v>
      </c>
      <c r="CM214" s="1397" t="str">
        <f t="shared" si="412"/>
        <v>-</v>
      </c>
      <c r="CN214" s="1395" t="str">
        <f t="shared" si="412"/>
        <v>-</v>
      </c>
      <c r="CO214" s="1395" t="str">
        <f t="shared" si="412"/>
        <v>-</v>
      </c>
      <c r="CP214" s="1395" t="str">
        <f t="shared" si="412"/>
        <v>-</v>
      </c>
      <c r="CQ214" s="1395" t="str">
        <f t="shared" si="412"/>
        <v>-</v>
      </c>
      <c r="CR214" s="1398" t="str">
        <f t="shared" si="412"/>
        <v>-</v>
      </c>
      <c r="CS214" s="1378"/>
      <c r="CT214" s="1392" t="str">
        <f t="shared" si="341"/>
        <v>Qty</v>
      </c>
      <c r="CU214" s="1393" t="str">
        <f t="shared" si="342"/>
        <v>[Service]</v>
      </c>
      <c r="CV214" s="1393" t="str">
        <f t="shared" si="343"/>
        <v>[Price]</v>
      </c>
      <c r="CW214" s="1401" t="str">
        <f t="shared" si="363"/>
        <v>-</v>
      </c>
      <c r="CX214" s="1395" t="str">
        <f t="shared" si="364"/>
        <v>-</v>
      </c>
      <c r="CY214" s="1395" t="str">
        <f t="shared" si="365"/>
        <v>-</v>
      </c>
      <c r="CZ214" s="1397" t="str">
        <f t="shared" si="366"/>
        <v>-</v>
      </c>
      <c r="DA214" s="1395" t="str">
        <f t="shared" si="367"/>
        <v>-</v>
      </c>
      <c r="DB214" s="1395" t="str">
        <f t="shared" si="368"/>
        <v>-</v>
      </c>
      <c r="DC214" s="1395" t="str">
        <f t="shared" si="369"/>
        <v>-</v>
      </c>
      <c r="DD214" s="1395" t="str">
        <f t="shared" si="370"/>
        <v>-</v>
      </c>
      <c r="DE214" s="1398" t="str">
        <f t="shared" si="371"/>
        <v>-</v>
      </c>
      <c r="DF214" s="1378"/>
      <c r="DG214" s="1392" t="str">
        <f t="shared" si="383"/>
        <v>Qty</v>
      </c>
      <c r="DH214" s="1393" t="str">
        <f t="shared" si="383"/>
        <v>[Service]</v>
      </c>
      <c r="DI214" s="1393" t="str">
        <f t="shared" si="383"/>
        <v>[Price]</v>
      </c>
      <c r="DJ214" s="1401" t="str">
        <f t="shared" si="372"/>
        <v>-</v>
      </c>
      <c r="DK214" s="1395" t="str">
        <f t="shared" si="373"/>
        <v>-</v>
      </c>
      <c r="DL214" s="1395" t="str">
        <f t="shared" si="374"/>
        <v>-</v>
      </c>
      <c r="DM214" s="1397" t="str">
        <f t="shared" si="375"/>
        <v>-</v>
      </c>
      <c r="DN214" s="1395" t="str">
        <f t="shared" si="376"/>
        <v>-</v>
      </c>
      <c r="DO214" s="1395" t="str">
        <f t="shared" si="377"/>
        <v>-</v>
      </c>
      <c r="DP214" s="1395" t="str">
        <f t="shared" si="378"/>
        <v>-</v>
      </c>
      <c r="DQ214" s="1398" t="str">
        <f t="shared" si="379"/>
        <v>-</v>
      </c>
    </row>
    <row r="215" spans="4:121" ht="12.75" thickBot="1">
      <c r="E215" s="743" t="s">
        <v>46</v>
      </c>
      <c r="F215" s="732" t="str">
        <f>+F213</f>
        <v>[Service]</v>
      </c>
      <c r="G215" s="733">
        <f>+G213</f>
        <v>0</v>
      </c>
      <c r="H215" s="733">
        <f>+H213</f>
        <v>0</v>
      </c>
      <c r="I215" s="734" t="str">
        <f>+I213</f>
        <v>[Price]</v>
      </c>
      <c r="J215" s="735" t="s">
        <v>344</v>
      </c>
      <c r="K215" s="736">
        <f t="shared" ref="K215:AG215" si="413">K213*K214/10^6</f>
        <v>0</v>
      </c>
      <c r="L215" s="737">
        <f t="shared" si="413"/>
        <v>0</v>
      </c>
      <c r="M215" s="737">
        <f t="shared" si="413"/>
        <v>0</v>
      </c>
      <c r="N215" s="738">
        <f t="shared" si="413"/>
        <v>0</v>
      </c>
      <c r="O215" s="737">
        <f t="shared" si="413"/>
        <v>0</v>
      </c>
      <c r="P215" s="738">
        <f t="shared" si="413"/>
        <v>0</v>
      </c>
      <c r="Q215" s="737">
        <f t="shared" si="413"/>
        <v>0</v>
      </c>
      <c r="R215" s="737">
        <f t="shared" si="413"/>
        <v>0</v>
      </c>
      <c r="S215" s="737">
        <f t="shared" si="413"/>
        <v>0</v>
      </c>
      <c r="T215" s="737">
        <f t="shared" si="413"/>
        <v>0</v>
      </c>
      <c r="U215" s="737">
        <f t="shared" si="413"/>
        <v>0</v>
      </c>
      <c r="V215" s="737">
        <f t="shared" si="413"/>
        <v>0</v>
      </c>
      <c r="W215" s="737">
        <f t="shared" si="413"/>
        <v>0</v>
      </c>
      <c r="X215" s="738">
        <f t="shared" si="413"/>
        <v>0</v>
      </c>
      <c r="Y215" s="737">
        <f t="shared" si="413"/>
        <v>0</v>
      </c>
      <c r="Z215" s="737">
        <f t="shared" si="413"/>
        <v>0</v>
      </c>
      <c r="AA215" s="737">
        <f t="shared" si="413"/>
        <v>0</v>
      </c>
      <c r="AB215" s="737">
        <f t="shared" si="413"/>
        <v>0</v>
      </c>
      <c r="AC215" s="738">
        <f t="shared" si="413"/>
        <v>0</v>
      </c>
      <c r="AD215" s="737">
        <f t="shared" si="413"/>
        <v>0</v>
      </c>
      <c r="AE215" s="737">
        <f t="shared" si="413"/>
        <v>0</v>
      </c>
      <c r="AF215" s="737">
        <f t="shared" si="413"/>
        <v>0</v>
      </c>
      <c r="AG215" s="739">
        <f t="shared" si="413"/>
        <v>0</v>
      </c>
      <c r="AH215" s="823"/>
      <c r="AI215" s="745"/>
      <c r="AJ215" s="741"/>
      <c r="AK215" s="729"/>
      <c r="AL215" s="729"/>
      <c r="AM215" s="729"/>
      <c r="AN215" s="729"/>
      <c r="AO215" s="730"/>
      <c r="AP215" s="74"/>
      <c r="AQ215" s="74"/>
      <c r="AR215" s="74"/>
      <c r="AS215" s="106"/>
      <c r="AW215" s="1428" t="str">
        <f t="shared" si="381"/>
        <v>Rev</v>
      </c>
      <c r="AX215" s="1429" t="str">
        <f t="shared" si="381"/>
        <v>[Service]</v>
      </c>
      <c r="AY215" s="1430" t="str">
        <f t="shared" si="345"/>
        <v>[Price]</v>
      </c>
      <c r="AZ215" s="1431" t="str">
        <f t="shared" si="410"/>
        <v>-</v>
      </c>
      <c r="BA215" s="1431" t="str">
        <f t="shared" si="410"/>
        <v>-</v>
      </c>
      <c r="BB215" s="1431" t="str">
        <f t="shared" si="410"/>
        <v>-</v>
      </c>
      <c r="BC215" s="1431" t="str">
        <f t="shared" si="410"/>
        <v>-</v>
      </c>
      <c r="BD215" s="1431" t="str">
        <f t="shared" si="347"/>
        <v>-</v>
      </c>
      <c r="BE215" s="1431" t="str">
        <f t="shared" si="348"/>
        <v>-</v>
      </c>
      <c r="BF215" s="1431" t="str">
        <f t="shared" si="349"/>
        <v>-</v>
      </c>
      <c r="BG215" s="1432" t="str">
        <f t="shared" si="350"/>
        <v>-</v>
      </c>
      <c r="BH215" s="1431" t="str">
        <f t="shared" si="351"/>
        <v>-</v>
      </c>
      <c r="BI215" s="1431" t="str">
        <f t="shared" si="352"/>
        <v>-</v>
      </c>
      <c r="BJ215" s="1431" t="str">
        <f t="shared" si="353"/>
        <v>-</v>
      </c>
      <c r="BK215" s="1431" t="str">
        <f t="shared" si="354"/>
        <v>-</v>
      </c>
      <c r="BL215" s="1433" t="str">
        <f t="shared" si="355"/>
        <v>-</v>
      </c>
      <c r="BM215" s="1431" t="str">
        <f t="shared" si="356"/>
        <v>-</v>
      </c>
      <c r="BN215" s="1431" t="str">
        <f t="shared" si="357"/>
        <v>-</v>
      </c>
      <c r="BO215" s="1431" t="str">
        <f t="shared" si="358"/>
        <v>-</v>
      </c>
      <c r="BP215" s="1431" t="str">
        <f t="shared" si="359"/>
        <v>-</v>
      </c>
      <c r="BQ215" s="1434" t="str">
        <f t="shared" si="360"/>
        <v>-</v>
      </c>
      <c r="BR215" s="1378"/>
      <c r="BS215" s="1407"/>
      <c r="BT215" s="1408"/>
      <c r="BU215" s="1409"/>
      <c r="BV215" s="1410"/>
      <c r="BW215" s="1378"/>
      <c r="BX215" s="1428" t="str">
        <f t="shared" si="361"/>
        <v>Rev</v>
      </c>
      <c r="BY215" s="1429" t="str">
        <f t="shared" si="406"/>
        <v>[Service]</v>
      </c>
      <c r="BZ215" s="1430" t="str">
        <f t="shared" si="407"/>
        <v>[Price]</v>
      </c>
      <c r="CA215" s="1435" t="str">
        <f>IFERROR((S215/R215-1)*(R215/R$13),"-")</f>
        <v>-</v>
      </c>
      <c r="CB215" s="1431" t="str">
        <f>IFERROR((T215/S215-1)*(S215/S$13),"-")</f>
        <v>-</v>
      </c>
      <c r="CC215" s="1431" t="str">
        <f>IFERROR((U215/T215-1)*(T215/T$13),"-")</f>
        <v>-</v>
      </c>
      <c r="CD215" s="1431" t="str">
        <f>IFERROR((V215/U215-1)*(U215/U$13),"-")</f>
        <v>-</v>
      </c>
      <c r="CE215" s="1431" t="str">
        <f t="shared" ref="CE215:CR215" si="414">IFERROR((T215/S215-1)*(S215/S$13),"-")</f>
        <v>-</v>
      </c>
      <c r="CF215" s="1431" t="str">
        <f t="shared" si="414"/>
        <v>-</v>
      </c>
      <c r="CG215" s="1431" t="str">
        <f t="shared" si="414"/>
        <v>-</v>
      </c>
      <c r="CH215" s="1433" t="str">
        <f t="shared" si="414"/>
        <v>-</v>
      </c>
      <c r="CI215" s="1431" t="str">
        <f t="shared" si="414"/>
        <v>-</v>
      </c>
      <c r="CJ215" s="1431" t="str">
        <f t="shared" si="414"/>
        <v>-</v>
      </c>
      <c r="CK215" s="1431" t="str">
        <f t="shared" si="414"/>
        <v>-</v>
      </c>
      <c r="CL215" s="1431" t="str">
        <f t="shared" si="414"/>
        <v>-</v>
      </c>
      <c r="CM215" s="1433" t="str">
        <f t="shared" si="414"/>
        <v>-</v>
      </c>
      <c r="CN215" s="1431" t="str">
        <f t="shared" si="414"/>
        <v>-</v>
      </c>
      <c r="CO215" s="1431" t="str">
        <f t="shared" si="414"/>
        <v>-</v>
      </c>
      <c r="CP215" s="1431" t="str">
        <f t="shared" si="414"/>
        <v>-</v>
      </c>
      <c r="CQ215" s="1431" t="str">
        <f t="shared" si="414"/>
        <v>-</v>
      </c>
      <c r="CR215" s="1434" t="str">
        <f t="shared" si="414"/>
        <v>-</v>
      </c>
      <c r="CS215" s="1378"/>
      <c r="CT215" s="1428" t="str">
        <f t="shared" si="341"/>
        <v>Rev</v>
      </c>
      <c r="CU215" s="1429" t="str">
        <f t="shared" si="342"/>
        <v>[Service]</v>
      </c>
      <c r="CV215" s="1429" t="str">
        <f t="shared" si="343"/>
        <v>[Price]</v>
      </c>
      <c r="CW215" s="1435" t="str">
        <f t="shared" si="363"/>
        <v>-</v>
      </c>
      <c r="CX215" s="1431" t="str">
        <f t="shared" si="364"/>
        <v>-</v>
      </c>
      <c r="CY215" s="1431" t="str">
        <f t="shared" si="365"/>
        <v>-</v>
      </c>
      <c r="CZ215" s="1433" t="str">
        <f t="shared" si="366"/>
        <v>-</v>
      </c>
      <c r="DA215" s="1431" t="str">
        <f t="shared" si="367"/>
        <v>-</v>
      </c>
      <c r="DB215" s="1431" t="str">
        <f t="shared" si="368"/>
        <v>-</v>
      </c>
      <c r="DC215" s="1431" t="str">
        <f t="shared" si="369"/>
        <v>-</v>
      </c>
      <c r="DD215" s="1431" t="str">
        <f t="shared" si="370"/>
        <v>-</v>
      </c>
      <c r="DE215" s="1434" t="str">
        <f t="shared" si="371"/>
        <v>-</v>
      </c>
      <c r="DF215" s="1378"/>
      <c r="DG215" s="1428" t="str">
        <f t="shared" si="383"/>
        <v>Rev</v>
      </c>
      <c r="DH215" s="1429" t="str">
        <f t="shared" si="383"/>
        <v>[Service]</v>
      </c>
      <c r="DI215" s="1429" t="str">
        <f t="shared" si="383"/>
        <v>[Price]</v>
      </c>
      <c r="DJ215" s="1435" t="str">
        <f t="shared" si="372"/>
        <v>-</v>
      </c>
      <c r="DK215" s="1431" t="str">
        <f t="shared" si="373"/>
        <v>-</v>
      </c>
      <c r="DL215" s="1431" t="str">
        <f t="shared" si="374"/>
        <v>-</v>
      </c>
      <c r="DM215" s="1433" t="str">
        <f t="shared" si="375"/>
        <v>-</v>
      </c>
      <c r="DN215" s="1431" t="str">
        <f t="shared" si="376"/>
        <v>-</v>
      </c>
      <c r="DO215" s="1431" t="str">
        <f t="shared" si="377"/>
        <v>-</v>
      </c>
      <c r="DP215" s="1431" t="str">
        <f t="shared" si="378"/>
        <v>-</v>
      </c>
      <c r="DQ215" s="1434" t="str">
        <f t="shared" si="379"/>
        <v>-</v>
      </c>
    </row>
    <row r="216" spans="4:121">
      <c r="D216" s="70">
        <f>D213+1</f>
        <v>50</v>
      </c>
      <c r="E216" s="713" t="s">
        <v>44</v>
      </c>
      <c r="F216" s="789" t="s">
        <v>27</v>
      </c>
      <c r="G216" s="789"/>
      <c r="H216" s="789"/>
      <c r="I216" s="781" t="s">
        <v>318</v>
      </c>
      <c r="J216" s="781" t="s">
        <v>345</v>
      </c>
      <c r="K216" s="714"/>
      <c r="L216" s="715"/>
      <c r="M216" s="715"/>
      <c r="N216" s="716"/>
      <c r="O216" s="783"/>
      <c r="P216" s="784"/>
      <c r="Q216" s="783"/>
      <c r="R216" s="783"/>
      <c r="S216" s="783"/>
      <c r="T216" s="783"/>
      <c r="U216" s="783"/>
      <c r="V216" s="783"/>
      <c r="W216" s="783"/>
      <c r="X216" s="784"/>
      <c r="Y216" s="783"/>
      <c r="Z216" s="783"/>
      <c r="AA216" s="783"/>
      <c r="AB216" s="783"/>
      <c r="AC216" s="784"/>
      <c r="AD216" s="783"/>
      <c r="AE216" s="783"/>
      <c r="AF216" s="783"/>
      <c r="AG216" s="785"/>
      <c r="AI216" s="745"/>
      <c r="AJ216" s="717" t="str">
        <f t="shared" ref="AJ216:AS216" si="415">IFERROR((X216-W216)/W216,"")</f>
        <v/>
      </c>
      <c r="AK216" s="718" t="str">
        <f t="shared" si="415"/>
        <v/>
      </c>
      <c r="AL216" s="718" t="str">
        <f t="shared" si="415"/>
        <v/>
      </c>
      <c r="AM216" s="718" t="str">
        <f t="shared" si="415"/>
        <v/>
      </c>
      <c r="AN216" s="718" t="str">
        <f t="shared" si="415"/>
        <v/>
      </c>
      <c r="AO216" s="719" t="str">
        <f t="shared" si="415"/>
        <v/>
      </c>
      <c r="AP216" s="494" t="str">
        <f t="shared" si="415"/>
        <v/>
      </c>
      <c r="AQ216" s="494" t="str">
        <f t="shared" si="415"/>
        <v/>
      </c>
      <c r="AR216" s="494" t="str">
        <f t="shared" si="415"/>
        <v/>
      </c>
      <c r="AS216" s="720" t="str">
        <f t="shared" si="415"/>
        <v/>
      </c>
      <c r="AU216" s="1369"/>
      <c r="AW216" s="1412" t="str">
        <f t="shared" si="381"/>
        <v>Price</v>
      </c>
      <c r="AX216" s="1413" t="str">
        <f t="shared" si="381"/>
        <v>[Service]</v>
      </c>
      <c r="AY216" s="1414" t="str">
        <f t="shared" si="345"/>
        <v>[Price]</v>
      </c>
      <c r="AZ216" s="1415" t="str">
        <f t="shared" si="410"/>
        <v>-</v>
      </c>
      <c r="BA216" s="1415" t="str">
        <f t="shared" si="410"/>
        <v>-</v>
      </c>
      <c r="BB216" s="1415" t="str">
        <f t="shared" si="410"/>
        <v>-</v>
      </c>
      <c r="BC216" s="1415" t="str">
        <f t="shared" si="410"/>
        <v>-</v>
      </c>
      <c r="BD216" s="1415" t="str">
        <f t="shared" si="347"/>
        <v>-</v>
      </c>
      <c r="BE216" s="1415" t="str">
        <f t="shared" si="348"/>
        <v>-</v>
      </c>
      <c r="BF216" s="1415" t="str">
        <f t="shared" si="349"/>
        <v>-</v>
      </c>
      <c r="BG216" s="1416" t="str">
        <f t="shared" si="350"/>
        <v>-</v>
      </c>
      <c r="BH216" s="1417" t="str">
        <f t="shared" si="351"/>
        <v>-</v>
      </c>
      <c r="BI216" s="1417" t="str">
        <f t="shared" si="352"/>
        <v>-</v>
      </c>
      <c r="BJ216" s="1417" t="str">
        <f t="shared" si="353"/>
        <v>-</v>
      </c>
      <c r="BK216" s="1417" t="str">
        <f t="shared" si="354"/>
        <v>-</v>
      </c>
      <c r="BL216" s="1418" t="str">
        <f t="shared" si="355"/>
        <v>-</v>
      </c>
      <c r="BM216" s="1417" t="str">
        <f t="shared" si="356"/>
        <v>-</v>
      </c>
      <c r="BN216" s="1417" t="str">
        <f t="shared" si="357"/>
        <v>-</v>
      </c>
      <c r="BO216" s="1417" t="str">
        <f t="shared" si="358"/>
        <v>-</v>
      </c>
      <c r="BP216" s="1417" t="str">
        <f t="shared" si="359"/>
        <v>-</v>
      </c>
      <c r="BQ216" s="1419" t="str">
        <f t="shared" si="360"/>
        <v>-</v>
      </c>
      <c r="BR216" s="1378"/>
      <c r="BS216" s="1420"/>
      <c r="BT216" s="1421"/>
      <c r="BU216" s="1422"/>
      <c r="BV216" s="1423"/>
      <c r="BW216" s="1378"/>
      <c r="BX216" s="1412" t="str">
        <f t="shared" si="361"/>
        <v>Price</v>
      </c>
      <c r="BY216" s="1413" t="str">
        <f t="shared" si="406"/>
        <v>[Service]</v>
      </c>
      <c r="BZ216" s="1414" t="str">
        <f t="shared" si="407"/>
        <v>[Price]</v>
      </c>
      <c r="CA216" s="1424" t="str">
        <f>IFERROR((S216/R216-1)*(R218/R$13),"-")</f>
        <v>-</v>
      </c>
      <c r="CB216" s="1415" t="str">
        <f>IFERROR((T216/S216-1)*(S218/S$13),"-")</f>
        <v>-</v>
      </c>
      <c r="CC216" s="1415" t="str">
        <f>IFERROR((U216/T216-1)*(T218/T$13),"-")</f>
        <v>-</v>
      </c>
      <c r="CD216" s="1415" t="str">
        <f>IFERROR((V216/U216-1)*(U218/U$13),"-")</f>
        <v>-</v>
      </c>
      <c r="CE216" s="1415" t="str">
        <f t="shared" ref="CE216:CR216" si="416">IFERROR((T216/S216-1)*(S218/S$13),"-")</f>
        <v>-</v>
      </c>
      <c r="CF216" s="1415" t="str">
        <f t="shared" si="416"/>
        <v>-</v>
      </c>
      <c r="CG216" s="1415" t="str">
        <f t="shared" si="416"/>
        <v>-</v>
      </c>
      <c r="CH216" s="1425" t="str">
        <f t="shared" si="416"/>
        <v>-</v>
      </c>
      <c r="CI216" s="1417" t="str">
        <f t="shared" si="416"/>
        <v>-</v>
      </c>
      <c r="CJ216" s="1417" t="str">
        <f t="shared" si="416"/>
        <v>-</v>
      </c>
      <c r="CK216" s="1417" t="str">
        <f t="shared" si="416"/>
        <v>-</v>
      </c>
      <c r="CL216" s="1417" t="str">
        <f t="shared" si="416"/>
        <v>-</v>
      </c>
      <c r="CM216" s="1418" t="str">
        <f t="shared" si="416"/>
        <v>-</v>
      </c>
      <c r="CN216" s="1417" t="str">
        <f t="shared" si="416"/>
        <v>-</v>
      </c>
      <c r="CO216" s="1417" t="str">
        <f t="shared" si="416"/>
        <v>-</v>
      </c>
      <c r="CP216" s="1417" t="str">
        <f t="shared" si="416"/>
        <v>-</v>
      </c>
      <c r="CQ216" s="1417" t="str">
        <f t="shared" si="416"/>
        <v>-</v>
      </c>
      <c r="CR216" s="1419" t="str">
        <f t="shared" si="416"/>
        <v>-</v>
      </c>
      <c r="CS216" s="1378"/>
      <c r="CT216" s="1412" t="str">
        <f t="shared" si="341"/>
        <v>Price</v>
      </c>
      <c r="CU216" s="1413" t="str">
        <f t="shared" si="342"/>
        <v>[Service]</v>
      </c>
      <c r="CV216" s="1426" t="str">
        <f t="shared" si="343"/>
        <v>[Price]</v>
      </c>
      <c r="CW216" s="1427" t="str">
        <f t="shared" si="363"/>
        <v>-</v>
      </c>
      <c r="CX216" s="1417" t="str">
        <f t="shared" si="364"/>
        <v>-</v>
      </c>
      <c r="CY216" s="1417" t="str">
        <f t="shared" si="365"/>
        <v>-</v>
      </c>
      <c r="CZ216" s="1418" t="str">
        <f t="shared" si="366"/>
        <v>-</v>
      </c>
      <c r="DA216" s="1417" t="str">
        <f t="shared" si="367"/>
        <v>-</v>
      </c>
      <c r="DB216" s="1417" t="str">
        <f t="shared" si="368"/>
        <v>-</v>
      </c>
      <c r="DC216" s="1417" t="str">
        <f t="shared" si="369"/>
        <v>-</v>
      </c>
      <c r="DD216" s="1417" t="str">
        <f t="shared" si="370"/>
        <v>-</v>
      </c>
      <c r="DE216" s="1419" t="str">
        <f t="shared" si="371"/>
        <v>-</v>
      </c>
      <c r="DF216" s="1378"/>
      <c r="DG216" s="1412" t="str">
        <f t="shared" si="383"/>
        <v>Price</v>
      </c>
      <c r="DH216" s="1413" t="str">
        <f t="shared" si="383"/>
        <v>[Service]</v>
      </c>
      <c r="DI216" s="1426" t="str">
        <f t="shared" si="383"/>
        <v>[Price]</v>
      </c>
      <c r="DJ216" s="1427" t="str">
        <f t="shared" si="372"/>
        <v>-</v>
      </c>
      <c r="DK216" s="1417" t="str">
        <f t="shared" si="373"/>
        <v>-</v>
      </c>
      <c r="DL216" s="1417" t="str">
        <f t="shared" si="374"/>
        <v>-</v>
      </c>
      <c r="DM216" s="1418" t="str">
        <f t="shared" si="375"/>
        <v>-</v>
      </c>
      <c r="DN216" s="1417" t="str">
        <f t="shared" si="376"/>
        <v>-</v>
      </c>
      <c r="DO216" s="1417" t="str">
        <f t="shared" si="377"/>
        <v>-</v>
      </c>
      <c r="DP216" s="1417" t="str">
        <f t="shared" si="378"/>
        <v>-</v>
      </c>
      <c r="DQ216" s="1419" t="str">
        <f t="shared" si="379"/>
        <v>-</v>
      </c>
    </row>
    <row r="217" spans="4:121">
      <c r="E217" s="742" t="s">
        <v>45</v>
      </c>
      <c r="F217" s="722" t="str">
        <f>+F216</f>
        <v>[Service]</v>
      </c>
      <c r="G217" s="723">
        <f>+G216</f>
        <v>0</v>
      </c>
      <c r="H217" s="723">
        <f>+H216</f>
        <v>0</v>
      </c>
      <c r="I217" s="724" t="str">
        <f>+I216</f>
        <v>[Price]</v>
      </c>
      <c r="J217" s="782" t="s">
        <v>322</v>
      </c>
      <c r="K217" s="725"/>
      <c r="L217" s="726"/>
      <c r="M217" s="726"/>
      <c r="N217" s="727"/>
      <c r="O217" s="786"/>
      <c r="P217" s="787"/>
      <c r="Q217" s="786"/>
      <c r="R217" s="786"/>
      <c r="S217" s="786"/>
      <c r="T217" s="786"/>
      <c r="U217" s="786"/>
      <c r="V217" s="786"/>
      <c r="W217" s="786"/>
      <c r="X217" s="787"/>
      <c r="Y217" s="786"/>
      <c r="Z217" s="786"/>
      <c r="AA217" s="786"/>
      <c r="AB217" s="786"/>
      <c r="AC217" s="787"/>
      <c r="AD217" s="786"/>
      <c r="AE217" s="786"/>
      <c r="AF217" s="786"/>
      <c r="AG217" s="788"/>
      <c r="AH217" s="823"/>
      <c r="AI217" s="745"/>
      <c r="AJ217" s="728"/>
      <c r="AK217" s="729"/>
      <c r="AL217" s="729"/>
      <c r="AM217" s="729"/>
      <c r="AN217" s="729"/>
      <c r="AO217" s="730"/>
      <c r="AP217" s="74"/>
      <c r="AQ217" s="74"/>
      <c r="AR217" s="74"/>
      <c r="AS217" s="106"/>
      <c r="AW217" s="1392" t="str">
        <f t="shared" si="381"/>
        <v>Qty</v>
      </c>
      <c r="AX217" s="1393" t="str">
        <f t="shared" si="381"/>
        <v>[Service]</v>
      </c>
      <c r="AY217" s="1394" t="str">
        <f t="shared" si="345"/>
        <v>[Price]</v>
      </c>
      <c r="AZ217" s="1395" t="str">
        <f t="shared" si="410"/>
        <v>-</v>
      </c>
      <c r="BA217" s="1395" t="str">
        <f t="shared" si="410"/>
        <v>-</v>
      </c>
      <c r="BB217" s="1395" t="str">
        <f t="shared" si="410"/>
        <v>-</v>
      </c>
      <c r="BC217" s="1395" t="str">
        <f t="shared" si="410"/>
        <v>-</v>
      </c>
      <c r="BD217" s="1395" t="str">
        <f t="shared" si="347"/>
        <v>-</v>
      </c>
      <c r="BE217" s="1395" t="str">
        <f t="shared" si="348"/>
        <v>-</v>
      </c>
      <c r="BF217" s="1395" t="str">
        <f t="shared" si="349"/>
        <v>-</v>
      </c>
      <c r="BG217" s="1396" t="str">
        <f t="shared" si="350"/>
        <v>-</v>
      </c>
      <c r="BH217" s="1395" t="str">
        <f t="shared" si="351"/>
        <v>-</v>
      </c>
      <c r="BI217" s="1395" t="str">
        <f t="shared" si="352"/>
        <v>-</v>
      </c>
      <c r="BJ217" s="1395" t="str">
        <f t="shared" si="353"/>
        <v>-</v>
      </c>
      <c r="BK217" s="1395" t="str">
        <f t="shared" si="354"/>
        <v>-</v>
      </c>
      <c r="BL217" s="1397" t="str">
        <f t="shared" si="355"/>
        <v>-</v>
      </c>
      <c r="BM217" s="1395" t="str">
        <f t="shared" si="356"/>
        <v>-</v>
      </c>
      <c r="BN217" s="1395" t="str">
        <f t="shared" si="357"/>
        <v>-</v>
      </c>
      <c r="BO217" s="1395" t="str">
        <f t="shared" si="358"/>
        <v>-</v>
      </c>
      <c r="BP217" s="1395" t="str">
        <f t="shared" si="359"/>
        <v>-</v>
      </c>
      <c r="BQ217" s="1398" t="str">
        <f t="shared" si="360"/>
        <v>-</v>
      </c>
      <c r="BR217" s="1378"/>
      <c r="BS217" s="1329"/>
      <c r="BT217" s="1399"/>
      <c r="BU217" s="1331"/>
      <c r="BV217" s="1400"/>
      <c r="BW217" s="1378"/>
      <c r="BX217" s="1392" t="str">
        <f t="shared" si="361"/>
        <v>Qty</v>
      </c>
      <c r="BY217" s="1393" t="str">
        <f t="shared" si="406"/>
        <v>[Service]</v>
      </c>
      <c r="BZ217" s="1394" t="str">
        <f t="shared" si="407"/>
        <v>[Price]</v>
      </c>
      <c r="CA217" s="1401" t="str">
        <f>IFERROR((S217/R217-1)*(R218/R$13),"-")</f>
        <v>-</v>
      </c>
      <c r="CB217" s="1395" t="str">
        <f>IFERROR((T217/S217-1)*(S218/S$13),"-")</f>
        <v>-</v>
      </c>
      <c r="CC217" s="1395" t="str">
        <f>IFERROR((U217/T217-1)*(T218/T$13),"-")</f>
        <v>-</v>
      </c>
      <c r="CD217" s="1395" t="str">
        <f>IFERROR((V217/U217-1)*(U218/U$13),"-")</f>
        <v>-</v>
      </c>
      <c r="CE217" s="1395" t="str">
        <f t="shared" ref="CE217:CR217" si="417">IFERROR((T217/S217-1)*(S218/S$13),"-")</f>
        <v>-</v>
      </c>
      <c r="CF217" s="1395" t="str">
        <f t="shared" si="417"/>
        <v>-</v>
      </c>
      <c r="CG217" s="1395" t="str">
        <f t="shared" si="417"/>
        <v>-</v>
      </c>
      <c r="CH217" s="1397" t="str">
        <f t="shared" si="417"/>
        <v>-</v>
      </c>
      <c r="CI217" s="1395" t="str">
        <f t="shared" si="417"/>
        <v>-</v>
      </c>
      <c r="CJ217" s="1395" t="str">
        <f t="shared" si="417"/>
        <v>-</v>
      </c>
      <c r="CK217" s="1395" t="str">
        <f t="shared" si="417"/>
        <v>-</v>
      </c>
      <c r="CL217" s="1395" t="str">
        <f t="shared" si="417"/>
        <v>-</v>
      </c>
      <c r="CM217" s="1397" t="str">
        <f t="shared" si="417"/>
        <v>-</v>
      </c>
      <c r="CN217" s="1395" t="str">
        <f t="shared" si="417"/>
        <v>-</v>
      </c>
      <c r="CO217" s="1395" t="str">
        <f t="shared" si="417"/>
        <v>-</v>
      </c>
      <c r="CP217" s="1395" t="str">
        <f t="shared" si="417"/>
        <v>-</v>
      </c>
      <c r="CQ217" s="1395" t="str">
        <f t="shared" si="417"/>
        <v>-</v>
      </c>
      <c r="CR217" s="1398" t="str">
        <f t="shared" si="417"/>
        <v>-</v>
      </c>
      <c r="CS217" s="1378"/>
      <c r="CT217" s="1392" t="str">
        <f t="shared" si="341"/>
        <v>Qty</v>
      </c>
      <c r="CU217" s="1393" t="str">
        <f t="shared" si="342"/>
        <v>[Service]</v>
      </c>
      <c r="CV217" s="1393" t="str">
        <f t="shared" si="343"/>
        <v>[Price]</v>
      </c>
      <c r="CW217" s="1401" t="str">
        <f t="shared" si="363"/>
        <v>-</v>
      </c>
      <c r="CX217" s="1395" t="str">
        <f t="shared" si="364"/>
        <v>-</v>
      </c>
      <c r="CY217" s="1395" t="str">
        <f t="shared" si="365"/>
        <v>-</v>
      </c>
      <c r="CZ217" s="1397" t="str">
        <f t="shared" si="366"/>
        <v>-</v>
      </c>
      <c r="DA217" s="1395" t="str">
        <f t="shared" si="367"/>
        <v>-</v>
      </c>
      <c r="DB217" s="1395" t="str">
        <f t="shared" si="368"/>
        <v>-</v>
      </c>
      <c r="DC217" s="1395" t="str">
        <f t="shared" si="369"/>
        <v>-</v>
      </c>
      <c r="DD217" s="1395" t="str">
        <f t="shared" si="370"/>
        <v>-</v>
      </c>
      <c r="DE217" s="1398" t="str">
        <f t="shared" si="371"/>
        <v>-</v>
      </c>
      <c r="DF217" s="1378"/>
      <c r="DG217" s="1392" t="str">
        <f t="shared" si="383"/>
        <v>Qty</v>
      </c>
      <c r="DH217" s="1393" t="str">
        <f t="shared" si="383"/>
        <v>[Service]</v>
      </c>
      <c r="DI217" s="1393" t="str">
        <f t="shared" si="383"/>
        <v>[Price]</v>
      </c>
      <c r="DJ217" s="1401" t="str">
        <f t="shared" si="372"/>
        <v>-</v>
      </c>
      <c r="DK217" s="1395" t="str">
        <f t="shared" si="373"/>
        <v>-</v>
      </c>
      <c r="DL217" s="1395" t="str">
        <f t="shared" si="374"/>
        <v>-</v>
      </c>
      <c r="DM217" s="1397" t="str">
        <f t="shared" si="375"/>
        <v>-</v>
      </c>
      <c r="DN217" s="1395" t="str">
        <f t="shared" si="376"/>
        <v>-</v>
      </c>
      <c r="DO217" s="1395" t="str">
        <f t="shared" si="377"/>
        <v>-</v>
      </c>
      <c r="DP217" s="1395" t="str">
        <f t="shared" si="378"/>
        <v>-</v>
      </c>
      <c r="DQ217" s="1398" t="str">
        <f t="shared" si="379"/>
        <v>-</v>
      </c>
    </row>
    <row r="218" spans="4:121" ht="12.75" thickBot="1">
      <c r="E218" s="743" t="s">
        <v>46</v>
      </c>
      <c r="F218" s="732" t="str">
        <f>+F216</f>
        <v>[Service]</v>
      </c>
      <c r="G218" s="733">
        <f>+G216</f>
        <v>0</v>
      </c>
      <c r="H218" s="733">
        <f>+H216</f>
        <v>0</v>
      </c>
      <c r="I218" s="734" t="str">
        <f>+I216</f>
        <v>[Price]</v>
      </c>
      <c r="J218" s="735" t="s">
        <v>344</v>
      </c>
      <c r="K218" s="736">
        <f t="shared" ref="K218:AG218" si="418">K216*K217/10^6</f>
        <v>0</v>
      </c>
      <c r="L218" s="737">
        <f t="shared" si="418"/>
        <v>0</v>
      </c>
      <c r="M218" s="737">
        <f t="shared" si="418"/>
        <v>0</v>
      </c>
      <c r="N218" s="738">
        <f t="shared" si="418"/>
        <v>0</v>
      </c>
      <c r="O218" s="737">
        <f t="shared" si="418"/>
        <v>0</v>
      </c>
      <c r="P218" s="738">
        <f t="shared" si="418"/>
        <v>0</v>
      </c>
      <c r="Q218" s="737">
        <f t="shared" si="418"/>
        <v>0</v>
      </c>
      <c r="R218" s="737">
        <f t="shared" si="418"/>
        <v>0</v>
      </c>
      <c r="S218" s="737">
        <f t="shared" si="418"/>
        <v>0</v>
      </c>
      <c r="T218" s="737">
        <f t="shared" si="418"/>
        <v>0</v>
      </c>
      <c r="U218" s="737">
        <f t="shared" si="418"/>
        <v>0</v>
      </c>
      <c r="V218" s="737">
        <f t="shared" si="418"/>
        <v>0</v>
      </c>
      <c r="W218" s="737">
        <f t="shared" si="418"/>
        <v>0</v>
      </c>
      <c r="X218" s="738">
        <f t="shared" si="418"/>
        <v>0</v>
      </c>
      <c r="Y218" s="737">
        <f t="shared" si="418"/>
        <v>0</v>
      </c>
      <c r="Z218" s="737">
        <f t="shared" si="418"/>
        <v>0</v>
      </c>
      <c r="AA218" s="737">
        <f t="shared" si="418"/>
        <v>0</v>
      </c>
      <c r="AB218" s="737">
        <f t="shared" si="418"/>
        <v>0</v>
      </c>
      <c r="AC218" s="738">
        <f t="shared" si="418"/>
        <v>0</v>
      </c>
      <c r="AD218" s="737">
        <f t="shared" si="418"/>
        <v>0</v>
      </c>
      <c r="AE218" s="737">
        <f t="shared" si="418"/>
        <v>0</v>
      </c>
      <c r="AF218" s="737">
        <f t="shared" si="418"/>
        <v>0</v>
      </c>
      <c r="AG218" s="739">
        <f t="shared" si="418"/>
        <v>0</v>
      </c>
      <c r="AH218" s="823"/>
      <c r="AI218" s="745"/>
      <c r="AJ218" s="741"/>
      <c r="AK218" s="729"/>
      <c r="AL218" s="729"/>
      <c r="AM218" s="729"/>
      <c r="AN218" s="729"/>
      <c r="AO218" s="730"/>
      <c r="AP218" s="74"/>
      <c r="AQ218" s="74"/>
      <c r="AR218" s="74"/>
      <c r="AS218" s="106"/>
      <c r="AW218" s="1428" t="str">
        <f t="shared" si="381"/>
        <v>Rev</v>
      </c>
      <c r="AX218" s="1429" t="str">
        <f t="shared" si="381"/>
        <v>[Service]</v>
      </c>
      <c r="AY218" s="1430" t="str">
        <f t="shared" si="345"/>
        <v>[Price]</v>
      </c>
      <c r="AZ218" s="1431" t="str">
        <f t="shared" si="410"/>
        <v>-</v>
      </c>
      <c r="BA218" s="1431" t="str">
        <f t="shared" si="410"/>
        <v>-</v>
      </c>
      <c r="BB218" s="1431" t="str">
        <f t="shared" si="410"/>
        <v>-</v>
      </c>
      <c r="BC218" s="1431" t="str">
        <f t="shared" si="410"/>
        <v>-</v>
      </c>
      <c r="BD218" s="1431" t="str">
        <f t="shared" si="347"/>
        <v>-</v>
      </c>
      <c r="BE218" s="1431" t="str">
        <f t="shared" si="348"/>
        <v>-</v>
      </c>
      <c r="BF218" s="1431" t="str">
        <f t="shared" si="349"/>
        <v>-</v>
      </c>
      <c r="BG218" s="1432" t="str">
        <f t="shared" si="350"/>
        <v>-</v>
      </c>
      <c r="BH218" s="1431" t="str">
        <f t="shared" si="351"/>
        <v>-</v>
      </c>
      <c r="BI218" s="1431" t="str">
        <f t="shared" si="352"/>
        <v>-</v>
      </c>
      <c r="BJ218" s="1431" t="str">
        <f t="shared" si="353"/>
        <v>-</v>
      </c>
      <c r="BK218" s="1431" t="str">
        <f t="shared" si="354"/>
        <v>-</v>
      </c>
      <c r="BL218" s="1433" t="str">
        <f t="shared" si="355"/>
        <v>-</v>
      </c>
      <c r="BM218" s="1431" t="str">
        <f t="shared" si="356"/>
        <v>-</v>
      </c>
      <c r="BN218" s="1431" t="str">
        <f t="shared" si="357"/>
        <v>-</v>
      </c>
      <c r="BO218" s="1431" t="str">
        <f t="shared" si="358"/>
        <v>-</v>
      </c>
      <c r="BP218" s="1431" t="str">
        <f t="shared" si="359"/>
        <v>-</v>
      </c>
      <c r="BQ218" s="1434" t="str">
        <f t="shared" si="360"/>
        <v>-</v>
      </c>
      <c r="BR218" s="1378"/>
      <c r="BS218" s="1407"/>
      <c r="BT218" s="1408"/>
      <c r="BU218" s="1409"/>
      <c r="BV218" s="1410"/>
      <c r="BW218" s="1378"/>
      <c r="BX218" s="1428" t="str">
        <f t="shared" si="361"/>
        <v>Rev</v>
      </c>
      <c r="BY218" s="1429" t="str">
        <f t="shared" si="406"/>
        <v>[Service]</v>
      </c>
      <c r="BZ218" s="1430" t="str">
        <f t="shared" si="407"/>
        <v>[Price]</v>
      </c>
      <c r="CA218" s="1435" t="str">
        <f>IFERROR((S218/R218-1)*(R218/R$13),"-")</f>
        <v>-</v>
      </c>
      <c r="CB218" s="1431" t="str">
        <f>IFERROR((T218/S218-1)*(S218/S$13),"-")</f>
        <v>-</v>
      </c>
      <c r="CC218" s="1431" t="str">
        <f>IFERROR((U218/T218-1)*(T218/T$13),"-")</f>
        <v>-</v>
      </c>
      <c r="CD218" s="1431" t="str">
        <f>IFERROR((V218/U218-1)*(U218/U$13),"-")</f>
        <v>-</v>
      </c>
      <c r="CE218" s="1431" t="str">
        <f t="shared" ref="CE218:CR218" si="419">IFERROR((T218/S218-1)*(S218/S$13),"-")</f>
        <v>-</v>
      </c>
      <c r="CF218" s="1431" t="str">
        <f t="shared" si="419"/>
        <v>-</v>
      </c>
      <c r="CG218" s="1431" t="str">
        <f t="shared" si="419"/>
        <v>-</v>
      </c>
      <c r="CH218" s="1433" t="str">
        <f t="shared" si="419"/>
        <v>-</v>
      </c>
      <c r="CI218" s="1431" t="str">
        <f t="shared" si="419"/>
        <v>-</v>
      </c>
      <c r="CJ218" s="1431" t="str">
        <f t="shared" si="419"/>
        <v>-</v>
      </c>
      <c r="CK218" s="1431" t="str">
        <f t="shared" si="419"/>
        <v>-</v>
      </c>
      <c r="CL218" s="1431" t="str">
        <f t="shared" si="419"/>
        <v>-</v>
      </c>
      <c r="CM218" s="1433" t="str">
        <f t="shared" si="419"/>
        <v>-</v>
      </c>
      <c r="CN218" s="1431" t="str">
        <f t="shared" si="419"/>
        <v>-</v>
      </c>
      <c r="CO218" s="1431" t="str">
        <f t="shared" si="419"/>
        <v>-</v>
      </c>
      <c r="CP218" s="1431" t="str">
        <f t="shared" si="419"/>
        <v>-</v>
      </c>
      <c r="CQ218" s="1431" t="str">
        <f t="shared" si="419"/>
        <v>-</v>
      </c>
      <c r="CR218" s="1434" t="str">
        <f t="shared" si="419"/>
        <v>-</v>
      </c>
      <c r="CS218" s="1378"/>
      <c r="CT218" s="1428" t="str">
        <f t="shared" si="341"/>
        <v>Rev</v>
      </c>
      <c r="CU218" s="1429" t="str">
        <f t="shared" si="342"/>
        <v>[Service]</v>
      </c>
      <c r="CV218" s="1429" t="str">
        <f t="shared" si="343"/>
        <v>[Price]</v>
      </c>
      <c r="CW218" s="1435" t="str">
        <f t="shared" si="363"/>
        <v>-</v>
      </c>
      <c r="CX218" s="1431" t="str">
        <f t="shared" si="364"/>
        <v>-</v>
      </c>
      <c r="CY218" s="1431" t="str">
        <f t="shared" si="365"/>
        <v>-</v>
      </c>
      <c r="CZ218" s="1433" t="str">
        <f t="shared" si="366"/>
        <v>-</v>
      </c>
      <c r="DA218" s="1431" t="str">
        <f t="shared" si="367"/>
        <v>-</v>
      </c>
      <c r="DB218" s="1431" t="str">
        <f t="shared" si="368"/>
        <v>-</v>
      </c>
      <c r="DC218" s="1431" t="str">
        <f t="shared" si="369"/>
        <v>-</v>
      </c>
      <c r="DD218" s="1431" t="str">
        <f t="shared" si="370"/>
        <v>-</v>
      </c>
      <c r="DE218" s="1434" t="str">
        <f t="shared" si="371"/>
        <v>-</v>
      </c>
      <c r="DF218" s="1378"/>
      <c r="DG218" s="1428" t="str">
        <f t="shared" si="383"/>
        <v>Rev</v>
      </c>
      <c r="DH218" s="1429" t="str">
        <f t="shared" si="383"/>
        <v>[Service]</v>
      </c>
      <c r="DI218" s="1429" t="str">
        <f t="shared" si="383"/>
        <v>[Price]</v>
      </c>
      <c r="DJ218" s="1435" t="str">
        <f t="shared" si="372"/>
        <v>-</v>
      </c>
      <c r="DK218" s="1431" t="str">
        <f t="shared" si="373"/>
        <v>-</v>
      </c>
      <c r="DL218" s="1431" t="str">
        <f t="shared" si="374"/>
        <v>-</v>
      </c>
      <c r="DM218" s="1433" t="str">
        <f t="shared" si="375"/>
        <v>-</v>
      </c>
      <c r="DN218" s="1431" t="str">
        <f t="shared" si="376"/>
        <v>-</v>
      </c>
      <c r="DO218" s="1431" t="str">
        <f t="shared" si="377"/>
        <v>-</v>
      </c>
      <c r="DP218" s="1431" t="str">
        <f t="shared" si="378"/>
        <v>-</v>
      </c>
      <c r="DQ218" s="1434" t="str">
        <f t="shared" si="379"/>
        <v>-</v>
      </c>
    </row>
    <row r="219" spans="4:121">
      <c r="D219" s="70">
        <f>D216+1</f>
        <v>51</v>
      </c>
      <c r="E219" s="713" t="s">
        <v>44</v>
      </c>
      <c r="F219" s="789" t="s">
        <v>27</v>
      </c>
      <c r="G219" s="789"/>
      <c r="H219" s="789"/>
      <c r="I219" s="781" t="s">
        <v>318</v>
      </c>
      <c r="J219" s="781" t="s">
        <v>345</v>
      </c>
      <c r="K219" s="714"/>
      <c r="L219" s="715"/>
      <c r="M219" s="715"/>
      <c r="N219" s="716"/>
      <c r="O219" s="783"/>
      <c r="P219" s="784"/>
      <c r="Q219" s="783"/>
      <c r="R219" s="783"/>
      <c r="S219" s="783"/>
      <c r="T219" s="783"/>
      <c r="U219" s="783"/>
      <c r="V219" s="783"/>
      <c r="W219" s="783"/>
      <c r="X219" s="784"/>
      <c r="Y219" s="783"/>
      <c r="Z219" s="783"/>
      <c r="AA219" s="783"/>
      <c r="AB219" s="783"/>
      <c r="AC219" s="784"/>
      <c r="AD219" s="783"/>
      <c r="AE219" s="783"/>
      <c r="AF219" s="783"/>
      <c r="AG219" s="785"/>
      <c r="AI219" s="745"/>
      <c r="AJ219" s="717" t="str">
        <f t="shared" ref="AJ219:AS219" si="420">IFERROR((X219-W219)/W219,"")</f>
        <v/>
      </c>
      <c r="AK219" s="718" t="str">
        <f t="shared" si="420"/>
        <v/>
      </c>
      <c r="AL219" s="718" t="str">
        <f t="shared" si="420"/>
        <v/>
      </c>
      <c r="AM219" s="718" t="str">
        <f t="shared" si="420"/>
        <v/>
      </c>
      <c r="AN219" s="718" t="str">
        <f t="shared" si="420"/>
        <v/>
      </c>
      <c r="AO219" s="719" t="str">
        <f t="shared" si="420"/>
        <v/>
      </c>
      <c r="AP219" s="494" t="str">
        <f t="shared" si="420"/>
        <v/>
      </c>
      <c r="AQ219" s="494" t="str">
        <f t="shared" si="420"/>
        <v/>
      </c>
      <c r="AR219" s="494" t="str">
        <f t="shared" si="420"/>
        <v/>
      </c>
      <c r="AS219" s="720" t="str">
        <f t="shared" si="420"/>
        <v/>
      </c>
      <c r="AU219" s="1369"/>
      <c r="AW219" s="1412" t="str">
        <f t="shared" si="381"/>
        <v>Price</v>
      </c>
      <c r="AX219" s="1413" t="str">
        <f t="shared" si="381"/>
        <v>[Service]</v>
      </c>
      <c r="AY219" s="1414" t="str">
        <f t="shared" si="345"/>
        <v>[Price]</v>
      </c>
      <c r="AZ219" s="1415" t="str">
        <f t="shared" si="410"/>
        <v>-</v>
      </c>
      <c r="BA219" s="1415" t="str">
        <f t="shared" si="410"/>
        <v>-</v>
      </c>
      <c r="BB219" s="1415" t="str">
        <f t="shared" si="410"/>
        <v>-</v>
      </c>
      <c r="BC219" s="1415" t="str">
        <f t="shared" si="410"/>
        <v>-</v>
      </c>
      <c r="BD219" s="1415" t="str">
        <f t="shared" si="347"/>
        <v>-</v>
      </c>
      <c r="BE219" s="1415" t="str">
        <f t="shared" si="348"/>
        <v>-</v>
      </c>
      <c r="BF219" s="1415" t="str">
        <f t="shared" si="349"/>
        <v>-</v>
      </c>
      <c r="BG219" s="1416" t="str">
        <f t="shared" si="350"/>
        <v>-</v>
      </c>
      <c r="BH219" s="1417" t="str">
        <f t="shared" si="351"/>
        <v>-</v>
      </c>
      <c r="BI219" s="1417" t="str">
        <f t="shared" si="352"/>
        <v>-</v>
      </c>
      <c r="BJ219" s="1417" t="str">
        <f t="shared" si="353"/>
        <v>-</v>
      </c>
      <c r="BK219" s="1417" t="str">
        <f t="shared" si="354"/>
        <v>-</v>
      </c>
      <c r="BL219" s="1418" t="str">
        <f t="shared" si="355"/>
        <v>-</v>
      </c>
      <c r="BM219" s="1417" t="str">
        <f t="shared" si="356"/>
        <v>-</v>
      </c>
      <c r="BN219" s="1417" t="str">
        <f t="shared" si="357"/>
        <v>-</v>
      </c>
      <c r="BO219" s="1417" t="str">
        <f t="shared" si="358"/>
        <v>-</v>
      </c>
      <c r="BP219" s="1417" t="str">
        <f t="shared" si="359"/>
        <v>-</v>
      </c>
      <c r="BQ219" s="1419" t="str">
        <f t="shared" si="360"/>
        <v>-</v>
      </c>
      <c r="BR219" s="1378"/>
      <c r="BS219" s="1420"/>
      <c r="BT219" s="1421"/>
      <c r="BU219" s="1422"/>
      <c r="BV219" s="1423"/>
      <c r="BW219" s="1378"/>
      <c r="BX219" s="1412" t="str">
        <f t="shared" si="361"/>
        <v>Price</v>
      </c>
      <c r="BY219" s="1413" t="str">
        <f t="shared" si="406"/>
        <v>[Service]</v>
      </c>
      <c r="BZ219" s="1414" t="str">
        <f t="shared" si="407"/>
        <v>[Price]</v>
      </c>
      <c r="CA219" s="1424" t="str">
        <f>IFERROR((S219/R219-1)*(R221/R$13),"-")</f>
        <v>-</v>
      </c>
      <c r="CB219" s="1415" t="str">
        <f>IFERROR((T219/S219-1)*(S221/S$13),"-")</f>
        <v>-</v>
      </c>
      <c r="CC219" s="1415" t="str">
        <f>IFERROR((U219/T219-1)*(T221/T$13),"-")</f>
        <v>-</v>
      </c>
      <c r="CD219" s="1415" t="str">
        <f>IFERROR((V219/U219-1)*(U221/U$13),"-")</f>
        <v>-</v>
      </c>
      <c r="CE219" s="1415" t="str">
        <f t="shared" ref="CE219:CR219" si="421">IFERROR((T219/S219-1)*(S221/S$13),"-")</f>
        <v>-</v>
      </c>
      <c r="CF219" s="1415" t="str">
        <f t="shared" si="421"/>
        <v>-</v>
      </c>
      <c r="CG219" s="1415" t="str">
        <f t="shared" si="421"/>
        <v>-</v>
      </c>
      <c r="CH219" s="1425" t="str">
        <f t="shared" si="421"/>
        <v>-</v>
      </c>
      <c r="CI219" s="1417" t="str">
        <f t="shared" si="421"/>
        <v>-</v>
      </c>
      <c r="CJ219" s="1417" t="str">
        <f t="shared" si="421"/>
        <v>-</v>
      </c>
      <c r="CK219" s="1417" t="str">
        <f t="shared" si="421"/>
        <v>-</v>
      </c>
      <c r="CL219" s="1417" t="str">
        <f t="shared" si="421"/>
        <v>-</v>
      </c>
      <c r="CM219" s="1418" t="str">
        <f t="shared" si="421"/>
        <v>-</v>
      </c>
      <c r="CN219" s="1417" t="str">
        <f t="shared" si="421"/>
        <v>-</v>
      </c>
      <c r="CO219" s="1417" t="str">
        <f t="shared" si="421"/>
        <v>-</v>
      </c>
      <c r="CP219" s="1417" t="str">
        <f t="shared" si="421"/>
        <v>-</v>
      </c>
      <c r="CQ219" s="1417" t="str">
        <f t="shared" si="421"/>
        <v>-</v>
      </c>
      <c r="CR219" s="1419" t="str">
        <f t="shared" si="421"/>
        <v>-</v>
      </c>
      <c r="CS219" s="1378"/>
      <c r="CT219" s="1412" t="str">
        <f t="shared" si="341"/>
        <v>Price</v>
      </c>
      <c r="CU219" s="1413" t="str">
        <f t="shared" si="342"/>
        <v>[Service]</v>
      </c>
      <c r="CV219" s="1426" t="str">
        <f t="shared" si="343"/>
        <v>[Price]</v>
      </c>
      <c r="CW219" s="1427" t="str">
        <f t="shared" si="363"/>
        <v>-</v>
      </c>
      <c r="CX219" s="1417" t="str">
        <f t="shared" si="364"/>
        <v>-</v>
      </c>
      <c r="CY219" s="1417" t="str">
        <f t="shared" si="365"/>
        <v>-</v>
      </c>
      <c r="CZ219" s="1418" t="str">
        <f t="shared" si="366"/>
        <v>-</v>
      </c>
      <c r="DA219" s="1417" t="str">
        <f t="shared" si="367"/>
        <v>-</v>
      </c>
      <c r="DB219" s="1417" t="str">
        <f t="shared" si="368"/>
        <v>-</v>
      </c>
      <c r="DC219" s="1417" t="str">
        <f t="shared" si="369"/>
        <v>-</v>
      </c>
      <c r="DD219" s="1417" t="str">
        <f t="shared" si="370"/>
        <v>-</v>
      </c>
      <c r="DE219" s="1419" t="str">
        <f t="shared" si="371"/>
        <v>-</v>
      </c>
      <c r="DF219" s="1378"/>
      <c r="DG219" s="1412" t="str">
        <f t="shared" si="383"/>
        <v>Price</v>
      </c>
      <c r="DH219" s="1413" t="str">
        <f t="shared" si="383"/>
        <v>[Service]</v>
      </c>
      <c r="DI219" s="1426" t="str">
        <f t="shared" si="383"/>
        <v>[Price]</v>
      </c>
      <c r="DJ219" s="1427" t="str">
        <f t="shared" si="372"/>
        <v>-</v>
      </c>
      <c r="DK219" s="1417" t="str">
        <f t="shared" si="373"/>
        <v>-</v>
      </c>
      <c r="DL219" s="1417" t="str">
        <f t="shared" si="374"/>
        <v>-</v>
      </c>
      <c r="DM219" s="1418" t="str">
        <f t="shared" si="375"/>
        <v>-</v>
      </c>
      <c r="DN219" s="1417" t="str">
        <f t="shared" si="376"/>
        <v>-</v>
      </c>
      <c r="DO219" s="1417" t="str">
        <f t="shared" si="377"/>
        <v>-</v>
      </c>
      <c r="DP219" s="1417" t="str">
        <f t="shared" si="378"/>
        <v>-</v>
      </c>
      <c r="DQ219" s="1419" t="str">
        <f t="shared" si="379"/>
        <v>-</v>
      </c>
    </row>
    <row r="220" spans="4:121">
      <c r="E220" s="742" t="s">
        <v>45</v>
      </c>
      <c r="F220" s="722" t="str">
        <f>+F219</f>
        <v>[Service]</v>
      </c>
      <c r="G220" s="723">
        <f>+G219</f>
        <v>0</v>
      </c>
      <c r="H220" s="723">
        <f>+H219</f>
        <v>0</v>
      </c>
      <c r="I220" s="724" t="str">
        <f>+I219</f>
        <v>[Price]</v>
      </c>
      <c r="J220" s="782" t="s">
        <v>322</v>
      </c>
      <c r="K220" s="725"/>
      <c r="L220" s="726"/>
      <c r="M220" s="726"/>
      <c r="N220" s="727"/>
      <c r="O220" s="786"/>
      <c r="P220" s="787"/>
      <c r="Q220" s="786"/>
      <c r="R220" s="786"/>
      <c r="S220" s="786"/>
      <c r="T220" s="786"/>
      <c r="U220" s="786"/>
      <c r="V220" s="786"/>
      <c r="W220" s="786"/>
      <c r="X220" s="787"/>
      <c r="Y220" s="786"/>
      <c r="Z220" s="786"/>
      <c r="AA220" s="786"/>
      <c r="AB220" s="786"/>
      <c r="AC220" s="787"/>
      <c r="AD220" s="786"/>
      <c r="AE220" s="786"/>
      <c r="AF220" s="786"/>
      <c r="AG220" s="788"/>
      <c r="AH220" s="823"/>
      <c r="AI220" s="745"/>
      <c r="AJ220" s="728"/>
      <c r="AK220" s="729"/>
      <c r="AL220" s="729"/>
      <c r="AM220" s="729"/>
      <c r="AN220" s="729"/>
      <c r="AO220" s="730"/>
      <c r="AP220" s="74"/>
      <c r="AQ220" s="74"/>
      <c r="AR220" s="74"/>
      <c r="AS220" s="106"/>
      <c r="AW220" s="1392" t="str">
        <f t="shared" si="381"/>
        <v>Qty</v>
      </c>
      <c r="AX220" s="1393" t="str">
        <f t="shared" si="381"/>
        <v>[Service]</v>
      </c>
      <c r="AY220" s="1394" t="str">
        <f t="shared" si="345"/>
        <v>[Price]</v>
      </c>
      <c r="AZ220" s="1395" t="str">
        <f t="shared" si="410"/>
        <v>-</v>
      </c>
      <c r="BA220" s="1395" t="str">
        <f t="shared" si="410"/>
        <v>-</v>
      </c>
      <c r="BB220" s="1395" t="str">
        <f t="shared" si="410"/>
        <v>-</v>
      </c>
      <c r="BC220" s="1395" t="str">
        <f t="shared" si="410"/>
        <v>-</v>
      </c>
      <c r="BD220" s="1395" t="str">
        <f t="shared" si="347"/>
        <v>-</v>
      </c>
      <c r="BE220" s="1395" t="str">
        <f t="shared" si="348"/>
        <v>-</v>
      </c>
      <c r="BF220" s="1395" t="str">
        <f t="shared" si="349"/>
        <v>-</v>
      </c>
      <c r="BG220" s="1396" t="str">
        <f t="shared" si="350"/>
        <v>-</v>
      </c>
      <c r="BH220" s="1395" t="str">
        <f t="shared" si="351"/>
        <v>-</v>
      </c>
      <c r="BI220" s="1395" t="str">
        <f t="shared" si="352"/>
        <v>-</v>
      </c>
      <c r="BJ220" s="1395" t="str">
        <f t="shared" si="353"/>
        <v>-</v>
      </c>
      <c r="BK220" s="1395" t="str">
        <f t="shared" si="354"/>
        <v>-</v>
      </c>
      <c r="BL220" s="1397" t="str">
        <f t="shared" si="355"/>
        <v>-</v>
      </c>
      <c r="BM220" s="1395" t="str">
        <f t="shared" si="356"/>
        <v>-</v>
      </c>
      <c r="BN220" s="1395" t="str">
        <f t="shared" si="357"/>
        <v>-</v>
      </c>
      <c r="BO220" s="1395" t="str">
        <f t="shared" si="358"/>
        <v>-</v>
      </c>
      <c r="BP220" s="1395" t="str">
        <f t="shared" si="359"/>
        <v>-</v>
      </c>
      <c r="BQ220" s="1398" t="str">
        <f t="shared" si="360"/>
        <v>-</v>
      </c>
      <c r="BR220" s="1378"/>
      <c r="BS220" s="1329"/>
      <c r="BT220" s="1399"/>
      <c r="BU220" s="1331"/>
      <c r="BV220" s="1400"/>
      <c r="BW220" s="1378"/>
      <c r="BX220" s="1392" t="str">
        <f t="shared" si="361"/>
        <v>Qty</v>
      </c>
      <c r="BY220" s="1393" t="str">
        <f t="shared" si="406"/>
        <v>[Service]</v>
      </c>
      <c r="BZ220" s="1394" t="str">
        <f t="shared" si="407"/>
        <v>[Price]</v>
      </c>
      <c r="CA220" s="1401" t="str">
        <f>IFERROR((S220/R220-1)*(R221/R$13),"-")</f>
        <v>-</v>
      </c>
      <c r="CB220" s="1395" t="str">
        <f>IFERROR((T220/S220-1)*(S221/S$13),"-")</f>
        <v>-</v>
      </c>
      <c r="CC220" s="1395" t="str">
        <f>IFERROR((U220/T220-1)*(T221/T$13),"-")</f>
        <v>-</v>
      </c>
      <c r="CD220" s="1395" t="str">
        <f>IFERROR((V220/U220-1)*(U221/U$13),"-")</f>
        <v>-</v>
      </c>
      <c r="CE220" s="1395" t="str">
        <f t="shared" ref="CE220:CR220" si="422">IFERROR((T220/S220-1)*(S221/S$13),"-")</f>
        <v>-</v>
      </c>
      <c r="CF220" s="1395" t="str">
        <f t="shared" si="422"/>
        <v>-</v>
      </c>
      <c r="CG220" s="1395" t="str">
        <f t="shared" si="422"/>
        <v>-</v>
      </c>
      <c r="CH220" s="1397" t="str">
        <f t="shared" si="422"/>
        <v>-</v>
      </c>
      <c r="CI220" s="1395" t="str">
        <f t="shared" si="422"/>
        <v>-</v>
      </c>
      <c r="CJ220" s="1395" t="str">
        <f t="shared" si="422"/>
        <v>-</v>
      </c>
      <c r="CK220" s="1395" t="str">
        <f t="shared" si="422"/>
        <v>-</v>
      </c>
      <c r="CL220" s="1395" t="str">
        <f t="shared" si="422"/>
        <v>-</v>
      </c>
      <c r="CM220" s="1397" t="str">
        <f t="shared" si="422"/>
        <v>-</v>
      </c>
      <c r="CN220" s="1395" t="str">
        <f t="shared" si="422"/>
        <v>-</v>
      </c>
      <c r="CO220" s="1395" t="str">
        <f t="shared" si="422"/>
        <v>-</v>
      </c>
      <c r="CP220" s="1395" t="str">
        <f t="shared" si="422"/>
        <v>-</v>
      </c>
      <c r="CQ220" s="1395" t="str">
        <f t="shared" si="422"/>
        <v>-</v>
      </c>
      <c r="CR220" s="1398" t="str">
        <f t="shared" si="422"/>
        <v>-</v>
      </c>
      <c r="CS220" s="1378"/>
      <c r="CT220" s="1392" t="str">
        <f t="shared" si="341"/>
        <v>Qty</v>
      </c>
      <c r="CU220" s="1393" t="str">
        <f t="shared" si="342"/>
        <v>[Service]</v>
      </c>
      <c r="CV220" s="1393" t="str">
        <f t="shared" si="343"/>
        <v>[Price]</v>
      </c>
      <c r="CW220" s="1401" t="str">
        <f t="shared" si="363"/>
        <v>-</v>
      </c>
      <c r="CX220" s="1395" t="str">
        <f t="shared" si="364"/>
        <v>-</v>
      </c>
      <c r="CY220" s="1395" t="str">
        <f t="shared" si="365"/>
        <v>-</v>
      </c>
      <c r="CZ220" s="1397" t="str">
        <f t="shared" si="366"/>
        <v>-</v>
      </c>
      <c r="DA220" s="1395" t="str">
        <f t="shared" si="367"/>
        <v>-</v>
      </c>
      <c r="DB220" s="1395" t="str">
        <f t="shared" si="368"/>
        <v>-</v>
      </c>
      <c r="DC220" s="1395" t="str">
        <f t="shared" si="369"/>
        <v>-</v>
      </c>
      <c r="DD220" s="1395" t="str">
        <f t="shared" si="370"/>
        <v>-</v>
      </c>
      <c r="DE220" s="1398" t="str">
        <f t="shared" si="371"/>
        <v>-</v>
      </c>
      <c r="DF220" s="1378"/>
      <c r="DG220" s="1392" t="str">
        <f t="shared" si="383"/>
        <v>Qty</v>
      </c>
      <c r="DH220" s="1393" t="str">
        <f t="shared" si="383"/>
        <v>[Service]</v>
      </c>
      <c r="DI220" s="1393" t="str">
        <f t="shared" si="383"/>
        <v>[Price]</v>
      </c>
      <c r="DJ220" s="1401" t="str">
        <f t="shared" si="372"/>
        <v>-</v>
      </c>
      <c r="DK220" s="1395" t="str">
        <f t="shared" si="373"/>
        <v>-</v>
      </c>
      <c r="DL220" s="1395" t="str">
        <f t="shared" si="374"/>
        <v>-</v>
      </c>
      <c r="DM220" s="1397" t="str">
        <f t="shared" si="375"/>
        <v>-</v>
      </c>
      <c r="DN220" s="1395" t="str">
        <f t="shared" si="376"/>
        <v>-</v>
      </c>
      <c r="DO220" s="1395" t="str">
        <f t="shared" si="377"/>
        <v>-</v>
      </c>
      <c r="DP220" s="1395" t="str">
        <f t="shared" si="378"/>
        <v>-</v>
      </c>
      <c r="DQ220" s="1398" t="str">
        <f t="shared" si="379"/>
        <v>-</v>
      </c>
    </row>
    <row r="221" spans="4:121" ht="12.75" thickBot="1">
      <c r="E221" s="743" t="s">
        <v>46</v>
      </c>
      <c r="F221" s="732" t="str">
        <f>+F219</f>
        <v>[Service]</v>
      </c>
      <c r="G221" s="733">
        <f>+G219</f>
        <v>0</v>
      </c>
      <c r="H221" s="733">
        <f>+H219</f>
        <v>0</v>
      </c>
      <c r="I221" s="734" t="str">
        <f>+I219</f>
        <v>[Price]</v>
      </c>
      <c r="J221" s="735" t="s">
        <v>344</v>
      </c>
      <c r="K221" s="736">
        <f t="shared" ref="K221:AG221" si="423">K219*K220/10^6</f>
        <v>0</v>
      </c>
      <c r="L221" s="737">
        <f t="shared" si="423"/>
        <v>0</v>
      </c>
      <c r="M221" s="737">
        <f t="shared" si="423"/>
        <v>0</v>
      </c>
      <c r="N221" s="738">
        <f t="shared" si="423"/>
        <v>0</v>
      </c>
      <c r="O221" s="737">
        <f t="shared" si="423"/>
        <v>0</v>
      </c>
      <c r="P221" s="738">
        <f t="shared" si="423"/>
        <v>0</v>
      </c>
      <c r="Q221" s="737">
        <f t="shared" si="423"/>
        <v>0</v>
      </c>
      <c r="R221" s="737">
        <f t="shared" si="423"/>
        <v>0</v>
      </c>
      <c r="S221" s="737">
        <f t="shared" si="423"/>
        <v>0</v>
      </c>
      <c r="T221" s="737">
        <f t="shared" si="423"/>
        <v>0</v>
      </c>
      <c r="U221" s="737">
        <f t="shared" si="423"/>
        <v>0</v>
      </c>
      <c r="V221" s="737">
        <f t="shared" si="423"/>
        <v>0</v>
      </c>
      <c r="W221" s="737">
        <f t="shared" si="423"/>
        <v>0</v>
      </c>
      <c r="X221" s="738">
        <f t="shared" si="423"/>
        <v>0</v>
      </c>
      <c r="Y221" s="737">
        <f t="shared" si="423"/>
        <v>0</v>
      </c>
      <c r="Z221" s="737">
        <f t="shared" si="423"/>
        <v>0</v>
      </c>
      <c r="AA221" s="737">
        <f t="shared" si="423"/>
        <v>0</v>
      </c>
      <c r="AB221" s="737">
        <f t="shared" si="423"/>
        <v>0</v>
      </c>
      <c r="AC221" s="738">
        <f t="shared" si="423"/>
        <v>0</v>
      </c>
      <c r="AD221" s="737">
        <f t="shared" si="423"/>
        <v>0</v>
      </c>
      <c r="AE221" s="737">
        <f t="shared" si="423"/>
        <v>0</v>
      </c>
      <c r="AF221" s="737">
        <f t="shared" si="423"/>
        <v>0</v>
      </c>
      <c r="AG221" s="739">
        <f t="shared" si="423"/>
        <v>0</v>
      </c>
      <c r="AH221" s="823"/>
      <c r="AI221" s="745"/>
      <c r="AJ221" s="741"/>
      <c r="AK221" s="729"/>
      <c r="AL221" s="729"/>
      <c r="AM221" s="729"/>
      <c r="AN221" s="729"/>
      <c r="AO221" s="730"/>
      <c r="AP221" s="74"/>
      <c r="AQ221" s="74"/>
      <c r="AR221" s="74"/>
      <c r="AS221" s="106"/>
      <c r="AW221" s="1428" t="str">
        <f t="shared" si="381"/>
        <v>Rev</v>
      </c>
      <c r="AX221" s="1429" t="str">
        <f t="shared" si="381"/>
        <v>[Service]</v>
      </c>
      <c r="AY221" s="1430" t="str">
        <f t="shared" si="345"/>
        <v>[Price]</v>
      </c>
      <c r="AZ221" s="1431" t="str">
        <f t="shared" si="410"/>
        <v>-</v>
      </c>
      <c r="BA221" s="1431" t="str">
        <f t="shared" si="410"/>
        <v>-</v>
      </c>
      <c r="BB221" s="1431" t="str">
        <f t="shared" si="410"/>
        <v>-</v>
      </c>
      <c r="BC221" s="1431" t="str">
        <f t="shared" si="410"/>
        <v>-</v>
      </c>
      <c r="BD221" s="1431" t="str">
        <f t="shared" si="347"/>
        <v>-</v>
      </c>
      <c r="BE221" s="1431" t="str">
        <f t="shared" si="348"/>
        <v>-</v>
      </c>
      <c r="BF221" s="1431" t="str">
        <f t="shared" si="349"/>
        <v>-</v>
      </c>
      <c r="BG221" s="1432" t="str">
        <f t="shared" si="350"/>
        <v>-</v>
      </c>
      <c r="BH221" s="1431" t="str">
        <f t="shared" si="351"/>
        <v>-</v>
      </c>
      <c r="BI221" s="1431" t="str">
        <f t="shared" si="352"/>
        <v>-</v>
      </c>
      <c r="BJ221" s="1431" t="str">
        <f t="shared" si="353"/>
        <v>-</v>
      </c>
      <c r="BK221" s="1431" t="str">
        <f t="shared" si="354"/>
        <v>-</v>
      </c>
      <c r="BL221" s="1433" t="str">
        <f t="shared" si="355"/>
        <v>-</v>
      </c>
      <c r="BM221" s="1431" t="str">
        <f t="shared" si="356"/>
        <v>-</v>
      </c>
      <c r="BN221" s="1431" t="str">
        <f t="shared" si="357"/>
        <v>-</v>
      </c>
      <c r="BO221" s="1431" t="str">
        <f t="shared" si="358"/>
        <v>-</v>
      </c>
      <c r="BP221" s="1431" t="str">
        <f t="shared" si="359"/>
        <v>-</v>
      </c>
      <c r="BQ221" s="1434" t="str">
        <f t="shared" si="360"/>
        <v>-</v>
      </c>
      <c r="BR221" s="1378"/>
      <c r="BS221" s="1407"/>
      <c r="BT221" s="1408"/>
      <c r="BU221" s="1409"/>
      <c r="BV221" s="1410"/>
      <c r="BW221" s="1378"/>
      <c r="BX221" s="1428" t="str">
        <f t="shared" si="361"/>
        <v>Rev</v>
      </c>
      <c r="BY221" s="1429" t="str">
        <f t="shared" si="406"/>
        <v>[Service]</v>
      </c>
      <c r="BZ221" s="1430" t="str">
        <f t="shared" si="407"/>
        <v>[Price]</v>
      </c>
      <c r="CA221" s="1435" t="str">
        <f>IFERROR((S221/R221-1)*(R221/R$13),"-")</f>
        <v>-</v>
      </c>
      <c r="CB221" s="1431" t="str">
        <f>IFERROR((T221/S221-1)*(S221/S$13),"-")</f>
        <v>-</v>
      </c>
      <c r="CC221" s="1431" t="str">
        <f>IFERROR((U221/T221-1)*(T221/T$13),"-")</f>
        <v>-</v>
      </c>
      <c r="CD221" s="1431" t="str">
        <f>IFERROR((V221/U221-1)*(U221/U$13),"-")</f>
        <v>-</v>
      </c>
      <c r="CE221" s="1431" t="str">
        <f t="shared" ref="CE221:CR221" si="424">IFERROR((T221/S221-1)*(S221/S$13),"-")</f>
        <v>-</v>
      </c>
      <c r="CF221" s="1431" t="str">
        <f t="shared" si="424"/>
        <v>-</v>
      </c>
      <c r="CG221" s="1431" t="str">
        <f t="shared" si="424"/>
        <v>-</v>
      </c>
      <c r="CH221" s="1433" t="str">
        <f t="shared" si="424"/>
        <v>-</v>
      </c>
      <c r="CI221" s="1431" t="str">
        <f t="shared" si="424"/>
        <v>-</v>
      </c>
      <c r="CJ221" s="1431" t="str">
        <f t="shared" si="424"/>
        <v>-</v>
      </c>
      <c r="CK221" s="1431" t="str">
        <f t="shared" si="424"/>
        <v>-</v>
      </c>
      <c r="CL221" s="1431" t="str">
        <f t="shared" si="424"/>
        <v>-</v>
      </c>
      <c r="CM221" s="1433" t="str">
        <f t="shared" si="424"/>
        <v>-</v>
      </c>
      <c r="CN221" s="1431" t="str">
        <f t="shared" si="424"/>
        <v>-</v>
      </c>
      <c r="CO221" s="1431" t="str">
        <f t="shared" si="424"/>
        <v>-</v>
      </c>
      <c r="CP221" s="1431" t="str">
        <f t="shared" si="424"/>
        <v>-</v>
      </c>
      <c r="CQ221" s="1431" t="str">
        <f t="shared" si="424"/>
        <v>-</v>
      </c>
      <c r="CR221" s="1434" t="str">
        <f t="shared" si="424"/>
        <v>-</v>
      </c>
      <c r="CS221" s="1378"/>
      <c r="CT221" s="1428" t="str">
        <f t="shared" si="341"/>
        <v>Rev</v>
      </c>
      <c r="CU221" s="1429" t="str">
        <f t="shared" si="342"/>
        <v>[Service]</v>
      </c>
      <c r="CV221" s="1429" t="str">
        <f t="shared" si="343"/>
        <v>[Price]</v>
      </c>
      <c r="CW221" s="1435" t="str">
        <f t="shared" si="363"/>
        <v>-</v>
      </c>
      <c r="CX221" s="1431" t="str">
        <f t="shared" si="364"/>
        <v>-</v>
      </c>
      <c r="CY221" s="1431" t="str">
        <f t="shared" si="365"/>
        <v>-</v>
      </c>
      <c r="CZ221" s="1433" t="str">
        <f t="shared" si="366"/>
        <v>-</v>
      </c>
      <c r="DA221" s="1431" t="str">
        <f t="shared" si="367"/>
        <v>-</v>
      </c>
      <c r="DB221" s="1431" t="str">
        <f t="shared" si="368"/>
        <v>-</v>
      </c>
      <c r="DC221" s="1431" t="str">
        <f t="shared" si="369"/>
        <v>-</v>
      </c>
      <c r="DD221" s="1431" t="str">
        <f t="shared" si="370"/>
        <v>-</v>
      </c>
      <c r="DE221" s="1434" t="str">
        <f t="shared" si="371"/>
        <v>-</v>
      </c>
      <c r="DF221" s="1378"/>
      <c r="DG221" s="1428" t="str">
        <f t="shared" si="383"/>
        <v>Rev</v>
      </c>
      <c r="DH221" s="1429" t="str">
        <f t="shared" si="383"/>
        <v>[Service]</v>
      </c>
      <c r="DI221" s="1429" t="str">
        <f t="shared" si="383"/>
        <v>[Price]</v>
      </c>
      <c r="DJ221" s="1435" t="str">
        <f t="shared" si="372"/>
        <v>-</v>
      </c>
      <c r="DK221" s="1431" t="str">
        <f t="shared" si="373"/>
        <v>-</v>
      </c>
      <c r="DL221" s="1431" t="str">
        <f t="shared" si="374"/>
        <v>-</v>
      </c>
      <c r="DM221" s="1433" t="str">
        <f t="shared" si="375"/>
        <v>-</v>
      </c>
      <c r="DN221" s="1431" t="str">
        <f t="shared" si="376"/>
        <v>-</v>
      </c>
      <c r="DO221" s="1431" t="str">
        <f t="shared" si="377"/>
        <v>-</v>
      </c>
      <c r="DP221" s="1431" t="str">
        <f t="shared" si="378"/>
        <v>-</v>
      </c>
      <c r="DQ221" s="1434" t="str">
        <f t="shared" si="379"/>
        <v>-</v>
      </c>
    </row>
    <row r="222" spans="4:121">
      <c r="D222" s="70">
        <f>D219+1</f>
        <v>52</v>
      </c>
      <c r="E222" s="713" t="s">
        <v>44</v>
      </c>
      <c r="F222" s="789" t="s">
        <v>27</v>
      </c>
      <c r="G222" s="789"/>
      <c r="H222" s="789"/>
      <c r="I222" s="781" t="s">
        <v>318</v>
      </c>
      <c r="J222" s="781" t="s">
        <v>345</v>
      </c>
      <c r="K222" s="714"/>
      <c r="L222" s="715"/>
      <c r="M222" s="715"/>
      <c r="N222" s="716"/>
      <c r="O222" s="783"/>
      <c r="P222" s="784"/>
      <c r="Q222" s="783"/>
      <c r="R222" s="783"/>
      <c r="S222" s="783"/>
      <c r="T222" s="783"/>
      <c r="U222" s="783"/>
      <c r="V222" s="783"/>
      <c r="W222" s="783"/>
      <c r="X222" s="784"/>
      <c r="Y222" s="783"/>
      <c r="Z222" s="783"/>
      <c r="AA222" s="783"/>
      <c r="AB222" s="783"/>
      <c r="AC222" s="784"/>
      <c r="AD222" s="783"/>
      <c r="AE222" s="783"/>
      <c r="AF222" s="783"/>
      <c r="AG222" s="785"/>
      <c r="AI222" s="745"/>
      <c r="AJ222" s="717" t="str">
        <f t="shared" ref="AJ222:AS222" si="425">IFERROR((X222-W222)/W222,"")</f>
        <v/>
      </c>
      <c r="AK222" s="718" t="str">
        <f t="shared" si="425"/>
        <v/>
      </c>
      <c r="AL222" s="718" t="str">
        <f t="shared" si="425"/>
        <v/>
      </c>
      <c r="AM222" s="718" t="str">
        <f t="shared" si="425"/>
        <v/>
      </c>
      <c r="AN222" s="718" t="str">
        <f t="shared" si="425"/>
        <v/>
      </c>
      <c r="AO222" s="719" t="str">
        <f t="shared" si="425"/>
        <v/>
      </c>
      <c r="AP222" s="494" t="str">
        <f t="shared" si="425"/>
        <v/>
      </c>
      <c r="AQ222" s="494" t="str">
        <f t="shared" si="425"/>
        <v/>
      </c>
      <c r="AR222" s="494" t="str">
        <f t="shared" si="425"/>
        <v/>
      </c>
      <c r="AS222" s="720" t="str">
        <f t="shared" si="425"/>
        <v/>
      </c>
      <c r="AU222" s="1369"/>
      <c r="AW222" s="1412" t="str">
        <f t="shared" si="381"/>
        <v>Price</v>
      </c>
      <c r="AX222" s="1413" t="str">
        <f t="shared" si="381"/>
        <v>[Service]</v>
      </c>
      <c r="AY222" s="1414" t="str">
        <f t="shared" si="345"/>
        <v>[Price]</v>
      </c>
      <c r="AZ222" s="1415" t="str">
        <f t="shared" si="410"/>
        <v>-</v>
      </c>
      <c r="BA222" s="1415" t="str">
        <f t="shared" si="410"/>
        <v>-</v>
      </c>
      <c r="BB222" s="1415" t="str">
        <f t="shared" si="410"/>
        <v>-</v>
      </c>
      <c r="BC222" s="1415" t="str">
        <f t="shared" si="410"/>
        <v>-</v>
      </c>
      <c r="BD222" s="1415" t="str">
        <f t="shared" si="347"/>
        <v>-</v>
      </c>
      <c r="BE222" s="1415" t="str">
        <f t="shared" si="348"/>
        <v>-</v>
      </c>
      <c r="BF222" s="1415" t="str">
        <f t="shared" si="349"/>
        <v>-</v>
      </c>
      <c r="BG222" s="1416" t="str">
        <f t="shared" si="350"/>
        <v>-</v>
      </c>
      <c r="BH222" s="1417" t="str">
        <f t="shared" si="351"/>
        <v>-</v>
      </c>
      <c r="BI222" s="1417" t="str">
        <f t="shared" si="352"/>
        <v>-</v>
      </c>
      <c r="BJ222" s="1417" t="str">
        <f t="shared" si="353"/>
        <v>-</v>
      </c>
      <c r="BK222" s="1417" t="str">
        <f t="shared" si="354"/>
        <v>-</v>
      </c>
      <c r="BL222" s="1418" t="str">
        <f t="shared" si="355"/>
        <v>-</v>
      </c>
      <c r="BM222" s="1417" t="str">
        <f t="shared" si="356"/>
        <v>-</v>
      </c>
      <c r="BN222" s="1417" t="str">
        <f t="shared" si="357"/>
        <v>-</v>
      </c>
      <c r="BO222" s="1417" t="str">
        <f t="shared" si="358"/>
        <v>-</v>
      </c>
      <c r="BP222" s="1417" t="str">
        <f t="shared" si="359"/>
        <v>-</v>
      </c>
      <c r="BQ222" s="1419" t="str">
        <f t="shared" si="360"/>
        <v>-</v>
      </c>
      <c r="BR222" s="1378"/>
      <c r="BS222" s="1420"/>
      <c r="BT222" s="1421"/>
      <c r="BU222" s="1422"/>
      <c r="BV222" s="1423"/>
      <c r="BW222" s="1378"/>
      <c r="BX222" s="1412" t="str">
        <f t="shared" si="361"/>
        <v>Price</v>
      </c>
      <c r="BY222" s="1413" t="str">
        <f t="shared" si="406"/>
        <v>[Service]</v>
      </c>
      <c r="BZ222" s="1414" t="str">
        <f t="shared" si="407"/>
        <v>[Price]</v>
      </c>
      <c r="CA222" s="1424" t="str">
        <f>IFERROR((S222/R222-1)*(R224/R$13),"-")</f>
        <v>-</v>
      </c>
      <c r="CB222" s="1415" t="str">
        <f>IFERROR((T222/S222-1)*(S224/S$13),"-")</f>
        <v>-</v>
      </c>
      <c r="CC222" s="1415" t="str">
        <f>IFERROR((U222/T222-1)*(T224/T$13),"-")</f>
        <v>-</v>
      </c>
      <c r="CD222" s="1415" t="str">
        <f>IFERROR((V222/U222-1)*(U224/U$13),"-")</f>
        <v>-</v>
      </c>
      <c r="CE222" s="1415" t="str">
        <f t="shared" ref="CE222:CR222" si="426">IFERROR((T222/S222-1)*(S224/S$13),"-")</f>
        <v>-</v>
      </c>
      <c r="CF222" s="1415" t="str">
        <f t="shared" si="426"/>
        <v>-</v>
      </c>
      <c r="CG222" s="1415" t="str">
        <f t="shared" si="426"/>
        <v>-</v>
      </c>
      <c r="CH222" s="1425" t="str">
        <f t="shared" si="426"/>
        <v>-</v>
      </c>
      <c r="CI222" s="1417" t="str">
        <f t="shared" si="426"/>
        <v>-</v>
      </c>
      <c r="CJ222" s="1417" t="str">
        <f t="shared" si="426"/>
        <v>-</v>
      </c>
      <c r="CK222" s="1417" t="str">
        <f t="shared" si="426"/>
        <v>-</v>
      </c>
      <c r="CL222" s="1417" t="str">
        <f t="shared" si="426"/>
        <v>-</v>
      </c>
      <c r="CM222" s="1418" t="str">
        <f t="shared" si="426"/>
        <v>-</v>
      </c>
      <c r="CN222" s="1417" t="str">
        <f t="shared" si="426"/>
        <v>-</v>
      </c>
      <c r="CO222" s="1417" t="str">
        <f t="shared" si="426"/>
        <v>-</v>
      </c>
      <c r="CP222" s="1417" t="str">
        <f t="shared" si="426"/>
        <v>-</v>
      </c>
      <c r="CQ222" s="1417" t="str">
        <f t="shared" si="426"/>
        <v>-</v>
      </c>
      <c r="CR222" s="1419" t="str">
        <f t="shared" si="426"/>
        <v>-</v>
      </c>
      <c r="CS222" s="1378"/>
      <c r="CT222" s="1412" t="str">
        <f t="shared" si="341"/>
        <v>Price</v>
      </c>
      <c r="CU222" s="1413" t="str">
        <f t="shared" si="342"/>
        <v>[Service]</v>
      </c>
      <c r="CV222" s="1426" t="str">
        <f t="shared" si="343"/>
        <v>[Price]</v>
      </c>
      <c r="CW222" s="1427" t="str">
        <f t="shared" si="363"/>
        <v>-</v>
      </c>
      <c r="CX222" s="1417" t="str">
        <f t="shared" si="364"/>
        <v>-</v>
      </c>
      <c r="CY222" s="1417" t="str">
        <f t="shared" si="365"/>
        <v>-</v>
      </c>
      <c r="CZ222" s="1418" t="str">
        <f t="shared" si="366"/>
        <v>-</v>
      </c>
      <c r="DA222" s="1417" t="str">
        <f t="shared" si="367"/>
        <v>-</v>
      </c>
      <c r="DB222" s="1417" t="str">
        <f t="shared" si="368"/>
        <v>-</v>
      </c>
      <c r="DC222" s="1417" t="str">
        <f t="shared" si="369"/>
        <v>-</v>
      </c>
      <c r="DD222" s="1417" t="str">
        <f t="shared" si="370"/>
        <v>-</v>
      </c>
      <c r="DE222" s="1419" t="str">
        <f t="shared" si="371"/>
        <v>-</v>
      </c>
      <c r="DF222" s="1378"/>
      <c r="DG222" s="1412" t="str">
        <f t="shared" si="383"/>
        <v>Price</v>
      </c>
      <c r="DH222" s="1413" t="str">
        <f t="shared" si="383"/>
        <v>[Service]</v>
      </c>
      <c r="DI222" s="1426" t="str">
        <f t="shared" si="383"/>
        <v>[Price]</v>
      </c>
      <c r="DJ222" s="1427" t="str">
        <f t="shared" si="372"/>
        <v>-</v>
      </c>
      <c r="DK222" s="1417" t="str">
        <f t="shared" si="373"/>
        <v>-</v>
      </c>
      <c r="DL222" s="1417" t="str">
        <f t="shared" si="374"/>
        <v>-</v>
      </c>
      <c r="DM222" s="1418" t="str">
        <f t="shared" si="375"/>
        <v>-</v>
      </c>
      <c r="DN222" s="1417" t="str">
        <f t="shared" si="376"/>
        <v>-</v>
      </c>
      <c r="DO222" s="1417" t="str">
        <f t="shared" si="377"/>
        <v>-</v>
      </c>
      <c r="DP222" s="1417" t="str">
        <f t="shared" si="378"/>
        <v>-</v>
      </c>
      <c r="DQ222" s="1419" t="str">
        <f t="shared" si="379"/>
        <v>-</v>
      </c>
    </row>
    <row r="223" spans="4:121">
      <c r="E223" s="742" t="s">
        <v>45</v>
      </c>
      <c r="F223" s="722" t="str">
        <f>+F222</f>
        <v>[Service]</v>
      </c>
      <c r="G223" s="723">
        <f>+G222</f>
        <v>0</v>
      </c>
      <c r="H223" s="723">
        <f>+H222</f>
        <v>0</v>
      </c>
      <c r="I223" s="724" t="str">
        <f>+I222</f>
        <v>[Price]</v>
      </c>
      <c r="J223" s="782" t="s">
        <v>322</v>
      </c>
      <c r="K223" s="725"/>
      <c r="L223" s="726"/>
      <c r="M223" s="726"/>
      <c r="N223" s="727"/>
      <c r="O223" s="786"/>
      <c r="P223" s="787"/>
      <c r="Q223" s="786"/>
      <c r="R223" s="786"/>
      <c r="S223" s="786"/>
      <c r="T223" s="786"/>
      <c r="U223" s="786"/>
      <c r="V223" s="786"/>
      <c r="W223" s="786"/>
      <c r="X223" s="787"/>
      <c r="Y223" s="786"/>
      <c r="Z223" s="786"/>
      <c r="AA223" s="786"/>
      <c r="AB223" s="786"/>
      <c r="AC223" s="787"/>
      <c r="AD223" s="786"/>
      <c r="AE223" s="786"/>
      <c r="AF223" s="786"/>
      <c r="AG223" s="788"/>
      <c r="AH223" s="823"/>
      <c r="AI223" s="745"/>
      <c r="AJ223" s="728"/>
      <c r="AK223" s="729"/>
      <c r="AL223" s="729"/>
      <c r="AM223" s="729"/>
      <c r="AN223" s="729"/>
      <c r="AO223" s="730"/>
      <c r="AP223" s="74"/>
      <c r="AQ223" s="74"/>
      <c r="AR223" s="74"/>
      <c r="AS223" s="106"/>
      <c r="AW223" s="1392" t="str">
        <f t="shared" si="381"/>
        <v>Qty</v>
      </c>
      <c r="AX223" s="1393" t="str">
        <f t="shared" si="381"/>
        <v>[Service]</v>
      </c>
      <c r="AY223" s="1394" t="str">
        <f t="shared" si="345"/>
        <v>[Price]</v>
      </c>
      <c r="AZ223" s="1395" t="str">
        <f t="shared" si="410"/>
        <v>-</v>
      </c>
      <c r="BA223" s="1395" t="str">
        <f t="shared" si="410"/>
        <v>-</v>
      </c>
      <c r="BB223" s="1395" t="str">
        <f t="shared" si="410"/>
        <v>-</v>
      </c>
      <c r="BC223" s="1395" t="str">
        <f t="shared" si="410"/>
        <v>-</v>
      </c>
      <c r="BD223" s="1395" t="str">
        <f t="shared" si="347"/>
        <v>-</v>
      </c>
      <c r="BE223" s="1395" t="str">
        <f t="shared" si="348"/>
        <v>-</v>
      </c>
      <c r="BF223" s="1395" t="str">
        <f t="shared" si="349"/>
        <v>-</v>
      </c>
      <c r="BG223" s="1396" t="str">
        <f t="shared" si="350"/>
        <v>-</v>
      </c>
      <c r="BH223" s="1395" t="str">
        <f t="shared" si="351"/>
        <v>-</v>
      </c>
      <c r="BI223" s="1395" t="str">
        <f t="shared" si="352"/>
        <v>-</v>
      </c>
      <c r="BJ223" s="1395" t="str">
        <f t="shared" si="353"/>
        <v>-</v>
      </c>
      <c r="BK223" s="1395" t="str">
        <f t="shared" si="354"/>
        <v>-</v>
      </c>
      <c r="BL223" s="1397" t="str">
        <f t="shared" si="355"/>
        <v>-</v>
      </c>
      <c r="BM223" s="1395" t="str">
        <f t="shared" si="356"/>
        <v>-</v>
      </c>
      <c r="BN223" s="1395" t="str">
        <f t="shared" si="357"/>
        <v>-</v>
      </c>
      <c r="BO223" s="1395" t="str">
        <f t="shared" si="358"/>
        <v>-</v>
      </c>
      <c r="BP223" s="1395" t="str">
        <f t="shared" si="359"/>
        <v>-</v>
      </c>
      <c r="BQ223" s="1398" t="str">
        <f t="shared" si="360"/>
        <v>-</v>
      </c>
      <c r="BR223" s="1378"/>
      <c r="BS223" s="1329"/>
      <c r="BT223" s="1399"/>
      <c r="BU223" s="1331"/>
      <c r="BV223" s="1400"/>
      <c r="BW223" s="1378"/>
      <c r="BX223" s="1392" t="str">
        <f t="shared" si="361"/>
        <v>Qty</v>
      </c>
      <c r="BY223" s="1393" t="str">
        <f t="shared" si="406"/>
        <v>[Service]</v>
      </c>
      <c r="BZ223" s="1394" t="str">
        <f t="shared" si="407"/>
        <v>[Price]</v>
      </c>
      <c r="CA223" s="1401" t="str">
        <f>IFERROR((S223/R223-1)*(R224/R$13),"-")</f>
        <v>-</v>
      </c>
      <c r="CB223" s="1395" t="str">
        <f>IFERROR((T223/S223-1)*(S224/S$13),"-")</f>
        <v>-</v>
      </c>
      <c r="CC223" s="1395" t="str">
        <f>IFERROR((U223/T223-1)*(T224/T$13),"-")</f>
        <v>-</v>
      </c>
      <c r="CD223" s="1395" t="str">
        <f>IFERROR((V223/U223-1)*(U224/U$13),"-")</f>
        <v>-</v>
      </c>
      <c r="CE223" s="1395" t="str">
        <f t="shared" ref="CE223:CR223" si="427">IFERROR((T223/S223-1)*(S224/S$13),"-")</f>
        <v>-</v>
      </c>
      <c r="CF223" s="1395" t="str">
        <f t="shared" si="427"/>
        <v>-</v>
      </c>
      <c r="CG223" s="1395" t="str">
        <f t="shared" si="427"/>
        <v>-</v>
      </c>
      <c r="CH223" s="1397" t="str">
        <f t="shared" si="427"/>
        <v>-</v>
      </c>
      <c r="CI223" s="1395" t="str">
        <f t="shared" si="427"/>
        <v>-</v>
      </c>
      <c r="CJ223" s="1395" t="str">
        <f t="shared" si="427"/>
        <v>-</v>
      </c>
      <c r="CK223" s="1395" t="str">
        <f t="shared" si="427"/>
        <v>-</v>
      </c>
      <c r="CL223" s="1395" t="str">
        <f t="shared" si="427"/>
        <v>-</v>
      </c>
      <c r="CM223" s="1397" t="str">
        <f t="shared" si="427"/>
        <v>-</v>
      </c>
      <c r="CN223" s="1395" t="str">
        <f t="shared" si="427"/>
        <v>-</v>
      </c>
      <c r="CO223" s="1395" t="str">
        <f t="shared" si="427"/>
        <v>-</v>
      </c>
      <c r="CP223" s="1395" t="str">
        <f t="shared" si="427"/>
        <v>-</v>
      </c>
      <c r="CQ223" s="1395" t="str">
        <f t="shared" si="427"/>
        <v>-</v>
      </c>
      <c r="CR223" s="1398" t="str">
        <f t="shared" si="427"/>
        <v>-</v>
      </c>
      <c r="CS223" s="1378"/>
      <c r="CT223" s="1392" t="str">
        <f t="shared" si="341"/>
        <v>Qty</v>
      </c>
      <c r="CU223" s="1393" t="str">
        <f t="shared" si="342"/>
        <v>[Service]</v>
      </c>
      <c r="CV223" s="1393" t="str">
        <f t="shared" si="343"/>
        <v>[Price]</v>
      </c>
      <c r="CW223" s="1401" t="str">
        <f t="shared" si="363"/>
        <v>-</v>
      </c>
      <c r="CX223" s="1395" t="str">
        <f t="shared" si="364"/>
        <v>-</v>
      </c>
      <c r="CY223" s="1395" t="str">
        <f t="shared" si="365"/>
        <v>-</v>
      </c>
      <c r="CZ223" s="1397" t="str">
        <f t="shared" si="366"/>
        <v>-</v>
      </c>
      <c r="DA223" s="1395" t="str">
        <f t="shared" si="367"/>
        <v>-</v>
      </c>
      <c r="DB223" s="1395" t="str">
        <f t="shared" si="368"/>
        <v>-</v>
      </c>
      <c r="DC223" s="1395" t="str">
        <f t="shared" si="369"/>
        <v>-</v>
      </c>
      <c r="DD223" s="1395" t="str">
        <f t="shared" si="370"/>
        <v>-</v>
      </c>
      <c r="DE223" s="1398" t="str">
        <f t="shared" si="371"/>
        <v>-</v>
      </c>
      <c r="DF223" s="1378"/>
      <c r="DG223" s="1392" t="str">
        <f t="shared" si="383"/>
        <v>Qty</v>
      </c>
      <c r="DH223" s="1393" t="str">
        <f t="shared" si="383"/>
        <v>[Service]</v>
      </c>
      <c r="DI223" s="1393" t="str">
        <f t="shared" si="383"/>
        <v>[Price]</v>
      </c>
      <c r="DJ223" s="1401" t="str">
        <f t="shared" si="372"/>
        <v>-</v>
      </c>
      <c r="DK223" s="1395" t="str">
        <f t="shared" si="373"/>
        <v>-</v>
      </c>
      <c r="DL223" s="1395" t="str">
        <f t="shared" si="374"/>
        <v>-</v>
      </c>
      <c r="DM223" s="1397" t="str">
        <f t="shared" si="375"/>
        <v>-</v>
      </c>
      <c r="DN223" s="1395" t="str">
        <f t="shared" si="376"/>
        <v>-</v>
      </c>
      <c r="DO223" s="1395" t="str">
        <f t="shared" si="377"/>
        <v>-</v>
      </c>
      <c r="DP223" s="1395" t="str">
        <f t="shared" si="378"/>
        <v>-</v>
      </c>
      <c r="DQ223" s="1398" t="str">
        <f t="shared" si="379"/>
        <v>-</v>
      </c>
    </row>
    <row r="224" spans="4:121" ht="12.75" thickBot="1">
      <c r="E224" s="743" t="s">
        <v>46</v>
      </c>
      <c r="F224" s="732" t="str">
        <f>+F222</f>
        <v>[Service]</v>
      </c>
      <c r="G224" s="733">
        <f>+G222</f>
        <v>0</v>
      </c>
      <c r="H224" s="733">
        <f>+H222</f>
        <v>0</v>
      </c>
      <c r="I224" s="734" t="str">
        <f>+I222</f>
        <v>[Price]</v>
      </c>
      <c r="J224" s="735" t="s">
        <v>344</v>
      </c>
      <c r="K224" s="736">
        <f t="shared" ref="K224:AG224" si="428">K222*K223/10^6</f>
        <v>0</v>
      </c>
      <c r="L224" s="737">
        <f t="shared" si="428"/>
        <v>0</v>
      </c>
      <c r="M224" s="737">
        <f t="shared" si="428"/>
        <v>0</v>
      </c>
      <c r="N224" s="738">
        <f t="shared" si="428"/>
        <v>0</v>
      </c>
      <c r="O224" s="737">
        <f t="shared" si="428"/>
        <v>0</v>
      </c>
      <c r="P224" s="738">
        <f t="shared" si="428"/>
        <v>0</v>
      </c>
      <c r="Q224" s="737">
        <f t="shared" si="428"/>
        <v>0</v>
      </c>
      <c r="R224" s="737">
        <f t="shared" si="428"/>
        <v>0</v>
      </c>
      <c r="S224" s="737">
        <f t="shared" si="428"/>
        <v>0</v>
      </c>
      <c r="T224" s="737">
        <f t="shared" si="428"/>
        <v>0</v>
      </c>
      <c r="U224" s="737">
        <f t="shared" si="428"/>
        <v>0</v>
      </c>
      <c r="V224" s="737">
        <f t="shared" si="428"/>
        <v>0</v>
      </c>
      <c r="W224" s="737">
        <f t="shared" si="428"/>
        <v>0</v>
      </c>
      <c r="X224" s="738">
        <f t="shared" si="428"/>
        <v>0</v>
      </c>
      <c r="Y224" s="737">
        <f t="shared" si="428"/>
        <v>0</v>
      </c>
      <c r="Z224" s="737">
        <f t="shared" si="428"/>
        <v>0</v>
      </c>
      <c r="AA224" s="737">
        <f t="shared" si="428"/>
        <v>0</v>
      </c>
      <c r="AB224" s="737">
        <f t="shared" si="428"/>
        <v>0</v>
      </c>
      <c r="AC224" s="738">
        <f t="shared" si="428"/>
        <v>0</v>
      </c>
      <c r="AD224" s="737">
        <f t="shared" si="428"/>
        <v>0</v>
      </c>
      <c r="AE224" s="737">
        <f t="shared" si="428"/>
        <v>0</v>
      </c>
      <c r="AF224" s="737">
        <f t="shared" si="428"/>
        <v>0</v>
      </c>
      <c r="AG224" s="739">
        <f t="shared" si="428"/>
        <v>0</v>
      </c>
      <c r="AH224" s="823"/>
      <c r="AI224" s="745"/>
      <c r="AJ224" s="741"/>
      <c r="AK224" s="729"/>
      <c r="AL224" s="729"/>
      <c r="AM224" s="729"/>
      <c r="AN224" s="729"/>
      <c r="AO224" s="730"/>
      <c r="AP224" s="74"/>
      <c r="AQ224" s="74"/>
      <c r="AR224" s="74"/>
      <c r="AS224" s="106"/>
      <c r="AW224" s="1428" t="str">
        <f t="shared" si="381"/>
        <v>Rev</v>
      </c>
      <c r="AX224" s="1429" t="str">
        <f t="shared" si="381"/>
        <v>[Service]</v>
      </c>
      <c r="AY224" s="1430" t="str">
        <f t="shared" si="345"/>
        <v>[Price]</v>
      </c>
      <c r="AZ224" s="1431" t="str">
        <f t="shared" si="410"/>
        <v>-</v>
      </c>
      <c r="BA224" s="1431" t="str">
        <f t="shared" si="410"/>
        <v>-</v>
      </c>
      <c r="BB224" s="1431" t="str">
        <f t="shared" si="410"/>
        <v>-</v>
      </c>
      <c r="BC224" s="1431" t="str">
        <f t="shared" si="410"/>
        <v>-</v>
      </c>
      <c r="BD224" s="1431" t="str">
        <f t="shared" si="347"/>
        <v>-</v>
      </c>
      <c r="BE224" s="1431" t="str">
        <f t="shared" si="348"/>
        <v>-</v>
      </c>
      <c r="BF224" s="1431" t="str">
        <f t="shared" si="349"/>
        <v>-</v>
      </c>
      <c r="BG224" s="1432" t="str">
        <f t="shared" si="350"/>
        <v>-</v>
      </c>
      <c r="BH224" s="1431" t="str">
        <f t="shared" si="351"/>
        <v>-</v>
      </c>
      <c r="BI224" s="1431" t="str">
        <f t="shared" si="352"/>
        <v>-</v>
      </c>
      <c r="BJ224" s="1431" t="str">
        <f t="shared" si="353"/>
        <v>-</v>
      </c>
      <c r="BK224" s="1431" t="str">
        <f t="shared" si="354"/>
        <v>-</v>
      </c>
      <c r="BL224" s="1433" t="str">
        <f t="shared" si="355"/>
        <v>-</v>
      </c>
      <c r="BM224" s="1431" t="str">
        <f t="shared" si="356"/>
        <v>-</v>
      </c>
      <c r="BN224" s="1431" t="str">
        <f t="shared" si="357"/>
        <v>-</v>
      </c>
      <c r="BO224" s="1431" t="str">
        <f t="shared" si="358"/>
        <v>-</v>
      </c>
      <c r="BP224" s="1431" t="str">
        <f t="shared" si="359"/>
        <v>-</v>
      </c>
      <c r="BQ224" s="1434" t="str">
        <f t="shared" si="360"/>
        <v>-</v>
      </c>
      <c r="BR224" s="1378"/>
      <c r="BS224" s="1407"/>
      <c r="BT224" s="1408"/>
      <c r="BU224" s="1409"/>
      <c r="BV224" s="1410"/>
      <c r="BW224" s="1378"/>
      <c r="BX224" s="1428" t="str">
        <f t="shared" si="361"/>
        <v>Rev</v>
      </c>
      <c r="BY224" s="1429" t="str">
        <f t="shared" si="406"/>
        <v>[Service]</v>
      </c>
      <c r="BZ224" s="1430" t="str">
        <f t="shared" si="407"/>
        <v>[Price]</v>
      </c>
      <c r="CA224" s="1435" t="str">
        <f>IFERROR((S224/R224-1)*(R224/R$13),"-")</f>
        <v>-</v>
      </c>
      <c r="CB224" s="1431" t="str">
        <f>IFERROR((T224/S224-1)*(S224/S$13),"-")</f>
        <v>-</v>
      </c>
      <c r="CC224" s="1431" t="str">
        <f>IFERROR((U224/T224-1)*(T224/T$13),"-")</f>
        <v>-</v>
      </c>
      <c r="CD224" s="1431" t="str">
        <f>IFERROR((V224/U224-1)*(U224/U$13),"-")</f>
        <v>-</v>
      </c>
      <c r="CE224" s="1431" t="str">
        <f t="shared" ref="CE224:CR224" si="429">IFERROR((T224/S224-1)*(S224/S$13),"-")</f>
        <v>-</v>
      </c>
      <c r="CF224" s="1431" t="str">
        <f t="shared" si="429"/>
        <v>-</v>
      </c>
      <c r="CG224" s="1431" t="str">
        <f t="shared" si="429"/>
        <v>-</v>
      </c>
      <c r="CH224" s="1433" t="str">
        <f t="shared" si="429"/>
        <v>-</v>
      </c>
      <c r="CI224" s="1431" t="str">
        <f t="shared" si="429"/>
        <v>-</v>
      </c>
      <c r="CJ224" s="1431" t="str">
        <f t="shared" si="429"/>
        <v>-</v>
      </c>
      <c r="CK224" s="1431" t="str">
        <f t="shared" si="429"/>
        <v>-</v>
      </c>
      <c r="CL224" s="1431" t="str">
        <f t="shared" si="429"/>
        <v>-</v>
      </c>
      <c r="CM224" s="1433" t="str">
        <f t="shared" si="429"/>
        <v>-</v>
      </c>
      <c r="CN224" s="1431" t="str">
        <f t="shared" si="429"/>
        <v>-</v>
      </c>
      <c r="CO224" s="1431" t="str">
        <f t="shared" si="429"/>
        <v>-</v>
      </c>
      <c r="CP224" s="1431" t="str">
        <f t="shared" si="429"/>
        <v>-</v>
      </c>
      <c r="CQ224" s="1431" t="str">
        <f t="shared" si="429"/>
        <v>-</v>
      </c>
      <c r="CR224" s="1434" t="str">
        <f t="shared" si="429"/>
        <v>-</v>
      </c>
      <c r="CS224" s="1378"/>
      <c r="CT224" s="1428" t="str">
        <f t="shared" si="341"/>
        <v>Rev</v>
      </c>
      <c r="CU224" s="1429" t="str">
        <f t="shared" si="342"/>
        <v>[Service]</v>
      </c>
      <c r="CV224" s="1429" t="str">
        <f t="shared" si="343"/>
        <v>[Price]</v>
      </c>
      <c r="CW224" s="1435" t="str">
        <f t="shared" si="363"/>
        <v>-</v>
      </c>
      <c r="CX224" s="1431" t="str">
        <f t="shared" si="364"/>
        <v>-</v>
      </c>
      <c r="CY224" s="1431" t="str">
        <f t="shared" si="365"/>
        <v>-</v>
      </c>
      <c r="CZ224" s="1433" t="str">
        <f t="shared" si="366"/>
        <v>-</v>
      </c>
      <c r="DA224" s="1431" t="str">
        <f t="shared" si="367"/>
        <v>-</v>
      </c>
      <c r="DB224" s="1431" t="str">
        <f t="shared" si="368"/>
        <v>-</v>
      </c>
      <c r="DC224" s="1431" t="str">
        <f t="shared" si="369"/>
        <v>-</v>
      </c>
      <c r="DD224" s="1431" t="str">
        <f t="shared" si="370"/>
        <v>-</v>
      </c>
      <c r="DE224" s="1434" t="str">
        <f t="shared" si="371"/>
        <v>-</v>
      </c>
      <c r="DF224" s="1378"/>
      <c r="DG224" s="1428" t="str">
        <f t="shared" si="383"/>
        <v>Rev</v>
      </c>
      <c r="DH224" s="1429" t="str">
        <f t="shared" si="383"/>
        <v>[Service]</v>
      </c>
      <c r="DI224" s="1429" t="str">
        <f t="shared" si="383"/>
        <v>[Price]</v>
      </c>
      <c r="DJ224" s="1435" t="str">
        <f t="shared" si="372"/>
        <v>-</v>
      </c>
      <c r="DK224" s="1431" t="str">
        <f t="shared" si="373"/>
        <v>-</v>
      </c>
      <c r="DL224" s="1431" t="str">
        <f t="shared" si="374"/>
        <v>-</v>
      </c>
      <c r="DM224" s="1433" t="str">
        <f t="shared" si="375"/>
        <v>-</v>
      </c>
      <c r="DN224" s="1431" t="str">
        <f t="shared" si="376"/>
        <v>-</v>
      </c>
      <c r="DO224" s="1431" t="str">
        <f t="shared" si="377"/>
        <v>-</v>
      </c>
      <c r="DP224" s="1431" t="str">
        <f t="shared" si="378"/>
        <v>-</v>
      </c>
      <c r="DQ224" s="1434" t="str">
        <f t="shared" si="379"/>
        <v>-</v>
      </c>
    </row>
    <row r="225" spans="4:121">
      <c r="D225" s="70">
        <f>D222+1</f>
        <v>53</v>
      </c>
      <c r="E225" s="713" t="s">
        <v>44</v>
      </c>
      <c r="F225" s="789" t="s">
        <v>27</v>
      </c>
      <c r="G225" s="789"/>
      <c r="H225" s="789"/>
      <c r="I225" s="781" t="s">
        <v>318</v>
      </c>
      <c r="J225" s="781" t="s">
        <v>345</v>
      </c>
      <c r="K225" s="714"/>
      <c r="L225" s="715"/>
      <c r="M225" s="715"/>
      <c r="N225" s="716"/>
      <c r="O225" s="783"/>
      <c r="P225" s="784"/>
      <c r="Q225" s="783"/>
      <c r="R225" s="783"/>
      <c r="S225" s="783"/>
      <c r="T225" s="783"/>
      <c r="U225" s="783"/>
      <c r="V225" s="783"/>
      <c r="W225" s="783"/>
      <c r="X225" s="784"/>
      <c r="Y225" s="783"/>
      <c r="Z225" s="783"/>
      <c r="AA225" s="783"/>
      <c r="AB225" s="783"/>
      <c r="AC225" s="784"/>
      <c r="AD225" s="783"/>
      <c r="AE225" s="783"/>
      <c r="AF225" s="783"/>
      <c r="AG225" s="785"/>
      <c r="AI225" s="745"/>
      <c r="AJ225" s="717" t="str">
        <f t="shared" ref="AJ225:AS225" si="430">IFERROR((X225-W225)/W225,"")</f>
        <v/>
      </c>
      <c r="AK225" s="718" t="str">
        <f t="shared" si="430"/>
        <v/>
      </c>
      <c r="AL225" s="718" t="str">
        <f t="shared" si="430"/>
        <v/>
      </c>
      <c r="AM225" s="718" t="str">
        <f t="shared" si="430"/>
        <v/>
      </c>
      <c r="AN225" s="718" t="str">
        <f t="shared" si="430"/>
        <v/>
      </c>
      <c r="AO225" s="719" t="str">
        <f t="shared" si="430"/>
        <v/>
      </c>
      <c r="AP225" s="494" t="str">
        <f t="shared" si="430"/>
        <v/>
      </c>
      <c r="AQ225" s="494" t="str">
        <f t="shared" si="430"/>
        <v/>
      </c>
      <c r="AR225" s="494" t="str">
        <f t="shared" si="430"/>
        <v/>
      </c>
      <c r="AS225" s="720" t="str">
        <f t="shared" si="430"/>
        <v/>
      </c>
      <c r="AU225" s="1369"/>
      <c r="AW225" s="1412" t="str">
        <f t="shared" si="381"/>
        <v>Price</v>
      </c>
      <c r="AX225" s="1413" t="str">
        <f t="shared" si="381"/>
        <v>[Service]</v>
      </c>
      <c r="AY225" s="1414" t="str">
        <f t="shared" si="345"/>
        <v>[Price]</v>
      </c>
      <c r="AZ225" s="1415" t="str">
        <f t="shared" si="410"/>
        <v>-</v>
      </c>
      <c r="BA225" s="1415" t="str">
        <f t="shared" si="410"/>
        <v>-</v>
      </c>
      <c r="BB225" s="1415" t="str">
        <f t="shared" si="410"/>
        <v>-</v>
      </c>
      <c r="BC225" s="1415" t="str">
        <f t="shared" si="410"/>
        <v>-</v>
      </c>
      <c r="BD225" s="1415" t="str">
        <f t="shared" si="347"/>
        <v>-</v>
      </c>
      <c r="BE225" s="1415" t="str">
        <f t="shared" si="348"/>
        <v>-</v>
      </c>
      <c r="BF225" s="1415" t="str">
        <f t="shared" si="349"/>
        <v>-</v>
      </c>
      <c r="BG225" s="1416" t="str">
        <f t="shared" si="350"/>
        <v>-</v>
      </c>
      <c r="BH225" s="1417" t="str">
        <f t="shared" si="351"/>
        <v>-</v>
      </c>
      <c r="BI225" s="1417" t="str">
        <f t="shared" si="352"/>
        <v>-</v>
      </c>
      <c r="BJ225" s="1417" t="str">
        <f t="shared" si="353"/>
        <v>-</v>
      </c>
      <c r="BK225" s="1417" t="str">
        <f t="shared" si="354"/>
        <v>-</v>
      </c>
      <c r="BL225" s="1418" t="str">
        <f t="shared" si="355"/>
        <v>-</v>
      </c>
      <c r="BM225" s="1417" t="str">
        <f t="shared" si="356"/>
        <v>-</v>
      </c>
      <c r="BN225" s="1417" t="str">
        <f t="shared" si="357"/>
        <v>-</v>
      </c>
      <c r="BO225" s="1417" t="str">
        <f t="shared" si="358"/>
        <v>-</v>
      </c>
      <c r="BP225" s="1417" t="str">
        <f t="shared" si="359"/>
        <v>-</v>
      </c>
      <c r="BQ225" s="1419" t="str">
        <f t="shared" si="360"/>
        <v>-</v>
      </c>
      <c r="BR225" s="1378"/>
      <c r="BS225" s="1420"/>
      <c r="BT225" s="1421"/>
      <c r="BU225" s="1422"/>
      <c r="BV225" s="1423"/>
      <c r="BW225" s="1378"/>
      <c r="BX225" s="1412" t="str">
        <f t="shared" si="361"/>
        <v>Price</v>
      </c>
      <c r="BY225" s="1413" t="str">
        <f t="shared" si="406"/>
        <v>[Service]</v>
      </c>
      <c r="BZ225" s="1414" t="str">
        <f t="shared" si="407"/>
        <v>[Price]</v>
      </c>
      <c r="CA225" s="1424" t="str">
        <f>IFERROR((S225/R225-1)*(R227/R$13),"-")</f>
        <v>-</v>
      </c>
      <c r="CB225" s="1415" t="str">
        <f>IFERROR((T225/S225-1)*(S227/S$13),"-")</f>
        <v>-</v>
      </c>
      <c r="CC225" s="1415" t="str">
        <f>IFERROR((U225/T225-1)*(T227/T$13),"-")</f>
        <v>-</v>
      </c>
      <c r="CD225" s="1415" t="str">
        <f>IFERROR((V225/U225-1)*(U227/U$13),"-")</f>
        <v>-</v>
      </c>
      <c r="CE225" s="1415" t="str">
        <f t="shared" ref="CE225:CR225" si="431">IFERROR((T225/S225-1)*(S227/S$13),"-")</f>
        <v>-</v>
      </c>
      <c r="CF225" s="1415" t="str">
        <f t="shared" si="431"/>
        <v>-</v>
      </c>
      <c r="CG225" s="1415" t="str">
        <f t="shared" si="431"/>
        <v>-</v>
      </c>
      <c r="CH225" s="1425" t="str">
        <f t="shared" si="431"/>
        <v>-</v>
      </c>
      <c r="CI225" s="1417" t="str">
        <f t="shared" si="431"/>
        <v>-</v>
      </c>
      <c r="CJ225" s="1417" t="str">
        <f t="shared" si="431"/>
        <v>-</v>
      </c>
      <c r="CK225" s="1417" t="str">
        <f t="shared" si="431"/>
        <v>-</v>
      </c>
      <c r="CL225" s="1417" t="str">
        <f t="shared" si="431"/>
        <v>-</v>
      </c>
      <c r="CM225" s="1418" t="str">
        <f t="shared" si="431"/>
        <v>-</v>
      </c>
      <c r="CN225" s="1417" t="str">
        <f t="shared" si="431"/>
        <v>-</v>
      </c>
      <c r="CO225" s="1417" t="str">
        <f t="shared" si="431"/>
        <v>-</v>
      </c>
      <c r="CP225" s="1417" t="str">
        <f t="shared" si="431"/>
        <v>-</v>
      </c>
      <c r="CQ225" s="1417" t="str">
        <f t="shared" si="431"/>
        <v>-</v>
      </c>
      <c r="CR225" s="1419" t="str">
        <f t="shared" si="431"/>
        <v>-</v>
      </c>
      <c r="CS225" s="1378"/>
      <c r="CT225" s="1412" t="str">
        <f t="shared" si="341"/>
        <v>Price</v>
      </c>
      <c r="CU225" s="1413" t="str">
        <f t="shared" si="342"/>
        <v>[Service]</v>
      </c>
      <c r="CV225" s="1426" t="str">
        <f t="shared" si="343"/>
        <v>[Price]</v>
      </c>
      <c r="CW225" s="1427" t="str">
        <f t="shared" si="363"/>
        <v>-</v>
      </c>
      <c r="CX225" s="1417" t="str">
        <f t="shared" si="364"/>
        <v>-</v>
      </c>
      <c r="CY225" s="1417" t="str">
        <f t="shared" si="365"/>
        <v>-</v>
      </c>
      <c r="CZ225" s="1418" t="str">
        <f t="shared" si="366"/>
        <v>-</v>
      </c>
      <c r="DA225" s="1417" t="str">
        <f t="shared" si="367"/>
        <v>-</v>
      </c>
      <c r="DB225" s="1417" t="str">
        <f t="shared" si="368"/>
        <v>-</v>
      </c>
      <c r="DC225" s="1417" t="str">
        <f t="shared" si="369"/>
        <v>-</v>
      </c>
      <c r="DD225" s="1417" t="str">
        <f t="shared" si="370"/>
        <v>-</v>
      </c>
      <c r="DE225" s="1419" t="str">
        <f t="shared" si="371"/>
        <v>-</v>
      </c>
      <c r="DF225" s="1378"/>
      <c r="DG225" s="1412" t="str">
        <f t="shared" si="383"/>
        <v>Price</v>
      </c>
      <c r="DH225" s="1413" t="str">
        <f t="shared" si="383"/>
        <v>[Service]</v>
      </c>
      <c r="DI225" s="1426" t="str">
        <f t="shared" si="383"/>
        <v>[Price]</v>
      </c>
      <c r="DJ225" s="1427" t="str">
        <f t="shared" si="372"/>
        <v>-</v>
      </c>
      <c r="DK225" s="1417" t="str">
        <f t="shared" si="373"/>
        <v>-</v>
      </c>
      <c r="DL225" s="1417" t="str">
        <f t="shared" si="374"/>
        <v>-</v>
      </c>
      <c r="DM225" s="1418" t="str">
        <f t="shared" si="375"/>
        <v>-</v>
      </c>
      <c r="DN225" s="1417" t="str">
        <f t="shared" si="376"/>
        <v>-</v>
      </c>
      <c r="DO225" s="1417" t="str">
        <f t="shared" si="377"/>
        <v>-</v>
      </c>
      <c r="DP225" s="1417" t="str">
        <f t="shared" si="378"/>
        <v>-</v>
      </c>
      <c r="DQ225" s="1419" t="str">
        <f t="shared" si="379"/>
        <v>-</v>
      </c>
    </row>
    <row r="226" spans="4:121">
      <c r="E226" s="742" t="s">
        <v>45</v>
      </c>
      <c r="F226" s="722" t="str">
        <f>+F225</f>
        <v>[Service]</v>
      </c>
      <c r="G226" s="723">
        <f>+G225</f>
        <v>0</v>
      </c>
      <c r="H226" s="723">
        <f>+H225</f>
        <v>0</v>
      </c>
      <c r="I226" s="724" t="str">
        <f>+I225</f>
        <v>[Price]</v>
      </c>
      <c r="J226" s="782" t="s">
        <v>322</v>
      </c>
      <c r="K226" s="725"/>
      <c r="L226" s="726"/>
      <c r="M226" s="726"/>
      <c r="N226" s="727"/>
      <c r="O226" s="786"/>
      <c r="P226" s="787"/>
      <c r="Q226" s="786"/>
      <c r="R226" s="786"/>
      <c r="S226" s="786"/>
      <c r="T226" s="786"/>
      <c r="U226" s="786"/>
      <c r="V226" s="786"/>
      <c r="W226" s="786"/>
      <c r="X226" s="787"/>
      <c r="Y226" s="786"/>
      <c r="Z226" s="786"/>
      <c r="AA226" s="786"/>
      <c r="AB226" s="786"/>
      <c r="AC226" s="787"/>
      <c r="AD226" s="786"/>
      <c r="AE226" s="786"/>
      <c r="AF226" s="786"/>
      <c r="AG226" s="788"/>
      <c r="AH226" s="823"/>
      <c r="AI226" s="745"/>
      <c r="AJ226" s="728"/>
      <c r="AK226" s="729"/>
      <c r="AL226" s="729"/>
      <c r="AM226" s="729"/>
      <c r="AN226" s="729"/>
      <c r="AO226" s="730"/>
      <c r="AP226" s="74"/>
      <c r="AQ226" s="74"/>
      <c r="AR226" s="74"/>
      <c r="AS226" s="106"/>
      <c r="AW226" s="1392" t="str">
        <f t="shared" si="381"/>
        <v>Qty</v>
      </c>
      <c r="AX226" s="1393" t="str">
        <f t="shared" si="381"/>
        <v>[Service]</v>
      </c>
      <c r="AY226" s="1394" t="str">
        <f t="shared" si="345"/>
        <v>[Price]</v>
      </c>
      <c r="AZ226" s="1395" t="str">
        <f t="shared" si="410"/>
        <v>-</v>
      </c>
      <c r="BA226" s="1395" t="str">
        <f t="shared" si="410"/>
        <v>-</v>
      </c>
      <c r="BB226" s="1395" t="str">
        <f t="shared" si="410"/>
        <v>-</v>
      </c>
      <c r="BC226" s="1395" t="str">
        <f t="shared" si="410"/>
        <v>-</v>
      </c>
      <c r="BD226" s="1395" t="str">
        <f t="shared" si="347"/>
        <v>-</v>
      </c>
      <c r="BE226" s="1395" t="str">
        <f t="shared" si="348"/>
        <v>-</v>
      </c>
      <c r="BF226" s="1395" t="str">
        <f t="shared" si="349"/>
        <v>-</v>
      </c>
      <c r="BG226" s="1396" t="str">
        <f t="shared" si="350"/>
        <v>-</v>
      </c>
      <c r="BH226" s="1395" t="str">
        <f t="shared" si="351"/>
        <v>-</v>
      </c>
      <c r="BI226" s="1395" t="str">
        <f t="shared" si="352"/>
        <v>-</v>
      </c>
      <c r="BJ226" s="1395" t="str">
        <f t="shared" si="353"/>
        <v>-</v>
      </c>
      <c r="BK226" s="1395" t="str">
        <f t="shared" si="354"/>
        <v>-</v>
      </c>
      <c r="BL226" s="1397" t="str">
        <f t="shared" si="355"/>
        <v>-</v>
      </c>
      <c r="BM226" s="1395" t="str">
        <f t="shared" si="356"/>
        <v>-</v>
      </c>
      <c r="BN226" s="1395" t="str">
        <f t="shared" si="357"/>
        <v>-</v>
      </c>
      <c r="BO226" s="1395" t="str">
        <f t="shared" si="358"/>
        <v>-</v>
      </c>
      <c r="BP226" s="1395" t="str">
        <f t="shared" si="359"/>
        <v>-</v>
      </c>
      <c r="BQ226" s="1398" t="str">
        <f t="shared" si="360"/>
        <v>-</v>
      </c>
      <c r="BR226" s="1378"/>
      <c r="BS226" s="1329"/>
      <c r="BT226" s="1399"/>
      <c r="BU226" s="1331"/>
      <c r="BV226" s="1400"/>
      <c r="BW226" s="1378"/>
      <c r="BX226" s="1392" t="str">
        <f t="shared" si="361"/>
        <v>Qty</v>
      </c>
      <c r="BY226" s="1393" t="str">
        <f t="shared" si="406"/>
        <v>[Service]</v>
      </c>
      <c r="BZ226" s="1394" t="str">
        <f t="shared" si="407"/>
        <v>[Price]</v>
      </c>
      <c r="CA226" s="1401" t="str">
        <f>IFERROR((S226/R226-1)*(R227/R$13),"-")</f>
        <v>-</v>
      </c>
      <c r="CB226" s="1395" t="str">
        <f>IFERROR((T226/S226-1)*(S227/S$13),"-")</f>
        <v>-</v>
      </c>
      <c r="CC226" s="1395" t="str">
        <f>IFERROR((U226/T226-1)*(T227/T$13),"-")</f>
        <v>-</v>
      </c>
      <c r="CD226" s="1395" t="str">
        <f>IFERROR((V226/U226-1)*(U227/U$13),"-")</f>
        <v>-</v>
      </c>
      <c r="CE226" s="1395" t="str">
        <f t="shared" ref="CE226:CR226" si="432">IFERROR((T226/S226-1)*(S227/S$13),"-")</f>
        <v>-</v>
      </c>
      <c r="CF226" s="1395" t="str">
        <f t="shared" si="432"/>
        <v>-</v>
      </c>
      <c r="CG226" s="1395" t="str">
        <f t="shared" si="432"/>
        <v>-</v>
      </c>
      <c r="CH226" s="1397" t="str">
        <f t="shared" si="432"/>
        <v>-</v>
      </c>
      <c r="CI226" s="1395" t="str">
        <f t="shared" si="432"/>
        <v>-</v>
      </c>
      <c r="CJ226" s="1395" t="str">
        <f t="shared" si="432"/>
        <v>-</v>
      </c>
      <c r="CK226" s="1395" t="str">
        <f t="shared" si="432"/>
        <v>-</v>
      </c>
      <c r="CL226" s="1395" t="str">
        <f t="shared" si="432"/>
        <v>-</v>
      </c>
      <c r="CM226" s="1397" t="str">
        <f t="shared" si="432"/>
        <v>-</v>
      </c>
      <c r="CN226" s="1395" t="str">
        <f t="shared" si="432"/>
        <v>-</v>
      </c>
      <c r="CO226" s="1395" t="str">
        <f t="shared" si="432"/>
        <v>-</v>
      </c>
      <c r="CP226" s="1395" t="str">
        <f t="shared" si="432"/>
        <v>-</v>
      </c>
      <c r="CQ226" s="1395" t="str">
        <f t="shared" si="432"/>
        <v>-</v>
      </c>
      <c r="CR226" s="1398" t="str">
        <f t="shared" si="432"/>
        <v>-</v>
      </c>
      <c r="CS226" s="1378"/>
      <c r="CT226" s="1392" t="str">
        <f t="shared" si="341"/>
        <v>Qty</v>
      </c>
      <c r="CU226" s="1393" t="str">
        <f t="shared" si="342"/>
        <v>[Service]</v>
      </c>
      <c r="CV226" s="1393" t="str">
        <f t="shared" si="343"/>
        <v>[Price]</v>
      </c>
      <c r="CW226" s="1401" t="str">
        <f t="shared" si="363"/>
        <v>-</v>
      </c>
      <c r="CX226" s="1395" t="str">
        <f t="shared" si="364"/>
        <v>-</v>
      </c>
      <c r="CY226" s="1395" t="str">
        <f t="shared" si="365"/>
        <v>-</v>
      </c>
      <c r="CZ226" s="1397" t="str">
        <f t="shared" si="366"/>
        <v>-</v>
      </c>
      <c r="DA226" s="1395" t="str">
        <f t="shared" si="367"/>
        <v>-</v>
      </c>
      <c r="DB226" s="1395" t="str">
        <f t="shared" si="368"/>
        <v>-</v>
      </c>
      <c r="DC226" s="1395" t="str">
        <f t="shared" si="369"/>
        <v>-</v>
      </c>
      <c r="DD226" s="1395" t="str">
        <f t="shared" si="370"/>
        <v>-</v>
      </c>
      <c r="DE226" s="1398" t="str">
        <f t="shared" si="371"/>
        <v>-</v>
      </c>
      <c r="DF226" s="1378"/>
      <c r="DG226" s="1392" t="str">
        <f t="shared" si="383"/>
        <v>Qty</v>
      </c>
      <c r="DH226" s="1393" t="str">
        <f t="shared" si="383"/>
        <v>[Service]</v>
      </c>
      <c r="DI226" s="1393" t="str">
        <f t="shared" si="383"/>
        <v>[Price]</v>
      </c>
      <c r="DJ226" s="1401" t="str">
        <f t="shared" si="372"/>
        <v>-</v>
      </c>
      <c r="DK226" s="1395" t="str">
        <f t="shared" si="373"/>
        <v>-</v>
      </c>
      <c r="DL226" s="1395" t="str">
        <f t="shared" si="374"/>
        <v>-</v>
      </c>
      <c r="DM226" s="1397" t="str">
        <f t="shared" si="375"/>
        <v>-</v>
      </c>
      <c r="DN226" s="1395" t="str">
        <f t="shared" si="376"/>
        <v>-</v>
      </c>
      <c r="DO226" s="1395" t="str">
        <f t="shared" si="377"/>
        <v>-</v>
      </c>
      <c r="DP226" s="1395" t="str">
        <f t="shared" si="378"/>
        <v>-</v>
      </c>
      <c r="DQ226" s="1398" t="str">
        <f t="shared" si="379"/>
        <v>-</v>
      </c>
    </row>
    <row r="227" spans="4:121" ht="12.75" thickBot="1">
      <c r="E227" s="743" t="s">
        <v>46</v>
      </c>
      <c r="F227" s="732" t="str">
        <f>+F225</f>
        <v>[Service]</v>
      </c>
      <c r="G227" s="733">
        <f>+G225</f>
        <v>0</v>
      </c>
      <c r="H227" s="733">
        <f>+H225</f>
        <v>0</v>
      </c>
      <c r="I227" s="734" t="str">
        <f>+I225</f>
        <v>[Price]</v>
      </c>
      <c r="J227" s="735" t="s">
        <v>344</v>
      </c>
      <c r="K227" s="736">
        <f t="shared" ref="K227:AG227" si="433">K225*K226/10^6</f>
        <v>0</v>
      </c>
      <c r="L227" s="737">
        <f t="shared" si="433"/>
        <v>0</v>
      </c>
      <c r="M227" s="737">
        <f t="shared" si="433"/>
        <v>0</v>
      </c>
      <c r="N227" s="738">
        <f t="shared" si="433"/>
        <v>0</v>
      </c>
      <c r="O227" s="737">
        <f t="shared" si="433"/>
        <v>0</v>
      </c>
      <c r="P227" s="738">
        <f t="shared" si="433"/>
        <v>0</v>
      </c>
      <c r="Q227" s="737">
        <f t="shared" si="433"/>
        <v>0</v>
      </c>
      <c r="R227" s="737">
        <f t="shared" si="433"/>
        <v>0</v>
      </c>
      <c r="S227" s="737">
        <f t="shared" si="433"/>
        <v>0</v>
      </c>
      <c r="T227" s="737">
        <f t="shared" si="433"/>
        <v>0</v>
      </c>
      <c r="U227" s="737">
        <f t="shared" si="433"/>
        <v>0</v>
      </c>
      <c r="V227" s="737">
        <f t="shared" si="433"/>
        <v>0</v>
      </c>
      <c r="W227" s="737">
        <f t="shared" si="433"/>
        <v>0</v>
      </c>
      <c r="X227" s="738">
        <f t="shared" si="433"/>
        <v>0</v>
      </c>
      <c r="Y227" s="737">
        <f t="shared" si="433"/>
        <v>0</v>
      </c>
      <c r="Z227" s="737">
        <f t="shared" si="433"/>
        <v>0</v>
      </c>
      <c r="AA227" s="737">
        <f t="shared" si="433"/>
        <v>0</v>
      </c>
      <c r="AB227" s="737">
        <f t="shared" si="433"/>
        <v>0</v>
      </c>
      <c r="AC227" s="738">
        <f t="shared" si="433"/>
        <v>0</v>
      </c>
      <c r="AD227" s="737">
        <f t="shared" si="433"/>
        <v>0</v>
      </c>
      <c r="AE227" s="737">
        <f t="shared" si="433"/>
        <v>0</v>
      </c>
      <c r="AF227" s="737">
        <f t="shared" si="433"/>
        <v>0</v>
      </c>
      <c r="AG227" s="739">
        <f t="shared" si="433"/>
        <v>0</v>
      </c>
      <c r="AH227" s="823"/>
      <c r="AI227" s="745"/>
      <c r="AJ227" s="741"/>
      <c r="AK227" s="729"/>
      <c r="AL227" s="729"/>
      <c r="AM227" s="729"/>
      <c r="AN227" s="729"/>
      <c r="AO227" s="730"/>
      <c r="AP227" s="74"/>
      <c r="AQ227" s="74"/>
      <c r="AR227" s="74"/>
      <c r="AS227" s="106"/>
      <c r="AW227" s="1428" t="str">
        <f t="shared" si="381"/>
        <v>Rev</v>
      </c>
      <c r="AX227" s="1429" t="str">
        <f t="shared" si="381"/>
        <v>[Service]</v>
      </c>
      <c r="AY227" s="1430" t="str">
        <f t="shared" si="345"/>
        <v>[Price]</v>
      </c>
      <c r="AZ227" s="1431" t="str">
        <f t="shared" si="410"/>
        <v>-</v>
      </c>
      <c r="BA227" s="1431" t="str">
        <f t="shared" si="410"/>
        <v>-</v>
      </c>
      <c r="BB227" s="1431" t="str">
        <f t="shared" si="410"/>
        <v>-</v>
      </c>
      <c r="BC227" s="1431" t="str">
        <f t="shared" si="410"/>
        <v>-</v>
      </c>
      <c r="BD227" s="1431" t="str">
        <f t="shared" si="347"/>
        <v>-</v>
      </c>
      <c r="BE227" s="1431" t="str">
        <f t="shared" si="348"/>
        <v>-</v>
      </c>
      <c r="BF227" s="1431" t="str">
        <f t="shared" si="349"/>
        <v>-</v>
      </c>
      <c r="BG227" s="1432" t="str">
        <f t="shared" si="350"/>
        <v>-</v>
      </c>
      <c r="BH227" s="1431" t="str">
        <f t="shared" si="351"/>
        <v>-</v>
      </c>
      <c r="BI227" s="1431" t="str">
        <f t="shared" si="352"/>
        <v>-</v>
      </c>
      <c r="BJ227" s="1431" t="str">
        <f t="shared" si="353"/>
        <v>-</v>
      </c>
      <c r="BK227" s="1431" t="str">
        <f t="shared" si="354"/>
        <v>-</v>
      </c>
      <c r="BL227" s="1433" t="str">
        <f t="shared" si="355"/>
        <v>-</v>
      </c>
      <c r="BM227" s="1431" t="str">
        <f t="shared" si="356"/>
        <v>-</v>
      </c>
      <c r="BN227" s="1431" t="str">
        <f t="shared" si="357"/>
        <v>-</v>
      </c>
      <c r="BO227" s="1431" t="str">
        <f t="shared" si="358"/>
        <v>-</v>
      </c>
      <c r="BP227" s="1431" t="str">
        <f t="shared" si="359"/>
        <v>-</v>
      </c>
      <c r="BQ227" s="1434" t="str">
        <f t="shared" si="360"/>
        <v>-</v>
      </c>
      <c r="BR227" s="1378"/>
      <c r="BS227" s="1407"/>
      <c r="BT227" s="1408"/>
      <c r="BU227" s="1409"/>
      <c r="BV227" s="1410"/>
      <c r="BW227" s="1378"/>
      <c r="BX227" s="1428" t="str">
        <f t="shared" si="361"/>
        <v>Rev</v>
      </c>
      <c r="BY227" s="1429" t="str">
        <f t="shared" si="406"/>
        <v>[Service]</v>
      </c>
      <c r="BZ227" s="1430" t="str">
        <f t="shared" si="407"/>
        <v>[Price]</v>
      </c>
      <c r="CA227" s="1435" t="str">
        <f>IFERROR((S227/R227-1)*(R227/R$13),"-")</f>
        <v>-</v>
      </c>
      <c r="CB227" s="1431" t="str">
        <f>IFERROR((T227/S227-1)*(S227/S$13),"-")</f>
        <v>-</v>
      </c>
      <c r="CC227" s="1431" t="str">
        <f>IFERROR((U227/T227-1)*(T227/T$13),"-")</f>
        <v>-</v>
      </c>
      <c r="CD227" s="1431" t="str">
        <f>IFERROR((V227/U227-1)*(U227/U$13),"-")</f>
        <v>-</v>
      </c>
      <c r="CE227" s="1431" t="str">
        <f t="shared" ref="CE227:CR227" si="434">IFERROR((T227/S227-1)*(S227/S$13),"-")</f>
        <v>-</v>
      </c>
      <c r="CF227" s="1431" t="str">
        <f t="shared" si="434"/>
        <v>-</v>
      </c>
      <c r="CG227" s="1431" t="str">
        <f t="shared" si="434"/>
        <v>-</v>
      </c>
      <c r="CH227" s="1433" t="str">
        <f t="shared" si="434"/>
        <v>-</v>
      </c>
      <c r="CI227" s="1431" t="str">
        <f t="shared" si="434"/>
        <v>-</v>
      </c>
      <c r="CJ227" s="1431" t="str">
        <f t="shared" si="434"/>
        <v>-</v>
      </c>
      <c r="CK227" s="1431" t="str">
        <f t="shared" si="434"/>
        <v>-</v>
      </c>
      <c r="CL227" s="1431" t="str">
        <f t="shared" si="434"/>
        <v>-</v>
      </c>
      <c r="CM227" s="1433" t="str">
        <f t="shared" si="434"/>
        <v>-</v>
      </c>
      <c r="CN227" s="1431" t="str">
        <f t="shared" si="434"/>
        <v>-</v>
      </c>
      <c r="CO227" s="1431" t="str">
        <f t="shared" si="434"/>
        <v>-</v>
      </c>
      <c r="CP227" s="1431" t="str">
        <f t="shared" si="434"/>
        <v>-</v>
      </c>
      <c r="CQ227" s="1431" t="str">
        <f t="shared" si="434"/>
        <v>-</v>
      </c>
      <c r="CR227" s="1434" t="str">
        <f t="shared" si="434"/>
        <v>-</v>
      </c>
      <c r="CS227" s="1378"/>
      <c r="CT227" s="1428" t="str">
        <f t="shared" si="341"/>
        <v>Rev</v>
      </c>
      <c r="CU227" s="1429" t="str">
        <f t="shared" si="342"/>
        <v>[Service]</v>
      </c>
      <c r="CV227" s="1429" t="str">
        <f t="shared" si="343"/>
        <v>[Price]</v>
      </c>
      <c r="CW227" s="1435" t="str">
        <f t="shared" si="363"/>
        <v>-</v>
      </c>
      <c r="CX227" s="1431" t="str">
        <f t="shared" si="364"/>
        <v>-</v>
      </c>
      <c r="CY227" s="1431" t="str">
        <f t="shared" si="365"/>
        <v>-</v>
      </c>
      <c r="CZ227" s="1433" t="str">
        <f t="shared" si="366"/>
        <v>-</v>
      </c>
      <c r="DA227" s="1431" t="str">
        <f t="shared" si="367"/>
        <v>-</v>
      </c>
      <c r="DB227" s="1431" t="str">
        <f t="shared" si="368"/>
        <v>-</v>
      </c>
      <c r="DC227" s="1431" t="str">
        <f t="shared" si="369"/>
        <v>-</v>
      </c>
      <c r="DD227" s="1431" t="str">
        <f t="shared" si="370"/>
        <v>-</v>
      </c>
      <c r="DE227" s="1434" t="str">
        <f t="shared" si="371"/>
        <v>-</v>
      </c>
      <c r="DF227" s="1378"/>
      <c r="DG227" s="1428" t="str">
        <f t="shared" si="383"/>
        <v>Rev</v>
      </c>
      <c r="DH227" s="1429" t="str">
        <f t="shared" si="383"/>
        <v>[Service]</v>
      </c>
      <c r="DI227" s="1429" t="str">
        <f t="shared" si="383"/>
        <v>[Price]</v>
      </c>
      <c r="DJ227" s="1435" t="str">
        <f t="shared" si="372"/>
        <v>-</v>
      </c>
      <c r="DK227" s="1431" t="str">
        <f t="shared" si="373"/>
        <v>-</v>
      </c>
      <c r="DL227" s="1431" t="str">
        <f t="shared" si="374"/>
        <v>-</v>
      </c>
      <c r="DM227" s="1433" t="str">
        <f t="shared" si="375"/>
        <v>-</v>
      </c>
      <c r="DN227" s="1431" t="str">
        <f t="shared" si="376"/>
        <v>-</v>
      </c>
      <c r="DO227" s="1431" t="str">
        <f t="shared" si="377"/>
        <v>-</v>
      </c>
      <c r="DP227" s="1431" t="str">
        <f t="shared" si="378"/>
        <v>-</v>
      </c>
      <c r="DQ227" s="1434" t="str">
        <f t="shared" si="379"/>
        <v>-</v>
      </c>
    </row>
    <row r="228" spans="4:121">
      <c r="D228" s="70">
        <f>D225+1</f>
        <v>54</v>
      </c>
      <c r="E228" s="713" t="s">
        <v>44</v>
      </c>
      <c r="F228" s="789" t="s">
        <v>27</v>
      </c>
      <c r="G228" s="789"/>
      <c r="H228" s="789"/>
      <c r="I228" s="781" t="s">
        <v>318</v>
      </c>
      <c r="J228" s="781" t="s">
        <v>345</v>
      </c>
      <c r="K228" s="714"/>
      <c r="L228" s="715"/>
      <c r="M228" s="715"/>
      <c r="N228" s="716"/>
      <c r="O228" s="783"/>
      <c r="P228" s="784"/>
      <c r="Q228" s="783"/>
      <c r="R228" s="783"/>
      <c r="S228" s="783"/>
      <c r="T228" s="783"/>
      <c r="U228" s="783"/>
      <c r="V228" s="783"/>
      <c r="W228" s="783"/>
      <c r="X228" s="784"/>
      <c r="Y228" s="783"/>
      <c r="Z228" s="783"/>
      <c r="AA228" s="783"/>
      <c r="AB228" s="783"/>
      <c r="AC228" s="784"/>
      <c r="AD228" s="783"/>
      <c r="AE228" s="783"/>
      <c r="AF228" s="783"/>
      <c r="AG228" s="785"/>
      <c r="AI228" s="745"/>
      <c r="AJ228" s="717" t="str">
        <f t="shared" ref="AJ228:AS228" si="435">IFERROR((X228-W228)/W228,"")</f>
        <v/>
      </c>
      <c r="AK228" s="718" t="str">
        <f t="shared" si="435"/>
        <v/>
      </c>
      <c r="AL228" s="718" t="str">
        <f t="shared" si="435"/>
        <v/>
      </c>
      <c r="AM228" s="718" t="str">
        <f t="shared" si="435"/>
        <v/>
      </c>
      <c r="AN228" s="718" t="str">
        <f t="shared" si="435"/>
        <v/>
      </c>
      <c r="AO228" s="719" t="str">
        <f t="shared" si="435"/>
        <v/>
      </c>
      <c r="AP228" s="494" t="str">
        <f t="shared" si="435"/>
        <v/>
      </c>
      <c r="AQ228" s="494" t="str">
        <f t="shared" si="435"/>
        <v/>
      </c>
      <c r="AR228" s="494" t="str">
        <f t="shared" si="435"/>
        <v/>
      </c>
      <c r="AS228" s="720" t="str">
        <f t="shared" si="435"/>
        <v/>
      </c>
      <c r="AU228" s="1369"/>
      <c r="AW228" s="1412" t="str">
        <f t="shared" si="381"/>
        <v>Price</v>
      </c>
      <c r="AX228" s="1413" t="str">
        <f t="shared" si="381"/>
        <v>[Service]</v>
      </c>
      <c r="AY228" s="1414" t="str">
        <f t="shared" si="345"/>
        <v>[Price]</v>
      </c>
      <c r="AZ228" s="1415" t="str">
        <f t="shared" si="410"/>
        <v>-</v>
      </c>
      <c r="BA228" s="1415" t="str">
        <f t="shared" si="410"/>
        <v>-</v>
      </c>
      <c r="BB228" s="1415" t="str">
        <f t="shared" si="410"/>
        <v>-</v>
      </c>
      <c r="BC228" s="1415" t="str">
        <f t="shared" si="410"/>
        <v>-</v>
      </c>
      <c r="BD228" s="1415" t="str">
        <f t="shared" si="347"/>
        <v>-</v>
      </c>
      <c r="BE228" s="1415" t="str">
        <f t="shared" si="348"/>
        <v>-</v>
      </c>
      <c r="BF228" s="1415" t="str">
        <f t="shared" si="349"/>
        <v>-</v>
      </c>
      <c r="BG228" s="1416" t="str">
        <f t="shared" si="350"/>
        <v>-</v>
      </c>
      <c r="BH228" s="1417" t="str">
        <f t="shared" si="351"/>
        <v>-</v>
      </c>
      <c r="BI228" s="1417" t="str">
        <f t="shared" si="352"/>
        <v>-</v>
      </c>
      <c r="BJ228" s="1417" t="str">
        <f t="shared" si="353"/>
        <v>-</v>
      </c>
      <c r="BK228" s="1417" t="str">
        <f t="shared" si="354"/>
        <v>-</v>
      </c>
      <c r="BL228" s="1418" t="str">
        <f t="shared" si="355"/>
        <v>-</v>
      </c>
      <c r="BM228" s="1417" t="str">
        <f t="shared" si="356"/>
        <v>-</v>
      </c>
      <c r="BN228" s="1417" t="str">
        <f t="shared" si="357"/>
        <v>-</v>
      </c>
      <c r="BO228" s="1417" t="str">
        <f t="shared" si="358"/>
        <v>-</v>
      </c>
      <c r="BP228" s="1417" t="str">
        <f t="shared" si="359"/>
        <v>-</v>
      </c>
      <c r="BQ228" s="1419" t="str">
        <f t="shared" si="360"/>
        <v>-</v>
      </c>
      <c r="BR228" s="1378"/>
      <c r="BS228" s="1420"/>
      <c r="BT228" s="1421"/>
      <c r="BU228" s="1422"/>
      <c r="BV228" s="1423"/>
      <c r="BW228" s="1378"/>
      <c r="BX228" s="1412" t="str">
        <f t="shared" si="361"/>
        <v>Price</v>
      </c>
      <c r="BY228" s="1413" t="str">
        <f t="shared" si="406"/>
        <v>[Service]</v>
      </c>
      <c r="BZ228" s="1414" t="str">
        <f t="shared" si="407"/>
        <v>[Price]</v>
      </c>
      <c r="CA228" s="1424" t="str">
        <f>IFERROR((S228/R228-1)*(R230/R$13),"-")</f>
        <v>-</v>
      </c>
      <c r="CB228" s="1415" t="str">
        <f>IFERROR((T228/S228-1)*(S230/S$13),"-")</f>
        <v>-</v>
      </c>
      <c r="CC228" s="1415" t="str">
        <f>IFERROR((U228/T228-1)*(T230/T$13),"-")</f>
        <v>-</v>
      </c>
      <c r="CD228" s="1415" t="str">
        <f>IFERROR((V228/U228-1)*(U230/U$13),"-")</f>
        <v>-</v>
      </c>
      <c r="CE228" s="1415" t="str">
        <f t="shared" ref="CE228:CR228" si="436">IFERROR((T228/S228-1)*(S230/S$13),"-")</f>
        <v>-</v>
      </c>
      <c r="CF228" s="1415" t="str">
        <f t="shared" si="436"/>
        <v>-</v>
      </c>
      <c r="CG228" s="1415" t="str">
        <f t="shared" si="436"/>
        <v>-</v>
      </c>
      <c r="CH228" s="1425" t="str">
        <f t="shared" si="436"/>
        <v>-</v>
      </c>
      <c r="CI228" s="1417" t="str">
        <f t="shared" si="436"/>
        <v>-</v>
      </c>
      <c r="CJ228" s="1417" t="str">
        <f t="shared" si="436"/>
        <v>-</v>
      </c>
      <c r="CK228" s="1417" t="str">
        <f t="shared" si="436"/>
        <v>-</v>
      </c>
      <c r="CL228" s="1417" t="str">
        <f t="shared" si="436"/>
        <v>-</v>
      </c>
      <c r="CM228" s="1418" t="str">
        <f t="shared" si="436"/>
        <v>-</v>
      </c>
      <c r="CN228" s="1417" t="str">
        <f t="shared" si="436"/>
        <v>-</v>
      </c>
      <c r="CO228" s="1417" t="str">
        <f t="shared" si="436"/>
        <v>-</v>
      </c>
      <c r="CP228" s="1417" t="str">
        <f t="shared" si="436"/>
        <v>-</v>
      </c>
      <c r="CQ228" s="1417" t="str">
        <f t="shared" si="436"/>
        <v>-</v>
      </c>
      <c r="CR228" s="1419" t="str">
        <f t="shared" si="436"/>
        <v>-</v>
      </c>
      <c r="CS228" s="1378"/>
      <c r="CT228" s="1412" t="str">
        <f t="shared" si="341"/>
        <v>Price</v>
      </c>
      <c r="CU228" s="1413" t="str">
        <f t="shared" si="342"/>
        <v>[Service]</v>
      </c>
      <c r="CV228" s="1426" t="str">
        <f t="shared" si="343"/>
        <v>[Price]</v>
      </c>
      <c r="CW228" s="1427" t="str">
        <f t="shared" si="363"/>
        <v>-</v>
      </c>
      <c r="CX228" s="1417" t="str">
        <f t="shared" si="364"/>
        <v>-</v>
      </c>
      <c r="CY228" s="1417" t="str">
        <f t="shared" si="365"/>
        <v>-</v>
      </c>
      <c r="CZ228" s="1418" t="str">
        <f t="shared" si="366"/>
        <v>-</v>
      </c>
      <c r="DA228" s="1417" t="str">
        <f t="shared" si="367"/>
        <v>-</v>
      </c>
      <c r="DB228" s="1417" t="str">
        <f t="shared" si="368"/>
        <v>-</v>
      </c>
      <c r="DC228" s="1417" t="str">
        <f t="shared" si="369"/>
        <v>-</v>
      </c>
      <c r="DD228" s="1417" t="str">
        <f t="shared" si="370"/>
        <v>-</v>
      </c>
      <c r="DE228" s="1419" t="str">
        <f t="shared" si="371"/>
        <v>-</v>
      </c>
      <c r="DF228" s="1378"/>
      <c r="DG228" s="1412" t="str">
        <f t="shared" si="383"/>
        <v>Price</v>
      </c>
      <c r="DH228" s="1413" t="str">
        <f t="shared" si="383"/>
        <v>[Service]</v>
      </c>
      <c r="DI228" s="1426" t="str">
        <f t="shared" si="383"/>
        <v>[Price]</v>
      </c>
      <c r="DJ228" s="1427" t="str">
        <f t="shared" si="372"/>
        <v>-</v>
      </c>
      <c r="DK228" s="1417" t="str">
        <f t="shared" si="373"/>
        <v>-</v>
      </c>
      <c r="DL228" s="1417" t="str">
        <f t="shared" si="374"/>
        <v>-</v>
      </c>
      <c r="DM228" s="1418" t="str">
        <f t="shared" si="375"/>
        <v>-</v>
      </c>
      <c r="DN228" s="1417" t="str">
        <f t="shared" si="376"/>
        <v>-</v>
      </c>
      <c r="DO228" s="1417" t="str">
        <f t="shared" si="377"/>
        <v>-</v>
      </c>
      <c r="DP228" s="1417" t="str">
        <f t="shared" si="378"/>
        <v>-</v>
      </c>
      <c r="DQ228" s="1419" t="str">
        <f t="shared" si="379"/>
        <v>-</v>
      </c>
    </row>
    <row r="229" spans="4:121">
      <c r="E229" s="742" t="s">
        <v>45</v>
      </c>
      <c r="F229" s="722" t="str">
        <f>+F228</f>
        <v>[Service]</v>
      </c>
      <c r="G229" s="723">
        <f>+G228</f>
        <v>0</v>
      </c>
      <c r="H229" s="723">
        <f>+H228</f>
        <v>0</v>
      </c>
      <c r="I229" s="724" t="str">
        <f>+I228</f>
        <v>[Price]</v>
      </c>
      <c r="J229" s="782" t="s">
        <v>322</v>
      </c>
      <c r="K229" s="725"/>
      <c r="L229" s="726"/>
      <c r="M229" s="726"/>
      <c r="N229" s="727"/>
      <c r="O229" s="786"/>
      <c r="P229" s="787"/>
      <c r="Q229" s="786"/>
      <c r="R229" s="786"/>
      <c r="S229" s="786"/>
      <c r="T229" s="786"/>
      <c r="U229" s="786"/>
      <c r="V229" s="786"/>
      <c r="W229" s="786"/>
      <c r="X229" s="787"/>
      <c r="Y229" s="786"/>
      <c r="Z229" s="786"/>
      <c r="AA229" s="786"/>
      <c r="AB229" s="786"/>
      <c r="AC229" s="787"/>
      <c r="AD229" s="786"/>
      <c r="AE229" s="786"/>
      <c r="AF229" s="786"/>
      <c r="AG229" s="788"/>
      <c r="AH229" s="823"/>
      <c r="AI229" s="745"/>
      <c r="AJ229" s="728"/>
      <c r="AK229" s="729"/>
      <c r="AL229" s="729"/>
      <c r="AM229" s="729"/>
      <c r="AN229" s="729"/>
      <c r="AO229" s="730"/>
      <c r="AP229" s="74"/>
      <c r="AQ229" s="74"/>
      <c r="AR229" s="74"/>
      <c r="AS229" s="106"/>
      <c r="AW229" s="1392" t="str">
        <f t="shared" si="381"/>
        <v>Qty</v>
      </c>
      <c r="AX229" s="1393" t="str">
        <f t="shared" si="381"/>
        <v>[Service]</v>
      </c>
      <c r="AY229" s="1394" t="str">
        <f t="shared" si="345"/>
        <v>[Price]</v>
      </c>
      <c r="AZ229" s="1395" t="str">
        <f t="shared" ref="AZ229:BC244" si="437">IFERROR(P229/O229-1,"-")</f>
        <v>-</v>
      </c>
      <c r="BA229" s="1395" t="str">
        <f t="shared" si="437"/>
        <v>-</v>
      </c>
      <c r="BB229" s="1395" t="str">
        <f t="shared" si="437"/>
        <v>-</v>
      </c>
      <c r="BC229" s="1395" t="str">
        <f t="shared" si="437"/>
        <v>-</v>
      </c>
      <c r="BD229" s="1395" t="str">
        <f t="shared" si="347"/>
        <v>-</v>
      </c>
      <c r="BE229" s="1395" t="str">
        <f t="shared" si="348"/>
        <v>-</v>
      </c>
      <c r="BF229" s="1395" t="str">
        <f t="shared" si="349"/>
        <v>-</v>
      </c>
      <c r="BG229" s="1396" t="str">
        <f t="shared" si="350"/>
        <v>-</v>
      </c>
      <c r="BH229" s="1395" t="str">
        <f t="shared" si="351"/>
        <v>-</v>
      </c>
      <c r="BI229" s="1395" t="str">
        <f t="shared" si="352"/>
        <v>-</v>
      </c>
      <c r="BJ229" s="1395" t="str">
        <f t="shared" si="353"/>
        <v>-</v>
      </c>
      <c r="BK229" s="1395" t="str">
        <f t="shared" si="354"/>
        <v>-</v>
      </c>
      <c r="BL229" s="1397" t="str">
        <f t="shared" si="355"/>
        <v>-</v>
      </c>
      <c r="BM229" s="1395" t="str">
        <f t="shared" si="356"/>
        <v>-</v>
      </c>
      <c r="BN229" s="1395" t="str">
        <f t="shared" si="357"/>
        <v>-</v>
      </c>
      <c r="BO229" s="1395" t="str">
        <f t="shared" si="358"/>
        <v>-</v>
      </c>
      <c r="BP229" s="1395" t="str">
        <f t="shared" si="359"/>
        <v>-</v>
      </c>
      <c r="BQ229" s="1398" t="str">
        <f t="shared" si="360"/>
        <v>-</v>
      </c>
      <c r="BR229" s="1378"/>
      <c r="BS229" s="1329"/>
      <c r="BT229" s="1399"/>
      <c r="BU229" s="1331"/>
      <c r="BV229" s="1400"/>
      <c r="BW229" s="1378"/>
      <c r="BX229" s="1392" t="str">
        <f t="shared" si="361"/>
        <v>Qty</v>
      </c>
      <c r="BY229" s="1393" t="str">
        <f t="shared" si="406"/>
        <v>[Service]</v>
      </c>
      <c r="BZ229" s="1394" t="str">
        <f t="shared" si="407"/>
        <v>[Price]</v>
      </c>
      <c r="CA229" s="1401" t="str">
        <f>IFERROR((S229/R229-1)*(R230/R$13),"-")</f>
        <v>-</v>
      </c>
      <c r="CB229" s="1395" t="str">
        <f>IFERROR((T229/S229-1)*(S230/S$13),"-")</f>
        <v>-</v>
      </c>
      <c r="CC229" s="1395" t="str">
        <f>IFERROR((U229/T229-1)*(T230/T$13),"-")</f>
        <v>-</v>
      </c>
      <c r="CD229" s="1395" t="str">
        <f>IFERROR((V229/U229-1)*(U230/U$13),"-")</f>
        <v>-</v>
      </c>
      <c r="CE229" s="1395" t="str">
        <f t="shared" ref="CE229:CR229" si="438">IFERROR((T229/S229-1)*(S230/S$13),"-")</f>
        <v>-</v>
      </c>
      <c r="CF229" s="1395" t="str">
        <f t="shared" si="438"/>
        <v>-</v>
      </c>
      <c r="CG229" s="1395" t="str">
        <f t="shared" si="438"/>
        <v>-</v>
      </c>
      <c r="CH229" s="1397" t="str">
        <f t="shared" si="438"/>
        <v>-</v>
      </c>
      <c r="CI229" s="1395" t="str">
        <f t="shared" si="438"/>
        <v>-</v>
      </c>
      <c r="CJ229" s="1395" t="str">
        <f t="shared" si="438"/>
        <v>-</v>
      </c>
      <c r="CK229" s="1395" t="str">
        <f t="shared" si="438"/>
        <v>-</v>
      </c>
      <c r="CL229" s="1395" t="str">
        <f t="shared" si="438"/>
        <v>-</v>
      </c>
      <c r="CM229" s="1397" t="str">
        <f t="shared" si="438"/>
        <v>-</v>
      </c>
      <c r="CN229" s="1395" t="str">
        <f t="shared" si="438"/>
        <v>-</v>
      </c>
      <c r="CO229" s="1395" t="str">
        <f t="shared" si="438"/>
        <v>-</v>
      </c>
      <c r="CP229" s="1395" t="str">
        <f t="shared" si="438"/>
        <v>-</v>
      </c>
      <c r="CQ229" s="1395" t="str">
        <f t="shared" si="438"/>
        <v>-</v>
      </c>
      <c r="CR229" s="1398" t="str">
        <f t="shared" si="438"/>
        <v>-</v>
      </c>
      <c r="CS229" s="1378"/>
      <c r="CT229" s="1392" t="str">
        <f t="shared" si="341"/>
        <v>Qty</v>
      </c>
      <c r="CU229" s="1393" t="str">
        <f t="shared" si="342"/>
        <v>[Service]</v>
      </c>
      <c r="CV229" s="1393" t="str">
        <f t="shared" si="343"/>
        <v>[Price]</v>
      </c>
      <c r="CW229" s="1401" t="str">
        <f t="shared" si="363"/>
        <v>-</v>
      </c>
      <c r="CX229" s="1395" t="str">
        <f t="shared" si="364"/>
        <v>-</v>
      </c>
      <c r="CY229" s="1395" t="str">
        <f t="shared" si="365"/>
        <v>-</v>
      </c>
      <c r="CZ229" s="1397" t="str">
        <f t="shared" si="366"/>
        <v>-</v>
      </c>
      <c r="DA229" s="1395" t="str">
        <f t="shared" si="367"/>
        <v>-</v>
      </c>
      <c r="DB229" s="1395" t="str">
        <f t="shared" si="368"/>
        <v>-</v>
      </c>
      <c r="DC229" s="1395" t="str">
        <f t="shared" si="369"/>
        <v>-</v>
      </c>
      <c r="DD229" s="1395" t="str">
        <f t="shared" si="370"/>
        <v>-</v>
      </c>
      <c r="DE229" s="1398" t="str">
        <f t="shared" si="371"/>
        <v>-</v>
      </c>
      <c r="DF229" s="1378"/>
      <c r="DG229" s="1392" t="str">
        <f t="shared" si="383"/>
        <v>Qty</v>
      </c>
      <c r="DH229" s="1393" t="str">
        <f t="shared" si="383"/>
        <v>[Service]</v>
      </c>
      <c r="DI229" s="1393" t="str">
        <f t="shared" si="383"/>
        <v>[Price]</v>
      </c>
      <c r="DJ229" s="1401" t="str">
        <f t="shared" si="372"/>
        <v>-</v>
      </c>
      <c r="DK229" s="1395" t="str">
        <f t="shared" si="373"/>
        <v>-</v>
      </c>
      <c r="DL229" s="1395" t="str">
        <f t="shared" si="374"/>
        <v>-</v>
      </c>
      <c r="DM229" s="1397" t="str">
        <f t="shared" si="375"/>
        <v>-</v>
      </c>
      <c r="DN229" s="1395" t="str">
        <f t="shared" si="376"/>
        <v>-</v>
      </c>
      <c r="DO229" s="1395" t="str">
        <f t="shared" si="377"/>
        <v>-</v>
      </c>
      <c r="DP229" s="1395" t="str">
        <f t="shared" si="378"/>
        <v>-</v>
      </c>
      <c r="DQ229" s="1398" t="str">
        <f t="shared" si="379"/>
        <v>-</v>
      </c>
    </row>
    <row r="230" spans="4:121" ht="12.75" thickBot="1">
      <c r="E230" s="743" t="s">
        <v>46</v>
      </c>
      <c r="F230" s="732" t="str">
        <f>+F228</f>
        <v>[Service]</v>
      </c>
      <c r="G230" s="733">
        <f>+G228</f>
        <v>0</v>
      </c>
      <c r="H230" s="733">
        <f>+H228</f>
        <v>0</v>
      </c>
      <c r="I230" s="734" t="str">
        <f>+I228</f>
        <v>[Price]</v>
      </c>
      <c r="J230" s="735" t="s">
        <v>344</v>
      </c>
      <c r="K230" s="736">
        <f t="shared" ref="K230:AG230" si="439">K228*K229/10^6</f>
        <v>0</v>
      </c>
      <c r="L230" s="737">
        <f t="shared" si="439"/>
        <v>0</v>
      </c>
      <c r="M230" s="737">
        <f t="shared" si="439"/>
        <v>0</v>
      </c>
      <c r="N230" s="738">
        <f t="shared" si="439"/>
        <v>0</v>
      </c>
      <c r="O230" s="737">
        <f t="shared" si="439"/>
        <v>0</v>
      </c>
      <c r="P230" s="738">
        <f t="shared" si="439"/>
        <v>0</v>
      </c>
      <c r="Q230" s="737">
        <f t="shared" si="439"/>
        <v>0</v>
      </c>
      <c r="R230" s="737">
        <f t="shared" si="439"/>
        <v>0</v>
      </c>
      <c r="S230" s="737">
        <f t="shared" si="439"/>
        <v>0</v>
      </c>
      <c r="T230" s="737">
        <f t="shared" si="439"/>
        <v>0</v>
      </c>
      <c r="U230" s="737">
        <f t="shared" si="439"/>
        <v>0</v>
      </c>
      <c r="V230" s="737">
        <f t="shared" si="439"/>
        <v>0</v>
      </c>
      <c r="W230" s="737">
        <f t="shared" si="439"/>
        <v>0</v>
      </c>
      <c r="X230" s="738">
        <f t="shared" si="439"/>
        <v>0</v>
      </c>
      <c r="Y230" s="737">
        <f t="shared" si="439"/>
        <v>0</v>
      </c>
      <c r="Z230" s="737">
        <f t="shared" si="439"/>
        <v>0</v>
      </c>
      <c r="AA230" s="737">
        <f t="shared" si="439"/>
        <v>0</v>
      </c>
      <c r="AB230" s="737">
        <f t="shared" si="439"/>
        <v>0</v>
      </c>
      <c r="AC230" s="738">
        <f t="shared" si="439"/>
        <v>0</v>
      </c>
      <c r="AD230" s="737">
        <f t="shared" si="439"/>
        <v>0</v>
      </c>
      <c r="AE230" s="737">
        <f t="shared" si="439"/>
        <v>0</v>
      </c>
      <c r="AF230" s="737">
        <f t="shared" si="439"/>
        <v>0</v>
      </c>
      <c r="AG230" s="739">
        <f t="shared" si="439"/>
        <v>0</v>
      </c>
      <c r="AH230" s="823"/>
      <c r="AI230" s="745"/>
      <c r="AJ230" s="741"/>
      <c r="AK230" s="729"/>
      <c r="AL230" s="729"/>
      <c r="AM230" s="729"/>
      <c r="AN230" s="729"/>
      <c r="AO230" s="730"/>
      <c r="AP230" s="74"/>
      <c r="AQ230" s="74"/>
      <c r="AR230" s="74"/>
      <c r="AS230" s="106"/>
      <c r="AW230" s="1428" t="str">
        <f t="shared" si="381"/>
        <v>Rev</v>
      </c>
      <c r="AX230" s="1429" t="str">
        <f t="shared" si="381"/>
        <v>[Service]</v>
      </c>
      <c r="AY230" s="1430" t="str">
        <f t="shared" si="345"/>
        <v>[Price]</v>
      </c>
      <c r="AZ230" s="1431" t="str">
        <f t="shared" si="437"/>
        <v>-</v>
      </c>
      <c r="BA230" s="1431" t="str">
        <f t="shared" si="437"/>
        <v>-</v>
      </c>
      <c r="BB230" s="1431" t="str">
        <f t="shared" si="437"/>
        <v>-</v>
      </c>
      <c r="BC230" s="1431" t="str">
        <f t="shared" si="437"/>
        <v>-</v>
      </c>
      <c r="BD230" s="1431" t="str">
        <f t="shared" si="347"/>
        <v>-</v>
      </c>
      <c r="BE230" s="1431" t="str">
        <f t="shared" si="348"/>
        <v>-</v>
      </c>
      <c r="BF230" s="1431" t="str">
        <f t="shared" si="349"/>
        <v>-</v>
      </c>
      <c r="BG230" s="1432" t="str">
        <f t="shared" si="350"/>
        <v>-</v>
      </c>
      <c r="BH230" s="1431" t="str">
        <f t="shared" si="351"/>
        <v>-</v>
      </c>
      <c r="BI230" s="1431" t="str">
        <f t="shared" si="352"/>
        <v>-</v>
      </c>
      <c r="BJ230" s="1431" t="str">
        <f t="shared" si="353"/>
        <v>-</v>
      </c>
      <c r="BK230" s="1431" t="str">
        <f t="shared" si="354"/>
        <v>-</v>
      </c>
      <c r="BL230" s="1433" t="str">
        <f t="shared" si="355"/>
        <v>-</v>
      </c>
      <c r="BM230" s="1431" t="str">
        <f t="shared" si="356"/>
        <v>-</v>
      </c>
      <c r="BN230" s="1431" t="str">
        <f t="shared" si="357"/>
        <v>-</v>
      </c>
      <c r="BO230" s="1431" t="str">
        <f t="shared" si="358"/>
        <v>-</v>
      </c>
      <c r="BP230" s="1431" t="str">
        <f t="shared" si="359"/>
        <v>-</v>
      </c>
      <c r="BQ230" s="1434" t="str">
        <f t="shared" si="360"/>
        <v>-</v>
      </c>
      <c r="BR230" s="1378"/>
      <c r="BS230" s="1407"/>
      <c r="BT230" s="1408"/>
      <c r="BU230" s="1409"/>
      <c r="BV230" s="1410"/>
      <c r="BW230" s="1378"/>
      <c r="BX230" s="1428" t="str">
        <f t="shared" si="361"/>
        <v>Rev</v>
      </c>
      <c r="BY230" s="1429" t="str">
        <f t="shared" si="406"/>
        <v>[Service]</v>
      </c>
      <c r="BZ230" s="1430" t="str">
        <f t="shared" si="407"/>
        <v>[Price]</v>
      </c>
      <c r="CA230" s="1435" t="str">
        <f>IFERROR((S230/R230-1)*(R230/R$13),"-")</f>
        <v>-</v>
      </c>
      <c r="CB230" s="1431" t="str">
        <f>IFERROR((T230/S230-1)*(S230/S$13),"-")</f>
        <v>-</v>
      </c>
      <c r="CC230" s="1431" t="str">
        <f>IFERROR((U230/T230-1)*(T230/T$13),"-")</f>
        <v>-</v>
      </c>
      <c r="CD230" s="1431" t="str">
        <f>IFERROR((V230/U230-1)*(U230/U$13),"-")</f>
        <v>-</v>
      </c>
      <c r="CE230" s="1431" t="str">
        <f t="shared" ref="CE230:CR230" si="440">IFERROR((T230/S230-1)*(S230/S$13),"-")</f>
        <v>-</v>
      </c>
      <c r="CF230" s="1431" t="str">
        <f t="shared" si="440"/>
        <v>-</v>
      </c>
      <c r="CG230" s="1431" t="str">
        <f t="shared" si="440"/>
        <v>-</v>
      </c>
      <c r="CH230" s="1433" t="str">
        <f t="shared" si="440"/>
        <v>-</v>
      </c>
      <c r="CI230" s="1431" t="str">
        <f t="shared" si="440"/>
        <v>-</v>
      </c>
      <c r="CJ230" s="1431" t="str">
        <f t="shared" si="440"/>
        <v>-</v>
      </c>
      <c r="CK230" s="1431" t="str">
        <f t="shared" si="440"/>
        <v>-</v>
      </c>
      <c r="CL230" s="1431" t="str">
        <f t="shared" si="440"/>
        <v>-</v>
      </c>
      <c r="CM230" s="1433" t="str">
        <f t="shared" si="440"/>
        <v>-</v>
      </c>
      <c r="CN230" s="1431" t="str">
        <f t="shared" si="440"/>
        <v>-</v>
      </c>
      <c r="CO230" s="1431" t="str">
        <f t="shared" si="440"/>
        <v>-</v>
      </c>
      <c r="CP230" s="1431" t="str">
        <f t="shared" si="440"/>
        <v>-</v>
      </c>
      <c r="CQ230" s="1431" t="str">
        <f t="shared" si="440"/>
        <v>-</v>
      </c>
      <c r="CR230" s="1434" t="str">
        <f t="shared" si="440"/>
        <v>-</v>
      </c>
      <c r="CS230" s="1378"/>
      <c r="CT230" s="1428" t="str">
        <f t="shared" si="341"/>
        <v>Rev</v>
      </c>
      <c r="CU230" s="1429" t="str">
        <f t="shared" si="342"/>
        <v>[Service]</v>
      </c>
      <c r="CV230" s="1429" t="str">
        <f t="shared" si="343"/>
        <v>[Price]</v>
      </c>
      <c r="CW230" s="1435" t="str">
        <f t="shared" si="363"/>
        <v>-</v>
      </c>
      <c r="CX230" s="1431" t="str">
        <f t="shared" si="364"/>
        <v>-</v>
      </c>
      <c r="CY230" s="1431" t="str">
        <f t="shared" si="365"/>
        <v>-</v>
      </c>
      <c r="CZ230" s="1433" t="str">
        <f t="shared" si="366"/>
        <v>-</v>
      </c>
      <c r="DA230" s="1431" t="str">
        <f t="shared" si="367"/>
        <v>-</v>
      </c>
      <c r="DB230" s="1431" t="str">
        <f t="shared" si="368"/>
        <v>-</v>
      </c>
      <c r="DC230" s="1431" t="str">
        <f t="shared" si="369"/>
        <v>-</v>
      </c>
      <c r="DD230" s="1431" t="str">
        <f t="shared" si="370"/>
        <v>-</v>
      </c>
      <c r="DE230" s="1434" t="str">
        <f t="shared" si="371"/>
        <v>-</v>
      </c>
      <c r="DF230" s="1378"/>
      <c r="DG230" s="1428" t="str">
        <f t="shared" si="383"/>
        <v>Rev</v>
      </c>
      <c r="DH230" s="1429" t="str">
        <f t="shared" si="383"/>
        <v>[Service]</v>
      </c>
      <c r="DI230" s="1429" t="str">
        <f t="shared" si="383"/>
        <v>[Price]</v>
      </c>
      <c r="DJ230" s="1435" t="str">
        <f t="shared" si="372"/>
        <v>-</v>
      </c>
      <c r="DK230" s="1431" t="str">
        <f t="shared" si="373"/>
        <v>-</v>
      </c>
      <c r="DL230" s="1431" t="str">
        <f t="shared" si="374"/>
        <v>-</v>
      </c>
      <c r="DM230" s="1433" t="str">
        <f t="shared" si="375"/>
        <v>-</v>
      </c>
      <c r="DN230" s="1431" t="str">
        <f t="shared" si="376"/>
        <v>-</v>
      </c>
      <c r="DO230" s="1431" t="str">
        <f t="shared" si="377"/>
        <v>-</v>
      </c>
      <c r="DP230" s="1431" t="str">
        <f t="shared" si="378"/>
        <v>-</v>
      </c>
      <c r="DQ230" s="1434" t="str">
        <f t="shared" si="379"/>
        <v>-</v>
      </c>
    </row>
    <row r="231" spans="4:121">
      <c r="D231" s="70">
        <f>D228+1</f>
        <v>55</v>
      </c>
      <c r="E231" s="713" t="s">
        <v>44</v>
      </c>
      <c r="F231" s="789" t="s">
        <v>27</v>
      </c>
      <c r="G231" s="789"/>
      <c r="H231" s="789"/>
      <c r="I231" s="781" t="s">
        <v>318</v>
      </c>
      <c r="J231" s="781" t="s">
        <v>345</v>
      </c>
      <c r="K231" s="714"/>
      <c r="L231" s="715"/>
      <c r="M231" s="715"/>
      <c r="N231" s="716"/>
      <c r="O231" s="783"/>
      <c r="P231" s="784"/>
      <c r="Q231" s="783"/>
      <c r="R231" s="783"/>
      <c r="S231" s="783"/>
      <c r="T231" s="783"/>
      <c r="U231" s="783"/>
      <c r="V231" s="783"/>
      <c r="W231" s="783"/>
      <c r="X231" s="784"/>
      <c r="Y231" s="783"/>
      <c r="Z231" s="783"/>
      <c r="AA231" s="783"/>
      <c r="AB231" s="783"/>
      <c r="AC231" s="784"/>
      <c r="AD231" s="783"/>
      <c r="AE231" s="783"/>
      <c r="AF231" s="783"/>
      <c r="AG231" s="785"/>
      <c r="AI231" s="745"/>
      <c r="AJ231" s="717" t="str">
        <f t="shared" ref="AJ231:AS231" si="441">IFERROR((X231-W231)/W231,"")</f>
        <v/>
      </c>
      <c r="AK231" s="718" t="str">
        <f t="shared" si="441"/>
        <v/>
      </c>
      <c r="AL231" s="718" t="str">
        <f t="shared" si="441"/>
        <v/>
      </c>
      <c r="AM231" s="718" t="str">
        <f t="shared" si="441"/>
        <v/>
      </c>
      <c r="AN231" s="718" t="str">
        <f t="shared" si="441"/>
        <v/>
      </c>
      <c r="AO231" s="719" t="str">
        <f t="shared" si="441"/>
        <v/>
      </c>
      <c r="AP231" s="494" t="str">
        <f t="shared" si="441"/>
        <v/>
      </c>
      <c r="AQ231" s="494" t="str">
        <f t="shared" si="441"/>
        <v/>
      </c>
      <c r="AR231" s="494" t="str">
        <f t="shared" si="441"/>
        <v/>
      </c>
      <c r="AS231" s="720" t="str">
        <f t="shared" si="441"/>
        <v/>
      </c>
      <c r="AU231" s="1369"/>
      <c r="AW231" s="1412" t="str">
        <f t="shared" si="381"/>
        <v>Price</v>
      </c>
      <c r="AX231" s="1413" t="str">
        <f t="shared" si="381"/>
        <v>[Service]</v>
      </c>
      <c r="AY231" s="1414" t="str">
        <f t="shared" si="345"/>
        <v>[Price]</v>
      </c>
      <c r="AZ231" s="1415" t="str">
        <f t="shared" si="437"/>
        <v>-</v>
      </c>
      <c r="BA231" s="1415" t="str">
        <f t="shared" si="437"/>
        <v>-</v>
      </c>
      <c r="BB231" s="1415" t="str">
        <f t="shared" si="437"/>
        <v>-</v>
      </c>
      <c r="BC231" s="1415" t="str">
        <f t="shared" si="437"/>
        <v>-</v>
      </c>
      <c r="BD231" s="1415" t="str">
        <f t="shared" si="347"/>
        <v>-</v>
      </c>
      <c r="BE231" s="1415" t="str">
        <f t="shared" si="348"/>
        <v>-</v>
      </c>
      <c r="BF231" s="1415" t="str">
        <f t="shared" si="349"/>
        <v>-</v>
      </c>
      <c r="BG231" s="1416" t="str">
        <f t="shared" si="350"/>
        <v>-</v>
      </c>
      <c r="BH231" s="1417" t="str">
        <f t="shared" si="351"/>
        <v>-</v>
      </c>
      <c r="BI231" s="1417" t="str">
        <f t="shared" si="352"/>
        <v>-</v>
      </c>
      <c r="BJ231" s="1417" t="str">
        <f t="shared" si="353"/>
        <v>-</v>
      </c>
      <c r="BK231" s="1417" t="str">
        <f t="shared" si="354"/>
        <v>-</v>
      </c>
      <c r="BL231" s="1418" t="str">
        <f t="shared" si="355"/>
        <v>-</v>
      </c>
      <c r="BM231" s="1417" t="str">
        <f t="shared" si="356"/>
        <v>-</v>
      </c>
      <c r="BN231" s="1417" t="str">
        <f t="shared" si="357"/>
        <v>-</v>
      </c>
      <c r="BO231" s="1417" t="str">
        <f t="shared" si="358"/>
        <v>-</v>
      </c>
      <c r="BP231" s="1417" t="str">
        <f t="shared" si="359"/>
        <v>-</v>
      </c>
      <c r="BQ231" s="1419" t="str">
        <f t="shared" si="360"/>
        <v>-</v>
      </c>
      <c r="BR231" s="1378"/>
      <c r="BS231" s="1420"/>
      <c r="BT231" s="1421"/>
      <c r="BU231" s="1422"/>
      <c r="BV231" s="1423"/>
      <c r="BW231" s="1378"/>
      <c r="BX231" s="1412" t="str">
        <f t="shared" si="361"/>
        <v>Price</v>
      </c>
      <c r="BY231" s="1413" t="str">
        <f t="shared" si="406"/>
        <v>[Service]</v>
      </c>
      <c r="BZ231" s="1414" t="str">
        <f t="shared" si="407"/>
        <v>[Price]</v>
      </c>
      <c r="CA231" s="1424" t="str">
        <f>IFERROR((S231/R231-1)*(R233/R$13),"-")</f>
        <v>-</v>
      </c>
      <c r="CB231" s="1415" t="str">
        <f>IFERROR((T231/S231-1)*(S233/S$13),"-")</f>
        <v>-</v>
      </c>
      <c r="CC231" s="1415" t="str">
        <f>IFERROR((U231/T231-1)*(T233/T$13),"-")</f>
        <v>-</v>
      </c>
      <c r="CD231" s="1415" t="str">
        <f>IFERROR((V231/U231-1)*(U233/U$13),"-")</f>
        <v>-</v>
      </c>
      <c r="CE231" s="1415" t="str">
        <f t="shared" ref="CE231:CR231" si="442">IFERROR((T231/S231-1)*(S233/S$13),"-")</f>
        <v>-</v>
      </c>
      <c r="CF231" s="1415" t="str">
        <f t="shared" si="442"/>
        <v>-</v>
      </c>
      <c r="CG231" s="1415" t="str">
        <f t="shared" si="442"/>
        <v>-</v>
      </c>
      <c r="CH231" s="1425" t="str">
        <f t="shared" si="442"/>
        <v>-</v>
      </c>
      <c r="CI231" s="1417" t="str">
        <f t="shared" si="442"/>
        <v>-</v>
      </c>
      <c r="CJ231" s="1417" t="str">
        <f t="shared" si="442"/>
        <v>-</v>
      </c>
      <c r="CK231" s="1417" t="str">
        <f t="shared" si="442"/>
        <v>-</v>
      </c>
      <c r="CL231" s="1417" t="str">
        <f t="shared" si="442"/>
        <v>-</v>
      </c>
      <c r="CM231" s="1418" t="str">
        <f t="shared" si="442"/>
        <v>-</v>
      </c>
      <c r="CN231" s="1417" t="str">
        <f t="shared" si="442"/>
        <v>-</v>
      </c>
      <c r="CO231" s="1417" t="str">
        <f t="shared" si="442"/>
        <v>-</v>
      </c>
      <c r="CP231" s="1417" t="str">
        <f t="shared" si="442"/>
        <v>-</v>
      </c>
      <c r="CQ231" s="1417" t="str">
        <f t="shared" si="442"/>
        <v>-</v>
      </c>
      <c r="CR231" s="1419" t="str">
        <f t="shared" si="442"/>
        <v>-</v>
      </c>
      <c r="CS231" s="1378"/>
      <c r="CT231" s="1412" t="str">
        <f t="shared" si="341"/>
        <v>Price</v>
      </c>
      <c r="CU231" s="1413" t="str">
        <f t="shared" si="342"/>
        <v>[Service]</v>
      </c>
      <c r="CV231" s="1426" t="str">
        <f t="shared" si="343"/>
        <v>[Price]</v>
      </c>
      <c r="CW231" s="1427" t="str">
        <f t="shared" si="363"/>
        <v>-</v>
      </c>
      <c r="CX231" s="1417" t="str">
        <f t="shared" si="364"/>
        <v>-</v>
      </c>
      <c r="CY231" s="1417" t="str">
        <f t="shared" si="365"/>
        <v>-</v>
      </c>
      <c r="CZ231" s="1418" t="str">
        <f t="shared" si="366"/>
        <v>-</v>
      </c>
      <c r="DA231" s="1417" t="str">
        <f t="shared" si="367"/>
        <v>-</v>
      </c>
      <c r="DB231" s="1417" t="str">
        <f t="shared" si="368"/>
        <v>-</v>
      </c>
      <c r="DC231" s="1417" t="str">
        <f t="shared" si="369"/>
        <v>-</v>
      </c>
      <c r="DD231" s="1417" t="str">
        <f t="shared" si="370"/>
        <v>-</v>
      </c>
      <c r="DE231" s="1419" t="str">
        <f t="shared" si="371"/>
        <v>-</v>
      </c>
      <c r="DF231" s="1378"/>
      <c r="DG231" s="1412" t="str">
        <f t="shared" si="383"/>
        <v>Price</v>
      </c>
      <c r="DH231" s="1413" t="str">
        <f t="shared" si="383"/>
        <v>[Service]</v>
      </c>
      <c r="DI231" s="1426" t="str">
        <f t="shared" si="383"/>
        <v>[Price]</v>
      </c>
      <c r="DJ231" s="1427" t="str">
        <f t="shared" si="372"/>
        <v>-</v>
      </c>
      <c r="DK231" s="1417" t="str">
        <f t="shared" si="373"/>
        <v>-</v>
      </c>
      <c r="DL231" s="1417" t="str">
        <f t="shared" si="374"/>
        <v>-</v>
      </c>
      <c r="DM231" s="1418" t="str">
        <f t="shared" si="375"/>
        <v>-</v>
      </c>
      <c r="DN231" s="1417" t="str">
        <f t="shared" si="376"/>
        <v>-</v>
      </c>
      <c r="DO231" s="1417" t="str">
        <f t="shared" si="377"/>
        <v>-</v>
      </c>
      <c r="DP231" s="1417" t="str">
        <f t="shared" si="378"/>
        <v>-</v>
      </c>
      <c r="DQ231" s="1419" t="str">
        <f t="shared" si="379"/>
        <v>-</v>
      </c>
    </row>
    <row r="232" spans="4:121">
      <c r="E232" s="742" t="s">
        <v>45</v>
      </c>
      <c r="F232" s="722" t="str">
        <f>+F231</f>
        <v>[Service]</v>
      </c>
      <c r="G232" s="723">
        <f>+G231</f>
        <v>0</v>
      </c>
      <c r="H232" s="723">
        <f>+H231</f>
        <v>0</v>
      </c>
      <c r="I232" s="724" t="str">
        <f>+I231</f>
        <v>[Price]</v>
      </c>
      <c r="J232" s="782" t="s">
        <v>322</v>
      </c>
      <c r="K232" s="725"/>
      <c r="L232" s="726"/>
      <c r="M232" s="726"/>
      <c r="N232" s="727"/>
      <c r="O232" s="786"/>
      <c r="P232" s="787"/>
      <c r="Q232" s="786"/>
      <c r="R232" s="786"/>
      <c r="S232" s="786"/>
      <c r="T232" s="786"/>
      <c r="U232" s="786"/>
      <c r="V232" s="786"/>
      <c r="W232" s="786"/>
      <c r="X232" s="787"/>
      <c r="Y232" s="786"/>
      <c r="Z232" s="786"/>
      <c r="AA232" s="786"/>
      <c r="AB232" s="786"/>
      <c r="AC232" s="787"/>
      <c r="AD232" s="786"/>
      <c r="AE232" s="786"/>
      <c r="AF232" s="786"/>
      <c r="AG232" s="788"/>
      <c r="AH232" s="823"/>
      <c r="AI232" s="745"/>
      <c r="AJ232" s="728"/>
      <c r="AK232" s="729"/>
      <c r="AL232" s="729"/>
      <c r="AM232" s="729"/>
      <c r="AN232" s="729"/>
      <c r="AO232" s="730"/>
      <c r="AP232" s="74"/>
      <c r="AQ232" s="74"/>
      <c r="AR232" s="74"/>
      <c r="AS232" s="106"/>
      <c r="AW232" s="1392" t="str">
        <f t="shared" si="381"/>
        <v>Qty</v>
      </c>
      <c r="AX232" s="1393" t="str">
        <f t="shared" si="381"/>
        <v>[Service]</v>
      </c>
      <c r="AY232" s="1394" t="str">
        <f t="shared" si="345"/>
        <v>[Price]</v>
      </c>
      <c r="AZ232" s="1395" t="str">
        <f t="shared" si="437"/>
        <v>-</v>
      </c>
      <c r="BA232" s="1395" t="str">
        <f t="shared" si="437"/>
        <v>-</v>
      </c>
      <c r="BB232" s="1395" t="str">
        <f t="shared" si="437"/>
        <v>-</v>
      </c>
      <c r="BC232" s="1395" t="str">
        <f t="shared" si="437"/>
        <v>-</v>
      </c>
      <c r="BD232" s="1395" t="str">
        <f t="shared" si="347"/>
        <v>-</v>
      </c>
      <c r="BE232" s="1395" t="str">
        <f t="shared" si="348"/>
        <v>-</v>
      </c>
      <c r="BF232" s="1395" t="str">
        <f t="shared" si="349"/>
        <v>-</v>
      </c>
      <c r="BG232" s="1396" t="str">
        <f t="shared" si="350"/>
        <v>-</v>
      </c>
      <c r="BH232" s="1395" t="str">
        <f t="shared" si="351"/>
        <v>-</v>
      </c>
      <c r="BI232" s="1395" t="str">
        <f t="shared" si="352"/>
        <v>-</v>
      </c>
      <c r="BJ232" s="1395" t="str">
        <f t="shared" si="353"/>
        <v>-</v>
      </c>
      <c r="BK232" s="1395" t="str">
        <f t="shared" si="354"/>
        <v>-</v>
      </c>
      <c r="BL232" s="1397" t="str">
        <f t="shared" si="355"/>
        <v>-</v>
      </c>
      <c r="BM232" s="1395" t="str">
        <f t="shared" si="356"/>
        <v>-</v>
      </c>
      <c r="BN232" s="1395" t="str">
        <f t="shared" si="357"/>
        <v>-</v>
      </c>
      <c r="BO232" s="1395" t="str">
        <f t="shared" si="358"/>
        <v>-</v>
      </c>
      <c r="BP232" s="1395" t="str">
        <f t="shared" si="359"/>
        <v>-</v>
      </c>
      <c r="BQ232" s="1398" t="str">
        <f t="shared" si="360"/>
        <v>-</v>
      </c>
      <c r="BR232" s="1378"/>
      <c r="BS232" s="1329"/>
      <c r="BT232" s="1399"/>
      <c r="BU232" s="1331"/>
      <c r="BV232" s="1400"/>
      <c r="BW232" s="1378"/>
      <c r="BX232" s="1392" t="str">
        <f t="shared" si="361"/>
        <v>Qty</v>
      </c>
      <c r="BY232" s="1393" t="str">
        <f t="shared" si="406"/>
        <v>[Service]</v>
      </c>
      <c r="BZ232" s="1394" t="str">
        <f t="shared" si="407"/>
        <v>[Price]</v>
      </c>
      <c r="CA232" s="1401" t="str">
        <f>IFERROR((S232/R232-1)*(R233/R$13),"-")</f>
        <v>-</v>
      </c>
      <c r="CB232" s="1395" t="str">
        <f>IFERROR((T232/S232-1)*(S233/S$13),"-")</f>
        <v>-</v>
      </c>
      <c r="CC232" s="1395" t="str">
        <f>IFERROR((U232/T232-1)*(T233/T$13),"-")</f>
        <v>-</v>
      </c>
      <c r="CD232" s="1395" t="str">
        <f>IFERROR((V232/U232-1)*(U233/U$13),"-")</f>
        <v>-</v>
      </c>
      <c r="CE232" s="1395" t="str">
        <f t="shared" ref="CE232:CR232" si="443">IFERROR((T232/S232-1)*(S233/S$13),"-")</f>
        <v>-</v>
      </c>
      <c r="CF232" s="1395" t="str">
        <f t="shared" si="443"/>
        <v>-</v>
      </c>
      <c r="CG232" s="1395" t="str">
        <f t="shared" si="443"/>
        <v>-</v>
      </c>
      <c r="CH232" s="1397" t="str">
        <f t="shared" si="443"/>
        <v>-</v>
      </c>
      <c r="CI232" s="1395" t="str">
        <f t="shared" si="443"/>
        <v>-</v>
      </c>
      <c r="CJ232" s="1395" t="str">
        <f t="shared" si="443"/>
        <v>-</v>
      </c>
      <c r="CK232" s="1395" t="str">
        <f t="shared" si="443"/>
        <v>-</v>
      </c>
      <c r="CL232" s="1395" t="str">
        <f t="shared" si="443"/>
        <v>-</v>
      </c>
      <c r="CM232" s="1397" t="str">
        <f t="shared" si="443"/>
        <v>-</v>
      </c>
      <c r="CN232" s="1395" t="str">
        <f t="shared" si="443"/>
        <v>-</v>
      </c>
      <c r="CO232" s="1395" t="str">
        <f t="shared" si="443"/>
        <v>-</v>
      </c>
      <c r="CP232" s="1395" t="str">
        <f t="shared" si="443"/>
        <v>-</v>
      </c>
      <c r="CQ232" s="1395" t="str">
        <f t="shared" si="443"/>
        <v>-</v>
      </c>
      <c r="CR232" s="1398" t="str">
        <f t="shared" si="443"/>
        <v>-</v>
      </c>
      <c r="CS232" s="1378"/>
      <c r="CT232" s="1392" t="str">
        <f t="shared" si="341"/>
        <v>Qty</v>
      </c>
      <c r="CU232" s="1393" t="str">
        <f t="shared" si="342"/>
        <v>[Service]</v>
      </c>
      <c r="CV232" s="1393" t="str">
        <f t="shared" si="343"/>
        <v>[Price]</v>
      </c>
      <c r="CW232" s="1401" t="str">
        <f t="shared" si="363"/>
        <v>-</v>
      </c>
      <c r="CX232" s="1395" t="str">
        <f t="shared" si="364"/>
        <v>-</v>
      </c>
      <c r="CY232" s="1395" t="str">
        <f t="shared" si="365"/>
        <v>-</v>
      </c>
      <c r="CZ232" s="1397" t="str">
        <f t="shared" si="366"/>
        <v>-</v>
      </c>
      <c r="DA232" s="1395" t="str">
        <f t="shared" si="367"/>
        <v>-</v>
      </c>
      <c r="DB232" s="1395" t="str">
        <f t="shared" si="368"/>
        <v>-</v>
      </c>
      <c r="DC232" s="1395" t="str">
        <f t="shared" si="369"/>
        <v>-</v>
      </c>
      <c r="DD232" s="1395" t="str">
        <f t="shared" si="370"/>
        <v>-</v>
      </c>
      <c r="DE232" s="1398" t="str">
        <f t="shared" si="371"/>
        <v>-</v>
      </c>
      <c r="DF232" s="1378"/>
      <c r="DG232" s="1392" t="str">
        <f t="shared" si="383"/>
        <v>Qty</v>
      </c>
      <c r="DH232" s="1393" t="str">
        <f t="shared" si="383"/>
        <v>[Service]</v>
      </c>
      <c r="DI232" s="1393" t="str">
        <f t="shared" si="383"/>
        <v>[Price]</v>
      </c>
      <c r="DJ232" s="1401" t="str">
        <f t="shared" si="372"/>
        <v>-</v>
      </c>
      <c r="DK232" s="1395" t="str">
        <f t="shared" si="373"/>
        <v>-</v>
      </c>
      <c r="DL232" s="1395" t="str">
        <f t="shared" si="374"/>
        <v>-</v>
      </c>
      <c r="DM232" s="1397" t="str">
        <f t="shared" si="375"/>
        <v>-</v>
      </c>
      <c r="DN232" s="1395" t="str">
        <f t="shared" si="376"/>
        <v>-</v>
      </c>
      <c r="DO232" s="1395" t="str">
        <f t="shared" si="377"/>
        <v>-</v>
      </c>
      <c r="DP232" s="1395" t="str">
        <f t="shared" si="378"/>
        <v>-</v>
      </c>
      <c r="DQ232" s="1398" t="str">
        <f t="shared" si="379"/>
        <v>-</v>
      </c>
    </row>
    <row r="233" spans="4:121" ht="12.75" thickBot="1">
      <c r="E233" s="743" t="s">
        <v>46</v>
      </c>
      <c r="F233" s="732" t="str">
        <f>+F231</f>
        <v>[Service]</v>
      </c>
      <c r="G233" s="733">
        <f>+G231</f>
        <v>0</v>
      </c>
      <c r="H233" s="733">
        <f>+H231</f>
        <v>0</v>
      </c>
      <c r="I233" s="734" t="str">
        <f>+I231</f>
        <v>[Price]</v>
      </c>
      <c r="J233" s="735" t="s">
        <v>344</v>
      </c>
      <c r="K233" s="736">
        <f t="shared" ref="K233:AG233" si="444">K231*K232/10^6</f>
        <v>0</v>
      </c>
      <c r="L233" s="737">
        <f t="shared" si="444"/>
        <v>0</v>
      </c>
      <c r="M233" s="737">
        <f t="shared" si="444"/>
        <v>0</v>
      </c>
      <c r="N233" s="738">
        <f t="shared" si="444"/>
        <v>0</v>
      </c>
      <c r="O233" s="737">
        <f t="shared" si="444"/>
        <v>0</v>
      </c>
      <c r="P233" s="738">
        <f t="shared" si="444"/>
        <v>0</v>
      </c>
      <c r="Q233" s="737">
        <f t="shared" si="444"/>
        <v>0</v>
      </c>
      <c r="R233" s="737">
        <f t="shared" si="444"/>
        <v>0</v>
      </c>
      <c r="S233" s="737">
        <f t="shared" si="444"/>
        <v>0</v>
      </c>
      <c r="T233" s="737">
        <f t="shared" si="444"/>
        <v>0</v>
      </c>
      <c r="U233" s="737">
        <f t="shared" si="444"/>
        <v>0</v>
      </c>
      <c r="V233" s="737">
        <f t="shared" si="444"/>
        <v>0</v>
      </c>
      <c r="W233" s="737">
        <f t="shared" si="444"/>
        <v>0</v>
      </c>
      <c r="X233" s="738">
        <f t="shared" si="444"/>
        <v>0</v>
      </c>
      <c r="Y233" s="737">
        <f t="shared" si="444"/>
        <v>0</v>
      </c>
      <c r="Z233" s="737">
        <f t="shared" si="444"/>
        <v>0</v>
      </c>
      <c r="AA233" s="737">
        <f t="shared" si="444"/>
        <v>0</v>
      </c>
      <c r="AB233" s="737">
        <f t="shared" si="444"/>
        <v>0</v>
      </c>
      <c r="AC233" s="738">
        <f t="shared" si="444"/>
        <v>0</v>
      </c>
      <c r="AD233" s="737">
        <f t="shared" si="444"/>
        <v>0</v>
      </c>
      <c r="AE233" s="737">
        <f t="shared" si="444"/>
        <v>0</v>
      </c>
      <c r="AF233" s="737">
        <f t="shared" si="444"/>
        <v>0</v>
      </c>
      <c r="AG233" s="739">
        <f t="shared" si="444"/>
        <v>0</v>
      </c>
      <c r="AH233" s="823"/>
      <c r="AI233" s="745"/>
      <c r="AJ233" s="741"/>
      <c r="AK233" s="729"/>
      <c r="AL233" s="729"/>
      <c r="AM233" s="729"/>
      <c r="AN233" s="729"/>
      <c r="AO233" s="730"/>
      <c r="AP233" s="74"/>
      <c r="AQ233" s="74"/>
      <c r="AR233" s="74"/>
      <c r="AS233" s="106"/>
      <c r="AW233" s="1428" t="str">
        <f t="shared" si="381"/>
        <v>Rev</v>
      </c>
      <c r="AX233" s="1429" t="str">
        <f t="shared" si="381"/>
        <v>[Service]</v>
      </c>
      <c r="AY233" s="1430" t="str">
        <f t="shared" si="345"/>
        <v>[Price]</v>
      </c>
      <c r="AZ233" s="1431" t="str">
        <f t="shared" si="437"/>
        <v>-</v>
      </c>
      <c r="BA233" s="1431" t="str">
        <f t="shared" si="437"/>
        <v>-</v>
      </c>
      <c r="BB233" s="1431" t="str">
        <f t="shared" si="437"/>
        <v>-</v>
      </c>
      <c r="BC233" s="1431" t="str">
        <f t="shared" si="437"/>
        <v>-</v>
      </c>
      <c r="BD233" s="1431" t="str">
        <f t="shared" si="347"/>
        <v>-</v>
      </c>
      <c r="BE233" s="1431" t="str">
        <f t="shared" si="348"/>
        <v>-</v>
      </c>
      <c r="BF233" s="1431" t="str">
        <f t="shared" si="349"/>
        <v>-</v>
      </c>
      <c r="BG233" s="1432" t="str">
        <f t="shared" si="350"/>
        <v>-</v>
      </c>
      <c r="BH233" s="1431" t="str">
        <f t="shared" si="351"/>
        <v>-</v>
      </c>
      <c r="BI233" s="1431" t="str">
        <f t="shared" si="352"/>
        <v>-</v>
      </c>
      <c r="BJ233" s="1431" t="str">
        <f t="shared" si="353"/>
        <v>-</v>
      </c>
      <c r="BK233" s="1431" t="str">
        <f t="shared" si="354"/>
        <v>-</v>
      </c>
      <c r="BL233" s="1433" t="str">
        <f t="shared" si="355"/>
        <v>-</v>
      </c>
      <c r="BM233" s="1431" t="str">
        <f t="shared" si="356"/>
        <v>-</v>
      </c>
      <c r="BN233" s="1431" t="str">
        <f t="shared" si="357"/>
        <v>-</v>
      </c>
      <c r="BO233" s="1431" t="str">
        <f t="shared" si="358"/>
        <v>-</v>
      </c>
      <c r="BP233" s="1431" t="str">
        <f t="shared" si="359"/>
        <v>-</v>
      </c>
      <c r="BQ233" s="1434" t="str">
        <f t="shared" si="360"/>
        <v>-</v>
      </c>
      <c r="BR233" s="1378"/>
      <c r="BS233" s="1407"/>
      <c r="BT233" s="1408"/>
      <c r="BU233" s="1409"/>
      <c r="BV233" s="1410"/>
      <c r="BW233" s="1378"/>
      <c r="BX233" s="1428" t="str">
        <f t="shared" si="361"/>
        <v>Rev</v>
      </c>
      <c r="BY233" s="1429" t="str">
        <f t="shared" si="406"/>
        <v>[Service]</v>
      </c>
      <c r="BZ233" s="1430" t="str">
        <f t="shared" si="407"/>
        <v>[Price]</v>
      </c>
      <c r="CA233" s="1435" t="str">
        <f>IFERROR((S233/R233-1)*(R233/R$13),"-")</f>
        <v>-</v>
      </c>
      <c r="CB233" s="1431" t="str">
        <f>IFERROR((T233/S233-1)*(S233/S$13),"-")</f>
        <v>-</v>
      </c>
      <c r="CC233" s="1431" t="str">
        <f>IFERROR((U233/T233-1)*(T233/T$13),"-")</f>
        <v>-</v>
      </c>
      <c r="CD233" s="1431" t="str">
        <f>IFERROR((V233/U233-1)*(U233/U$13),"-")</f>
        <v>-</v>
      </c>
      <c r="CE233" s="1431" t="str">
        <f t="shared" ref="CE233:CR233" si="445">IFERROR((T233/S233-1)*(S233/S$13),"-")</f>
        <v>-</v>
      </c>
      <c r="CF233" s="1431" t="str">
        <f t="shared" si="445"/>
        <v>-</v>
      </c>
      <c r="CG233" s="1431" t="str">
        <f t="shared" si="445"/>
        <v>-</v>
      </c>
      <c r="CH233" s="1433" t="str">
        <f t="shared" si="445"/>
        <v>-</v>
      </c>
      <c r="CI233" s="1431" t="str">
        <f t="shared" si="445"/>
        <v>-</v>
      </c>
      <c r="CJ233" s="1431" t="str">
        <f t="shared" si="445"/>
        <v>-</v>
      </c>
      <c r="CK233" s="1431" t="str">
        <f t="shared" si="445"/>
        <v>-</v>
      </c>
      <c r="CL233" s="1431" t="str">
        <f t="shared" si="445"/>
        <v>-</v>
      </c>
      <c r="CM233" s="1433" t="str">
        <f t="shared" si="445"/>
        <v>-</v>
      </c>
      <c r="CN233" s="1431" t="str">
        <f t="shared" si="445"/>
        <v>-</v>
      </c>
      <c r="CO233" s="1431" t="str">
        <f t="shared" si="445"/>
        <v>-</v>
      </c>
      <c r="CP233" s="1431" t="str">
        <f t="shared" si="445"/>
        <v>-</v>
      </c>
      <c r="CQ233" s="1431" t="str">
        <f t="shared" si="445"/>
        <v>-</v>
      </c>
      <c r="CR233" s="1434" t="str">
        <f t="shared" si="445"/>
        <v>-</v>
      </c>
      <c r="CS233" s="1378"/>
      <c r="CT233" s="1428" t="str">
        <f t="shared" si="341"/>
        <v>Rev</v>
      </c>
      <c r="CU233" s="1429" t="str">
        <f t="shared" si="342"/>
        <v>[Service]</v>
      </c>
      <c r="CV233" s="1429" t="str">
        <f t="shared" si="343"/>
        <v>[Price]</v>
      </c>
      <c r="CW233" s="1435" t="str">
        <f t="shared" si="363"/>
        <v>-</v>
      </c>
      <c r="CX233" s="1431" t="str">
        <f t="shared" si="364"/>
        <v>-</v>
      </c>
      <c r="CY233" s="1431" t="str">
        <f t="shared" si="365"/>
        <v>-</v>
      </c>
      <c r="CZ233" s="1433" t="str">
        <f t="shared" si="366"/>
        <v>-</v>
      </c>
      <c r="DA233" s="1431" t="str">
        <f t="shared" si="367"/>
        <v>-</v>
      </c>
      <c r="DB233" s="1431" t="str">
        <f t="shared" si="368"/>
        <v>-</v>
      </c>
      <c r="DC233" s="1431" t="str">
        <f t="shared" si="369"/>
        <v>-</v>
      </c>
      <c r="DD233" s="1431" t="str">
        <f t="shared" si="370"/>
        <v>-</v>
      </c>
      <c r="DE233" s="1434" t="str">
        <f t="shared" si="371"/>
        <v>-</v>
      </c>
      <c r="DF233" s="1378"/>
      <c r="DG233" s="1428" t="str">
        <f t="shared" si="383"/>
        <v>Rev</v>
      </c>
      <c r="DH233" s="1429" t="str">
        <f t="shared" si="383"/>
        <v>[Service]</v>
      </c>
      <c r="DI233" s="1429" t="str">
        <f t="shared" si="383"/>
        <v>[Price]</v>
      </c>
      <c r="DJ233" s="1435" t="str">
        <f t="shared" si="372"/>
        <v>-</v>
      </c>
      <c r="DK233" s="1431" t="str">
        <f t="shared" si="373"/>
        <v>-</v>
      </c>
      <c r="DL233" s="1431" t="str">
        <f t="shared" si="374"/>
        <v>-</v>
      </c>
      <c r="DM233" s="1433" t="str">
        <f t="shared" si="375"/>
        <v>-</v>
      </c>
      <c r="DN233" s="1431" t="str">
        <f t="shared" si="376"/>
        <v>-</v>
      </c>
      <c r="DO233" s="1431" t="str">
        <f t="shared" si="377"/>
        <v>-</v>
      </c>
      <c r="DP233" s="1431" t="str">
        <f t="shared" si="378"/>
        <v>-</v>
      </c>
      <c r="DQ233" s="1434" t="str">
        <f t="shared" si="379"/>
        <v>-</v>
      </c>
    </row>
    <row r="234" spans="4:121">
      <c r="D234" s="70">
        <f>D231+1</f>
        <v>56</v>
      </c>
      <c r="E234" s="713" t="s">
        <v>44</v>
      </c>
      <c r="F234" s="789" t="s">
        <v>27</v>
      </c>
      <c r="G234" s="789"/>
      <c r="H234" s="789"/>
      <c r="I234" s="781" t="s">
        <v>318</v>
      </c>
      <c r="J234" s="781" t="s">
        <v>345</v>
      </c>
      <c r="K234" s="714"/>
      <c r="L234" s="715"/>
      <c r="M234" s="715"/>
      <c r="N234" s="716"/>
      <c r="O234" s="783"/>
      <c r="P234" s="784"/>
      <c r="Q234" s="783"/>
      <c r="R234" s="783"/>
      <c r="S234" s="783"/>
      <c r="T234" s="783"/>
      <c r="U234" s="783"/>
      <c r="V234" s="783"/>
      <c r="W234" s="783"/>
      <c r="X234" s="784"/>
      <c r="Y234" s="783"/>
      <c r="Z234" s="783"/>
      <c r="AA234" s="783"/>
      <c r="AB234" s="783"/>
      <c r="AC234" s="784"/>
      <c r="AD234" s="783"/>
      <c r="AE234" s="783"/>
      <c r="AF234" s="783"/>
      <c r="AG234" s="785"/>
      <c r="AI234" s="745"/>
      <c r="AJ234" s="717" t="str">
        <f t="shared" ref="AJ234:AS234" si="446">IFERROR((X234-W234)/W234,"")</f>
        <v/>
      </c>
      <c r="AK234" s="718" t="str">
        <f t="shared" si="446"/>
        <v/>
      </c>
      <c r="AL234" s="718" t="str">
        <f t="shared" si="446"/>
        <v/>
      </c>
      <c r="AM234" s="718" t="str">
        <f t="shared" si="446"/>
        <v/>
      </c>
      <c r="AN234" s="718" t="str">
        <f t="shared" si="446"/>
        <v/>
      </c>
      <c r="AO234" s="719" t="str">
        <f t="shared" si="446"/>
        <v/>
      </c>
      <c r="AP234" s="494" t="str">
        <f t="shared" si="446"/>
        <v/>
      </c>
      <c r="AQ234" s="494" t="str">
        <f t="shared" si="446"/>
        <v/>
      </c>
      <c r="AR234" s="494" t="str">
        <f t="shared" si="446"/>
        <v/>
      </c>
      <c r="AS234" s="720" t="str">
        <f t="shared" si="446"/>
        <v/>
      </c>
      <c r="AU234" s="1369"/>
      <c r="AW234" s="1412" t="str">
        <f t="shared" si="381"/>
        <v>Price</v>
      </c>
      <c r="AX234" s="1413" t="str">
        <f t="shared" si="381"/>
        <v>[Service]</v>
      </c>
      <c r="AY234" s="1414" t="str">
        <f t="shared" si="345"/>
        <v>[Price]</v>
      </c>
      <c r="AZ234" s="1415" t="str">
        <f t="shared" si="437"/>
        <v>-</v>
      </c>
      <c r="BA234" s="1415" t="str">
        <f t="shared" si="437"/>
        <v>-</v>
      </c>
      <c r="BB234" s="1415" t="str">
        <f t="shared" si="437"/>
        <v>-</v>
      </c>
      <c r="BC234" s="1415" t="str">
        <f t="shared" si="437"/>
        <v>-</v>
      </c>
      <c r="BD234" s="1415" t="str">
        <f t="shared" si="347"/>
        <v>-</v>
      </c>
      <c r="BE234" s="1415" t="str">
        <f t="shared" si="348"/>
        <v>-</v>
      </c>
      <c r="BF234" s="1415" t="str">
        <f t="shared" si="349"/>
        <v>-</v>
      </c>
      <c r="BG234" s="1416" t="str">
        <f t="shared" si="350"/>
        <v>-</v>
      </c>
      <c r="BH234" s="1417" t="str">
        <f t="shared" si="351"/>
        <v>-</v>
      </c>
      <c r="BI234" s="1417" t="str">
        <f t="shared" si="352"/>
        <v>-</v>
      </c>
      <c r="BJ234" s="1417" t="str">
        <f t="shared" si="353"/>
        <v>-</v>
      </c>
      <c r="BK234" s="1417" t="str">
        <f t="shared" si="354"/>
        <v>-</v>
      </c>
      <c r="BL234" s="1418" t="str">
        <f t="shared" si="355"/>
        <v>-</v>
      </c>
      <c r="BM234" s="1417" t="str">
        <f t="shared" si="356"/>
        <v>-</v>
      </c>
      <c r="BN234" s="1417" t="str">
        <f t="shared" si="357"/>
        <v>-</v>
      </c>
      <c r="BO234" s="1417" t="str">
        <f t="shared" si="358"/>
        <v>-</v>
      </c>
      <c r="BP234" s="1417" t="str">
        <f t="shared" si="359"/>
        <v>-</v>
      </c>
      <c r="BQ234" s="1419" t="str">
        <f t="shared" si="360"/>
        <v>-</v>
      </c>
      <c r="BR234" s="1378"/>
      <c r="BS234" s="1420"/>
      <c r="BT234" s="1421"/>
      <c r="BU234" s="1422"/>
      <c r="BV234" s="1423"/>
      <c r="BW234" s="1378"/>
      <c r="BX234" s="1412" t="str">
        <f t="shared" si="361"/>
        <v>Price</v>
      </c>
      <c r="BY234" s="1413" t="str">
        <f t="shared" si="406"/>
        <v>[Service]</v>
      </c>
      <c r="BZ234" s="1414" t="str">
        <f t="shared" si="407"/>
        <v>[Price]</v>
      </c>
      <c r="CA234" s="1424" t="str">
        <f>IFERROR((S234/R234-1)*(R236/R$13),"-")</f>
        <v>-</v>
      </c>
      <c r="CB234" s="1415" t="str">
        <f>IFERROR((T234/S234-1)*(S236/S$13),"-")</f>
        <v>-</v>
      </c>
      <c r="CC234" s="1415" t="str">
        <f>IFERROR((U234/T234-1)*(T236/T$13),"-")</f>
        <v>-</v>
      </c>
      <c r="CD234" s="1415" t="str">
        <f>IFERROR((V234/U234-1)*(U236/U$13),"-")</f>
        <v>-</v>
      </c>
      <c r="CE234" s="1415" t="str">
        <f t="shared" ref="CE234:CR234" si="447">IFERROR((T234/S234-1)*(S236/S$13),"-")</f>
        <v>-</v>
      </c>
      <c r="CF234" s="1415" t="str">
        <f t="shared" si="447"/>
        <v>-</v>
      </c>
      <c r="CG234" s="1415" t="str">
        <f t="shared" si="447"/>
        <v>-</v>
      </c>
      <c r="CH234" s="1425" t="str">
        <f t="shared" si="447"/>
        <v>-</v>
      </c>
      <c r="CI234" s="1417" t="str">
        <f t="shared" si="447"/>
        <v>-</v>
      </c>
      <c r="CJ234" s="1417" t="str">
        <f t="shared" si="447"/>
        <v>-</v>
      </c>
      <c r="CK234" s="1417" t="str">
        <f t="shared" si="447"/>
        <v>-</v>
      </c>
      <c r="CL234" s="1417" t="str">
        <f t="shared" si="447"/>
        <v>-</v>
      </c>
      <c r="CM234" s="1418" t="str">
        <f t="shared" si="447"/>
        <v>-</v>
      </c>
      <c r="CN234" s="1417" t="str">
        <f t="shared" si="447"/>
        <v>-</v>
      </c>
      <c r="CO234" s="1417" t="str">
        <f t="shared" si="447"/>
        <v>-</v>
      </c>
      <c r="CP234" s="1417" t="str">
        <f t="shared" si="447"/>
        <v>-</v>
      </c>
      <c r="CQ234" s="1417" t="str">
        <f t="shared" si="447"/>
        <v>-</v>
      </c>
      <c r="CR234" s="1419" t="str">
        <f t="shared" si="447"/>
        <v>-</v>
      </c>
      <c r="CS234" s="1378"/>
      <c r="CT234" s="1412" t="str">
        <f t="shared" si="341"/>
        <v>Price</v>
      </c>
      <c r="CU234" s="1413" t="str">
        <f t="shared" si="342"/>
        <v>[Service]</v>
      </c>
      <c r="CV234" s="1426" t="str">
        <f t="shared" si="343"/>
        <v>[Price]</v>
      </c>
      <c r="CW234" s="1427" t="str">
        <f t="shared" si="363"/>
        <v>-</v>
      </c>
      <c r="CX234" s="1417" t="str">
        <f t="shared" si="364"/>
        <v>-</v>
      </c>
      <c r="CY234" s="1417" t="str">
        <f t="shared" si="365"/>
        <v>-</v>
      </c>
      <c r="CZ234" s="1418" t="str">
        <f t="shared" si="366"/>
        <v>-</v>
      </c>
      <c r="DA234" s="1417" t="str">
        <f t="shared" si="367"/>
        <v>-</v>
      </c>
      <c r="DB234" s="1417" t="str">
        <f t="shared" si="368"/>
        <v>-</v>
      </c>
      <c r="DC234" s="1417" t="str">
        <f t="shared" si="369"/>
        <v>-</v>
      </c>
      <c r="DD234" s="1417" t="str">
        <f t="shared" si="370"/>
        <v>-</v>
      </c>
      <c r="DE234" s="1419" t="str">
        <f t="shared" si="371"/>
        <v>-</v>
      </c>
      <c r="DF234" s="1378"/>
      <c r="DG234" s="1412" t="str">
        <f t="shared" si="383"/>
        <v>Price</v>
      </c>
      <c r="DH234" s="1413" t="str">
        <f t="shared" si="383"/>
        <v>[Service]</v>
      </c>
      <c r="DI234" s="1426" t="str">
        <f t="shared" si="383"/>
        <v>[Price]</v>
      </c>
      <c r="DJ234" s="1427" t="str">
        <f t="shared" si="372"/>
        <v>-</v>
      </c>
      <c r="DK234" s="1417" t="str">
        <f t="shared" si="373"/>
        <v>-</v>
      </c>
      <c r="DL234" s="1417" t="str">
        <f t="shared" si="374"/>
        <v>-</v>
      </c>
      <c r="DM234" s="1418" t="str">
        <f t="shared" si="375"/>
        <v>-</v>
      </c>
      <c r="DN234" s="1417" t="str">
        <f t="shared" si="376"/>
        <v>-</v>
      </c>
      <c r="DO234" s="1417" t="str">
        <f t="shared" si="377"/>
        <v>-</v>
      </c>
      <c r="DP234" s="1417" t="str">
        <f t="shared" si="378"/>
        <v>-</v>
      </c>
      <c r="DQ234" s="1419" t="str">
        <f t="shared" si="379"/>
        <v>-</v>
      </c>
    </row>
    <row r="235" spans="4:121">
      <c r="E235" s="742" t="s">
        <v>45</v>
      </c>
      <c r="F235" s="722" t="str">
        <f>+F234</f>
        <v>[Service]</v>
      </c>
      <c r="G235" s="723">
        <f>+G234</f>
        <v>0</v>
      </c>
      <c r="H235" s="723">
        <f>+H234</f>
        <v>0</v>
      </c>
      <c r="I235" s="724" t="str">
        <f>+I234</f>
        <v>[Price]</v>
      </c>
      <c r="J235" s="782" t="s">
        <v>322</v>
      </c>
      <c r="K235" s="725"/>
      <c r="L235" s="726"/>
      <c r="M235" s="726"/>
      <c r="N235" s="727"/>
      <c r="O235" s="786"/>
      <c r="P235" s="787"/>
      <c r="Q235" s="786"/>
      <c r="R235" s="786"/>
      <c r="S235" s="786"/>
      <c r="T235" s="786"/>
      <c r="U235" s="786"/>
      <c r="V235" s="786"/>
      <c r="W235" s="786"/>
      <c r="X235" s="787"/>
      <c r="Y235" s="786"/>
      <c r="Z235" s="786"/>
      <c r="AA235" s="786"/>
      <c r="AB235" s="786"/>
      <c r="AC235" s="787"/>
      <c r="AD235" s="786"/>
      <c r="AE235" s="786"/>
      <c r="AF235" s="786"/>
      <c r="AG235" s="788"/>
      <c r="AH235" s="823"/>
      <c r="AI235" s="745"/>
      <c r="AJ235" s="728"/>
      <c r="AK235" s="729"/>
      <c r="AL235" s="729"/>
      <c r="AM235" s="729"/>
      <c r="AN235" s="729"/>
      <c r="AO235" s="730"/>
      <c r="AP235" s="74"/>
      <c r="AQ235" s="74"/>
      <c r="AR235" s="74"/>
      <c r="AS235" s="106"/>
      <c r="AW235" s="1392" t="str">
        <f t="shared" si="381"/>
        <v>Qty</v>
      </c>
      <c r="AX235" s="1393" t="str">
        <f t="shared" si="381"/>
        <v>[Service]</v>
      </c>
      <c r="AY235" s="1394" t="str">
        <f t="shared" si="345"/>
        <v>[Price]</v>
      </c>
      <c r="AZ235" s="1395" t="str">
        <f t="shared" si="437"/>
        <v>-</v>
      </c>
      <c r="BA235" s="1395" t="str">
        <f t="shared" si="437"/>
        <v>-</v>
      </c>
      <c r="BB235" s="1395" t="str">
        <f t="shared" si="437"/>
        <v>-</v>
      </c>
      <c r="BC235" s="1395" t="str">
        <f t="shared" si="437"/>
        <v>-</v>
      </c>
      <c r="BD235" s="1395" t="str">
        <f t="shared" si="347"/>
        <v>-</v>
      </c>
      <c r="BE235" s="1395" t="str">
        <f t="shared" si="348"/>
        <v>-</v>
      </c>
      <c r="BF235" s="1395" t="str">
        <f t="shared" si="349"/>
        <v>-</v>
      </c>
      <c r="BG235" s="1396" t="str">
        <f t="shared" si="350"/>
        <v>-</v>
      </c>
      <c r="BH235" s="1395" t="str">
        <f t="shared" si="351"/>
        <v>-</v>
      </c>
      <c r="BI235" s="1395" t="str">
        <f t="shared" si="352"/>
        <v>-</v>
      </c>
      <c r="BJ235" s="1395" t="str">
        <f t="shared" si="353"/>
        <v>-</v>
      </c>
      <c r="BK235" s="1395" t="str">
        <f t="shared" si="354"/>
        <v>-</v>
      </c>
      <c r="BL235" s="1397" t="str">
        <f t="shared" si="355"/>
        <v>-</v>
      </c>
      <c r="BM235" s="1395" t="str">
        <f t="shared" si="356"/>
        <v>-</v>
      </c>
      <c r="BN235" s="1395" t="str">
        <f t="shared" si="357"/>
        <v>-</v>
      </c>
      <c r="BO235" s="1395" t="str">
        <f t="shared" si="358"/>
        <v>-</v>
      </c>
      <c r="BP235" s="1395" t="str">
        <f t="shared" si="359"/>
        <v>-</v>
      </c>
      <c r="BQ235" s="1398" t="str">
        <f t="shared" si="360"/>
        <v>-</v>
      </c>
      <c r="BR235" s="1378"/>
      <c r="BS235" s="1329"/>
      <c r="BT235" s="1399"/>
      <c r="BU235" s="1331"/>
      <c r="BV235" s="1400"/>
      <c r="BW235" s="1378"/>
      <c r="BX235" s="1392" t="str">
        <f t="shared" si="361"/>
        <v>Qty</v>
      </c>
      <c r="BY235" s="1393" t="str">
        <f t="shared" si="406"/>
        <v>[Service]</v>
      </c>
      <c r="BZ235" s="1394" t="str">
        <f t="shared" si="407"/>
        <v>[Price]</v>
      </c>
      <c r="CA235" s="1401" t="str">
        <f>IFERROR((S235/R235-1)*(R236/R$13),"-")</f>
        <v>-</v>
      </c>
      <c r="CB235" s="1395" t="str">
        <f>IFERROR((T235/S235-1)*(S236/S$13),"-")</f>
        <v>-</v>
      </c>
      <c r="CC235" s="1395" t="str">
        <f>IFERROR((U235/T235-1)*(T236/T$13),"-")</f>
        <v>-</v>
      </c>
      <c r="CD235" s="1395" t="str">
        <f>IFERROR((V235/U235-1)*(U236/U$13),"-")</f>
        <v>-</v>
      </c>
      <c r="CE235" s="1395" t="str">
        <f t="shared" ref="CE235:CR235" si="448">IFERROR((T235/S235-1)*(S236/S$13),"-")</f>
        <v>-</v>
      </c>
      <c r="CF235" s="1395" t="str">
        <f t="shared" si="448"/>
        <v>-</v>
      </c>
      <c r="CG235" s="1395" t="str">
        <f t="shared" si="448"/>
        <v>-</v>
      </c>
      <c r="CH235" s="1397" t="str">
        <f t="shared" si="448"/>
        <v>-</v>
      </c>
      <c r="CI235" s="1395" t="str">
        <f t="shared" si="448"/>
        <v>-</v>
      </c>
      <c r="CJ235" s="1395" t="str">
        <f t="shared" si="448"/>
        <v>-</v>
      </c>
      <c r="CK235" s="1395" t="str">
        <f t="shared" si="448"/>
        <v>-</v>
      </c>
      <c r="CL235" s="1395" t="str">
        <f t="shared" si="448"/>
        <v>-</v>
      </c>
      <c r="CM235" s="1397" t="str">
        <f t="shared" si="448"/>
        <v>-</v>
      </c>
      <c r="CN235" s="1395" t="str">
        <f t="shared" si="448"/>
        <v>-</v>
      </c>
      <c r="CO235" s="1395" t="str">
        <f t="shared" si="448"/>
        <v>-</v>
      </c>
      <c r="CP235" s="1395" t="str">
        <f t="shared" si="448"/>
        <v>-</v>
      </c>
      <c r="CQ235" s="1395" t="str">
        <f t="shared" si="448"/>
        <v>-</v>
      </c>
      <c r="CR235" s="1398" t="str">
        <f t="shared" si="448"/>
        <v>-</v>
      </c>
      <c r="CS235" s="1378"/>
      <c r="CT235" s="1392" t="str">
        <f t="shared" si="341"/>
        <v>Qty</v>
      </c>
      <c r="CU235" s="1393" t="str">
        <f t="shared" si="342"/>
        <v>[Service]</v>
      </c>
      <c r="CV235" s="1393" t="str">
        <f t="shared" si="343"/>
        <v>[Price]</v>
      </c>
      <c r="CW235" s="1401" t="str">
        <f t="shared" si="363"/>
        <v>-</v>
      </c>
      <c r="CX235" s="1395" t="str">
        <f t="shared" si="364"/>
        <v>-</v>
      </c>
      <c r="CY235" s="1395" t="str">
        <f t="shared" si="365"/>
        <v>-</v>
      </c>
      <c r="CZ235" s="1397" t="str">
        <f t="shared" si="366"/>
        <v>-</v>
      </c>
      <c r="DA235" s="1395" t="str">
        <f t="shared" si="367"/>
        <v>-</v>
      </c>
      <c r="DB235" s="1395" t="str">
        <f t="shared" si="368"/>
        <v>-</v>
      </c>
      <c r="DC235" s="1395" t="str">
        <f t="shared" si="369"/>
        <v>-</v>
      </c>
      <c r="DD235" s="1395" t="str">
        <f t="shared" si="370"/>
        <v>-</v>
      </c>
      <c r="DE235" s="1398" t="str">
        <f t="shared" si="371"/>
        <v>-</v>
      </c>
      <c r="DF235" s="1378"/>
      <c r="DG235" s="1392" t="str">
        <f t="shared" si="383"/>
        <v>Qty</v>
      </c>
      <c r="DH235" s="1393" t="str">
        <f t="shared" si="383"/>
        <v>[Service]</v>
      </c>
      <c r="DI235" s="1393" t="str">
        <f t="shared" si="383"/>
        <v>[Price]</v>
      </c>
      <c r="DJ235" s="1401" t="str">
        <f t="shared" si="372"/>
        <v>-</v>
      </c>
      <c r="DK235" s="1395" t="str">
        <f t="shared" si="373"/>
        <v>-</v>
      </c>
      <c r="DL235" s="1395" t="str">
        <f t="shared" si="374"/>
        <v>-</v>
      </c>
      <c r="DM235" s="1397" t="str">
        <f t="shared" si="375"/>
        <v>-</v>
      </c>
      <c r="DN235" s="1395" t="str">
        <f t="shared" si="376"/>
        <v>-</v>
      </c>
      <c r="DO235" s="1395" t="str">
        <f t="shared" si="377"/>
        <v>-</v>
      </c>
      <c r="DP235" s="1395" t="str">
        <f t="shared" si="378"/>
        <v>-</v>
      </c>
      <c r="DQ235" s="1398" t="str">
        <f t="shared" si="379"/>
        <v>-</v>
      </c>
    </row>
    <row r="236" spans="4:121" ht="12.75" thickBot="1">
      <c r="E236" s="743" t="s">
        <v>46</v>
      </c>
      <c r="F236" s="732" t="str">
        <f>+F234</f>
        <v>[Service]</v>
      </c>
      <c r="G236" s="733">
        <f>+G234</f>
        <v>0</v>
      </c>
      <c r="H236" s="733">
        <f>+H234</f>
        <v>0</v>
      </c>
      <c r="I236" s="734" t="str">
        <f>+I234</f>
        <v>[Price]</v>
      </c>
      <c r="J236" s="735" t="s">
        <v>344</v>
      </c>
      <c r="K236" s="736">
        <f t="shared" ref="K236:AG236" si="449">K234*K235/10^6</f>
        <v>0</v>
      </c>
      <c r="L236" s="737">
        <f t="shared" si="449"/>
        <v>0</v>
      </c>
      <c r="M236" s="737">
        <f t="shared" si="449"/>
        <v>0</v>
      </c>
      <c r="N236" s="738">
        <f t="shared" si="449"/>
        <v>0</v>
      </c>
      <c r="O236" s="737">
        <f t="shared" si="449"/>
        <v>0</v>
      </c>
      <c r="P236" s="738">
        <f t="shared" si="449"/>
        <v>0</v>
      </c>
      <c r="Q236" s="737">
        <f t="shared" si="449"/>
        <v>0</v>
      </c>
      <c r="R236" s="737">
        <f t="shared" si="449"/>
        <v>0</v>
      </c>
      <c r="S236" s="737">
        <f t="shared" si="449"/>
        <v>0</v>
      </c>
      <c r="T236" s="737">
        <f t="shared" si="449"/>
        <v>0</v>
      </c>
      <c r="U236" s="737">
        <f t="shared" si="449"/>
        <v>0</v>
      </c>
      <c r="V236" s="737">
        <f t="shared" si="449"/>
        <v>0</v>
      </c>
      <c r="W236" s="737">
        <f t="shared" si="449"/>
        <v>0</v>
      </c>
      <c r="X236" s="738">
        <f t="shared" si="449"/>
        <v>0</v>
      </c>
      <c r="Y236" s="737">
        <f t="shared" si="449"/>
        <v>0</v>
      </c>
      <c r="Z236" s="737">
        <f t="shared" si="449"/>
        <v>0</v>
      </c>
      <c r="AA236" s="737">
        <f t="shared" si="449"/>
        <v>0</v>
      </c>
      <c r="AB236" s="737">
        <f t="shared" si="449"/>
        <v>0</v>
      </c>
      <c r="AC236" s="738">
        <f t="shared" si="449"/>
        <v>0</v>
      </c>
      <c r="AD236" s="737">
        <f t="shared" si="449"/>
        <v>0</v>
      </c>
      <c r="AE236" s="737">
        <f t="shared" si="449"/>
        <v>0</v>
      </c>
      <c r="AF236" s="737">
        <f t="shared" si="449"/>
        <v>0</v>
      </c>
      <c r="AG236" s="739">
        <f t="shared" si="449"/>
        <v>0</v>
      </c>
      <c r="AH236" s="823"/>
      <c r="AI236" s="745"/>
      <c r="AJ236" s="741"/>
      <c r="AK236" s="729"/>
      <c r="AL236" s="729"/>
      <c r="AM236" s="729"/>
      <c r="AN236" s="729"/>
      <c r="AO236" s="730"/>
      <c r="AP236" s="74"/>
      <c r="AQ236" s="74"/>
      <c r="AR236" s="74"/>
      <c r="AS236" s="106"/>
      <c r="AW236" s="1428" t="str">
        <f t="shared" si="381"/>
        <v>Rev</v>
      </c>
      <c r="AX236" s="1429" t="str">
        <f t="shared" si="381"/>
        <v>[Service]</v>
      </c>
      <c r="AY236" s="1430" t="str">
        <f t="shared" si="345"/>
        <v>[Price]</v>
      </c>
      <c r="AZ236" s="1431" t="str">
        <f t="shared" si="437"/>
        <v>-</v>
      </c>
      <c r="BA236" s="1431" t="str">
        <f t="shared" si="437"/>
        <v>-</v>
      </c>
      <c r="BB236" s="1431" t="str">
        <f t="shared" si="437"/>
        <v>-</v>
      </c>
      <c r="BC236" s="1431" t="str">
        <f t="shared" si="437"/>
        <v>-</v>
      </c>
      <c r="BD236" s="1431" t="str">
        <f t="shared" si="347"/>
        <v>-</v>
      </c>
      <c r="BE236" s="1431" t="str">
        <f t="shared" si="348"/>
        <v>-</v>
      </c>
      <c r="BF236" s="1431" t="str">
        <f t="shared" si="349"/>
        <v>-</v>
      </c>
      <c r="BG236" s="1432" t="str">
        <f t="shared" si="350"/>
        <v>-</v>
      </c>
      <c r="BH236" s="1431" t="str">
        <f t="shared" si="351"/>
        <v>-</v>
      </c>
      <c r="BI236" s="1431" t="str">
        <f t="shared" si="352"/>
        <v>-</v>
      </c>
      <c r="BJ236" s="1431" t="str">
        <f t="shared" si="353"/>
        <v>-</v>
      </c>
      <c r="BK236" s="1431" t="str">
        <f t="shared" si="354"/>
        <v>-</v>
      </c>
      <c r="BL236" s="1433" t="str">
        <f t="shared" si="355"/>
        <v>-</v>
      </c>
      <c r="BM236" s="1431" t="str">
        <f t="shared" si="356"/>
        <v>-</v>
      </c>
      <c r="BN236" s="1431" t="str">
        <f t="shared" si="357"/>
        <v>-</v>
      </c>
      <c r="BO236" s="1431" t="str">
        <f t="shared" si="358"/>
        <v>-</v>
      </c>
      <c r="BP236" s="1431" t="str">
        <f t="shared" si="359"/>
        <v>-</v>
      </c>
      <c r="BQ236" s="1434" t="str">
        <f t="shared" si="360"/>
        <v>-</v>
      </c>
      <c r="BR236" s="1378"/>
      <c r="BS236" s="1407"/>
      <c r="BT236" s="1408"/>
      <c r="BU236" s="1409"/>
      <c r="BV236" s="1410"/>
      <c r="BW236" s="1378"/>
      <c r="BX236" s="1428" t="str">
        <f t="shared" si="361"/>
        <v>Rev</v>
      </c>
      <c r="BY236" s="1429" t="str">
        <f t="shared" si="406"/>
        <v>[Service]</v>
      </c>
      <c r="BZ236" s="1430" t="str">
        <f t="shared" si="407"/>
        <v>[Price]</v>
      </c>
      <c r="CA236" s="1435" t="str">
        <f>IFERROR((S236/R236-1)*(R236/R$13),"-")</f>
        <v>-</v>
      </c>
      <c r="CB236" s="1431" t="str">
        <f>IFERROR((T236/S236-1)*(S236/S$13),"-")</f>
        <v>-</v>
      </c>
      <c r="CC236" s="1431" t="str">
        <f>IFERROR((U236/T236-1)*(T236/T$13),"-")</f>
        <v>-</v>
      </c>
      <c r="CD236" s="1431" t="str">
        <f>IFERROR((V236/U236-1)*(U236/U$13),"-")</f>
        <v>-</v>
      </c>
      <c r="CE236" s="1431" t="str">
        <f t="shared" ref="CE236:CR236" si="450">IFERROR((T236/S236-1)*(S236/S$13),"-")</f>
        <v>-</v>
      </c>
      <c r="CF236" s="1431" t="str">
        <f t="shared" si="450"/>
        <v>-</v>
      </c>
      <c r="CG236" s="1431" t="str">
        <f t="shared" si="450"/>
        <v>-</v>
      </c>
      <c r="CH236" s="1433" t="str">
        <f t="shared" si="450"/>
        <v>-</v>
      </c>
      <c r="CI236" s="1431" t="str">
        <f t="shared" si="450"/>
        <v>-</v>
      </c>
      <c r="CJ236" s="1431" t="str">
        <f t="shared" si="450"/>
        <v>-</v>
      </c>
      <c r="CK236" s="1431" t="str">
        <f t="shared" si="450"/>
        <v>-</v>
      </c>
      <c r="CL236" s="1431" t="str">
        <f t="shared" si="450"/>
        <v>-</v>
      </c>
      <c r="CM236" s="1433" t="str">
        <f t="shared" si="450"/>
        <v>-</v>
      </c>
      <c r="CN236" s="1431" t="str">
        <f t="shared" si="450"/>
        <v>-</v>
      </c>
      <c r="CO236" s="1431" t="str">
        <f t="shared" si="450"/>
        <v>-</v>
      </c>
      <c r="CP236" s="1431" t="str">
        <f t="shared" si="450"/>
        <v>-</v>
      </c>
      <c r="CQ236" s="1431" t="str">
        <f t="shared" si="450"/>
        <v>-</v>
      </c>
      <c r="CR236" s="1434" t="str">
        <f t="shared" si="450"/>
        <v>-</v>
      </c>
      <c r="CS236" s="1378"/>
      <c r="CT236" s="1428" t="str">
        <f t="shared" si="341"/>
        <v>Rev</v>
      </c>
      <c r="CU236" s="1429" t="str">
        <f t="shared" si="342"/>
        <v>[Service]</v>
      </c>
      <c r="CV236" s="1429" t="str">
        <f t="shared" si="343"/>
        <v>[Price]</v>
      </c>
      <c r="CW236" s="1435" t="str">
        <f t="shared" si="363"/>
        <v>-</v>
      </c>
      <c r="CX236" s="1431" t="str">
        <f t="shared" si="364"/>
        <v>-</v>
      </c>
      <c r="CY236" s="1431" t="str">
        <f t="shared" si="365"/>
        <v>-</v>
      </c>
      <c r="CZ236" s="1433" t="str">
        <f t="shared" si="366"/>
        <v>-</v>
      </c>
      <c r="DA236" s="1431" t="str">
        <f t="shared" si="367"/>
        <v>-</v>
      </c>
      <c r="DB236" s="1431" t="str">
        <f t="shared" si="368"/>
        <v>-</v>
      </c>
      <c r="DC236" s="1431" t="str">
        <f t="shared" si="369"/>
        <v>-</v>
      </c>
      <c r="DD236" s="1431" t="str">
        <f t="shared" si="370"/>
        <v>-</v>
      </c>
      <c r="DE236" s="1434" t="str">
        <f t="shared" si="371"/>
        <v>-</v>
      </c>
      <c r="DF236" s="1378"/>
      <c r="DG236" s="1428" t="str">
        <f t="shared" si="383"/>
        <v>Rev</v>
      </c>
      <c r="DH236" s="1429" t="str">
        <f t="shared" si="383"/>
        <v>[Service]</v>
      </c>
      <c r="DI236" s="1429" t="str">
        <f t="shared" si="383"/>
        <v>[Price]</v>
      </c>
      <c r="DJ236" s="1435" t="str">
        <f t="shared" si="372"/>
        <v>-</v>
      </c>
      <c r="DK236" s="1431" t="str">
        <f t="shared" si="373"/>
        <v>-</v>
      </c>
      <c r="DL236" s="1431" t="str">
        <f t="shared" si="374"/>
        <v>-</v>
      </c>
      <c r="DM236" s="1433" t="str">
        <f t="shared" si="375"/>
        <v>-</v>
      </c>
      <c r="DN236" s="1431" t="str">
        <f t="shared" si="376"/>
        <v>-</v>
      </c>
      <c r="DO236" s="1431" t="str">
        <f t="shared" si="377"/>
        <v>-</v>
      </c>
      <c r="DP236" s="1431" t="str">
        <f t="shared" si="378"/>
        <v>-</v>
      </c>
      <c r="DQ236" s="1434" t="str">
        <f t="shared" si="379"/>
        <v>-</v>
      </c>
    </row>
    <row r="237" spans="4:121">
      <c r="D237" s="70">
        <f>D234+1</f>
        <v>57</v>
      </c>
      <c r="E237" s="713" t="s">
        <v>44</v>
      </c>
      <c r="F237" s="789" t="s">
        <v>27</v>
      </c>
      <c r="G237" s="789"/>
      <c r="H237" s="789"/>
      <c r="I237" s="781" t="s">
        <v>318</v>
      </c>
      <c r="J237" s="781" t="s">
        <v>345</v>
      </c>
      <c r="K237" s="714"/>
      <c r="L237" s="715"/>
      <c r="M237" s="715"/>
      <c r="N237" s="716"/>
      <c r="O237" s="783"/>
      <c r="P237" s="784"/>
      <c r="Q237" s="783"/>
      <c r="R237" s="783"/>
      <c r="S237" s="783"/>
      <c r="T237" s="783"/>
      <c r="U237" s="783"/>
      <c r="V237" s="783"/>
      <c r="W237" s="783"/>
      <c r="X237" s="784"/>
      <c r="Y237" s="783"/>
      <c r="Z237" s="783"/>
      <c r="AA237" s="783"/>
      <c r="AB237" s="783"/>
      <c r="AC237" s="784"/>
      <c r="AD237" s="783"/>
      <c r="AE237" s="783"/>
      <c r="AF237" s="783"/>
      <c r="AG237" s="785"/>
      <c r="AI237" s="745"/>
      <c r="AJ237" s="717" t="str">
        <f t="shared" ref="AJ237:AS237" si="451">IFERROR((X237-W237)/W237,"")</f>
        <v/>
      </c>
      <c r="AK237" s="718" t="str">
        <f t="shared" si="451"/>
        <v/>
      </c>
      <c r="AL237" s="718" t="str">
        <f t="shared" si="451"/>
        <v/>
      </c>
      <c r="AM237" s="718" t="str">
        <f t="shared" si="451"/>
        <v/>
      </c>
      <c r="AN237" s="718" t="str">
        <f t="shared" si="451"/>
        <v/>
      </c>
      <c r="AO237" s="719" t="str">
        <f t="shared" si="451"/>
        <v/>
      </c>
      <c r="AP237" s="494" t="str">
        <f t="shared" si="451"/>
        <v/>
      </c>
      <c r="AQ237" s="494" t="str">
        <f t="shared" si="451"/>
        <v/>
      </c>
      <c r="AR237" s="494" t="str">
        <f t="shared" si="451"/>
        <v/>
      </c>
      <c r="AS237" s="720" t="str">
        <f t="shared" si="451"/>
        <v/>
      </c>
      <c r="AU237" s="1369"/>
      <c r="AW237" s="1412" t="str">
        <f t="shared" si="381"/>
        <v>Price</v>
      </c>
      <c r="AX237" s="1413" t="str">
        <f t="shared" si="381"/>
        <v>[Service]</v>
      </c>
      <c r="AY237" s="1414" t="str">
        <f t="shared" si="345"/>
        <v>[Price]</v>
      </c>
      <c r="AZ237" s="1415" t="str">
        <f t="shared" si="437"/>
        <v>-</v>
      </c>
      <c r="BA237" s="1415" t="str">
        <f t="shared" si="437"/>
        <v>-</v>
      </c>
      <c r="BB237" s="1415" t="str">
        <f t="shared" si="437"/>
        <v>-</v>
      </c>
      <c r="BC237" s="1415" t="str">
        <f t="shared" si="437"/>
        <v>-</v>
      </c>
      <c r="BD237" s="1415" t="str">
        <f t="shared" si="347"/>
        <v>-</v>
      </c>
      <c r="BE237" s="1415" t="str">
        <f t="shared" si="348"/>
        <v>-</v>
      </c>
      <c r="BF237" s="1415" t="str">
        <f t="shared" si="349"/>
        <v>-</v>
      </c>
      <c r="BG237" s="1416" t="str">
        <f t="shared" si="350"/>
        <v>-</v>
      </c>
      <c r="BH237" s="1417" t="str">
        <f t="shared" si="351"/>
        <v>-</v>
      </c>
      <c r="BI237" s="1417" t="str">
        <f t="shared" si="352"/>
        <v>-</v>
      </c>
      <c r="BJ237" s="1417" t="str">
        <f t="shared" si="353"/>
        <v>-</v>
      </c>
      <c r="BK237" s="1417" t="str">
        <f t="shared" si="354"/>
        <v>-</v>
      </c>
      <c r="BL237" s="1418" t="str">
        <f t="shared" si="355"/>
        <v>-</v>
      </c>
      <c r="BM237" s="1417" t="str">
        <f t="shared" si="356"/>
        <v>-</v>
      </c>
      <c r="BN237" s="1417" t="str">
        <f t="shared" si="357"/>
        <v>-</v>
      </c>
      <c r="BO237" s="1417" t="str">
        <f t="shared" si="358"/>
        <v>-</v>
      </c>
      <c r="BP237" s="1417" t="str">
        <f t="shared" si="359"/>
        <v>-</v>
      </c>
      <c r="BQ237" s="1419" t="str">
        <f t="shared" si="360"/>
        <v>-</v>
      </c>
      <c r="BR237" s="1378"/>
      <c r="BS237" s="1420"/>
      <c r="BT237" s="1421"/>
      <c r="BU237" s="1422"/>
      <c r="BV237" s="1423"/>
      <c r="BW237" s="1378"/>
      <c r="BX237" s="1412" t="str">
        <f t="shared" si="361"/>
        <v>Price</v>
      </c>
      <c r="BY237" s="1413" t="str">
        <f t="shared" si="406"/>
        <v>[Service]</v>
      </c>
      <c r="BZ237" s="1414" t="str">
        <f t="shared" si="407"/>
        <v>[Price]</v>
      </c>
      <c r="CA237" s="1424" t="str">
        <f>IFERROR((S237/R237-1)*(R239/R$13),"-")</f>
        <v>-</v>
      </c>
      <c r="CB237" s="1415" t="str">
        <f>IFERROR((T237/S237-1)*(S239/S$13),"-")</f>
        <v>-</v>
      </c>
      <c r="CC237" s="1415" t="str">
        <f>IFERROR((U237/T237-1)*(T239/T$13),"-")</f>
        <v>-</v>
      </c>
      <c r="CD237" s="1415" t="str">
        <f>IFERROR((V237/U237-1)*(U239/U$13),"-")</f>
        <v>-</v>
      </c>
      <c r="CE237" s="1415" t="str">
        <f t="shared" ref="CE237:CR237" si="452">IFERROR((T237/S237-1)*(S239/S$13),"-")</f>
        <v>-</v>
      </c>
      <c r="CF237" s="1415" t="str">
        <f t="shared" si="452"/>
        <v>-</v>
      </c>
      <c r="CG237" s="1415" t="str">
        <f t="shared" si="452"/>
        <v>-</v>
      </c>
      <c r="CH237" s="1425" t="str">
        <f t="shared" si="452"/>
        <v>-</v>
      </c>
      <c r="CI237" s="1417" t="str">
        <f t="shared" si="452"/>
        <v>-</v>
      </c>
      <c r="CJ237" s="1417" t="str">
        <f t="shared" si="452"/>
        <v>-</v>
      </c>
      <c r="CK237" s="1417" t="str">
        <f t="shared" si="452"/>
        <v>-</v>
      </c>
      <c r="CL237" s="1417" t="str">
        <f t="shared" si="452"/>
        <v>-</v>
      </c>
      <c r="CM237" s="1418" t="str">
        <f t="shared" si="452"/>
        <v>-</v>
      </c>
      <c r="CN237" s="1417" t="str">
        <f t="shared" si="452"/>
        <v>-</v>
      </c>
      <c r="CO237" s="1417" t="str">
        <f t="shared" si="452"/>
        <v>-</v>
      </c>
      <c r="CP237" s="1417" t="str">
        <f t="shared" si="452"/>
        <v>-</v>
      </c>
      <c r="CQ237" s="1417" t="str">
        <f t="shared" si="452"/>
        <v>-</v>
      </c>
      <c r="CR237" s="1419" t="str">
        <f t="shared" si="452"/>
        <v>-</v>
      </c>
      <c r="CS237" s="1378"/>
      <c r="CT237" s="1412" t="str">
        <f t="shared" si="341"/>
        <v>Price</v>
      </c>
      <c r="CU237" s="1413" t="str">
        <f t="shared" si="342"/>
        <v>[Service]</v>
      </c>
      <c r="CV237" s="1426" t="str">
        <f t="shared" si="343"/>
        <v>[Price]</v>
      </c>
      <c r="CW237" s="1427" t="str">
        <f t="shared" si="363"/>
        <v>-</v>
      </c>
      <c r="CX237" s="1417" t="str">
        <f t="shared" si="364"/>
        <v>-</v>
      </c>
      <c r="CY237" s="1417" t="str">
        <f t="shared" si="365"/>
        <v>-</v>
      </c>
      <c r="CZ237" s="1418" t="str">
        <f t="shared" si="366"/>
        <v>-</v>
      </c>
      <c r="DA237" s="1417" t="str">
        <f t="shared" si="367"/>
        <v>-</v>
      </c>
      <c r="DB237" s="1417" t="str">
        <f t="shared" si="368"/>
        <v>-</v>
      </c>
      <c r="DC237" s="1417" t="str">
        <f t="shared" si="369"/>
        <v>-</v>
      </c>
      <c r="DD237" s="1417" t="str">
        <f t="shared" si="370"/>
        <v>-</v>
      </c>
      <c r="DE237" s="1419" t="str">
        <f t="shared" si="371"/>
        <v>-</v>
      </c>
      <c r="DF237" s="1378"/>
      <c r="DG237" s="1412" t="str">
        <f t="shared" si="383"/>
        <v>Price</v>
      </c>
      <c r="DH237" s="1413" t="str">
        <f t="shared" si="383"/>
        <v>[Service]</v>
      </c>
      <c r="DI237" s="1426" t="str">
        <f t="shared" si="383"/>
        <v>[Price]</v>
      </c>
      <c r="DJ237" s="1427" t="str">
        <f t="shared" si="372"/>
        <v>-</v>
      </c>
      <c r="DK237" s="1417" t="str">
        <f t="shared" si="373"/>
        <v>-</v>
      </c>
      <c r="DL237" s="1417" t="str">
        <f t="shared" si="374"/>
        <v>-</v>
      </c>
      <c r="DM237" s="1418" t="str">
        <f t="shared" si="375"/>
        <v>-</v>
      </c>
      <c r="DN237" s="1417" t="str">
        <f t="shared" si="376"/>
        <v>-</v>
      </c>
      <c r="DO237" s="1417" t="str">
        <f t="shared" si="377"/>
        <v>-</v>
      </c>
      <c r="DP237" s="1417" t="str">
        <f t="shared" si="378"/>
        <v>-</v>
      </c>
      <c r="DQ237" s="1419" t="str">
        <f t="shared" si="379"/>
        <v>-</v>
      </c>
    </row>
    <row r="238" spans="4:121">
      <c r="E238" s="742" t="s">
        <v>45</v>
      </c>
      <c r="F238" s="722" t="str">
        <f>+F237</f>
        <v>[Service]</v>
      </c>
      <c r="G238" s="723">
        <f>+G237</f>
        <v>0</v>
      </c>
      <c r="H238" s="723">
        <f>+H237</f>
        <v>0</v>
      </c>
      <c r="I238" s="724" t="str">
        <f>+I237</f>
        <v>[Price]</v>
      </c>
      <c r="J238" s="782" t="s">
        <v>322</v>
      </c>
      <c r="K238" s="725"/>
      <c r="L238" s="726"/>
      <c r="M238" s="726"/>
      <c r="N238" s="727"/>
      <c r="O238" s="786"/>
      <c r="P238" s="787"/>
      <c r="Q238" s="786"/>
      <c r="R238" s="786"/>
      <c r="S238" s="786"/>
      <c r="T238" s="786"/>
      <c r="U238" s="786"/>
      <c r="V238" s="786"/>
      <c r="W238" s="786"/>
      <c r="X238" s="787"/>
      <c r="Y238" s="786"/>
      <c r="Z238" s="786"/>
      <c r="AA238" s="786"/>
      <c r="AB238" s="786"/>
      <c r="AC238" s="787"/>
      <c r="AD238" s="786"/>
      <c r="AE238" s="786"/>
      <c r="AF238" s="786"/>
      <c r="AG238" s="788"/>
      <c r="AH238" s="823"/>
      <c r="AI238" s="745"/>
      <c r="AJ238" s="728"/>
      <c r="AK238" s="729"/>
      <c r="AL238" s="729"/>
      <c r="AM238" s="729"/>
      <c r="AN238" s="729"/>
      <c r="AO238" s="730"/>
      <c r="AP238" s="74"/>
      <c r="AQ238" s="74"/>
      <c r="AR238" s="74"/>
      <c r="AS238" s="106"/>
      <c r="AW238" s="1392" t="str">
        <f t="shared" si="381"/>
        <v>Qty</v>
      </c>
      <c r="AX238" s="1393" t="str">
        <f t="shared" si="381"/>
        <v>[Service]</v>
      </c>
      <c r="AY238" s="1394" t="str">
        <f t="shared" si="345"/>
        <v>[Price]</v>
      </c>
      <c r="AZ238" s="1395" t="str">
        <f t="shared" si="437"/>
        <v>-</v>
      </c>
      <c r="BA238" s="1395" t="str">
        <f t="shared" si="437"/>
        <v>-</v>
      </c>
      <c r="BB238" s="1395" t="str">
        <f t="shared" si="437"/>
        <v>-</v>
      </c>
      <c r="BC238" s="1395" t="str">
        <f t="shared" si="437"/>
        <v>-</v>
      </c>
      <c r="BD238" s="1395" t="str">
        <f t="shared" si="347"/>
        <v>-</v>
      </c>
      <c r="BE238" s="1395" t="str">
        <f t="shared" si="348"/>
        <v>-</v>
      </c>
      <c r="BF238" s="1395" t="str">
        <f t="shared" si="349"/>
        <v>-</v>
      </c>
      <c r="BG238" s="1396" t="str">
        <f t="shared" si="350"/>
        <v>-</v>
      </c>
      <c r="BH238" s="1395" t="str">
        <f t="shared" si="351"/>
        <v>-</v>
      </c>
      <c r="BI238" s="1395" t="str">
        <f t="shared" si="352"/>
        <v>-</v>
      </c>
      <c r="BJ238" s="1395" t="str">
        <f t="shared" si="353"/>
        <v>-</v>
      </c>
      <c r="BK238" s="1395" t="str">
        <f t="shared" si="354"/>
        <v>-</v>
      </c>
      <c r="BL238" s="1397" t="str">
        <f t="shared" si="355"/>
        <v>-</v>
      </c>
      <c r="BM238" s="1395" t="str">
        <f t="shared" si="356"/>
        <v>-</v>
      </c>
      <c r="BN238" s="1395" t="str">
        <f t="shared" si="357"/>
        <v>-</v>
      </c>
      <c r="BO238" s="1395" t="str">
        <f t="shared" si="358"/>
        <v>-</v>
      </c>
      <c r="BP238" s="1395" t="str">
        <f t="shared" si="359"/>
        <v>-</v>
      </c>
      <c r="BQ238" s="1398" t="str">
        <f t="shared" si="360"/>
        <v>-</v>
      </c>
      <c r="BR238" s="1378"/>
      <c r="BS238" s="1329"/>
      <c r="BT238" s="1399"/>
      <c r="BU238" s="1331"/>
      <c r="BV238" s="1400"/>
      <c r="BW238" s="1378"/>
      <c r="BX238" s="1392" t="str">
        <f t="shared" si="361"/>
        <v>Qty</v>
      </c>
      <c r="BY238" s="1393" t="str">
        <f t="shared" si="406"/>
        <v>[Service]</v>
      </c>
      <c r="BZ238" s="1394" t="str">
        <f t="shared" si="407"/>
        <v>[Price]</v>
      </c>
      <c r="CA238" s="1401" t="str">
        <f>IFERROR((S238/R238-1)*(R239/R$13),"-")</f>
        <v>-</v>
      </c>
      <c r="CB238" s="1395" t="str">
        <f>IFERROR((T238/S238-1)*(S239/S$13),"-")</f>
        <v>-</v>
      </c>
      <c r="CC238" s="1395" t="str">
        <f>IFERROR((U238/T238-1)*(T239/T$13),"-")</f>
        <v>-</v>
      </c>
      <c r="CD238" s="1395" t="str">
        <f>IFERROR((V238/U238-1)*(U239/U$13),"-")</f>
        <v>-</v>
      </c>
      <c r="CE238" s="1395" t="str">
        <f t="shared" ref="CE238:CR238" si="453">IFERROR((T238/S238-1)*(S239/S$13),"-")</f>
        <v>-</v>
      </c>
      <c r="CF238" s="1395" t="str">
        <f t="shared" si="453"/>
        <v>-</v>
      </c>
      <c r="CG238" s="1395" t="str">
        <f t="shared" si="453"/>
        <v>-</v>
      </c>
      <c r="CH238" s="1397" t="str">
        <f t="shared" si="453"/>
        <v>-</v>
      </c>
      <c r="CI238" s="1395" t="str">
        <f t="shared" si="453"/>
        <v>-</v>
      </c>
      <c r="CJ238" s="1395" t="str">
        <f t="shared" si="453"/>
        <v>-</v>
      </c>
      <c r="CK238" s="1395" t="str">
        <f t="shared" si="453"/>
        <v>-</v>
      </c>
      <c r="CL238" s="1395" t="str">
        <f t="shared" si="453"/>
        <v>-</v>
      </c>
      <c r="CM238" s="1397" t="str">
        <f t="shared" si="453"/>
        <v>-</v>
      </c>
      <c r="CN238" s="1395" t="str">
        <f t="shared" si="453"/>
        <v>-</v>
      </c>
      <c r="CO238" s="1395" t="str">
        <f t="shared" si="453"/>
        <v>-</v>
      </c>
      <c r="CP238" s="1395" t="str">
        <f t="shared" si="453"/>
        <v>-</v>
      </c>
      <c r="CQ238" s="1395" t="str">
        <f t="shared" si="453"/>
        <v>-</v>
      </c>
      <c r="CR238" s="1398" t="str">
        <f t="shared" si="453"/>
        <v>-</v>
      </c>
      <c r="CS238" s="1378"/>
      <c r="CT238" s="1392" t="str">
        <f t="shared" si="341"/>
        <v>Qty</v>
      </c>
      <c r="CU238" s="1393" t="str">
        <f t="shared" si="342"/>
        <v>[Service]</v>
      </c>
      <c r="CV238" s="1393" t="str">
        <f t="shared" si="343"/>
        <v>[Price]</v>
      </c>
      <c r="CW238" s="1401" t="str">
        <f t="shared" si="363"/>
        <v>-</v>
      </c>
      <c r="CX238" s="1395" t="str">
        <f t="shared" si="364"/>
        <v>-</v>
      </c>
      <c r="CY238" s="1395" t="str">
        <f t="shared" si="365"/>
        <v>-</v>
      </c>
      <c r="CZ238" s="1397" t="str">
        <f t="shared" si="366"/>
        <v>-</v>
      </c>
      <c r="DA238" s="1395" t="str">
        <f t="shared" si="367"/>
        <v>-</v>
      </c>
      <c r="DB238" s="1395" t="str">
        <f t="shared" si="368"/>
        <v>-</v>
      </c>
      <c r="DC238" s="1395" t="str">
        <f t="shared" si="369"/>
        <v>-</v>
      </c>
      <c r="DD238" s="1395" t="str">
        <f t="shared" si="370"/>
        <v>-</v>
      </c>
      <c r="DE238" s="1398" t="str">
        <f t="shared" si="371"/>
        <v>-</v>
      </c>
      <c r="DF238" s="1378"/>
      <c r="DG238" s="1392" t="str">
        <f t="shared" si="383"/>
        <v>Qty</v>
      </c>
      <c r="DH238" s="1393" t="str">
        <f t="shared" si="383"/>
        <v>[Service]</v>
      </c>
      <c r="DI238" s="1393" t="str">
        <f t="shared" si="383"/>
        <v>[Price]</v>
      </c>
      <c r="DJ238" s="1401" t="str">
        <f t="shared" si="372"/>
        <v>-</v>
      </c>
      <c r="DK238" s="1395" t="str">
        <f t="shared" si="373"/>
        <v>-</v>
      </c>
      <c r="DL238" s="1395" t="str">
        <f t="shared" si="374"/>
        <v>-</v>
      </c>
      <c r="DM238" s="1397" t="str">
        <f t="shared" si="375"/>
        <v>-</v>
      </c>
      <c r="DN238" s="1395" t="str">
        <f t="shared" si="376"/>
        <v>-</v>
      </c>
      <c r="DO238" s="1395" t="str">
        <f t="shared" si="377"/>
        <v>-</v>
      </c>
      <c r="DP238" s="1395" t="str">
        <f t="shared" si="378"/>
        <v>-</v>
      </c>
      <c r="DQ238" s="1398" t="str">
        <f t="shared" si="379"/>
        <v>-</v>
      </c>
    </row>
    <row r="239" spans="4:121" ht="12.75" thickBot="1">
      <c r="E239" s="743" t="s">
        <v>46</v>
      </c>
      <c r="F239" s="732" t="str">
        <f>+F237</f>
        <v>[Service]</v>
      </c>
      <c r="G239" s="733">
        <f>+G237</f>
        <v>0</v>
      </c>
      <c r="H239" s="733">
        <f>+H237</f>
        <v>0</v>
      </c>
      <c r="I239" s="734" t="str">
        <f>+I237</f>
        <v>[Price]</v>
      </c>
      <c r="J239" s="735" t="s">
        <v>344</v>
      </c>
      <c r="K239" s="736">
        <f t="shared" ref="K239:AG239" si="454">K237*K238/10^6</f>
        <v>0</v>
      </c>
      <c r="L239" s="737">
        <f t="shared" si="454"/>
        <v>0</v>
      </c>
      <c r="M239" s="737">
        <f t="shared" si="454"/>
        <v>0</v>
      </c>
      <c r="N239" s="738">
        <f t="shared" si="454"/>
        <v>0</v>
      </c>
      <c r="O239" s="737">
        <f t="shared" si="454"/>
        <v>0</v>
      </c>
      <c r="P239" s="738">
        <f t="shared" si="454"/>
        <v>0</v>
      </c>
      <c r="Q239" s="737">
        <f t="shared" si="454"/>
        <v>0</v>
      </c>
      <c r="R239" s="737">
        <f t="shared" si="454"/>
        <v>0</v>
      </c>
      <c r="S239" s="737">
        <f t="shared" si="454"/>
        <v>0</v>
      </c>
      <c r="T239" s="737">
        <f t="shared" si="454"/>
        <v>0</v>
      </c>
      <c r="U239" s="737">
        <f t="shared" si="454"/>
        <v>0</v>
      </c>
      <c r="V239" s="737">
        <f t="shared" si="454"/>
        <v>0</v>
      </c>
      <c r="W239" s="737">
        <f t="shared" si="454"/>
        <v>0</v>
      </c>
      <c r="X239" s="738">
        <f t="shared" si="454"/>
        <v>0</v>
      </c>
      <c r="Y239" s="737">
        <f t="shared" si="454"/>
        <v>0</v>
      </c>
      <c r="Z239" s="737">
        <f t="shared" si="454"/>
        <v>0</v>
      </c>
      <c r="AA239" s="737">
        <f t="shared" si="454"/>
        <v>0</v>
      </c>
      <c r="AB239" s="737">
        <f t="shared" si="454"/>
        <v>0</v>
      </c>
      <c r="AC239" s="738">
        <f t="shared" si="454"/>
        <v>0</v>
      </c>
      <c r="AD239" s="737">
        <f t="shared" si="454"/>
        <v>0</v>
      </c>
      <c r="AE239" s="737">
        <f t="shared" si="454"/>
        <v>0</v>
      </c>
      <c r="AF239" s="737">
        <f t="shared" si="454"/>
        <v>0</v>
      </c>
      <c r="AG239" s="739">
        <f t="shared" si="454"/>
        <v>0</v>
      </c>
      <c r="AH239" s="823"/>
      <c r="AI239" s="745"/>
      <c r="AJ239" s="741"/>
      <c r="AK239" s="729"/>
      <c r="AL239" s="729"/>
      <c r="AM239" s="729"/>
      <c r="AN239" s="729"/>
      <c r="AO239" s="730"/>
      <c r="AP239" s="74"/>
      <c r="AQ239" s="74"/>
      <c r="AR239" s="74"/>
      <c r="AS239" s="106"/>
      <c r="AW239" s="1428" t="str">
        <f t="shared" si="381"/>
        <v>Rev</v>
      </c>
      <c r="AX239" s="1429" t="str">
        <f t="shared" si="381"/>
        <v>[Service]</v>
      </c>
      <c r="AY239" s="1430" t="str">
        <f t="shared" si="345"/>
        <v>[Price]</v>
      </c>
      <c r="AZ239" s="1431" t="str">
        <f t="shared" si="437"/>
        <v>-</v>
      </c>
      <c r="BA239" s="1431" t="str">
        <f t="shared" si="437"/>
        <v>-</v>
      </c>
      <c r="BB239" s="1431" t="str">
        <f t="shared" si="437"/>
        <v>-</v>
      </c>
      <c r="BC239" s="1431" t="str">
        <f t="shared" si="437"/>
        <v>-</v>
      </c>
      <c r="BD239" s="1431" t="str">
        <f t="shared" si="347"/>
        <v>-</v>
      </c>
      <c r="BE239" s="1431" t="str">
        <f t="shared" si="348"/>
        <v>-</v>
      </c>
      <c r="BF239" s="1431" t="str">
        <f t="shared" si="349"/>
        <v>-</v>
      </c>
      <c r="BG239" s="1432" t="str">
        <f t="shared" si="350"/>
        <v>-</v>
      </c>
      <c r="BH239" s="1431" t="str">
        <f t="shared" si="351"/>
        <v>-</v>
      </c>
      <c r="BI239" s="1431" t="str">
        <f t="shared" si="352"/>
        <v>-</v>
      </c>
      <c r="BJ239" s="1431" t="str">
        <f t="shared" si="353"/>
        <v>-</v>
      </c>
      <c r="BK239" s="1431" t="str">
        <f t="shared" si="354"/>
        <v>-</v>
      </c>
      <c r="BL239" s="1433" t="str">
        <f t="shared" si="355"/>
        <v>-</v>
      </c>
      <c r="BM239" s="1431" t="str">
        <f t="shared" si="356"/>
        <v>-</v>
      </c>
      <c r="BN239" s="1431" t="str">
        <f t="shared" si="357"/>
        <v>-</v>
      </c>
      <c r="BO239" s="1431" t="str">
        <f t="shared" si="358"/>
        <v>-</v>
      </c>
      <c r="BP239" s="1431" t="str">
        <f t="shared" si="359"/>
        <v>-</v>
      </c>
      <c r="BQ239" s="1434" t="str">
        <f t="shared" si="360"/>
        <v>-</v>
      </c>
      <c r="BR239" s="1378"/>
      <c r="BS239" s="1407"/>
      <c r="BT239" s="1408"/>
      <c r="BU239" s="1409"/>
      <c r="BV239" s="1410"/>
      <c r="BW239" s="1378"/>
      <c r="BX239" s="1428" t="str">
        <f t="shared" si="361"/>
        <v>Rev</v>
      </c>
      <c r="BY239" s="1429" t="str">
        <f t="shared" si="406"/>
        <v>[Service]</v>
      </c>
      <c r="BZ239" s="1430" t="str">
        <f t="shared" si="407"/>
        <v>[Price]</v>
      </c>
      <c r="CA239" s="1435" t="str">
        <f>IFERROR((S239/R239-1)*(R239/R$13),"-")</f>
        <v>-</v>
      </c>
      <c r="CB239" s="1431" t="str">
        <f>IFERROR((T239/S239-1)*(S239/S$13),"-")</f>
        <v>-</v>
      </c>
      <c r="CC239" s="1431" t="str">
        <f>IFERROR((U239/T239-1)*(T239/T$13),"-")</f>
        <v>-</v>
      </c>
      <c r="CD239" s="1431" t="str">
        <f>IFERROR((V239/U239-1)*(U239/U$13),"-")</f>
        <v>-</v>
      </c>
      <c r="CE239" s="1431" t="str">
        <f t="shared" ref="CE239:CR239" si="455">IFERROR((T239/S239-1)*(S239/S$13),"-")</f>
        <v>-</v>
      </c>
      <c r="CF239" s="1431" t="str">
        <f t="shared" si="455"/>
        <v>-</v>
      </c>
      <c r="CG239" s="1431" t="str">
        <f t="shared" si="455"/>
        <v>-</v>
      </c>
      <c r="CH239" s="1433" t="str">
        <f t="shared" si="455"/>
        <v>-</v>
      </c>
      <c r="CI239" s="1431" t="str">
        <f t="shared" si="455"/>
        <v>-</v>
      </c>
      <c r="CJ239" s="1431" t="str">
        <f t="shared" si="455"/>
        <v>-</v>
      </c>
      <c r="CK239" s="1431" t="str">
        <f t="shared" si="455"/>
        <v>-</v>
      </c>
      <c r="CL239" s="1431" t="str">
        <f t="shared" si="455"/>
        <v>-</v>
      </c>
      <c r="CM239" s="1433" t="str">
        <f t="shared" si="455"/>
        <v>-</v>
      </c>
      <c r="CN239" s="1431" t="str">
        <f t="shared" si="455"/>
        <v>-</v>
      </c>
      <c r="CO239" s="1431" t="str">
        <f t="shared" si="455"/>
        <v>-</v>
      </c>
      <c r="CP239" s="1431" t="str">
        <f t="shared" si="455"/>
        <v>-</v>
      </c>
      <c r="CQ239" s="1431" t="str">
        <f t="shared" si="455"/>
        <v>-</v>
      </c>
      <c r="CR239" s="1434" t="str">
        <f t="shared" si="455"/>
        <v>-</v>
      </c>
      <c r="CS239" s="1378"/>
      <c r="CT239" s="1428" t="str">
        <f t="shared" si="341"/>
        <v>Rev</v>
      </c>
      <c r="CU239" s="1429" t="str">
        <f t="shared" si="342"/>
        <v>[Service]</v>
      </c>
      <c r="CV239" s="1429" t="str">
        <f t="shared" si="343"/>
        <v>[Price]</v>
      </c>
      <c r="CW239" s="1435" t="str">
        <f t="shared" si="363"/>
        <v>-</v>
      </c>
      <c r="CX239" s="1431" t="str">
        <f t="shared" si="364"/>
        <v>-</v>
      </c>
      <c r="CY239" s="1431" t="str">
        <f t="shared" si="365"/>
        <v>-</v>
      </c>
      <c r="CZ239" s="1433" t="str">
        <f t="shared" si="366"/>
        <v>-</v>
      </c>
      <c r="DA239" s="1431" t="str">
        <f t="shared" si="367"/>
        <v>-</v>
      </c>
      <c r="DB239" s="1431" t="str">
        <f t="shared" si="368"/>
        <v>-</v>
      </c>
      <c r="DC239" s="1431" t="str">
        <f t="shared" si="369"/>
        <v>-</v>
      </c>
      <c r="DD239" s="1431" t="str">
        <f t="shared" si="370"/>
        <v>-</v>
      </c>
      <c r="DE239" s="1434" t="str">
        <f t="shared" si="371"/>
        <v>-</v>
      </c>
      <c r="DF239" s="1378"/>
      <c r="DG239" s="1428" t="str">
        <f t="shared" si="383"/>
        <v>Rev</v>
      </c>
      <c r="DH239" s="1429" t="str">
        <f t="shared" si="383"/>
        <v>[Service]</v>
      </c>
      <c r="DI239" s="1429" t="str">
        <f t="shared" si="383"/>
        <v>[Price]</v>
      </c>
      <c r="DJ239" s="1435" t="str">
        <f t="shared" si="372"/>
        <v>-</v>
      </c>
      <c r="DK239" s="1431" t="str">
        <f t="shared" si="373"/>
        <v>-</v>
      </c>
      <c r="DL239" s="1431" t="str">
        <f t="shared" si="374"/>
        <v>-</v>
      </c>
      <c r="DM239" s="1433" t="str">
        <f t="shared" si="375"/>
        <v>-</v>
      </c>
      <c r="DN239" s="1431" t="str">
        <f t="shared" si="376"/>
        <v>-</v>
      </c>
      <c r="DO239" s="1431" t="str">
        <f t="shared" si="377"/>
        <v>-</v>
      </c>
      <c r="DP239" s="1431" t="str">
        <f t="shared" si="378"/>
        <v>-</v>
      </c>
      <c r="DQ239" s="1434" t="str">
        <f t="shared" si="379"/>
        <v>-</v>
      </c>
    </row>
    <row r="240" spans="4:121">
      <c r="D240" s="70">
        <f>D237+1</f>
        <v>58</v>
      </c>
      <c r="E240" s="713" t="s">
        <v>44</v>
      </c>
      <c r="F240" s="789" t="s">
        <v>27</v>
      </c>
      <c r="G240" s="789"/>
      <c r="H240" s="789"/>
      <c r="I240" s="781" t="s">
        <v>318</v>
      </c>
      <c r="J240" s="781" t="s">
        <v>345</v>
      </c>
      <c r="K240" s="714"/>
      <c r="L240" s="715"/>
      <c r="M240" s="715"/>
      <c r="N240" s="716"/>
      <c r="O240" s="783"/>
      <c r="P240" s="784"/>
      <c r="Q240" s="783"/>
      <c r="R240" s="783"/>
      <c r="S240" s="783"/>
      <c r="T240" s="783"/>
      <c r="U240" s="783"/>
      <c r="V240" s="783"/>
      <c r="W240" s="783"/>
      <c r="X240" s="784"/>
      <c r="Y240" s="783"/>
      <c r="Z240" s="783"/>
      <c r="AA240" s="783"/>
      <c r="AB240" s="783"/>
      <c r="AC240" s="784"/>
      <c r="AD240" s="783"/>
      <c r="AE240" s="783"/>
      <c r="AF240" s="783"/>
      <c r="AG240" s="785"/>
      <c r="AI240" s="745"/>
      <c r="AJ240" s="717" t="str">
        <f t="shared" ref="AJ240:AS240" si="456">IFERROR((X240-W240)/W240,"")</f>
        <v/>
      </c>
      <c r="AK240" s="718" t="str">
        <f t="shared" si="456"/>
        <v/>
      </c>
      <c r="AL240" s="718" t="str">
        <f t="shared" si="456"/>
        <v/>
      </c>
      <c r="AM240" s="718" t="str">
        <f t="shared" si="456"/>
        <v/>
      </c>
      <c r="AN240" s="718" t="str">
        <f t="shared" si="456"/>
        <v/>
      </c>
      <c r="AO240" s="719" t="str">
        <f t="shared" si="456"/>
        <v/>
      </c>
      <c r="AP240" s="494" t="str">
        <f t="shared" si="456"/>
        <v/>
      </c>
      <c r="AQ240" s="494" t="str">
        <f t="shared" si="456"/>
        <v/>
      </c>
      <c r="AR240" s="494" t="str">
        <f t="shared" si="456"/>
        <v/>
      </c>
      <c r="AS240" s="720" t="str">
        <f t="shared" si="456"/>
        <v/>
      </c>
      <c r="AU240" s="1369"/>
      <c r="AW240" s="1412" t="str">
        <f t="shared" si="381"/>
        <v>Price</v>
      </c>
      <c r="AX240" s="1413" t="str">
        <f t="shared" si="381"/>
        <v>[Service]</v>
      </c>
      <c r="AY240" s="1414" t="str">
        <f t="shared" si="345"/>
        <v>[Price]</v>
      </c>
      <c r="AZ240" s="1415" t="str">
        <f t="shared" si="437"/>
        <v>-</v>
      </c>
      <c r="BA240" s="1415" t="str">
        <f t="shared" si="437"/>
        <v>-</v>
      </c>
      <c r="BB240" s="1415" t="str">
        <f t="shared" si="437"/>
        <v>-</v>
      </c>
      <c r="BC240" s="1415" t="str">
        <f t="shared" si="437"/>
        <v>-</v>
      </c>
      <c r="BD240" s="1415" t="str">
        <f t="shared" si="347"/>
        <v>-</v>
      </c>
      <c r="BE240" s="1415" t="str">
        <f t="shared" si="348"/>
        <v>-</v>
      </c>
      <c r="BF240" s="1415" t="str">
        <f t="shared" si="349"/>
        <v>-</v>
      </c>
      <c r="BG240" s="1416" t="str">
        <f t="shared" si="350"/>
        <v>-</v>
      </c>
      <c r="BH240" s="1417" t="str">
        <f t="shared" si="351"/>
        <v>-</v>
      </c>
      <c r="BI240" s="1417" t="str">
        <f t="shared" si="352"/>
        <v>-</v>
      </c>
      <c r="BJ240" s="1417" t="str">
        <f t="shared" si="353"/>
        <v>-</v>
      </c>
      <c r="BK240" s="1417" t="str">
        <f t="shared" si="354"/>
        <v>-</v>
      </c>
      <c r="BL240" s="1418" t="str">
        <f t="shared" si="355"/>
        <v>-</v>
      </c>
      <c r="BM240" s="1417" t="str">
        <f t="shared" si="356"/>
        <v>-</v>
      </c>
      <c r="BN240" s="1417" t="str">
        <f t="shared" si="357"/>
        <v>-</v>
      </c>
      <c r="BO240" s="1417" t="str">
        <f t="shared" si="358"/>
        <v>-</v>
      </c>
      <c r="BP240" s="1417" t="str">
        <f t="shared" si="359"/>
        <v>-</v>
      </c>
      <c r="BQ240" s="1419" t="str">
        <f t="shared" si="360"/>
        <v>-</v>
      </c>
      <c r="BR240" s="1378"/>
      <c r="BS240" s="1420"/>
      <c r="BT240" s="1421"/>
      <c r="BU240" s="1422"/>
      <c r="BV240" s="1423"/>
      <c r="BW240" s="1378"/>
      <c r="BX240" s="1412" t="str">
        <f t="shared" si="361"/>
        <v>Price</v>
      </c>
      <c r="BY240" s="1413" t="str">
        <f t="shared" si="406"/>
        <v>[Service]</v>
      </c>
      <c r="BZ240" s="1414" t="str">
        <f t="shared" si="407"/>
        <v>[Price]</v>
      </c>
      <c r="CA240" s="1424" t="str">
        <f>IFERROR((S240/R240-1)*(R242/R$13),"-")</f>
        <v>-</v>
      </c>
      <c r="CB240" s="1415" t="str">
        <f>IFERROR((T240/S240-1)*(S242/S$13),"-")</f>
        <v>-</v>
      </c>
      <c r="CC240" s="1415" t="str">
        <f>IFERROR((U240/T240-1)*(T242/T$13),"-")</f>
        <v>-</v>
      </c>
      <c r="CD240" s="1415" t="str">
        <f>IFERROR((V240/U240-1)*(U242/U$13),"-")</f>
        <v>-</v>
      </c>
      <c r="CE240" s="1415" t="str">
        <f t="shared" ref="CE240:CR240" si="457">IFERROR((T240/S240-1)*(S242/S$13),"-")</f>
        <v>-</v>
      </c>
      <c r="CF240" s="1415" t="str">
        <f t="shared" si="457"/>
        <v>-</v>
      </c>
      <c r="CG240" s="1415" t="str">
        <f t="shared" si="457"/>
        <v>-</v>
      </c>
      <c r="CH240" s="1425" t="str">
        <f t="shared" si="457"/>
        <v>-</v>
      </c>
      <c r="CI240" s="1417" t="str">
        <f t="shared" si="457"/>
        <v>-</v>
      </c>
      <c r="CJ240" s="1417" t="str">
        <f t="shared" si="457"/>
        <v>-</v>
      </c>
      <c r="CK240" s="1417" t="str">
        <f t="shared" si="457"/>
        <v>-</v>
      </c>
      <c r="CL240" s="1417" t="str">
        <f t="shared" si="457"/>
        <v>-</v>
      </c>
      <c r="CM240" s="1418" t="str">
        <f t="shared" si="457"/>
        <v>-</v>
      </c>
      <c r="CN240" s="1417" t="str">
        <f t="shared" si="457"/>
        <v>-</v>
      </c>
      <c r="CO240" s="1417" t="str">
        <f t="shared" si="457"/>
        <v>-</v>
      </c>
      <c r="CP240" s="1417" t="str">
        <f t="shared" si="457"/>
        <v>-</v>
      </c>
      <c r="CQ240" s="1417" t="str">
        <f t="shared" si="457"/>
        <v>-</v>
      </c>
      <c r="CR240" s="1419" t="str">
        <f t="shared" si="457"/>
        <v>-</v>
      </c>
      <c r="CS240" s="1378"/>
      <c r="CT240" s="1412" t="str">
        <f t="shared" si="341"/>
        <v>Price</v>
      </c>
      <c r="CU240" s="1413" t="str">
        <f t="shared" si="342"/>
        <v>[Service]</v>
      </c>
      <c r="CV240" s="1426" t="str">
        <f t="shared" si="343"/>
        <v>[Price]</v>
      </c>
      <c r="CW240" s="1427" t="str">
        <f t="shared" si="363"/>
        <v>-</v>
      </c>
      <c r="CX240" s="1417" t="str">
        <f t="shared" si="364"/>
        <v>-</v>
      </c>
      <c r="CY240" s="1417" t="str">
        <f t="shared" si="365"/>
        <v>-</v>
      </c>
      <c r="CZ240" s="1418" t="str">
        <f t="shared" si="366"/>
        <v>-</v>
      </c>
      <c r="DA240" s="1417" t="str">
        <f t="shared" si="367"/>
        <v>-</v>
      </c>
      <c r="DB240" s="1417" t="str">
        <f t="shared" si="368"/>
        <v>-</v>
      </c>
      <c r="DC240" s="1417" t="str">
        <f t="shared" si="369"/>
        <v>-</v>
      </c>
      <c r="DD240" s="1417" t="str">
        <f t="shared" si="370"/>
        <v>-</v>
      </c>
      <c r="DE240" s="1419" t="str">
        <f t="shared" si="371"/>
        <v>-</v>
      </c>
      <c r="DF240" s="1378"/>
      <c r="DG240" s="1412" t="str">
        <f t="shared" si="383"/>
        <v>Price</v>
      </c>
      <c r="DH240" s="1413" t="str">
        <f t="shared" si="383"/>
        <v>[Service]</v>
      </c>
      <c r="DI240" s="1426" t="str">
        <f t="shared" si="383"/>
        <v>[Price]</v>
      </c>
      <c r="DJ240" s="1427" t="str">
        <f t="shared" si="372"/>
        <v>-</v>
      </c>
      <c r="DK240" s="1417" t="str">
        <f t="shared" si="373"/>
        <v>-</v>
      </c>
      <c r="DL240" s="1417" t="str">
        <f t="shared" si="374"/>
        <v>-</v>
      </c>
      <c r="DM240" s="1418" t="str">
        <f t="shared" si="375"/>
        <v>-</v>
      </c>
      <c r="DN240" s="1417" t="str">
        <f t="shared" si="376"/>
        <v>-</v>
      </c>
      <c r="DO240" s="1417" t="str">
        <f t="shared" si="377"/>
        <v>-</v>
      </c>
      <c r="DP240" s="1417" t="str">
        <f t="shared" si="378"/>
        <v>-</v>
      </c>
      <c r="DQ240" s="1419" t="str">
        <f t="shared" si="379"/>
        <v>-</v>
      </c>
    </row>
    <row r="241" spans="4:121">
      <c r="E241" s="742" t="s">
        <v>45</v>
      </c>
      <c r="F241" s="722" t="str">
        <f>+F240</f>
        <v>[Service]</v>
      </c>
      <c r="G241" s="723">
        <f>+G240</f>
        <v>0</v>
      </c>
      <c r="H241" s="723">
        <f>+H240</f>
        <v>0</v>
      </c>
      <c r="I241" s="724" t="str">
        <f>+I240</f>
        <v>[Price]</v>
      </c>
      <c r="J241" s="782" t="s">
        <v>322</v>
      </c>
      <c r="K241" s="725"/>
      <c r="L241" s="726"/>
      <c r="M241" s="726"/>
      <c r="N241" s="727"/>
      <c r="O241" s="786"/>
      <c r="P241" s="787"/>
      <c r="Q241" s="786"/>
      <c r="R241" s="786"/>
      <c r="S241" s="786"/>
      <c r="T241" s="786"/>
      <c r="U241" s="786"/>
      <c r="V241" s="786"/>
      <c r="W241" s="786"/>
      <c r="X241" s="787"/>
      <c r="Y241" s="786"/>
      <c r="Z241" s="786"/>
      <c r="AA241" s="786"/>
      <c r="AB241" s="786"/>
      <c r="AC241" s="787"/>
      <c r="AD241" s="786"/>
      <c r="AE241" s="786"/>
      <c r="AF241" s="786"/>
      <c r="AG241" s="788"/>
      <c r="AH241" s="823"/>
      <c r="AI241" s="745"/>
      <c r="AJ241" s="728"/>
      <c r="AK241" s="729"/>
      <c r="AL241" s="729"/>
      <c r="AM241" s="729"/>
      <c r="AN241" s="729"/>
      <c r="AO241" s="730"/>
      <c r="AP241" s="74"/>
      <c r="AQ241" s="74"/>
      <c r="AR241" s="74"/>
      <c r="AS241" s="106"/>
      <c r="AW241" s="1392" t="str">
        <f t="shared" si="381"/>
        <v>Qty</v>
      </c>
      <c r="AX241" s="1393" t="str">
        <f t="shared" si="381"/>
        <v>[Service]</v>
      </c>
      <c r="AY241" s="1394" t="str">
        <f t="shared" si="345"/>
        <v>[Price]</v>
      </c>
      <c r="AZ241" s="1395" t="str">
        <f t="shared" si="437"/>
        <v>-</v>
      </c>
      <c r="BA241" s="1395" t="str">
        <f t="shared" si="437"/>
        <v>-</v>
      </c>
      <c r="BB241" s="1395" t="str">
        <f t="shared" si="437"/>
        <v>-</v>
      </c>
      <c r="BC241" s="1395" t="str">
        <f t="shared" si="437"/>
        <v>-</v>
      </c>
      <c r="BD241" s="1395" t="str">
        <f t="shared" si="347"/>
        <v>-</v>
      </c>
      <c r="BE241" s="1395" t="str">
        <f t="shared" si="348"/>
        <v>-</v>
      </c>
      <c r="BF241" s="1395" t="str">
        <f t="shared" si="349"/>
        <v>-</v>
      </c>
      <c r="BG241" s="1396" t="str">
        <f t="shared" si="350"/>
        <v>-</v>
      </c>
      <c r="BH241" s="1395" t="str">
        <f t="shared" si="351"/>
        <v>-</v>
      </c>
      <c r="BI241" s="1395" t="str">
        <f t="shared" si="352"/>
        <v>-</v>
      </c>
      <c r="BJ241" s="1395" t="str">
        <f t="shared" si="353"/>
        <v>-</v>
      </c>
      <c r="BK241" s="1395" t="str">
        <f t="shared" si="354"/>
        <v>-</v>
      </c>
      <c r="BL241" s="1397" t="str">
        <f t="shared" si="355"/>
        <v>-</v>
      </c>
      <c r="BM241" s="1395" t="str">
        <f t="shared" si="356"/>
        <v>-</v>
      </c>
      <c r="BN241" s="1395" t="str">
        <f t="shared" si="357"/>
        <v>-</v>
      </c>
      <c r="BO241" s="1395" t="str">
        <f t="shared" si="358"/>
        <v>-</v>
      </c>
      <c r="BP241" s="1395" t="str">
        <f t="shared" si="359"/>
        <v>-</v>
      </c>
      <c r="BQ241" s="1398" t="str">
        <f t="shared" si="360"/>
        <v>-</v>
      </c>
      <c r="BR241" s="1378"/>
      <c r="BS241" s="1329"/>
      <c r="BT241" s="1399"/>
      <c r="BU241" s="1331"/>
      <c r="BV241" s="1400"/>
      <c r="BW241" s="1378"/>
      <c r="BX241" s="1392" t="str">
        <f t="shared" si="361"/>
        <v>Qty</v>
      </c>
      <c r="BY241" s="1393" t="str">
        <f t="shared" si="406"/>
        <v>[Service]</v>
      </c>
      <c r="BZ241" s="1394" t="str">
        <f t="shared" si="407"/>
        <v>[Price]</v>
      </c>
      <c r="CA241" s="1401" t="str">
        <f>IFERROR((S241/R241-1)*(R242/R$13),"-")</f>
        <v>-</v>
      </c>
      <c r="CB241" s="1395" t="str">
        <f>IFERROR((T241/S241-1)*(S242/S$13),"-")</f>
        <v>-</v>
      </c>
      <c r="CC241" s="1395" t="str">
        <f>IFERROR((U241/T241-1)*(T242/T$13),"-")</f>
        <v>-</v>
      </c>
      <c r="CD241" s="1395" t="str">
        <f>IFERROR((V241/U241-1)*(U242/U$13),"-")</f>
        <v>-</v>
      </c>
      <c r="CE241" s="1395" t="str">
        <f t="shared" ref="CE241:CR241" si="458">IFERROR((T241/S241-1)*(S242/S$13),"-")</f>
        <v>-</v>
      </c>
      <c r="CF241" s="1395" t="str">
        <f t="shared" si="458"/>
        <v>-</v>
      </c>
      <c r="CG241" s="1395" t="str">
        <f t="shared" si="458"/>
        <v>-</v>
      </c>
      <c r="CH241" s="1397" t="str">
        <f t="shared" si="458"/>
        <v>-</v>
      </c>
      <c r="CI241" s="1395" t="str">
        <f t="shared" si="458"/>
        <v>-</v>
      </c>
      <c r="CJ241" s="1395" t="str">
        <f t="shared" si="458"/>
        <v>-</v>
      </c>
      <c r="CK241" s="1395" t="str">
        <f t="shared" si="458"/>
        <v>-</v>
      </c>
      <c r="CL241" s="1395" t="str">
        <f t="shared" si="458"/>
        <v>-</v>
      </c>
      <c r="CM241" s="1397" t="str">
        <f t="shared" si="458"/>
        <v>-</v>
      </c>
      <c r="CN241" s="1395" t="str">
        <f t="shared" si="458"/>
        <v>-</v>
      </c>
      <c r="CO241" s="1395" t="str">
        <f t="shared" si="458"/>
        <v>-</v>
      </c>
      <c r="CP241" s="1395" t="str">
        <f t="shared" si="458"/>
        <v>-</v>
      </c>
      <c r="CQ241" s="1395" t="str">
        <f t="shared" si="458"/>
        <v>-</v>
      </c>
      <c r="CR241" s="1398" t="str">
        <f t="shared" si="458"/>
        <v>-</v>
      </c>
      <c r="CS241" s="1378"/>
      <c r="CT241" s="1392" t="str">
        <f t="shared" si="341"/>
        <v>Qty</v>
      </c>
      <c r="CU241" s="1393" t="str">
        <f t="shared" si="342"/>
        <v>[Service]</v>
      </c>
      <c r="CV241" s="1393" t="str">
        <f t="shared" si="343"/>
        <v>[Price]</v>
      </c>
      <c r="CW241" s="1401" t="str">
        <f t="shared" si="363"/>
        <v>-</v>
      </c>
      <c r="CX241" s="1395" t="str">
        <f t="shared" si="364"/>
        <v>-</v>
      </c>
      <c r="CY241" s="1395" t="str">
        <f t="shared" si="365"/>
        <v>-</v>
      </c>
      <c r="CZ241" s="1397" t="str">
        <f t="shared" si="366"/>
        <v>-</v>
      </c>
      <c r="DA241" s="1395" t="str">
        <f t="shared" si="367"/>
        <v>-</v>
      </c>
      <c r="DB241" s="1395" t="str">
        <f t="shared" si="368"/>
        <v>-</v>
      </c>
      <c r="DC241" s="1395" t="str">
        <f t="shared" si="369"/>
        <v>-</v>
      </c>
      <c r="DD241" s="1395" t="str">
        <f t="shared" si="370"/>
        <v>-</v>
      </c>
      <c r="DE241" s="1398" t="str">
        <f t="shared" si="371"/>
        <v>-</v>
      </c>
      <c r="DF241" s="1378"/>
      <c r="DG241" s="1392" t="str">
        <f t="shared" si="383"/>
        <v>Qty</v>
      </c>
      <c r="DH241" s="1393" t="str">
        <f t="shared" si="383"/>
        <v>[Service]</v>
      </c>
      <c r="DI241" s="1393" t="str">
        <f t="shared" si="383"/>
        <v>[Price]</v>
      </c>
      <c r="DJ241" s="1401" t="str">
        <f t="shared" si="372"/>
        <v>-</v>
      </c>
      <c r="DK241" s="1395" t="str">
        <f t="shared" si="373"/>
        <v>-</v>
      </c>
      <c r="DL241" s="1395" t="str">
        <f t="shared" si="374"/>
        <v>-</v>
      </c>
      <c r="DM241" s="1397" t="str">
        <f t="shared" si="375"/>
        <v>-</v>
      </c>
      <c r="DN241" s="1395" t="str">
        <f t="shared" si="376"/>
        <v>-</v>
      </c>
      <c r="DO241" s="1395" t="str">
        <f t="shared" si="377"/>
        <v>-</v>
      </c>
      <c r="DP241" s="1395" t="str">
        <f t="shared" si="378"/>
        <v>-</v>
      </c>
      <c r="DQ241" s="1398" t="str">
        <f t="shared" si="379"/>
        <v>-</v>
      </c>
    </row>
    <row r="242" spans="4:121" ht="12.75" thickBot="1">
      <c r="E242" s="743" t="s">
        <v>46</v>
      </c>
      <c r="F242" s="732" t="str">
        <f>+F240</f>
        <v>[Service]</v>
      </c>
      <c r="G242" s="733">
        <f>+G240</f>
        <v>0</v>
      </c>
      <c r="H242" s="733">
        <f>+H240</f>
        <v>0</v>
      </c>
      <c r="I242" s="734" t="str">
        <f>+I240</f>
        <v>[Price]</v>
      </c>
      <c r="J242" s="735" t="s">
        <v>344</v>
      </c>
      <c r="K242" s="736">
        <f t="shared" ref="K242:AG242" si="459">K240*K241/10^6</f>
        <v>0</v>
      </c>
      <c r="L242" s="737">
        <f t="shared" si="459"/>
        <v>0</v>
      </c>
      <c r="M242" s="737">
        <f t="shared" si="459"/>
        <v>0</v>
      </c>
      <c r="N242" s="738">
        <f t="shared" si="459"/>
        <v>0</v>
      </c>
      <c r="O242" s="737">
        <f t="shared" si="459"/>
        <v>0</v>
      </c>
      <c r="P242" s="738">
        <f t="shared" si="459"/>
        <v>0</v>
      </c>
      <c r="Q242" s="737">
        <f t="shared" si="459"/>
        <v>0</v>
      </c>
      <c r="R242" s="737">
        <f t="shared" si="459"/>
        <v>0</v>
      </c>
      <c r="S242" s="737">
        <f t="shared" si="459"/>
        <v>0</v>
      </c>
      <c r="T242" s="737">
        <f t="shared" si="459"/>
        <v>0</v>
      </c>
      <c r="U242" s="737">
        <f t="shared" si="459"/>
        <v>0</v>
      </c>
      <c r="V242" s="737">
        <f t="shared" si="459"/>
        <v>0</v>
      </c>
      <c r="W242" s="737">
        <f t="shared" si="459"/>
        <v>0</v>
      </c>
      <c r="X242" s="738">
        <f t="shared" si="459"/>
        <v>0</v>
      </c>
      <c r="Y242" s="737">
        <f t="shared" si="459"/>
        <v>0</v>
      </c>
      <c r="Z242" s="737">
        <f t="shared" si="459"/>
        <v>0</v>
      </c>
      <c r="AA242" s="737">
        <f t="shared" si="459"/>
        <v>0</v>
      </c>
      <c r="AB242" s="737">
        <f t="shared" si="459"/>
        <v>0</v>
      </c>
      <c r="AC242" s="738">
        <f t="shared" si="459"/>
        <v>0</v>
      </c>
      <c r="AD242" s="737">
        <f t="shared" si="459"/>
        <v>0</v>
      </c>
      <c r="AE242" s="737">
        <f t="shared" si="459"/>
        <v>0</v>
      </c>
      <c r="AF242" s="737">
        <f t="shared" si="459"/>
        <v>0</v>
      </c>
      <c r="AG242" s="739">
        <f t="shared" si="459"/>
        <v>0</v>
      </c>
      <c r="AH242" s="823"/>
      <c r="AI242" s="745"/>
      <c r="AJ242" s="741"/>
      <c r="AK242" s="729"/>
      <c r="AL242" s="729"/>
      <c r="AM242" s="729"/>
      <c r="AN242" s="729"/>
      <c r="AO242" s="730"/>
      <c r="AP242" s="74"/>
      <c r="AQ242" s="74"/>
      <c r="AR242" s="74"/>
      <c r="AS242" s="106"/>
      <c r="AW242" s="1428" t="str">
        <f t="shared" si="381"/>
        <v>Rev</v>
      </c>
      <c r="AX242" s="1429" t="str">
        <f t="shared" si="381"/>
        <v>[Service]</v>
      </c>
      <c r="AY242" s="1430" t="str">
        <f t="shared" si="345"/>
        <v>[Price]</v>
      </c>
      <c r="AZ242" s="1431" t="str">
        <f t="shared" si="437"/>
        <v>-</v>
      </c>
      <c r="BA242" s="1431" t="str">
        <f t="shared" si="437"/>
        <v>-</v>
      </c>
      <c r="BB242" s="1431" t="str">
        <f t="shared" si="437"/>
        <v>-</v>
      </c>
      <c r="BC242" s="1431" t="str">
        <f t="shared" si="437"/>
        <v>-</v>
      </c>
      <c r="BD242" s="1431" t="str">
        <f t="shared" si="347"/>
        <v>-</v>
      </c>
      <c r="BE242" s="1431" t="str">
        <f t="shared" si="348"/>
        <v>-</v>
      </c>
      <c r="BF242" s="1431" t="str">
        <f t="shared" si="349"/>
        <v>-</v>
      </c>
      <c r="BG242" s="1432" t="str">
        <f t="shared" si="350"/>
        <v>-</v>
      </c>
      <c r="BH242" s="1431" t="str">
        <f t="shared" si="351"/>
        <v>-</v>
      </c>
      <c r="BI242" s="1431" t="str">
        <f t="shared" si="352"/>
        <v>-</v>
      </c>
      <c r="BJ242" s="1431" t="str">
        <f t="shared" si="353"/>
        <v>-</v>
      </c>
      <c r="BK242" s="1431" t="str">
        <f t="shared" si="354"/>
        <v>-</v>
      </c>
      <c r="BL242" s="1433" t="str">
        <f t="shared" si="355"/>
        <v>-</v>
      </c>
      <c r="BM242" s="1431" t="str">
        <f t="shared" si="356"/>
        <v>-</v>
      </c>
      <c r="BN242" s="1431" t="str">
        <f t="shared" si="357"/>
        <v>-</v>
      </c>
      <c r="BO242" s="1431" t="str">
        <f t="shared" si="358"/>
        <v>-</v>
      </c>
      <c r="BP242" s="1431" t="str">
        <f t="shared" si="359"/>
        <v>-</v>
      </c>
      <c r="BQ242" s="1434" t="str">
        <f t="shared" si="360"/>
        <v>-</v>
      </c>
      <c r="BR242" s="1378"/>
      <c r="BS242" s="1407"/>
      <c r="BT242" s="1408"/>
      <c r="BU242" s="1409"/>
      <c r="BV242" s="1410"/>
      <c r="BW242" s="1378"/>
      <c r="BX242" s="1428" t="str">
        <f t="shared" si="361"/>
        <v>Rev</v>
      </c>
      <c r="BY242" s="1429" t="str">
        <f t="shared" si="406"/>
        <v>[Service]</v>
      </c>
      <c r="BZ242" s="1430" t="str">
        <f t="shared" si="407"/>
        <v>[Price]</v>
      </c>
      <c r="CA242" s="1435" t="str">
        <f>IFERROR((S242/R242-1)*(R242/R$13),"-")</f>
        <v>-</v>
      </c>
      <c r="CB242" s="1431" t="str">
        <f>IFERROR((T242/S242-1)*(S242/S$13),"-")</f>
        <v>-</v>
      </c>
      <c r="CC242" s="1431" t="str">
        <f>IFERROR((U242/T242-1)*(T242/T$13),"-")</f>
        <v>-</v>
      </c>
      <c r="CD242" s="1431" t="str">
        <f>IFERROR((V242/U242-1)*(U242/U$13),"-")</f>
        <v>-</v>
      </c>
      <c r="CE242" s="1431" t="str">
        <f t="shared" ref="CE242:CR242" si="460">IFERROR((T242/S242-1)*(S242/S$13),"-")</f>
        <v>-</v>
      </c>
      <c r="CF242" s="1431" t="str">
        <f t="shared" si="460"/>
        <v>-</v>
      </c>
      <c r="CG242" s="1431" t="str">
        <f t="shared" si="460"/>
        <v>-</v>
      </c>
      <c r="CH242" s="1433" t="str">
        <f t="shared" si="460"/>
        <v>-</v>
      </c>
      <c r="CI242" s="1431" t="str">
        <f t="shared" si="460"/>
        <v>-</v>
      </c>
      <c r="CJ242" s="1431" t="str">
        <f t="shared" si="460"/>
        <v>-</v>
      </c>
      <c r="CK242" s="1431" t="str">
        <f t="shared" si="460"/>
        <v>-</v>
      </c>
      <c r="CL242" s="1431" t="str">
        <f t="shared" si="460"/>
        <v>-</v>
      </c>
      <c r="CM242" s="1433" t="str">
        <f t="shared" si="460"/>
        <v>-</v>
      </c>
      <c r="CN242" s="1431" t="str">
        <f t="shared" si="460"/>
        <v>-</v>
      </c>
      <c r="CO242" s="1431" t="str">
        <f t="shared" si="460"/>
        <v>-</v>
      </c>
      <c r="CP242" s="1431" t="str">
        <f t="shared" si="460"/>
        <v>-</v>
      </c>
      <c r="CQ242" s="1431" t="str">
        <f t="shared" si="460"/>
        <v>-</v>
      </c>
      <c r="CR242" s="1434" t="str">
        <f t="shared" si="460"/>
        <v>-</v>
      </c>
      <c r="CS242" s="1378"/>
      <c r="CT242" s="1428" t="str">
        <f t="shared" si="341"/>
        <v>Rev</v>
      </c>
      <c r="CU242" s="1429" t="str">
        <f t="shared" si="342"/>
        <v>[Service]</v>
      </c>
      <c r="CV242" s="1429" t="str">
        <f t="shared" si="343"/>
        <v>[Price]</v>
      </c>
      <c r="CW242" s="1435" t="str">
        <f t="shared" si="363"/>
        <v>-</v>
      </c>
      <c r="CX242" s="1431" t="str">
        <f t="shared" si="364"/>
        <v>-</v>
      </c>
      <c r="CY242" s="1431" t="str">
        <f t="shared" si="365"/>
        <v>-</v>
      </c>
      <c r="CZ242" s="1433" t="str">
        <f t="shared" si="366"/>
        <v>-</v>
      </c>
      <c r="DA242" s="1431" t="str">
        <f t="shared" si="367"/>
        <v>-</v>
      </c>
      <c r="DB242" s="1431" t="str">
        <f t="shared" si="368"/>
        <v>-</v>
      </c>
      <c r="DC242" s="1431" t="str">
        <f t="shared" si="369"/>
        <v>-</v>
      </c>
      <c r="DD242" s="1431" t="str">
        <f t="shared" si="370"/>
        <v>-</v>
      </c>
      <c r="DE242" s="1434" t="str">
        <f t="shared" si="371"/>
        <v>-</v>
      </c>
      <c r="DF242" s="1378"/>
      <c r="DG242" s="1428" t="str">
        <f t="shared" si="383"/>
        <v>Rev</v>
      </c>
      <c r="DH242" s="1429" t="str">
        <f t="shared" si="383"/>
        <v>[Service]</v>
      </c>
      <c r="DI242" s="1429" t="str">
        <f t="shared" si="383"/>
        <v>[Price]</v>
      </c>
      <c r="DJ242" s="1435" t="str">
        <f t="shared" si="372"/>
        <v>-</v>
      </c>
      <c r="DK242" s="1431" t="str">
        <f t="shared" si="373"/>
        <v>-</v>
      </c>
      <c r="DL242" s="1431" t="str">
        <f t="shared" si="374"/>
        <v>-</v>
      </c>
      <c r="DM242" s="1433" t="str">
        <f t="shared" si="375"/>
        <v>-</v>
      </c>
      <c r="DN242" s="1431" t="str">
        <f t="shared" si="376"/>
        <v>-</v>
      </c>
      <c r="DO242" s="1431" t="str">
        <f t="shared" si="377"/>
        <v>-</v>
      </c>
      <c r="DP242" s="1431" t="str">
        <f t="shared" si="378"/>
        <v>-</v>
      </c>
      <c r="DQ242" s="1434" t="str">
        <f t="shared" si="379"/>
        <v>-</v>
      </c>
    </row>
    <row r="243" spans="4:121">
      <c r="D243" s="70">
        <f>D240+1</f>
        <v>59</v>
      </c>
      <c r="E243" s="713" t="s">
        <v>44</v>
      </c>
      <c r="F243" s="789" t="s">
        <v>27</v>
      </c>
      <c r="G243" s="789"/>
      <c r="H243" s="789"/>
      <c r="I243" s="781" t="s">
        <v>318</v>
      </c>
      <c r="J243" s="781" t="s">
        <v>345</v>
      </c>
      <c r="K243" s="714"/>
      <c r="L243" s="715"/>
      <c r="M243" s="715"/>
      <c r="N243" s="716"/>
      <c r="O243" s="783"/>
      <c r="P243" s="784"/>
      <c r="Q243" s="783"/>
      <c r="R243" s="783"/>
      <c r="S243" s="783"/>
      <c r="T243" s="783"/>
      <c r="U243" s="783"/>
      <c r="V243" s="783"/>
      <c r="W243" s="783"/>
      <c r="X243" s="784"/>
      <c r="Y243" s="783"/>
      <c r="Z243" s="783"/>
      <c r="AA243" s="783"/>
      <c r="AB243" s="783"/>
      <c r="AC243" s="784"/>
      <c r="AD243" s="783"/>
      <c r="AE243" s="783"/>
      <c r="AF243" s="783"/>
      <c r="AG243" s="785"/>
      <c r="AI243" s="745"/>
      <c r="AJ243" s="717" t="str">
        <f t="shared" ref="AJ243:AS243" si="461">IFERROR((X243-W243)/W243,"")</f>
        <v/>
      </c>
      <c r="AK243" s="718" t="str">
        <f t="shared" si="461"/>
        <v/>
      </c>
      <c r="AL243" s="718" t="str">
        <f t="shared" si="461"/>
        <v/>
      </c>
      <c r="AM243" s="718" t="str">
        <f t="shared" si="461"/>
        <v/>
      </c>
      <c r="AN243" s="718" t="str">
        <f t="shared" si="461"/>
        <v/>
      </c>
      <c r="AO243" s="719" t="str">
        <f t="shared" si="461"/>
        <v/>
      </c>
      <c r="AP243" s="494" t="str">
        <f t="shared" si="461"/>
        <v/>
      </c>
      <c r="AQ243" s="494" t="str">
        <f t="shared" si="461"/>
        <v/>
      </c>
      <c r="AR243" s="494" t="str">
        <f t="shared" si="461"/>
        <v/>
      </c>
      <c r="AS243" s="720" t="str">
        <f t="shared" si="461"/>
        <v/>
      </c>
      <c r="AU243" s="1369"/>
      <c r="AW243" s="1412" t="str">
        <f t="shared" si="381"/>
        <v>Price</v>
      </c>
      <c r="AX243" s="1413" t="str">
        <f t="shared" si="381"/>
        <v>[Service]</v>
      </c>
      <c r="AY243" s="1414" t="str">
        <f t="shared" si="345"/>
        <v>[Price]</v>
      </c>
      <c r="AZ243" s="1415" t="str">
        <f t="shared" si="437"/>
        <v>-</v>
      </c>
      <c r="BA243" s="1415" t="str">
        <f t="shared" si="437"/>
        <v>-</v>
      </c>
      <c r="BB243" s="1415" t="str">
        <f t="shared" si="437"/>
        <v>-</v>
      </c>
      <c r="BC243" s="1415" t="str">
        <f t="shared" si="437"/>
        <v>-</v>
      </c>
      <c r="BD243" s="1415" t="str">
        <f t="shared" si="347"/>
        <v>-</v>
      </c>
      <c r="BE243" s="1415" t="str">
        <f t="shared" si="348"/>
        <v>-</v>
      </c>
      <c r="BF243" s="1415" t="str">
        <f t="shared" si="349"/>
        <v>-</v>
      </c>
      <c r="BG243" s="1416" t="str">
        <f t="shared" si="350"/>
        <v>-</v>
      </c>
      <c r="BH243" s="1417" t="str">
        <f t="shared" si="351"/>
        <v>-</v>
      </c>
      <c r="BI243" s="1417" t="str">
        <f t="shared" si="352"/>
        <v>-</v>
      </c>
      <c r="BJ243" s="1417" t="str">
        <f t="shared" si="353"/>
        <v>-</v>
      </c>
      <c r="BK243" s="1417" t="str">
        <f t="shared" si="354"/>
        <v>-</v>
      </c>
      <c r="BL243" s="1418" t="str">
        <f t="shared" si="355"/>
        <v>-</v>
      </c>
      <c r="BM243" s="1417" t="str">
        <f t="shared" si="356"/>
        <v>-</v>
      </c>
      <c r="BN243" s="1417" t="str">
        <f t="shared" si="357"/>
        <v>-</v>
      </c>
      <c r="BO243" s="1417" t="str">
        <f t="shared" si="358"/>
        <v>-</v>
      </c>
      <c r="BP243" s="1417" t="str">
        <f t="shared" si="359"/>
        <v>-</v>
      </c>
      <c r="BQ243" s="1419" t="str">
        <f t="shared" si="360"/>
        <v>-</v>
      </c>
      <c r="BR243" s="1378"/>
      <c r="BS243" s="1420"/>
      <c r="BT243" s="1421"/>
      <c r="BU243" s="1422"/>
      <c r="BV243" s="1423"/>
      <c r="BW243" s="1378"/>
      <c r="BX243" s="1412" t="str">
        <f t="shared" si="361"/>
        <v>Price</v>
      </c>
      <c r="BY243" s="1413" t="str">
        <f t="shared" si="406"/>
        <v>[Service]</v>
      </c>
      <c r="BZ243" s="1414" t="str">
        <f t="shared" si="407"/>
        <v>[Price]</v>
      </c>
      <c r="CA243" s="1424" t="str">
        <f>IFERROR((S243/R243-1)*(R245/R$13),"-")</f>
        <v>-</v>
      </c>
      <c r="CB243" s="1415" t="str">
        <f>IFERROR((T243/S243-1)*(S245/S$13),"-")</f>
        <v>-</v>
      </c>
      <c r="CC243" s="1415" t="str">
        <f>IFERROR((U243/T243-1)*(T245/T$13),"-")</f>
        <v>-</v>
      </c>
      <c r="CD243" s="1415" t="str">
        <f>IFERROR((V243/U243-1)*(U245/U$13),"-")</f>
        <v>-</v>
      </c>
      <c r="CE243" s="1415" t="str">
        <f t="shared" ref="CE243:CR243" si="462">IFERROR((T243/S243-1)*(S245/S$13),"-")</f>
        <v>-</v>
      </c>
      <c r="CF243" s="1415" t="str">
        <f t="shared" si="462"/>
        <v>-</v>
      </c>
      <c r="CG243" s="1415" t="str">
        <f t="shared" si="462"/>
        <v>-</v>
      </c>
      <c r="CH243" s="1425" t="str">
        <f t="shared" si="462"/>
        <v>-</v>
      </c>
      <c r="CI243" s="1417" t="str">
        <f t="shared" si="462"/>
        <v>-</v>
      </c>
      <c r="CJ243" s="1417" t="str">
        <f t="shared" si="462"/>
        <v>-</v>
      </c>
      <c r="CK243" s="1417" t="str">
        <f t="shared" si="462"/>
        <v>-</v>
      </c>
      <c r="CL243" s="1417" t="str">
        <f t="shared" si="462"/>
        <v>-</v>
      </c>
      <c r="CM243" s="1418" t="str">
        <f t="shared" si="462"/>
        <v>-</v>
      </c>
      <c r="CN243" s="1417" t="str">
        <f t="shared" si="462"/>
        <v>-</v>
      </c>
      <c r="CO243" s="1417" t="str">
        <f t="shared" si="462"/>
        <v>-</v>
      </c>
      <c r="CP243" s="1417" t="str">
        <f t="shared" si="462"/>
        <v>-</v>
      </c>
      <c r="CQ243" s="1417" t="str">
        <f t="shared" si="462"/>
        <v>-</v>
      </c>
      <c r="CR243" s="1419" t="str">
        <f t="shared" si="462"/>
        <v>-</v>
      </c>
      <c r="CS243" s="1378"/>
      <c r="CT243" s="1412" t="str">
        <f t="shared" si="341"/>
        <v>Price</v>
      </c>
      <c r="CU243" s="1413" t="str">
        <f t="shared" si="342"/>
        <v>[Service]</v>
      </c>
      <c r="CV243" s="1426" t="str">
        <f t="shared" si="343"/>
        <v>[Price]</v>
      </c>
      <c r="CW243" s="1427" t="str">
        <f t="shared" si="363"/>
        <v>-</v>
      </c>
      <c r="CX243" s="1417" t="str">
        <f t="shared" si="364"/>
        <v>-</v>
      </c>
      <c r="CY243" s="1417" t="str">
        <f t="shared" si="365"/>
        <v>-</v>
      </c>
      <c r="CZ243" s="1418" t="str">
        <f t="shared" si="366"/>
        <v>-</v>
      </c>
      <c r="DA243" s="1417" t="str">
        <f t="shared" si="367"/>
        <v>-</v>
      </c>
      <c r="DB243" s="1417" t="str">
        <f t="shared" si="368"/>
        <v>-</v>
      </c>
      <c r="DC243" s="1417" t="str">
        <f t="shared" si="369"/>
        <v>-</v>
      </c>
      <c r="DD243" s="1417" t="str">
        <f t="shared" si="370"/>
        <v>-</v>
      </c>
      <c r="DE243" s="1419" t="str">
        <f t="shared" si="371"/>
        <v>-</v>
      </c>
      <c r="DF243" s="1378"/>
      <c r="DG243" s="1412" t="str">
        <f t="shared" si="383"/>
        <v>Price</v>
      </c>
      <c r="DH243" s="1413" t="str">
        <f t="shared" si="383"/>
        <v>[Service]</v>
      </c>
      <c r="DI243" s="1426" t="str">
        <f t="shared" si="383"/>
        <v>[Price]</v>
      </c>
      <c r="DJ243" s="1427" t="str">
        <f t="shared" si="372"/>
        <v>-</v>
      </c>
      <c r="DK243" s="1417" t="str">
        <f t="shared" si="373"/>
        <v>-</v>
      </c>
      <c r="DL243" s="1417" t="str">
        <f t="shared" si="374"/>
        <v>-</v>
      </c>
      <c r="DM243" s="1418" t="str">
        <f t="shared" si="375"/>
        <v>-</v>
      </c>
      <c r="DN243" s="1417" t="str">
        <f t="shared" si="376"/>
        <v>-</v>
      </c>
      <c r="DO243" s="1417" t="str">
        <f t="shared" si="377"/>
        <v>-</v>
      </c>
      <c r="DP243" s="1417" t="str">
        <f t="shared" si="378"/>
        <v>-</v>
      </c>
      <c r="DQ243" s="1419" t="str">
        <f t="shared" si="379"/>
        <v>-</v>
      </c>
    </row>
    <row r="244" spans="4:121">
      <c r="E244" s="742" t="s">
        <v>45</v>
      </c>
      <c r="F244" s="722" t="str">
        <f>+F243</f>
        <v>[Service]</v>
      </c>
      <c r="G244" s="723">
        <f>+G243</f>
        <v>0</v>
      </c>
      <c r="H244" s="723">
        <f>+H243</f>
        <v>0</v>
      </c>
      <c r="I244" s="724" t="str">
        <f>+I243</f>
        <v>[Price]</v>
      </c>
      <c r="J244" s="782" t="s">
        <v>322</v>
      </c>
      <c r="K244" s="725"/>
      <c r="L244" s="726"/>
      <c r="M244" s="726"/>
      <c r="N244" s="727"/>
      <c r="O244" s="786"/>
      <c r="P244" s="787"/>
      <c r="Q244" s="786"/>
      <c r="R244" s="786"/>
      <c r="S244" s="786"/>
      <c r="T244" s="786"/>
      <c r="U244" s="786"/>
      <c r="V244" s="786"/>
      <c r="W244" s="786"/>
      <c r="X244" s="787"/>
      <c r="Y244" s="786"/>
      <c r="Z244" s="786"/>
      <c r="AA244" s="786"/>
      <c r="AB244" s="786"/>
      <c r="AC244" s="787"/>
      <c r="AD244" s="786"/>
      <c r="AE244" s="786"/>
      <c r="AF244" s="786"/>
      <c r="AG244" s="788"/>
      <c r="AH244" s="823"/>
      <c r="AI244" s="745"/>
      <c r="AJ244" s="728"/>
      <c r="AK244" s="729"/>
      <c r="AL244" s="729"/>
      <c r="AM244" s="729"/>
      <c r="AN244" s="729"/>
      <c r="AO244" s="730"/>
      <c r="AP244" s="74"/>
      <c r="AQ244" s="74"/>
      <c r="AR244" s="74"/>
      <c r="AS244" s="106"/>
      <c r="AW244" s="1392" t="str">
        <f t="shared" si="381"/>
        <v>Qty</v>
      </c>
      <c r="AX244" s="1393" t="str">
        <f t="shared" si="381"/>
        <v>[Service]</v>
      </c>
      <c r="AY244" s="1394" t="str">
        <f t="shared" si="345"/>
        <v>[Price]</v>
      </c>
      <c r="AZ244" s="1395" t="str">
        <f t="shared" si="437"/>
        <v>-</v>
      </c>
      <c r="BA244" s="1395" t="str">
        <f t="shared" si="437"/>
        <v>-</v>
      </c>
      <c r="BB244" s="1395" t="str">
        <f t="shared" si="437"/>
        <v>-</v>
      </c>
      <c r="BC244" s="1395" t="str">
        <f t="shared" si="437"/>
        <v>-</v>
      </c>
      <c r="BD244" s="1395" t="str">
        <f t="shared" si="347"/>
        <v>-</v>
      </c>
      <c r="BE244" s="1395" t="str">
        <f t="shared" si="348"/>
        <v>-</v>
      </c>
      <c r="BF244" s="1395" t="str">
        <f t="shared" si="349"/>
        <v>-</v>
      </c>
      <c r="BG244" s="1396" t="str">
        <f t="shared" si="350"/>
        <v>-</v>
      </c>
      <c r="BH244" s="1395" t="str">
        <f t="shared" si="351"/>
        <v>-</v>
      </c>
      <c r="BI244" s="1395" t="str">
        <f t="shared" si="352"/>
        <v>-</v>
      </c>
      <c r="BJ244" s="1395" t="str">
        <f t="shared" si="353"/>
        <v>-</v>
      </c>
      <c r="BK244" s="1395" t="str">
        <f t="shared" si="354"/>
        <v>-</v>
      </c>
      <c r="BL244" s="1397" t="str">
        <f t="shared" si="355"/>
        <v>-</v>
      </c>
      <c r="BM244" s="1395" t="str">
        <f t="shared" si="356"/>
        <v>-</v>
      </c>
      <c r="BN244" s="1395" t="str">
        <f t="shared" si="357"/>
        <v>-</v>
      </c>
      <c r="BO244" s="1395" t="str">
        <f t="shared" si="358"/>
        <v>-</v>
      </c>
      <c r="BP244" s="1395" t="str">
        <f t="shared" si="359"/>
        <v>-</v>
      </c>
      <c r="BQ244" s="1398" t="str">
        <f t="shared" si="360"/>
        <v>-</v>
      </c>
      <c r="BR244" s="1378"/>
      <c r="BS244" s="1329"/>
      <c r="BT244" s="1399"/>
      <c r="BU244" s="1331"/>
      <c r="BV244" s="1400"/>
      <c r="BW244" s="1378"/>
      <c r="BX244" s="1392" t="str">
        <f t="shared" si="361"/>
        <v>Qty</v>
      </c>
      <c r="BY244" s="1393" t="str">
        <f t="shared" si="406"/>
        <v>[Service]</v>
      </c>
      <c r="BZ244" s="1394" t="str">
        <f t="shared" si="407"/>
        <v>[Price]</v>
      </c>
      <c r="CA244" s="1401" t="str">
        <f>IFERROR((S244/R244-1)*(R245/R$13),"-")</f>
        <v>-</v>
      </c>
      <c r="CB244" s="1395" t="str">
        <f>IFERROR((T244/S244-1)*(S245/S$13),"-")</f>
        <v>-</v>
      </c>
      <c r="CC244" s="1395" t="str">
        <f>IFERROR((U244/T244-1)*(T245/T$13),"-")</f>
        <v>-</v>
      </c>
      <c r="CD244" s="1395" t="str">
        <f>IFERROR((V244/U244-1)*(U245/U$13),"-")</f>
        <v>-</v>
      </c>
      <c r="CE244" s="1395" t="str">
        <f t="shared" ref="CE244:CR244" si="463">IFERROR((T244/S244-1)*(S245/S$13),"-")</f>
        <v>-</v>
      </c>
      <c r="CF244" s="1395" t="str">
        <f t="shared" si="463"/>
        <v>-</v>
      </c>
      <c r="CG244" s="1395" t="str">
        <f t="shared" si="463"/>
        <v>-</v>
      </c>
      <c r="CH244" s="1397" t="str">
        <f t="shared" si="463"/>
        <v>-</v>
      </c>
      <c r="CI244" s="1395" t="str">
        <f t="shared" si="463"/>
        <v>-</v>
      </c>
      <c r="CJ244" s="1395" t="str">
        <f t="shared" si="463"/>
        <v>-</v>
      </c>
      <c r="CK244" s="1395" t="str">
        <f t="shared" si="463"/>
        <v>-</v>
      </c>
      <c r="CL244" s="1395" t="str">
        <f t="shared" si="463"/>
        <v>-</v>
      </c>
      <c r="CM244" s="1397" t="str">
        <f t="shared" si="463"/>
        <v>-</v>
      </c>
      <c r="CN244" s="1395" t="str">
        <f t="shared" si="463"/>
        <v>-</v>
      </c>
      <c r="CO244" s="1395" t="str">
        <f t="shared" si="463"/>
        <v>-</v>
      </c>
      <c r="CP244" s="1395" t="str">
        <f t="shared" si="463"/>
        <v>-</v>
      </c>
      <c r="CQ244" s="1395" t="str">
        <f t="shared" si="463"/>
        <v>-</v>
      </c>
      <c r="CR244" s="1398" t="str">
        <f t="shared" si="463"/>
        <v>-</v>
      </c>
      <c r="CS244" s="1378"/>
      <c r="CT244" s="1392" t="str">
        <f t="shared" si="341"/>
        <v>Qty</v>
      </c>
      <c r="CU244" s="1393" t="str">
        <f t="shared" si="342"/>
        <v>[Service]</v>
      </c>
      <c r="CV244" s="1393" t="str">
        <f t="shared" si="343"/>
        <v>[Price]</v>
      </c>
      <c r="CW244" s="1401" t="str">
        <f t="shared" si="363"/>
        <v>-</v>
      </c>
      <c r="CX244" s="1395" t="str">
        <f t="shared" si="364"/>
        <v>-</v>
      </c>
      <c r="CY244" s="1395" t="str">
        <f t="shared" si="365"/>
        <v>-</v>
      </c>
      <c r="CZ244" s="1397" t="str">
        <f t="shared" si="366"/>
        <v>-</v>
      </c>
      <c r="DA244" s="1395" t="str">
        <f t="shared" si="367"/>
        <v>-</v>
      </c>
      <c r="DB244" s="1395" t="str">
        <f t="shared" si="368"/>
        <v>-</v>
      </c>
      <c r="DC244" s="1395" t="str">
        <f t="shared" si="369"/>
        <v>-</v>
      </c>
      <c r="DD244" s="1395" t="str">
        <f t="shared" si="370"/>
        <v>-</v>
      </c>
      <c r="DE244" s="1398" t="str">
        <f t="shared" si="371"/>
        <v>-</v>
      </c>
      <c r="DF244" s="1378"/>
      <c r="DG244" s="1392" t="str">
        <f t="shared" si="383"/>
        <v>Qty</v>
      </c>
      <c r="DH244" s="1393" t="str">
        <f t="shared" si="383"/>
        <v>[Service]</v>
      </c>
      <c r="DI244" s="1393" t="str">
        <f t="shared" si="383"/>
        <v>[Price]</v>
      </c>
      <c r="DJ244" s="1401" t="str">
        <f t="shared" si="372"/>
        <v>-</v>
      </c>
      <c r="DK244" s="1395" t="str">
        <f t="shared" si="373"/>
        <v>-</v>
      </c>
      <c r="DL244" s="1395" t="str">
        <f t="shared" si="374"/>
        <v>-</v>
      </c>
      <c r="DM244" s="1397" t="str">
        <f t="shared" si="375"/>
        <v>-</v>
      </c>
      <c r="DN244" s="1395" t="str">
        <f t="shared" si="376"/>
        <v>-</v>
      </c>
      <c r="DO244" s="1395" t="str">
        <f t="shared" si="377"/>
        <v>-</v>
      </c>
      <c r="DP244" s="1395" t="str">
        <f t="shared" si="378"/>
        <v>-</v>
      </c>
      <c r="DQ244" s="1398" t="str">
        <f t="shared" si="379"/>
        <v>-</v>
      </c>
    </row>
    <row r="245" spans="4:121" ht="12.75" thickBot="1">
      <c r="E245" s="743" t="s">
        <v>46</v>
      </c>
      <c r="F245" s="732" t="str">
        <f>+F243</f>
        <v>[Service]</v>
      </c>
      <c r="G245" s="733">
        <f>+G243</f>
        <v>0</v>
      </c>
      <c r="H245" s="733">
        <f>+H243</f>
        <v>0</v>
      </c>
      <c r="I245" s="734" t="str">
        <f>+I243</f>
        <v>[Price]</v>
      </c>
      <c r="J245" s="735" t="s">
        <v>344</v>
      </c>
      <c r="K245" s="736">
        <f t="shared" ref="K245:AG245" si="464">K243*K244/10^6</f>
        <v>0</v>
      </c>
      <c r="L245" s="737">
        <f t="shared" si="464"/>
        <v>0</v>
      </c>
      <c r="M245" s="737">
        <f t="shared" si="464"/>
        <v>0</v>
      </c>
      <c r="N245" s="738">
        <f t="shared" si="464"/>
        <v>0</v>
      </c>
      <c r="O245" s="737">
        <f t="shared" si="464"/>
        <v>0</v>
      </c>
      <c r="P245" s="738">
        <f t="shared" si="464"/>
        <v>0</v>
      </c>
      <c r="Q245" s="737">
        <f t="shared" si="464"/>
        <v>0</v>
      </c>
      <c r="R245" s="737">
        <f t="shared" si="464"/>
        <v>0</v>
      </c>
      <c r="S245" s="737">
        <f t="shared" si="464"/>
        <v>0</v>
      </c>
      <c r="T245" s="737">
        <f t="shared" si="464"/>
        <v>0</v>
      </c>
      <c r="U245" s="737">
        <f t="shared" si="464"/>
        <v>0</v>
      </c>
      <c r="V245" s="737">
        <f t="shared" si="464"/>
        <v>0</v>
      </c>
      <c r="W245" s="737">
        <f t="shared" si="464"/>
        <v>0</v>
      </c>
      <c r="X245" s="738">
        <f t="shared" si="464"/>
        <v>0</v>
      </c>
      <c r="Y245" s="737">
        <f t="shared" si="464"/>
        <v>0</v>
      </c>
      <c r="Z245" s="737">
        <f t="shared" si="464"/>
        <v>0</v>
      </c>
      <c r="AA245" s="737">
        <f t="shared" si="464"/>
        <v>0</v>
      </c>
      <c r="AB245" s="737">
        <f t="shared" si="464"/>
        <v>0</v>
      </c>
      <c r="AC245" s="738">
        <f t="shared" si="464"/>
        <v>0</v>
      </c>
      <c r="AD245" s="737">
        <f t="shared" si="464"/>
        <v>0</v>
      </c>
      <c r="AE245" s="737">
        <f t="shared" si="464"/>
        <v>0</v>
      </c>
      <c r="AF245" s="737">
        <f t="shared" si="464"/>
        <v>0</v>
      </c>
      <c r="AG245" s="739">
        <f t="shared" si="464"/>
        <v>0</v>
      </c>
      <c r="AH245" s="823"/>
      <c r="AI245" s="745"/>
      <c r="AJ245" s="741"/>
      <c r="AK245" s="729"/>
      <c r="AL245" s="729"/>
      <c r="AM245" s="729"/>
      <c r="AN245" s="729"/>
      <c r="AO245" s="730"/>
      <c r="AP245" s="74"/>
      <c r="AQ245" s="74"/>
      <c r="AR245" s="74"/>
      <c r="AS245" s="106"/>
      <c r="AW245" s="1428" t="str">
        <f t="shared" si="381"/>
        <v>Rev</v>
      </c>
      <c r="AX245" s="1429" t="str">
        <f t="shared" si="381"/>
        <v>[Service]</v>
      </c>
      <c r="AY245" s="1430" t="str">
        <f t="shared" si="345"/>
        <v>[Price]</v>
      </c>
      <c r="AZ245" s="1431" t="str">
        <f t="shared" ref="AZ245:BC260" si="465">IFERROR(P245/O245-1,"-")</f>
        <v>-</v>
      </c>
      <c r="BA245" s="1431" t="str">
        <f t="shared" si="465"/>
        <v>-</v>
      </c>
      <c r="BB245" s="1431" t="str">
        <f t="shared" si="465"/>
        <v>-</v>
      </c>
      <c r="BC245" s="1431" t="str">
        <f t="shared" si="465"/>
        <v>-</v>
      </c>
      <c r="BD245" s="1431" t="str">
        <f t="shared" si="347"/>
        <v>-</v>
      </c>
      <c r="BE245" s="1431" t="str">
        <f t="shared" si="348"/>
        <v>-</v>
      </c>
      <c r="BF245" s="1431" t="str">
        <f t="shared" si="349"/>
        <v>-</v>
      </c>
      <c r="BG245" s="1432" t="str">
        <f t="shared" si="350"/>
        <v>-</v>
      </c>
      <c r="BH245" s="1431" t="str">
        <f t="shared" si="351"/>
        <v>-</v>
      </c>
      <c r="BI245" s="1431" t="str">
        <f t="shared" si="352"/>
        <v>-</v>
      </c>
      <c r="BJ245" s="1431" t="str">
        <f t="shared" si="353"/>
        <v>-</v>
      </c>
      <c r="BK245" s="1431" t="str">
        <f t="shared" si="354"/>
        <v>-</v>
      </c>
      <c r="BL245" s="1433" t="str">
        <f t="shared" si="355"/>
        <v>-</v>
      </c>
      <c r="BM245" s="1431" t="str">
        <f t="shared" si="356"/>
        <v>-</v>
      </c>
      <c r="BN245" s="1431" t="str">
        <f t="shared" si="357"/>
        <v>-</v>
      </c>
      <c r="BO245" s="1431" t="str">
        <f t="shared" si="358"/>
        <v>-</v>
      </c>
      <c r="BP245" s="1431" t="str">
        <f t="shared" si="359"/>
        <v>-</v>
      </c>
      <c r="BQ245" s="1434" t="str">
        <f t="shared" si="360"/>
        <v>-</v>
      </c>
      <c r="BR245" s="1378"/>
      <c r="BS245" s="1407"/>
      <c r="BT245" s="1408"/>
      <c r="BU245" s="1409"/>
      <c r="BV245" s="1410"/>
      <c r="BW245" s="1378"/>
      <c r="BX245" s="1428" t="str">
        <f t="shared" si="361"/>
        <v>Rev</v>
      </c>
      <c r="BY245" s="1429" t="str">
        <f t="shared" si="406"/>
        <v>[Service]</v>
      </c>
      <c r="BZ245" s="1430" t="str">
        <f t="shared" si="407"/>
        <v>[Price]</v>
      </c>
      <c r="CA245" s="1435" t="str">
        <f>IFERROR((S245/R245-1)*(R245/R$13),"-")</f>
        <v>-</v>
      </c>
      <c r="CB245" s="1431" t="str">
        <f>IFERROR((T245/S245-1)*(S245/S$13),"-")</f>
        <v>-</v>
      </c>
      <c r="CC245" s="1431" t="str">
        <f>IFERROR((U245/T245-1)*(T245/T$13),"-")</f>
        <v>-</v>
      </c>
      <c r="CD245" s="1431" t="str">
        <f>IFERROR((V245/U245-1)*(U245/U$13),"-")</f>
        <v>-</v>
      </c>
      <c r="CE245" s="1431" t="str">
        <f t="shared" ref="CE245:CR245" si="466">IFERROR((T245/S245-1)*(S245/S$13),"-")</f>
        <v>-</v>
      </c>
      <c r="CF245" s="1431" t="str">
        <f t="shared" si="466"/>
        <v>-</v>
      </c>
      <c r="CG245" s="1431" t="str">
        <f t="shared" si="466"/>
        <v>-</v>
      </c>
      <c r="CH245" s="1433" t="str">
        <f t="shared" si="466"/>
        <v>-</v>
      </c>
      <c r="CI245" s="1431" t="str">
        <f t="shared" si="466"/>
        <v>-</v>
      </c>
      <c r="CJ245" s="1431" t="str">
        <f t="shared" si="466"/>
        <v>-</v>
      </c>
      <c r="CK245" s="1431" t="str">
        <f t="shared" si="466"/>
        <v>-</v>
      </c>
      <c r="CL245" s="1431" t="str">
        <f t="shared" si="466"/>
        <v>-</v>
      </c>
      <c r="CM245" s="1433" t="str">
        <f t="shared" si="466"/>
        <v>-</v>
      </c>
      <c r="CN245" s="1431" t="str">
        <f t="shared" si="466"/>
        <v>-</v>
      </c>
      <c r="CO245" s="1431" t="str">
        <f t="shared" si="466"/>
        <v>-</v>
      </c>
      <c r="CP245" s="1431" t="str">
        <f t="shared" si="466"/>
        <v>-</v>
      </c>
      <c r="CQ245" s="1431" t="str">
        <f t="shared" si="466"/>
        <v>-</v>
      </c>
      <c r="CR245" s="1434" t="str">
        <f t="shared" si="466"/>
        <v>-</v>
      </c>
      <c r="CS245" s="1378"/>
      <c r="CT245" s="1428" t="str">
        <f t="shared" si="341"/>
        <v>Rev</v>
      </c>
      <c r="CU245" s="1429" t="str">
        <f t="shared" si="342"/>
        <v>[Service]</v>
      </c>
      <c r="CV245" s="1429" t="str">
        <f t="shared" si="343"/>
        <v>[Price]</v>
      </c>
      <c r="CW245" s="1435" t="str">
        <f t="shared" si="363"/>
        <v>-</v>
      </c>
      <c r="CX245" s="1431" t="str">
        <f t="shared" si="364"/>
        <v>-</v>
      </c>
      <c r="CY245" s="1431" t="str">
        <f t="shared" si="365"/>
        <v>-</v>
      </c>
      <c r="CZ245" s="1433" t="str">
        <f t="shared" si="366"/>
        <v>-</v>
      </c>
      <c r="DA245" s="1431" t="str">
        <f t="shared" si="367"/>
        <v>-</v>
      </c>
      <c r="DB245" s="1431" t="str">
        <f t="shared" si="368"/>
        <v>-</v>
      </c>
      <c r="DC245" s="1431" t="str">
        <f t="shared" si="369"/>
        <v>-</v>
      </c>
      <c r="DD245" s="1431" t="str">
        <f t="shared" si="370"/>
        <v>-</v>
      </c>
      <c r="DE245" s="1434" t="str">
        <f t="shared" si="371"/>
        <v>-</v>
      </c>
      <c r="DF245" s="1378"/>
      <c r="DG245" s="1428" t="str">
        <f t="shared" si="383"/>
        <v>Rev</v>
      </c>
      <c r="DH245" s="1429" t="str">
        <f t="shared" si="383"/>
        <v>[Service]</v>
      </c>
      <c r="DI245" s="1429" t="str">
        <f t="shared" si="383"/>
        <v>[Price]</v>
      </c>
      <c r="DJ245" s="1435" t="str">
        <f t="shared" si="372"/>
        <v>-</v>
      </c>
      <c r="DK245" s="1431" t="str">
        <f t="shared" si="373"/>
        <v>-</v>
      </c>
      <c r="DL245" s="1431" t="str">
        <f t="shared" si="374"/>
        <v>-</v>
      </c>
      <c r="DM245" s="1433" t="str">
        <f t="shared" si="375"/>
        <v>-</v>
      </c>
      <c r="DN245" s="1431" t="str">
        <f t="shared" si="376"/>
        <v>-</v>
      </c>
      <c r="DO245" s="1431" t="str">
        <f t="shared" si="377"/>
        <v>-</v>
      </c>
      <c r="DP245" s="1431" t="str">
        <f t="shared" si="378"/>
        <v>-</v>
      </c>
      <c r="DQ245" s="1434" t="str">
        <f t="shared" si="379"/>
        <v>-</v>
      </c>
    </row>
    <row r="246" spans="4:121">
      <c r="D246" s="70">
        <f>D243+1</f>
        <v>60</v>
      </c>
      <c r="E246" s="713" t="s">
        <v>44</v>
      </c>
      <c r="F246" s="789" t="s">
        <v>27</v>
      </c>
      <c r="G246" s="789"/>
      <c r="H246" s="789"/>
      <c r="I246" s="781" t="s">
        <v>318</v>
      </c>
      <c r="J246" s="781" t="s">
        <v>345</v>
      </c>
      <c r="K246" s="714"/>
      <c r="L246" s="715"/>
      <c r="M246" s="715"/>
      <c r="N246" s="716"/>
      <c r="O246" s="783"/>
      <c r="P246" s="784"/>
      <c r="Q246" s="783"/>
      <c r="R246" s="783"/>
      <c r="S246" s="783"/>
      <c r="T246" s="783"/>
      <c r="U246" s="783"/>
      <c r="V246" s="783"/>
      <c r="W246" s="783"/>
      <c r="X246" s="784"/>
      <c r="Y246" s="783"/>
      <c r="Z246" s="783"/>
      <c r="AA246" s="783"/>
      <c r="AB246" s="783"/>
      <c r="AC246" s="784"/>
      <c r="AD246" s="783"/>
      <c r="AE246" s="783"/>
      <c r="AF246" s="783"/>
      <c r="AG246" s="785"/>
      <c r="AI246" s="745"/>
      <c r="AJ246" s="717" t="str">
        <f t="shared" ref="AJ246:AS246" si="467">IFERROR((X246-W246)/W246,"")</f>
        <v/>
      </c>
      <c r="AK246" s="718" t="str">
        <f t="shared" si="467"/>
        <v/>
      </c>
      <c r="AL246" s="718" t="str">
        <f t="shared" si="467"/>
        <v/>
      </c>
      <c r="AM246" s="718" t="str">
        <f t="shared" si="467"/>
        <v/>
      </c>
      <c r="AN246" s="718" t="str">
        <f t="shared" si="467"/>
        <v/>
      </c>
      <c r="AO246" s="719" t="str">
        <f t="shared" si="467"/>
        <v/>
      </c>
      <c r="AP246" s="494" t="str">
        <f t="shared" si="467"/>
        <v/>
      </c>
      <c r="AQ246" s="494" t="str">
        <f t="shared" si="467"/>
        <v/>
      </c>
      <c r="AR246" s="494" t="str">
        <f t="shared" si="467"/>
        <v/>
      </c>
      <c r="AS246" s="720" t="str">
        <f t="shared" si="467"/>
        <v/>
      </c>
      <c r="AU246" s="1369"/>
      <c r="AW246" s="1412" t="str">
        <f t="shared" si="381"/>
        <v>Price</v>
      </c>
      <c r="AX246" s="1413" t="str">
        <f t="shared" si="381"/>
        <v>[Service]</v>
      </c>
      <c r="AY246" s="1414" t="str">
        <f t="shared" si="345"/>
        <v>[Price]</v>
      </c>
      <c r="AZ246" s="1415" t="str">
        <f t="shared" si="465"/>
        <v>-</v>
      </c>
      <c r="BA246" s="1415" t="str">
        <f t="shared" si="465"/>
        <v>-</v>
      </c>
      <c r="BB246" s="1415" t="str">
        <f t="shared" si="465"/>
        <v>-</v>
      </c>
      <c r="BC246" s="1415" t="str">
        <f t="shared" si="465"/>
        <v>-</v>
      </c>
      <c r="BD246" s="1415" t="str">
        <f t="shared" si="347"/>
        <v>-</v>
      </c>
      <c r="BE246" s="1415" t="str">
        <f t="shared" si="348"/>
        <v>-</v>
      </c>
      <c r="BF246" s="1415" t="str">
        <f t="shared" si="349"/>
        <v>-</v>
      </c>
      <c r="BG246" s="1416" t="str">
        <f t="shared" si="350"/>
        <v>-</v>
      </c>
      <c r="BH246" s="1417" t="str">
        <f t="shared" si="351"/>
        <v>-</v>
      </c>
      <c r="BI246" s="1417" t="str">
        <f t="shared" si="352"/>
        <v>-</v>
      </c>
      <c r="BJ246" s="1417" t="str">
        <f t="shared" si="353"/>
        <v>-</v>
      </c>
      <c r="BK246" s="1417" t="str">
        <f t="shared" si="354"/>
        <v>-</v>
      </c>
      <c r="BL246" s="1418" t="str">
        <f t="shared" si="355"/>
        <v>-</v>
      </c>
      <c r="BM246" s="1417" t="str">
        <f t="shared" si="356"/>
        <v>-</v>
      </c>
      <c r="BN246" s="1417" t="str">
        <f t="shared" si="357"/>
        <v>-</v>
      </c>
      <c r="BO246" s="1417" t="str">
        <f t="shared" si="358"/>
        <v>-</v>
      </c>
      <c r="BP246" s="1417" t="str">
        <f t="shared" si="359"/>
        <v>-</v>
      </c>
      <c r="BQ246" s="1419" t="str">
        <f t="shared" si="360"/>
        <v>-</v>
      </c>
      <c r="BR246" s="1378"/>
      <c r="BS246" s="1420"/>
      <c r="BT246" s="1421"/>
      <c r="BU246" s="1422"/>
      <c r="BV246" s="1423"/>
      <c r="BW246" s="1378"/>
      <c r="BX246" s="1412" t="str">
        <f t="shared" si="361"/>
        <v>Price</v>
      </c>
      <c r="BY246" s="1413" t="str">
        <f t="shared" si="406"/>
        <v>[Service]</v>
      </c>
      <c r="BZ246" s="1414" t="str">
        <f t="shared" si="407"/>
        <v>[Price]</v>
      </c>
      <c r="CA246" s="1424" t="str">
        <f>IFERROR((S246/R246-1)*(R248/R$13),"-")</f>
        <v>-</v>
      </c>
      <c r="CB246" s="1415" t="str">
        <f>IFERROR((T246/S246-1)*(S248/S$13),"-")</f>
        <v>-</v>
      </c>
      <c r="CC246" s="1415" t="str">
        <f>IFERROR((U246/T246-1)*(T248/T$13),"-")</f>
        <v>-</v>
      </c>
      <c r="CD246" s="1415" t="str">
        <f>IFERROR((V246/U246-1)*(U248/U$13),"-")</f>
        <v>-</v>
      </c>
      <c r="CE246" s="1415" t="str">
        <f t="shared" ref="CE246:CR246" si="468">IFERROR((T246/S246-1)*(S248/S$13),"-")</f>
        <v>-</v>
      </c>
      <c r="CF246" s="1415" t="str">
        <f t="shared" si="468"/>
        <v>-</v>
      </c>
      <c r="CG246" s="1415" t="str">
        <f t="shared" si="468"/>
        <v>-</v>
      </c>
      <c r="CH246" s="1425" t="str">
        <f t="shared" si="468"/>
        <v>-</v>
      </c>
      <c r="CI246" s="1417" t="str">
        <f t="shared" si="468"/>
        <v>-</v>
      </c>
      <c r="CJ246" s="1417" t="str">
        <f t="shared" si="468"/>
        <v>-</v>
      </c>
      <c r="CK246" s="1417" t="str">
        <f t="shared" si="468"/>
        <v>-</v>
      </c>
      <c r="CL246" s="1417" t="str">
        <f t="shared" si="468"/>
        <v>-</v>
      </c>
      <c r="CM246" s="1418" t="str">
        <f t="shared" si="468"/>
        <v>-</v>
      </c>
      <c r="CN246" s="1417" t="str">
        <f t="shared" si="468"/>
        <v>-</v>
      </c>
      <c r="CO246" s="1417" t="str">
        <f t="shared" si="468"/>
        <v>-</v>
      </c>
      <c r="CP246" s="1417" t="str">
        <f t="shared" si="468"/>
        <v>-</v>
      </c>
      <c r="CQ246" s="1417" t="str">
        <f t="shared" si="468"/>
        <v>-</v>
      </c>
      <c r="CR246" s="1419" t="str">
        <f t="shared" si="468"/>
        <v>-</v>
      </c>
      <c r="CS246" s="1378"/>
      <c r="CT246" s="1412" t="str">
        <f t="shared" si="341"/>
        <v>Price</v>
      </c>
      <c r="CU246" s="1413" t="str">
        <f t="shared" si="342"/>
        <v>[Service]</v>
      </c>
      <c r="CV246" s="1426" t="str">
        <f t="shared" si="343"/>
        <v>[Price]</v>
      </c>
      <c r="CW246" s="1427" t="str">
        <f t="shared" si="363"/>
        <v>-</v>
      </c>
      <c r="CX246" s="1417" t="str">
        <f t="shared" si="364"/>
        <v>-</v>
      </c>
      <c r="CY246" s="1417" t="str">
        <f t="shared" si="365"/>
        <v>-</v>
      </c>
      <c r="CZ246" s="1418" t="str">
        <f t="shared" si="366"/>
        <v>-</v>
      </c>
      <c r="DA246" s="1417" t="str">
        <f t="shared" si="367"/>
        <v>-</v>
      </c>
      <c r="DB246" s="1417" t="str">
        <f t="shared" si="368"/>
        <v>-</v>
      </c>
      <c r="DC246" s="1417" t="str">
        <f t="shared" si="369"/>
        <v>-</v>
      </c>
      <c r="DD246" s="1417" t="str">
        <f t="shared" si="370"/>
        <v>-</v>
      </c>
      <c r="DE246" s="1419" t="str">
        <f t="shared" si="371"/>
        <v>-</v>
      </c>
      <c r="DF246" s="1378"/>
      <c r="DG246" s="1412" t="str">
        <f t="shared" si="383"/>
        <v>Price</v>
      </c>
      <c r="DH246" s="1413" t="str">
        <f t="shared" si="383"/>
        <v>[Service]</v>
      </c>
      <c r="DI246" s="1426" t="str">
        <f t="shared" si="383"/>
        <v>[Price]</v>
      </c>
      <c r="DJ246" s="1427" t="str">
        <f t="shared" si="372"/>
        <v>-</v>
      </c>
      <c r="DK246" s="1417" t="str">
        <f t="shared" si="373"/>
        <v>-</v>
      </c>
      <c r="DL246" s="1417" t="str">
        <f t="shared" si="374"/>
        <v>-</v>
      </c>
      <c r="DM246" s="1418" t="str">
        <f t="shared" si="375"/>
        <v>-</v>
      </c>
      <c r="DN246" s="1417" t="str">
        <f t="shared" si="376"/>
        <v>-</v>
      </c>
      <c r="DO246" s="1417" t="str">
        <f t="shared" si="377"/>
        <v>-</v>
      </c>
      <c r="DP246" s="1417" t="str">
        <f t="shared" si="378"/>
        <v>-</v>
      </c>
      <c r="DQ246" s="1419" t="str">
        <f t="shared" si="379"/>
        <v>-</v>
      </c>
    </row>
    <row r="247" spans="4:121">
      <c r="E247" s="742" t="s">
        <v>45</v>
      </c>
      <c r="F247" s="722" t="str">
        <f>+F246</f>
        <v>[Service]</v>
      </c>
      <c r="G247" s="723">
        <f>+G246</f>
        <v>0</v>
      </c>
      <c r="H247" s="723">
        <f>+H246</f>
        <v>0</v>
      </c>
      <c r="I247" s="724" t="str">
        <f>+I246</f>
        <v>[Price]</v>
      </c>
      <c r="J247" s="782" t="s">
        <v>322</v>
      </c>
      <c r="K247" s="725"/>
      <c r="L247" s="726"/>
      <c r="M247" s="726"/>
      <c r="N247" s="727"/>
      <c r="O247" s="786"/>
      <c r="P247" s="787"/>
      <c r="Q247" s="786"/>
      <c r="R247" s="786"/>
      <c r="S247" s="786"/>
      <c r="T247" s="786"/>
      <c r="U247" s="786"/>
      <c r="V247" s="786"/>
      <c r="W247" s="786"/>
      <c r="X247" s="787"/>
      <c r="Y247" s="786"/>
      <c r="Z247" s="786"/>
      <c r="AA247" s="786"/>
      <c r="AB247" s="786"/>
      <c r="AC247" s="787"/>
      <c r="AD247" s="786"/>
      <c r="AE247" s="786"/>
      <c r="AF247" s="786"/>
      <c r="AG247" s="788"/>
      <c r="AH247" s="823"/>
      <c r="AI247" s="745"/>
      <c r="AJ247" s="728"/>
      <c r="AK247" s="729"/>
      <c r="AL247" s="729"/>
      <c r="AM247" s="729"/>
      <c r="AN247" s="729"/>
      <c r="AO247" s="730"/>
      <c r="AP247" s="74"/>
      <c r="AQ247" s="74"/>
      <c r="AR247" s="74"/>
      <c r="AS247" s="106"/>
      <c r="AW247" s="1392" t="str">
        <f t="shared" si="381"/>
        <v>Qty</v>
      </c>
      <c r="AX247" s="1393" t="str">
        <f t="shared" si="381"/>
        <v>[Service]</v>
      </c>
      <c r="AY247" s="1394" t="str">
        <f t="shared" si="345"/>
        <v>[Price]</v>
      </c>
      <c r="AZ247" s="1395" t="str">
        <f t="shared" si="465"/>
        <v>-</v>
      </c>
      <c r="BA247" s="1395" t="str">
        <f t="shared" si="465"/>
        <v>-</v>
      </c>
      <c r="BB247" s="1395" t="str">
        <f t="shared" si="465"/>
        <v>-</v>
      </c>
      <c r="BC247" s="1395" t="str">
        <f t="shared" si="465"/>
        <v>-</v>
      </c>
      <c r="BD247" s="1395" t="str">
        <f t="shared" si="347"/>
        <v>-</v>
      </c>
      <c r="BE247" s="1395" t="str">
        <f t="shared" si="348"/>
        <v>-</v>
      </c>
      <c r="BF247" s="1395" t="str">
        <f t="shared" si="349"/>
        <v>-</v>
      </c>
      <c r="BG247" s="1396" t="str">
        <f t="shared" si="350"/>
        <v>-</v>
      </c>
      <c r="BH247" s="1395" t="str">
        <f t="shared" si="351"/>
        <v>-</v>
      </c>
      <c r="BI247" s="1395" t="str">
        <f t="shared" si="352"/>
        <v>-</v>
      </c>
      <c r="BJ247" s="1395" t="str">
        <f t="shared" si="353"/>
        <v>-</v>
      </c>
      <c r="BK247" s="1395" t="str">
        <f t="shared" si="354"/>
        <v>-</v>
      </c>
      <c r="BL247" s="1397" t="str">
        <f t="shared" si="355"/>
        <v>-</v>
      </c>
      <c r="BM247" s="1395" t="str">
        <f t="shared" si="356"/>
        <v>-</v>
      </c>
      <c r="BN247" s="1395" t="str">
        <f t="shared" si="357"/>
        <v>-</v>
      </c>
      <c r="BO247" s="1395" t="str">
        <f t="shared" si="358"/>
        <v>-</v>
      </c>
      <c r="BP247" s="1395" t="str">
        <f t="shared" si="359"/>
        <v>-</v>
      </c>
      <c r="BQ247" s="1398" t="str">
        <f t="shared" si="360"/>
        <v>-</v>
      </c>
      <c r="BR247" s="1378"/>
      <c r="BS247" s="1329"/>
      <c r="BT247" s="1399"/>
      <c r="BU247" s="1331"/>
      <c r="BV247" s="1400"/>
      <c r="BW247" s="1378"/>
      <c r="BX247" s="1392" t="str">
        <f t="shared" si="361"/>
        <v>Qty</v>
      </c>
      <c r="BY247" s="1393" t="str">
        <f t="shared" si="406"/>
        <v>[Service]</v>
      </c>
      <c r="BZ247" s="1394" t="str">
        <f t="shared" si="407"/>
        <v>[Price]</v>
      </c>
      <c r="CA247" s="1401" t="str">
        <f>IFERROR((S247/R247-1)*(R248/R$13),"-")</f>
        <v>-</v>
      </c>
      <c r="CB247" s="1395" t="str">
        <f>IFERROR((T247/S247-1)*(S248/S$13),"-")</f>
        <v>-</v>
      </c>
      <c r="CC247" s="1395" t="str">
        <f>IFERROR((U247/T247-1)*(T248/T$13),"-")</f>
        <v>-</v>
      </c>
      <c r="CD247" s="1395" t="str">
        <f>IFERROR((V247/U247-1)*(U248/U$13),"-")</f>
        <v>-</v>
      </c>
      <c r="CE247" s="1395" t="str">
        <f t="shared" ref="CE247:CR247" si="469">IFERROR((T247/S247-1)*(S248/S$13),"-")</f>
        <v>-</v>
      </c>
      <c r="CF247" s="1395" t="str">
        <f t="shared" si="469"/>
        <v>-</v>
      </c>
      <c r="CG247" s="1395" t="str">
        <f t="shared" si="469"/>
        <v>-</v>
      </c>
      <c r="CH247" s="1397" t="str">
        <f t="shared" si="469"/>
        <v>-</v>
      </c>
      <c r="CI247" s="1395" t="str">
        <f t="shared" si="469"/>
        <v>-</v>
      </c>
      <c r="CJ247" s="1395" t="str">
        <f t="shared" si="469"/>
        <v>-</v>
      </c>
      <c r="CK247" s="1395" t="str">
        <f t="shared" si="469"/>
        <v>-</v>
      </c>
      <c r="CL247" s="1395" t="str">
        <f t="shared" si="469"/>
        <v>-</v>
      </c>
      <c r="CM247" s="1397" t="str">
        <f t="shared" si="469"/>
        <v>-</v>
      </c>
      <c r="CN247" s="1395" t="str">
        <f t="shared" si="469"/>
        <v>-</v>
      </c>
      <c r="CO247" s="1395" t="str">
        <f t="shared" si="469"/>
        <v>-</v>
      </c>
      <c r="CP247" s="1395" t="str">
        <f t="shared" si="469"/>
        <v>-</v>
      </c>
      <c r="CQ247" s="1395" t="str">
        <f t="shared" si="469"/>
        <v>-</v>
      </c>
      <c r="CR247" s="1398" t="str">
        <f t="shared" si="469"/>
        <v>-</v>
      </c>
      <c r="CS247" s="1378"/>
      <c r="CT247" s="1392" t="str">
        <f t="shared" si="341"/>
        <v>Qty</v>
      </c>
      <c r="CU247" s="1393" t="str">
        <f t="shared" si="342"/>
        <v>[Service]</v>
      </c>
      <c r="CV247" s="1393" t="str">
        <f t="shared" si="343"/>
        <v>[Price]</v>
      </c>
      <c r="CW247" s="1401" t="str">
        <f t="shared" si="363"/>
        <v>-</v>
      </c>
      <c r="CX247" s="1395" t="str">
        <f t="shared" si="364"/>
        <v>-</v>
      </c>
      <c r="CY247" s="1395" t="str">
        <f t="shared" si="365"/>
        <v>-</v>
      </c>
      <c r="CZ247" s="1397" t="str">
        <f t="shared" si="366"/>
        <v>-</v>
      </c>
      <c r="DA247" s="1395" t="str">
        <f t="shared" si="367"/>
        <v>-</v>
      </c>
      <c r="DB247" s="1395" t="str">
        <f t="shared" si="368"/>
        <v>-</v>
      </c>
      <c r="DC247" s="1395" t="str">
        <f t="shared" si="369"/>
        <v>-</v>
      </c>
      <c r="DD247" s="1395" t="str">
        <f t="shared" si="370"/>
        <v>-</v>
      </c>
      <c r="DE247" s="1398" t="str">
        <f t="shared" si="371"/>
        <v>-</v>
      </c>
      <c r="DF247" s="1378"/>
      <c r="DG247" s="1392" t="str">
        <f t="shared" si="383"/>
        <v>Qty</v>
      </c>
      <c r="DH247" s="1393" t="str">
        <f t="shared" si="383"/>
        <v>[Service]</v>
      </c>
      <c r="DI247" s="1393" t="str">
        <f t="shared" si="383"/>
        <v>[Price]</v>
      </c>
      <c r="DJ247" s="1401" t="str">
        <f t="shared" si="372"/>
        <v>-</v>
      </c>
      <c r="DK247" s="1395" t="str">
        <f t="shared" si="373"/>
        <v>-</v>
      </c>
      <c r="DL247" s="1395" t="str">
        <f t="shared" si="374"/>
        <v>-</v>
      </c>
      <c r="DM247" s="1397" t="str">
        <f t="shared" si="375"/>
        <v>-</v>
      </c>
      <c r="DN247" s="1395" t="str">
        <f t="shared" si="376"/>
        <v>-</v>
      </c>
      <c r="DO247" s="1395" t="str">
        <f t="shared" si="377"/>
        <v>-</v>
      </c>
      <c r="DP247" s="1395" t="str">
        <f t="shared" si="378"/>
        <v>-</v>
      </c>
      <c r="DQ247" s="1398" t="str">
        <f t="shared" si="379"/>
        <v>-</v>
      </c>
    </row>
    <row r="248" spans="4:121" ht="12.75" thickBot="1">
      <c r="E248" s="743" t="s">
        <v>46</v>
      </c>
      <c r="F248" s="732" t="str">
        <f>+F246</f>
        <v>[Service]</v>
      </c>
      <c r="G248" s="733">
        <f>+G246</f>
        <v>0</v>
      </c>
      <c r="H248" s="733">
        <f>+H246</f>
        <v>0</v>
      </c>
      <c r="I248" s="734" t="str">
        <f>+I246</f>
        <v>[Price]</v>
      </c>
      <c r="J248" s="735" t="s">
        <v>344</v>
      </c>
      <c r="K248" s="736">
        <f t="shared" ref="K248:AG248" si="470">K246*K247/10^6</f>
        <v>0</v>
      </c>
      <c r="L248" s="737">
        <f t="shared" si="470"/>
        <v>0</v>
      </c>
      <c r="M248" s="737">
        <f t="shared" si="470"/>
        <v>0</v>
      </c>
      <c r="N248" s="738">
        <f t="shared" si="470"/>
        <v>0</v>
      </c>
      <c r="O248" s="737">
        <f t="shared" si="470"/>
        <v>0</v>
      </c>
      <c r="P248" s="738">
        <f t="shared" si="470"/>
        <v>0</v>
      </c>
      <c r="Q248" s="737">
        <f t="shared" si="470"/>
        <v>0</v>
      </c>
      <c r="R248" s="737">
        <f t="shared" si="470"/>
        <v>0</v>
      </c>
      <c r="S248" s="737">
        <f t="shared" si="470"/>
        <v>0</v>
      </c>
      <c r="T248" s="737">
        <f t="shared" si="470"/>
        <v>0</v>
      </c>
      <c r="U248" s="737">
        <f t="shared" si="470"/>
        <v>0</v>
      </c>
      <c r="V248" s="737">
        <f t="shared" si="470"/>
        <v>0</v>
      </c>
      <c r="W248" s="737">
        <f t="shared" si="470"/>
        <v>0</v>
      </c>
      <c r="X248" s="738">
        <f t="shared" si="470"/>
        <v>0</v>
      </c>
      <c r="Y248" s="737">
        <f t="shared" si="470"/>
        <v>0</v>
      </c>
      <c r="Z248" s="737">
        <f t="shared" si="470"/>
        <v>0</v>
      </c>
      <c r="AA248" s="737">
        <f t="shared" si="470"/>
        <v>0</v>
      </c>
      <c r="AB248" s="737">
        <f t="shared" si="470"/>
        <v>0</v>
      </c>
      <c r="AC248" s="738">
        <f t="shared" si="470"/>
        <v>0</v>
      </c>
      <c r="AD248" s="737">
        <f t="shared" si="470"/>
        <v>0</v>
      </c>
      <c r="AE248" s="737">
        <f t="shared" si="470"/>
        <v>0</v>
      </c>
      <c r="AF248" s="737">
        <f t="shared" si="470"/>
        <v>0</v>
      </c>
      <c r="AG248" s="739">
        <f t="shared" si="470"/>
        <v>0</v>
      </c>
      <c r="AH248" s="823"/>
      <c r="AI248" s="745"/>
      <c r="AJ248" s="741"/>
      <c r="AK248" s="729"/>
      <c r="AL248" s="729"/>
      <c r="AM248" s="729"/>
      <c r="AN248" s="729"/>
      <c r="AO248" s="730"/>
      <c r="AP248" s="74"/>
      <c r="AQ248" s="74"/>
      <c r="AR248" s="74"/>
      <c r="AS248" s="106"/>
      <c r="AW248" s="1428" t="str">
        <f t="shared" si="381"/>
        <v>Rev</v>
      </c>
      <c r="AX248" s="1429" t="str">
        <f t="shared" si="381"/>
        <v>[Service]</v>
      </c>
      <c r="AY248" s="1430" t="str">
        <f t="shared" si="345"/>
        <v>[Price]</v>
      </c>
      <c r="AZ248" s="1431" t="str">
        <f t="shared" si="465"/>
        <v>-</v>
      </c>
      <c r="BA248" s="1431" t="str">
        <f t="shared" si="465"/>
        <v>-</v>
      </c>
      <c r="BB248" s="1431" t="str">
        <f t="shared" si="465"/>
        <v>-</v>
      </c>
      <c r="BC248" s="1431" t="str">
        <f t="shared" si="465"/>
        <v>-</v>
      </c>
      <c r="BD248" s="1431" t="str">
        <f t="shared" si="347"/>
        <v>-</v>
      </c>
      <c r="BE248" s="1431" t="str">
        <f t="shared" si="348"/>
        <v>-</v>
      </c>
      <c r="BF248" s="1431" t="str">
        <f t="shared" si="349"/>
        <v>-</v>
      </c>
      <c r="BG248" s="1432" t="str">
        <f t="shared" si="350"/>
        <v>-</v>
      </c>
      <c r="BH248" s="1431" t="str">
        <f t="shared" si="351"/>
        <v>-</v>
      </c>
      <c r="BI248" s="1431" t="str">
        <f t="shared" si="352"/>
        <v>-</v>
      </c>
      <c r="BJ248" s="1431" t="str">
        <f t="shared" si="353"/>
        <v>-</v>
      </c>
      <c r="BK248" s="1431" t="str">
        <f t="shared" si="354"/>
        <v>-</v>
      </c>
      <c r="BL248" s="1433" t="str">
        <f t="shared" si="355"/>
        <v>-</v>
      </c>
      <c r="BM248" s="1431" t="str">
        <f t="shared" si="356"/>
        <v>-</v>
      </c>
      <c r="BN248" s="1431" t="str">
        <f t="shared" si="357"/>
        <v>-</v>
      </c>
      <c r="BO248" s="1431" t="str">
        <f t="shared" si="358"/>
        <v>-</v>
      </c>
      <c r="BP248" s="1431" t="str">
        <f t="shared" si="359"/>
        <v>-</v>
      </c>
      <c r="BQ248" s="1434" t="str">
        <f t="shared" si="360"/>
        <v>-</v>
      </c>
      <c r="BR248" s="1378"/>
      <c r="BS248" s="1407"/>
      <c r="BT248" s="1408"/>
      <c r="BU248" s="1409"/>
      <c r="BV248" s="1410"/>
      <c r="BW248" s="1378"/>
      <c r="BX248" s="1428" t="str">
        <f t="shared" si="361"/>
        <v>Rev</v>
      </c>
      <c r="BY248" s="1429" t="str">
        <f t="shared" si="406"/>
        <v>[Service]</v>
      </c>
      <c r="BZ248" s="1430" t="str">
        <f t="shared" si="407"/>
        <v>[Price]</v>
      </c>
      <c r="CA248" s="1435" t="str">
        <f>IFERROR((S248/R248-1)*(R248/R$13),"-")</f>
        <v>-</v>
      </c>
      <c r="CB248" s="1431" t="str">
        <f>IFERROR((T248/S248-1)*(S248/S$13),"-")</f>
        <v>-</v>
      </c>
      <c r="CC248" s="1431" t="str">
        <f>IFERROR((U248/T248-1)*(T248/T$13),"-")</f>
        <v>-</v>
      </c>
      <c r="CD248" s="1431" t="str">
        <f>IFERROR((V248/U248-1)*(U248/U$13),"-")</f>
        <v>-</v>
      </c>
      <c r="CE248" s="1431" t="str">
        <f t="shared" ref="CE248:CR248" si="471">IFERROR((T248/S248-1)*(S248/S$13),"-")</f>
        <v>-</v>
      </c>
      <c r="CF248" s="1431" t="str">
        <f t="shared" si="471"/>
        <v>-</v>
      </c>
      <c r="CG248" s="1431" t="str">
        <f t="shared" si="471"/>
        <v>-</v>
      </c>
      <c r="CH248" s="1433" t="str">
        <f t="shared" si="471"/>
        <v>-</v>
      </c>
      <c r="CI248" s="1431" t="str">
        <f t="shared" si="471"/>
        <v>-</v>
      </c>
      <c r="CJ248" s="1431" t="str">
        <f t="shared" si="471"/>
        <v>-</v>
      </c>
      <c r="CK248" s="1431" t="str">
        <f t="shared" si="471"/>
        <v>-</v>
      </c>
      <c r="CL248" s="1431" t="str">
        <f t="shared" si="471"/>
        <v>-</v>
      </c>
      <c r="CM248" s="1433" t="str">
        <f t="shared" si="471"/>
        <v>-</v>
      </c>
      <c r="CN248" s="1431" t="str">
        <f t="shared" si="471"/>
        <v>-</v>
      </c>
      <c r="CO248" s="1431" t="str">
        <f t="shared" si="471"/>
        <v>-</v>
      </c>
      <c r="CP248" s="1431" t="str">
        <f t="shared" si="471"/>
        <v>-</v>
      </c>
      <c r="CQ248" s="1431" t="str">
        <f t="shared" si="471"/>
        <v>-</v>
      </c>
      <c r="CR248" s="1434" t="str">
        <f t="shared" si="471"/>
        <v>-</v>
      </c>
      <c r="CS248" s="1378"/>
      <c r="CT248" s="1428" t="str">
        <f t="shared" si="341"/>
        <v>Rev</v>
      </c>
      <c r="CU248" s="1429" t="str">
        <f t="shared" si="342"/>
        <v>[Service]</v>
      </c>
      <c r="CV248" s="1429" t="str">
        <f t="shared" si="343"/>
        <v>[Price]</v>
      </c>
      <c r="CW248" s="1435" t="str">
        <f t="shared" si="363"/>
        <v>-</v>
      </c>
      <c r="CX248" s="1431" t="str">
        <f t="shared" si="364"/>
        <v>-</v>
      </c>
      <c r="CY248" s="1431" t="str">
        <f t="shared" si="365"/>
        <v>-</v>
      </c>
      <c r="CZ248" s="1433" t="str">
        <f t="shared" si="366"/>
        <v>-</v>
      </c>
      <c r="DA248" s="1431" t="str">
        <f t="shared" si="367"/>
        <v>-</v>
      </c>
      <c r="DB248" s="1431" t="str">
        <f t="shared" si="368"/>
        <v>-</v>
      </c>
      <c r="DC248" s="1431" t="str">
        <f t="shared" si="369"/>
        <v>-</v>
      </c>
      <c r="DD248" s="1431" t="str">
        <f t="shared" si="370"/>
        <v>-</v>
      </c>
      <c r="DE248" s="1434" t="str">
        <f t="shared" si="371"/>
        <v>-</v>
      </c>
      <c r="DF248" s="1378"/>
      <c r="DG248" s="1428" t="str">
        <f t="shared" si="383"/>
        <v>Rev</v>
      </c>
      <c r="DH248" s="1429" t="str">
        <f t="shared" si="383"/>
        <v>[Service]</v>
      </c>
      <c r="DI248" s="1429" t="str">
        <f t="shared" si="383"/>
        <v>[Price]</v>
      </c>
      <c r="DJ248" s="1435" t="str">
        <f t="shared" si="372"/>
        <v>-</v>
      </c>
      <c r="DK248" s="1431" t="str">
        <f t="shared" si="373"/>
        <v>-</v>
      </c>
      <c r="DL248" s="1431" t="str">
        <f t="shared" si="374"/>
        <v>-</v>
      </c>
      <c r="DM248" s="1433" t="str">
        <f t="shared" si="375"/>
        <v>-</v>
      </c>
      <c r="DN248" s="1431" t="str">
        <f t="shared" si="376"/>
        <v>-</v>
      </c>
      <c r="DO248" s="1431" t="str">
        <f t="shared" si="377"/>
        <v>-</v>
      </c>
      <c r="DP248" s="1431" t="str">
        <f t="shared" si="378"/>
        <v>-</v>
      </c>
      <c r="DQ248" s="1434" t="str">
        <f t="shared" si="379"/>
        <v>-</v>
      </c>
    </row>
    <row r="249" spans="4:121">
      <c r="D249" s="70">
        <f>D246+1</f>
        <v>61</v>
      </c>
      <c r="E249" s="713" t="s">
        <v>44</v>
      </c>
      <c r="F249" s="789" t="s">
        <v>27</v>
      </c>
      <c r="G249" s="789"/>
      <c r="H249" s="789"/>
      <c r="I249" s="781" t="s">
        <v>318</v>
      </c>
      <c r="J249" s="781" t="s">
        <v>345</v>
      </c>
      <c r="K249" s="714"/>
      <c r="L249" s="715"/>
      <c r="M249" s="715"/>
      <c r="N249" s="716"/>
      <c r="O249" s="783"/>
      <c r="P249" s="784"/>
      <c r="Q249" s="783"/>
      <c r="R249" s="783"/>
      <c r="S249" s="783"/>
      <c r="T249" s="783"/>
      <c r="U249" s="783"/>
      <c r="V249" s="783"/>
      <c r="W249" s="783"/>
      <c r="X249" s="784"/>
      <c r="Y249" s="783"/>
      <c r="Z249" s="783"/>
      <c r="AA249" s="783"/>
      <c r="AB249" s="783"/>
      <c r="AC249" s="784"/>
      <c r="AD249" s="783"/>
      <c r="AE249" s="783"/>
      <c r="AF249" s="783"/>
      <c r="AG249" s="785"/>
      <c r="AI249" s="745"/>
      <c r="AJ249" s="717" t="str">
        <f t="shared" ref="AJ249:AS249" si="472">IFERROR((X249-W249)/W249,"")</f>
        <v/>
      </c>
      <c r="AK249" s="718" t="str">
        <f t="shared" si="472"/>
        <v/>
      </c>
      <c r="AL249" s="718" t="str">
        <f t="shared" si="472"/>
        <v/>
      </c>
      <c r="AM249" s="718" t="str">
        <f t="shared" si="472"/>
        <v/>
      </c>
      <c r="AN249" s="718" t="str">
        <f t="shared" si="472"/>
        <v/>
      </c>
      <c r="AO249" s="719" t="str">
        <f t="shared" si="472"/>
        <v/>
      </c>
      <c r="AP249" s="494" t="str">
        <f t="shared" si="472"/>
        <v/>
      </c>
      <c r="AQ249" s="494" t="str">
        <f t="shared" si="472"/>
        <v/>
      </c>
      <c r="AR249" s="494" t="str">
        <f t="shared" si="472"/>
        <v/>
      </c>
      <c r="AS249" s="720" t="str">
        <f t="shared" si="472"/>
        <v/>
      </c>
      <c r="AU249" s="1369"/>
      <c r="AW249" s="1412" t="str">
        <f t="shared" si="381"/>
        <v>Price</v>
      </c>
      <c r="AX249" s="1413" t="str">
        <f t="shared" si="381"/>
        <v>[Service]</v>
      </c>
      <c r="AY249" s="1414" t="str">
        <f t="shared" si="345"/>
        <v>[Price]</v>
      </c>
      <c r="AZ249" s="1415" t="str">
        <f t="shared" si="465"/>
        <v>-</v>
      </c>
      <c r="BA249" s="1415" t="str">
        <f t="shared" si="465"/>
        <v>-</v>
      </c>
      <c r="BB249" s="1415" t="str">
        <f t="shared" si="465"/>
        <v>-</v>
      </c>
      <c r="BC249" s="1415" t="str">
        <f t="shared" si="465"/>
        <v>-</v>
      </c>
      <c r="BD249" s="1415" t="str">
        <f t="shared" si="347"/>
        <v>-</v>
      </c>
      <c r="BE249" s="1415" t="str">
        <f t="shared" si="348"/>
        <v>-</v>
      </c>
      <c r="BF249" s="1415" t="str">
        <f t="shared" si="349"/>
        <v>-</v>
      </c>
      <c r="BG249" s="1416" t="str">
        <f t="shared" si="350"/>
        <v>-</v>
      </c>
      <c r="BH249" s="1417" t="str">
        <f t="shared" si="351"/>
        <v>-</v>
      </c>
      <c r="BI249" s="1417" t="str">
        <f t="shared" si="352"/>
        <v>-</v>
      </c>
      <c r="BJ249" s="1417" t="str">
        <f t="shared" si="353"/>
        <v>-</v>
      </c>
      <c r="BK249" s="1417" t="str">
        <f t="shared" si="354"/>
        <v>-</v>
      </c>
      <c r="BL249" s="1418" t="str">
        <f t="shared" si="355"/>
        <v>-</v>
      </c>
      <c r="BM249" s="1417" t="str">
        <f t="shared" si="356"/>
        <v>-</v>
      </c>
      <c r="BN249" s="1417" t="str">
        <f t="shared" si="357"/>
        <v>-</v>
      </c>
      <c r="BO249" s="1417" t="str">
        <f t="shared" si="358"/>
        <v>-</v>
      </c>
      <c r="BP249" s="1417" t="str">
        <f t="shared" si="359"/>
        <v>-</v>
      </c>
      <c r="BQ249" s="1419" t="str">
        <f t="shared" si="360"/>
        <v>-</v>
      </c>
      <c r="BR249" s="1378"/>
      <c r="BS249" s="1420"/>
      <c r="BT249" s="1421"/>
      <c r="BU249" s="1422"/>
      <c r="BV249" s="1423"/>
      <c r="BW249" s="1378"/>
      <c r="BX249" s="1412" t="str">
        <f t="shared" si="361"/>
        <v>Price</v>
      </c>
      <c r="BY249" s="1413" t="str">
        <f t="shared" si="406"/>
        <v>[Service]</v>
      </c>
      <c r="BZ249" s="1414" t="str">
        <f t="shared" si="407"/>
        <v>[Price]</v>
      </c>
      <c r="CA249" s="1424" t="str">
        <f>IFERROR((S249/R249-1)*(R251/R$13),"-")</f>
        <v>-</v>
      </c>
      <c r="CB249" s="1415" t="str">
        <f>IFERROR((T249/S249-1)*(S251/S$13),"-")</f>
        <v>-</v>
      </c>
      <c r="CC249" s="1415" t="str">
        <f>IFERROR((U249/T249-1)*(T251/T$13),"-")</f>
        <v>-</v>
      </c>
      <c r="CD249" s="1415" t="str">
        <f>IFERROR((V249/U249-1)*(U251/U$13),"-")</f>
        <v>-</v>
      </c>
      <c r="CE249" s="1415" t="str">
        <f t="shared" ref="CE249:CR249" si="473">IFERROR((T249/S249-1)*(S251/S$13),"-")</f>
        <v>-</v>
      </c>
      <c r="CF249" s="1415" t="str">
        <f t="shared" si="473"/>
        <v>-</v>
      </c>
      <c r="CG249" s="1415" t="str">
        <f t="shared" si="473"/>
        <v>-</v>
      </c>
      <c r="CH249" s="1425" t="str">
        <f t="shared" si="473"/>
        <v>-</v>
      </c>
      <c r="CI249" s="1417" t="str">
        <f t="shared" si="473"/>
        <v>-</v>
      </c>
      <c r="CJ249" s="1417" t="str">
        <f t="shared" si="473"/>
        <v>-</v>
      </c>
      <c r="CK249" s="1417" t="str">
        <f t="shared" si="473"/>
        <v>-</v>
      </c>
      <c r="CL249" s="1417" t="str">
        <f t="shared" si="473"/>
        <v>-</v>
      </c>
      <c r="CM249" s="1418" t="str">
        <f t="shared" si="473"/>
        <v>-</v>
      </c>
      <c r="CN249" s="1417" t="str">
        <f t="shared" si="473"/>
        <v>-</v>
      </c>
      <c r="CO249" s="1417" t="str">
        <f t="shared" si="473"/>
        <v>-</v>
      </c>
      <c r="CP249" s="1417" t="str">
        <f t="shared" si="473"/>
        <v>-</v>
      </c>
      <c r="CQ249" s="1417" t="str">
        <f t="shared" si="473"/>
        <v>-</v>
      </c>
      <c r="CR249" s="1419" t="str">
        <f t="shared" si="473"/>
        <v>-</v>
      </c>
      <c r="CS249" s="1378"/>
      <c r="CT249" s="1412" t="str">
        <f t="shared" si="341"/>
        <v>Price</v>
      </c>
      <c r="CU249" s="1413" t="str">
        <f t="shared" si="342"/>
        <v>[Service]</v>
      </c>
      <c r="CV249" s="1426" t="str">
        <f t="shared" si="343"/>
        <v>[Price]</v>
      </c>
      <c r="CW249" s="1427" t="str">
        <f t="shared" si="363"/>
        <v>-</v>
      </c>
      <c r="CX249" s="1417" t="str">
        <f t="shared" si="364"/>
        <v>-</v>
      </c>
      <c r="CY249" s="1417" t="str">
        <f t="shared" si="365"/>
        <v>-</v>
      </c>
      <c r="CZ249" s="1418" t="str">
        <f t="shared" si="366"/>
        <v>-</v>
      </c>
      <c r="DA249" s="1417" t="str">
        <f t="shared" si="367"/>
        <v>-</v>
      </c>
      <c r="DB249" s="1417" t="str">
        <f t="shared" si="368"/>
        <v>-</v>
      </c>
      <c r="DC249" s="1417" t="str">
        <f t="shared" si="369"/>
        <v>-</v>
      </c>
      <c r="DD249" s="1417" t="str">
        <f t="shared" si="370"/>
        <v>-</v>
      </c>
      <c r="DE249" s="1419" t="str">
        <f t="shared" si="371"/>
        <v>-</v>
      </c>
      <c r="DF249" s="1378"/>
      <c r="DG249" s="1412" t="str">
        <f t="shared" si="383"/>
        <v>Price</v>
      </c>
      <c r="DH249" s="1413" t="str">
        <f t="shared" si="383"/>
        <v>[Service]</v>
      </c>
      <c r="DI249" s="1426" t="str">
        <f t="shared" si="383"/>
        <v>[Price]</v>
      </c>
      <c r="DJ249" s="1427" t="str">
        <f t="shared" si="372"/>
        <v>-</v>
      </c>
      <c r="DK249" s="1417" t="str">
        <f t="shared" si="373"/>
        <v>-</v>
      </c>
      <c r="DL249" s="1417" t="str">
        <f t="shared" si="374"/>
        <v>-</v>
      </c>
      <c r="DM249" s="1418" t="str">
        <f t="shared" si="375"/>
        <v>-</v>
      </c>
      <c r="DN249" s="1417" t="str">
        <f t="shared" si="376"/>
        <v>-</v>
      </c>
      <c r="DO249" s="1417" t="str">
        <f t="shared" si="377"/>
        <v>-</v>
      </c>
      <c r="DP249" s="1417" t="str">
        <f t="shared" si="378"/>
        <v>-</v>
      </c>
      <c r="DQ249" s="1419" t="str">
        <f t="shared" si="379"/>
        <v>-</v>
      </c>
    </row>
    <row r="250" spans="4:121">
      <c r="E250" s="742" t="s">
        <v>45</v>
      </c>
      <c r="F250" s="722" t="str">
        <f>+F249</f>
        <v>[Service]</v>
      </c>
      <c r="G250" s="723">
        <f>+G249</f>
        <v>0</v>
      </c>
      <c r="H250" s="723">
        <f>+H249</f>
        <v>0</v>
      </c>
      <c r="I250" s="724" t="str">
        <f>+I249</f>
        <v>[Price]</v>
      </c>
      <c r="J250" s="782" t="s">
        <v>322</v>
      </c>
      <c r="K250" s="725"/>
      <c r="L250" s="726"/>
      <c r="M250" s="726"/>
      <c r="N250" s="727"/>
      <c r="O250" s="786"/>
      <c r="P250" s="787"/>
      <c r="Q250" s="786"/>
      <c r="R250" s="786"/>
      <c r="S250" s="786"/>
      <c r="T250" s="786"/>
      <c r="U250" s="786"/>
      <c r="V250" s="786"/>
      <c r="W250" s="786"/>
      <c r="X250" s="787"/>
      <c r="Y250" s="786"/>
      <c r="Z250" s="786"/>
      <c r="AA250" s="786"/>
      <c r="AB250" s="786"/>
      <c r="AC250" s="787"/>
      <c r="AD250" s="786"/>
      <c r="AE250" s="786"/>
      <c r="AF250" s="786"/>
      <c r="AG250" s="788"/>
      <c r="AH250" s="823"/>
      <c r="AI250" s="745"/>
      <c r="AJ250" s="728"/>
      <c r="AK250" s="729"/>
      <c r="AL250" s="729"/>
      <c r="AM250" s="729"/>
      <c r="AN250" s="729"/>
      <c r="AO250" s="730"/>
      <c r="AP250" s="74"/>
      <c r="AQ250" s="74"/>
      <c r="AR250" s="74"/>
      <c r="AS250" s="106"/>
      <c r="AW250" s="1392" t="str">
        <f t="shared" si="381"/>
        <v>Qty</v>
      </c>
      <c r="AX250" s="1393" t="str">
        <f t="shared" si="381"/>
        <v>[Service]</v>
      </c>
      <c r="AY250" s="1394" t="str">
        <f t="shared" si="345"/>
        <v>[Price]</v>
      </c>
      <c r="AZ250" s="1395" t="str">
        <f t="shared" si="465"/>
        <v>-</v>
      </c>
      <c r="BA250" s="1395" t="str">
        <f t="shared" si="465"/>
        <v>-</v>
      </c>
      <c r="BB250" s="1395" t="str">
        <f t="shared" si="465"/>
        <v>-</v>
      </c>
      <c r="BC250" s="1395" t="str">
        <f t="shared" si="465"/>
        <v>-</v>
      </c>
      <c r="BD250" s="1395" t="str">
        <f t="shared" si="347"/>
        <v>-</v>
      </c>
      <c r="BE250" s="1395" t="str">
        <f t="shared" si="348"/>
        <v>-</v>
      </c>
      <c r="BF250" s="1395" t="str">
        <f t="shared" si="349"/>
        <v>-</v>
      </c>
      <c r="BG250" s="1396" t="str">
        <f t="shared" si="350"/>
        <v>-</v>
      </c>
      <c r="BH250" s="1395" t="str">
        <f t="shared" si="351"/>
        <v>-</v>
      </c>
      <c r="BI250" s="1395" t="str">
        <f t="shared" si="352"/>
        <v>-</v>
      </c>
      <c r="BJ250" s="1395" t="str">
        <f t="shared" si="353"/>
        <v>-</v>
      </c>
      <c r="BK250" s="1395" t="str">
        <f t="shared" si="354"/>
        <v>-</v>
      </c>
      <c r="BL250" s="1397" t="str">
        <f t="shared" si="355"/>
        <v>-</v>
      </c>
      <c r="BM250" s="1395" t="str">
        <f t="shared" si="356"/>
        <v>-</v>
      </c>
      <c r="BN250" s="1395" t="str">
        <f t="shared" si="357"/>
        <v>-</v>
      </c>
      <c r="BO250" s="1395" t="str">
        <f t="shared" si="358"/>
        <v>-</v>
      </c>
      <c r="BP250" s="1395" t="str">
        <f t="shared" si="359"/>
        <v>-</v>
      </c>
      <c r="BQ250" s="1398" t="str">
        <f t="shared" si="360"/>
        <v>-</v>
      </c>
      <c r="BR250" s="1378"/>
      <c r="BS250" s="1329"/>
      <c r="BT250" s="1399"/>
      <c r="BU250" s="1331"/>
      <c r="BV250" s="1400"/>
      <c r="BW250" s="1378"/>
      <c r="BX250" s="1392" t="str">
        <f t="shared" si="361"/>
        <v>Qty</v>
      </c>
      <c r="BY250" s="1393" t="str">
        <f t="shared" si="406"/>
        <v>[Service]</v>
      </c>
      <c r="BZ250" s="1394" t="str">
        <f t="shared" si="407"/>
        <v>[Price]</v>
      </c>
      <c r="CA250" s="1401" t="str">
        <f>IFERROR((S250/R250-1)*(R251/R$13),"-")</f>
        <v>-</v>
      </c>
      <c r="CB250" s="1395" t="str">
        <f>IFERROR((T250/S250-1)*(S251/S$13),"-")</f>
        <v>-</v>
      </c>
      <c r="CC250" s="1395" t="str">
        <f>IFERROR((U250/T250-1)*(T251/T$13),"-")</f>
        <v>-</v>
      </c>
      <c r="CD250" s="1395" t="str">
        <f>IFERROR((V250/U250-1)*(U251/U$13),"-")</f>
        <v>-</v>
      </c>
      <c r="CE250" s="1395" t="str">
        <f t="shared" ref="CE250:CR250" si="474">IFERROR((T250/S250-1)*(S251/S$13),"-")</f>
        <v>-</v>
      </c>
      <c r="CF250" s="1395" t="str">
        <f t="shared" si="474"/>
        <v>-</v>
      </c>
      <c r="CG250" s="1395" t="str">
        <f t="shared" si="474"/>
        <v>-</v>
      </c>
      <c r="CH250" s="1397" t="str">
        <f t="shared" si="474"/>
        <v>-</v>
      </c>
      <c r="CI250" s="1395" t="str">
        <f t="shared" si="474"/>
        <v>-</v>
      </c>
      <c r="CJ250" s="1395" t="str">
        <f t="shared" si="474"/>
        <v>-</v>
      </c>
      <c r="CK250" s="1395" t="str">
        <f t="shared" si="474"/>
        <v>-</v>
      </c>
      <c r="CL250" s="1395" t="str">
        <f t="shared" si="474"/>
        <v>-</v>
      </c>
      <c r="CM250" s="1397" t="str">
        <f t="shared" si="474"/>
        <v>-</v>
      </c>
      <c r="CN250" s="1395" t="str">
        <f t="shared" si="474"/>
        <v>-</v>
      </c>
      <c r="CO250" s="1395" t="str">
        <f t="shared" si="474"/>
        <v>-</v>
      </c>
      <c r="CP250" s="1395" t="str">
        <f t="shared" si="474"/>
        <v>-</v>
      </c>
      <c r="CQ250" s="1395" t="str">
        <f t="shared" si="474"/>
        <v>-</v>
      </c>
      <c r="CR250" s="1398" t="str">
        <f t="shared" si="474"/>
        <v>-</v>
      </c>
      <c r="CS250" s="1378"/>
      <c r="CT250" s="1392" t="str">
        <f t="shared" si="341"/>
        <v>Qty</v>
      </c>
      <c r="CU250" s="1393" t="str">
        <f t="shared" si="342"/>
        <v>[Service]</v>
      </c>
      <c r="CV250" s="1393" t="str">
        <f t="shared" si="343"/>
        <v>[Price]</v>
      </c>
      <c r="CW250" s="1401" t="str">
        <f t="shared" si="363"/>
        <v>-</v>
      </c>
      <c r="CX250" s="1395" t="str">
        <f t="shared" si="364"/>
        <v>-</v>
      </c>
      <c r="CY250" s="1395" t="str">
        <f t="shared" si="365"/>
        <v>-</v>
      </c>
      <c r="CZ250" s="1397" t="str">
        <f t="shared" si="366"/>
        <v>-</v>
      </c>
      <c r="DA250" s="1395" t="str">
        <f t="shared" si="367"/>
        <v>-</v>
      </c>
      <c r="DB250" s="1395" t="str">
        <f t="shared" si="368"/>
        <v>-</v>
      </c>
      <c r="DC250" s="1395" t="str">
        <f t="shared" si="369"/>
        <v>-</v>
      </c>
      <c r="DD250" s="1395" t="str">
        <f t="shared" si="370"/>
        <v>-</v>
      </c>
      <c r="DE250" s="1398" t="str">
        <f t="shared" si="371"/>
        <v>-</v>
      </c>
      <c r="DF250" s="1378"/>
      <c r="DG250" s="1392" t="str">
        <f t="shared" si="383"/>
        <v>Qty</v>
      </c>
      <c r="DH250" s="1393" t="str">
        <f t="shared" si="383"/>
        <v>[Service]</v>
      </c>
      <c r="DI250" s="1393" t="str">
        <f t="shared" si="383"/>
        <v>[Price]</v>
      </c>
      <c r="DJ250" s="1401" t="str">
        <f t="shared" si="372"/>
        <v>-</v>
      </c>
      <c r="DK250" s="1395" t="str">
        <f t="shared" si="373"/>
        <v>-</v>
      </c>
      <c r="DL250" s="1395" t="str">
        <f t="shared" si="374"/>
        <v>-</v>
      </c>
      <c r="DM250" s="1397" t="str">
        <f t="shared" si="375"/>
        <v>-</v>
      </c>
      <c r="DN250" s="1395" t="str">
        <f t="shared" si="376"/>
        <v>-</v>
      </c>
      <c r="DO250" s="1395" t="str">
        <f t="shared" si="377"/>
        <v>-</v>
      </c>
      <c r="DP250" s="1395" t="str">
        <f t="shared" si="378"/>
        <v>-</v>
      </c>
      <c r="DQ250" s="1398" t="str">
        <f t="shared" si="379"/>
        <v>-</v>
      </c>
    </row>
    <row r="251" spans="4:121" ht="12.75" thickBot="1">
      <c r="E251" s="743" t="s">
        <v>46</v>
      </c>
      <c r="F251" s="732" t="str">
        <f>+F249</f>
        <v>[Service]</v>
      </c>
      <c r="G251" s="733">
        <f>+G249</f>
        <v>0</v>
      </c>
      <c r="H251" s="733">
        <f>+H249</f>
        <v>0</v>
      </c>
      <c r="I251" s="734" t="str">
        <f>+I249</f>
        <v>[Price]</v>
      </c>
      <c r="J251" s="735" t="s">
        <v>344</v>
      </c>
      <c r="K251" s="736">
        <f t="shared" ref="K251:AG251" si="475">K249*K250/10^6</f>
        <v>0</v>
      </c>
      <c r="L251" s="737">
        <f t="shared" si="475"/>
        <v>0</v>
      </c>
      <c r="M251" s="737">
        <f t="shared" si="475"/>
        <v>0</v>
      </c>
      <c r="N251" s="738">
        <f t="shared" si="475"/>
        <v>0</v>
      </c>
      <c r="O251" s="737">
        <f t="shared" si="475"/>
        <v>0</v>
      </c>
      <c r="P251" s="738">
        <f t="shared" si="475"/>
        <v>0</v>
      </c>
      <c r="Q251" s="737">
        <f t="shared" si="475"/>
        <v>0</v>
      </c>
      <c r="R251" s="737">
        <f t="shared" si="475"/>
        <v>0</v>
      </c>
      <c r="S251" s="737">
        <f t="shared" si="475"/>
        <v>0</v>
      </c>
      <c r="T251" s="737">
        <f t="shared" si="475"/>
        <v>0</v>
      </c>
      <c r="U251" s="737">
        <f t="shared" si="475"/>
        <v>0</v>
      </c>
      <c r="V251" s="737">
        <f t="shared" si="475"/>
        <v>0</v>
      </c>
      <c r="W251" s="737">
        <f t="shared" si="475"/>
        <v>0</v>
      </c>
      <c r="X251" s="738">
        <f t="shared" si="475"/>
        <v>0</v>
      </c>
      <c r="Y251" s="737">
        <f t="shared" si="475"/>
        <v>0</v>
      </c>
      <c r="Z251" s="737">
        <f t="shared" si="475"/>
        <v>0</v>
      </c>
      <c r="AA251" s="737">
        <f t="shared" si="475"/>
        <v>0</v>
      </c>
      <c r="AB251" s="737">
        <f t="shared" si="475"/>
        <v>0</v>
      </c>
      <c r="AC251" s="738">
        <f t="shared" si="475"/>
        <v>0</v>
      </c>
      <c r="AD251" s="737">
        <f t="shared" si="475"/>
        <v>0</v>
      </c>
      <c r="AE251" s="737">
        <f t="shared" si="475"/>
        <v>0</v>
      </c>
      <c r="AF251" s="737">
        <f t="shared" si="475"/>
        <v>0</v>
      </c>
      <c r="AG251" s="739">
        <f t="shared" si="475"/>
        <v>0</v>
      </c>
      <c r="AH251" s="823"/>
      <c r="AI251" s="745"/>
      <c r="AJ251" s="741"/>
      <c r="AK251" s="729"/>
      <c r="AL251" s="729"/>
      <c r="AM251" s="729"/>
      <c r="AN251" s="729"/>
      <c r="AO251" s="730"/>
      <c r="AP251" s="74"/>
      <c r="AQ251" s="74"/>
      <c r="AR251" s="74"/>
      <c r="AS251" s="106"/>
      <c r="AW251" s="1428" t="str">
        <f t="shared" si="381"/>
        <v>Rev</v>
      </c>
      <c r="AX251" s="1429" t="str">
        <f t="shared" si="381"/>
        <v>[Service]</v>
      </c>
      <c r="AY251" s="1430" t="str">
        <f t="shared" si="345"/>
        <v>[Price]</v>
      </c>
      <c r="AZ251" s="1431" t="str">
        <f t="shared" si="465"/>
        <v>-</v>
      </c>
      <c r="BA251" s="1431" t="str">
        <f t="shared" si="465"/>
        <v>-</v>
      </c>
      <c r="BB251" s="1431" t="str">
        <f t="shared" si="465"/>
        <v>-</v>
      </c>
      <c r="BC251" s="1431" t="str">
        <f t="shared" si="465"/>
        <v>-</v>
      </c>
      <c r="BD251" s="1431" t="str">
        <f t="shared" si="347"/>
        <v>-</v>
      </c>
      <c r="BE251" s="1431" t="str">
        <f t="shared" si="348"/>
        <v>-</v>
      </c>
      <c r="BF251" s="1431" t="str">
        <f t="shared" si="349"/>
        <v>-</v>
      </c>
      <c r="BG251" s="1432" t="str">
        <f t="shared" si="350"/>
        <v>-</v>
      </c>
      <c r="BH251" s="1431" t="str">
        <f t="shared" si="351"/>
        <v>-</v>
      </c>
      <c r="BI251" s="1431" t="str">
        <f t="shared" si="352"/>
        <v>-</v>
      </c>
      <c r="BJ251" s="1431" t="str">
        <f t="shared" si="353"/>
        <v>-</v>
      </c>
      <c r="BK251" s="1431" t="str">
        <f t="shared" si="354"/>
        <v>-</v>
      </c>
      <c r="BL251" s="1433" t="str">
        <f t="shared" si="355"/>
        <v>-</v>
      </c>
      <c r="BM251" s="1431" t="str">
        <f t="shared" si="356"/>
        <v>-</v>
      </c>
      <c r="BN251" s="1431" t="str">
        <f t="shared" si="357"/>
        <v>-</v>
      </c>
      <c r="BO251" s="1431" t="str">
        <f t="shared" si="358"/>
        <v>-</v>
      </c>
      <c r="BP251" s="1431" t="str">
        <f t="shared" si="359"/>
        <v>-</v>
      </c>
      <c r="BQ251" s="1434" t="str">
        <f t="shared" si="360"/>
        <v>-</v>
      </c>
      <c r="BR251" s="1378"/>
      <c r="BS251" s="1407"/>
      <c r="BT251" s="1408"/>
      <c r="BU251" s="1409"/>
      <c r="BV251" s="1410"/>
      <c r="BW251" s="1378"/>
      <c r="BX251" s="1428" t="str">
        <f t="shared" si="361"/>
        <v>Rev</v>
      </c>
      <c r="BY251" s="1429" t="str">
        <f t="shared" si="406"/>
        <v>[Service]</v>
      </c>
      <c r="BZ251" s="1430" t="str">
        <f t="shared" si="407"/>
        <v>[Price]</v>
      </c>
      <c r="CA251" s="1435" t="str">
        <f>IFERROR((S251/R251-1)*(R251/R$13),"-")</f>
        <v>-</v>
      </c>
      <c r="CB251" s="1431" t="str">
        <f>IFERROR((T251/S251-1)*(S251/S$13),"-")</f>
        <v>-</v>
      </c>
      <c r="CC251" s="1431" t="str">
        <f>IFERROR((U251/T251-1)*(T251/T$13),"-")</f>
        <v>-</v>
      </c>
      <c r="CD251" s="1431" t="str">
        <f>IFERROR((V251/U251-1)*(U251/U$13),"-")</f>
        <v>-</v>
      </c>
      <c r="CE251" s="1431" t="str">
        <f t="shared" ref="CE251:CR251" si="476">IFERROR((T251/S251-1)*(S251/S$13),"-")</f>
        <v>-</v>
      </c>
      <c r="CF251" s="1431" t="str">
        <f t="shared" si="476"/>
        <v>-</v>
      </c>
      <c r="CG251" s="1431" t="str">
        <f t="shared" si="476"/>
        <v>-</v>
      </c>
      <c r="CH251" s="1433" t="str">
        <f t="shared" si="476"/>
        <v>-</v>
      </c>
      <c r="CI251" s="1431" t="str">
        <f t="shared" si="476"/>
        <v>-</v>
      </c>
      <c r="CJ251" s="1431" t="str">
        <f t="shared" si="476"/>
        <v>-</v>
      </c>
      <c r="CK251" s="1431" t="str">
        <f t="shared" si="476"/>
        <v>-</v>
      </c>
      <c r="CL251" s="1431" t="str">
        <f t="shared" si="476"/>
        <v>-</v>
      </c>
      <c r="CM251" s="1433" t="str">
        <f t="shared" si="476"/>
        <v>-</v>
      </c>
      <c r="CN251" s="1431" t="str">
        <f t="shared" si="476"/>
        <v>-</v>
      </c>
      <c r="CO251" s="1431" t="str">
        <f t="shared" si="476"/>
        <v>-</v>
      </c>
      <c r="CP251" s="1431" t="str">
        <f t="shared" si="476"/>
        <v>-</v>
      </c>
      <c r="CQ251" s="1431" t="str">
        <f t="shared" si="476"/>
        <v>-</v>
      </c>
      <c r="CR251" s="1434" t="str">
        <f t="shared" si="476"/>
        <v>-</v>
      </c>
      <c r="CS251" s="1378"/>
      <c r="CT251" s="1428" t="str">
        <f t="shared" si="341"/>
        <v>Rev</v>
      </c>
      <c r="CU251" s="1429" t="str">
        <f t="shared" si="342"/>
        <v>[Service]</v>
      </c>
      <c r="CV251" s="1429" t="str">
        <f t="shared" si="343"/>
        <v>[Price]</v>
      </c>
      <c r="CW251" s="1435" t="str">
        <f t="shared" si="363"/>
        <v>-</v>
      </c>
      <c r="CX251" s="1431" t="str">
        <f t="shared" si="364"/>
        <v>-</v>
      </c>
      <c r="CY251" s="1431" t="str">
        <f t="shared" si="365"/>
        <v>-</v>
      </c>
      <c r="CZ251" s="1433" t="str">
        <f t="shared" si="366"/>
        <v>-</v>
      </c>
      <c r="DA251" s="1431" t="str">
        <f t="shared" si="367"/>
        <v>-</v>
      </c>
      <c r="DB251" s="1431" t="str">
        <f t="shared" si="368"/>
        <v>-</v>
      </c>
      <c r="DC251" s="1431" t="str">
        <f t="shared" si="369"/>
        <v>-</v>
      </c>
      <c r="DD251" s="1431" t="str">
        <f t="shared" si="370"/>
        <v>-</v>
      </c>
      <c r="DE251" s="1434" t="str">
        <f t="shared" si="371"/>
        <v>-</v>
      </c>
      <c r="DF251" s="1378"/>
      <c r="DG251" s="1428" t="str">
        <f t="shared" si="383"/>
        <v>Rev</v>
      </c>
      <c r="DH251" s="1429" t="str">
        <f t="shared" si="383"/>
        <v>[Service]</v>
      </c>
      <c r="DI251" s="1429" t="str">
        <f t="shared" si="383"/>
        <v>[Price]</v>
      </c>
      <c r="DJ251" s="1435" t="str">
        <f t="shared" si="372"/>
        <v>-</v>
      </c>
      <c r="DK251" s="1431" t="str">
        <f t="shared" si="373"/>
        <v>-</v>
      </c>
      <c r="DL251" s="1431" t="str">
        <f t="shared" si="374"/>
        <v>-</v>
      </c>
      <c r="DM251" s="1433" t="str">
        <f t="shared" si="375"/>
        <v>-</v>
      </c>
      <c r="DN251" s="1431" t="str">
        <f t="shared" si="376"/>
        <v>-</v>
      </c>
      <c r="DO251" s="1431" t="str">
        <f t="shared" si="377"/>
        <v>-</v>
      </c>
      <c r="DP251" s="1431" t="str">
        <f t="shared" si="378"/>
        <v>-</v>
      </c>
      <c r="DQ251" s="1434" t="str">
        <f t="shared" si="379"/>
        <v>-</v>
      </c>
    </row>
    <row r="252" spans="4:121">
      <c r="D252" s="70">
        <f>D249+1</f>
        <v>62</v>
      </c>
      <c r="E252" s="713" t="s">
        <v>44</v>
      </c>
      <c r="F252" s="789" t="s">
        <v>27</v>
      </c>
      <c r="G252" s="789"/>
      <c r="H252" s="789"/>
      <c r="I252" s="781" t="s">
        <v>318</v>
      </c>
      <c r="J252" s="781" t="s">
        <v>345</v>
      </c>
      <c r="K252" s="714"/>
      <c r="L252" s="715"/>
      <c r="M252" s="715"/>
      <c r="N252" s="716"/>
      <c r="O252" s="783"/>
      <c r="P252" s="784"/>
      <c r="Q252" s="783"/>
      <c r="R252" s="783"/>
      <c r="S252" s="783"/>
      <c r="T252" s="783"/>
      <c r="U252" s="783"/>
      <c r="V252" s="783"/>
      <c r="W252" s="783"/>
      <c r="X252" s="784"/>
      <c r="Y252" s="783"/>
      <c r="Z252" s="783"/>
      <c r="AA252" s="783"/>
      <c r="AB252" s="783"/>
      <c r="AC252" s="784"/>
      <c r="AD252" s="783"/>
      <c r="AE252" s="783"/>
      <c r="AF252" s="783"/>
      <c r="AG252" s="785"/>
      <c r="AI252" s="745"/>
      <c r="AJ252" s="717" t="str">
        <f t="shared" ref="AJ252:AS252" si="477">IFERROR((X252-W252)/W252,"")</f>
        <v/>
      </c>
      <c r="AK252" s="718" t="str">
        <f t="shared" si="477"/>
        <v/>
      </c>
      <c r="AL252" s="718" t="str">
        <f t="shared" si="477"/>
        <v/>
      </c>
      <c r="AM252" s="718" t="str">
        <f t="shared" si="477"/>
        <v/>
      </c>
      <c r="AN252" s="718" t="str">
        <f t="shared" si="477"/>
        <v/>
      </c>
      <c r="AO252" s="719" t="str">
        <f t="shared" si="477"/>
        <v/>
      </c>
      <c r="AP252" s="494" t="str">
        <f t="shared" si="477"/>
        <v/>
      </c>
      <c r="AQ252" s="494" t="str">
        <f t="shared" si="477"/>
        <v/>
      </c>
      <c r="AR252" s="494" t="str">
        <f t="shared" si="477"/>
        <v/>
      </c>
      <c r="AS252" s="720" t="str">
        <f t="shared" si="477"/>
        <v/>
      </c>
      <c r="AU252" s="1369"/>
      <c r="AW252" s="1412" t="str">
        <f t="shared" si="381"/>
        <v>Price</v>
      </c>
      <c r="AX252" s="1413" t="str">
        <f t="shared" si="381"/>
        <v>[Service]</v>
      </c>
      <c r="AY252" s="1414" t="str">
        <f t="shared" si="345"/>
        <v>[Price]</v>
      </c>
      <c r="AZ252" s="1415" t="str">
        <f t="shared" si="465"/>
        <v>-</v>
      </c>
      <c r="BA252" s="1415" t="str">
        <f t="shared" si="465"/>
        <v>-</v>
      </c>
      <c r="BB252" s="1415" t="str">
        <f t="shared" si="465"/>
        <v>-</v>
      </c>
      <c r="BC252" s="1415" t="str">
        <f t="shared" si="465"/>
        <v>-</v>
      </c>
      <c r="BD252" s="1415" t="str">
        <f t="shared" si="347"/>
        <v>-</v>
      </c>
      <c r="BE252" s="1415" t="str">
        <f t="shared" si="348"/>
        <v>-</v>
      </c>
      <c r="BF252" s="1415" t="str">
        <f t="shared" si="349"/>
        <v>-</v>
      </c>
      <c r="BG252" s="1416" t="str">
        <f t="shared" si="350"/>
        <v>-</v>
      </c>
      <c r="BH252" s="1417" t="str">
        <f t="shared" si="351"/>
        <v>-</v>
      </c>
      <c r="BI252" s="1417" t="str">
        <f t="shared" si="352"/>
        <v>-</v>
      </c>
      <c r="BJ252" s="1417" t="str">
        <f t="shared" si="353"/>
        <v>-</v>
      </c>
      <c r="BK252" s="1417" t="str">
        <f t="shared" si="354"/>
        <v>-</v>
      </c>
      <c r="BL252" s="1418" t="str">
        <f t="shared" si="355"/>
        <v>-</v>
      </c>
      <c r="BM252" s="1417" t="str">
        <f t="shared" si="356"/>
        <v>-</v>
      </c>
      <c r="BN252" s="1417" t="str">
        <f t="shared" si="357"/>
        <v>-</v>
      </c>
      <c r="BO252" s="1417" t="str">
        <f t="shared" si="358"/>
        <v>-</v>
      </c>
      <c r="BP252" s="1417" t="str">
        <f t="shared" si="359"/>
        <v>-</v>
      </c>
      <c r="BQ252" s="1419" t="str">
        <f t="shared" si="360"/>
        <v>-</v>
      </c>
      <c r="BR252" s="1378"/>
      <c r="BS252" s="1420"/>
      <c r="BT252" s="1421"/>
      <c r="BU252" s="1422"/>
      <c r="BV252" s="1423"/>
      <c r="BW252" s="1378"/>
      <c r="BX252" s="1412" t="str">
        <f t="shared" si="361"/>
        <v>Price</v>
      </c>
      <c r="BY252" s="1413" t="str">
        <f t="shared" si="406"/>
        <v>[Service]</v>
      </c>
      <c r="BZ252" s="1414" t="str">
        <f t="shared" si="407"/>
        <v>[Price]</v>
      </c>
      <c r="CA252" s="1424" t="str">
        <f>IFERROR((S252/R252-1)*(R254/R$13),"-")</f>
        <v>-</v>
      </c>
      <c r="CB252" s="1415" t="str">
        <f>IFERROR((T252/S252-1)*(S254/S$13),"-")</f>
        <v>-</v>
      </c>
      <c r="CC252" s="1415" t="str">
        <f>IFERROR((U252/T252-1)*(T254/T$13),"-")</f>
        <v>-</v>
      </c>
      <c r="CD252" s="1415" t="str">
        <f>IFERROR((V252/U252-1)*(U254/U$13),"-")</f>
        <v>-</v>
      </c>
      <c r="CE252" s="1415" t="str">
        <f t="shared" ref="CE252:CR252" si="478">IFERROR((T252/S252-1)*(S254/S$13),"-")</f>
        <v>-</v>
      </c>
      <c r="CF252" s="1415" t="str">
        <f t="shared" si="478"/>
        <v>-</v>
      </c>
      <c r="CG252" s="1415" t="str">
        <f t="shared" si="478"/>
        <v>-</v>
      </c>
      <c r="CH252" s="1425" t="str">
        <f t="shared" si="478"/>
        <v>-</v>
      </c>
      <c r="CI252" s="1417" t="str">
        <f t="shared" si="478"/>
        <v>-</v>
      </c>
      <c r="CJ252" s="1417" t="str">
        <f t="shared" si="478"/>
        <v>-</v>
      </c>
      <c r="CK252" s="1417" t="str">
        <f t="shared" si="478"/>
        <v>-</v>
      </c>
      <c r="CL252" s="1417" t="str">
        <f t="shared" si="478"/>
        <v>-</v>
      </c>
      <c r="CM252" s="1418" t="str">
        <f t="shared" si="478"/>
        <v>-</v>
      </c>
      <c r="CN252" s="1417" t="str">
        <f t="shared" si="478"/>
        <v>-</v>
      </c>
      <c r="CO252" s="1417" t="str">
        <f t="shared" si="478"/>
        <v>-</v>
      </c>
      <c r="CP252" s="1417" t="str">
        <f t="shared" si="478"/>
        <v>-</v>
      </c>
      <c r="CQ252" s="1417" t="str">
        <f t="shared" si="478"/>
        <v>-</v>
      </c>
      <c r="CR252" s="1419" t="str">
        <f t="shared" si="478"/>
        <v>-</v>
      </c>
      <c r="CS252" s="1378"/>
      <c r="CT252" s="1412" t="str">
        <f t="shared" si="341"/>
        <v>Price</v>
      </c>
      <c r="CU252" s="1413" t="str">
        <f t="shared" si="342"/>
        <v>[Service]</v>
      </c>
      <c r="CV252" s="1426" t="str">
        <f t="shared" si="343"/>
        <v>[Price]</v>
      </c>
      <c r="CW252" s="1427" t="str">
        <f t="shared" si="363"/>
        <v>-</v>
      </c>
      <c r="CX252" s="1417" t="str">
        <f t="shared" si="364"/>
        <v>-</v>
      </c>
      <c r="CY252" s="1417" t="str">
        <f t="shared" si="365"/>
        <v>-</v>
      </c>
      <c r="CZ252" s="1418" t="str">
        <f t="shared" si="366"/>
        <v>-</v>
      </c>
      <c r="DA252" s="1417" t="str">
        <f t="shared" si="367"/>
        <v>-</v>
      </c>
      <c r="DB252" s="1417" t="str">
        <f t="shared" si="368"/>
        <v>-</v>
      </c>
      <c r="DC252" s="1417" t="str">
        <f t="shared" si="369"/>
        <v>-</v>
      </c>
      <c r="DD252" s="1417" t="str">
        <f t="shared" si="370"/>
        <v>-</v>
      </c>
      <c r="DE252" s="1419" t="str">
        <f t="shared" si="371"/>
        <v>-</v>
      </c>
      <c r="DF252" s="1378"/>
      <c r="DG252" s="1412" t="str">
        <f t="shared" si="383"/>
        <v>Price</v>
      </c>
      <c r="DH252" s="1413" t="str">
        <f t="shared" si="383"/>
        <v>[Service]</v>
      </c>
      <c r="DI252" s="1426" t="str">
        <f t="shared" si="383"/>
        <v>[Price]</v>
      </c>
      <c r="DJ252" s="1427" t="str">
        <f t="shared" si="372"/>
        <v>-</v>
      </c>
      <c r="DK252" s="1417" t="str">
        <f t="shared" si="373"/>
        <v>-</v>
      </c>
      <c r="DL252" s="1417" t="str">
        <f t="shared" si="374"/>
        <v>-</v>
      </c>
      <c r="DM252" s="1418" t="str">
        <f t="shared" si="375"/>
        <v>-</v>
      </c>
      <c r="DN252" s="1417" t="str">
        <f t="shared" si="376"/>
        <v>-</v>
      </c>
      <c r="DO252" s="1417" t="str">
        <f t="shared" si="377"/>
        <v>-</v>
      </c>
      <c r="DP252" s="1417" t="str">
        <f t="shared" si="378"/>
        <v>-</v>
      </c>
      <c r="DQ252" s="1419" t="str">
        <f t="shared" si="379"/>
        <v>-</v>
      </c>
    </row>
    <row r="253" spans="4:121">
      <c r="E253" s="742" t="s">
        <v>45</v>
      </c>
      <c r="F253" s="722" t="str">
        <f>+F252</f>
        <v>[Service]</v>
      </c>
      <c r="G253" s="723">
        <f>+G252</f>
        <v>0</v>
      </c>
      <c r="H253" s="723">
        <f>+H252</f>
        <v>0</v>
      </c>
      <c r="I253" s="724" t="str">
        <f>+I252</f>
        <v>[Price]</v>
      </c>
      <c r="J253" s="782" t="s">
        <v>322</v>
      </c>
      <c r="K253" s="725"/>
      <c r="L253" s="726"/>
      <c r="M253" s="726"/>
      <c r="N253" s="727"/>
      <c r="O253" s="786"/>
      <c r="P253" s="787"/>
      <c r="Q253" s="786"/>
      <c r="R253" s="786"/>
      <c r="S253" s="786"/>
      <c r="T253" s="786"/>
      <c r="U253" s="786"/>
      <c r="V253" s="786"/>
      <c r="W253" s="786"/>
      <c r="X253" s="787"/>
      <c r="Y253" s="786"/>
      <c r="Z253" s="786"/>
      <c r="AA253" s="786"/>
      <c r="AB253" s="786"/>
      <c r="AC253" s="787"/>
      <c r="AD253" s="786"/>
      <c r="AE253" s="786"/>
      <c r="AF253" s="786"/>
      <c r="AG253" s="788"/>
      <c r="AH253" s="823"/>
      <c r="AI253" s="745"/>
      <c r="AJ253" s="728"/>
      <c r="AK253" s="729"/>
      <c r="AL253" s="729"/>
      <c r="AM253" s="729"/>
      <c r="AN253" s="729"/>
      <c r="AO253" s="730"/>
      <c r="AP253" s="74"/>
      <c r="AQ253" s="74"/>
      <c r="AR253" s="74"/>
      <c r="AS253" s="106"/>
      <c r="AW253" s="1392" t="str">
        <f t="shared" si="381"/>
        <v>Qty</v>
      </c>
      <c r="AX253" s="1393" t="str">
        <f t="shared" si="381"/>
        <v>[Service]</v>
      </c>
      <c r="AY253" s="1394" t="str">
        <f t="shared" si="345"/>
        <v>[Price]</v>
      </c>
      <c r="AZ253" s="1395" t="str">
        <f t="shared" si="465"/>
        <v>-</v>
      </c>
      <c r="BA253" s="1395" t="str">
        <f t="shared" si="465"/>
        <v>-</v>
      </c>
      <c r="BB253" s="1395" t="str">
        <f t="shared" si="465"/>
        <v>-</v>
      </c>
      <c r="BC253" s="1395" t="str">
        <f t="shared" si="465"/>
        <v>-</v>
      </c>
      <c r="BD253" s="1395" t="str">
        <f t="shared" si="347"/>
        <v>-</v>
      </c>
      <c r="BE253" s="1395" t="str">
        <f t="shared" si="348"/>
        <v>-</v>
      </c>
      <c r="BF253" s="1395" t="str">
        <f t="shared" si="349"/>
        <v>-</v>
      </c>
      <c r="BG253" s="1396" t="str">
        <f t="shared" si="350"/>
        <v>-</v>
      </c>
      <c r="BH253" s="1395" t="str">
        <f t="shared" si="351"/>
        <v>-</v>
      </c>
      <c r="BI253" s="1395" t="str">
        <f t="shared" si="352"/>
        <v>-</v>
      </c>
      <c r="BJ253" s="1395" t="str">
        <f t="shared" si="353"/>
        <v>-</v>
      </c>
      <c r="BK253" s="1395" t="str">
        <f t="shared" si="354"/>
        <v>-</v>
      </c>
      <c r="BL253" s="1397" t="str">
        <f t="shared" si="355"/>
        <v>-</v>
      </c>
      <c r="BM253" s="1395" t="str">
        <f t="shared" si="356"/>
        <v>-</v>
      </c>
      <c r="BN253" s="1395" t="str">
        <f t="shared" si="357"/>
        <v>-</v>
      </c>
      <c r="BO253" s="1395" t="str">
        <f t="shared" si="358"/>
        <v>-</v>
      </c>
      <c r="BP253" s="1395" t="str">
        <f t="shared" si="359"/>
        <v>-</v>
      </c>
      <c r="BQ253" s="1398" t="str">
        <f t="shared" si="360"/>
        <v>-</v>
      </c>
      <c r="BR253" s="1378"/>
      <c r="BS253" s="1329"/>
      <c r="BT253" s="1399"/>
      <c r="BU253" s="1331"/>
      <c r="BV253" s="1400"/>
      <c r="BW253" s="1378"/>
      <c r="BX253" s="1392" t="str">
        <f t="shared" si="361"/>
        <v>Qty</v>
      </c>
      <c r="BY253" s="1393" t="str">
        <f t="shared" si="406"/>
        <v>[Service]</v>
      </c>
      <c r="BZ253" s="1394" t="str">
        <f t="shared" si="407"/>
        <v>[Price]</v>
      </c>
      <c r="CA253" s="1401" t="str">
        <f>IFERROR((S253/R253-1)*(R254/R$13),"-")</f>
        <v>-</v>
      </c>
      <c r="CB253" s="1395" t="str">
        <f>IFERROR((T253/S253-1)*(S254/S$13),"-")</f>
        <v>-</v>
      </c>
      <c r="CC253" s="1395" t="str">
        <f>IFERROR((U253/T253-1)*(T254/T$13),"-")</f>
        <v>-</v>
      </c>
      <c r="CD253" s="1395" t="str">
        <f>IFERROR((V253/U253-1)*(U254/U$13),"-")</f>
        <v>-</v>
      </c>
      <c r="CE253" s="1395" t="str">
        <f t="shared" ref="CE253:CR253" si="479">IFERROR((T253/S253-1)*(S254/S$13),"-")</f>
        <v>-</v>
      </c>
      <c r="CF253" s="1395" t="str">
        <f t="shared" si="479"/>
        <v>-</v>
      </c>
      <c r="CG253" s="1395" t="str">
        <f t="shared" si="479"/>
        <v>-</v>
      </c>
      <c r="CH253" s="1397" t="str">
        <f t="shared" si="479"/>
        <v>-</v>
      </c>
      <c r="CI253" s="1395" t="str">
        <f t="shared" si="479"/>
        <v>-</v>
      </c>
      <c r="CJ253" s="1395" t="str">
        <f t="shared" si="479"/>
        <v>-</v>
      </c>
      <c r="CK253" s="1395" t="str">
        <f t="shared" si="479"/>
        <v>-</v>
      </c>
      <c r="CL253" s="1395" t="str">
        <f t="shared" si="479"/>
        <v>-</v>
      </c>
      <c r="CM253" s="1397" t="str">
        <f t="shared" si="479"/>
        <v>-</v>
      </c>
      <c r="CN253" s="1395" t="str">
        <f t="shared" si="479"/>
        <v>-</v>
      </c>
      <c r="CO253" s="1395" t="str">
        <f t="shared" si="479"/>
        <v>-</v>
      </c>
      <c r="CP253" s="1395" t="str">
        <f t="shared" si="479"/>
        <v>-</v>
      </c>
      <c r="CQ253" s="1395" t="str">
        <f t="shared" si="479"/>
        <v>-</v>
      </c>
      <c r="CR253" s="1398" t="str">
        <f t="shared" si="479"/>
        <v>-</v>
      </c>
      <c r="CS253" s="1378"/>
      <c r="CT253" s="1392" t="str">
        <f t="shared" si="341"/>
        <v>Qty</v>
      </c>
      <c r="CU253" s="1393" t="str">
        <f t="shared" si="342"/>
        <v>[Service]</v>
      </c>
      <c r="CV253" s="1393" t="str">
        <f t="shared" si="343"/>
        <v>[Price]</v>
      </c>
      <c r="CW253" s="1401" t="str">
        <f t="shared" si="363"/>
        <v>-</v>
      </c>
      <c r="CX253" s="1395" t="str">
        <f t="shared" si="364"/>
        <v>-</v>
      </c>
      <c r="CY253" s="1395" t="str">
        <f t="shared" si="365"/>
        <v>-</v>
      </c>
      <c r="CZ253" s="1397" t="str">
        <f t="shared" si="366"/>
        <v>-</v>
      </c>
      <c r="DA253" s="1395" t="str">
        <f t="shared" si="367"/>
        <v>-</v>
      </c>
      <c r="DB253" s="1395" t="str">
        <f t="shared" si="368"/>
        <v>-</v>
      </c>
      <c r="DC253" s="1395" t="str">
        <f t="shared" si="369"/>
        <v>-</v>
      </c>
      <c r="DD253" s="1395" t="str">
        <f t="shared" si="370"/>
        <v>-</v>
      </c>
      <c r="DE253" s="1398" t="str">
        <f t="shared" si="371"/>
        <v>-</v>
      </c>
      <c r="DF253" s="1378"/>
      <c r="DG253" s="1392" t="str">
        <f t="shared" si="383"/>
        <v>Qty</v>
      </c>
      <c r="DH253" s="1393" t="str">
        <f t="shared" si="383"/>
        <v>[Service]</v>
      </c>
      <c r="DI253" s="1393" t="str">
        <f t="shared" si="383"/>
        <v>[Price]</v>
      </c>
      <c r="DJ253" s="1401" t="str">
        <f t="shared" si="372"/>
        <v>-</v>
      </c>
      <c r="DK253" s="1395" t="str">
        <f t="shared" si="373"/>
        <v>-</v>
      </c>
      <c r="DL253" s="1395" t="str">
        <f t="shared" si="374"/>
        <v>-</v>
      </c>
      <c r="DM253" s="1397" t="str">
        <f t="shared" si="375"/>
        <v>-</v>
      </c>
      <c r="DN253" s="1395" t="str">
        <f t="shared" si="376"/>
        <v>-</v>
      </c>
      <c r="DO253" s="1395" t="str">
        <f t="shared" si="377"/>
        <v>-</v>
      </c>
      <c r="DP253" s="1395" t="str">
        <f t="shared" si="378"/>
        <v>-</v>
      </c>
      <c r="DQ253" s="1398" t="str">
        <f t="shared" si="379"/>
        <v>-</v>
      </c>
    </row>
    <row r="254" spans="4:121" ht="12.75" thickBot="1">
      <c r="E254" s="743" t="s">
        <v>46</v>
      </c>
      <c r="F254" s="732" t="str">
        <f>+F252</f>
        <v>[Service]</v>
      </c>
      <c r="G254" s="733">
        <f>+G252</f>
        <v>0</v>
      </c>
      <c r="H254" s="733">
        <f>+H252</f>
        <v>0</v>
      </c>
      <c r="I254" s="734" t="str">
        <f>+I252</f>
        <v>[Price]</v>
      </c>
      <c r="J254" s="735" t="s">
        <v>344</v>
      </c>
      <c r="K254" s="736">
        <f t="shared" ref="K254:AG254" si="480">K252*K253/10^6</f>
        <v>0</v>
      </c>
      <c r="L254" s="737">
        <f t="shared" si="480"/>
        <v>0</v>
      </c>
      <c r="M254" s="737">
        <f t="shared" si="480"/>
        <v>0</v>
      </c>
      <c r="N254" s="738">
        <f t="shared" si="480"/>
        <v>0</v>
      </c>
      <c r="O254" s="737">
        <f t="shared" si="480"/>
        <v>0</v>
      </c>
      <c r="P254" s="738">
        <f t="shared" si="480"/>
        <v>0</v>
      </c>
      <c r="Q254" s="737">
        <f t="shared" si="480"/>
        <v>0</v>
      </c>
      <c r="R254" s="737">
        <f t="shared" si="480"/>
        <v>0</v>
      </c>
      <c r="S254" s="737">
        <f t="shared" si="480"/>
        <v>0</v>
      </c>
      <c r="T254" s="737">
        <f t="shared" si="480"/>
        <v>0</v>
      </c>
      <c r="U254" s="737">
        <f t="shared" si="480"/>
        <v>0</v>
      </c>
      <c r="V254" s="737">
        <f t="shared" si="480"/>
        <v>0</v>
      </c>
      <c r="W254" s="737">
        <f t="shared" si="480"/>
        <v>0</v>
      </c>
      <c r="X254" s="738">
        <f t="shared" si="480"/>
        <v>0</v>
      </c>
      <c r="Y254" s="737">
        <f t="shared" si="480"/>
        <v>0</v>
      </c>
      <c r="Z254" s="737">
        <f t="shared" si="480"/>
        <v>0</v>
      </c>
      <c r="AA254" s="737">
        <f t="shared" si="480"/>
        <v>0</v>
      </c>
      <c r="AB254" s="737">
        <f t="shared" si="480"/>
        <v>0</v>
      </c>
      <c r="AC254" s="738">
        <f t="shared" si="480"/>
        <v>0</v>
      </c>
      <c r="AD254" s="737">
        <f t="shared" si="480"/>
        <v>0</v>
      </c>
      <c r="AE254" s="737">
        <f t="shared" si="480"/>
        <v>0</v>
      </c>
      <c r="AF254" s="737">
        <f t="shared" si="480"/>
        <v>0</v>
      </c>
      <c r="AG254" s="739">
        <f t="shared" si="480"/>
        <v>0</v>
      </c>
      <c r="AH254" s="823"/>
      <c r="AI254" s="745"/>
      <c r="AJ254" s="741"/>
      <c r="AK254" s="729"/>
      <c r="AL254" s="729"/>
      <c r="AM254" s="729"/>
      <c r="AN254" s="729"/>
      <c r="AO254" s="730"/>
      <c r="AP254" s="74"/>
      <c r="AQ254" s="74"/>
      <c r="AR254" s="74"/>
      <c r="AS254" s="106"/>
      <c r="AW254" s="1428" t="str">
        <f t="shared" si="381"/>
        <v>Rev</v>
      </c>
      <c r="AX254" s="1429" t="str">
        <f t="shared" si="381"/>
        <v>[Service]</v>
      </c>
      <c r="AY254" s="1430" t="str">
        <f t="shared" si="345"/>
        <v>[Price]</v>
      </c>
      <c r="AZ254" s="1431" t="str">
        <f t="shared" si="465"/>
        <v>-</v>
      </c>
      <c r="BA254" s="1431" t="str">
        <f t="shared" si="465"/>
        <v>-</v>
      </c>
      <c r="BB254" s="1431" t="str">
        <f t="shared" si="465"/>
        <v>-</v>
      </c>
      <c r="BC254" s="1431" t="str">
        <f t="shared" si="465"/>
        <v>-</v>
      </c>
      <c r="BD254" s="1431" t="str">
        <f t="shared" si="347"/>
        <v>-</v>
      </c>
      <c r="BE254" s="1431" t="str">
        <f t="shared" si="348"/>
        <v>-</v>
      </c>
      <c r="BF254" s="1431" t="str">
        <f t="shared" si="349"/>
        <v>-</v>
      </c>
      <c r="BG254" s="1432" t="str">
        <f t="shared" si="350"/>
        <v>-</v>
      </c>
      <c r="BH254" s="1431" t="str">
        <f t="shared" si="351"/>
        <v>-</v>
      </c>
      <c r="BI254" s="1431" t="str">
        <f t="shared" si="352"/>
        <v>-</v>
      </c>
      <c r="BJ254" s="1431" t="str">
        <f t="shared" si="353"/>
        <v>-</v>
      </c>
      <c r="BK254" s="1431" t="str">
        <f t="shared" si="354"/>
        <v>-</v>
      </c>
      <c r="BL254" s="1433" t="str">
        <f t="shared" si="355"/>
        <v>-</v>
      </c>
      <c r="BM254" s="1431" t="str">
        <f t="shared" si="356"/>
        <v>-</v>
      </c>
      <c r="BN254" s="1431" t="str">
        <f t="shared" si="357"/>
        <v>-</v>
      </c>
      <c r="BO254" s="1431" t="str">
        <f t="shared" si="358"/>
        <v>-</v>
      </c>
      <c r="BP254" s="1431" t="str">
        <f t="shared" si="359"/>
        <v>-</v>
      </c>
      <c r="BQ254" s="1434" t="str">
        <f t="shared" si="360"/>
        <v>-</v>
      </c>
      <c r="BR254" s="1378"/>
      <c r="BS254" s="1407"/>
      <c r="BT254" s="1408"/>
      <c r="BU254" s="1409"/>
      <c r="BV254" s="1410"/>
      <c r="BW254" s="1378"/>
      <c r="BX254" s="1428" t="str">
        <f t="shared" si="361"/>
        <v>Rev</v>
      </c>
      <c r="BY254" s="1429" t="str">
        <f t="shared" si="406"/>
        <v>[Service]</v>
      </c>
      <c r="BZ254" s="1430" t="str">
        <f t="shared" si="407"/>
        <v>[Price]</v>
      </c>
      <c r="CA254" s="1435" t="str">
        <f>IFERROR((S254/R254-1)*(R254/R$13),"-")</f>
        <v>-</v>
      </c>
      <c r="CB254" s="1431" t="str">
        <f>IFERROR((T254/S254-1)*(S254/S$13),"-")</f>
        <v>-</v>
      </c>
      <c r="CC254" s="1431" t="str">
        <f>IFERROR((U254/T254-1)*(T254/T$13),"-")</f>
        <v>-</v>
      </c>
      <c r="CD254" s="1431" t="str">
        <f>IFERROR((V254/U254-1)*(U254/U$13),"-")</f>
        <v>-</v>
      </c>
      <c r="CE254" s="1431" t="str">
        <f t="shared" ref="CE254:CR254" si="481">IFERROR((T254/S254-1)*(S254/S$13),"-")</f>
        <v>-</v>
      </c>
      <c r="CF254" s="1431" t="str">
        <f t="shared" si="481"/>
        <v>-</v>
      </c>
      <c r="CG254" s="1431" t="str">
        <f t="shared" si="481"/>
        <v>-</v>
      </c>
      <c r="CH254" s="1433" t="str">
        <f t="shared" si="481"/>
        <v>-</v>
      </c>
      <c r="CI254" s="1431" t="str">
        <f t="shared" si="481"/>
        <v>-</v>
      </c>
      <c r="CJ254" s="1431" t="str">
        <f t="shared" si="481"/>
        <v>-</v>
      </c>
      <c r="CK254" s="1431" t="str">
        <f t="shared" si="481"/>
        <v>-</v>
      </c>
      <c r="CL254" s="1431" t="str">
        <f t="shared" si="481"/>
        <v>-</v>
      </c>
      <c r="CM254" s="1433" t="str">
        <f t="shared" si="481"/>
        <v>-</v>
      </c>
      <c r="CN254" s="1431" t="str">
        <f t="shared" si="481"/>
        <v>-</v>
      </c>
      <c r="CO254" s="1431" t="str">
        <f t="shared" si="481"/>
        <v>-</v>
      </c>
      <c r="CP254" s="1431" t="str">
        <f t="shared" si="481"/>
        <v>-</v>
      </c>
      <c r="CQ254" s="1431" t="str">
        <f t="shared" si="481"/>
        <v>-</v>
      </c>
      <c r="CR254" s="1434" t="str">
        <f t="shared" si="481"/>
        <v>-</v>
      </c>
      <c r="CS254" s="1378"/>
      <c r="CT254" s="1428" t="str">
        <f t="shared" si="341"/>
        <v>Rev</v>
      </c>
      <c r="CU254" s="1429" t="str">
        <f t="shared" si="342"/>
        <v>[Service]</v>
      </c>
      <c r="CV254" s="1429" t="str">
        <f t="shared" si="343"/>
        <v>[Price]</v>
      </c>
      <c r="CW254" s="1435" t="str">
        <f t="shared" si="363"/>
        <v>-</v>
      </c>
      <c r="CX254" s="1431" t="str">
        <f t="shared" si="364"/>
        <v>-</v>
      </c>
      <c r="CY254" s="1431" t="str">
        <f t="shared" si="365"/>
        <v>-</v>
      </c>
      <c r="CZ254" s="1433" t="str">
        <f t="shared" si="366"/>
        <v>-</v>
      </c>
      <c r="DA254" s="1431" t="str">
        <f t="shared" si="367"/>
        <v>-</v>
      </c>
      <c r="DB254" s="1431" t="str">
        <f t="shared" si="368"/>
        <v>-</v>
      </c>
      <c r="DC254" s="1431" t="str">
        <f t="shared" si="369"/>
        <v>-</v>
      </c>
      <c r="DD254" s="1431" t="str">
        <f t="shared" si="370"/>
        <v>-</v>
      </c>
      <c r="DE254" s="1434" t="str">
        <f t="shared" si="371"/>
        <v>-</v>
      </c>
      <c r="DF254" s="1378"/>
      <c r="DG254" s="1428" t="str">
        <f t="shared" si="383"/>
        <v>Rev</v>
      </c>
      <c r="DH254" s="1429" t="str">
        <f t="shared" si="383"/>
        <v>[Service]</v>
      </c>
      <c r="DI254" s="1429" t="str">
        <f t="shared" si="383"/>
        <v>[Price]</v>
      </c>
      <c r="DJ254" s="1435" t="str">
        <f t="shared" si="372"/>
        <v>-</v>
      </c>
      <c r="DK254" s="1431" t="str">
        <f t="shared" si="373"/>
        <v>-</v>
      </c>
      <c r="DL254" s="1431" t="str">
        <f t="shared" si="374"/>
        <v>-</v>
      </c>
      <c r="DM254" s="1433" t="str">
        <f t="shared" si="375"/>
        <v>-</v>
      </c>
      <c r="DN254" s="1431" t="str">
        <f t="shared" si="376"/>
        <v>-</v>
      </c>
      <c r="DO254" s="1431" t="str">
        <f t="shared" si="377"/>
        <v>-</v>
      </c>
      <c r="DP254" s="1431" t="str">
        <f t="shared" si="378"/>
        <v>-</v>
      </c>
      <c r="DQ254" s="1434" t="str">
        <f t="shared" si="379"/>
        <v>-</v>
      </c>
    </row>
    <row r="255" spans="4:121">
      <c r="D255" s="70">
        <f>D252+1</f>
        <v>63</v>
      </c>
      <c r="E255" s="713" t="s">
        <v>44</v>
      </c>
      <c r="F255" s="789" t="s">
        <v>27</v>
      </c>
      <c r="G255" s="789"/>
      <c r="H255" s="789"/>
      <c r="I255" s="781" t="s">
        <v>318</v>
      </c>
      <c r="J255" s="781" t="s">
        <v>345</v>
      </c>
      <c r="K255" s="714"/>
      <c r="L255" s="715"/>
      <c r="M255" s="715"/>
      <c r="N255" s="716"/>
      <c r="O255" s="783"/>
      <c r="P255" s="784"/>
      <c r="Q255" s="783"/>
      <c r="R255" s="783"/>
      <c r="S255" s="783"/>
      <c r="T255" s="783"/>
      <c r="U255" s="783"/>
      <c r="V255" s="783"/>
      <c r="W255" s="783"/>
      <c r="X255" s="784"/>
      <c r="Y255" s="783"/>
      <c r="Z255" s="783"/>
      <c r="AA255" s="783"/>
      <c r="AB255" s="783"/>
      <c r="AC255" s="784"/>
      <c r="AD255" s="783"/>
      <c r="AE255" s="783"/>
      <c r="AF255" s="783"/>
      <c r="AG255" s="785"/>
      <c r="AI255" s="745"/>
      <c r="AJ255" s="717" t="str">
        <f t="shared" ref="AJ255:AS255" si="482">IFERROR((X255-W255)/W255,"")</f>
        <v/>
      </c>
      <c r="AK255" s="718" t="str">
        <f t="shared" si="482"/>
        <v/>
      </c>
      <c r="AL255" s="718" t="str">
        <f t="shared" si="482"/>
        <v/>
      </c>
      <c r="AM255" s="718" t="str">
        <f t="shared" si="482"/>
        <v/>
      </c>
      <c r="AN255" s="718" t="str">
        <f t="shared" si="482"/>
        <v/>
      </c>
      <c r="AO255" s="719" t="str">
        <f t="shared" si="482"/>
        <v/>
      </c>
      <c r="AP255" s="494" t="str">
        <f t="shared" si="482"/>
        <v/>
      </c>
      <c r="AQ255" s="494" t="str">
        <f t="shared" si="482"/>
        <v/>
      </c>
      <c r="AR255" s="494" t="str">
        <f t="shared" si="482"/>
        <v/>
      </c>
      <c r="AS255" s="720" t="str">
        <f t="shared" si="482"/>
        <v/>
      </c>
      <c r="AU255" s="1369"/>
      <c r="AW255" s="1412" t="str">
        <f t="shared" si="381"/>
        <v>Price</v>
      </c>
      <c r="AX255" s="1413" t="str">
        <f t="shared" si="381"/>
        <v>[Service]</v>
      </c>
      <c r="AY255" s="1414" t="str">
        <f t="shared" si="345"/>
        <v>[Price]</v>
      </c>
      <c r="AZ255" s="1415" t="str">
        <f t="shared" si="465"/>
        <v>-</v>
      </c>
      <c r="BA255" s="1415" t="str">
        <f t="shared" si="465"/>
        <v>-</v>
      </c>
      <c r="BB255" s="1415" t="str">
        <f t="shared" si="465"/>
        <v>-</v>
      </c>
      <c r="BC255" s="1415" t="str">
        <f t="shared" si="465"/>
        <v>-</v>
      </c>
      <c r="BD255" s="1415" t="str">
        <f t="shared" si="347"/>
        <v>-</v>
      </c>
      <c r="BE255" s="1415" t="str">
        <f t="shared" si="348"/>
        <v>-</v>
      </c>
      <c r="BF255" s="1415" t="str">
        <f t="shared" si="349"/>
        <v>-</v>
      </c>
      <c r="BG255" s="1416" t="str">
        <f t="shared" si="350"/>
        <v>-</v>
      </c>
      <c r="BH255" s="1417" t="str">
        <f t="shared" si="351"/>
        <v>-</v>
      </c>
      <c r="BI255" s="1417" t="str">
        <f t="shared" si="352"/>
        <v>-</v>
      </c>
      <c r="BJ255" s="1417" t="str">
        <f t="shared" si="353"/>
        <v>-</v>
      </c>
      <c r="BK255" s="1417" t="str">
        <f t="shared" si="354"/>
        <v>-</v>
      </c>
      <c r="BL255" s="1418" t="str">
        <f t="shared" si="355"/>
        <v>-</v>
      </c>
      <c r="BM255" s="1417" t="str">
        <f t="shared" si="356"/>
        <v>-</v>
      </c>
      <c r="BN255" s="1417" t="str">
        <f t="shared" si="357"/>
        <v>-</v>
      </c>
      <c r="BO255" s="1417" t="str">
        <f t="shared" si="358"/>
        <v>-</v>
      </c>
      <c r="BP255" s="1417" t="str">
        <f t="shared" si="359"/>
        <v>-</v>
      </c>
      <c r="BQ255" s="1419" t="str">
        <f t="shared" si="360"/>
        <v>-</v>
      </c>
      <c r="BR255" s="1378"/>
      <c r="BS255" s="1420"/>
      <c r="BT255" s="1421"/>
      <c r="BU255" s="1422"/>
      <c r="BV255" s="1423"/>
      <c r="BW255" s="1378"/>
      <c r="BX255" s="1412" t="str">
        <f t="shared" si="361"/>
        <v>Price</v>
      </c>
      <c r="BY255" s="1413" t="str">
        <f t="shared" si="406"/>
        <v>[Service]</v>
      </c>
      <c r="BZ255" s="1414" t="str">
        <f t="shared" si="407"/>
        <v>[Price]</v>
      </c>
      <c r="CA255" s="1424" t="str">
        <f>IFERROR((S255/R255-1)*(R257/R$13),"-")</f>
        <v>-</v>
      </c>
      <c r="CB255" s="1415" t="str">
        <f>IFERROR((T255/S255-1)*(S257/S$13),"-")</f>
        <v>-</v>
      </c>
      <c r="CC255" s="1415" t="str">
        <f>IFERROR((U255/T255-1)*(T257/T$13),"-")</f>
        <v>-</v>
      </c>
      <c r="CD255" s="1415" t="str">
        <f>IFERROR((V255/U255-1)*(U257/U$13),"-")</f>
        <v>-</v>
      </c>
      <c r="CE255" s="1415" t="str">
        <f t="shared" ref="CE255:CR255" si="483">IFERROR((T255/S255-1)*(S257/S$13),"-")</f>
        <v>-</v>
      </c>
      <c r="CF255" s="1415" t="str">
        <f t="shared" si="483"/>
        <v>-</v>
      </c>
      <c r="CG255" s="1415" t="str">
        <f t="shared" si="483"/>
        <v>-</v>
      </c>
      <c r="CH255" s="1425" t="str">
        <f t="shared" si="483"/>
        <v>-</v>
      </c>
      <c r="CI255" s="1417" t="str">
        <f t="shared" si="483"/>
        <v>-</v>
      </c>
      <c r="CJ255" s="1417" t="str">
        <f t="shared" si="483"/>
        <v>-</v>
      </c>
      <c r="CK255" s="1417" t="str">
        <f t="shared" si="483"/>
        <v>-</v>
      </c>
      <c r="CL255" s="1417" t="str">
        <f t="shared" si="483"/>
        <v>-</v>
      </c>
      <c r="CM255" s="1418" t="str">
        <f t="shared" si="483"/>
        <v>-</v>
      </c>
      <c r="CN255" s="1417" t="str">
        <f t="shared" si="483"/>
        <v>-</v>
      </c>
      <c r="CO255" s="1417" t="str">
        <f t="shared" si="483"/>
        <v>-</v>
      </c>
      <c r="CP255" s="1417" t="str">
        <f t="shared" si="483"/>
        <v>-</v>
      </c>
      <c r="CQ255" s="1417" t="str">
        <f t="shared" si="483"/>
        <v>-</v>
      </c>
      <c r="CR255" s="1419" t="str">
        <f t="shared" si="483"/>
        <v>-</v>
      </c>
      <c r="CS255" s="1378"/>
      <c r="CT255" s="1412" t="str">
        <f t="shared" si="341"/>
        <v>Price</v>
      </c>
      <c r="CU255" s="1413" t="str">
        <f t="shared" si="342"/>
        <v>[Service]</v>
      </c>
      <c r="CV255" s="1426" t="str">
        <f t="shared" si="343"/>
        <v>[Price]</v>
      </c>
      <c r="CW255" s="1427" t="str">
        <f t="shared" si="363"/>
        <v>-</v>
      </c>
      <c r="CX255" s="1417" t="str">
        <f t="shared" si="364"/>
        <v>-</v>
      </c>
      <c r="CY255" s="1417" t="str">
        <f t="shared" si="365"/>
        <v>-</v>
      </c>
      <c r="CZ255" s="1418" t="str">
        <f t="shared" si="366"/>
        <v>-</v>
      </c>
      <c r="DA255" s="1417" t="str">
        <f t="shared" si="367"/>
        <v>-</v>
      </c>
      <c r="DB255" s="1417" t="str">
        <f t="shared" si="368"/>
        <v>-</v>
      </c>
      <c r="DC255" s="1417" t="str">
        <f t="shared" si="369"/>
        <v>-</v>
      </c>
      <c r="DD255" s="1417" t="str">
        <f t="shared" si="370"/>
        <v>-</v>
      </c>
      <c r="DE255" s="1419" t="str">
        <f t="shared" si="371"/>
        <v>-</v>
      </c>
      <c r="DF255" s="1378"/>
      <c r="DG255" s="1412" t="str">
        <f t="shared" si="383"/>
        <v>Price</v>
      </c>
      <c r="DH255" s="1413" t="str">
        <f t="shared" si="383"/>
        <v>[Service]</v>
      </c>
      <c r="DI255" s="1426" t="str">
        <f t="shared" si="383"/>
        <v>[Price]</v>
      </c>
      <c r="DJ255" s="1427" t="str">
        <f t="shared" si="372"/>
        <v>-</v>
      </c>
      <c r="DK255" s="1417" t="str">
        <f t="shared" si="373"/>
        <v>-</v>
      </c>
      <c r="DL255" s="1417" t="str">
        <f t="shared" si="374"/>
        <v>-</v>
      </c>
      <c r="DM255" s="1418" t="str">
        <f t="shared" si="375"/>
        <v>-</v>
      </c>
      <c r="DN255" s="1417" t="str">
        <f t="shared" si="376"/>
        <v>-</v>
      </c>
      <c r="DO255" s="1417" t="str">
        <f t="shared" si="377"/>
        <v>-</v>
      </c>
      <c r="DP255" s="1417" t="str">
        <f t="shared" si="378"/>
        <v>-</v>
      </c>
      <c r="DQ255" s="1419" t="str">
        <f t="shared" si="379"/>
        <v>-</v>
      </c>
    </row>
    <row r="256" spans="4:121">
      <c r="E256" s="742" t="s">
        <v>45</v>
      </c>
      <c r="F256" s="722" t="str">
        <f>+F255</f>
        <v>[Service]</v>
      </c>
      <c r="G256" s="723">
        <f>+G255</f>
        <v>0</v>
      </c>
      <c r="H256" s="723">
        <f>+H255</f>
        <v>0</v>
      </c>
      <c r="I256" s="724" t="str">
        <f>+I255</f>
        <v>[Price]</v>
      </c>
      <c r="J256" s="782" t="s">
        <v>322</v>
      </c>
      <c r="K256" s="725"/>
      <c r="L256" s="726"/>
      <c r="M256" s="726"/>
      <c r="N256" s="727"/>
      <c r="O256" s="786"/>
      <c r="P256" s="787"/>
      <c r="Q256" s="786"/>
      <c r="R256" s="786"/>
      <c r="S256" s="786"/>
      <c r="T256" s="786"/>
      <c r="U256" s="786"/>
      <c r="V256" s="786"/>
      <c r="W256" s="786"/>
      <c r="X256" s="787"/>
      <c r="Y256" s="786"/>
      <c r="Z256" s="786"/>
      <c r="AA256" s="786"/>
      <c r="AB256" s="786"/>
      <c r="AC256" s="787"/>
      <c r="AD256" s="786"/>
      <c r="AE256" s="786"/>
      <c r="AF256" s="786"/>
      <c r="AG256" s="788"/>
      <c r="AH256" s="823"/>
      <c r="AI256" s="745"/>
      <c r="AJ256" s="728"/>
      <c r="AK256" s="729"/>
      <c r="AL256" s="729"/>
      <c r="AM256" s="729"/>
      <c r="AN256" s="729"/>
      <c r="AO256" s="730"/>
      <c r="AP256" s="74"/>
      <c r="AQ256" s="74"/>
      <c r="AR256" s="74"/>
      <c r="AS256" s="106"/>
      <c r="AW256" s="1392" t="str">
        <f t="shared" si="381"/>
        <v>Qty</v>
      </c>
      <c r="AX256" s="1393" t="str">
        <f t="shared" si="381"/>
        <v>[Service]</v>
      </c>
      <c r="AY256" s="1394" t="str">
        <f t="shared" si="345"/>
        <v>[Price]</v>
      </c>
      <c r="AZ256" s="1395" t="str">
        <f t="shared" si="465"/>
        <v>-</v>
      </c>
      <c r="BA256" s="1395" t="str">
        <f t="shared" si="465"/>
        <v>-</v>
      </c>
      <c r="BB256" s="1395" t="str">
        <f t="shared" si="465"/>
        <v>-</v>
      </c>
      <c r="BC256" s="1395" t="str">
        <f t="shared" si="465"/>
        <v>-</v>
      </c>
      <c r="BD256" s="1395" t="str">
        <f t="shared" si="347"/>
        <v>-</v>
      </c>
      <c r="BE256" s="1395" t="str">
        <f t="shared" si="348"/>
        <v>-</v>
      </c>
      <c r="BF256" s="1395" t="str">
        <f t="shared" si="349"/>
        <v>-</v>
      </c>
      <c r="BG256" s="1396" t="str">
        <f t="shared" si="350"/>
        <v>-</v>
      </c>
      <c r="BH256" s="1395" t="str">
        <f t="shared" si="351"/>
        <v>-</v>
      </c>
      <c r="BI256" s="1395" t="str">
        <f t="shared" si="352"/>
        <v>-</v>
      </c>
      <c r="BJ256" s="1395" t="str">
        <f t="shared" si="353"/>
        <v>-</v>
      </c>
      <c r="BK256" s="1395" t="str">
        <f t="shared" si="354"/>
        <v>-</v>
      </c>
      <c r="BL256" s="1397" t="str">
        <f t="shared" si="355"/>
        <v>-</v>
      </c>
      <c r="BM256" s="1395" t="str">
        <f t="shared" si="356"/>
        <v>-</v>
      </c>
      <c r="BN256" s="1395" t="str">
        <f t="shared" si="357"/>
        <v>-</v>
      </c>
      <c r="BO256" s="1395" t="str">
        <f t="shared" si="358"/>
        <v>-</v>
      </c>
      <c r="BP256" s="1395" t="str">
        <f t="shared" si="359"/>
        <v>-</v>
      </c>
      <c r="BQ256" s="1398" t="str">
        <f t="shared" si="360"/>
        <v>-</v>
      </c>
      <c r="BR256" s="1378"/>
      <c r="BS256" s="1329"/>
      <c r="BT256" s="1399"/>
      <c r="BU256" s="1331"/>
      <c r="BV256" s="1400"/>
      <c r="BW256" s="1378"/>
      <c r="BX256" s="1392" t="str">
        <f t="shared" si="361"/>
        <v>Qty</v>
      </c>
      <c r="BY256" s="1393" t="str">
        <f t="shared" si="406"/>
        <v>[Service]</v>
      </c>
      <c r="BZ256" s="1394" t="str">
        <f t="shared" si="407"/>
        <v>[Price]</v>
      </c>
      <c r="CA256" s="1401" t="str">
        <f>IFERROR((S256/R256-1)*(R257/R$13),"-")</f>
        <v>-</v>
      </c>
      <c r="CB256" s="1395" t="str">
        <f>IFERROR((T256/S256-1)*(S257/S$13),"-")</f>
        <v>-</v>
      </c>
      <c r="CC256" s="1395" t="str">
        <f>IFERROR((U256/T256-1)*(T257/T$13),"-")</f>
        <v>-</v>
      </c>
      <c r="CD256" s="1395" t="str">
        <f>IFERROR((V256/U256-1)*(U257/U$13),"-")</f>
        <v>-</v>
      </c>
      <c r="CE256" s="1395" t="str">
        <f t="shared" ref="CE256:CR256" si="484">IFERROR((T256/S256-1)*(S257/S$13),"-")</f>
        <v>-</v>
      </c>
      <c r="CF256" s="1395" t="str">
        <f t="shared" si="484"/>
        <v>-</v>
      </c>
      <c r="CG256" s="1395" t="str">
        <f t="shared" si="484"/>
        <v>-</v>
      </c>
      <c r="CH256" s="1397" t="str">
        <f t="shared" si="484"/>
        <v>-</v>
      </c>
      <c r="CI256" s="1395" t="str">
        <f t="shared" si="484"/>
        <v>-</v>
      </c>
      <c r="CJ256" s="1395" t="str">
        <f t="shared" si="484"/>
        <v>-</v>
      </c>
      <c r="CK256" s="1395" t="str">
        <f t="shared" si="484"/>
        <v>-</v>
      </c>
      <c r="CL256" s="1395" t="str">
        <f t="shared" si="484"/>
        <v>-</v>
      </c>
      <c r="CM256" s="1397" t="str">
        <f t="shared" si="484"/>
        <v>-</v>
      </c>
      <c r="CN256" s="1395" t="str">
        <f t="shared" si="484"/>
        <v>-</v>
      </c>
      <c r="CO256" s="1395" t="str">
        <f t="shared" si="484"/>
        <v>-</v>
      </c>
      <c r="CP256" s="1395" t="str">
        <f t="shared" si="484"/>
        <v>-</v>
      </c>
      <c r="CQ256" s="1395" t="str">
        <f t="shared" si="484"/>
        <v>-</v>
      </c>
      <c r="CR256" s="1398" t="str">
        <f t="shared" si="484"/>
        <v>-</v>
      </c>
      <c r="CS256" s="1378"/>
      <c r="CT256" s="1392" t="str">
        <f t="shared" si="341"/>
        <v>Qty</v>
      </c>
      <c r="CU256" s="1393" t="str">
        <f t="shared" si="342"/>
        <v>[Service]</v>
      </c>
      <c r="CV256" s="1393" t="str">
        <f t="shared" si="343"/>
        <v>[Price]</v>
      </c>
      <c r="CW256" s="1401" t="str">
        <f t="shared" si="363"/>
        <v>-</v>
      </c>
      <c r="CX256" s="1395" t="str">
        <f t="shared" si="364"/>
        <v>-</v>
      </c>
      <c r="CY256" s="1395" t="str">
        <f t="shared" si="365"/>
        <v>-</v>
      </c>
      <c r="CZ256" s="1397" t="str">
        <f t="shared" si="366"/>
        <v>-</v>
      </c>
      <c r="DA256" s="1395" t="str">
        <f t="shared" si="367"/>
        <v>-</v>
      </c>
      <c r="DB256" s="1395" t="str">
        <f t="shared" si="368"/>
        <v>-</v>
      </c>
      <c r="DC256" s="1395" t="str">
        <f t="shared" si="369"/>
        <v>-</v>
      </c>
      <c r="DD256" s="1395" t="str">
        <f t="shared" si="370"/>
        <v>-</v>
      </c>
      <c r="DE256" s="1398" t="str">
        <f t="shared" si="371"/>
        <v>-</v>
      </c>
      <c r="DF256" s="1378"/>
      <c r="DG256" s="1392" t="str">
        <f t="shared" si="383"/>
        <v>Qty</v>
      </c>
      <c r="DH256" s="1393" t="str">
        <f t="shared" si="383"/>
        <v>[Service]</v>
      </c>
      <c r="DI256" s="1393" t="str">
        <f t="shared" si="383"/>
        <v>[Price]</v>
      </c>
      <c r="DJ256" s="1401" t="str">
        <f t="shared" si="372"/>
        <v>-</v>
      </c>
      <c r="DK256" s="1395" t="str">
        <f t="shared" si="373"/>
        <v>-</v>
      </c>
      <c r="DL256" s="1395" t="str">
        <f t="shared" si="374"/>
        <v>-</v>
      </c>
      <c r="DM256" s="1397" t="str">
        <f t="shared" si="375"/>
        <v>-</v>
      </c>
      <c r="DN256" s="1395" t="str">
        <f t="shared" si="376"/>
        <v>-</v>
      </c>
      <c r="DO256" s="1395" t="str">
        <f t="shared" si="377"/>
        <v>-</v>
      </c>
      <c r="DP256" s="1395" t="str">
        <f t="shared" si="378"/>
        <v>-</v>
      </c>
      <c r="DQ256" s="1398" t="str">
        <f t="shared" si="379"/>
        <v>-</v>
      </c>
    </row>
    <row r="257" spans="4:121" ht="12.75" thickBot="1">
      <c r="E257" s="743" t="s">
        <v>46</v>
      </c>
      <c r="F257" s="732" t="str">
        <f>+F255</f>
        <v>[Service]</v>
      </c>
      <c r="G257" s="733">
        <f>+G255</f>
        <v>0</v>
      </c>
      <c r="H257" s="733">
        <f>+H255</f>
        <v>0</v>
      </c>
      <c r="I257" s="734" t="str">
        <f>+I255</f>
        <v>[Price]</v>
      </c>
      <c r="J257" s="735" t="s">
        <v>344</v>
      </c>
      <c r="K257" s="736">
        <f t="shared" ref="K257:AG257" si="485">K255*K256/10^6</f>
        <v>0</v>
      </c>
      <c r="L257" s="737">
        <f t="shared" si="485"/>
        <v>0</v>
      </c>
      <c r="M257" s="737">
        <f t="shared" si="485"/>
        <v>0</v>
      </c>
      <c r="N257" s="738">
        <f t="shared" si="485"/>
        <v>0</v>
      </c>
      <c r="O257" s="737">
        <f t="shared" si="485"/>
        <v>0</v>
      </c>
      <c r="P257" s="738">
        <f t="shared" si="485"/>
        <v>0</v>
      </c>
      <c r="Q257" s="737">
        <f t="shared" si="485"/>
        <v>0</v>
      </c>
      <c r="R257" s="737">
        <f t="shared" si="485"/>
        <v>0</v>
      </c>
      <c r="S257" s="737">
        <f t="shared" si="485"/>
        <v>0</v>
      </c>
      <c r="T257" s="737">
        <f t="shared" si="485"/>
        <v>0</v>
      </c>
      <c r="U257" s="737">
        <f t="shared" si="485"/>
        <v>0</v>
      </c>
      <c r="V257" s="737">
        <f t="shared" si="485"/>
        <v>0</v>
      </c>
      <c r="W257" s="737">
        <f t="shared" si="485"/>
        <v>0</v>
      </c>
      <c r="X257" s="738">
        <f t="shared" si="485"/>
        <v>0</v>
      </c>
      <c r="Y257" s="737">
        <f t="shared" si="485"/>
        <v>0</v>
      </c>
      <c r="Z257" s="737">
        <f t="shared" si="485"/>
        <v>0</v>
      </c>
      <c r="AA257" s="737">
        <f t="shared" si="485"/>
        <v>0</v>
      </c>
      <c r="AB257" s="737">
        <f t="shared" si="485"/>
        <v>0</v>
      </c>
      <c r="AC257" s="738">
        <f t="shared" si="485"/>
        <v>0</v>
      </c>
      <c r="AD257" s="737">
        <f t="shared" si="485"/>
        <v>0</v>
      </c>
      <c r="AE257" s="737">
        <f t="shared" si="485"/>
        <v>0</v>
      </c>
      <c r="AF257" s="737">
        <f t="shared" si="485"/>
        <v>0</v>
      </c>
      <c r="AG257" s="739">
        <f t="shared" si="485"/>
        <v>0</v>
      </c>
      <c r="AH257" s="823"/>
      <c r="AI257" s="745"/>
      <c r="AJ257" s="741"/>
      <c r="AK257" s="729"/>
      <c r="AL257" s="729"/>
      <c r="AM257" s="729"/>
      <c r="AN257" s="729"/>
      <c r="AO257" s="730"/>
      <c r="AP257" s="74"/>
      <c r="AQ257" s="74"/>
      <c r="AR257" s="74"/>
      <c r="AS257" s="106"/>
      <c r="AW257" s="1428" t="str">
        <f t="shared" si="381"/>
        <v>Rev</v>
      </c>
      <c r="AX257" s="1429" t="str">
        <f t="shared" si="381"/>
        <v>[Service]</v>
      </c>
      <c r="AY257" s="1430" t="str">
        <f t="shared" si="345"/>
        <v>[Price]</v>
      </c>
      <c r="AZ257" s="1431" t="str">
        <f t="shared" si="465"/>
        <v>-</v>
      </c>
      <c r="BA257" s="1431" t="str">
        <f t="shared" si="465"/>
        <v>-</v>
      </c>
      <c r="BB257" s="1431" t="str">
        <f t="shared" si="465"/>
        <v>-</v>
      </c>
      <c r="BC257" s="1431" t="str">
        <f t="shared" si="465"/>
        <v>-</v>
      </c>
      <c r="BD257" s="1431" t="str">
        <f t="shared" si="347"/>
        <v>-</v>
      </c>
      <c r="BE257" s="1431" t="str">
        <f t="shared" si="348"/>
        <v>-</v>
      </c>
      <c r="BF257" s="1431" t="str">
        <f t="shared" si="349"/>
        <v>-</v>
      </c>
      <c r="BG257" s="1432" t="str">
        <f t="shared" si="350"/>
        <v>-</v>
      </c>
      <c r="BH257" s="1431" t="str">
        <f t="shared" si="351"/>
        <v>-</v>
      </c>
      <c r="BI257" s="1431" t="str">
        <f t="shared" si="352"/>
        <v>-</v>
      </c>
      <c r="BJ257" s="1431" t="str">
        <f t="shared" si="353"/>
        <v>-</v>
      </c>
      <c r="BK257" s="1431" t="str">
        <f t="shared" si="354"/>
        <v>-</v>
      </c>
      <c r="BL257" s="1433" t="str">
        <f t="shared" si="355"/>
        <v>-</v>
      </c>
      <c r="BM257" s="1431" t="str">
        <f t="shared" si="356"/>
        <v>-</v>
      </c>
      <c r="BN257" s="1431" t="str">
        <f t="shared" si="357"/>
        <v>-</v>
      </c>
      <c r="BO257" s="1431" t="str">
        <f t="shared" si="358"/>
        <v>-</v>
      </c>
      <c r="BP257" s="1431" t="str">
        <f t="shared" si="359"/>
        <v>-</v>
      </c>
      <c r="BQ257" s="1434" t="str">
        <f t="shared" si="360"/>
        <v>-</v>
      </c>
      <c r="BR257" s="1378"/>
      <c r="BS257" s="1407"/>
      <c r="BT257" s="1408"/>
      <c r="BU257" s="1409"/>
      <c r="BV257" s="1410"/>
      <c r="BW257" s="1378"/>
      <c r="BX257" s="1428" t="str">
        <f t="shared" si="361"/>
        <v>Rev</v>
      </c>
      <c r="BY257" s="1429" t="str">
        <f t="shared" si="406"/>
        <v>[Service]</v>
      </c>
      <c r="BZ257" s="1430" t="str">
        <f t="shared" si="407"/>
        <v>[Price]</v>
      </c>
      <c r="CA257" s="1435" t="str">
        <f>IFERROR((S257/R257-1)*(R257/R$13),"-")</f>
        <v>-</v>
      </c>
      <c r="CB257" s="1431" t="str">
        <f>IFERROR((T257/S257-1)*(S257/S$13),"-")</f>
        <v>-</v>
      </c>
      <c r="CC257" s="1431" t="str">
        <f>IFERROR((U257/T257-1)*(T257/T$13),"-")</f>
        <v>-</v>
      </c>
      <c r="CD257" s="1431" t="str">
        <f>IFERROR((V257/U257-1)*(U257/U$13),"-")</f>
        <v>-</v>
      </c>
      <c r="CE257" s="1431" t="str">
        <f t="shared" ref="CE257:CR257" si="486">IFERROR((T257/S257-1)*(S257/S$13),"-")</f>
        <v>-</v>
      </c>
      <c r="CF257" s="1431" t="str">
        <f t="shared" si="486"/>
        <v>-</v>
      </c>
      <c r="CG257" s="1431" t="str">
        <f t="shared" si="486"/>
        <v>-</v>
      </c>
      <c r="CH257" s="1433" t="str">
        <f t="shared" si="486"/>
        <v>-</v>
      </c>
      <c r="CI257" s="1431" t="str">
        <f t="shared" si="486"/>
        <v>-</v>
      </c>
      <c r="CJ257" s="1431" t="str">
        <f t="shared" si="486"/>
        <v>-</v>
      </c>
      <c r="CK257" s="1431" t="str">
        <f t="shared" si="486"/>
        <v>-</v>
      </c>
      <c r="CL257" s="1431" t="str">
        <f t="shared" si="486"/>
        <v>-</v>
      </c>
      <c r="CM257" s="1433" t="str">
        <f t="shared" si="486"/>
        <v>-</v>
      </c>
      <c r="CN257" s="1431" t="str">
        <f t="shared" si="486"/>
        <v>-</v>
      </c>
      <c r="CO257" s="1431" t="str">
        <f t="shared" si="486"/>
        <v>-</v>
      </c>
      <c r="CP257" s="1431" t="str">
        <f t="shared" si="486"/>
        <v>-</v>
      </c>
      <c r="CQ257" s="1431" t="str">
        <f t="shared" si="486"/>
        <v>-</v>
      </c>
      <c r="CR257" s="1434" t="str">
        <f t="shared" si="486"/>
        <v>-</v>
      </c>
      <c r="CS257" s="1378"/>
      <c r="CT257" s="1428" t="str">
        <f t="shared" si="341"/>
        <v>Rev</v>
      </c>
      <c r="CU257" s="1429" t="str">
        <f t="shared" si="342"/>
        <v>[Service]</v>
      </c>
      <c r="CV257" s="1429" t="str">
        <f t="shared" si="343"/>
        <v>[Price]</v>
      </c>
      <c r="CW257" s="1435" t="str">
        <f t="shared" si="363"/>
        <v>-</v>
      </c>
      <c r="CX257" s="1431" t="str">
        <f t="shared" si="364"/>
        <v>-</v>
      </c>
      <c r="CY257" s="1431" t="str">
        <f t="shared" si="365"/>
        <v>-</v>
      </c>
      <c r="CZ257" s="1433" t="str">
        <f t="shared" si="366"/>
        <v>-</v>
      </c>
      <c r="DA257" s="1431" t="str">
        <f t="shared" si="367"/>
        <v>-</v>
      </c>
      <c r="DB257" s="1431" t="str">
        <f t="shared" si="368"/>
        <v>-</v>
      </c>
      <c r="DC257" s="1431" t="str">
        <f t="shared" si="369"/>
        <v>-</v>
      </c>
      <c r="DD257" s="1431" t="str">
        <f t="shared" si="370"/>
        <v>-</v>
      </c>
      <c r="DE257" s="1434" t="str">
        <f t="shared" si="371"/>
        <v>-</v>
      </c>
      <c r="DF257" s="1378"/>
      <c r="DG257" s="1428" t="str">
        <f t="shared" si="383"/>
        <v>Rev</v>
      </c>
      <c r="DH257" s="1429" t="str">
        <f t="shared" si="383"/>
        <v>[Service]</v>
      </c>
      <c r="DI257" s="1429" t="str">
        <f t="shared" si="383"/>
        <v>[Price]</v>
      </c>
      <c r="DJ257" s="1435" t="str">
        <f t="shared" si="372"/>
        <v>-</v>
      </c>
      <c r="DK257" s="1431" t="str">
        <f t="shared" si="373"/>
        <v>-</v>
      </c>
      <c r="DL257" s="1431" t="str">
        <f t="shared" si="374"/>
        <v>-</v>
      </c>
      <c r="DM257" s="1433" t="str">
        <f t="shared" si="375"/>
        <v>-</v>
      </c>
      <c r="DN257" s="1431" t="str">
        <f t="shared" si="376"/>
        <v>-</v>
      </c>
      <c r="DO257" s="1431" t="str">
        <f t="shared" si="377"/>
        <v>-</v>
      </c>
      <c r="DP257" s="1431" t="str">
        <f t="shared" si="378"/>
        <v>-</v>
      </c>
      <c r="DQ257" s="1434" t="str">
        <f t="shared" si="379"/>
        <v>-</v>
      </c>
    </row>
    <row r="258" spans="4:121">
      <c r="D258" s="70">
        <f>D255+1</f>
        <v>64</v>
      </c>
      <c r="E258" s="713" t="s">
        <v>44</v>
      </c>
      <c r="F258" s="789" t="s">
        <v>27</v>
      </c>
      <c r="G258" s="789"/>
      <c r="H258" s="789"/>
      <c r="I258" s="781" t="s">
        <v>318</v>
      </c>
      <c r="J258" s="781" t="s">
        <v>345</v>
      </c>
      <c r="K258" s="714"/>
      <c r="L258" s="715"/>
      <c r="M258" s="715"/>
      <c r="N258" s="716"/>
      <c r="O258" s="783"/>
      <c r="P258" s="784"/>
      <c r="Q258" s="783"/>
      <c r="R258" s="783"/>
      <c r="S258" s="783"/>
      <c r="T258" s="783"/>
      <c r="U258" s="783"/>
      <c r="V258" s="783"/>
      <c r="W258" s="783"/>
      <c r="X258" s="784"/>
      <c r="Y258" s="783"/>
      <c r="Z258" s="783"/>
      <c r="AA258" s="783"/>
      <c r="AB258" s="783"/>
      <c r="AC258" s="784"/>
      <c r="AD258" s="783"/>
      <c r="AE258" s="783"/>
      <c r="AF258" s="783"/>
      <c r="AG258" s="785"/>
      <c r="AI258" s="745"/>
      <c r="AJ258" s="717" t="str">
        <f t="shared" ref="AJ258:AS258" si="487">IFERROR((X258-W258)/W258,"")</f>
        <v/>
      </c>
      <c r="AK258" s="718" t="str">
        <f t="shared" si="487"/>
        <v/>
      </c>
      <c r="AL258" s="718" t="str">
        <f t="shared" si="487"/>
        <v/>
      </c>
      <c r="AM258" s="718" t="str">
        <f t="shared" si="487"/>
        <v/>
      </c>
      <c r="AN258" s="718" t="str">
        <f t="shared" si="487"/>
        <v/>
      </c>
      <c r="AO258" s="719" t="str">
        <f t="shared" si="487"/>
        <v/>
      </c>
      <c r="AP258" s="494" t="str">
        <f t="shared" si="487"/>
        <v/>
      </c>
      <c r="AQ258" s="494" t="str">
        <f t="shared" si="487"/>
        <v/>
      </c>
      <c r="AR258" s="494" t="str">
        <f t="shared" si="487"/>
        <v/>
      </c>
      <c r="AS258" s="720" t="str">
        <f t="shared" si="487"/>
        <v/>
      </c>
      <c r="AU258" s="1369"/>
      <c r="AW258" s="1412" t="str">
        <f t="shared" si="381"/>
        <v>Price</v>
      </c>
      <c r="AX258" s="1413" t="str">
        <f t="shared" si="381"/>
        <v>[Service]</v>
      </c>
      <c r="AY258" s="1414" t="str">
        <f t="shared" si="345"/>
        <v>[Price]</v>
      </c>
      <c r="AZ258" s="1415" t="str">
        <f t="shared" si="465"/>
        <v>-</v>
      </c>
      <c r="BA258" s="1415" t="str">
        <f t="shared" si="465"/>
        <v>-</v>
      </c>
      <c r="BB258" s="1415" t="str">
        <f t="shared" si="465"/>
        <v>-</v>
      </c>
      <c r="BC258" s="1415" t="str">
        <f t="shared" si="465"/>
        <v>-</v>
      </c>
      <c r="BD258" s="1415" t="str">
        <f t="shared" si="347"/>
        <v>-</v>
      </c>
      <c r="BE258" s="1415" t="str">
        <f t="shared" si="348"/>
        <v>-</v>
      </c>
      <c r="BF258" s="1415" t="str">
        <f t="shared" si="349"/>
        <v>-</v>
      </c>
      <c r="BG258" s="1416" t="str">
        <f t="shared" si="350"/>
        <v>-</v>
      </c>
      <c r="BH258" s="1417" t="str">
        <f t="shared" si="351"/>
        <v>-</v>
      </c>
      <c r="BI258" s="1417" t="str">
        <f t="shared" si="352"/>
        <v>-</v>
      </c>
      <c r="BJ258" s="1417" t="str">
        <f t="shared" si="353"/>
        <v>-</v>
      </c>
      <c r="BK258" s="1417" t="str">
        <f t="shared" si="354"/>
        <v>-</v>
      </c>
      <c r="BL258" s="1418" t="str">
        <f t="shared" si="355"/>
        <v>-</v>
      </c>
      <c r="BM258" s="1417" t="str">
        <f t="shared" si="356"/>
        <v>-</v>
      </c>
      <c r="BN258" s="1417" t="str">
        <f t="shared" si="357"/>
        <v>-</v>
      </c>
      <c r="BO258" s="1417" t="str">
        <f t="shared" si="358"/>
        <v>-</v>
      </c>
      <c r="BP258" s="1417" t="str">
        <f t="shared" si="359"/>
        <v>-</v>
      </c>
      <c r="BQ258" s="1419" t="str">
        <f t="shared" si="360"/>
        <v>-</v>
      </c>
      <c r="BR258" s="1378"/>
      <c r="BS258" s="1420"/>
      <c r="BT258" s="1421"/>
      <c r="BU258" s="1422"/>
      <c r="BV258" s="1423"/>
      <c r="BW258" s="1378"/>
      <c r="BX258" s="1412" t="str">
        <f t="shared" si="361"/>
        <v>Price</v>
      </c>
      <c r="BY258" s="1413" t="str">
        <f t="shared" si="406"/>
        <v>[Service]</v>
      </c>
      <c r="BZ258" s="1414" t="str">
        <f t="shared" si="407"/>
        <v>[Price]</v>
      </c>
      <c r="CA258" s="1424" t="str">
        <f>IFERROR((S258/R258-1)*(R260/R$13),"-")</f>
        <v>-</v>
      </c>
      <c r="CB258" s="1415" t="str">
        <f>IFERROR((T258/S258-1)*(S260/S$13),"-")</f>
        <v>-</v>
      </c>
      <c r="CC258" s="1415" t="str">
        <f>IFERROR((U258/T258-1)*(T260/T$13),"-")</f>
        <v>-</v>
      </c>
      <c r="CD258" s="1415" t="str">
        <f>IFERROR((V258/U258-1)*(U260/U$13),"-")</f>
        <v>-</v>
      </c>
      <c r="CE258" s="1415" t="str">
        <f t="shared" ref="CE258:CR258" si="488">IFERROR((T258/S258-1)*(S260/S$13),"-")</f>
        <v>-</v>
      </c>
      <c r="CF258" s="1415" t="str">
        <f t="shared" si="488"/>
        <v>-</v>
      </c>
      <c r="CG258" s="1415" t="str">
        <f t="shared" si="488"/>
        <v>-</v>
      </c>
      <c r="CH258" s="1425" t="str">
        <f t="shared" si="488"/>
        <v>-</v>
      </c>
      <c r="CI258" s="1417" t="str">
        <f t="shared" si="488"/>
        <v>-</v>
      </c>
      <c r="CJ258" s="1417" t="str">
        <f t="shared" si="488"/>
        <v>-</v>
      </c>
      <c r="CK258" s="1417" t="str">
        <f t="shared" si="488"/>
        <v>-</v>
      </c>
      <c r="CL258" s="1417" t="str">
        <f t="shared" si="488"/>
        <v>-</v>
      </c>
      <c r="CM258" s="1418" t="str">
        <f t="shared" si="488"/>
        <v>-</v>
      </c>
      <c r="CN258" s="1417" t="str">
        <f t="shared" si="488"/>
        <v>-</v>
      </c>
      <c r="CO258" s="1417" t="str">
        <f t="shared" si="488"/>
        <v>-</v>
      </c>
      <c r="CP258" s="1417" t="str">
        <f t="shared" si="488"/>
        <v>-</v>
      </c>
      <c r="CQ258" s="1417" t="str">
        <f t="shared" si="488"/>
        <v>-</v>
      </c>
      <c r="CR258" s="1419" t="str">
        <f t="shared" si="488"/>
        <v>-</v>
      </c>
      <c r="CS258" s="1378"/>
      <c r="CT258" s="1412" t="str">
        <f t="shared" si="341"/>
        <v>Price</v>
      </c>
      <c r="CU258" s="1413" t="str">
        <f t="shared" si="342"/>
        <v>[Service]</v>
      </c>
      <c r="CV258" s="1426" t="str">
        <f t="shared" si="343"/>
        <v>[Price]</v>
      </c>
      <c r="CW258" s="1427" t="str">
        <f t="shared" si="363"/>
        <v>-</v>
      </c>
      <c r="CX258" s="1417" t="str">
        <f t="shared" si="364"/>
        <v>-</v>
      </c>
      <c r="CY258" s="1417" t="str">
        <f t="shared" si="365"/>
        <v>-</v>
      </c>
      <c r="CZ258" s="1418" t="str">
        <f t="shared" si="366"/>
        <v>-</v>
      </c>
      <c r="DA258" s="1417" t="str">
        <f t="shared" si="367"/>
        <v>-</v>
      </c>
      <c r="DB258" s="1417" t="str">
        <f t="shared" si="368"/>
        <v>-</v>
      </c>
      <c r="DC258" s="1417" t="str">
        <f t="shared" si="369"/>
        <v>-</v>
      </c>
      <c r="DD258" s="1417" t="str">
        <f t="shared" si="370"/>
        <v>-</v>
      </c>
      <c r="DE258" s="1419" t="str">
        <f t="shared" si="371"/>
        <v>-</v>
      </c>
      <c r="DF258" s="1378"/>
      <c r="DG258" s="1412" t="str">
        <f t="shared" si="383"/>
        <v>Price</v>
      </c>
      <c r="DH258" s="1413" t="str">
        <f t="shared" si="383"/>
        <v>[Service]</v>
      </c>
      <c r="DI258" s="1426" t="str">
        <f t="shared" si="383"/>
        <v>[Price]</v>
      </c>
      <c r="DJ258" s="1427" t="str">
        <f t="shared" si="372"/>
        <v>-</v>
      </c>
      <c r="DK258" s="1417" t="str">
        <f t="shared" si="373"/>
        <v>-</v>
      </c>
      <c r="DL258" s="1417" t="str">
        <f t="shared" si="374"/>
        <v>-</v>
      </c>
      <c r="DM258" s="1418" t="str">
        <f t="shared" si="375"/>
        <v>-</v>
      </c>
      <c r="DN258" s="1417" t="str">
        <f t="shared" si="376"/>
        <v>-</v>
      </c>
      <c r="DO258" s="1417" t="str">
        <f t="shared" si="377"/>
        <v>-</v>
      </c>
      <c r="DP258" s="1417" t="str">
        <f t="shared" si="378"/>
        <v>-</v>
      </c>
      <c r="DQ258" s="1419" t="str">
        <f t="shared" si="379"/>
        <v>-</v>
      </c>
    </row>
    <row r="259" spans="4:121">
      <c r="E259" s="742" t="s">
        <v>45</v>
      </c>
      <c r="F259" s="722" t="str">
        <f>+F258</f>
        <v>[Service]</v>
      </c>
      <c r="G259" s="723">
        <f>+G258</f>
        <v>0</v>
      </c>
      <c r="H259" s="723">
        <f>+H258</f>
        <v>0</v>
      </c>
      <c r="I259" s="724" t="str">
        <f>+I258</f>
        <v>[Price]</v>
      </c>
      <c r="J259" s="782" t="s">
        <v>322</v>
      </c>
      <c r="K259" s="725"/>
      <c r="L259" s="726"/>
      <c r="M259" s="726"/>
      <c r="N259" s="727"/>
      <c r="O259" s="786"/>
      <c r="P259" s="787"/>
      <c r="Q259" s="786"/>
      <c r="R259" s="786"/>
      <c r="S259" s="786"/>
      <c r="T259" s="786"/>
      <c r="U259" s="786"/>
      <c r="V259" s="786"/>
      <c r="W259" s="786"/>
      <c r="X259" s="787"/>
      <c r="Y259" s="786"/>
      <c r="Z259" s="786"/>
      <c r="AA259" s="786"/>
      <c r="AB259" s="786"/>
      <c r="AC259" s="787"/>
      <c r="AD259" s="786"/>
      <c r="AE259" s="786"/>
      <c r="AF259" s="786"/>
      <c r="AG259" s="788"/>
      <c r="AH259" s="823"/>
      <c r="AI259" s="745"/>
      <c r="AJ259" s="728"/>
      <c r="AK259" s="729"/>
      <c r="AL259" s="729"/>
      <c r="AM259" s="729"/>
      <c r="AN259" s="729"/>
      <c r="AO259" s="730"/>
      <c r="AP259" s="74"/>
      <c r="AQ259" s="74"/>
      <c r="AR259" s="74"/>
      <c r="AS259" s="106"/>
      <c r="AW259" s="1392" t="str">
        <f t="shared" si="381"/>
        <v>Qty</v>
      </c>
      <c r="AX259" s="1393" t="str">
        <f t="shared" si="381"/>
        <v>[Service]</v>
      </c>
      <c r="AY259" s="1394" t="str">
        <f t="shared" si="345"/>
        <v>[Price]</v>
      </c>
      <c r="AZ259" s="1395" t="str">
        <f t="shared" si="465"/>
        <v>-</v>
      </c>
      <c r="BA259" s="1395" t="str">
        <f t="shared" si="465"/>
        <v>-</v>
      </c>
      <c r="BB259" s="1395" t="str">
        <f t="shared" si="465"/>
        <v>-</v>
      </c>
      <c r="BC259" s="1395" t="str">
        <f t="shared" si="465"/>
        <v>-</v>
      </c>
      <c r="BD259" s="1395" t="str">
        <f t="shared" si="347"/>
        <v>-</v>
      </c>
      <c r="BE259" s="1395" t="str">
        <f t="shared" si="348"/>
        <v>-</v>
      </c>
      <c r="BF259" s="1395" t="str">
        <f t="shared" si="349"/>
        <v>-</v>
      </c>
      <c r="BG259" s="1396" t="str">
        <f t="shared" si="350"/>
        <v>-</v>
      </c>
      <c r="BH259" s="1395" t="str">
        <f t="shared" si="351"/>
        <v>-</v>
      </c>
      <c r="BI259" s="1395" t="str">
        <f t="shared" si="352"/>
        <v>-</v>
      </c>
      <c r="BJ259" s="1395" t="str">
        <f t="shared" si="353"/>
        <v>-</v>
      </c>
      <c r="BK259" s="1395" t="str">
        <f t="shared" si="354"/>
        <v>-</v>
      </c>
      <c r="BL259" s="1397" t="str">
        <f t="shared" si="355"/>
        <v>-</v>
      </c>
      <c r="BM259" s="1395" t="str">
        <f t="shared" si="356"/>
        <v>-</v>
      </c>
      <c r="BN259" s="1395" t="str">
        <f t="shared" si="357"/>
        <v>-</v>
      </c>
      <c r="BO259" s="1395" t="str">
        <f t="shared" si="358"/>
        <v>-</v>
      </c>
      <c r="BP259" s="1395" t="str">
        <f t="shared" si="359"/>
        <v>-</v>
      </c>
      <c r="BQ259" s="1398" t="str">
        <f t="shared" si="360"/>
        <v>-</v>
      </c>
      <c r="BR259" s="1378"/>
      <c r="BS259" s="1329"/>
      <c r="BT259" s="1399"/>
      <c r="BU259" s="1331"/>
      <c r="BV259" s="1400"/>
      <c r="BW259" s="1378"/>
      <c r="BX259" s="1392" t="str">
        <f t="shared" si="361"/>
        <v>Qty</v>
      </c>
      <c r="BY259" s="1393" t="str">
        <f t="shared" si="406"/>
        <v>[Service]</v>
      </c>
      <c r="BZ259" s="1394" t="str">
        <f t="shared" si="407"/>
        <v>[Price]</v>
      </c>
      <c r="CA259" s="1401" t="str">
        <f>IFERROR((S259/R259-1)*(R260/R$13),"-")</f>
        <v>-</v>
      </c>
      <c r="CB259" s="1395" t="str">
        <f>IFERROR((T259/S259-1)*(S260/S$13),"-")</f>
        <v>-</v>
      </c>
      <c r="CC259" s="1395" t="str">
        <f>IFERROR((U259/T259-1)*(T260/T$13),"-")</f>
        <v>-</v>
      </c>
      <c r="CD259" s="1395" t="str">
        <f>IFERROR((V259/U259-1)*(U260/U$13),"-")</f>
        <v>-</v>
      </c>
      <c r="CE259" s="1395" t="str">
        <f t="shared" ref="CE259:CR259" si="489">IFERROR((T259/S259-1)*(S260/S$13),"-")</f>
        <v>-</v>
      </c>
      <c r="CF259" s="1395" t="str">
        <f t="shared" si="489"/>
        <v>-</v>
      </c>
      <c r="CG259" s="1395" t="str">
        <f t="shared" si="489"/>
        <v>-</v>
      </c>
      <c r="CH259" s="1397" t="str">
        <f t="shared" si="489"/>
        <v>-</v>
      </c>
      <c r="CI259" s="1395" t="str">
        <f t="shared" si="489"/>
        <v>-</v>
      </c>
      <c r="CJ259" s="1395" t="str">
        <f t="shared" si="489"/>
        <v>-</v>
      </c>
      <c r="CK259" s="1395" t="str">
        <f t="shared" si="489"/>
        <v>-</v>
      </c>
      <c r="CL259" s="1395" t="str">
        <f t="shared" si="489"/>
        <v>-</v>
      </c>
      <c r="CM259" s="1397" t="str">
        <f t="shared" si="489"/>
        <v>-</v>
      </c>
      <c r="CN259" s="1395" t="str">
        <f t="shared" si="489"/>
        <v>-</v>
      </c>
      <c r="CO259" s="1395" t="str">
        <f t="shared" si="489"/>
        <v>-</v>
      </c>
      <c r="CP259" s="1395" t="str">
        <f t="shared" si="489"/>
        <v>-</v>
      </c>
      <c r="CQ259" s="1395" t="str">
        <f t="shared" si="489"/>
        <v>-</v>
      </c>
      <c r="CR259" s="1398" t="str">
        <f t="shared" si="489"/>
        <v>-</v>
      </c>
      <c r="CS259" s="1378"/>
      <c r="CT259" s="1392" t="str">
        <f t="shared" si="341"/>
        <v>Qty</v>
      </c>
      <c r="CU259" s="1393" t="str">
        <f t="shared" si="342"/>
        <v>[Service]</v>
      </c>
      <c r="CV259" s="1393" t="str">
        <f t="shared" si="343"/>
        <v>[Price]</v>
      </c>
      <c r="CW259" s="1401" t="str">
        <f t="shared" si="363"/>
        <v>-</v>
      </c>
      <c r="CX259" s="1395" t="str">
        <f t="shared" si="364"/>
        <v>-</v>
      </c>
      <c r="CY259" s="1395" t="str">
        <f t="shared" si="365"/>
        <v>-</v>
      </c>
      <c r="CZ259" s="1397" t="str">
        <f t="shared" si="366"/>
        <v>-</v>
      </c>
      <c r="DA259" s="1395" t="str">
        <f t="shared" si="367"/>
        <v>-</v>
      </c>
      <c r="DB259" s="1395" t="str">
        <f t="shared" si="368"/>
        <v>-</v>
      </c>
      <c r="DC259" s="1395" t="str">
        <f t="shared" si="369"/>
        <v>-</v>
      </c>
      <c r="DD259" s="1395" t="str">
        <f t="shared" si="370"/>
        <v>-</v>
      </c>
      <c r="DE259" s="1398" t="str">
        <f t="shared" si="371"/>
        <v>-</v>
      </c>
      <c r="DF259" s="1378"/>
      <c r="DG259" s="1392" t="str">
        <f t="shared" si="383"/>
        <v>Qty</v>
      </c>
      <c r="DH259" s="1393" t="str">
        <f t="shared" si="383"/>
        <v>[Service]</v>
      </c>
      <c r="DI259" s="1393" t="str">
        <f t="shared" si="383"/>
        <v>[Price]</v>
      </c>
      <c r="DJ259" s="1401" t="str">
        <f t="shared" si="372"/>
        <v>-</v>
      </c>
      <c r="DK259" s="1395" t="str">
        <f t="shared" si="373"/>
        <v>-</v>
      </c>
      <c r="DL259" s="1395" t="str">
        <f t="shared" si="374"/>
        <v>-</v>
      </c>
      <c r="DM259" s="1397" t="str">
        <f t="shared" si="375"/>
        <v>-</v>
      </c>
      <c r="DN259" s="1395" t="str">
        <f t="shared" si="376"/>
        <v>-</v>
      </c>
      <c r="DO259" s="1395" t="str">
        <f t="shared" si="377"/>
        <v>-</v>
      </c>
      <c r="DP259" s="1395" t="str">
        <f t="shared" si="378"/>
        <v>-</v>
      </c>
      <c r="DQ259" s="1398" t="str">
        <f t="shared" si="379"/>
        <v>-</v>
      </c>
    </row>
    <row r="260" spans="4:121" ht="12.75" thickBot="1">
      <c r="E260" s="743" t="s">
        <v>46</v>
      </c>
      <c r="F260" s="732" t="str">
        <f>+F258</f>
        <v>[Service]</v>
      </c>
      <c r="G260" s="733">
        <f>+G258</f>
        <v>0</v>
      </c>
      <c r="H260" s="733">
        <f>+H258</f>
        <v>0</v>
      </c>
      <c r="I260" s="734" t="str">
        <f>+I258</f>
        <v>[Price]</v>
      </c>
      <c r="J260" s="735" t="s">
        <v>344</v>
      </c>
      <c r="K260" s="736">
        <f t="shared" ref="K260:AG260" si="490">K258*K259/10^6</f>
        <v>0</v>
      </c>
      <c r="L260" s="737">
        <f t="shared" si="490"/>
        <v>0</v>
      </c>
      <c r="M260" s="737">
        <f t="shared" si="490"/>
        <v>0</v>
      </c>
      <c r="N260" s="738">
        <f t="shared" si="490"/>
        <v>0</v>
      </c>
      <c r="O260" s="737">
        <f t="shared" si="490"/>
        <v>0</v>
      </c>
      <c r="P260" s="738">
        <f t="shared" si="490"/>
        <v>0</v>
      </c>
      <c r="Q260" s="737">
        <f t="shared" si="490"/>
        <v>0</v>
      </c>
      <c r="R260" s="737">
        <f t="shared" si="490"/>
        <v>0</v>
      </c>
      <c r="S260" s="737">
        <f t="shared" si="490"/>
        <v>0</v>
      </c>
      <c r="T260" s="737">
        <f t="shared" si="490"/>
        <v>0</v>
      </c>
      <c r="U260" s="737">
        <f t="shared" si="490"/>
        <v>0</v>
      </c>
      <c r="V260" s="737">
        <f t="shared" si="490"/>
        <v>0</v>
      </c>
      <c r="W260" s="737">
        <f t="shared" si="490"/>
        <v>0</v>
      </c>
      <c r="X260" s="738">
        <f t="shared" si="490"/>
        <v>0</v>
      </c>
      <c r="Y260" s="737">
        <f t="shared" si="490"/>
        <v>0</v>
      </c>
      <c r="Z260" s="737">
        <f t="shared" si="490"/>
        <v>0</v>
      </c>
      <c r="AA260" s="737">
        <f t="shared" si="490"/>
        <v>0</v>
      </c>
      <c r="AB260" s="737">
        <f t="shared" si="490"/>
        <v>0</v>
      </c>
      <c r="AC260" s="738">
        <f t="shared" si="490"/>
        <v>0</v>
      </c>
      <c r="AD260" s="737">
        <f t="shared" si="490"/>
        <v>0</v>
      </c>
      <c r="AE260" s="737">
        <f t="shared" si="490"/>
        <v>0</v>
      </c>
      <c r="AF260" s="737">
        <f t="shared" si="490"/>
        <v>0</v>
      </c>
      <c r="AG260" s="739">
        <f t="shared" si="490"/>
        <v>0</v>
      </c>
      <c r="AH260" s="823"/>
      <c r="AI260" s="745"/>
      <c r="AJ260" s="741"/>
      <c r="AK260" s="729"/>
      <c r="AL260" s="729"/>
      <c r="AM260" s="729"/>
      <c r="AN260" s="729"/>
      <c r="AO260" s="730"/>
      <c r="AP260" s="74"/>
      <c r="AQ260" s="74"/>
      <c r="AR260" s="74"/>
      <c r="AS260" s="106"/>
      <c r="AW260" s="1428" t="str">
        <f t="shared" si="381"/>
        <v>Rev</v>
      </c>
      <c r="AX260" s="1429" t="str">
        <f t="shared" si="381"/>
        <v>[Service]</v>
      </c>
      <c r="AY260" s="1430" t="str">
        <f t="shared" si="345"/>
        <v>[Price]</v>
      </c>
      <c r="AZ260" s="1431" t="str">
        <f t="shared" si="465"/>
        <v>-</v>
      </c>
      <c r="BA260" s="1431" t="str">
        <f t="shared" si="465"/>
        <v>-</v>
      </c>
      <c r="BB260" s="1431" t="str">
        <f t="shared" si="465"/>
        <v>-</v>
      </c>
      <c r="BC260" s="1431" t="str">
        <f t="shared" si="465"/>
        <v>-</v>
      </c>
      <c r="BD260" s="1431" t="str">
        <f t="shared" si="347"/>
        <v>-</v>
      </c>
      <c r="BE260" s="1431" t="str">
        <f t="shared" si="348"/>
        <v>-</v>
      </c>
      <c r="BF260" s="1431" t="str">
        <f t="shared" si="349"/>
        <v>-</v>
      </c>
      <c r="BG260" s="1432" t="str">
        <f t="shared" si="350"/>
        <v>-</v>
      </c>
      <c r="BH260" s="1431" t="str">
        <f t="shared" si="351"/>
        <v>-</v>
      </c>
      <c r="BI260" s="1431" t="str">
        <f t="shared" si="352"/>
        <v>-</v>
      </c>
      <c r="BJ260" s="1431" t="str">
        <f t="shared" si="353"/>
        <v>-</v>
      </c>
      <c r="BK260" s="1431" t="str">
        <f t="shared" si="354"/>
        <v>-</v>
      </c>
      <c r="BL260" s="1433" t="str">
        <f t="shared" si="355"/>
        <v>-</v>
      </c>
      <c r="BM260" s="1431" t="str">
        <f t="shared" si="356"/>
        <v>-</v>
      </c>
      <c r="BN260" s="1431" t="str">
        <f t="shared" si="357"/>
        <v>-</v>
      </c>
      <c r="BO260" s="1431" t="str">
        <f t="shared" si="358"/>
        <v>-</v>
      </c>
      <c r="BP260" s="1431" t="str">
        <f t="shared" si="359"/>
        <v>-</v>
      </c>
      <c r="BQ260" s="1434" t="str">
        <f t="shared" si="360"/>
        <v>-</v>
      </c>
      <c r="BR260" s="1378"/>
      <c r="BS260" s="1407"/>
      <c r="BT260" s="1408"/>
      <c r="BU260" s="1409"/>
      <c r="BV260" s="1410"/>
      <c r="BW260" s="1378"/>
      <c r="BX260" s="1428" t="str">
        <f t="shared" si="361"/>
        <v>Rev</v>
      </c>
      <c r="BY260" s="1429" t="str">
        <f t="shared" si="406"/>
        <v>[Service]</v>
      </c>
      <c r="BZ260" s="1430" t="str">
        <f t="shared" si="407"/>
        <v>[Price]</v>
      </c>
      <c r="CA260" s="1435" t="str">
        <f>IFERROR((S260/R260-1)*(R260/R$13),"-")</f>
        <v>-</v>
      </c>
      <c r="CB260" s="1431" t="str">
        <f>IFERROR((T260/S260-1)*(S260/S$13),"-")</f>
        <v>-</v>
      </c>
      <c r="CC260" s="1431" t="str">
        <f>IFERROR((U260/T260-1)*(T260/T$13),"-")</f>
        <v>-</v>
      </c>
      <c r="CD260" s="1431" t="str">
        <f>IFERROR((V260/U260-1)*(U260/U$13),"-")</f>
        <v>-</v>
      </c>
      <c r="CE260" s="1431" t="str">
        <f t="shared" ref="CE260:CR260" si="491">IFERROR((T260/S260-1)*(S260/S$13),"-")</f>
        <v>-</v>
      </c>
      <c r="CF260" s="1431" t="str">
        <f t="shared" si="491"/>
        <v>-</v>
      </c>
      <c r="CG260" s="1431" t="str">
        <f t="shared" si="491"/>
        <v>-</v>
      </c>
      <c r="CH260" s="1433" t="str">
        <f t="shared" si="491"/>
        <v>-</v>
      </c>
      <c r="CI260" s="1431" t="str">
        <f t="shared" si="491"/>
        <v>-</v>
      </c>
      <c r="CJ260" s="1431" t="str">
        <f t="shared" si="491"/>
        <v>-</v>
      </c>
      <c r="CK260" s="1431" t="str">
        <f t="shared" si="491"/>
        <v>-</v>
      </c>
      <c r="CL260" s="1431" t="str">
        <f t="shared" si="491"/>
        <v>-</v>
      </c>
      <c r="CM260" s="1433" t="str">
        <f t="shared" si="491"/>
        <v>-</v>
      </c>
      <c r="CN260" s="1431" t="str">
        <f t="shared" si="491"/>
        <v>-</v>
      </c>
      <c r="CO260" s="1431" t="str">
        <f t="shared" si="491"/>
        <v>-</v>
      </c>
      <c r="CP260" s="1431" t="str">
        <f t="shared" si="491"/>
        <v>-</v>
      </c>
      <c r="CQ260" s="1431" t="str">
        <f t="shared" si="491"/>
        <v>-</v>
      </c>
      <c r="CR260" s="1434" t="str">
        <f t="shared" si="491"/>
        <v>-</v>
      </c>
      <c r="CS260" s="1378"/>
      <c r="CT260" s="1428" t="str">
        <f t="shared" ref="CT260:CT323" si="492">AW260</f>
        <v>Rev</v>
      </c>
      <c r="CU260" s="1429" t="str">
        <f t="shared" ref="CU260:CU323" si="493">AX260</f>
        <v>[Service]</v>
      </c>
      <c r="CV260" s="1429" t="str">
        <f t="shared" ref="CV260:CV323" si="494">AY260</f>
        <v>[Price]</v>
      </c>
      <c r="CW260" s="1435" t="str">
        <f t="shared" si="363"/>
        <v>-</v>
      </c>
      <c r="CX260" s="1431" t="str">
        <f t="shared" si="364"/>
        <v>-</v>
      </c>
      <c r="CY260" s="1431" t="str">
        <f t="shared" si="365"/>
        <v>-</v>
      </c>
      <c r="CZ260" s="1433" t="str">
        <f t="shared" si="366"/>
        <v>-</v>
      </c>
      <c r="DA260" s="1431" t="str">
        <f t="shared" si="367"/>
        <v>-</v>
      </c>
      <c r="DB260" s="1431" t="str">
        <f t="shared" si="368"/>
        <v>-</v>
      </c>
      <c r="DC260" s="1431" t="str">
        <f t="shared" si="369"/>
        <v>-</v>
      </c>
      <c r="DD260" s="1431" t="str">
        <f t="shared" si="370"/>
        <v>-</v>
      </c>
      <c r="DE260" s="1434" t="str">
        <f t="shared" si="371"/>
        <v>-</v>
      </c>
      <c r="DF260" s="1378"/>
      <c r="DG260" s="1428" t="str">
        <f t="shared" si="383"/>
        <v>Rev</v>
      </c>
      <c r="DH260" s="1429" t="str">
        <f t="shared" si="383"/>
        <v>[Service]</v>
      </c>
      <c r="DI260" s="1429" t="str">
        <f t="shared" si="383"/>
        <v>[Price]</v>
      </c>
      <c r="DJ260" s="1435" t="str">
        <f t="shared" si="372"/>
        <v>-</v>
      </c>
      <c r="DK260" s="1431" t="str">
        <f t="shared" si="373"/>
        <v>-</v>
      </c>
      <c r="DL260" s="1431" t="str">
        <f t="shared" si="374"/>
        <v>-</v>
      </c>
      <c r="DM260" s="1433" t="str">
        <f t="shared" si="375"/>
        <v>-</v>
      </c>
      <c r="DN260" s="1431" t="str">
        <f t="shared" si="376"/>
        <v>-</v>
      </c>
      <c r="DO260" s="1431" t="str">
        <f t="shared" si="377"/>
        <v>-</v>
      </c>
      <c r="DP260" s="1431" t="str">
        <f t="shared" si="378"/>
        <v>-</v>
      </c>
      <c r="DQ260" s="1434" t="str">
        <f t="shared" si="379"/>
        <v>-</v>
      </c>
    </row>
    <row r="261" spans="4:121">
      <c r="D261" s="70">
        <f>D258+1</f>
        <v>65</v>
      </c>
      <c r="E261" s="713" t="s">
        <v>44</v>
      </c>
      <c r="F261" s="789" t="s">
        <v>27</v>
      </c>
      <c r="G261" s="789"/>
      <c r="H261" s="789"/>
      <c r="I261" s="781" t="s">
        <v>318</v>
      </c>
      <c r="J261" s="781" t="s">
        <v>345</v>
      </c>
      <c r="K261" s="714"/>
      <c r="L261" s="715"/>
      <c r="M261" s="715"/>
      <c r="N261" s="716"/>
      <c r="O261" s="783"/>
      <c r="P261" s="784"/>
      <c r="Q261" s="783"/>
      <c r="R261" s="783"/>
      <c r="S261" s="783"/>
      <c r="T261" s="783"/>
      <c r="U261" s="783"/>
      <c r="V261" s="783"/>
      <c r="W261" s="783"/>
      <c r="X261" s="784"/>
      <c r="Y261" s="783"/>
      <c r="Z261" s="783"/>
      <c r="AA261" s="783"/>
      <c r="AB261" s="783"/>
      <c r="AC261" s="784"/>
      <c r="AD261" s="783"/>
      <c r="AE261" s="783"/>
      <c r="AF261" s="783"/>
      <c r="AG261" s="785"/>
      <c r="AI261" s="745"/>
      <c r="AJ261" s="717" t="str">
        <f t="shared" ref="AJ261:AS261" si="495">IFERROR((X261-W261)/W261,"")</f>
        <v/>
      </c>
      <c r="AK261" s="718" t="str">
        <f t="shared" si="495"/>
        <v/>
      </c>
      <c r="AL261" s="718" t="str">
        <f t="shared" si="495"/>
        <v/>
      </c>
      <c r="AM261" s="718" t="str">
        <f t="shared" si="495"/>
        <v/>
      </c>
      <c r="AN261" s="718" t="str">
        <f t="shared" si="495"/>
        <v/>
      </c>
      <c r="AO261" s="719" t="str">
        <f t="shared" si="495"/>
        <v/>
      </c>
      <c r="AP261" s="494" t="str">
        <f t="shared" si="495"/>
        <v/>
      </c>
      <c r="AQ261" s="494" t="str">
        <f t="shared" si="495"/>
        <v/>
      </c>
      <c r="AR261" s="494" t="str">
        <f t="shared" si="495"/>
        <v/>
      </c>
      <c r="AS261" s="720" t="str">
        <f t="shared" si="495"/>
        <v/>
      </c>
      <c r="AU261" s="1369"/>
      <c r="AW261" s="1412" t="str">
        <f t="shared" si="381"/>
        <v>Price</v>
      </c>
      <c r="AX261" s="1413" t="str">
        <f t="shared" si="381"/>
        <v>[Service]</v>
      </c>
      <c r="AY261" s="1414" t="str">
        <f t="shared" ref="AY261:AY324" si="496">I261</f>
        <v>[Price]</v>
      </c>
      <c r="AZ261" s="1415" t="str">
        <f t="shared" ref="AZ261:BC276" si="497">IFERROR(P261/O261-1,"-")</f>
        <v>-</v>
      </c>
      <c r="BA261" s="1415" t="str">
        <f t="shared" si="497"/>
        <v>-</v>
      </c>
      <c r="BB261" s="1415" t="str">
        <f t="shared" si="497"/>
        <v>-</v>
      </c>
      <c r="BC261" s="1415" t="str">
        <f t="shared" si="497"/>
        <v>-</v>
      </c>
      <c r="BD261" s="1415" t="str">
        <f t="shared" ref="BD261:BD324" si="498">IFERROR(T261/S261-1,"-")</f>
        <v>-</v>
      </c>
      <c r="BE261" s="1415" t="str">
        <f t="shared" ref="BE261:BE324" si="499">IFERROR(U261/T261-1,"-")</f>
        <v>-</v>
      </c>
      <c r="BF261" s="1415" t="str">
        <f t="shared" ref="BF261:BF324" si="500">IFERROR(V261/U261-1,"-")</f>
        <v>-</v>
      </c>
      <c r="BG261" s="1416" t="str">
        <f t="shared" ref="BG261:BG324" si="501">IFERROR(W261/V261-1,"-")</f>
        <v>-</v>
      </c>
      <c r="BH261" s="1417" t="str">
        <f t="shared" ref="BH261:BH324" si="502">IFERROR(X261/W261-1,"-")</f>
        <v>-</v>
      </c>
      <c r="BI261" s="1417" t="str">
        <f t="shared" ref="BI261:BI324" si="503">IFERROR(Y261/X261-1,"-")</f>
        <v>-</v>
      </c>
      <c r="BJ261" s="1417" t="str">
        <f t="shared" ref="BJ261:BJ324" si="504">IFERROR(Z261/Y261-1,"-")</f>
        <v>-</v>
      </c>
      <c r="BK261" s="1417" t="str">
        <f t="shared" ref="BK261:BK324" si="505">IFERROR(AA261/Z261-1,"-")</f>
        <v>-</v>
      </c>
      <c r="BL261" s="1418" t="str">
        <f t="shared" ref="BL261:BL324" si="506">IFERROR(AB261/AA261-1,"-")</f>
        <v>-</v>
      </c>
      <c r="BM261" s="1417" t="str">
        <f t="shared" ref="BM261:BM324" si="507">IFERROR(AC261/AB261-1,"-")</f>
        <v>-</v>
      </c>
      <c r="BN261" s="1417" t="str">
        <f t="shared" ref="BN261:BN324" si="508">IFERROR(AD261/AC261-1,"-")</f>
        <v>-</v>
      </c>
      <c r="BO261" s="1417" t="str">
        <f t="shared" ref="BO261:BO324" si="509">IFERROR(AE261/AD261-1,"-")</f>
        <v>-</v>
      </c>
      <c r="BP261" s="1417" t="str">
        <f t="shared" ref="BP261:BP324" si="510">IFERROR(AF261/AE261-1,"-")</f>
        <v>-</v>
      </c>
      <c r="BQ261" s="1419" t="str">
        <f t="shared" ref="BQ261:BQ324" si="511">IFERROR(AG261/AF261-1,"-")</f>
        <v>-</v>
      </c>
      <c r="BR261" s="1378"/>
      <c r="BS261" s="1420"/>
      <c r="BT261" s="1421"/>
      <c r="BU261" s="1422"/>
      <c r="BV261" s="1423"/>
      <c r="BW261" s="1378"/>
      <c r="BX261" s="1412" t="str">
        <f t="shared" ref="BX261:BX324" si="512">AW261</f>
        <v>Price</v>
      </c>
      <c r="BY261" s="1413" t="str">
        <f t="shared" si="406"/>
        <v>[Service]</v>
      </c>
      <c r="BZ261" s="1414" t="str">
        <f t="shared" si="407"/>
        <v>[Price]</v>
      </c>
      <c r="CA261" s="1424" t="str">
        <f>IFERROR((S261/R261-1)*(R263/R$13),"-")</f>
        <v>-</v>
      </c>
      <c r="CB261" s="1415" t="str">
        <f>IFERROR((T261/S261-1)*(S263/S$13),"-")</f>
        <v>-</v>
      </c>
      <c r="CC261" s="1415" t="str">
        <f>IFERROR((U261/T261-1)*(T263/T$13),"-")</f>
        <v>-</v>
      </c>
      <c r="CD261" s="1415" t="str">
        <f>IFERROR((V261/U261-1)*(U263/U$13),"-")</f>
        <v>-</v>
      </c>
      <c r="CE261" s="1415" t="str">
        <f t="shared" ref="CE261:CR261" si="513">IFERROR((T261/S261-1)*(S263/S$13),"-")</f>
        <v>-</v>
      </c>
      <c r="CF261" s="1415" t="str">
        <f t="shared" si="513"/>
        <v>-</v>
      </c>
      <c r="CG261" s="1415" t="str">
        <f t="shared" si="513"/>
        <v>-</v>
      </c>
      <c r="CH261" s="1425" t="str">
        <f t="shared" si="513"/>
        <v>-</v>
      </c>
      <c r="CI261" s="1417" t="str">
        <f t="shared" si="513"/>
        <v>-</v>
      </c>
      <c r="CJ261" s="1417" t="str">
        <f t="shared" si="513"/>
        <v>-</v>
      </c>
      <c r="CK261" s="1417" t="str">
        <f t="shared" si="513"/>
        <v>-</v>
      </c>
      <c r="CL261" s="1417" t="str">
        <f t="shared" si="513"/>
        <v>-</v>
      </c>
      <c r="CM261" s="1418" t="str">
        <f t="shared" si="513"/>
        <v>-</v>
      </c>
      <c r="CN261" s="1417" t="str">
        <f t="shared" si="513"/>
        <v>-</v>
      </c>
      <c r="CO261" s="1417" t="str">
        <f t="shared" si="513"/>
        <v>-</v>
      </c>
      <c r="CP261" s="1417" t="str">
        <f t="shared" si="513"/>
        <v>-</v>
      </c>
      <c r="CQ261" s="1417" t="str">
        <f t="shared" si="513"/>
        <v>-</v>
      </c>
      <c r="CR261" s="1419" t="str">
        <f t="shared" si="513"/>
        <v>-</v>
      </c>
      <c r="CS261" s="1378"/>
      <c r="CT261" s="1412" t="str">
        <f t="shared" si="492"/>
        <v>Price</v>
      </c>
      <c r="CU261" s="1413" t="str">
        <f t="shared" si="493"/>
        <v>[Service]</v>
      </c>
      <c r="CV261" s="1426" t="str">
        <f t="shared" si="494"/>
        <v>[Price]</v>
      </c>
      <c r="CW261" s="1427" t="str">
        <f t="shared" ref="CW261:CW324" si="514">IFERROR((Y261/$W261)^(1/CW$64)-1,"-")</f>
        <v>-</v>
      </c>
      <c r="CX261" s="1417" t="str">
        <f t="shared" ref="CX261:CX324" si="515">IFERROR((Z261/$W261)^(1/CX$64)-1,"-")</f>
        <v>-</v>
      </c>
      <c r="CY261" s="1417" t="str">
        <f t="shared" ref="CY261:CY324" si="516">IFERROR((AA261/$W261)^(1/CY$64)-1,"-")</f>
        <v>-</v>
      </c>
      <c r="CZ261" s="1418" t="str">
        <f t="shared" ref="CZ261:CZ324" si="517">IFERROR((AB261/$W261)^(1/CZ$64)-1,"-")</f>
        <v>-</v>
      </c>
      <c r="DA261" s="1417" t="str">
        <f t="shared" ref="DA261:DA324" si="518">IFERROR((AC261/$W261)^(1/DA$64)-1,"-")</f>
        <v>-</v>
      </c>
      <c r="DB261" s="1417" t="str">
        <f t="shared" ref="DB261:DB324" si="519">IFERROR((AD261/$W261)^(1/DB$64)-1,"-")</f>
        <v>-</v>
      </c>
      <c r="DC261" s="1417" t="str">
        <f t="shared" ref="DC261:DC324" si="520">IFERROR((AE261/$W261)^(1/DC$64)-1,"-")</f>
        <v>-</v>
      </c>
      <c r="DD261" s="1417" t="str">
        <f t="shared" ref="DD261:DD324" si="521">IFERROR((AF261/$W261)^(1/DD$64)-1,"-")</f>
        <v>-</v>
      </c>
      <c r="DE261" s="1419" t="str">
        <f t="shared" ref="DE261:DE324" si="522">IFERROR((AG261/$W261)^(1/DE$64)-1,"-")</f>
        <v>-</v>
      </c>
      <c r="DF261" s="1378"/>
      <c r="DG261" s="1412" t="str">
        <f t="shared" si="383"/>
        <v>Price</v>
      </c>
      <c r="DH261" s="1413" t="str">
        <f t="shared" si="383"/>
        <v>[Service]</v>
      </c>
      <c r="DI261" s="1426" t="str">
        <f t="shared" si="383"/>
        <v>[Price]</v>
      </c>
      <c r="DJ261" s="1427" t="str">
        <f t="shared" ref="DJ261:DJ324" si="523">IFERROR((Z261/$X261)^(1/DJ$64)-1,"-")</f>
        <v>-</v>
      </c>
      <c r="DK261" s="1417" t="str">
        <f t="shared" ref="DK261:DK324" si="524">IFERROR((AA261/$X261)^(1/DK$64)-1,"-")</f>
        <v>-</v>
      </c>
      <c r="DL261" s="1417" t="str">
        <f t="shared" ref="DL261:DL324" si="525">IFERROR((AB261/$X261)^(1/DL$64)-1,"-")</f>
        <v>-</v>
      </c>
      <c r="DM261" s="1418" t="str">
        <f t="shared" ref="DM261:DM324" si="526">IFERROR((AC261/$X261)^(1/DM$64)-1,"-")</f>
        <v>-</v>
      </c>
      <c r="DN261" s="1417" t="str">
        <f t="shared" ref="DN261:DN324" si="527">IFERROR((AD261/$X261)^(1/DN$64)-1,"-")</f>
        <v>-</v>
      </c>
      <c r="DO261" s="1417" t="str">
        <f t="shared" ref="DO261:DO324" si="528">IFERROR((AE261/$X261)^(1/DO$64)-1,"-")</f>
        <v>-</v>
      </c>
      <c r="DP261" s="1417" t="str">
        <f t="shared" ref="DP261:DP324" si="529">IFERROR((AF261/$X261)^(1/DP$64)-1,"-")</f>
        <v>-</v>
      </c>
      <c r="DQ261" s="1419" t="str">
        <f t="shared" ref="DQ261:DQ324" si="530">IFERROR((AG261/$X261)^(1/DQ$64)-1,"-")</f>
        <v>-</v>
      </c>
    </row>
    <row r="262" spans="4:121">
      <c r="E262" s="742" t="s">
        <v>45</v>
      </c>
      <c r="F262" s="722" t="str">
        <f>+F261</f>
        <v>[Service]</v>
      </c>
      <c r="G262" s="723">
        <f>+G261</f>
        <v>0</v>
      </c>
      <c r="H262" s="723">
        <f>+H261</f>
        <v>0</v>
      </c>
      <c r="I262" s="724" t="str">
        <f>+I261</f>
        <v>[Price]</v>
      </c>
      <c r="J262" s="782" t="s">
        <v>322</v>
      </c>
      <c r="K262" s="725"/>
      <c r="L262" s="726"/>
      <c r="M262" s="726"/>
      <c r="N262" s="727"/>
      <c r="O262" s="786"/>
      <c r="P262" s="787"/>
      <c r="Q262" s="786"/>
      <c r="R262" s="786"/>
      <c r="S262" s="786"/>
      <c r="T262" s="786"/>
      <c r="U262" s="786"/>
      <c r="V262" s="786"/>
      <c r="W262" s="786"/>
      <c r="X262" s="787"/>
      <c r="Y262" s="786"/>
      <c r="Z262" s="786"/>
      <c r="AA262" s="786"/>
      <c r="AB262" s="786"/>
      <c r="AC262" s="787"/>
      <c r="AD262" s="786"/>
      <c r="AE262" s="786"/>
      <c r="AF262" s="786"/>
      <c r="AG262" s="788"/>
      <c r="AH262" s="823"/>
      <c r="AI262" s="745"/>
      <c r="AJ262" s="728"/>
      <c r="AK262" s="729"/>
      <c r="AL262" s="729"/>
      <c r="AM262" s="729"/>
      <c r="AN262" s="729"/>
      <c r="AO262" s="730"/>
      <c r="AP262" s="74"/>
      <c r="AQ262" s="74"/>
      <c r="AR262" s="74"/>
      <c r="AS262" s="106"/>
      <c r="AW262" s="1392" t="str">
        <f t="shared" ref="AW262:AX325" si="531">E262</f>
        <v>Qty</v>
      </c>
      <c r="AX262" s="1393" t="str">
        <f t="shared" si="531"/>
        <v>[Service]</v>
      </c>
      <c r="AY262" s="1394" t="str">
        <f t="shared" si="496"/>
        <v>[Price]</v>
      </c>
      <c r="AZ262" s="1395" t="str">
        <f t="shared" si="497"/>
        <v>-</v>
      </c>
      <c r="BA262" s="1395" t="str">
        <f t="shared" si="497"/>
        <v>-</v>
      </c>
      <c r="BB262" s="1395" t="str">
        <f t="shared" si="497"/>
        <v>-</v>
      </c>
      <c r="BC262" s="1395" t="str">
        <f t="shared" si="497"/>
        <v>-</v>
      </c>
      <c r="BD262" s="1395" t="str">
        <f t="shared" si="498"/>
        <v>-</v>
      </c>
      <c r="BE262" s="1395" t="str">
        <f t="shared" si="499"/>
        <v>-</v>
      </c>
      <c r="BF262" s="1395" t="str">
        <f t="shared" si="500"/>
        <v>-</v>
      </c>
      <c r="BG262" s="1396" t="str">
        <f t="shared" si="501"/>
        <v>-</v>
      </c>
      <c r="BH262" s="1395" t="str">
        <f t="shared" si="502"/>
        <v>-</v>
      </c>
      <c r="BI262" s="1395" t="str">
        <f t="shared" si="503"/>
        <v>-</v>
      </c>
      <c r="BJ262" s="1395" t="str">
        <f t="shared" si="504"/>
        <v>-</v>
      </c>
      <c r="BK262" s="1395" t="str">
        <f t="shared" si="505"/>
        <v>-</v>
      </c>
      <c r="BL262" s="1397" t="str">
        <f t="shared" si="506"/>
        <v>-</v>
      </c>
      <c r="BM262" s="1395" t="str">
        <f t="shared" si="507"/>
        <v>-</v>
      </c>
      <c r="BN262" s="1395" t="str">
        <f t="shared" si="508"/>
        <v>-</v>
      </c>
      <c r="BO262" s="1395" t="str">
        <f t="shared" si="509"/>
        <v>-</v>
      </c>
      <c r="BP262" s="1395" t="str">
        <f t="shared" si="510"/>
        <v>-</v>
      </c>
      <c r="BQ262" s="1398" t="str">
        <f t="shared" si="511"/>
        <v>-</v>
      </c>
      <c r="BR262" s="1378"/>
      <c r="BS262" s="1329"/>
      <c r="BT262" s="1399"/>
      <c r="BU262" s="1331"/>
      <c r="BV262" s="1400"/>
      <c r="BW262" s="1378"/>
      <c r="BX262" s="1392" t="str">
        <f t="shared" si="512"/>
        <v>Qty</v>
      </c>
      <c r="BY262" s="1393" t="str">
        <f t="shared" si="406"/>
        <v>[Service]</v>
      </c>
      <c r="BZ262" s="1394" t="str">
        <f t="shared" si="407"/>
        <v>[Price]</v>
      </c>
      <c r="CA262" s="1401" t="str">
        <f>IFERROR((S262/R262-1)*(R263/R$13),"-")</f>
        <v>-</v>
      </c>
      <c r="CB262" s="1395" t="str">
        <f>IFERROR((T262/S262-1)*(S263/S$13),"-")</f>
        <v>-</v>
      </c>
      <c r="CC262" s="1395" t="str">
        <f>IFERROR((U262/T262-1)*(T263/T$13),"-")</f>
        <v>-</v>
      </c>
      <c r="CD262" s="1395" t="str">
        <f>IFERROR((V262/U262-1)*(U263/U$13),"-")</f>
        <v>-</v>
      </c>
      <c r="CE262" s="1395" t="str">
        <f t="shared" ref="CE262:CR262" si="532">IFERROR((T262/S262-1)*(S263/S$13),"-")</f>
        <v>-</v>
      </c>
      <c r="CF262" s="1395" t="str">
        <f t="shared" si="532"/>
        <v>-</v>
      </c>
      <c r="CG262" s="1395" t="str">
        <f t="shared" si="532"/>
        <v>-</v>
      </c>
      <c r="CH262" s="1397" t="str">
        <f t="shared" si="532"/>
        <v>-</v>
      </c>
      <c r="CI262" s="1395" t="str">
        <f t="shared" si="532"/>
        <v>-</v>
      </c>
      <c r="CJ262" s="1395" t="str">
        <f t="shared" si="532"/>
        <v>-</v>
      </c>
      <c r="CK262" s="1395" t="str">
        <f t="shared" si="532"/>
        <v>-</v>
      </c>
      <c r="CL262" s="1395" t="str">
        <f t="shared" si="532"/>
        <v>-</v>
      </c>
      <c r="CM262" s="1397" t="str">
        <f t="shared" si="532"/>
        <v>-</v>
      </c>
      <c r="CN262" s="1395" t="str">
        <f t="shared" si="532"/>
        <v>-</v>
      </c>
      <c r="CO262" s="1395" t="str">
        <f t="shared" si="532"/>
        <v>-</v>
      </c>
      <c r="CP262" s="1395" t="str">
        <f t="shared" si="532"/>
        <v>-</v>
      </c>
      <c r="CQ262" s="1395" t="str">
        <f t="shared" si="532"/>
        <v>-</v>
      </c>
      <c r="CR262" s="1398" t="str">
        <f t="shared" si="532"/>
        <v>-</v>
      </c>
      <c r="CS262" s="1378"/>
      <c r="CT262" s="1392" t="str">
        <f t="shared" si="492"/>
        <v>Qty</v>
      </c>
      <c r="CU262" s="1393" t="str">
        <f t="shared" si="493"/>
        <v>[Service]</v>
      </c>
      <c r="CV262" s="1393" t="str">
        <f t="shared" si="494"/>
        <v>[Price]</v>
      </c>
      <c r="CW262" s="1401" t="str">
        <f t="shared" si="514"/>
        <v>-</v>
      </c>
      <c r="CX262" s="1395" t="str">
        <f t="shared" si="515"/>
        <v>-</v>
      </c>
      <c r="CY262" s="1395" t="str">
        <f t="shared" si="516"/>
        <v>-</v>
      </c>
      <c r="CZ262" s="1397" t="str">
        <f t="shared" si="517"/>
        <v>-</v>
      </c>
      <c r="DA262" s="1395" t="str">
        <f t="shared" si="518"/>
        <v>-</v>
      </c>
      <c r="DB262" s="1395" t="str">
        <f t="shared" si="519"/>
        <v>-</v>
      </c>
      <c r="DC262" s="1395" t="str">
        <f t="shared" si="520"/>
        <v>-</v>
      </c>
      <c r="DD262" s="1395" t="str">
        <f t="shared" si="521"/>
        <v>-</v>
      </c>
      <c r="DE262" s="1398" t="str">
        <f t="shared" si="522"/>
        <v>-</v>
      </c>
      <c r="DF262" s="1378"/>
      <c r="DG262" s="1392" t="str">
        <f t="shared" ref="DG262:DI325" si="533">CT262</f>
        <v>Qty</v>
      </c>
      <c r="DH262" s="1393" t="str">
        <f t="shared" si="533"/>
        <v>[Service]</v>
      </c>
      <c r="DI262" s="1393" t="str">
        <f t="shared" si="533"/>
        <v>[Price]</v>
      </c>
      <c r="DJ262" s="1401" t="str">
        <f t="shared" si="523"/>
        <v>-</v>
      </c>
      <c r="DK262" s="1395" t="str">
        <f t="shared" si="524"/>
        <v>-</v>
      </c>
      <c r="DL262" s="1395" t="str">
        <f t="shared" si="525"/>
        <v>-</v>
      </c>
      <c r="DM262" s="1397" t="str">
        <f t="shared" si="526"/>
        <v>-</v>
      </c>
      <c r="DN262" s="1395" t="str">
        <f t="shared" si="527"/>
        <v>-</v>
      </c>
      <c r="DO262" s="1395" t="str">
        <f t="shared" si="528"/>
        <v>-</v>
      </c>
      <c r="DP262" s="1395" t="str">
        <f t="shared" si="529"/>
        <v>-</v>
      </c>
      <c r="DQ262" s="1398" t="str">
        <f t="shared" si="530"/>
        <v>-</v>
      </c>
    </row>
    <row r="263" spans="4:121" ht="12.75" thickBot="1">
      <c r="E263" s="743" t="s">
        <v>46</v>
      </c>
      <c r="F263" s="732" t="str">
        <f>+F261</f>
        <v>[Service]</v>
      </c>
      <c r="G263" s="733">
        <f>+G261</f>
        <v>0</v>
      </c>
      <c r="H263" s="733">
        <f>+H261</f>
        <v>0</v>
      </c>
      <c r="I263" s="734" t="str">
        <f>+I261</f>
        <v>[Price]</v>
      </c>
      <c r="J263" s="735" t="s">
        <v>344</v>
      </c>
      <c r="K263" s="736">
        <f t="shared" ref="K263:AG263" si="534">K261*K262/10^6</f>
        <v>0</v>
      </c>
      <c r="L263" s="737">
        <f t="shared" si="534"/>
        <v>0</v>
      </c>
      <c r="M263" s="737">
        <f t="shared" si="534"/>
        <v>0</v>
      </c>
      <c r="N263" s="738">
        <f t="shared" si="534"/>
        <v>0</v>
      </c>
      <c r="O263" s="737">
        <f t="shared" si="534"/>
        <v>0</v>
      </c>
      <c r="P263" s="738">
        <f t="shared" si="534"/>
        <v>0</v>
      </c>
      <c r="Q263" s="737">
        <f t="shared" si="534"/>
        <v>0</v>
      </c>
      <c r="R263" s="737">
        <f t="shared" si="534"/>
        <v>0</v>
      </c>
      <c r="S263" s="737">
        <f t="shared" si="534"/>
        <v>0</v>
      </c>
      <c r="T263" s="737">
        <f t="shared" si="534"/>
        <v>0</v>
      </c>
      <c r="U263" s="737">
        <f t="shared" si="534"/>
        <v>0</v>
      </c>
      <c r="V263" s="737">
        <f t="shared" si="534"/>
        <v>0</v>
      </c>
      <c r="W263" s="737">
        <f t="shared" si="534"/>
        <v>0</v>
      </c>
      <c r="X263" s="738">
        <f t="shared" si="534"/>
        <v>0</v>
      </c>
      <c r="Y263" s="737">
        <f t="shared" si="534"/>
        <v>0</v>
      </c>
      <c r="Z263" s="737">
        <f t="shared" si="534"/>
        <v>0</v>
      </c>
      <c r="AA263" s="737">
        <f t="shared" si="534"/>
        <v>0</v>
      </c>
      <c r="AB263" s="737">
        <f t="shared" si="534"/>
        <v>0</v>
      </c>
      <c r="AC263" s="738">
        <f t="shared" si="534"/>
        <v>0</v>
      </c>
      <c r="AD263" s="737">
        <f t="shared" si="534"/>
        <v>0</v>
      </c>
      <c r="AE263" s="737">
        <f t="shared" si="534"/>
        <v>0</v>
      </c>
      <c r="AF263" s="737">
        <f t="shared" si="534"/>
        <v>0</v>
      </c>
      <c r="AG263" s="739">
        <f t="shared" si="534"/>
        <v>0</v>
      </c>
      <c r="AH263" s="823"/>
      <c r="AI263" s="745"/>
      <c r="AJ263" s="741"/>
      <c r="AK263" s="729"/>
      <c r="AL263" s="729"/>
      <c r="AM263" s="729"/>
      <c r="AN263" s="729"/>
      <c r="AO263" s="730"/>
      <c r="AP263" s="74"/>
      <c r="AQ263" s="74"/>
      <c r="AR263" s="74"/>
      <c r="AS263" s="106"/>
      <c r="AW263" s="1428" t="str">
        <f t="shared" si="531"/>
        <v>Rev</v>
      </c>
      <c r="AX263" s="1429" t="str">
        <f t="shared" si="531"/>
        <v>[Service]</v>
      </c>
      <c r="AY263" s="1430" t="str">
        <f t="shared" si="496"/>
        <v>[Price]</v>
      </c>
      <c r="AZ263" s="1431" t="str">
        <f t="shared" si="497"/>
        <v>-</v>
      </c>
      <c r="BA263" s="1431" t="str">
        <f t="shared" si="497"/>
        <v>-</v>
      </c>
      <c r="BB263" s="1431" t="str">
        <f t="shared" si="497"/>
        <v>-</v>
      </c>
      <c r="BC263" s="1431" t="str">
        <f t="shared" si="497"/>
        <v>-</v>
      </c>
      <c r="BD263" s="1431" t="str">
        <f t="shared" si="498"/>
        <v>-</v>
      </c>
      <c r="BE263" s="1431" t="str">
        <f t="shared" si="499"/>
        <v>-</v>
      </c>
      <c r="BF263" s="1431" t="str">
        <f t="shared" si="500"/>
        <v>-</v>
      </c>
      <c r="BG263" s="1432" t="str">
        <f t="shared" si="501"/>
        <v>-</v>
      </c>
      <c r="BH263" s="1431" t="str">
        <f t="shared" si="502"/>
        <v>-</v>
      </c>
      <c r="BI263" s="1431" t="str">
        <f t="shared" si="503"/>
        <v>-</v>
      </c>
      <c r="BJ263" s="1431" t="str">
        <f t="shared" si="504"/>
        <v>-</v>
      </c>
      <c r="BK263" s="1431" t="str">
        <f t="shared" si="505"/>
        <v>-</v>
      </c>
      <c r="BL263" s="1433" t="str">
        <f t="shared" si="506"/>
        <v>-</v>
      </c>
      <c r="BM263" s="1431" t="str">
        <f t="shared" si="507"/>
        <v>-</v>
      </c>
      <c r="BN263" s="1431" t="str">
        <f t="shared" si="508"/>
        <v>-</v>
      </c>
      <c r="BO263" s="1431" t="str">
        <f t="shared" si="509"/>
        <v>-</v>
      </c>
      <c r="BP263" s="1431" t="str">
        <f t="shared" si="510"/>
        <v>-</v>
      </c>
      <c r="BQ263" s="1434" t="str">
        <f t="shared" si="511"/>
        <v>-</v>
      </c>
      <c r="BR263" s="1378"/>
      <c r="BS263" s="1407"/>
      <c r="BT263" s="1408"/>
      <c r="BU263" s="1409"/>
      <c r="BV263" s="1410"/>
      <c r="BW263" s="1378"/>
      <c r="BX263" s="1428" t="str">
        <f t="shared" si="512"/>
        <v>Rev</v>
      </c>
      <c r="BY263" s="1429" t="str">
        <f t="shared" si="406"/>
        <v>[Service]</v>
      </c>
      <c r="BZ263" s="1430" t="str">
        <f t="shared" si="407"/>
        <v>[Price]</v>
      </c>
      <c r="CA263" s="1435" t="str">
        <f>IFERROR((S263/R263-1)*(R263/R$13),"-")</f>
        <v>-</v>
      </c>
      <c r="CB263" s="1431" t="str">
        <f>IFERROR((T263/S263-1)*(S263/S$13),"-")</f>
        <v>-</v>
      </c>
      <c r="CC263" s="1431" t="str">
        <f>IFERROR((U263/T263-1)*(T263/T$13),"-")</f>
        <v>-</v>
      </c>
      <c r="CD263" s="1431" t="str">
        <f>IFERROR((V263/U263-1)*(U263/U$13),"-")</f>
        <v>-</v>
      </c>
      <c r="CE263" s="1431" t="str">
        <f t="shared" ref="CE263:CR263" si="535">IFERROR((T263/S263-1)*(S263/S$13),"-")</f>
        <v>-</v>
      </c>
      <c r="CF263" s="1431" t="str">
        <f t="shared" si="535"/>
        <v>-</v>
      </c>
      <c r="CG263" s="1431" t="str">
        <f t="shared" si="535"/>
        <v>-</v>
      </c>
      <c r="CH263" s="1433" t="str">
        <f t="shared" si="535"/>
        <v>-</v>
      </c>
      <c r="CI263" s="1431" t="str">
        <f t="shared" si="535"/>
        <v>-</v>
      </c>
      <c r="CJ263" s="1431" t="str">
        <f t="shared" si="535"/>
        <v>-</v>
      </c>
      <c r="CK263" s="1431" t="str">
        <f t="shared" si="535"/>
        <v>-</v>
      </c>
      <c r="CL263" s="1431" t="str">
        <f t="shared" si="535"/>
        <v>-</v>
      </c>
      <c r="CM263" s="1433" t="str">
        <f t="shared" si="535"/>
        <v>-</v>
      </c>
      <c r="CN263" s="1431" t="str">
        <f t="shared" si="535"/>
        <v>-</v>
      </c>
      <c r="CO263" s="1431" t="str">
        <f t="shared" si="535"/>
        <v>-</v>
      </c>
      <c r="CP263" s="1431" t="str">
        <f t="shared" si="535"/>
        <v>-</v>
      </c>
      <c r="CQ263" s="1431" t="str">
        <f t="shared" si="535"/>
        <v>-</v>
      </c>
      <c r="CR263" s="1434" t="str">
        <f t="shared" si="535"/>
        <v>-</v>
      </c>
      <c r="CS263" s="1378"/>
      <c r="CT263" s="1428" t="str">
        <f t="shared" si="492"/>
        <v>Rev</v>
      </c>
      <c r="CU263" s="1429" t="str">
        <f t="shared" si="493"/>
        <v>[Service]</v>
      </c>
      <c r="CV263" s="1429" t="str">
        <f t="shared" si="494"/>
        <v>[Price]</v>
      </c>
      <c r="CW263" s="1435" t="str">
        <f t="shared" si="514"/>
        <v>-</v>
      </c>
      <c r="CX263" s="1431" t="str">
        <f t="shared" si="515"/>
        <v>-</v>
      </c>
      <c r="CY263" s="1431" t="str">
        <f t="shared" si="516"/>
        <v>-</v>
      </c>
      <c r="CZ263" s="1433" t="str">
        <f t="shared" si="517"/>
        <v>-</v>
      </c>
      <c r="DA263" s="1431" t="str">
        <f t="shared" si="518"/>
        <v>-</v>
      </c>
      <c r="DB263" s="1431" t="str">
        <f t="shared" si="519"/>
        <v>-</v>
      </c>
      <c r="DC263" s="1431" t="str">
        <f t="shared" si="520"/>
        <v>-</v>
      </c>
      <c r="DD263" s="1431" t="str">
        <f t="shared" si="521"/>
        <v>-</v>
      </c>
      <c r="DE263" s="1434" t="str">
        <f t="shared" si="522"/>
        <v>-</v>
      </c>
      <c r="DF263" s="1378"/>
      <c r="DG263" s="1428" t="str">
        <f t="shared" si="533"/>
        <v>Rev</v>
      </c>
      <c r="DH263" s="1429" t="str">
        <f t="shared" si="533"/>
        <v>[Service]</v>
      </c>
      <c r="DI263" s="1429" t="str">
        <f t="shared" si="533"/>
        <v>[Price]</v>
      </c>
      <c r="DJ263" s="1435" t="str">
        <f t="shared" si="523"/>
        <v>-</v>
      </c>
      <c r="DK263" s="1431" t="str">
        <f t="shared" si="524"/>
        <v>-</v>
      </c>
      <c r="DL263" s="1431" t="str">
        <f t="shared" si="525"/>
        <v>-</v>
      </c>
      <c r="DM263" s="1433" t="str">
        <f t="shared" si="526"/>
        <v>-</v>
      </c>
      <c r="DN263" s="1431" t="str">
        <f t="shared" si="527"/>
        <v>-</v>
      </c>
      <c r="DO263" s="1431" t="str">
        <f t="shared" si="528"/>
        <v>-</v>
      </c>
      <c r="DP263" s="1431" t="str">
        <f t="shared" si="529"/>
        <v>-</v>
      </c>
      <c r="DQ263" s="1434" t="str">
        <f t="shared" si="530"/>
        <v>-</v>
      </c>
    </row>
    <row r="264" spans="4:121">
      <c r="D264" s="70">
        <f>D261+1</f>
        <v>66</v>
      </c>
      <c r="E264" s="713" t="s">
        <v>44</v>
      </c>
      <c r="F264" s="789" t="s">
        <v>27</v>
      </c>
      <c r="G264" s="789"/>
      <c r="H264" s="789"/>
      <c r="I264" s="781" t="s">
        <v>318</v>
      </c>
      <c r="J264" s="781" t="s">
        <v>345</v>
      </c>
      <c r="K264" s="714"/>
      <c r="L264" s="715"/>
      <c r="M264" s="715"/>
      <c r="N264" s="716"/>
      <c r="O264" s="783"/>
      <c r="P264" s="784"/>
      <c r="Q264" s="783"/>
      <c r="R264" s="783"/>
      <c r="S264" s="783"/>
      <c r="T264" s="783"/>
      <c r="U264" s="783"/>
      <c r="V264" s="783"/>
      <c r="W264" s="783"/>
      <c r="X264" s="784"/>
      <c r="Y264" s="783"/>
      <c r="Z264" s="783"/>
      <c r="AA264" s="783"/>
      <c r="AB264" s="783"/>
      <c r="AC264" s="784"/>
      <c r="AD264" s="783"/>
      <c r="AE264" s="783"/>
      <c r="AF264" s="783"/>
      <c r="AG264" s="785"/>
      <c r="AI264" s="745"/>
      <c r="AJ264" s="717" t="str">
        <f t="shared" ref="AJ264:AS264" si="536">IFERROR((X264-W264)/W264,"")</f>
        <v/>
      </c>
      <c r="AK264" s="718" t="str">
        <f t="shared" si="536"/>
        <v/>
      </c>
      <c r="AL264" s="718" t="str">
        <f t="shared" si="536"/>
        <v/>
      </c>
      <c r="AM264" s="718" t="str">
        <f t="shared" si="536"/>
        <v/>
      </c>
      <c r="AN264" s="718" t="str">
        <f t="shared" si="536"/>
        <v/>
      </c>
      <c r="AO264" s="719" t="str">
        <f t="shared" si="536"/>
        <v/>
      </c>
      <c r="AP264" s="494" t="str">
        <f t="shared" si="536"/>
        <v/>
      </c>
      <c r="AQ264" s="494" t="str">
        <f t="shared" si="536"/>
        <v/>
      </c>
      <c r="AR264" s="494" t="str">
        <f t="shared" si="536"/>
        <v/>
      </c>
      <c r="AS264" s="720" t="str">
        <f t="shared" si="536"/>
        <v/>
      </c>
      <c r="AU264" s="1369"/>
      <c r="AW264" s="1412" t="str">
        <f t="shared" si="531"/>
        <v>Price</v>
      </c>
      <c r="AX264" s="1413" t="str">
        <f t="shared" si="531"/>
        <v>[Service]</v>
      </c>
      <c r="AY264" s="1414" t="str">
        <f t="shared" si="496"/>
        <v>[Price]</v>
      </c>
      <c r="AZ264" s="1415" t="str">
        <f t="shared" si="497"/>
        <v>-</v>
      </c>
      <c r="BA264" s="1415" t="str">
        <f t="shared" si="497"/>
        <v>-</v>
      </c>
      <c r="BB264" s="1415" t="str">
        <f t="shared" si="497"/>
        <v>-</v>
      </c>
      <c r="BC264" s="1415" t="str">
        <f t="shared" si="497"/>
        <v>-</v>
      </c>
      <c r="BD264" s="1415" t="str">
        <f t="shared" si="498"/>
        <v>-</v>
      </c>
      <c r="BE264" s="1415" t="str">
        <f t="shared" si="499"/>
        <v>-</v>
      </c>
      <c r="BF264" s="1415" t="str">
        <f t="shared" si="500"/>
        <v>-</v>
      </c>
      <c r="BG264" s="1416" t="str">
        <f t="shared" si="501"/>
        <v>-</v>
      </c>
      <c r="BH264" s="1417" t="str">
        <f t="shared" si="502"/>
        <v>-</v>
      </c>
      <c r="BI264" s="1417" t="str">
        <f t="shared" si="503"/>
        <v>-</v>
      </c>
      <c r="BJ264" s="1417" t="str">
        <f t="shared" si="504"/>
        <v>-</v>
      </c>
      <c r="BK264" s="1417" t="str">
        <f t="shared" si="505"/>
        <v>-</v>
      </c>
      <c r="BL264" s="1418" t="str">
        <f t="shared" si="506"/>
        <v>-</v>
      </c>
      <c r="BM264" s="1417" t="str">
        <f t="shared" si="507"/>
        <v>-</v>
      </c>
      <c r="BN264" s="1417" t="str">
        <f t="shared" si="508"/>
        <v>-</v>
      </c>
      <c r="BO264" s="1417" t="str">
        <f t="shared" si="509"/>
        <v>-</v>
      </c>
      <c r="BP264" s="1417" t="str">
        <f t="shared" si="510"/>
        <v>-</v>
      </c>
      <c r="BQ264" s="1419" t="str">
        <f t="shared" si="511"/>
        <v>-</v>
      </c>
      <c r="BR264" s="1378"/>
      <c r="BS264" s="1420"/>
      <c r="BT264" s="1421"/>
      <c r="BU264" s="1422"/>
      <c r="BV264" s="1423"/>
      <c r="BW264" s="1378"/>
      <c r="BX264" s="1412" t="str">
        <f t="shared" si="512"/>
        <v>Price</v>
      </c>
      <c r="BY264" s="1413" t="str">
        <f t="shared" si="406"/>
        <v>[Service]</v>
      </c>
      <c r="BZ264" s="1414" t="str">
        <f t="shared" si="407"/>
        <v>[Price]</v>
      </c>
      <c r="CA264" s="1424" t="str">
        <f>IFERROR((S264/R264-1)*(R266/R$13),"-")</f>
        <v>-</v>
      </c>
      <c r="CB264" s="1415" t="str">
        <f>IFERROR((T264/S264-1)*(S266/S$13),"-")</f>
        <v>-</v>
      </c>
      <c r="CC264" s="1415" t="str">
        <f>IFERROR((U264/T264-1)*(T266/T$13),"-")</f>
        <v>-</v>
      </c>
      <c r="CD264" s="1415" t="str">
        <f>IFERROR((V264/U264-1)*(U266/U$13),"-")</f>
        <v>-</v>
      </c>
      <c r="CE264" s="1415" t="str">
        <f t="shared" ref="CE264:CR264" si="537">IFERROR((T264/S264-1)*(S266/S$13),"-")</f>
        <v>-</v>
      </c>
      <c r="CF264" s="1415" t="str">
        <f t="shared" si="537"/>
        <v>-</v>
      </c>
      <c r="CG264" s="1415" t="str">
        <f t="shared" si="537"/>
        <v>-</v>
      </c>
      <c r="CH264" s="1425" t="str">
        <f t="shared" si="537"/>
        <v>-</v>
      </c>
      <c r="CI264" s="1417" t="str">
        <f t="shared" si="537"/>
        <v>-</v>
      </c>
      <c r="CJ264" s="1417" t="str">
        <f t="shared" si="537"/>
        <v>-</v>
      </c>
      <c r="CK264" s="1417" t="str">
        <f t="shared" si="537"/>
        <v>-</v>
      </c>
      <c r="CL264" s="1417" t="str">
        <f t="shared" si="537"/>
        <v>-</v>
      </c>
      <c r="CM264" s="1418" t="str">
        <f t="shared" si="537"/>
        <v>-</v>
      </c>
      <c r="CN264" s="1417" t="str">
        <f t="shared" si="537"/>
        <v>-</v>
      </c>
      <c r="CO264" s="1417" t="str">
        <f t="shared" si="537"/>
        <v>-</v>
      </c>
      <c r="CP264" s="1417" t="str">
        <f t="shared" si="537"/>
        <v>-</v>
      </c>
      <c r="CQ264" s="1417" t="str">
        <f t="shared" si="537"/>
        <v>-</v>
      </c>
      <c r="CR264" s="1419" t="str">
        <f t="shared" si="537"/>
        <v>-</v>
      </c>
      <c r="CS264" s="1378"/>
      <c r="CT264" s="1412" t="str">
        <f t="shared" si="492"/>
        <v>Price</v>
      </c>
      <c r="CU264" s="1413" t="str">
        <f t="shared" si="493"/>
        <v>[Service]</v>
      </c>
      <c r="CV264" s="1426" t="str">
        <f t="shared" si="494"/>
        <v>[Price]</v>
      </c>
      <c r="CW264" s="1427" t="str">
        <f t="shared" si="514"/>
        <v>-</v>
      </c>
      <c r="CX264" s="1417" t="str">
        <f t="shared" si="515"/>
        <v>-</v>
      </c>
      <c r="CY264" s="1417" t="str">
        <f t="shared" si="516"/>
        <v>-</v>
      </c>
      <c r="CZ264" s="1418" t="str">
        <f t="shared" si="517"/>
        <v>-</v>
      </c>
      <c r="DA264" s="1417" t="str">
        <f t="shared" si="518"/>
        <v>-</v>
      </c>
      <c r="DB264" s="1417" t="str">
        <f t="shared" si="519"/>
        <v>-</v>
      </c>
      <c r="DC264" s="1417" t="str">
        <f t="shared" si="520"/>
        <v>-</v>
      </c>
      <c r="DD264" s="1417" t="str">
        <f t="shared" si="521"/>
        <v>-</v>
      </c>
      <c r="DE264" s="1419" t="str">
        <f t="shared" si="522"/>
        <v>-</v>
      </c>
      <c r="DF264" s="1378"/>
      <c r="DG264" s="1412" t="str">
        <f t="shared" si="533"/>
        <v>Price</v>
      </c>
      <c r="DH264" s="1413" t="str">
        <f t="shared" si="533"/>
        <v>[Service]</v>
      </c>
      <c r="DI264" s="1426" t="str">
        <f t="shared" si="533"/>
        <v>[Price]</v>
      </c>
      <c r="DJ264" s="1427" t="str">
        <f t="shared" si="523"/>
        <v>-</v>
      </c>
      <c r="DK264" s="1417" t="str">
        <f t="shared" si="524"/>
        <v>-</v>
      </c>
      <c r="DL264" s="1417" t="str">
        <f t="shared" si="525"/>
        <v>-</v>
      </c>
      <c r="DM264" s="1418" t="str">
        <f t="shared" si="526"/>
        <v>-</v>
      </c>
      <c r="DN264" s="1417" t="str">
        <f t="shared" si="527"/>
        <v>-</v>
      </c>
      <c r="DO264" s="1417" t="str">
        <f t="shared" si="528"/>
        <v>-</v>
      </c>
      <c r="DP264" s="1417" t="str">
        <f t="shared" si="529"/>
        <v>-</v>
      </c>
      <c r="DQ264" s="1419" t="str">
        <f t="shared" si="530"/>
        <v>-</v>
      </c>
    </row>
    <row r="265" spans="4:121">
      <c r="E265" s="742" t="s">
        <v>45</v>
      </c>
      <c r="F265" s="722" t="str">
        <f>+F264</f>
        <v>[Service]</v>
      </c>
      <c r="G265" s="723">
        <f>+G264</f>
        <v>0</v>
      </c>
      <c r="H265" s="723">
        <f>+H264</f>
        <v>0</v>
      </c>
      <c r="I265" s="724" t="str">
        <f>+I264</f>
        <v>[Price]</v>
      </c>
      <c r="J265" s="782" t="s">
        <v>322</v>
      </c>
      <c r="K265" s="725"/>
      <c r="L265" s="726"/>
      <c r="M265" s="726"/>
      <c r="N265" s="727"/>
      <c r="O265" s="786"/>
      <c r="P265" s="787"/>
      <c r="Q265" s="786"/>
      <c r="R265" s="786"/>
      <c r="S265" s="786"/>
      <c r="T265" s="786"/>
      <c r="U265" s="786"/>
      <c r="V265" s="786"/>
      <c r="W265" s="786"/>
      <c r="X265" s="787"/>
      <c r="Y265" s="786"/>
      <c r="Z265" s="786"/>
      <c r="AA265" s="786"/>
      <c r="AB265" s="786"/>
      <c r="AC265" s="787"/>
      <c r="AD265" s="786"/>
      <c r="AE265" s="786"/>
      <c r="AF265" s="786"/>
      <c r="AG265" s="788"/>
      <c r="AH265" s="823"/>
      <c r="AI265" s="745"/>
      <c r="AJ265" s="728"/>
      <c r="AK265" s="729"/>
      <c r="AL265" s="729"/>
      <c r="AM265" s="729"/>
      <c r="AN265" s="729"/>
      <c r="AO265" s="730"/>
      <c r="AP265" s="74"/>
      <c r="AQ265" s="74"/>
      <c r="AR265" s="74"/>
      <c r="AS265" s="106"/>
      <c r="AW265" s="1392" t="str">
        <f t="shared" si="531"/>
        <v>Qty</v>
      </c>
      <c r="AX265" s="1393" t="str">
        <f t="shared" si="531"/>
        <v>[Service]</v>
      </c>
      <c r="AY265" s="1394" t="str">
        <f t="shared" si="496"/>
        <v>[Price]</v>
      </c>
      <c r="AZ265" s="1395" t="str">
        <f t="shared" si="497"/>
        <v>-</v>
      </c>
      <c r="BA265" s="1395" t="str">
        <f t="shared" si="497"/>
        <v>-</v>
      </c>
      <c r="BB265" s="1395" t="str">
        <f t="shared" si="497"/>
        <v>-</v>
      </c>
      <c r="BC265" s="1395" t="str">
        <f t="shared" si="497"/>
        <v>-</v>
      </c>
      <c r="BD265" s="1395" t="str">
        <f t="shared" si="498"/>
        <v>-</v>
      </c>
      <c r="BE265" s="1395" t="str">
        <f t="shared" si="499"/>
        <v>-</v>
      </c>
      <c r="BF265" s="1395" t="str">
        <f t="shared" si="500"/>
        <v>-</v>
      </c>
      <c r="BG265" s="1396" t="str">
        <f t="shared" si="501"/>
        <v>-</v>
      </c>
      <c r="BH265" s="1395" t="str">
        <f t="shared" si="502"/>
        <v>-</v>
      </c>
      <c r="BI265" s="1395" t="str">
        <f t="shared" si="503"/>
        <v>-</v>
      </c>
      <c r="BJ265" s="1395" t="str">
        <f t="shared" si="504"/>
        <v>-</v>
      </c>
      <c r="BK265" s="1395" t="str">
        <f t="shared" si="505"/>
        <v>-</v>
      </c>
      <c r="BL265" s="1397" t="str">
        <f t="shared" si="506"/>
        <v>-</v>
      </c>
      <c r="BM265" s="1395" t="str">
        <f t="shared" si="507"/>
        <v>-</v>
      </c>
      <c r="BN265" s="1395" t="str">
        <f t="shared" si="508"/>
        <v>-</v>
      </c>
      <c r="BO265" s="1395" t="str">
        <f t="shared" si="509"/>
        <v>-</v>
      </c>
      <c r="BP265" s="1395" t="str">
        <f t="shared" si="510"/>
        <v>-</v>
      </c>
      <c r="BQ265" s="1398" t="str">
        <f t="shared" si="511"/>
        <v>-</v>
      </c>
      <c r="BR265" s="1378"/>
      <c r="BS265" s="1329"/>
      <c r="BT265" s="1399"/>
      <c r="BU265" s="1331"/>
      <c r="BV265" s="1400"/>
      <c r="BW265" s="1378"/>
      <c r="BX265" s="1392" t="str">
        <f t="shared" si="512"/>
        <v>Qty</v>
      </c>
      <c r="BY265" s="1393" t="str">
        <f t="shared" si="406"/>
        <v>[Service]</v>
      </c>
      <c r="BZ265" s="1394" t="str">
        <f t="shared" si="407"/>
        <v>[Price]</v>
      </c>
      <c r="CA265" s="1401" t="str">
        <f>IFERROR((S265/R265-1)*(R266/R$13),"-")</f>
        <v>-</v>
      </c>
      <c r="CB265" s="1395" t="str">
        <f>IFERROR((T265/S265-1)*(S266/S$13),"-")</f>
        <v>-</v>
      </c>
      <c r="CC265" s="1395" t="str">
        <f>IFERROR((U265/T265-1)*(T266/T$13),"-")</f>
        <v>-</v>
      </c>
      <c r="CD265" s="1395" t="str">
        <f>IFERROR((V265/U265-1)*(U266/U$13),"-")</f>
        <v>-</v>
      </c>
      <c r="CE265" s="1395" t="str">
        <f t="shared" ref="CE265:CR265" si="538">IFERROR((T265/S265-1)*(S266/S$13),"-")</f>
        <v>-</v>
      </c>
      <c r="CF265" s="1395" t="str">
        <f t="shared" si="538"/>
        <v>-</v>
      </c>
      <c r="CG265" s="1395" t="str">
        <f t="shared" si="538"/>
        <v>-</v>
      </c>
      <c r="CH265" s="1397" t="str">
        <f t="shared" si="538"/>
        <v>-</v>
      </c>
      <c r="CI265" s="1395" t="str">
        <f t="shared" si="538"/>
        <v>-</v>
      </c>
      <c r="CJ265" s="1395" t="str">
        <f t="shared" si="538"/>
        <v>-</v>
      </c>
      <c r="CK265" s="1395" t="str">
        <f t="shared" si="538"/>
        <v>-</v>
      </c>
      <c r="CL265" s="1395" t="str">
        <f t="shared" si="538"/>
        <v>-</v>
      </c>
      <c r="CM265" s="1397" t="str">
        <f t="shared" si="538"/>
        <v>-</v>
      </c>
      <c r="CN265" s="1395" t="str">
        <f t="shared" si="538"/>
        <v>-</v>
      </c>
      <c r="CO265" s="1395" t="str">
        <f t="shared" si="538"/>
        <v>-</v>
      </c>
      <c r="CP265" s="1395" t="str">
        <f t="shared" si="538"/>
        <v>-</v>
      </c>
      <c r="CQ265" s="1395" t="str">
        <f t="shared" si="538"/>
        <v>-</v>
      </c>
      <c r="CR265" s="1398" t="str">
        <f t="shared" si="538"/>
        <v>-</v>
      </c>
      <c r="CS265" s="1378"/>
      <c r="CT265" s="1392" t="str">
        <f t="shared" si="492"/>
        <v>Qty</v>
      </c>
      <c r="CU265" s="1393" t="str">
        <f t="shared" si="493"/>
        <v>[Service]</v>
      </c>
      <c r="CV265" s="1393" t="str">
        <f t="shared" si="494"/>
        <v>[Price]</v>
      </c>
      <c r="CW265" s="1401" t="str">
        <f t="shared" si="514"/>
        <v>-</v>
      </c>
      <c r="CX265" s="1395" t="str">
        <f t="shared" si="515"/>
        <v>-</v>
      </c>
      <c r="CY265" s="1395" t="str">
        <f t="shared" si="516"/>
        <v>-</v>
      </c>
      <c r="CZ265" s="1397" t="str">
        <f t="shared" si="517"/>
        <v>-</v>
      </c>
      <c r="DA265" s="1395" t="str">
        <f t="shared" si="518"/>
        <v>-</v>
      </c>
      <c r="DB265" s="1395" t="str">
        <f t="shared" si="519"/>
        <v>-</v>
      </c>
      <c r="DC265" s="1395" t="str">
        <f t="shared" si="520"/>
        <v>-</v>
      </c>
      <c r="DD265" s="1395" t="str">
        <f t="shared" si="521"/>
        <v>-</v>
      </c>
      <c r="DE265" s="1398" t="str">
        <f t="shared" si="522"/>
        <v>-</v>
      </c>
      <c r="DF265" s="1378"/>
      <c r="DG265" s="1392" t="str">
        <f t="shared" si="533"/>
        <v>Qty</v>
      </c>
      <c r="DH265" s="1393" t="str">
        <f t="shared" si="533"/>
        <v>[Service]</v>
      </c>
      <c r="DI265" s="1393" t="str">
        <f t="shared" si="533"/>
        <v>[Price]</v>
      </c>
      <c r="DJ265" s="1401" t="str">
        <f t="shared" si="523"/>
        <v>-</v>
      </c>
      <c r="DK265" s="1395" t="str">
        <f t="shared" si="524"/>
        <v>-</v>
      </c>
      <c r="DL265" s="1395" t="str">
        <f t="shared" si="525"/>
        <v>-</v>
      </c>
      <c r="DM265" s="1397" t="str">
        <f t="shared" si="526"/>
        <v>-</v>
      </c>
      <c r="DN265" s="1395" t="str">
        <f t="shared" si="527"/>
        <v>-</v>
      </c>
      <c r="DO265" s="1395" t="str">
        <f t="shared" si="528"/>
        <v>-</v>
      </c>
      <c r="DP265" s="1395" t="str">
        <f t="shared" si="529"/>
        <v>-</v>
      </c>
      <c r="DQ265" s="1398" t="str">
        <f t="shared" si="530"/>
        <v>-</v>
      </c>
    </row>
    <row r="266" spans="4:121" ht="12.75" thickBot="1">
      <c r="E266" s="743" t="s">
        <v>46</v>
      </c>
      <c r="F266" s="732" t="str">
        <f>+F264</f>
        <v>[Service]</v>
      </c>
      <c r="G266" s="733">
        <f>+G264</f>
        <v>0</v>
      </c>
      <c r="H266" s="733">
        <f>+H264</f>
        <v>0</v>
      </c>
      <c r="I266" s="734" t="str">
        <f>+I264</f>
        <v>[Price]</v>
      </c>
      <c r="J266" s="735" t="s">
        <v>344</v>
      </c>
      <c r="K266" s="736">
        <f t="shared" ref="K266:AG266" si="539">K264*K265/10^6</f>
        <v>0</v>
      </c>
      <c r="L266" s="737">
        <f t="shared" si="539"/>
        <v>0</v>
      </c>
      <c r="M266" s="737">
        <f t="shared" si="539"/>
        <v>0</v>
      </c>
      <c r="N266" s="738">
        <f t="shared" si="539"/>
        <v>0</v>
      </c>
      <c r="O266" s="737">
        <f t="shared" si="539"/>
        <v>0</v>
      </c>
      <c r="P266" s="738">
        <f t="shared" si="539"/>
        <v>0</v>
      </c>
      <c r="Q266" s="737">
        <f t="shared" si="539"/>
        <v>0</v>
      </c>
      <c r="R266" s="737">
        <f t="shared" si="539"/>
        <v>0</v>
      </c>
      <c r="S266" s="737">
        <f t="shared" si="539"/>
        <v>0</v>
      </c>
      <c r="T266" s="737">
        <f t="shared" si="539"/>
        <v>0</v>
      </c>
      <c r="U266" s="737">
        <f t="shared" si="539"/>
        <v>0</v>
      </c>
      <c r="V266" s="737">
        <f t="shared" si="539"/>
        <v>0</v>
      </c>
      <c r="W266" s="737">
        <f t="shared" si="539"/>
        <v>0</v>
      </c>
      <c r="X266" s="738">
        <f t="shared" si="539"/>
        <v>0</v>
      </c>
      <c r="Y266" s="737">
        <f t="shared" si="539"/>
        <v>0</v>
      </c>
      <c r="Z266" s="737">
        <f t="shared" si="539"/>
        <v>0</v>
      </c>
      <c r="AA266" s="737">
        <f t="shared" si="539"/>
        <v>0</v>
      </c>
      <c r="AB266" s="737">
        <f t="shared" si="539"/>
        <v>0</v>
      </c>
      <c r="AC266" s="738">
        <f t="shared" si="539"/>
        <v>0</v>
      </c>
      <c r="AD266" s="737">
        <f t="shared" si="539"/>
        <v>0</v>
      </c>
      <c r="AE266" s="737">
        <f t="shared" si="539"/>
        <v>0</v>
      </c>
      <c r="AF266" s="737">
        <f t="shared" si="539"/>
        <v>0</v>
      </c>
      <c r="AG266" s="739">
        <f t="shared" si="539"/>
        <v>0</v>
      </c>
      <c r="AH266" s="823"/>
      <c r="AI266" s="745"/>
      <c r="AJ266" s="741"/>
      <c r="AK266" s="729"/>
      <c r="AL266" s="729"/>
      <c r="AM266" s="729"/>
      <c r="AN266" s="729"/>
      <c r="AO266" s="730"/>
      <c r="AP266" s="74"/>
      <c r="AQ266" s="74"/>
      <c r="AR266" s="74"/>
      <c r="AS266" s="106"/>
      <c r="AW266" s="1428" t="str">
        <f t="shared" si="531"/>
        <v>Rev</v>
      </c>
      <c r="AX266" s="1429" t="str">
        <f t="shared" si="531"/>
        <v>[Service]</v>
      </c>
      <c r="AY266" s="1430" t="str">
        <f t="shared" si="496"/>
        <v>[Price]</v>
      </c>
      <c r="AZ266" s="1431" t="str">
        <f t="shared" si="497"/>
        <v>-</v>
      </c>
      <c r="BA266" s="1431" t="str">
        <f t="shared" si="497"/>
        <v>-</v>
      </c>
      <c r="BB266" s="1431" t="str">
        <f t="shared" si="497"/>
        <v>-</v>
      </c>
      <c r="BC266" s="1431" t="str">
        <f t="shared" si="497"/>
        <v>-</v>
      </c>
      <c r="BD266" s="1431" t="str">
        <f t="shared" si="498"/>
        <v>-</v>
      </c>
      <c r="BE266" s="1431" t="str">
        <f t="shared" si="499"/>
        <v>-</v>
      </c>
      <c r="BF266" s="1431" t="str">
        <f t="shared" si="500"/>
        <v>-</v>
      </c>
      <c r="BG266" s="1432" t="str">
        <f t="shared" si="501"/>
        <v>-</v>
      </c>
      <c r="BH266" s="1431" t="str">
        <f t="shared" si="502"/>
        <v>-</v>
      </c>
      <c r="BI266" s="1431" t="str">
        <f t="shared" si="503"/>
        <v>-</v>
      </c>
      <c r="BJ266" s="1431" t="str">
        <f t="shared" si="504"/>
        <v>-</v>
      </c>
      <c r="BK266" s="1431" t="str">
        <f t="shared" si="505"/>
        <v>-</v>
      </c>
      <c r="BL266" s="1433" t="str">
        <f t="shared" si="506"/>
        <v>-</v>
      </c>
      <c r="BM266" s="1431" t="str">
        <f t="shared" si="507"/>
        <v>-</v>
      </c>
      <c r="BN266" s="1431" t="str">
        <f t="shared" si="508"/>
        <v>-</v>
      </c>
      <c r="BO266" s="1431" t="str">
        <f t="shared" si="509"/>
        <v>-</v>
      </c>
      <c r="BP266" s="1431" t="str">
        <f t="shared" si="510"/>
        <v>-</v>
      </c>
      <c r="BQ266" s="1434" t="str">
        <f t="shared" si="511"/>
        <v>-</v>
      </c>
      <c r="BR266" s="1378"/>
      <c r="BS266" s="1407"/>
      <c r="BT266" s="1408"/>
      <c r="BU266" s="1409"/>
      <c r="BV266" s="1410"/>
      <c r="BW266" s="1378"/>
      <c r="BX266" s="1428" t="str">
        <f t="shared" si="512"/>
        <v>Rev</v>
      </c>
      <c r="BY266" s="1429" t="str">
        <f t="shared" si="406"/>
        <v>[Service]</v>
      </c>
      <c r="BZ266" s="1430" t="str">
        <f t="shared" si="407"/>
        <v>[Price]</v>
      </c>
      <c r="CA266" s="1435" t="str">
        <f>IFERROR((S266/R266-1)*(R266/R$13),"-")</f>
        <v>-</v>
      </c>
      <c r="CB266" s="1431" t="str">
        <f>IFERROR((T266/S266-1)*(S266/S$13),"-")</f>
        <v>-</v>
      </c>
      <c r="CC266" s="1431" t="str">
        <f>IFERROR((U266/T266-1)*(T266/T$13),"-")</f>
        <v>-</v>
      </c>
      <c r="CD266" s="1431" t="str">
        <f>IFERROR((V266/U266-1)*(U266/U$13),"-")</f>
        <v>-</v>
      </c>
      <c r="CE266" s="1431" t="str">
        <f t="shared" ref="CE266:CR266" si="540">IFERROR((T266/S266-1)*(S266/S$13),"-")</f>
        <v>-</v>
      </c>
      <c r="CF266" s="1431" t="str">
        <f t="shared" si="540"/>
        <v>-</v>
      </c>
      <c r="CG266" s="1431" t="str">
        <f t="shared" si="540"/>
        <v>-</v>
      </c>
      <c r="CH266" s="1433" t="str">
        <f t="shared" si="540"/>
        <v>-</v>
      </c>
      <c r="CI266" s="1431" t="str">
        <f t="shared" si="540"/>
        <v>-</v>
      </c>
      <c r="CJ266" s="1431" t="str">
        <f t="shared" si="540"/>
        <v>-</v>
      </c>
      <c r="CK266" s="1431" t="str">
        <f t="shared" si="540"/>
        <v>-</v>
      </c>
      <c r="CL266" s="1431" t="str">
        <f t="shared" si="540"/>
        <v>-</v>
      </c>
      <c r="CM266" s="1433" t="str">
        <f t="shared" si="540"/>
        <v>-</v>
      </c>
      <c r="CN266" s="1431" t="str">
        <f t="shared" si="540"/>
        <v>-</v>
      </c>
      <c r="CO266" s="1431" t="str">
        <f t="shared" si="540"/>
        <v>-</v>
      </c>
      <c r="CP266" s="1431" t="str">
        <f t="shared" si="540"/>
        <v>-</v>
      </c>
      <c r="CQ266" s="1431" t="str">
        <f t="shared" si="540"/>
        <v>-</v>
      </c>
      <c r="CR266" s="1434" t="str">
        <f t="shared" si="540"/>
        <v>-</v>
      </c>
      <c r="CS266" s="1378"/>
      <c r="CT266" s="1428" t="str">
        <f t="shared" si="492"/>
        <v>Rev</v>
      </c>
      <c r="CU266" s="1429" t="str">
        <f t="shared" si="493"/>
        <v>[Service]</v>
      </c>
      <c r="CV266" s="1429" t="str">
        <f t="shared" si="494"/>
        <v>[Price]</v>
      </c>
      <c r="CW266" s="1435" t="str">
        <f t="shared" si="514"/>
        <v>-</v>
      </c>
      <c r="CX266" s="1431" t="str">
        <f t="shared" si="515"/>
        <v>-</v>
      </c>
      <c r="CY266" s="1431" t="str">
        <f t="shared" si="516"/>
        <v>-</v>
      </c>
      <c r="CZ266" s="1433" t="str">
        <f t="shared" si="517"/>
        <v>-</v>
      </c>
      <c r="DA266" s="1431" t="str">
        <f t="shared" si="518"/>
        <v>-</v>
      </c>
      <c r="DB266" s="1431" t="str">
        <f t="shared" si="519"/>
        <v>-</v>
      </c>
      <c r="DC266" s="1431" t="str">
        <f t="shared" si="520"/>
        <v>-</v>
      </c>
      <c r="DD266" s="1431" t="str">
        <f t="shared" si="521"/>
        <v>-</v>
      </c>
      <c r="DE266" s="1434" t="str">
        <f t="shared" si="522"/>
        <v>-</v>
      </c>
      <c r="DF266" s="1378"/>
      <c r="DG266" s="1428" t="str">
        <f t="shared" si="533"/>
        <v>Rev</v>
      </c>
      <c r="DH266" s="1429" t="str">
        <f t="shared" si="533"/>
        <v>[Service]</v>
      </c>
      <c r="DI266" s="1429" t="str">
        <f t="shared" si="533"/>
        <v>[Price]</v>
      </c>
      <c r="DJ266" s="1435" t="str">
        <f t="shared" si="523"/>
        <v>-</v>
      </c>
      <c r="DK266" s="1431" t="str">
        <f t="shared" si="524"/>
        <v>-</v>
      </c>
      <c r="DL266" s="1431" t="str">
        <f t="shared" si="525"/>
        <v>-</v>
      </c>
      <c r="DM266" s="1433" t="str">
        <f t="shared" si="526"/>
        <v>-</v>
      </c>
      <c r="DN266" s="1431" t="str">
        <f t="shared" si="527"/>
        <v>-</v>
      </c>
      <c r="DO266" s="1431" t="str">
        <f t="shared" si="528"/>
        <v>-</v>
      </c>
      <c r="DP266" s="1431" t="str">
        <f t="shared" si="529"/>
        <v>-</v>
      </c>
      <c r="DQ266" s="1434" t="str">
        <f t="shared" si="530"/>
        <v>-</v>
      </c>
    </row>
    <row r="267" spans="4:121">
      <c r="D267" s="70">
        <f>D264+1</f>
        <v>67</v>
      </c>
      <c r="E267" s="713" t="s">
        <v>44</v>
      </c>
      <c r="F267" s="789" t="s">
        <v>27</v>
      </c>
      <c r="G267" s="789"/>
      <c r="H267" s="789"/>
      <c r="I267" s="781" t="s">
        <v>318</v>
      </c>
      <c r="J267" s="781" t="s">
        <v>345</v>
      </c>
      <c r="K267" s="714"/>
      <c r="L267" s="715"/>
      <c r="M267" s="715"/>
      <c r="N267" s="716"/>
      <c r="O267" s="783"/>
      <c r="P267" s="784"/>
      <c r="Q267" s="783"/>
      <c r="R267" s="783"/>
      <c r="S267" s="783"/>
      <c r="T267" s="783"/>
      <c r="U267" s="783"/>
      <c r="V267" s="783"/>
      <c r="W267" s="783"/>
      <c r="X267" s="784"/>
      <c r="Y267" s="783"/>
      <c r="Z267" s="783"/>
      <c r="AA267" s="783"/>
      <c r="AB267" s="783"/>
      <c r="AC267" s="784"/>
      <c r="AD267" s="783"/>
      <c r="AE267" s="783"/>
      <c r="AF267" s="783"/>
      <c r="AG267" s="785"/>
      <c r="AI267" s="745"/>
      <c r="AJ267" s="717" t="str">
        <f t="shared" ref="AJ267:AS267" si="541">IFERROR((X267-W267)/W267,"")</f>
        <v/>
      </c>
      <c r="AK267" s="718" t="str">
        <f t="shared" si="541"/>
        <v/>
      </c>
      <c r="AL267" s="718" t="str">
        <f t="shared" si="541"/>
        <v/>
      </c>
      <c r="AM267" s="718" t="str">
        <f t="shared" si="541"/>
        <v/>
      </c>
      <c r="AN267" s="718" t="str">
        <f t="shared" si="541"/>
        <v/>
      </c>
      <c r="AO267" s="719" t="str">
        <f t="shared" si="541"/>
        <v/>
      </c>
      <c r="AP267" s="494" t="str">
        <f t="shared" si="541"/>
        <v/>
      </c>
      <c r="AQ267" s="494" t="str">
        <f t="shared" si="541"/>
        <v/>
      </c>
      <c r="AR267" s="494" t="str">
        <f t="shared" si="541"/>
        <v/>
      </c>
      <c r="AS267" s="720" t="str">
        <f t="shared" si="541"/>
        <v/>
      </c>
      <c r="AU267" s="1369"/>
      <c r="AW267" s="1412" t="str">
        <f t="shared" si="531"/>
        <v>Price</v>
      </c>
      <c r="AX267" s="1413" t="str">
        <f t="shared" si="531"/>
        <v>[Service]</v>
      </c>
      <c r="AY267" s="1414" t="str">
        <f t="shared" si="496"/>
        <v>[Price]</v>
      </c>
      <c r="AZ267" s="1415" t="str">
        <f t="shared" si="497"/>
        <v>-</v>
      </c>
      <c r="BA267" s="1415" t="str">
        <f t="shared" si="497"/>
        <v>-</v>
      </c>
      <c r="BB267" s="1415" t="str">
        <f t="shared" si="497"/>
        <v>-</v>
      </c>
      <c r="BC267" s="1415" t="str">
        <f t="shared" si="497"/>
        <v>-</v>
      </c>
      <c r="BD267" s="1415" t="str">
        <f t="shared" si="498"/>
        <v>-</v>
      </c>
      <c r="BE267" s="1415" t="str">
        <f t="shared" si="499"/>
        <v>-</v>
      </c>
      <c r="BF267" s="1415" t="str">
        <f t="shared" si="500"/>
        <v>-</v>
      </c>
      <c r="BG267" s="1416" t="str">
        <f t="shared" si="501"/>
        <v>-</v>
      </c>
      <c r="BH267" s="1417" t="str">
        <f t="shared" si="502"/>
        <v>-</v>
      </c>
      <c r="BI267" s="1417" t="str">
        <f t="shared" si="503"/>
        <v>-</v>
      </c>
      <c r="BJ267" s="1417" t="str">
        <f t="shared" si="504"/>
        <v>-</v>
      </c>
      <c r="BK267" s="1417" t="str">
        <f t="shared" si="505"/>
        <v>-</v>
      </c>
      <c r="BL267" s="1418" t="str">
        <f t="shared" si="506"/>
        <v>-</v>
      </c>
      <c r="BM267" s="1417" t="str">
        <f t="shared" si="507"/>
        <v>-</v>
      </c>
      <c r="BN267" s="1417" t="str">
        <f t="shared" si="508"/>
        <v>-</v>
      </c>
      <c r="BO267" s="1417" t="str">
        <f t="shared" si="509"/>
        <v>-</v>
      </c>
      <c r="BP267" s="1417" t="str">
        <f t="shared" si="510"/>
        <v>-</v>
      </c>
      <c r="BQ267" s="1419" t="str">
        <f t="shared" si="511"/>
        <v>-</v>
      </c>
      <c r="BR267" s="1378"/>
      <c r="BS267" s="1420"/>
      <c r="BT267" s="1421"/>
      <c r="BU267" s="1422"/>
      <c r="BV267" s="1423"/>
      <c r="BW267" s="1378"/>
      <c r="BX267" s="1412" t="str">
        <f t="shared" si="512"/>
        <v>Price</v>
      </c>
      <c r="BY267" s="1413" t="str">
        <f t="shared" si="406"/>
        <v>[Service]</v>
      </c>
      <c r="BZ267" s="1414" t="str">
        <f t="shared" si="407"/>
        <v>[Price]</v>
      </c>
      <c r="CA267" s="1424" t="str">
        <f>IFERROR((S267/R267-1)*(R269/R$13),"-")</f>
        <v>-</v>
      </c>
      <c r="CB267" s="1415" t="str">
        <f>IFERROR((T267/S267-1)*(S269/S$13),"-")</f>
        <v>-</v>
      </c>
      <c r="CC267" s="1415" t="str">
        <f>IFERROR((U267/T267-1)*(T269/T$13),"-")</f>
        <v>-</v>
      </c>
      <c r="CD267" s="1415" t="str">
        <f>IFERROR((V267/U267-1)*(U269/U$13),"-")</f>
        <v>-</v>
      </c>
      <c r="CE267" s="1415" t="str">
        <f t="shared" ref="CE267:CR267" si="542">IFERROR((T267/S267-1)*(S269/S$13),"-")</f>
        <v>-</v>
      </c>
      <c r="CF267" s="1415" t="str">
        <f t="shared" si="542"/>
        <v>-</v>
      </c>
      <c r="CG267" s="1415" t="str">
        <f t="shared" si="542"/>
        <v>-</v>
      </c>
      <c r="CH267" s="1425" t="str">
        <f t="shared" si="542"/>
        <v>-</v>
      </c>
      <c r="CI267" s="1417" t="str">
        <f t="shared" si="542"/>
        <v>-</v>
      </c>
      <c r="CJ267" s="1417" t="str">
        <f t="shared" si="542"/>
        <v>-</v>
      </c>
      <c r="CK267" s="1417" t="str">
        <f t="shared" si="542"/>
        <v>-</v>
      </c>
      <c r="CL267" s="1417" t="str">
        <f t="shared" si="542"/>
        <v>-</v>
      </c>
      <c r="CM267" s="1418" t="str">
        <f t="shared" si="542"/>
        <v>-</v>
      </c>
      <c r="CN267" s="1417" t="str">
        <f t="shared" si="542"/>
        <v>-</v>
      </c>
      <c r="CO267" s="1417" t="str">
        <f t="shared" si="542"/>
        <v>-</v>
      </c>
      <c r="CP267" s="1417" t="str">
        <f t="shared" si="542"/>
        <v>-</v>
      </c>
      <c r="CQ267" s="1417" t="str">
        <f t="shared" si="542"/>
        <v>-</v>
      </c>
      <c r="CR267" s="1419" t="str">
        <f t="shared" si="542"/>
        <v>-</v>
      </c>
      <c r="CS267" s="1378"/>
      <c r="CT267" s="1412" t="str">
        <f t="shared" si="492"/>
        <v>Price</v>
      </c>
      <c r="CU267" s="1413" t="str">
        <f t="shared" si="493"/>
        <v>[Service]</v>
      </c>
      <c r="CV267" s="1426" t="str">
        <f t="shared" si="494"/>
        <v>[Price]</v>
      </c>
      <c r="CW267" s="1427" t="str">
        <f t="shared" si="514"/>
        <v>-</v>
      </c>
      <c r="CX267" s="1417" t="str">
        <f t="shared" si="515"/>
        <v>-</v>
      </c>
      <c r="CY267" s="1417" t="str">
        <f t="shared" si="516"/>
        <v>-</v>
      </c>
      <c r="CZ267" s="1418" t="str">
        <f t="shared" si="517"/>
        <v>-</v>
      </c>
      <c r="DA267" s="1417" t="str">
        <f t="shared" si="518"/>
        <v>-</v>
      </c>
      <c r="DB267" s="1417" t="str">
        <f t="shared" si="519"/>
        <v>-</v>
      </c>
      <c r="DC267" s="1417" t="str">
        <f t="shared" si="520"/>
        <v>-</v>
      </c>
      <c r="DD267" s="1417" t="str">
        <f t="shared" si="521"/>
        <v>-</v>
      </c>
      <c r="DE267" s="1419" t="str">
        <f t="shared" si="522"/>
        <v>-</v>
      </c>
      <c r="DF267" s="1378"/>
      <c r="DG267" s="1412" t="str">
        <f t="shared" si="533"/>
        <v>Price</v>
      </c>
      <c r="DH267" s="1413" t="str">
        <f t="shared" si="533"/>
        <v>[Service]</v>
      </c>
      <c r="DI267" s="1426" t="str">
        <f t="shared" si="533"/>
        <v>[Price]</v>
      </c>
      <c r="DJ267" s="1427" t="str">
        <f t="shared" si="523"/>
        <v>-</v>
      </c>
      <c r="DK267" s="1417" t="str">
        <f t="shared" si="524"/>
        <v>-</v>
      </c>
      <c r="DL267" s="1417" t="str">
        <f t="shared" si="525"/>
        <v>-</v>
      </c>
      <c r="DM267" s="1418" t="str">
        <f t="shared" si="526"/>
        <v>-</v>
      </c>
      <c r="DN267" s="1417" t="str">
        <f t="shared" si="527"/>
        <v>-</v>
      </c>
      <c r="DO267" s="1417" t="str">
        <f t="shared" si="528"/>
        <v>-</v>
      </c>
      <c r="DP267" s="1417" t="str">
        <f t="shared" si="529"/>
        <v>-</v>
      </c>
      <c r="DQ267" s="1419" t="str">
        <f t="shared" si="530"/>
        <v>-</v>
      </c>
    </row>
    <row r="268" spans="4:121">
      <c r="E268" s="742" t="s">
        <v>45</v>
      </c>
      <c r="F268" s="722" t="str">
        <f>+F267</f>
        <v>[Service]</v>
      </c>
      <c r="G268" s="723">
        <f>+G267</f>
        <v>0</v>
      </c>
      <c r="H268" s="723">
        <f>+H267</f>
        <v>0</v>
      </c>
      <c r="I268" s="724" t="str">
        <f>+I267</f>
        <v>[Price]</v>
      </c>
      <c r="J268" s="782" t="s">
        <v>322</v>
      </c>
      <c r="K268" s="725"/>
      <c r="L268" s="726"/>
      <c r="M268" s="726"/>
      <c r="N268" s="727"/>
      <c r="O268" s="786"/>
      <c r="P268" s="787"/>
      <c r="Q268" s="786"/>
      <c r="R268" s="786"/>
      <c r="S268" s="786"/>
      <c r="T268" s="786"/>
      <c r="U268" s="786"/>
      <c r="V268" s="786"/>
      <c r="W268" s="786"/>
      <c r="X268" s="787"/>
      <c r="Y268" s="786"/>
      <c r="Z268" s="786"/>
      <c r="AA268" s="786"/>
      <c r="AB268" s="786"/>
      <c r="AC268" s="787"/>
      <c r="AD268" s="786"/>
      <c r="AE268" s="786"/>
      <c r="AF268" s="786"/>
      <c r="AG268" s="788"/>
      <c r="AH268" s="823"/>
      <c r="AI268" s="745"/>
      <c r="AJ268" s="728"/>
      <c r="AK268" s="729"/>
      <c r="AL268" s="729"/>
      <c r="AM268" s="729"/>
      <c r="AN268" s="729"/>
      <c r="AO268" s="730"/>
      <c r="AP268" s="74"/>
      <c r="AQ268" s="74"/>
      <c r="AR268" s="74"/>
      <c r="AS268" s="106"/>
      <c r="AW268" s="1392" t="str">
        <f t="shared" si="531"/>
        <v>Qty</v>
      </c>
      <c r="AX268" s="1393" t="str">
        <f t="shared" si="531"/>
        <v>[Service]</v>
      </c>
      <c r="AY268" s="1394" t="str">
        <f t="shared" si="496"/>
        <v>[Price]</v>
      </c>
      <c r="AZ268" s="1395" t="str">
        <f t="shared" si="497"/>
        <v>-</v>
      </c>
      <c r="BA268" s="1395" t="str">
        <f t="shared" si="497"/>
        <v>-</v>
      </c>
      <c r="BB268" s="1395" t="str">
        <f t="shared" si="497"/>
        <v>-</v>
      </c>
      <c r="BC268" s="1395" t="str">
        <f t="shared" si="497"/>
        <v>-</v>
      </c>
      <c r="BD268" s="1395" t="str">
        <f t="shared" si="498"/>
        <v>-</v>
      </c>
      <c r="BE268" s="1395" t="str">
        <f t="shared" si="499"/>
        <v>-</v>
      </c>
      <c r="BF268" s="1395" t="str">
        <f t="shared" si="500"/>
        <v>-</v>
      </c>
      <c r="BG268" s="1396" t="str">
        <f t="shared" si="501"/>
        <v>-</v>
      </c>
      <c r="BH268" s="1395" t="str">
        <f t="shared" si="502"/>
        <v>-</v>
      </c>
      <c r="BI268" s="1395" t="str">
        <f t="shared" si="503"/>
        <v>-</v>
      </c>
      <c r="BJ268" s="1395" t="str">
        <f t="shared" si="504"/>
        <v>-</v>
      </c>
      <c r="BK268" s="1395" t="str">
        <f t="shared" si="505"/>
        <v>-</v>
      </c>
      <c r="BL268" s="1397" t="str">
        <f t="shared" si="506"/>
        <v>-</v>
      </c>
      <c r="BM268" s="1395" t="str">
        <f t="shared" si="507"/>
        <v>-</v>
      </c>
      <c r="BN268" s="1395" t="str">
        <f t="shared" si="508"/>
        <v>-</v>
      </c>
      <c r="BO268" s="1395" t="str">
        <f t="shared" si="509"/>
        <v>-</v>
      </c>
      <c r="BP268" s="1395" t="str">
        <f t="shared" si="510"/>
        <v>-</v>
      </c>
      <c r="BQ268" s="1398" t="str">
        <f t="shared" si="511"/>
        <v>-</v>
      </c>
      <c r="BR268" s="1378"/>
      <c r="BS268" s="1329"/>
      <c r="BT268" s="1399"/>
      <c r="BU268" s="1331"/>
      <c r="BV268" s="1400"/>
      <c r="BW268" s="1378"/>
      <c r="BX268" s="1392" t="str">
        <f t="shared" si="512"/>
        <v>Qty</v>
      </c>
      <c r="BY268" s="1393" t="str">
        <f t="shared" si="406"/>
        <v>[Service]</v>
      </c>
      <c r="BZ268" s="1394" t="str">
        <f t="shared" si="407"/>
        <v>[Price]</v>
      </c>
      <c r="CA268" s="1401" t="str">
        <f>IFERROR((S268/R268-1)*(R269/R$13),"-")</f>
        <v>-</v>
      </c>
      <c r="CB268" s="1395" t="str">
        <f>IFERROR((T268/S268-1)*(S269/S$13),"-")</f>
        <v>-</v>
      </c>
      <c r="CC268" s="1395" t="str">
        <f>IFERROR((U268/T268-1)*(T269/T$13),"-")</f>
        <v>-</v>
      </c>
      <c r="CD268" s="1395" t="str">
        <f>IFERROR((V268/U268-1)*(U269/U$13),"-")</f>
        <v>-</v>
      </c>
      <c r="CE268" s="1395" t="str">
        <f t="shared" ref="CE268:CR268" si="543">IFERROR((T268/S268-1)*(S269/S$13),"-")</f>
        <v>-</v>
      </c>
      <c r="CF268" s="1395" t="str">
        <f t="shared" si="543"/>
        <v>-</v>
      </c>
      <c r="CG268" s="1395" t="str">
        <f t="shared" si="543"/>
        <v>-</v>
      </c>
      <c r="CH268" s="1397" t="str">
        <f t="shared" si="543"/>
        <v>-</v>
      </c>
      <c r="CI268" s="1395" t="str">
        <f t="shared" si="543"/>
        <v>-</v>
      </c>
      <c r="CJ268" s="1395" t="str">
        <f t="shared" si="543"/>
        <v>-</v>
      </c>
      <c r="CK268" s="1395" t="str">
        <f t="shared" si="543"/>
        <v>-</v>
      </c>
      <c r="CL268" s="1395" t="str">
        <f t="shared" si="543"/>
        <v>-</v>
      </c>
      <c r="CM268" s="1397" t="str">
        <f t="shared" si="543"/>
        <v>-</v>
      </c>
      <c r="CN268" s="1395" t="str">
        <f t="shared" si="543"/>
        <v>-</v>
      </c>
      <c r="CO268" s="1395" t="str">
        <f t="shared" si="543"/>
        <v>-</v>
      </c>
      <c r="CP268" s="1395" t="str">
        <f t="shared" si="543"/>
        <v>-</v>
      </c>
      <c r="CQ268" s="1395" t="str">
        <f t="shared" si="543"/>
        <v>-</v>
      </c>
      <c r="CR268" s="1398" t="str">
        <f t="shared" si="543"/>
        <v>-</v>
      </c>
      <c r="CS268" s="1378"/>
      <c r="CT268" s="1392" t="str">
        <f t="shared" si="492"/>
        <v>Qty</v>
      </c>
      <c r="CU268" s="1393" t="str">
        <f t="shared" si="493"/>
        <v>[Service]</v>
      </c>
      <c r="CV268" s="1393" t="str">
        <f t="shared" si="494"/>
        <v>[Price]</v>
      </c>
      <c r="CW268" s="1401" t="str">
        <f t="shared" si="514"/>
        <v>-</v>
      </c>
      <c r="CX268" s="1395" t="str">
        <f t="shared" si="515"/>
        <v>-</v>
      </c>
      <c r="CY268" s="1395" t="str">
        <f t="shared" si="516"/>
        <v>-</v>
      </c>
      <c r="CZ268" s="1397" t="str">
        <f t="shared" si="517"/>
        <v>-</v>
      </c>
      <c r="DA268" s="1395" t="str">
        <f t="shared" si="518"/>
        <v>-</v>
      </c>
      <c r="DB268" s="1395" t="str">
        <f t="shared" si="519"/>
        <v>-</v>
      </c>
      <c r="DC268" s="1395" t="str">
        <f t="shared" si="520"/>
        <v>-</v>
      </c>
      <c r="DD268" s="1395" t="str">
        <f t="shared" si="521"/>
        <v>-</v>
      </c>
      <c r="DE268" s="1398" t="str">
        <f t="shared" si="522"/>
        <v>-</v>
      </c>
      <c r="DF268" s="1378"/>
      <c r="DG268" s="1392" t="str">
        <f t="shared" si="533"/>
        <v>Qty</v>
      </c>
      <c r="DH268" s="1393" t="str">
        <f t="shared" si="533"/>
        <v>[Service]</v>
      </c>
      <c r="DI268" s="1393" t="str">
        <f t="shared" si="533"/>
        <v>[Price]</v>
      </c>
      <c r="DJ268" s="1401" t="str">
        <f t="shared" si="523"/>
        <v>-</v>
      </c>
      <c r="DK268" s="1395" t="str">
        <f t="shared" si="524"/>
        <v>-</v>
      </c>
      <c r="DL268" s="1395" t="str">
        <f t="shared" si="525"/>
        <v>-</v>
      </c>
      <c r="DM268" s="1397" t="str">
        <f t="shared" si="526"/>
        <v>-</v>
      </c>
      <c r="DN268" s="1395" t="str">
        <f t="shared" si="527"/>
        <v>-</v>
      </c>
      <c r="DO268" s="1395" t="str">
        <f t="shared" si="528"/>
        <v>-</v>
      </c>
      <c r="DP268" s="1395" t="str">
        <f t="shared" si="529"/>
        <v>-</v>
      </c>
      <c r="DQ268" s="1398" t="str">
        <f t="shared" si="530"/>
        <v>-</v>
      </c>
    </row>
    <row r="269" spans="4:121" ht="12.75" thickBot="1">
      <c r="E269" s="743" t="s">
        <v>46</v>
      </c>
      <c r="F269" s="732" t="str">
        <f>+F267</f>
        <v>[Service]</v>
      </c>
      <c r="G269" s="733">
        <f>+G267</f>
        <v>0</v>
      </c>
      <c r="H269" s="733">
        <f>+H267</f>
        <v>0</v>
      </c>
      <c r="I269" s="734" t="str">
        <f>+I267</f>
        <v>[Price]</v>
      </c>
      <c r="J269" s="735" t="s">
        <v>344</v>
      </c>
      <c r="K269" s="736">
        <f t="shared" ref="K269:AG269" si="544">K267*K268/10^6</f>
        <v>0</v>
      </c>
      <c r="L269" s="737">
        <f t="shared" si="544"/>
        <v>0</v>
      </c>
      <c r="M269" s="737">
        <f t="shared" si="544"/>
        <v>0</v>
      </c>
      <c r="N269" s="738">
        <f t="shared" si="544"/>
        <v>0</v>
      </c>
      <c r="O269" s="737">
        <f t="shared" si="544"/>
        <v>0</v>
      </c>
      <c r="P269" s="738">
        <f t="shared" si="544"/>
        <v>0</v>
      </c>
      <c r="Q269" s="737">
        <f t="shared" si="544"/>
        <v>0</v>
      </c>
      <c r="R269" s="737">
        <f t="shared" si="544"/>
        <v>0</v>
      </c>
      <c r="S269" s="737">
        <f t="shared" si="544"/>
        <v>0</v>
      </c>
      <c r="T269" s="737">
        <f t="shared" si="544"/>
        <v>0</v>
      </c>
      <c r="U269" s="737">
        <f t="shared" si="544"/>
        <v>0</v>
      </c>
      <c r="V269" s="737">
        <f t="shared" si="544"/>
        <v>0</v>
      </c>
      <c r="W269" s="737">
        <f t="shared" si="544"/>
        <v>0</v>
      </c>
      <c r="X269" s="738">
        <f t="shared" si="544"/>
        <v>0</v>
      </c>
      <c r="Y269" s="737">
        <f t="shared" si="544"/>
        <v>0</v>
      </c>
      <c r="Z269" s="737">
        <f t="shared" si="544"/>
        <v>0</v>
      </c>
      <c r="AA269" s="737">
        <f t="shared" si="544"/>
        <v>0</v>
      </c>
      <c r="AB269" s="737">
        <f t="shared" si="544"/>
        <v>0</v>
      </c>
      <c r="AC269" s="738">
        <f t="shared" si="544"/>
        <v>0</v>
      </c>
      <c r="AD269" s="737">
        <f t="shared" si="544"/>
        <v>0</v>
      </c>
      <c r="AE269" s="737">
        <f t="shared" si="544"/>
        <v>0</v>
      </c>
      <c r="AF269" s="737">
        <f t="shared" si="544"/>
        <v>0</v>
      </c>
      <c r="AG269" s="739">
        <f t="shared" si="544"/>
        <v>0</v>
      </c>
      <c r="AH269" s="823"/>
      <c r="AI269" s="745"/>
      <c r="AJ269" s="741"/>
      <c r="AK269" s="729"/>
      <c r="AL269" s="729"/>
      <c r="AM269" s="729"/>
      <c r="AN269" s="729"/>
      <c r="AO269" s="730"/>
      <c r="AP269" s="74"/>
      <c r="AQ269" s="74"/>
      <c r="AR269" s="74"/>
      <c r="AS269" s="106"/>
      <c r="AW269" s="1428" t="str">
        <f t="shared" si="531"/>
        <v>Rev</v>
      </c>
      <c r="AX269" s="1429" t="str">
        <f t="shared" si="531"/>
        <v>[Service]</v>
      </c>
      <c r="AY269" s="1430" t="str">
        <f t="shared" si="496"/>
        <v>[Price]</v>
      </c>
      <c r="AZ269" s="1431" t="str">
        <f t="shared" si="497"/>
        <v>-</v>
      </c>
      <c r="BA269" s="1431" t="str">
        <f t="shared" si="497"/>
        <v>-</v>
      </c>
      <c r="BB269" s="1431" t="str">
        <f t="shared" si="497"/>
        <v>-</v>
      </c>
      <c r="BC269" s="1431" t="str">
        <f t="shared" si="497"/>
        <v>-</v>
      </c>
      <c r="BD269" s="1431" t="str">
        <f t="shared" si="498"/>
        <v>-</v>
      </c>
      <c r="BE269" s="1431" t="str">
        <f t="shared" si="499"/>
        <v>-</v>
      </c>
      <c r="BF269" s="1431" t="str">
        <f t="shared" si="500"/>
        <v>-</v>
      </c>
      <c r="BG269" s="1432" t="str">
        <f t="shared" si="501"/>
        <v>-</v>
      </c>
      <c r="BH269" s="1431" t="str">
        <f t="shared" si="502"/>
        <v>-</v>
      </c>
      <c r="BI269" s="1431" t="str">
        <f t="shared" si="503"/>
        <v>-</v>
      </c>
      <c r="BJ269" s="1431" t="str">
        <f t="shared" si="504"/>
        <v>-</v>
      </c>
      <c r="BK269" s="1431" t="str">
        <f t="shared" si="505"/>
        <v>-</v>
      </c>
      <c r="BL269" s="1433" t="str">
        <f t="shared" si="506"/>
        <v>-</v>
      </c>
      <c r="BM269" s="1431" t="str">
        <f t="shared" si="507"/>
        <v>-</v>
      </c>
      <c r="BN269" s="1431" t="str">
        <f t="shared" si="508"/>
        <v>-</v>
      </c>
      <c r="BO269" s="1431" t="str">
        <f t="shared" si="509"/>
        <v>-</v>
      </c>
      <c r="BP269" s="1431" t="str">
        <f t="shared" si="510"/>
        <v>-</v>
      </c>
      <c r="BQ269" s="1434" t="str">
        <f t="shared" si="511"/>
        <v>-</v>
      </c>
      <c r="BR269" s="1378"/>
      <c r="BS269" s="1407"/>
      <c r="BT269" s="1408"/>
      <c r="BU269" s="1409"/>
      <c r="BV269" s="1410"/>
      <c r="BW269" s="1378"/>
      <c r="BX269" s="1428" t="str">
        <f t="shared" si="512"/>
        <v>Rev</v>
      </c>
      <c r="BY269" s="1429" t="str">
        <f t="shared" si="406"/>
        <v>[Service]</v>
      </c>
      <c r="BZ269" s="1430" t="str">
        <f t="shared" si="407"/>
        <v>[Price]</v>
      </c>
      <c r="CA269" s="1435" t="str">
        <f>IFERROR((S269/R269-1)*(R269/R$13),"-")</f>
        <v>-</v>
      </c>
      <c r="CB269" s="1431" t="str">
        <f>IFERROR((T269/S269-1)*(S269/S$13),"-")</f>
        <v>-</v>
      </c>
      <c r="CC269" s="1431" t="str">
        <f>IFERROR((U269/T269-1)*(T269/T$13),"-")</f>
        <v>-</v>
      </c>
      <c r="CD269" s="1431" t="str">
        <f>IFERROR((V269/U269-1)*(U269/U$13),"-")</f>
        <v>-</v>
      </c>
      <c r="CE269" s="1431" t="str">
        <f t="shared" ref="CE269:CR269" si="545">IFERROR((T269/S269-1)*(S269/S$13),"-")</f>
        <v>-</v>
      </c>
      <c r="CF269" s="1431" t="str">
        <f t="shared" si="545"/>
        <v>-</v>
      </c>
      <c r="CG269" s="1431" t="str">
        <f t="shared" si="545"/>
        <v>-</v>
      </c>
      <c r="CH269" s="1433" t="str">
        <f t="shared" si="545"/>
        <v>-</v>
      </c>
      <c r="CI269" s="1431" t="str">
        <f t="shared" si="545"/>
        <v>-</v>
      </c>
      <c r="CJ269" s="1431" t="str">
        <f t="shared" si="545"/>
        <v>-</v>
      </c>
      <c r="CK269" s="1431" t="str">
        <f t="shared" si="545"/>
        <v>-</v>
      </c>
      <c r="CL269" s="1431" t="str">
        <f t="shared" si="545"/>
        <v>-</v>
      </c>
      <c r="CM269" s="1433" t="str">
        <f t="shared" si="545"/>
        <v>-</v>
      </c>
      <c r="CN269" s="1431" t="str">
        <f t="shared" si="545"/>
        <v>-</v>
      </c>
      <c r="CO269" s="1431" t="str">
        <f t="shared" si="545"/>
        <v>-</v>
      </c>
      <c r="CP269" s="1431" t="str">
        <f t="shared" si="545"/>
        <v>-</v>
      </c>
      <c r="CQ269" s="1431" t="str">
        <f t="shared" si="545"/>
        <v>-</v>
      </c>
      <c r="CR269" s="1434" t="str">
        <f t="shared" si="545"/>
        <v>-</v>
      </c>
      <c r="CS269" s="1378"/>
      <c r="CT269" s="1428" t="str">
        <f t="shared" si="492"/>
        <v>Rev</v>
      </c>
      <c r="CU269" s="1429" t="str">
        <f t="shared" si="493"/>
        <v>[Service]</v>
      </c>
      <c r="CV269" s="1429" t="str">
        <f t="shared" si="494"/>
        <v>[Price]</v>
      </c>
      <c r="CW269" s="1435" t="str">
        <f t="shared" si="514"/>
        <v>-</v>
      </c>
      <c r="CX269" s="1431" t="str">
        <f t="shared" si="515"/>
        <v>-</v>
      </c>
      <c r="CY269" s="1431" t="str">
        <f t="shared" si="516"/>
        <v>-</v>
      </c>
      <c r="CZ269" s="1433" t="str">
        <f t="shared" si="517"/>
        <v>-</v>
      </c>
      <c r="DA269" s="1431" t="str">
        <f t="shared" si="518"/>
        <v>-</v>
      </c>
      <c r="DB269" s="1431" t="str">
        <f t="shared" si="519"/>
        <v>-</v>
      </c>
      <c r="DC269" s="1431" t="str">
        <f t="shared" si="520"/>
        <v>-</v>
      </c>
      <c r="DD269" s="1431" t="str">
        <f t="shared" si="521"/>
        <v>-</v>
      </c>
      <c r="DE269" s="1434" t="str">
        <f t="shared" si="522"/>
        <v>-</v>
      </c>
      <c r="DF269" s="1378"/>
      <c r="DG269" s="1428" t="str">
        <f t="shared" si="533"/>
        <v>Rev</v>
      </c>
      <c r="DH269" s="1429" t="str">
        <f t="shared" si="533"/>
        <v>[Service]</v>
      </c>
      <c r="DI269" s="1429" t="str">
        <f t="shared" si="533"/>
        <v>[Price]</v>
      </c>
      <c r="DJ269" s="1435" t="str">
        <f t="shared" si="523"/>
        <v>-</v>
      </c>
      <c r="DK269" s="1431" t="str">
        <f t="shared" si="524"/>
        <v>-</v>
      </c>
      <c r="DL269" s="1431" t="str">
        <f t="shared" si="525"/>
        <v>-</v>
      </c>
      <c r="DM269" s="1433" t="str">
        <f t="shared" si="526"/>
        <v>-</v>
      </c>
      <c r="DN269" s="1431" t="str">
        <f t="shared" si="527"/>
        <v>-</v>
      </c>
      <c r="DO269" s="1431" t="str">
        <f t="shared" si="528"/>
        <v>-</v>
      </c>
      <c r="DP269" s="1431" t="str">
        <f t="shared" si="529"/>
        <v>-</v>
      </c>
      <c r="DQ269" s="1434" t="str">
        <f t="shared" si="530"/>
        <v>-</v>
      </c>
    </row>
    <row r="270" spans="4:121">
      <c r="D270" s="70">
        <f>D267+1</f>
        <v>68</v>
      </c>
      <c r="E270" s="713" t="s">
        <v>44</v>
      </c>
      <c r="F270" s="789" t="s">
        <v>27</v>
      </c>
      <c r="G270" s="789"/>
      <c r="H270" s="789"/>
      <c r="I270" s="781" t="s">
        <v>318</v>
      </c>
      <c r="J270" s="781" t="s">
        <v>345</v>
      </c>
      <c r="K270" s="714"/>
      <c r="L270" s="715"/>
      <c r="M270" s="715"/>
      <c r="N270" s="716"/>
      <c r="O270" s="783"/>
      <c r="P270" s="784"/>
      <c r="Q270" s="783"/>
      <c r="R270" s="783"/>
      <c r="S270" s="783"/>
      <c r="T270" s="783"/>
      <c r="U270" s="783"/>
      <c r="V270" s="783"/>
      <c r="W270" s="783"/>
      <c r="X270" s="784"/>
      <c r="Y270" s="783"/>
      <c r="Z270" s="783"/>
      <c r="AA270" s="783"/>
      <c r="AB270" s="783"/>
      <c r="AC270" s="784"/>
      <c r="AD270" s="783"/>
      <c r="AE270" s="783"/>
      <c r="AF270" s="783"/>
      <c r="AG270" s="785"/>
      <c r="AI270" s="745"/>
      <c r="AJ270" s="717" t="str">
        <f t="shared" ref="AJ270:AS270" si="546">IFERROR((X270-W270)/W270,"")</f>
        <v/>
      </c>
      <c r="AK270" s="718" t="str">
        <f t="shared" si="546"/>
        <v/>
      </c>
      <c r="AL270" s="718" t="str">
        <f t="shared" si="546"/>
        <v/>
      </c>
      <c r="AM270" s="718" t="str">
        <f t="shared" si="546"/>
        <v/>
      </c>
      <c r="AN270" s="718" t="str">
        <f t="shared" si="546"/>
        <v/>
      </c>
      <c r="AO270" s="719" t="str">
        <f t="shared" si="546"/>
        <v/>
      </c>
      <c r="AP270" s="494" t="str">
        <f t="shared" si="546"/>
        <v/>
      </c>
      <c r="AQ270" s="494" t="str">
        <f t="shared" si="546"/>
        <v/>
      </c>
      <c r="AR270" s="494" t="str">
        <f t="shared" si="546"/>
        <v/>
      </c>
      <c r="AS270" s="720" t="str">
        <f t="shared" si="546"/>
        <v/>
      </c>
      <c r="AU270" s="1369"/>
      <c r="AW270" s="1412" t="str">
        <f t="shared" si="531"/>
        <v>Price</v>
      </c>
      <c r="AX270" s="1413" t="str">
        <f t="shared" si="531"/>
        <v>[Service]</v>
      </c>
      <c r="AY270" s="1414" t="str">
        <f t="shared" si="496"/>
        <v>[Price]</v>
      </c>
      <c r="AZ270" s="1415" t="str">
        <f t="shared" si="497"/>
        <v>-</v>
      </c>
      <c r="BA270" s="1415" t="str">
        <f t="shared" si="497"/>
        <v>-</v>
      </c>
      <c r="BB270" s="1415" t="str">
        <f t="shared" si="497"/>
        <v>-</v>
      </c>
      <c r="BC270" s="1415" t="str">
        <f t="shared" si="497"/>
        <v>-</v>
      </c>
      <c r="BD270" s="1415" t="str">
        <f t="shared" si="498"/>
        <v>-</v>
      </c>
      <c r="BE270" s="1415" t="str">
        <f t="shared" si="499"/>
        <v>-</v>
      </c>
      <c r="BF270" s="1415" t="str">
        <f t="shared" si="500"/>
        <v>-</v>
      </c>
      <c r="BG270" s="1416" t="str">
        <f t="shared" si="501"/>
        <v>-</v>
      </c>
      <c r="BH270" s="1417" t="str">
        <f t="shared" si="502"/>
        <v>-</v>
      </c>
      <c r="BI270" s="1417" t="str">
        <f t="shared" si="503"/>
        <v>-</v>
      </c>
      <c r="BJ270" s="1417" t="str">
        <f t="shared" si="504"/>
        <v>-</v>
      </c>
      <c r="BK270" s="1417" t="str">
        <f t="shared" si="505"/>
        <v>-</v>
      </c>
      <c r="BL270" s="1418" t="str">
        <f t="shared" si="506"/>
        <v>-</v>
      </c>
      <c r="BM270" s="1417" t="str">
        <f t="shared" si="507"/>
        <v>-</v>
      </c>
      <c r="BN270" s="1417" t="str">
        <f t="shared" si="508"/>
        <v>-</v>
      </c>
      <c r="BO270" s="1417" t="str">
        <f t="shared" si="509"/>
        <v>-</v>
      </c>
      <c r="BP270" s="1417" t="str">
        <f t="shared" si="510"/>
        <v>-</v>
      </c>
      <c r="BQ270" s="1419" t="str">
        <f t="shared" si="511"/>
        <v>-</v>
      </c>
      <c r="BR270" s="1378"/>
      <c r="BS270" s="1420"/>
      <c r="BT270" s="1421"/>
      <c r="BU270" s="1422"/>
      <c r="BV270" s="1423"/>
      <c r="BW270" s="1378"/>
      <c r="BX270" s="1412" t="str">
        <f t="shared" si="512"/>
        <v>Price</v>
      </c>
      <c r="BY270" s="1413" t="str">
        <f t="shared" si="406"/>
        <v>[Service]</v>
      </c>
      <c r="BZ270" s="1414" t="str">
        <f t="shared" si="407"/>
        <v>[Price]</v>
      </c>
      <c r="CA270" s="1424" t="str">
        <f>IFERROR((S270/R270-1)*(R272/R$13),"-")</f>
        <v>-</v>
      </c>
      <c r="CB270" s="1415" t="str">
        <f>IFERROR((T270/S270-1)*(S272/S$13),"-")</f>
        <v>-</v>
      </c>
      <c r="CC270" s="1415" t="str">
        <f>IFERROR((U270/T270-1)*(T272/T$13),"-")</f>
        <v>-</v>
      </c>
      <c r="CD270" s="1415" t="str">
        <f>IFERROR((V270/U270-1)*(U272/U$13),"-")</f>
        <v>-</v>
      </c>
      <c r="CE270" s="1415" t="str">
        <f t="shared" ref="CE270:CR270" si="547">IFERROR((T270/S270-1)*(S272/S$13),"-")</f>
        <v>-</v>
      </c>
      <c r="CF270" s="1415" t="str">
        <f t="shared" si="547"/>
        <v>-</v>
      </c>
      <c r="CG270" s="1415" t="str">
        <f t="shared" si="547"/>
        <v>-</v>
      </c>
      <c r="CH270" s="1425" t="str">
        <f t="shared" si="547"/>
        <v>-</v>
      </c>
      <c r="CI270" s="1417" t="str">
        <f t="shared" si="547"/>
        <v>-</v>
      </c>
      <c r="CJ270" s="1417" t="str">
        <f t="shared" si="547"/>
        <v>-</v>
      </c>
      <c r="CK270" s="1417" t="str">
        <f t="shared" si="547"/>
        <v>-</v>
      </c>
      <c r="CL270" s="1417" t="str">
        <f t="shared" si="547"/>
        <v>-</v>
      </c>
      <c r="CM270" s="1418" t="str">
        <f t="shared" si="547"/>
        <v>-</v>
      </c>
      <c r="CN270" s="1417" t="str">
        <f t="shared" si="547"/>
        <v>-</v>
      </c>
      <c r="CO270" s="1417" t="str">
        <f t="shared" si="547"/>
        <v>-</v>
      </c>
      <c r="CP270" s="1417" t="str">
        <f t="shared" si="547"/>
        <v>-</v>
      </c>
      <c r="CQ270" s="1417" t="str">
        <f t="shared" si="547"/>
        <v>-</v>
      </c>
      <c r="CR270" s="1419" t="str">
        <f t="shared" si="547"/>
        <v>-</v>
      </c>
      <c r="CS270" s="1378"/>
      <c r="CT270" s="1412" t="str">
        <f t="shared" si="492"/>
        <v>Price</v>
      </c>
      <c r="CU270" s="1413" t="str">
        <f t="shared" si="493"/>
        <v>[Service]</v>
      </c>
      <c r="CV270" s="1426" t="str">
        <f t="shared" si="494"/>
        <v>[Price]</v>
      </c>
      <c r="CW270" s="1427" t="str">
        <f t="shared" si="514"/>
        <v>-</v>
      </c>
      <c r="CX270" s="1417" t="str">
        <f t="shared" si="515"/>
        <v>-</v>
      </c>
      <c r="CY270" s="1417" t="str">
        <f t="shared" si="516"/>
        <v>-</v>
      </c>
      <c r="CZ270" s="1418" t="str">
        <f t="shared" si="517"/>
        <v>-</v>
      </c>
      <c r="DA270" s="1417" t="str">
        <f t="shared" si="518"/>
        <v>-</v>
      </c>
      <c r="DB270" s="1417" t="str">
        <f t="shared" si="519"/>
        <v>-</v>
      </c>
      <c r="DC270" s="1417" t="str">
        <f t="shared" si="520"/>
        <v>-</v>
      </c>
      <c r="DD270" s="1417" t="str">
        <f t="shared" si="521"/>
        <v>-</v>
      </c>
      <c r="DE270" s="1419" t="str">
        <f t="shared" si="522"/>
        <v>-</v>
      </c>
      <c r="DF270" s="1378"/>
      <c r="DG270" s="1412" t="str">
        <f t="shared" si="533"/>
        <v>Price</v>
      </c>
      <c r="DH270" s="1413" t="str">
        <f t="shared" si="533"/>
        <v>[Service]</v>
      </c>
      <c r="DI270" s="1426" t="str">
        <f t="shared" si="533"/>
        <v>[Price]</v>
      </c>
      <c r="DJ270" s="1427" t="str">
        <f t="shared" si="523"/>
        <v>-</v>
      </c>
      <c r="DK270" s="1417" t="str">
        <f t="shared" si="524"/>
        <v>-</v>
      </c>
      <c r="DL270" s="1417" t="str">
        <f t="shared" si="525"/>
        <v>-</v>
      </c>
      <c r="DM270" s="1418" t="str">
        <f t="shared" si="526"/>
        <v>-</v>
      </c>
      <c r="DN270" s="1417" t="str">
        <f t="shared" si="527"/>
        <v>-</v>
      </c>
      <c r="DO270" s="1417" t="str">
        <f t="shared" si="528"/>
        <v>-</v>
      </c>
      <c r="DP270" s="1417" t="str">
        <f t="shared" si="529"/>
        <v>-</v>
      </c>
      <c r="DQ270" s="1419" t="str">
        <f t="shared" si="530"/>
        <v>-</v>
      </c>
    </row>
    <row r="271" spans="4:121">
      <c r="E271" s="742" t="s">
        <v>45</v>
      </c>
      <c r="F271" s="722" t="str">
        <f>+F270</f>
        <v>[Service]</v>
      </c>
      <c r="G271" s="723">
        <f>+G270</f>
        <v>0</v>
      </c>
      <c r="H271" s="723">
        <f>+H270</f>
        <v>0</v>
      </c>
      <c r="I271" s="724" t="str">
        <f>+I270</f>
        <v>[Price]</v>
      </c>
      <c r="J271" s="782" t="s">
        <v>322</v>
      </c>
      <c r="K271" s="725"/>
      <c r="L271" s="726"/>
      <c r="M271" s="726"/>
      <c r="N271" s="727"/>
      <c r="O271" s="786"/>
      <c r="P271" s="787"/>
      <c r="Q271" s="786"/>
      <c r="R271" s="786"/>
      <c r="S271" s="786"/>
      <c r="T271" s="786"/>
      <c r="U271" s="786"/>
      <c r="V271" s="786"/>
      <c r="W271" s="786"/>
      <c r="X271" s="787"/>
      <c r="Y271" s="786"/>
      <c r="Z271" s="786"/>
      <c r="AA271" s="786"/>
      <c r="AB271" s="786"/>
      <c r="AC271" s="787"/>
      <c r="AD271" s="786"/>
      <c r="AE271" s="786"/>
      <c r="AF271" s="786"/>
      <c r="AG271" s="788"/>
      <c r="AH271" s="823"/>
      <c r="AI271" s="745"/>
      <c r="AJ271" s="728"/>
      <c r="AK271" s="729"/>
      <c r="AL271" s="729"/>
      <c r="AM271" s="729"/>
      <c r="AN271" s="729"/>
      <c r="AO271" s="730"/>
      <c r="AP271" s="74"/>
      <c r="AQ271" s="74"/>
      <c r="AR271" s="74"/>
      <c r="AS271" s="106"/>
      <c r="AW271" s="1392" t="str">
        <f t="shared" si="531"/>
        <v>Qty</v>
      </c>
      <c r="AX271" s="1393" t="str">
        <f t="shared" si="531"/>
        <v>[Service]</v>
      </c>
      <c r="AY271" s="1394" t="str">
        <f t="shared" si="496"/>
        <v>[Price]</v>
      </c>
      <c r="AZ271" s="1395" t="str">
        <f t="shared" si="497"/>
        <v>-</v>
      </c>
      <c r="BA271" s="1395" t="str">
        <f t="shared" si="497"/>
        <v>-</v>
      </c>
      <c r="BB271" s="1395" t="str">
        <f t="shared" si="497"/>
        <v>-</v>
      </c>
      <c r="BC271" s="1395" t="str">
        <f t="shared" si="497"/>
        <v>-</v>
      </c>
      <c r="BD271" s="1395" t="str">
        <f t="shared" si="498"/>
        <v>-</v>
      </c>
      <c r="BE271" s="1395" t="str">
        <f t="shared" si="499"/>
        <v>-</v>
      </c>
      <c r="BF271" s="1395" t="str">
        <f t="shared" si="500"/>
        <v>-</v>
      </c>
      <c r="BG271" s="1396" t="str">
        <f t="shared" si="501"/>
        <v>-</v>
      </c>
      <c r="BH271" s="1395" t="str">
        <f t="shared" si="502"/>
        <v>-</v>
      </c>
      <c r="BI271" s="1395" t="str">
        <f t="shared" si="503"/>
        <v>-</v>
      </c>
      <c r="BJ271" s="1395" t="str">
        <f t="shared" si="504"/>
        <v>-</v>
      </c>
      <c r="BK271" s="1395" t="str">
        <f t="shared" si="505"/>
        <v>-</v>
      </c>
      <c r="BL271" s="1397" t="str">
        <f t="shared" si="506"/>
        <v>-</v>
      </c>
      <c r="BM271" s="1395" t="str">
        <f t="shared" si="507"/>
        <v>-</v>
      </c>
      <c r="BN271" s="1395" t="str">
        <f t="shared" si="508"/>
        <v>-</v>
      </c>
      <c r="BO271" s="1395" t="str">
        <f t="shared" si="509"/>
        <v>-</v>
      </c>
      <c r="BP271" s="1395" t="str">
        <f t="shared" si="510"/>
        <v>-</v>
      </c>
      <c r="BQ271" s="1398" t="str">
        <f t="shared" si="511"/>
        <v>-</v>
      </c>
      <c r="BR271" s="1378"/>
      <c r="BS271" s="1329"/>
      <c r="BT271" s="1399"/>
      <c r="BU271" s="1331"/>
      <c r="BV271" s="1400"/>
      <c r="BW271" s="1378"/>
      <c r="BX271" s="1392" t="str">
        <f t="shared" si="512"/>
        <v>Qty</v>
      </c>
      <c r="BY271" s="1393" t="str">
        <f t="shared" si="406"/>
        <v>[Service]</v>
      </c>
      <c r="BZ271" s="1394" t="str">
        <f t="shared" si="407"/>
        <v>[Price]</v>
      </c>
      <c r="CA271" s="1401" t="str">
        <f>IFERROR((S271/R271-1)*(R272/R$13),"-")</f>
        <v>-</v>
      </c>
      <c r="CB271" s="1395" t="str">
        <f>IFERROR((T271/S271-1)*(S272/S$13),"-")</f>
        <v>-</v>
      </c>
      <c r="CC271" s="1395" t="str">
        <f>IFERROR((U271/T271-1)*(T272/T$13),"-")</f>
        <v>-</v>
      </c>
      <c r="CD271" s="1395" t="str">
        <f>IFERROR((V271/U271-1)*(U272/U$13),"-")</f>
        <v>-</v>
      </c>
      <c r="CE271" s="1395" t="str">
        <f t="shared" ref="CE271:CR271" si="548">IFERROR((T271/S271-1)*(S272/S$13),"-")</f>
        <v>-</v>
      </c>
      <c r="CF271" s="1395" t="str">
        <f t="shared" si="548"/>
        <v>-</v>
      </c>
      <c r="CG271" s="1395" t="str">
        <f t="shared" si="548"/>
        <v>-</v>
      </c>
      <c r="CH271" s="1397" t="str">
        <f t="shared" si="548"/>
        <v>-</v>
      </c>
      <c r="CI271" s="1395" t="str">
        <f t="shared" si="548"/>
        <v>-</v>
      </c>
      <c r="CJ271" s="1395" t="str">
        <f t="shared" si="548"/>
        <v>-</v>
      </c>
      <c r="CK271" s="1395" t="str">
        <f t="shared" si="548"/>
        <v>-</v>
      </c>
      <c r="CL271" s="1395" t="str">
        <f t="shared" si="548"/>
        <v>-</v>
      </c>
      <c r="CM271" s="1397" t="str">
        <f t="shared" si="548"/>
        <v>-</v>
      </c>
      <c r="CN271" s="1395" t="str">
        <f t="shared" si="548"/>
        <v>-</v>
      </c>
      <c r="CO271" s="1395" t="str">
        <f t="shared" si="548"/>
        <v>-</v>
      </c>
      <c r="CP271" s="1395" t="str">
        <f t="shared" si="548"/>
        <v>-</v>
      </c>
      <c r="CQ271" s="1395" t="str">
        <f t="shared" si="548"/>
        <v>-</v>
      </c>
      <c r="CR271" s="1398" t="str">
        <f t="shared" si="548"/>
        <v>-</v>
      </c>
      <c r="CS271" s="1378"/>
      <c r="CT271" s="1392" t="str">
        <f t="shared" si="492"/>
        <v>Qty</v>
      </c>
      <c r="CU271" s="1393" t="str">
        <f t="shared" si="493"/>
        <v>[Service]</v>
      </c>
      <c r="CV271" s="1393" t="str">
        <f t="shared" si="494"/>
        <v>[Price]</v>
      </c>
      <c r="CW271" s="1401" t="str">
        <f t="shared" si="514"/>
        <v>-</v>
      </c>
      <c r="CX271" s="1395" t="str">
        <f t="shared" si="515"/>
        <v>-</v>
      </c>
      <c r="CY271" s="1395" t="str">
        <f t="shared" si="516"/>
        <v>-</v>
      </c>
      <c r="CZ271" s="1397" t="str">
        <f t="shared" si="517"/>
        <v>-</v>
      </c>
      <c r="DA271" s="1395" t="str">
        <f t="shared" si="518"/>
        <v>-</v>
      </c>
      <c r="DB271" s="1395" t="str">
        <f t="shared" si="519"/>
        <v>-</v>
      </c>
      <c r="DC271" s="1395" t="str">
        <f t="shared" si="520"/>
        <v>-</v>
      </c>
      <c r="DD271" s="1395" t="str">
        <f t="shared" si="521"/>
        <v>-</v>
      </c>
      <c r="DE271" s="1398" t="str">
        <f t="shared" si="522"/>
        <v>-</v>
      </c>
      <c r="DF271" s="1378"/>
      <c r="DG271" s="1392" t="str">
        <f t="shared" si="533"/>
        <v>Qty</v>
      </c>
      <c r="DH271" s="1393" t="str">
        <f t="shared" si="533"/>
        <v>[Service]</v>
      </c>
      <c r="DI271" s="1393" t="str">
        <f t="shared" si="533"/>
        <v>[Price]</v>
      </c>
      <c r="DJ271" s="1401" t="str">
        <f t="shared" si="523"/>
        <v>-</v>
      </c>
      <c r="DK271" s="1395" t="str">
        <f t="shared" si="524"/>
        <v>-</v>
      </c>
      <c r="DL271" s="1395" t="str">
        <f t="shared" si="525"/>
        <v>-</v>
      </c>
      <c r="DM271" s="1397" t="str">
        <f t="shared" si="526"/>
        <v>-</v>
      </c>
      <c r="DN271" s="1395" t="str">
        <f t="shared" si="527"/>
        <v>-</v>
      </c>
      <c r="DO271" s="1395" t="str">
        <f t="shared" si="528"/>
        <v>-</v>
      </c>
      <c r="DP271" s="1395" t="str">
        <f t="shared" si="529"/>
        <v>-</v>
      </c>
      <c r="DQ271" s="1398" t="str">
        <f t="shared" si="530"/>
        <v>-</v>
      </c>
    </row>
    <row r="272" spans="4:121" ht="12.75" thickBot="1">
      <c r="E272" s="743" t="s">
        <v>46</v>
      </c>
      <c r="F272" s="732" t="str">
        <f>+F270</f>
        <v>[Service]</v>
      </c>
      <c r="G272" s="733">
        <f>+G270</f>
        <v>0</v>
      </c>
      <c r="H272" s="733">
        <f>+H270</f>
        <v>0</v>
      </c>
      <c r="I272" s="734" t="str">
        <f>+I270</f>
        <v>[Price]</v>
      </c>
      <c r="J272" s="735" t="s">
        <v>344</v>
      </c>
      <c r="K272" s="736">
        <f t="shared" ref="K272:AG272" si="549">K270*K271/10^6</f>
        <v>0</v>
      </c>
      <c r="L272" s="737">
        <f t="shared" si="549"/>
        <v>0</v>
      </c>
      <c r="M272" s="737">
        <f t="shared" si="549"/>
        <v>0</v>
      </c>
      <c r="N272" s="738">
        <f t="shared" si="549"/>
        <v>0</v>
      </c>
      <c r="O272" s="737">
        <f t="shared" si="549"/>
        <v>0</v>
      </c>
      <c r="P272" s="738">
        <f t="shared" si="549"/>
        <v>0</v>
      </c>
      <c r="Q272" s="737">
        <f t="shared" si="549"/>
        <v>0</v>
      </c>
      <c r="R272" s="737">
        <f t="shared" si="549"/>
        <v>0</v>
      </c>
      <c r="S272" s="737">
        <f t="shared" si="549"/>
        <v>0</v>
      </c>
      <c r="T272" s="737">
        <f t="shared" si="549"/>
        <v>0</v>
      </c>
      <c r="U272" s="737">
        <f t="shared" si="549"/>
        <v>0</v>
      </c>
      <c r="V272" s="737">
        <f t="shared" si="549"/>
        <v>0</v>
      </c>
      <c r="W272" s="737">
        <f t="shared" si="549"/>
        <v>0</v>
      </c>
      <c r="X272" s="738">
        <f t="shared" si="549"/>
        <v>0</v>
      </c>
      <c r="Y272" s="737">
        <f t="shared" si="549"/>
        <v>0</v>
      </c>
      <c r="Z272" s="737">
        <f t="shared" si="549"/>
        <v>0</v>
      </c>
      <c r="AA272" s="737">
        <f t="shared" si="549"/>
        <v>0</v>
      </c>
      <c r="AB272" s="737">
        <f t="shared" si="549"/>
        <v>0</v>
      </c>
      <c r="AC272" s="738">
        <f t="shared" si="549"/>
        <v>0</v>
      </c>
      <c r="AD272" s="737">
        <f t="shared" si="549"/>
        <v>0</v>
      </c>
      <c r="AE272" s="737">
        <f t="shared" si="549"/>
        <v>0</v>
      </c>
      <c r="AF272" s="737">
        <f t="shared" si="549"/>
        <v>0</v>
      </c>
      <c r="AG272" s="739">
        <f t="shared" si="549"/>
        <v>0</v>
      </c>
      <c r="AH272" s="823"/>
      <c r="AI272" s="745"/>
      <c r="AJ272" s="741"/>
      <c r="AK272" s="729"/>
      <c r="AL272" s="729"/>
      <c r="AM272" s="729"/>
      <c r="AN272" s="729"/>
      <c r="AO272" s="730"/>
      <c r="AP272" s="74"/>
      <c r="AQ272" s="74"/>
      <c r="AR272" s="74"/>
      <c r="AS272" s="106"/>
      <c r="AW272" s="1428" t="str">
        <f t="shared" si="531"/>
        <v>Rev</v>
      </c>
      <c r="AX272" s="1429" t="str">
        <f t="shared" si="531"/>
        <v>[Service]</v>
      </c>
      <c r="AY272" s="1430" t="str">
        <f t="shared" si="496"/>
        <v>[Price]</v>
      </c>
      <c r="AZ272" s="1431" t="str">
        <f t="shared" si="497"/>
        <v>-</v>
      </c>
      <c r="BA272" s="1431" t="str">
        <f t="shared" si="497"/>
        <v>-</v>
      </c>
      <c r="BB272" s="1431" t="str">
        <f t="shared" si="497"/>
        <v>-</v>
      </c>
      <c r="BC272" s="1431" t="str">
        <f t="shared" si="497"/>
        <v>-</v>
      </c>
      <c r="BD272" s="1431" t="str">
        <f t="shared" si="498"/>
        <v>-</v>
      </c>
      <c r="BE272" s="1431" t="str">
        <f t="shared" si="499"/>
        <v>-</v>
      </c>
      <c r="BF272" s="1431" t="str">
        <f t="shared" si="500"/>
        <v>-</v>
      </c>
      <c r="BG272" s="1432" t="str">
        <f t="shared" si="501"/>
        <v>-</v>
      </c>
      <c r="BH272" s="1431" t="str">
        <f t="shared" si="502"/>
        <v>-</v>
      </c>
      <c r="BI272" s="1431" t="str">
        <f t="shared" si="503"/>
        <v>-</v>
      </c>
      <c r="BJ272" s="1431" t="str">
        <f t="shared" si="504"/>
        <v>-</v>
      </c>
      <c r="BK272" s="1431" t="str">
        <f t="shared" si="505"/>
        <v>-</v>
      </c>
      <c r="BL272" s="1433" t="str">
        <f t="shared" si="506"/>
        <v>-</v>
      </c>
      <c r="BM272" s="1431" t="str">
        <f t="shared" si="507"/>
        <v>-</v>
      </c>
      <c r="BN272" s="1431" t="str">
        <f t="shared" si="508"/>
        <v>-</v>
      </c>
      <c r="BO272" s="1431" t="str">
        <f t="shared" si="509"/>
        <v>-</v>
      </c>
      <c r="BP272" s="1431" t="str">
        <f t="shared" si="510"/>
        <v>-</v>
      </c>
      <c r="BQ272" s="1434" t="str">
        <f t="shared" si="511"/>
        <v>-</v>
      </c>
      <c r="BR272" s="1378"/>
      <c r="BS272" s="1407"/>
      <c r="BT272" s="1408"/>
      <c r="BU272" s="1409"/>
      <c r="BV272" s="1410"/>
      <c r="BW272" s="1378"/>
      <c r="BX272" s="1428" t="str">
        <f t="shared" si="512"/>
        <v>Rev</v>
      </c>
      <c r="BY272" s="1429" t="str">
        <f t="shared" si="406"/>
        <v>[Service]</v>
      </c>
      <c r="BZ272" s="1430" t="str">
        <f t="shared" si="407"/>
        <v>[Price]</v>
      </c>
      <c r="CA272" s="1435" t="str">
        <f>IFERROR((S272/R272-1)*(R272/R$13),"-")</f>
        <v>-</v>
      </c>
      <c r="CB272" s="1431" t="str">
        <f>IFERROR((T272/S272-1)*(S272/S$13),"-")</f>
        <v>-</v>
      </c>
      <c r="CC272" s="1431" t="str">
        <f>IFERROR((U272/T272-1)*(T272/T$13),"-")</f>
        <v>-</v>
      </c>
      <c r="CD272" s="1431" t="str">
        <f>IFERROR((V272/U272-1)*(U272/U$13),"-")</f>
        <v>-</v>
      </c>
      <c r="CE272" s="1431" t="str">
        <f t="shared" ref="CE272:CR272" si="550">IFERROR((T272/S272-1)*(S272/S$13),"-")</f>
        <v>-</v>
      </c>
      <c r="CF272" s="1431" t="str">
        <f t="shared" si="550"/>
        <v>-</v>
      </c>
      <c r="CG272" s="1431" t="str">
        <f t="shared" si="550"/>
        <v>-</v>
      </c>
      <c r="CH272" s="1433" t="str">
        <f t="shared" si="550"/>
        <v>-</v>
      </c>
      <c r="CI272" s="1431" t="str">
        <f t="shared" si="550"/>
        <v>-</v>
      </c>
      <c r="CJ272" s="1431" t="str">
        <f t="shared" si="550"/>
        <v>-</v>
      </c>
      <c r="CK272" s="1431" t="str">
        <f t="shared" si="550"/>
        <v>-</v>
      </c>
      <c r="CL272" s="1431" t="str">
        <f t="shared" si="550"/>
        <v>-</v>
      </c>
      <c r="CM272" s="1433" t="str">
        <f t="shared" si="550"/>
        <v>-</v>
      </c>
      <c r="CN272" s="1431" t="str">
        <f t="shared" si="550"/>
        <v>-</v>
      </c>
      <c r="CO272" s="1431" t="str">
        <f t="shared" si="550"/>
        <v>-</v>
      </c>
      <c r="CP272" s="1431" t="str">
        <f t="shared" si="550"/>
        <v>-</v>
      </c>
      <c r="CQ272" s="1431" t="str">
        <f t="shared" si="550"/>
        <v>-</v>
      </c>
      <c r="CR272" s="1434" t="str">
        <f t="shared" si="550"/>
        <v>-</v>
      </c>
      <c r="CS272" s="1378"/>
      <c r="CT272" s="1428" t="str">
        <f t="shared" si="492"/>
        <v>Rev</v>
      </c>
      <c r="CU272" s="1429" t="str">
        <f t="shared" si="493"/>
        <v>[Service]</v>
      </c>
      <c r="CV272" s="1429" t="str">
        <f t="shared" si="494"/>
        <v>[Price]</v>
      </c>
      <c r="CW272" s="1435" t="str">
        <f t="shared" si="514"/>
        <v>-</v>
      </c>
      <c r="CX272" s="1431" t="str">
        <f t="shared" si="515"/>
        <v>-</v>
      </c>
      <c r="CY272" s="1431" t="str">
        <f t="shared" si="516"/>
        <v>-</v>
      </c>
      <c r="CZ272" s="1433" t="str">
        <f t="shared" si="517"/>
        <v>-</v>
      </c>
      <c r="DA272" s="1431" t="str">
        <f t="shared" si="518"/>
        <v>-</v>
      </c>
      <c r="DB272" s="1431" t="str">
        <f t="shared" si="519"/>
        <v>-</v>
      </c>
      <c r="DC272" s="1431" t="str">
        <f t="shared" si="520"/>
        <v>-</v>
      </c>
      <c r="DD272" s="1431" t="str">
        <f t="shared" si="521"/>
        <v>-</v>
      </c>
      <c r="DE272" s="1434" t="str">
        <f t="shared" si="522"/>
        <v>-</v>
      </c>
      <c r="DF272" s="1378"/>
      <c r="DG272" s="1428" t="str">
        <f t="shared" si="533"/>
        <v>Rev</v>
      </c>
      <c r="DH272" s="1429" t="str">
        <f t="shared" si="533"/>
        <v>[Service]</v>
      </c>
      <c r="DI272" s="1429" t="str">
        <f t="shared" si="533"/>
        <v>[Price]</v>
      </c>
      <c r="DJ272" s="1435" t="str">
        <f t="shared" si="523"/>
        <v>-</v>
      </c>
      <c r="DK272" s="1431" t="str">
        <f t="shared" si="524"/>
        <v>-</v>
      </c>
      <c r="DL272" s="1431" t="str">
        <f t="shared" si="525"/>
        <v>-</v>
      </c>
      <c r="DM272" s="1433" t="str">
        <f t="shared" si="526"/>
        <v>-</v>
      </c>
      <c r="DN272" s="1431" t="str">
        <f t="shared" si="527"/>
        <v>-</v>
      </c>
      <c r="DO272" s="1431" t="str">
        <f t="shared" si="528"/>
        <v>-</v>
      </c>
      <c r="DP272" s="1431" t="str">
        <f t="shared" si="529"/>
        <v>-</v>
      </c>
      <c r="DQ272" s="1434" t="str">
        <f t="shared" si="530"/>
        <v>-</v>
      </c>
    </row>
    <row r="273" spans="4:121">
      <c r="D273" s="70">
        <f>D270+1</f>
        <v>69</v>
      </c>
      <c r="E273" s="713" t="s">
        <v>44</v>
      </c>
      <c r="F273" s="789" t="s">
        <v>27</v>
      </c>
      <c r="G273" s="789"/>
      <c r="H273" s="789"/>
      <c r="I273" s="781" t="s">
        <v>318</v>
      </c>
      <c r="J273" s="781" t="s">
        <v>345</v>
      </c>
      <c r="K273" s="714"/>
      <c r="L273" s="715"/>
      <c r="M273" s="715"/>
      <c r="N273" s="716"/>
      <c r="O273" s="783"/>
      <c r="P273" s="784"/>
      <c r="Q273" s="783"/>
      <c r="R273" s="783"/>
      <c r="S273" s="783"/>
      <c r="T273" s="783"/>
      <c r="U273" s="783"/>
      <c r="V273" s="783"/>
      <c r="W273" s="783"/>
      <c r="X273" s="784"/>
      <c r="Y273" s="783"/>
      <c r="Z273" s="783"/>
      <c r="AA273" s="783"/>
      <c r="AB273" s="783"/>
      <c r="AC273" s="784"/>
      <c r="AD273" s="783"/>
      <c r="AE273" s="783"/>
      <c r="AF273" s="783"/>
      <c r="AG273" s="785"/>
      <c r="AI273" s="745"/>
      <c r="AJ273" s="717" t="str">
        <f t="shared" ref="AJ273:AS273" si="551">IFERROR((X273-W273)/W273,"")</f>
        <v/>
      </c>
      <c r="AK273" s="718" t="str">
        <f t="shared" si="551"/>
        <v/>
      </c>
      <c r="AL273" s="718" t="str">
        <f t="shared" si="551"/>
        <v/>
      </c>
      <c r="AM273" s="718" t="str">
        <f t="shared" si="551"/>
        <v/>
      </c>
      <c r="AN273" s="718" t="str">
        <f t="shared" si="551"/>
        <v/>
      </c>
      <c r="AO273" s="719" t="str">
        <f t="shared" si="551"/>
        <v/>
      </c>
      <c r="AP273" s="494" t="str">
        <f t="shared" si="551"/>
        <v/>
      </c>
      <c r="AQ273" s="494" t="str">
        <f t="shared" si="551"/>
        <v/>
      </c>
      <c r="AR273" s="494" t="str">
        <f t="shared" si="551"/>
        <v/>
      </c>
      <c r="AS273" s="720" t="str">
        <f t="shared" si="551"/>
        <v/>
      </c>
      <c r="AU273" s="1369"/>
      <c r="AW273" s="1412" t="str">
        <f t="shared" si="531"/>
        <v>Price</v>
      </c>
      <c r="AX273" s="1413" t="str">
        <f t="shared" si="531"/>
        <v>[Service]</v>
      </c>
      <c r="AY273" s="1414" t="str">
        <f t="shared" si="496"/>
        <v>[Price]</v>
      </c>
      <c r="AZ273" s="1415" t="str">
        <f t="shared" si="497"/>
        <v>-</v>
      </c>
      <c r="BA273" s="1415" t="str">
        <f t="shared" si="497"/>
        <v>-</v>
      </c>
      <c r="BB273" s="1415" t="str">
        <f t="shared" si="497"/>
        <v>-</v>
      </c>
      <c r="BC273" s="1415" t="str">
        <f t="shared" si="497"/>
        <v>-</v>
      </c>
      <c r="BD273" s="1415" t="str">
        <f t="shared" si="498"/>
        <v>-</v>
      </c>
      <c r="BE273" s="1415" t="str">
        <f t="shared" si="499"/>
        <v>-</v>
      </c>
      <c r="BF273" s="1415" t="str">
        <f t="shared" si="500"/>
        <v>-</v>
      </c>
      <c r="BG273" s="1416" t="str">
        <f t="shared" si="501"/>
        <v>-</v>
      </c>
      <c r="BH273" s="1417" t="str">
        <f t="shared" si="502"/>
        <v>-</v>
      </c>
      <c r="BI273" s="1417" t="str">
        <f t="shared" si="503"/>
        <v>-</v>
      </c>
      <c r="BJ273" s="1417" t="str">
        <f t="shared" si="504"/>
        <v>-</v>
      </c>
      <c r="BK273" s="1417" t="str">
        <f t="shared" si="505"/>
        <v>-</v>
      </c>
      <c r="BL273" s="1418" t="str">
        <f t="shared" si="506"/>
        <v>-</v>
      </c>
      <c r="BM273" s="1417" t="str">
        <f t="shared" si="507"/>
        <v>-</v>
      </c>
      <c r="BN273" s="1417" t="str">
        <f t="shared" si="508"/>
        <v>-</v>
      </c>
      <c r="BO273" s="1417" t="str">
        <f t="shared" si="509"/>
        <v>-</v>
      </c>
      <c r="BP273" s="1417" t="str">
        <f t="shared" si="510"/>
        <v>-</v>
      </c>
      <c r="BQ273" s="1419" t="str">
        <f t="shared" si="511"/>
        <v>-</v>
      </c>
      <c r="BR273" s="1378"/>
      <c r="BS273" s="1420"/>
      <c r="BT273" s="1421"/>
      <c r="BU273" s="1422"/>
      <c r="BV273" s="1423"/>
      <c r="BW273" s="1378"/>
      <c r="BX273" s="1412" t="str">
        <f t="shared" si="512"/>
        <v>Price</v>
      </c>
      <c r="BY273" s="1413" t="str">
        <f t="shared" si="406"/>
        <v>[Service]</v>
      </c>
      <c r="BZ273" s="1414" t="str">
        <f t="shared" si="407"/>
        <v>[Price]</v>
      </c>
      <c r="CA273" s="1424" t="str">
        <f>IFERROR((S273/R273-1)*(R275/R$13),"-")</f>
        <v>-</v>
      </c>
      <c r="CB273" s="1415" t="str">
        <f>IFERROR((T273/S273-1)*(S275/S$13),"-")</f>
        <v>-</v>
      </c>
      <c r="CC273" s="1415" t="str">
        <f>IFERROR((U273/T273-1)*(T275/T$13),"-")</f>
        <v>-</v>
      </c>
      <c r="CD273" s="1415" t="str">
        <f>IFERROR((V273/U273-1)*(U275/U$13),"-")</f>
        <v>-</v>
      </c>
      <c r="CE273" s="1415" t="str">
        <f t="shared" ref="CE273:CR273" si="552">IFERROR((T273/S273-1)*(S275/S$13),"-")</f>
        <v>-</v>
      </c>
      <c r="CF273" s="1415" t="str">
        <f t="shared" si="552"/>
        <v>-</v>
      </c>
      <c r="CG273" s="1415" t="str">
        <f t="shared" si="552"/>
        <v>-</v>
      </c>
      <c r="CH273" s="1425" t="str">
        <f t="shared" si="552"/>
        <v>-</v>
      </c>
      <c r="CI273" s="1417" t="str">
        <f t="shared" si="552"/>
        <v>-</v>
      </c>
      <c r="CJ273" s="1417" t="str">
        <f t="shared" si="552"/>
        <v>-</v>
      </c>
      <c r="CK273" s="1417" t="str">
        <f t="shared" si="552"/>
        <v>-</v>
      </c>
      <c r="CL273" s="1417" t="str">
        <f t="shared" si="552"/>
        <v>-</v>
      </c>
      <c r="CM273" s="1418" t="str">
        <f t="shared" si="552"/>
        <v>-</v>
      </c>
      <c r="CN273" s="1417" t="str">
        <f t="shared" si="552"/>
        <v>-</v>
      </c>
      <c r="CO273" s="1417" t="str">
        <f t="shared" si="552"/>
        <v>-</v>
      </c>
      <c r="CP273" s="1417" t="str">
        <f t="shared" si="552"/>
        <v>-</v>
      </c>
      <c r="CQ273" s="1417" t="str">
        <f t="shared" si="552"/>
        <v>-</v>
      </c>
      <c r="CR273" s="1419" t="str">
        <f t="shared" si="552"/>
        <v>-</v>
      </c>
      <c r="CS273" s="1378"/>
      <c r="CT273" s="1412" t="str">
        <f t="shared" si="492"/>
        <v>Price</v>
      </c>
      <c r="CU273" s="1413" t="str">
        <f t="shared" si="493"/>
        <v>[Service]</v>
      </c>
      <c r="CV273" s="1426" t="str">
        <f t="shared" si="494"/>
        <v>[Price]</v>
      </c>
      <c r="CW273" s="1427" t="str">
        <f t="shared" si="514"/>
        <v>-</v>
      </c>
      <c r="CX273" s="1417" t="str">
        <f t="shared" si="515"/>
        <v>-</v>
      </c>
      <c r="CY273" s="1417" t="str">
        <f t="shared" si="516"/>
        <v>-</v>
      </c>
      <c r="CZ273" s="1418" t="str">
        <f t="shared" si="517"/>
        <v>-</v>
      </c>
      <c r="DA273" s="1417" t="str">
        <f t="shared" si="518"/>
        <v>-</v>
      </c>
      <c r="DB273" s="1417" t="str">
        <f t="shared" si="519"/>
        <v>-</v>
      </c>
      <c r="DC273" s="1417" t="str">
        <f t="shared" si="520"/>
        <v>-</v>
      </c>
      <c r="DD273" s="1417" t="str">
        <f t="shared" si="521"/>
        <v>-</v>
      </c>
      <c r="DE273" s="1419" t="str">
        <f t="shared" si="522"/>
        <v>-</v>
      </c>
      <c r="DF273" s="1378"/>
      <c r="DG273" s="1412" t="str">
        <f t="shared" si="533"/>
        <v>Price</v>
      </c>
      <c r="DH273" s="1413" t="str">
        <f t="shared" si="533"/>
        <v>[Service]</v>
      </c>
      <c r="DI273" s="1426" t="str">
        <f t="shared" si="533"/>
        <v>[Price]</v>
      </c>
      <c r="DJ273" s="1427" t="str">
        <f t="shared" si="523"/>
        <v>-</v>
      </c>
      <c r="DK273" s="1417" t="str">
        <f t="shared" si="524"/>
        <v>-</v>
      </c>
      <c r="DL273" s="1417" t="str">
        <f t="shared" si="525"/>
        <v>-</v>
      </c>
      <c r="DM273" s="1418" t="str">
        <f t="shared" si="526"/>
        <v>-</v>
      </c>
      <c r="DN273" s="1417" t="str">
        <f t="shared" si="527"/>
        <v>-</v>
      </c>
      <c r="DO273" s="1417" t="str">
        <f t="shared" si="528"/>
        <v>-</v>
      </c>
      <c r="DP273" s="1417" t="str">
        <f t="shared" si="529"/>
        <v>-</v>
      </c>
      <c r="DQ273" s="1419" t="str">
        <f t="shared" si="530"/>
        <v>-</v>
      </c>
    </row>
    <row r="274" spans="4:121">
      <c r="E274" s="742" t="s">
        <v>45</v>
      </c>
      <c r="F274" s="722" t="str">
        <f>+F273</f>
        <v>[Service]</v>
      </c>
      <c r="G274" s="723">
        <f>+G273</f>
        <v>0</v>
      </c>
      <c r="H274" s="723">
        <f>+H273</f>
        <v>0</v>
      </c>
      <c r="I274" s="724" t="str">
        <f>+I273</f>
        <v>[Price]</v>
      </c>
      <c r="J274" s="782" t="s">
        <v>322</v>
      </c>
      <c r="K274" s="725"/>
      <c r="L274" s="726"/>
      <c r="M274" s="726"/>
      <c r="N274" s="727"/>
      <c r="O274" s="786"/>
      <c r="P274" s="787"/>
      <c r="Q274" s="786"/>
      <c r="R274" s="786"/>
      <c r="S274" s="786"/>
      <c r="T274" s="786"/>
      <c r="U274" s="786"/>
      <c r="V274" s="786"/>
      <c r="W274" s="786"/>
      <c r="X274" s="787"/>
      <c r="Y274" s="786"/>
      <c r="Z274" s="786"/>
      <c r="AA274" s="786"/>
      <c r="AB274" s="786"/>
      <c r="AC274" s="787"/>
      <c r="AD274" s="786"/>
      <c r="AE274" s="786"/>
      <c r="AF274" s="786"/>
      <c r="AG274" s="788"/>
      <c r="AH274" s="823"/>
      <c r="AI274" s="745"/>
      <c r="AJ274" s="728"/>
      <c r="AK274" s="729"/>
      <c r="AL274" s="729"/>
      <c r="AM274" s="729"/>
      <c r="AN274" s="729"/>
      <c r="AO274" s="730"/>
      <c r="AP274" s="74"/>
      <c r="AQ274" s="74"/>
      <c r="AR274" s="74"/>
      <c r="AS274" s="106"/>
      <c r="AW274" s="1392" t="str">
        <f t="shared" si="531"/>
        <v>Qty</v>
      </c>
      <c r="AX274" s="1393" t="str">
        <f t="shared" si="531"/>
        <v>[Service]</v>
      </c>
      <c r="AY274" s="1394" t="str">
        <f t="shared" si="496"/>
        <v>[Price]</v>
      </c>
      <c r="AZ274" s="1395" t="str">
        <f t="shared" si="497"/>
        <v>-</v>
      </c>
      <c r="BA274" s="1395" t="str">
        <f t="shared" si="497"/>
        <v>-</v>
      </c>
      <c r="BB274" s="1395" t="str">
        <f t="shared" si="497"/>
        <v>-</v>
      </c>
      <c r="BC274" s="1395" t="str">
        <f t="shared" si="497"/>
        <v>-</v>
      </c>
      <c r="BD274" s="1395" t="str">
        <f t="shared" si="498"/>
        <v>-</v>
      </c>
      <c r="BE274" s="1395" t="str">
        <f t="shared" si="499"/>
        <v>-</v>
      </c>
      <c r="BF274" s="1395" t="str">
        <f t="shared" si="500"/>
        <v>-</v>
      </c>
      <c r="BG274" s="1396" t="str">
        <f t="shared" si="501"/>
        <v>-</v>
      </c>
      <c r="BH274" s="1395" t="str">
        <f t="shared" si="502"/>
        <v>-</v>
      </c>
      <c r="BI274" s="1395" t="str">
        <f t="shared" si="503"/>
        <v>-</v>
      </c>
      <c r="BJ274" s="1395" t="str">
        <f t="shared" si="504"/>
        <v>-</v>
      </c>
      <c r="BK274" s="1395" t="str">
        <f t="shared" si="505"/>
        <v>-</v>
      </c>
      <c r="BL274" s="1397" t="str">
        <f t="shared" si="506"/>
        <v>-</v>
      </c>
      <c r="BM274" s="1395" t="str">
        <f t="shared" si="507"/>
        <v>-</v>
      </c>
      <c r="BN274" s="1395" t="str">
        <f t="shared" si="508"/>
        <v>-</v>
      </c>
      <c r="BO274" s="1395" t="str">
        <f t="shared" si="509"/>
        <v>-</v>
      </c>
      <c r="BP274" s="1395" t="str">
        <f t="shared" si="510"/>
        <v>-</v>
      </c>
      <c r="BQ274" s="1398" t="str">
        <f t="shared" si="511"/>
        <v>-</v>
      </c>
      <c r="BR274" s="1378"/>
      <c r="BS274" s="1329"/>
      <c r="BT274" s="1399"/>
      <c r="BU274" s="1331"/>
      <c r="BV274" s="1400"/>
      <c r="BW274" s="1378"/>
      <c r="BX274" s="1392" t="str">
        <f t="shared" si="512"/>
        <v>Qty</v>
      </c>
      <c r="BY274" s="1393" t="str">
        <f t="shared" si="406"/>
        <v>[Service]</v>
      </c>
      <c r="BZ274" s="1394" t="str">
        <f t="shared" si="407"/>
        <v>[Price]</v>
      </c>
      <c r="CA274" s="1401" t="str">
        <f>IFERROR((S274/R274-1)*(R275/R$13),"-")</f>
        <v>-</v>
      </c>
      <c r="CB274" s="1395" t="str">
        <f>IFERROR((T274/S274-1)*(S275/S$13),"-")</f>
        <v>-</v>
      </c>
      <c r="CC274" s="1395" t="str">
        <f>IFERROR((U274/T274-1)*(T275/T$13),"-")</f>
        <v>-</v>
      </c>
      <c r="CD274" s="1395" t="str">
        <f>IFERROR((V274/U274-1)*(U275/U$13),"-")</f>
        <v>-</v>
      </c>
      <c r="CE274" s="1395" t="str">
        <f t="shared" ref="CE274:CR274" si="553">IFERROR((T274/S274-1)*(S275/S$13),"-")</f>
        <v>-</v>
      </c>
      <c r="CF274" s="1395" t="str">
        <f t="shared" si="553"/>
        <v>-</v>
      </c>
      <c r="CG274" s="1395" t="str">
        <f t="shared" si="553"/>
        <v>-</v>
      </c>
      <c r="CH274" s="1397" t="str">
        <f t="shared" si="553"/>
        <v>-</v>
      </c>
      <c r="CI274" s="1395" t="str">
        <f t="shared" si="553"/>
        <v>-</v>
      </c>
      <c r="CJ274" s="1395" t="str">
        <f t="shared" si="553"/>
        <v>-</v>
      </c>
      <c r="CK274" s="1395" t="str">
        <f t="shared" si="553"/>
        <v>-</v>
      </c>
      <c r="CL274" s="1395" t="str">
        <f t="shared" si="553"/>
        <v>-</v>
      </c>
      <c r="CM274" s="1397" t="str">
        <f t="shared" si="553"/>
        <v>-</v>
      </c>
      <c r="CN274" s="1395" t="str">
        <f t="shared" si="553"/>
        <v>-</v>
      </c>
      <c r="CO274" s="1395" t="str">
        <f t="shared" si="553"/>
        <v>-</v>
      </c>
      <c r="CP274" s="1395" t="str">
        <f t="shared" si="553"/>
        <v>-</v>
      </c>
      <c r="CQ274" s="1395" t="str">
        <f t="shared" si="553"/>
        <v>-</v>
      </c>
      <c r="CR274" s="1398" t="str">
        <f t="shared" si="553"/>
        <v>-</v>
      </c>
      <c r="CS274" s="1378"/>
      <c r="CT274" s="1392" t="str">
        <f t="shared" si="492"/>
        <v>Qty</v>
      </c>
      <c r="CU274" s="1393" t="str">
        <f t="shared" si="493"/>
        <v>[Service]</v>
      </c>
      <c r="CV274" s="1393" t="str">
        <f t="shared" si="494"/>
        <v>[Price]</v>
      </c>
      <c r="CW274" s="1401" t="str">
        <f t="shared" si="514"/>
        <v>-</v>
      </c>
      <c r="CX274" s="1395" t="str">
        <f t="shared" si="515"/>
        <v>-</v>
      </c>
      <c r="CY274" s="1395" t="str">
        <f t="shared" si="516"/>
        <v>-</v>
      </c>
      <c r="CZ274" s="1397" t="str">
        <f t="shared" si="517"/>
        <v>-</v>
      </c>
      <c r="DA274" s="1395" t="str">
        <f t="shared" si="518"/>
        <v>-</v>
      </c>
      <c r="DB274" s="1395" t="str">
        <f t="shared" si="519"/>
        <v>-</v>
      </c>
      <c r="DC274" s="1395" t="str">
        <f t="shared" si="520"/>
        <v>-</v>
      </c>
      <c r="DD274" s="1395" t="str">
        <f t="shared" si="521"/>
        <v>-</v>
      </c>
      <c r="DE274" s="1398" t="str">
        <f t="shared" si="522"/>
        <v>-</v>
      </c>
      <c r="DF274" s="1378"/>
      <c r="DG274" s="1392" t="str">
        <f t="shared" si="533"/>
        <v>Qty</v>
      </c>
      <c r="DH274" s="1393" t="str">
        <f t="shared" si="533"/>
        <v>[Service]</v>
      </c>
      <c r="DI274" s="1393" t="str">
        <f t="shared" si="533"/>
        <v>[Price]</v>
      </c>
      <c r="DJ274" s="1401" t="str">
        <f t="shared" si="523"/>
        <v>-</v>
      </c>
      <c r="DK274" s="1395" t="str">
        <f t="shared" si="524"/>
        <v>-</v>
      </c>
      <c r="DL274" s="1395" t="str">
        <f t="shared" si="525"/>
        <v>-</v>
      </c>
      <c r="DM274" s="1397" t="str">
        <f t="shared" si="526"/>
        <v>-</v>
      </c>
      <c r="DN274" s="1395" t="str">
        <f t="shared" si="527"/>
        <v>-</v>
      </c>
      <c r="DO274" s="1395" t="str">
        <f t="shared" si="528"/>
        <v>-</v>
      </c>
      <c r="DP274" s="1395" t="str">
        <f t="shared" si="529"/>
        <v>-</v>
      </c>
      <c r="DQ274" s="1398" t="str">
        <f t="shared" si="530"/>
        <v>-</v>
      </c>
    </row>
    <row r="275" spans="4:121" ht="12.75" thickBot="1">
      <c r="E275" s="743" t="s">
        <v>46</v>
      </c>
      <c r="F275" s="732" t="str">
        <f>+F273</f>
        <v>[Service]</v>
      </c>
      <c r="G275" s="733">
        <f>+G273</f>
        <v>0</v>
      </c>
      <c r="H275" s="733">
        <f>+H273</f>
        <v>0</v>
      </c>
      <c r="I275" s="734" t="str">
        <f>+I273</f>
        <v>[Price]</v>
      </c>
      <c r="J275" s="735" t="s">
        <v>344</v>
      </c>
      <c r="K275" s="736">
        <f t="shared" ref="K275:AG275" si="554">K273*K274/10^6</f>
        <v>0</v>
      </c>
      <c r="L275" s="737">
        <f t="shared" si="554"/>
        <v>0</v>
      </c>
      <c r="M275" s="737">
        <f t="shared" si="554"/>
        <v>0</v>
      </c>
      <c r="N275" s="738">
        <f t="shared" si="554"/>
        <v>0</v>
      </c>
      <c r="O275" s="737">
        <f t="shared" si="554"/>
        <v>0</v>
      </c>
      <c r="P275" s="738">
        <f t="shared" si="554"/>
        <v>0</v>
      </c>
      <c r="Q275" s="737">
        <f t="shared" si="554"/>
        <v>0</v>
      </c>
      <c r="R275" s="737">
        <f t="shared" si="554"/>
        <v>0</v>
      </c>
      <c r="S275" s="737">
        <f t="shared" si="554"/>
        <v>0</v>
      </c>
      <c r="T275" s="737">
        <f t="shared" si="554"/>
        <v>0</v>
      </c>
      <c r="U275" s="737">
        <f t="shared" si="554"/>
        <v>0</v>
      </c>
      <c r="V275" s="737">
        <f t="shared" si="554"/>
        <v>0</v>
      </c>
      <c r="W275" s="737">
        <f t="shared" si="554"/>
        <v>0</v>
      </c>
      <c r="X275" s="738">
        <f t="shared" si="554"/>
        <v>0</v>
      </c>
      <c r="Y275" s="737">
        <f t="shared" si="554"/>
        <v>0</v>
      </c>
      <c r="Z275" s="737">
        <f t="shared" si="554"/>
        <v>0</v>
      </c>
      <c r="AA275" s="737">
        <f t="shared" si="554"/>
        <v>0</v>
      </c>
      <c r="AB275" s="737">
        <f t="shared" si="554"/>
        <v>0</v>
      </c>
      <c r="AC275" s="738">
        <f t="shared" si="554"/>
        <v>0</v>
      </c>
      <c r="AD275" s="737">
        <f t="shared" si="554"/>
        <v>0</v>
      </c>
      <c r="AE275" s="737">
        <f t="shared" si="554"/>
        <v>0</v>
      </c>
      <c r="AF275" s="737">
        <f t="shared" si="554"/>
        <v>0</v>
      </c>
      <c r="AG275" s="739">
        <f t="shared" si="554"/>
        <v>0</v>
      </c>
      <c r="AH275" s="823"/>
      <c r="AI275" s="745"/>
      <c r="AJ275" s="741"/>
      <c r="AK275" s="729"/>
      <c r="AL275" s="729"/>
      <c r="AM275" s="729"/>
      <c r="AN275" s="729"/>
      <c r="AO275" s="730"/>
      <c r="AP275" s="74"/>
      <c r="AQ275" s="74"/>
      <c r="AR275" s="74"/>
      <c r="AS275" s="106"/>
      <c r="AW275" s="1428" t="str">
        <f t="shared" si="531"/>
        <v>Rev</v>
      </c>
      <c r="AX275" s="1429" t="str">
        <f t="shared" si="531"/>
        <v>[Service]</v>
      </c>
      <c r="AY275" s="1430" t="str">
        <f t="shared" si="496"/>
        <v>[Price]</v>
      </c>
      <c r="AZ275" s="1431" t="str">
        <f t="shared" si="497"/>
        <v>-</v>
      </c>
      <c r="BA275" s="1431" t="str">
        <f t="shared" si="497"/>
        <v>-</v>
      </c>
      <c r="BB275" s="1431" t="str">
        <f t="shared" si="497"/>
        <v>-</v>
      </c>
      <c r="BC275" s="1431" t="str">
        <f t="shared" si="497"/>
        <v>-</v>
      </c>
      <c r="BD275" s="1431" t="str">
        <f t="shared" si="498"/>
        <v>-</v>
      </c>
      <c r="BE275" s="1431" t="str">
        <f t="shared" si="499"/>
        <v>-</v>
      </c>
      <c r="BF275" s="1431" t="str">
        <f t="shared" si="500"/>
        <v>-</v>
      </c>
      <c r="BG275" s="1432" t="str">
        <f t="shared" si="501"/>
        <v>-</v>
      </c>
      <c r="BH275" s="1431" t="str">
        <f t="shared" si="502"/>
        <v>-</v>
      </c>
      <c r="BI275" s="1431" t="str">
        <f t="shared" si="503"/>
        <v>-</v>
      </c>
      <c r="BJ275" s="1431" t="str">
        <f t="shared" si="504"/>
        <v>-</v>
      </c>
      <c r="BK275" s="1431" t="str">
        <f t="shared" si="505"/>
        <v>-</v>
      </c>
      <c r="BL275" s="1433" t="str">
        <f t="shared" si="506"/>
        <v>-</v>
      </c>
      <c r="BM275" s="1431" t="str">
        <f t="shared" si="507"/>
        <v>-</v>
      </c>
      <c r="BN275" s="1431" t="str">
        <f t="shared" si="508"/>
        <v>-</v>
      </c>
      <c r="BO275" s="1431" t="str">
        <f t="shared" si="509"/>
        <v>-</v>
      </c>
      <c r="BP275" s="1431" t="str">
        <f t="shared" si="510"/>
        <v>-</v>
      </c>
      <c r="BQ275" s="1434" t="str">
        <f t="shared" si="511"/>
        <v>-</v>
      </c>
      <c r="BR275" s="1378"/>
      <c r="BS275" s="1407"/>
      <c r="BT275" s="1408"/>
      <c r="BU275" s="1409"/>
      <c r="BV275" s="1410"/>
      <c r="BW275" s="1378"/>
      <c r="BX275" s="1428" t="str">
        <f t="shared" si="512"/>
        <v>Rev</v>
      </c>
      <c r="BY275" s="1429" t="str">
        <f t="shared" si="406"/>
        <v>[Service]</v>
      </c>
      <c r="BZ275" s="1430" t="str">
        <f t="shared" si="407"/>
        <v>[Price]</v>
      </c>
      <c r="CA275" s="1435" t="str">
        <f>IFERROR((S275/R275-1)*(R275/R$13),"-")</f>
        <v>-</v>
      </c>
      <c r="CB275" s="1431" t="str">
        <f>IFERROR((T275/S275-1)*(S275/S$13),"-")</f>
        <v>-</v>
      </c>
      <c r="CC275" s="1431" t="str">
        <f>IFERROR((U275/T275-1)*(T275/T$13),"-")</f>
        <v>-</v>
      </c>
      <c r="CD275" s="1431" t="str">
        <f>IFERROR((V275/U275-1)*(U275/U$13),"-")</f>
        <v>-</v>
      </c>
      <c r="CE275" s="1431" t="str">
        <f t="shared" ref="CE275:CR275" si="555">IFERROR((T275/S275-1)*(S275/S$13),"-")</f>
        <v>-</v>
      </c>
      <c r="CF275" s="1431" t="str">
        <f t="shared" si="555"/>
        <v>-</v>
      </c>
      <c r="CG275" s="1431" t="str">
        <f t="shared" si="555"/>
        <v>-</v>
      </c>
      <c r="CH275" s="1433" t="str">
        <f t="shared" si="555"/>
        <v>-</v>
      </c>
      <c r="CI275" s="1431" t="str">
        <f t="shared" si="555"/>
        <v>-</v>
      </c>
      <c r="CJ275" s="1431" t="str">
        <f t="shared" si="555"/>
        <v>-</v>
      </c>
      <c r="CK275" s="1431" t="str">
        <f t="shared" si="555"/>
        <v>-</v>
      </c>
      <c r="CL275" s="1431" t="str">
        <f t="shared" si="555"/>
        <v>-</v>
      </c>
      <c r="CM275" s="1433" t="str">
        <f t="shared" si="555"/>
        <v>-</v>
      </c>
      <c r="CN275" s="1431" t="str">
        <f t="shared" si="555"/>
        <v>-</v>
      </c>
      <c r="CO275" s="1431" t="str">
        <f t="shared" si="555"/>
        <v>-</v>
      </c>
      <c r="CP275" s="1431" t="str">
        <f t="shared" si="555"/>
        <v>-</v>
      </c>
      <c r="CQ275" s="1431" t="str">
        <f t="shared" si="555"/>
        <v>-</v>
      </c>
      <c r="CR275" s="1434" t="str">
        <f t="shared" si="555"/>
        <v>-</v>
      </c>
      <c r="CS275" s="1378"/>
      <c r="CT275" s="1428" t="str">
        <f t="shared" si="492"/>
        <v>Rev</v>
      </c>
      <c r="CU275" s="1429" t="str">
        <f t="shared" si="493"/>
        <v>[Service]</v>
      </c>
      <c r="CV275" s="1429" t="str">
        <f t="shared" si="494"/>
        <v>[Price]</v>
      </c>
      <c r="CW275" s="1435" t="str">
        <f t="shared" si="514"/>
        <v>-</v>
      </c>
      <c r="CX275" s="1431" t="str">
        <f t="shared" si="515"/>
        <v>-</v>
      </c>
      <c r="CY275" s="1431" t="str">
        <f t="shared" si="516"/>
        <v>-</v>
      </c>
      <c r="CZ275" s="1433" t="str">
        <f t="shared" si="517"/>
        <v>-</v>
      </c>
      <c r="DA275" s="1431" t="str">
        <f t="shared" si="518"/>
        <v>-</v>
      </c>
      <c r="DB275" s="1431" t="str">
        <f t="shared" si="519"/>
        <v>-</v>
      </c>
      <c r="DC275" s="1431" t="str">
        <f t="shared" si="520"/>
        <v>-</v>
      </c>
      <c r="DD275" s="1431" t="str">
        <f t="shared" si="521"/>
        <v>-</v>
      </c>
      <c r="DE275" s="1434" t="str">
        <f t="shared" si="522"/>
        <v>-</v>
      </c>
      <c r="DF275" s="1378"/>
      <c r="DG275" s="1428" t="str">
        <f t="shared" si="533"/>
        <v>Rev</v>
      </c>
      <c r="DH275" s="1429" t="str">
        <f t="shared" si="533"/>
        <v>[Service]</v>
      </c>
      <c r="DI275" s="1429" t="str">
        <f t="shared" si="533"/>
        <v>[Price]</v>
      </c>
      <c r="DJ275" s="1435" t="str">
        <f t="shared" si="523"/>
        <v>-</v>
      </c>
      <c r="DK275" s="1431" t="str">
        <f t="shared" si="524"/>
        <v>-</v>
      </c>
      <c r="DL275" s="1431" t="str">
        <f t="shared" si="525"/>
        <v>-</v>
      </c>
      <c r="DM275" s="1433" t="str">
        <f t="shared" si="526"/>
        <v>-</v>
      </c>
      <c r="DN275" s="1431" t="str">
        <f t="shared" si="527"/>
        <v>-</v>
      </c>
      <c r="DO275" s="1431" t="str">
        <f t="shared" si="528"/>
        <v>-</v>
      </c>
      <c r="DP275" s="1431" t="str">
        <f t="shared" si="529"/>
        <v>-</v>
      </c>
      <c r="DQ275" s="1434" t="str">
        <f t="shared" si="530"/>
        <v>-</v>
      </c>
    </row>
    <row r="276" spans="4:121">
      <c r="D276" s="70">
        <f>D273+1</f>
        <v>70</v>
      </c>
      <c r="E276" s="713" t="s">
        <v>44</v>
      </c>
      <c r="F276" s="789" t="s">
        <v>27</v>
      </c>
      <c r="G276" s="789"/>
      <c r="H276" s="789"/>
      <c r="I276" s="781" t="s">
        <v>318</v>
      </c>
      <c r="J276" s="781" t="s">
        <v>345</v>
      </c>
      <c r="K276" s="714"/>
      <c r="L276" s="715"/>
      <c r="M276" s="715"/>
      <c r="N276" s="716"/>
      <c r="O276" s="783"/>
      <c r="P276" s="784"/>
      <c r="Q276" s="783"/>
      <c r="R276" s="783"/>
      <c r="S276" s="783"/>
      <c r="T276" s="783"/>
      <c r="U276" s="783"/>
      <c r="V276" s="783"/>
      <c r="W276" s="783"/>
      <c r="X276" s="784"/>
      <c r="Y276" s="783"/>
      <c r="Z276" s="783"/>
      <c r="AA276" s="783"/>
      <c r="AB276" s="783"/>
      <c r="AC276" s="784"/>
      <c r="AD276" s="783"/>
      <c r="AE276" s="783"/>
      <c r="AF276" s="783"/>
      <c r="AG276" s="785"/>
      <c r="AI276" s="745"/>
      <c r="AJ276" s="717" t="str">
        <f t="shared" ref="AJ276:AS276" si="556">IFERROR((X276-W276)/W276,"")</f>
        <v/>
      </c>
      <c r="AK276" s="718" t="str">
        <f t="shared" si="556"/>
        <v/>
      </c>
      <c r="AL276" s="718" t="str">
        <f t="shared" si="556"/>
        <v/>
      </c>
      <c r="AM276" s="718" t="str">
        <f t="shared" si="556"/>
        <v/>
      </c>
      <c r="AN276" s="718" t="str">
        <f t="shared" si="556"/>
        <v/>
      </c>
      <c r="AO276" s="719" t="str">
        <f t="shared" si="556"/>
        <v/>
      </c>
      <c r="AP276" s="494" t="str">
        <f t="shared" si="556"/>
        <v/>
      </c>
      <c r="AQ276" s="494" t="str">
        <f t="shared" si="556"/>
        <v/>
      </c>
      <c r="AR276" s="494" t="str">
        <f t="shared" si="556"/>
        <v/>
      </c>
      <c r="AS276" s="720" t="str">
        <f t="shared" si="556"/>
        <v/>
      </c>
      <c r="AU276" s="1369"/>
      <c r="AW276" s="1412" t="str">
        <f t="shared" si="531"/>
        <v>Price</v>
      </c>
      <c r="AX276" s="1413" t="str">
        <f t="shared" si="531"/>
        <v>[Service]</v>
      </c>
      <c r="AY276" s="1414" t="str">
        <f t="shared" si="496"/>
        <v>[Price]</v>
      </c>
      <c r="AZ276" s="1415" t="str">
        <f t="shared" si="497"/>
        <v>-</v>
      </c>
      <c r="BA276" s="1415" t="str">
        <f t="shared" si="497"/>
        <v>-</v>
      </c>
      <c r="BB276" s="1415" t="str">
        <f t="shared" si="497"/>
        <v>-</v>
      </c>
      <c r="BC276" s="1415" t="str">
        <f t="shared" si="497"/>
        <v>-</v>
      </c>
      <c r="BD276" s="1415" t="str">
        <f t="shared" si="498"/>
        <v>-</v>
      </c>
      <c r="BE276" s="1415" t="str">
        <f t="shared" si="499"/>
        <v>-</v>
      </c>
      <c r="BF276" s="1415" t="str">
        <f t="shared" si="500"/>
        <v>-</v>
      </c>
      <c r="BG276" s="1416" t="str">
        <f t="shared" si="501"/>
        <v>-</v>
      </c>
      <c r="BH276" s="1417" t="str">
        <f t="shared" si="502"/>
        <v>-</v>
      </c>
      <c r="BI276" s="1417" t="str">
        <f t="shared" si="503"/>
        <v>-</v>
      </c>
      <c r="BJ276" s="1417" t="str">
        <f t="shared" si="504"/>
        <v>-</v>
      </c>
      <c r="BK276" s="1417" t="str">
        <f t="shared" si="505"/>
        <v>-</v>
      </c>
      <c r="BL276" s="1418" t="str">
        <f t="shared" si="506"/>
        <v>-</v>
      </c>
      <c r="BM276" s="1417" t="str">
        <f t="shared" si="507"/>
        <v>-</v>
      </c>
      <c r="BN276" s="1417" t="str">
        <f t="shared" si="508"/>
        <v>-</v>
      </c>
      <c r="BO276" s="1417" t="str">
        <f t="shared" si="509"/>
        <v>-</v>
      </c>
      <c r="BP276" s="1417" t="str">
        <f t="shared" si="510"/>
        <v>-</v>
      </c>
      <c r="BQ276" s="1419" t="str">
        <f t="shared" si="511"/>
        <v>-</v>
      </c>
      <c r="BR276" s="1378"/>
      <c r="BS276" s="1420"/>
      <c r="BT276" s="1421"/>
      <c r="BU276" s="1422"/>
      <c r="BV276" s="1423"/>
      <c r="BW276" s="1378"/>
      <c r="BX276" s="1412" t="str">
        <f t="shared" si="512"/>
        <v>Price</v>
      </c>
      <c r="BY276" s="1413" t="str">
        <f t="shared" ref="BY276:BY339" si="557">AX276</f>
        <v>[Service]</v>
      </c>
      <c r="BZ276" s="1414" t="str">
        <f t="shared" ref="BZ276:BZ339" si="558">AY276</f>
        <v>[Price]</v>
      </c>
      <c r="CA276" s="1424" t="str">
        <f>IFERROR((S276/R276-1)*(R278/R$13),"-")</f>
        <v>-</v>
      </c>
      <c r="CB276" s="1415" t="str">
        <f>IFERROR((T276/S276-1)*(S278/S$13),"-")</f>
        <v>-</v>
      </c>
      <c r="CC276" s="1415" t="str">
        <f>IFERROR((U276/T276-1)*(T278/T$13),"-")</f>
        <v>-</v>
      </c>
      <c r="CD276" s="1415" t="str">
        <f>IFERROR((V276/U276-1)*(U278/U$13),"-")</f>
        <v>-</v>
      </c>
      <c r="CE276" s="1415" t="str">
        <f t="shared" ref="CE276:CR276" si="559">IFERROR((T276/S276-1)*(S278/S$13),"-")</f>
        <v>-</v>
      </c>
      <c r="CF276" s="1415" t="str">
        <f t="shared" si="559"/>
        <v>-</v>
      </c>
      <c r="CG276" s="1415" t="str">
        <f t="shared" si="559"/>
        <v>-</v>
      </c>
      <c r="CH276" s="1425" t="str">
        <f t="shared" si="559"/>
        <v>-</v>
      </c>
      <c r="CI276" s="1417" t="str">
        <f t="shared" si="559"/>
        <v>-</v>
      </c>
      <c r="CJ276" s="1417" t="str">
        <f t="shared" si="559"/>
        <v>-</v>
      </c>
      <c r="CK276" s="1417" t="str">
        <f t="shared" si="559"/>
        <v>-</v>
      </c>
      <c r="CL276" s="1417" t="str">
        <f t="shared" si="559"/>
        <v>-</v>
      </c>
      <c r="CM276" s="1418" t="str">
        <f t="shared" si="559"/>
        <v>-</v>
      </c>
      <c r="CN276" s="1417" t="str">
        <f t="shared" si="559"/>
        <v>-</v>
      </c>
      <c r="CO276" s="1417" t="str">
        <f t="shared" si="559"/>
        <v>-</v>
      </c>
      <c r="CP276" s="1417" t="str">
        <f t="shared" si="559"/>
        <v>-</v>
      </c>
      <c r="CQ276" s="1417" t="str">
        <f t="shared" si="559"/>
        <v>-</v>
      </c>
      <c r="CR276" s="1419" t="str">
        <f t="shared" si="559"/>
        <v>-</v>
      </c>
      <c r="CS276" s="1378"/>
      <c r="CT276" s="1412" t="str">
        <f t="shared" si="492"/>
        <v>Price</v>
      </c>
      <c r="CU276" s="1413" t="str">
        <f t="shared" si="493"/>
        <v>[Service]</v>
      </c>
      <c r="CV276" s="1426" t="str">
        <f t="shared" si="494"/>
        <v>[Price]</v>
      </c>
      <c r="CW276" s="1427" t="str">
        <f t="shared" si="514"/>
        <v>-</v>
      </c>
      <c r="CX276" s="1417" t="str">
        <f t="shared" si="515"/>
        <v>-</v>
      </c>
      <c r="CY276" s="1417" t="str">
        <f t="shared" si="516"/>
        <v>-</v>
      </c>
      <c r="CZ276" s="1418" t="str">
        <f t="shared" si="517"/>
        <v>-</v>
      </c>
      <c r="DA276" s="1417" t="str">
        <f t="shared" si="518"/>
        <v>-</v>
      </c>
      <c r="DB276" s="1417" t="str">
        <f t="shared" si="519"/>
        <v>-</v>
      </c>
      <c r="DC276" s="1417" t="str">
        <f t="shared" si="520"/>
        <v>-</v>
      </c>
      <c r="DD276" s="1417" t="str">
        <f t="shared" si="521"/>
        <v>-</v>
      </c>
      <c r="DE276" s="1419" t="str">
        <f t="shared" si="522"/>
        <v>-</v>
      </c>
      <c r="DF276" s="1378"/>
      <c r="DG276" s="1412" t="str">
        <f t="shared" si="533"/>
        <v>Price</v>
      </c>
      <c r="DH276" s="1413" t="str">
        <f t="shared" si="533"/>
        <v>[Service]</v>
      </c>
      <c r="DI276" s="1426" t="str">
        <f t="shared" si="533"/>
        <v>[Price]</v>
      </c>
      <c r="DJ276" s="1427" t="str">
        <f t="shared" si="523"/>
        <v>-</v>
      </c>
      <c r="DK276" s="1417" t="str">
        <f t="shared" si="524"/>
        <v>-</v>
      </c>
      <c r="DL276" s="1417" t="str">
        <f t="shared" si="525"/>
        <v>-</v>
      </c>
      <c r="DM276" s="1418" t="str">
        <f t="shared" si="526"/>
        <v>-</v>
      </c>
      <c r="DN276" s="1417" t="str">
        <f t="shared" si="527"/>
        <v>-</v>
      </c>
      <c r="DO276" s="1417" t="str">
        <f t="shared" si="528"/>
        <v>-</v>
      </c>
      <c r="DP276" s="1417" t="str">
        <f t="shared" si="529"/>
        <v>-</v>
      </c>
      <c r="DQ276" s="1419" t="str">
        <f t="shared" si="530"/>
        <v>-</v>
      </c>
    </row>
    <row r="277" spans="4:121">
      <c r="E277" s="742" t="s">
        <v>45</v>
      </c>
      <c r="F277" s="722" t="str">
        <f>+F276</f>
        <v>[Service]</v>
      </c>
      <c r="G277" s="723">
        <f>+G276</f>
        <v>0</v>
      </c>
      <c r="H277" s="723">
        <f>+H276</f>
        <v>0</v>
      </c>
      <c r="I277" s="724" t="str">
        <f>+I276</f>
        <v>[Price]</v>
      </c>
      <c r="J277" s="782" t="s">
        <v>322</v>
      </c>
      <c r="K277" s="725"/>
      <c r="L277" s="726"/>
      <c r="M277" s="726"/>
      <c r="N277" s="727"/>
      <c r="O277" s="786"/>
      <c r="P277" s="787"/>
      <c r="Q277" s="786"/>
      <c r="R277" s="786"/>
      <c r="S277" s="786"/>
      <c r="T277" s="786"/>
      <c r="U277" s="786"/>
      <c r="V277" s="786"/>
      <c r="W277" s="786"/>
      <c r="X277" s="787"/>
      <c r="Y277" s="786"/>
      <c r="Z277" s="786"/>
      <c r="AA277" s="786"/>
      <c r="AB277" s="786"/>
      <c r="AC277" s="787"/>
      <c r="AD277" s="786"/>
      <c r="AE277" s="786"/>
      <c r="AF277" s="786"/>
      <c r="AG277" s="788"/>
      <c r="AH277" s="823"/>
      <c r="AI277" s="745"/>
      <c r="AJ277" s="728"/>
      <c r="AK277" s="729"/>
      <c r="AL277" s="729"/>
      <c r="AM277" s="729"/>
      <c r="AN277" s="729"/>
      <c r="AO277" s="730"/>
      <c r="AP277" s="74"/>
      <c r="AQ277" s="74"/>
      <c r="AR277" s="74"/>
      <c r="AS277" s="106"/>
      <c r="AW277" s="1392" t="str">
        <f t="shared" si="531"/>
        <v>Qty</v>
      </c>
      <c r="AX277" s="1393" t="str">
        <f t="shared" si="531"/>
        <v>[Service]</v>
      </c>
      <c r="AY277" s="1394" t="str">
        <f t="shared" si="496"/>
        <v>[Price]</v>
      </c>
      <c r="AZ277" s="1395" t="str">
        <f t="shared" ref="AZ277:BC292" si="560">IFERROR(P277/O277-1,"-")</f>
        <v>-</v>
      </c>
      <c r="BA277" s="1395" t="str">
        <f t="shared" si="560"/>
        <v>-</v>
      </c>
      <c r="BB277" s="1395" t="str">
        <f t="shared" si="560"/>
        <v>-</v>
      </c>
      <c r="BC277" s="1395" t="str">
        <f t="shared" si="560"/>
        <v>-</v>
      </c>
      <c r="BD277" s="1395" t="str">
        <f t="shared" si="498"/>
        <v>-</v>
      </c>
      <c r="BE277" s="1395" t="str">
        <f t="shared" si="499"/>
        <v>-</v>
      </c>
      <c r="BF277" s="1395" t="str">
        <f t="shared" si="500"/>
        <v>-</v>
      </c>
      <c r="BG277" s="1396" t="str">
        <f t="shared" si="501"/>
        <v>-</v>
      </c>
      <c r="BH277" s="1395" t="str">
        <f t="shared" si="502"/>
        <v>-</v>
      </c>
      <c r="BI277" s="1395" t="str">
        <f t="shared" si="503"/>
        <v>-</v>
      </c>
      <c r="BJ277" s="1395" t="str">
        <f t="shared" si="504"/>
        <v>-</v>
      </c>
      <c r="BK277" s="1395" t="str">
        <f t="shared" si="505"/>
        <v>-</v>
      </c>
      <c r="BL277" s="1397" t="str">
        <f t="shared" si="506"/>
        <v>-</v>
      </c>
      <c r="BM277" s="1395" t="str">
        <f t="shared" si="507"/>
        <v>-</v>
      </c>
      <c r="BN277" s="1395" t="str">
        <f t="shared" si="508"/>
        <v>-</v>
      </c>
      <c r="BO277" s="1395" t="str">
        <f t="shared" si="509"/>
        <v>-</v>
      </c>
      <c r="BP277" s="1395" t="str">
        <f t="shared" si="510"/>
        <v>-</v>
      </c>
      <c r="BQ277" s="1398" t="str">
        <f t="shared" si="511"/>
        <v>-</v>
      </c>
      <c r="BR277" s="1378"/>
      <c r="BS277" s="1329"/>
      <c r="BT277" s="1399"/>
      <c r="BU277" s="1331"/>
      <c r="BV277" s="1400"/>
      <c r="BW277" s="1378"/>
      <c r="BX277" s="1392" t="str">
        <f t="shared" si="512"/>
        <v>Qty</v>
      </c>
      <c r="BY277" s="1393" t="str">
        <f t="shared" si="557"/>
        <v>[Service]</v>
      </c>
      <c r="BZ277" s="1394" t="str">
        <f t="shared" si="558"/>
        <v>[Price]</v>
      </c>
      <c r="CA277" s="1401" t="str">
        <f>IFERROR((S277/R277-1)*(R278/R$13),"-")</f>
        <v>-</v>
      </c>
      <c r="CB277" s="1395" t="str">
        <f>IFERROR((T277/S277-1)*(S278/S$13),"-")</f>
        <v>-</v>
      </c>
      <c r="CC277" s="1395" t="str">
        <f>IFERROR((U277/T277-1)*(T278/T$13),"-")</f>
        <v>-</v>
      </c>
      <c r="CD277" s="1395" t="str">
        <f>IFERROR((V277/U277-1)*(U278/U$13),"-")</f>
        <v>-</v>
      </c>
      <c r="CE277" s="1395" t="str">
        <f t="shared" ref="CE277:CR277" si="561">IFERROR((T277/S277-1)*(S278/S$13),"-")</f>
        <v>-</v>
      </c>
      <c r="CF277" s="1395" t="str">
        <f t="shared" si="561"/>
        <v>-</v>
      </c>
      <c r="CG277" s="1395" t="str">
        <f t="shared" si="561"/>
        <v>-</v>
      </c>
      <c r="CH277" s="1397" t="str">
        <f t="shared" si="561"/>
        <v>-</v>
      </c>
      <c r="CI277" s="1395" t="str">
        <f t="shared" si="561"/>
        <v>-</v>
      </c>
      <c r="CJ277" s="1395" t="str">
        <f t="shared" si="561"/>
        <v>-</v>
      </c>
      <c r="CK277" s="1395" t="str">
        <f t="shared" si="561"/>
        <v>-</v>
      </c>
      <c r="CL277" s="1395" t="str">
        <f t="shared" si="561"/>
        <v>-</v>
      </c>
      <c r="CM277" s="1397" t="str">
        <f t="shared" si="561"/>
        <v>-</v>
      </c>
      <c r="CN277" s="1395" t="str">
        <f t="shared" si="561"/>
        <v>-</v>
      </c>
      <c r="CO277" s="1395" t="str">
        <f t="shared" si="561"/>
        <v>-</v>
      </c>
      <c r="CP277" s="1395" t="str">
        <f t="shared" si="561"/>
        <v>-</v>
      </c>
      <c r="CQ277" s="1395" t="str">
        <f t="shared" si="561"/>
        <v>-</v>
      </c>
      <c r="CR277" s="1398" t="str">
        <f t="shared" si="561"/>
        <v>-</v>
      </c>
      <c r="CS277" s="1378"/>
      <c r="CT277" s="1392" t="str">
        <f t="shared" si="492"/>
        <v>Qty</v>
      </c>
      <c r="CU277" s="1393" t="str">
        <f t="shared" si="493"/>
        <v>[Service]</v>
      </c>
      <c r="CV277" s="1393" t="str">
        <f t="shared" si="494"/>
        <v>[Price]</v>
      </c>
      <c r="CW277" s="1401" t="str">
        <f t="shared" si="514"/>
        <v>-</v>
      </c>
      <c r="CX277" s="1395" t="str">
        <f t="shared" si="515"/>
        <v>-</v>
      </c>
      <c r="CY277" s="1395" t="str">
        <f t="shared" si="516"/>
        <v>-</v>
      </c>
      <c r="CZ277" s="1397" t="str">
        <f t="shared" si="517"/>
        <v>-</v>
      </c>
      <c r="DA277" s="1395" t="str">
        <f t="shared" si="518"/>
        <v>-</v>
      </c>
      <c r="DB277" s="1395" t="str">
        <f t="shared" si="519"/>
        <v>-</v>
      </c>
      <c r="DC277" s="1395" t="str">
        <f t="shared" si="520"/>
        <v>-</v>
      </c>
      <c r="DD277" s="1395" t="str">
        <f t="shared" si="521"/>
        <v>-</v>
      </c>
      <c r="DE277" s="1398" t="str">
        <f t="shared" si="522"/>
        <v>-</v>
      </c>
      <c r="DF277" s="1378"/>
      <c r="DG277" s="1392" t="str">
        <f t="shared" si="533"/>
        <v>Qty</v>
      </c>
      <c r="DH277" s="1393" t="str">
        <f t="shared" si="533"/>
        <v>[Service]</v>
      </c>
      <c r="DI277" s="1393" t="str">
        <f t="shared" si="533"/>
        <v>[Price]</v>
      </c>
      <c r="DJ277" s="1401" t="str">
        <f t="shared" si="523"/>
        <v>-</v>
      </c>
      <c r="DK277" s="1395" t="str">
        <f t="shared" si="524"/>
        <v>-</v>
      </c>
      <c r="DL277" s="1395" t="str">
        <f t="shared" si="525"/>
        <v>-</v>
      </c>
      <c r="DM277" s="1397" t="str">
        <f t="shared" si="526"/>
        <v>-</v>
      </c>
      <c r="DN277" s="1395" t="str">
        <f t="shared" si="527"/>
        <v>-</v>
      </c>
      <c r="DO277" s="1395" t="str">
        <f t="shared" si="528"/>
        <v>-</v>
      </c>
      <c r="DP277" s="1395" t="str">
        <f t="shared" si="529"/>
        <v>-</v>
      </c>
      <c r="DQ277" s="1398" t="str">
        <f t="shared" si="530"/>
        <v>-</v>
      </c>
    </row>
    <row r="278" spans="4:121" ht="12.75" thickBot="1">
      <c r="E278" s="743" t="s">
        <v>46</v>
      </c>
      <c r="F278" s="732" t="str">
        <f>+F276</f>
        <v>[Service]</v>
      </c>
      <c r="G278" s="733">
        <f>+G276</f>
        <v>0</v>
      </c>
      <c r="H278" s="733">
        <f>+H276</f>
        <v>0</v>
      </c>
      <c r="I278" s="734" t="str">
        <f>+I276</f>
        <v>[Price]</v>
      </c>
      <c r="J278" s="735" t="s">
        <v>344</v>
      </c>
      <c r="K278" s="736">
        <f t="shared" ref="K278:AG278" si="562">K276*K277/10^6</f>
        <v>0</v>
      </c>
      <c r="L278" s="737">
        <f t="shared" si="562"/>
        <v>0</v>
      </c>
      <c r="M278" s="737">
        <f t="shared" si="562"/>
        <v>0</v>
      </c>
      <c r="N278" s="738">
        <f t="shared" si="562"/>
        <v>0</v>
      </c>
      <c r="O278" s="737">
        <f t="shared" si="562"/>
        <v>0</v>
      </c>
      <c r="P278" s="738">
        <f t="shared" si="562"/>
        <v>0</v>
      </c>
      <c r="Q278" s="737">
        <f t="shared" si="562"/>
        <v>0</v>
      </c>
      <c r="R278" s="737">
        <f t="shared" si="562"/>
        <v>0</v>
      </c>
      <c r="S278" s="737">
        <f t="shared" si="562"/>
        <v>0</v>
      </c>
      <c r="T278" s="737">
        <f t="shared" si="562"/>
        <v>0</v>
      </c>
      <c r="U278" s="737">
        <f t="shared" si="562"/>
        <v>0</v>
      </c>
      <c r="V278" s="737">
        <f t="shared" si="562"/>
        <v>0</v>
      </c>
      <c r="W278" s="737">
        <f t="shared" si="562"/>
        <v>0</v>
      </c>
      <c r="X278" s="738">
        <f t="shared" si="562"/>
        <v>0</v>
      </c>
      <c r="Y278" s="737">
        <f t="shared" si="562"/>
        <v>0</v>
      </c>
      <c r="Z278" s="737">
        <f t="shared" si="562"/>
        <v>0</v>
      </c>
      <c r="AA278" s="737">
        <f t="shared" si="562"/>
        <v>0</v>
      </c>
      <c r="AB278" s="737">
        <f t="shared" si="562"/>
        <v>0</v>
      </c>
      <c r="AC278" s="738">
        <f t="shared" si="562"/>
        <v>0</v>
      </c>
      <c r="AD278" s="737">
        <f t="shared" si="562"/>
        <v>0</v>
      </c>
      <c r="AE278" s="737">
        <f t="shared" si="562"/>
        <v>0</v>
      </c>
      <c r="AF278" s="737">
        <f t="shared" si="562"/>
        <v>0</v>
      </c>
      <c r="AG278" s="739">
        <f t="shared" si="562"/>
        <v>0</v>
      </c>
      <c r="AH278" s="823"/>
      <c r="AI278" s="745"/>
      <c r="AJ278" s="741"/>
      <c r="AK278" s="729"/>
      <c r="AL278" s="729"/>
      <c r="AM278" s="729"/>
      <c r="AN278" s="729"/>
      <c r="AO278" s="730"/>
      <c r="AP278" s="74"/>
      <c r="AQ278" s="74"/>
      <c r="AR278" s="74"/>
      <c r="AS278" s="106"/>
      <c r="AW278" s="1428" t="str">
        <f t="shared" si="531"/>
        <v>Rev</v>
      </c>
      <c r="AX278" s="1429" t="str">
        <f t="shared" si="531"/>
        <v>[Service]</v>
      </c>
      <c r="AY278" s="1430" t="str">
        <f t="shared" si="496"/>
        <v>[Price]</v>
      </c>
      <c r="AZ278" s="1431" t="str">
        <f t="shared" si="560"/>
        <v>-</v>
      </c>
      <c r="BA278" s="1431" t="str">
        <f t="shared" si="560"/>
        <v>-</v>
      </c>
      <c r="BB278" s="1431" t="str">
        <f t="shared" si="560"/>
        <v>-</v>
      </c>
      <c r="BC278" s="1431" t="str">
        <f t="shared" si="560"/>
        <v>-</v>
      </c>
      <c r="BD278" s="1431" t="str">
        <f t="shared" si="498"/>
        <v>-</v>
      </c>
      <c r="BE278" s="1431" t="str">
        <f t="shared" si="499"/>
        <v>-</v>
      </c>
      <c r="BF278" s="1431" t="str">
        <f t="shared" si="500"/>
        <v>-</v>
      </c>
      <c r="BG278" s="1432" t="str">
        <f t="shared" si="501"/>
        <v>-</v>
      </c>
      <c r="BH278" s="1431" t="str">
        <f t="shared" si="502"/>
        <v>-</v>
      </c>
      <c r="BI278" s="1431" t="str">
        <f t="shared" si="503"/>
        <v>-</v>
      </c>
      <c r="BJ278" s="1431" t="str">
        <f t="shared" si="504"/>
        <v>-</v>
      </c>
      <c r="BK278" s="1431" t="str">
        <f t="shared" si="505"/>
        <v>-</v>
      </c>
      <c r="BL278" s="1433" t="str">
        <f t="shared" si="506"/>
        <v>-</v>
      </c>
      <c r="BM278" s="1431" t="str">
        <f t="shared" si="507"/>
        <v>-</v>
      </c>
      <c r="BN278" s="1431" t="str">
        <f t="shared" si="508"/>
        <v>-</v>
      </c>
      <c r="BO278" s="1431" t="str">
        <f t="shared" si="509"/>
        <v>-</v>
      </c>
      <c r="BP278" s="1431" t="str">
        <f t="shared" si="510"/>
        <v>-</v>
      </c>
      <c r="BQ278" s="1434" t="str">
        <f t="shared" si="511"/>
        <v>-</v>
      </c>
      <c r="BR278" s="1378"/>
      <c r="BS278" s="1407"/>
      <c r="BT278" s="1408"/>
      <c r="BU278" s="1409"/>
      <c r="BV278" s="1410"/>
      <c r="BW278" s="1378"/>
      <c r="BX278" s="1428" t="str">
        <f t="shared" si="512"/>
        <v>Rev</v>
      </c>
      <c r="BY278" s="1429" t="str">
        <f t="shared" si="557"/>
        <v>[Service]</v>
      </c>
      <c r="BZ278" s="1430" t="str">
        <f t="shared" si="558"/>
        <v>[Price]</v>
      </c>
      <c r="CA278" s="1435" t="str">
        <f>IFERROR((S278/R278-1)*(R278/R$13),"-")</f>
        <v>-</v>
      </c>
      <c r="CB278" s="1431" t="str">
        <f>IFERROR((T278/S278-1)*(S278/S$13),"-")</f>
        <v>-</v>
      </c>
      <c r="CC278" s="1431" t="str">
        <f>IFERROR((U278/T278-1)*(T278/T$13),"-")</f>
        <v>-</v>
      </c>
      <c r="CD278" s="1431" t="str">
        <f>IFERROR((V278/U278-1)*(U278/U$13),"-")</f>
        <v>-</v>
      </c>
      <c r="CE278" s="1431" t="str">
        <f t="shared" ref="CE278:CR278" si="563">IFERROR((T278/S278-1)*(S278/S$13),"-")</f>
        <v>-</v>
      </c>
      <c r="CF278" s="1431" t="str">
        <f t="shared" si="563"/>
        <v>-</v>
      </c>
      <c r="CG278" s="1431" t="str">
        <f t="shared" si="563"/>
        <v>-</v>
      </c>
      <c r="CH278" s="1433" t="str">
        <f t="shared" si="563"/>
        <v>-</v>
      </c>
      <c r="CI278" s="1431" t="str">
        <f t="shared" si="563"/>
        <v>-</v>
      </c>
      <c r="CJ278" s="1431" t="str">
        <f t="shared" si="563"/>
        <v>-</v>
      </c>
      <c r="CK278" s="1431" t="str">
        <f t="shared" si="563"/>
        <v>-</v>
      </c>
      <c r="CL278" s="1431" t="str">
        <f t="shared" si="563"/>
        <v>-</v>
      </c>
      <c r="CM278" s="1433" t="str">
        <f t="shared" si="563"/>
        <v>-</v>
      </c>
      <c r="CN278" s="1431" t="str">
        <f t="shared" si="563"/>
        <v>-</v>
      </c>
      <c r="CO278" s="1431" t="str">
        <f t="shared" si="563"/>
        <v>-</v>
      </c>
      <c r="CP278" s="1431" t="str">
        <f t="shared" si="563"/>
        <v>-</v>
      </c>
      <c r="CQ278" s="1431" t="str">
        <f t="shared" si="563"/>
        <v>-</v>
      </c>
      <c r="CR278" s="1434" t="str">
        <f t="shared" si="563"/>
        <v>-</v>
      </c>
      <c r="CS278" s="1378"/>
      <c r="CT278" s="1428" t="str">
        <f t="shared" si="492"/>
        <v>Rev</v>
      </c>
      <c r="CU278" s="1429" t="str">
        <f t="shared" si="493"/>
        <v>[Service]</v>
      </c>
      <c r="CV278" s="1429" t="str">
        <f t="shared" si="494"/>
        <v>[Price]</v>
      </c>
      <c r="CW278" s="1435" t="str">
        <f t="shared" si="514"/>
        <v>-</v>
      </c>
      <c r="CX278" s="1431" t="str">
        <f t="shared" si="515"/>
        <v>-</v>
      </c>
      <c r="CY278" s="1431" t="str">
        <f t="shared" si="516"/>
        <v>-</v>
      </c>
      <c r="CZ278" s="1433" t="str">
        <f t="shared" si="517"/>
        <v>-</v>
      </c>
      <c r="DA278" s="1431" t="str">
        <f t="shared" si="518"/>
        <v>-</v>
      </c>
      <c r="DB278" s="1431" t="str">
        <f t="shared" si="519"/>
        <v>-</v>
      </c>
      <c r="DC278" s="1431" t="str">
        <f t="shared" si="520"/>
        <v>-</v>
      </c>
      <c r="DD278" s="1431" t="str">
        <f t="shared" si="521"/>
        <v>-</v>
      </c>
      <c r="DE278" s="1434" t="str">
        <f t="shared" si="522"/>
        <v>-</v>
      </c>
      <c r="DF278" s="1378"/>
      <c r="DG278" s="1428" t="str">
        <f t="shared" si="533"/>
        <v>Rev</v>
      </c>
      <c r="DH278" s="1429" t="str">
        <f t="shared" si="533"/>
        <v>[Service]</v>
      </c>
      <c r="DI278" s="1429" t="str">
        <f t="shared" si="533"/>
        <v>[Price]</v>
      </c>
      <c r="DJ278" s="1435" t="str">
        <f t="shared" si="523"/>
        <v>-</v>
      </c>
      <c r="DK278" s="1431" t="str">
        <f t="shared" si="524"/>
        <v>-</v>
      </c>
      <c r="DL278" s="1431" t="str">
        <f t="shared" si="525"/>
        <v>-</v>
      </c>
      <c r="DM278" s="1433" t="str">
        <f t="shared" si="526"/>
        <v>-</v>
      </c>
      <c r="DN278" s="1431" t="str">
        <f t="shared" si="527"/>
        <v>-</v>
      </c>
      <c r="DO278" s="1431" t="str">
        <f t="shared" si="528"/>
        <v>-</v>
      </c>
      <c r="DP278" s="1431" t="str">
        <f t="shared" si="529"/>
        <v>-</v>
      </c>
      <c r="DQ278" s="1434" t="str">
        <f t="shared" si="530"/>
        <v>-</v>
      </c>
    </row>
    <row r="279" spans="4:121">
      <c r="D279" s="70">
        <f>D276+1</f>
        <v>71</v>
      </c>
      <c r="E279" s="713" t="s">
        <v>44</v>
      </c>
      <c r="F279" s="789" t="s">
        <v>27</v>
      </c>
      <c r="G279" s="789"/>
      <c r="H279" s="789"/>
      <c r="I279" s="781" t="s">
        <v>318</v>
      </c>
      <c r="J279" s="781" t="s">
        <v>345</v>
      </c>
      <c r="K279" s="714"/>
      <c r="L279" s="715"/>
      <c r="M279" s="715"/>
      <c r="N279" s="716"/>
      <c r="O279" s="783"/>
      <c r="P279" s="784"/>
      <c r="Q279" s="783"/>
      <c r="R279" s="783"/>
      <c r="S279" s="783"/>
      <c r="T279" s="783"/>
      <c r="U279" s="783"/>
      <c r="V279" s="783"/>
      <c r="W279" s="783"/>
      <c r="X279" s="784"/>
      <c r="Y279" s="783"/>
      <c r="Z279" s="783"/>
      <c r="AA279" s="783"/>
      <c r="AB279" s="783"/>
      <c r="AC279" s="784"/>
      <c r="AD279" s="783"/>
      <c r="AE279" s="783"/>
      <c r="AF279" s="783"/>
      <c r="AG279" s="785"/>
      <c r="AI279" s="745"/>
      <c r="AJ279" s="717" t="str">
        <f t="shared" ref="AJ279:AS279" si="564">IFERROR((X279-W279)/W279,"")</f>
        <v/>
      </c>
      <c r="AK279" s="718" t="str">
        <f t="shared" si="564"/>
        <v/>
      </c>
      <c r="AL279" s="718" t="str">
        <f t="shared" si="564"/>
        <v/>
      </c>
      <c r="AM279" s="718" t="str">
        <f t="shared" si="564"/>
        <v/>
      </c>
      <c r="AN279" s="718" t="str">
        <f t="shared" si="564"/>
        <v/>
      </c>
      <c r="AO279" s="719" t="str">
        <f t="shared" si="564"/>
        <v/>
      </c>
      <c r="AP279" s="494" t="str">
        <f t="shared" si="564"/>
        <v/>
      </c>
      <c r="AQ279" s="494" t="str">
        <f t="shared" si="564"/>
        <v/>
      </c>
      <c r="AR279" s="494" t="str">
        <f t="shared" si="564"/>
        <v/>
      </c>
      <c r="AS279" s="720" t="str">
        <f t="shared" si="564"/>
        <v/>
      </c>
      <c r="AU279" s="1369"/>
      <c r="AW279" s="1412" t="str">
        <f t="shared" si="531"/>
        <v>Price</v>
      </c>
      <c r="AX279" s="1413" t="str">
        <f t="shared" si="531"/>
        <v>[Service]</v>
      </c>
      <c r="AY279" s="1414" t="str">
        <f t="shared" si="496"/>
        <v>[Price]</v>
      </c>
      <c r="AZ279" s="1415" t="str">
        <f t="shared" si="560"/>
        <v>-</v>
      </c>
      <c r="BA279" s="1415" t="str">
        <f t="shared" si="560"/>
        <v>-</v>
      </c>
      <c r="BB279" s="1415" t="str">
        <f t="shared" si="560"/>
        <v>-</v>
      </c>
      <c r="BC279" s="1415" t="str">
        <f t="shared" si="560"/>
        <v>-</v>
      </c>
      <c r="BD279" s="1415" t="str">
        <f t="shared" si="498"/>
        <v>-</v>
      </c>
      <c r="BE279" s="1415" t="str">
        <f t="shared" si="499"/>
        <v>-</v>
      </c>
      <c r="BF279" s="1415" t="str">
        <f t="shared" si="500"/>
        <v>-</v>
      </c>
      <c r="BG279" s="1416" t="str">
        <f t="shared" si="501"/>
        <v>-</v>
      </c>
      <c r="BH279" s="1417" t="str">
        <f t="shared" si="502"/>
        <v>-</v>
      </c>
      <c r="BI279" s="1417" t="str">
        <f t="shared" si="503"/>
        <v>-</v>
      </c>
      <c r="BJ279" s="1417" t="str">
        <f t="shared" si="504"/>
        <v>-</v>
      </c>
      <c r="BK279" s="1417" t="str">
        <f t="shared" si="505"/>
        <v>-</v>
      </c>
      <c r="BL279" s="1418" t="str">
        <f t="shared" si="506"/>
        <v>-</v>
      </c>
      <c r="BM279" s="1417" t="str">
        <f t="shared" si="507"/>
        <v>-</v>
      </c>
      <c r="BN279" s="1417" t="str">
        <f t="shared" si="508"/>
        <v>-</v>
      </c>
      <c r="BO279" s="1417" t="str">
        <f t="shared" si="509"/>
        <v>-</v>
      </c>
      <c r="BP279" s="1417" t="str">
        <f t="shared" si="510"/>
        <v>-</v>
      </c>
      <c r="BQ279" s="1419" t="str">
        <f t="shared" si="511"/>
        <v>-</v>
      </c>
      <c r="BR279" s="1378"/>
      <c r="BS279" s="1420"/>
      <c r="BT279" s="1421"/>
      <c r="BU279" s="1422"/>
      <c r="BV279" s="1423"/>
      <c r="BW279" s="1378"/>
      <c r="BX279" s="1412" t="str">
        <f t="shared" si="512"/>
        <v>Price</v>
      </c>
      <c r="BY279" s="1413" t="str">
        <f t="shared" si="557"/>
        <v>[Service]</v>
      </c>
      <c r="BZ279" s="1414" t="str">
        <f t="shared" si="558"/>
        <v>[Price]</v>
      </c>
      <c r="CA279" s="1424" t="str">
        <f>IFERROR((S279/R279-1)*(R281/R$13),"-")</f>
        <v>-</v>
      </c>
      <c r="CB279" s="1415" t="str">
        <f>IFERROR((T279/S279-1)*(S281/S$13),"-")</f>
        <v>-</v>
      </c>
      <c r="CC279" s="1415" t="str">
        <f>IFERROR((U279/T279-1)*(T281/T$13),"-")</f>
        <v>-</v>
      </c>
      <c r="CD279" s="1415" t="str">
        <f>IFERROR((V279/U279-1)*(U281/U$13),"-")</f>
        <v>-</v>
      </c>
      <c r="CE279" s="1415" t="str">
        <f t="shared" ref="CE279:CR279" si="565">IFERROR((T279/S279-1)*(S281/S$13),"-")</f>
        <v>-</v>
      </c>
      <c r="CF279" s="1415" t="str">
        <f t="shared" si="565"/>
        <v>-</v>
      </c>
      <c r="CG279" s="1415" t="str">
        <f t="shared" si="565"/>
        <v>-</v>
      </c>
      <c r="CH279" s="1425" t="str">
        <f t="shared" si="565"/>
        <v>-</v>
      </c>
      <c r="CI279" s="1417" t="str">
        <f t="shared" si="565"/>
        <v>-</v>
      </c>
      <c r="CJ279" s="1417" t="str">
        <f t="shared" si="565"/>
        <v>-</v>
      </c>
      <c r="CK279" s="1417" t="str">
        <f t="shared" si="565"/>
        <v>-</v>
      </c>
      <c r="CL279" s="1417" t="str">
        <f t="shared" si="565"/>
        <v>-</v>
      </c>
      <c r="CM279" s="1418" t="str">
        <f t="shared" si="565"/>
        <v>-</v>
      </c>
      <c r="CN279" s="1417" t="str">
        <f t="shared" si="565"/>
        <v>-</v>
      </c>
      <c r="CO279" s="1417" t="str">
        <f t="shared" si="565"/>
        <v>-</v>
      </c>
      <c r="CP279" s="1417" t="str">
        <f t="shared" si="565"/>
        <v>-</v>
      </c>
      <c r="CQ279" s="1417" t="str">
        <f t="shared" si="565"/>
        <v>-</v>
      </c>
      <c r="CR279" s="1419" t="str">
        <f t="shared" si="565"/>
        <v>-</v>
      </c>
      <c r="CS279" s="1378"/>
      <c r="CT279" s="1412" t="str">
        <f t="shared" si="492"/>
        <v>Price</v>
      </c>
      <c r="CU279" s="1413" t="str">
        <f t="shared" si="493"/>
        <v>[Service]</v>
      </c>
      <c r="CV279" s="1426" t="str">
        <f t="shared" si="494"/>
        <v>[Price]</v>
      </c>
      <c r="CW279" s="1427" t="str">
        <f t="shared" si="514"/>
        <v>-</v>
      </c>
      <c r="CX279" s="1417" t="str">
        <f t="shared" si="515"/>
        <v>-</v>
      </c>
      <c r="CY279" s="1417" t="str">
        <f t="shared" si="516"/>
        <v>-</v>
      </c>
      <c r="CZ279" s="1418" t="str">
        <f t="shared" si="517"/>
        <v>-</v>
      </c>
      <c r="DA279" s="1417" t="str">
        <f t="shared" si="518"/>
        <v>-</v>
      </c>
      <c r="DB279" s="1417" t="str">
        <f t="shared" si="519"/>
        <v>-</v>
      </c>
      <c r="DC279" s="1417" t="str">
        <f t="shared" si="520"/>
        <v>-</v>
      </c>
      <c r="DD279" s="1417" t="str">
        <f t="shared" si="521"/>
        <v>-</v>
      </c>
      <c r="DE279" s="1419" t="str">
        <f t="shared" si="522"/>
        <v>-</v>
      </c>
      <c r="DF279" s="1378"/>
      <c r="DG279" s="1412" t="str">
        <f t="shared" si="533"/>
        <v>Price</v>
      </c>
      <c r="DH279" s="1413" t="str">
        <f t="shared" si="533"/>
        <v>[Service]</v>
      </c>
      <c r="DI279" s="1426" t="str">
        <f t="shared" si="533"/>
        <v>[Price]</v>
      </c>
      <c r="DJ279" s="1427" t="str">
        <f t="shared" si="523"/>
        <v>-</v>
      </c>
      <c r="DK279" s="1417" t="str">
        <f t="shared" si="524"/>
        <v>-</v>
      </c>
      <c r="DL279" s="1417" t="str">
        <f t="shared" si="525"/>
        <v>-</v>
      </c>
      <c r="DM279" s="1418" t="str">
        <f t="shared" si="526"/>
        <v>-</v>
      </c>
      <c r="DN279" s="1417" t="str">
        <f t="shared" si="527"/>
        <v>-</v>
      </c>
      <c r="DO279" s="1417" t="str">
        <f t="shared" si="528"/>
        <v>-</v>
      </c>
      <c r="DP279" s="1417" t="str">
        <f t="shared" si="529"/>
        <v>-</v>
      </c>
      <c r="DQ279" s="1419" t="str">
        <f t="shared" si="530"/>
        <v>-</v>
      </c>
    </row>
    <row r="280" spans="4:121">
      <c r="E280" s="742" t="s">
        <v>45</v>
      </c>
      <c r="F280" s="722" t="str">
        <f>+F279</f>
        <v>[Service]</v>
      </c>
      <c r="G280" s="723">
        <f>+G279</f>
        <v>0</v>
      </c>
      <c r="H280" s="723">
        <f>+H279</f>
        <v>0</v>
      </c>
      <c r="I280" s="724" t="str">
        <f>+I279</f>
        <v>[Price]</v>
      </c>
      <c r="J280" s="782" t="s">
        <v>322</v>
      </c>
      <c r="K280" s="725"/>
      <c r="L280" s="726"/>
      <c r="M280" s="726"/>
      <c r="N280" s="727"/>
      <c r="O280" s="786"/>
      <c r="P280" s="787"/>
      <c r="Q280" s="786"/>
      <c r="R280" s="786"/>
      <c r="S280" s="786"/>
      <c r="T280" s="786"/>
      <c r="U280" s="786"/>
      <c r="V280" s="786"/>
      <c r="W280" s="786"/>
      <c r="X280" s="787"/>
      <c r="Y280" s="786"/>
      <c r="Z280" s="786"/>
      <c r="AA280" s="786"/>
      <c r="AB280" s="786"/>
      <c r="AC280" s="787"/>
      <c r="AD280" s="786"/>
      <c r="AE280" s="786"/>
      <c r="AF280" s="786"/>
      <c r="AG280" s="788"/>
      <c r="AH280" s="823"/>
      <c r="AI280" s="745"/>
      <c r="AJ280" s="728"/>
      <c r="AK280" s="729"/>
      <c r="AL280" s="729"/>
      <c r="AM280" s="729"/>
      <c r="AN280" s="729"/>
      <c r="AO280" s="730"/>
      <c r="AP280" s="74"/>
      <c r="AQ280" s="74"/>
      <c r="AR280" s="74"/>
      <c r="AS280" s="106"/>
      <c r="AW280" s="1392" t="str">
        <f t="shared" si="531"/>
        <v>Qty</v>
      </c>
      <c r="AX280" s="1393" t="str">
        <f t="shared" si="531"/>
        <v>[Service]</v>
      </c>
      <c r="AY280" s="1394" t="str">
        <f t="shared" si="496"/>
        <v>[Price]</v>
      </c>
      <c r="AZ280" s="1395" t="str">
        <f t="shared" si="560"/>
        <v>-</v>
      </c>
      <c r="BA280" s="1395" t="str">
        <f t="shared" si="560"/>
        <v>-</v>
      </c>
      <c r="BB280" s="1395" t="str">
        <f t="shared" si="560"/>
        <v>-</v>
      </c>
      <c r="BC280" s="1395" t="str">
        <f t="shared" si="560"/>
        <v>-</v>
      </c>
      <c r="BD280" s="1395" t="str">
        <f t="shared" si="498"/>
        <v>-</v>
      </c>
      <c r="BE280" s="1395" t="str">
        <f t="shared" si="499"/>
        <v>-</v>
      </c>
      <c r="BF280" s="1395" t="str">
        <f t="shared" si="500"/>
        <v>-</v>
      </c>
      <c r="BG280" s="1396" t="str">
        <f t="shared" si="501"/>
        <v>-</v>
      </c>
      <c r="BH280" s="1395" t="str">
        <f t="shared" si="502"/>
        <v>-</v>
      </c>
      <c r="BI280" s="1395" t="str">
        <f t="shared" si="503"/>
        <v>-</v>
      </c>
      <c r="BJ280" s="1395" t="str">
        <f t="shared" si="504"/>
        <v>-</v>
      </c>
      <c r="BK280" s="1395" t="str">
        <f t="shared" si="505"/>
        <v>-</v>
      </c>
      <c r="BL280" s="1397" t="str">
        <f t="shared" si="506"/>
        <v>-</v>
      </c>
      <c r="BM280" s="1395" t="str">
        <f t="shared" si="507"/>
        <v>-</v>
      </c>
      <c r="BN280" s="1395" t="str">
        <f t="shared" si="508"/>
        <v>-</v>
      </c>
      <c r="BO280" s="1395" t="str">
        <f t="shared" si="509"/>
        <v>-</v>
      </c>
      <c r="BP280" s="1395" t="str">
        <f t="shared" si="510"/>
        <v>-</v>
      </c>
      <c r="BQ280" s="1398" t="str">
        <f t="shared" si="511"/>
        <v>-</v>
      </c>
      <c r="BR280" s="1378"/>
      <c r="BS280" s="1329"/>
      <c r="BT280" s="1399"/>
      <c r="BU280" s="1331"/>
      <c r="BV280" s="1400"/>
      <c r="BW280" s="1378"/>
      <c r="BX280" s="1392" t="str">
        <f t="shared" si="512"/>
        <v>Qty</v>
      </c>
      <c r="BY280" s="1393" t="str">
        <f t="shared" si="557"/>
        <v>[Service]</v>
      </c>
      <c r="BZ280" s="1394" t="str">
        <f t="shared" si="558"/>
        <v>[Price]</v>
      </c>
      <c r="CA280" s="1401" t="str">
        <f>IFERROR((S280/R280-1)*(R281/R$13),"-")</f>
        <v>-</v>
      </c>
      <c r="CB280" s="1395" t="str">
        <f>IFERROR((T280/S280-1)*(S281/S$13),"-")</f>
        <v>-</v>
      </c>
      <c r="CC280" s="1395" t="str">
        <f>IFERROR((U280/T280-1)*(T281/T$13),"-")</f>
        <v>-</v>
      </c>
      <c r="CD280" s="1395" t="str">
        <f>IFERROR((V280/U280-1)*(U281/U$13),"-")</f>
        <v>-</v>
      </c>
      <c r="CE280" s="1395" t="str">
        <f t="shared" ref="CE280:CR280" si="566">IFERROR((T280/S280-1)*(S281/S$13),"-")</f>
        <v>-</v>
      </c>
      <c r="CF280" s="1395" t="str">
        <f t="shared" si="566"/>
        <v>-</v>
      </c>
      <c r="CG280" s="1395" t="str">
        <f t="shared" si="566"/>
        <v>-</v>
      </c>
      <c r="CH280" s="1397" t="str">
        <f t="shared" si="566"/>
        <v>-</v>
      </c>
      <c r="CI280" s="1395" t="str">
        <f t="shared" si="566"/>
        <v>-</v>
      </c>
      <c r="CJ280" s="1395" t="str">
        <f t="shared" si="566"/>
        <v>-</v>
      </c>
      <c r="CK280" s="1395" t="str">
        <f t="shared" si="566"/>
        <v>-</v>
      </c>
      <c r="CL280" s="1395" t="str">
        <f t="shared" si="566"/>
        <v>-</v>
      </c>
      <c r="CM280" s="1397" t="str">
        <f t="shared" si="566"/>
        <v>-</v>
      </c>
      <c r="CN280" s="1395" t="str">
        <f t="shared" si="566"/>
        <v>-</v>
      </c>
      <c r="CO280" s="1395" t="str">
        <f t="shared" si="566"/>
        <v>-</v>
      </c>
      <c r="CP280" s="1395" t="str">
        <f t="shared" si="566"/>
        <v>-</v>
      </c>
      <c r="CQ280" s="1395" t="str">
        <f t="shared" si="566"/>
        <v>-</v>
      </c>
      <c r="CR280" s="1398" t="str">
        <f t="shared" si="566"/>
        <v>-</v>
      </c>
      <c r="CS280" s="1378"/>
      <c r="CT280" s="1392" t="str">
        <f t="shared" si="492"/>
        <v>Qty</v>
      </c>
      <c r="CU280" s="1393" t="str">
        <f t="shared" si="493"/>
        <v>[Service]</v>
      </c>
      <c r="CV280" s="1393" t="str">
        <f t="shared" si="494"/>
        <v>[Price]</v>
      </c>
      <c r="CW280" s="1401" t="str">
        <f t="shared" si="514"/>
        <v>-</v>
      </c>
      <c r="CX280" s="1395" t="str">
        <f t="shared" si="515"/>
        <v>-</v>
      </c>
      <c r="CY280" s="1395" t="str">
        <f t="shared" si="516"/>
        <v>-</v>
      </c>
      <c r="CZ280" s="1397" t="str">
        <f t="shared" si="517"/>
        <v>-</v>
      </c>
      <c r="DA280" s="1395" t="str">
        <f t="shared" si="518"/>
        <v>-</v>
      </c>
      <c r="DB280" s="1395" t="str">
        <f t="shared" si="519"/>
        <v>-</v>
      </c>
      <c r="DC280" s="1395" t="str">
        <f t="shared" si="520"/>
        <v>-</v>
      </c>
      <c r="DD280" s="1395" t="str">
        <f t="shared" si="521"/>
        <v>-</v>
      </c>
      <c r="DE280" s="1398" t="str">
        <f t="shared" si="522"/>
        <v>-</v>
      </c>
      <c r="DF280" s="1378"/>
      <c r="DG280" s="1392" t="str">
        <f t="shared" si="533"/>
        <v>Qty</v>
      </c>
      <c r="DH280" s="1393" t="str">
        <f t="shared" si="533"/>
        <v>[Service]</v>
      </c>
      <c r="DI280" s="1393" t="str">
        <f t="shared" si="533"/>
        <v>[Price]</v>
      </c>
      <c r="DJ280" s="1401" t="str">
        <f t="shared" si="523"/>
        <v>-</v>
      </c>
      <c r="DK280" s="1395" t="str">
        <f t="shared" si="524"/>
        <v>-</v>
      </c>
      <c r="DL280" s="1395" t="str">
        <f t="shared" si="525"/>
        <v>-</v>
      </c>
      <c r="DM280" s="1397" t="str">
        <f t="shared" si="526"/>
        <v>-</v>
      </c>
      <c r="DN280" s="1395" t="str">
        <f t="shared" si="527"/>
        <v>-</v>
      </c>
      <c r="DO280" s="1395" t="str">
        <f t="shared" si="528"/>
        <v>-</v>
      </c>
      <c r="DP280" s="1395" t="str">
        <f t="shared" si="529"/>
        <v>-</v>
      </c>
      <c r="DQ280" s="1398" t="str">
        <f t="shared" si="530"/>
        <v>-</v>
      </c>
    </row>
    <row r="281" spans="4:121" ht="12.75" thickBot="1">
      <c r="E281" s="743" t="s">
        <v>46</v>
      </c>
      <c r="F281" s="732" t="str">
        <f>+F279</f>
        <v>[Service]</v>
      </c>
      <c r="G281" s="733">
        <f>+G279</f>
        <v>0</v>
      </c>
      <c r="H281" s="733">
        <f>+H279</f>
        <v>0</v>
      </c>
      <c r="I281" s="734" t="str">
        <f>+I279</f>
        <v>[Price]</v>
      </c>
      <c r="J281" s="735" t="s">
        <v>344</v>
      </c>
      <c r="K281" s="736">
        <f t="shared" ref="K281:AG281" si="567">K279*K280/10^6</f>
        <v>0</v>
      </c>
      <c r="L281" s="737">
        <f t="shared" si="567"/>
        <v>0</v>
      </c>
      <c r="M281" s="737">
        <f t="shared" si="567"/>
        <v>0</v>
      </c>
      <c r="N281" s="738">
        <f t="shared" si="567"/>
        <v>0</v>
      </c>
      <c r="O281" s="737">
        <f t="shared" si="567"/>
        <v>0</v>
      </c>
      <c r="P281" s="738">
        <f t="shared" si="567"/>
        <v>0</v>
      </c>
      <c r="Q281" s="737">
        <f t="shared" si="567"/>
        <v>0</v>
      </c>
      <c r="R281" s="737">
        <f t="shared" si="567"/>
        <v>0</v>
      </c>
      <c r="S281" s="737">
        <f t="shared" si="567"/>
        <v>0</v>
      </c>
      <c r="T281" s="737">
        <f t="shared" si="567"/>
        <v>0</v>
      </c>
      <c r="U281" s="737">
        <f t="shared" si="567"/>
        <v>0</v>
      </c>
      <c r="V281" s="737">
        <f t="shared" si="567"/>
        <v>0</v>
      </c>
      <c r="W281" s="737">
        <f t="shared" si="567"/>
        <v>0</v>
      </c>
      <c r="X281" s="738">
        <f t="shared" si="567"/>
        <v>0</v>
      </c>
      <c r="Y281" s="737">
        <f t="shared" si="567"/>
        <v>0</v>
      </c>
      <c r="Z281" s="737">
        <f t="shared" si="567"/>
        <v>0</v>
      </c>
      <c r="AA281" s="737">
        <f t="shared" si="567"/>
        <v>0</v>
      </c>
      <c r="AB281" s="737">
        <f t="shared" si="567"/>
        <v>0</v>
      </c>
      <c r="AC281" s="738">
        <f t="shared" si="567"/>
        <v>0</v>
      </c>
      <c r="AD281" s="737">
        <f t="shared" si="567"/>
        <v>0</v>
      </c>
      <c r="AE281" s="737">
        <f t="shared" si="567"/>
        <v>0</v>
      </c>
      <c r="AF281" s="737">
        <f t="shared" si="567"/>
        <v>0</v>
      </c>
      <c r="AG281" s="739">
        <f t="shared" si="567"/>
        <v>0</v>
      </c>
      <c r="AH281" s="823"/>
      <c r="AI281" s="745"/>
      <c r="AJ281" s="741"/>
      <c r="AK281" s="729"/>
      <c r="AL281" s="729"/>
      <c r="AM281" s="729"/>
      <c r="AN281" s="729"/>
      <c r="AO281" s="730"/>
      <c r="AP281" s="74"/>
      <c r="AQ281" s="74"/>
      <c r="AR281" s="74"/>
      <c r="AS281" s="106"/>
      <c r="AW281" s="1428" t="str">
        <f t="shared" si="531"/>
        <v>Rev</v>
      </c>
      <c r="AX281" s="1429" t="str">
        <f t="shared" si="531"/>
        <v>[Service]</v>
      </c>
      <c r="AY281" s="1430" t="str">
        <f t="shared" si="496"/>
        <v>[Price]</v>
      </c>
      <c r="AZ281" s="1431" t="str">
        <f t="shared" si="560"/>
        <v>-</v>
      </c>
      <c r="BA281" s="1431" t="str">
        <f t="shared" si="560"/>
        <v>-</v>
      </c>
      <c r="BB281" s="1431" t="str">
        <f t="shared" si="560"/>
        <v>-</v>
      </c>
      <c r="BC281" s="1431" t="str">
        <f t="shared" si="560"/>
        <v>-</v>
      </c>
      <c r="BD281" s="1431" t="str">
        <f t="shared" si="498"/>
        <v>-</v>
      </c>
      <c r="BE281" s="1431" t="str">
        <f t="shared" si="499"/>
        <v>-</v>
      </c>
      <c r="BF281" s="1431" t="str">
        <f t="shared" si="500"/>
        <v>-</v>
      </c>
      <c r="BG281" s="1432" t="str">
        <f t="shared" si="501"/>
        <v>-</v>
      </c>
      <c r="BH281" s="1431" t="str">
        <f t="shared" si="502"/>
        <v>-</v>
      </c>
      <c r="BI281" s="1431" t="str">
        <f t="shared" si="503"/>
        <v>-</v>
      </c>
      <c r="BJ281" s="1431" t="str">
        <f t="shared" si="504"/>
        <v>-</v>
      </c>
      <c r="BK281" s="1431" t="str">
        <f t="shared" si="505"/>
        <v>-</v>
      </c>
      <c r="BL281" s="1433" t="str">
        <f t="shared" si="506"/>
        <v>-</v>
      </c>
      <c r="BM281" s="1431" t="str">
        <f t="shared" si="507"/>
        <v>-</v>
      </c>
      <c r="BN281" s="1431" t="str">
        <f t="shared" si="508"/>
        <v>-</v>
      </c>
      <c r="BO281" s="1431" t="str">
        <f t="shared" si="509"/>
        <v>-</v>
      </c>
      <c r="BP281" s="1431" t="str">
        <f t="shared" si="510"/>
        <v>-</v>
      </c>
      <c r="BQ281" s="1434" t="str">
        <f t="shared" si="511"/>
        <v>-</v>
      </c>
      <c r="BR281" s="1378"/>
      <c r="BS281" s="1407"/>
      <c r="BT281" s="1408"/>
      <c r="BU281" s="1409"/>
      <c r="BV281" s="1410"/>
      <c r="BW281" s="1378"/>
      <c r="BX281" s="1428" t="str">
        <f t="shared" si="512"/>
        <v>Rev</v>
      </c>
      <c r="BY281" s="1429" t="str">
        <f t="shared" si="557"/>
        <v>[Service]</v>
      </c>
      <c r="BZ281" s="1430" t="str">
        <f t="shared" si="558"/>
        <v>[Price]</v>
      </c>
      <c r="CA281" s="1435" t="str">
        <f>IFERROR((S281/R281-1)*(R281/R$13),"-")</f>
        <v>-</v>
      </c>
      <c r="CB281" s="1431" t="str">
        <f>IFERROR((T281/S281-1)*(S281/S$13),"-")</f>
        <v>-</v>
      </c>
      <c r="CC281" s="1431" t="str">
        <f>IFERROR((U281/T281-1)*(T281/T$13),"-")</f>
        <v>-</v>
      </c>
      <c r="CD281" s="1431" t="str">
        <f>IFERROR((V281/U281-1)*(U281/U$13),"-")</f>
        <v>-</v>
      </c>
      <c r="CE281" s="1431" t="str">
        <f t="shared" ref="CE281:CR281" si="568">IFERROR((T281/S281-1)*(S281/S$13),"-")</f>
        <v>-</v>
      </c>
      <c r="CF281" s="1431" t="str">
        <f t="shared" si="568"/>
        <v>-</v>
      </c>
      <c r="CG281" s="1431" t="str">
        <f t="shared" si="568"/>
        <v>-</v>
      </c>
      <c r="CH281" s="1433" t="str">
        <f t="shared" si="568"/>
        <v>-</v>
      </c>
      <c r="CI281" s="1431" t="str">
        <f t="shared" si="568"/>
        <v>-</v>
      </c>
      <c r="CJ281" s="1431" t="str">
        <f t="shared" si="568"/>
        <v>-</v>
      </c>
      <c r="CK281" s="1431" t="str">
        <f t="shared" si="568"/>
        <v>-</v>
      </c>
      <c r="CL281" s="1431" t="str">
        <f t="shared" si="568"/>
        <v>-</v>
      </c>
      <c r="CM281" s="1433" t="str">
        <f t="shared" si="568"/>
        <v>-</v>
      </c>
      <c r="CN281" s="1431" t="str">
        <f t="shared" si="568"/>
        <v>-</v>
      </c>
      <c r="CO281" s="1431" t="str">
        <f t="shared" si="568"/>
        <v>-</v>
      </c>
      <c r="CP281" s="1431" t="str">
        <f t="shared" si="568"/>
        <v>-</v>
      </c>
      <c r="CQ281" s="1431" t="str">
        <f t="shared" si="568"/>
        <v>-</v>
      </c>
      <c r="CR281" s="1434" t="str">
        <f t="shared" si="568"/>
        <v>-</v>
      </c>
      <c r="CS281" s="1378"/>
      <c r="CT281" s="1428" t="str">
        <f t="shared" si="492"/>
        <v>Rev</v>
      </c>
      <c r="CU281" s="1429" t="str">
        <f t="shared" si="493"/>
        <v>[Service]</v>
      </c>
      <c r="CV281" s="1429" t="str">
        <f t="shared" si="494"/>
        <v>[Price]</v>
      </c>
      <c r="CW281" s="1435" t="str">
        <f t="shared" si="514"/>
        <v>-</v>
      </c>
      <c r="CX281" s="1431" t="str">
        <f t="shared" si="515"/>
        <v>-</v>
      </c>
      <c r="CY281" s="1431" t="str">
        <f t="shared" si="516"/>
        <v>-</v>
      </c>
      <c r="CZ281" s="1433" t="str">
        <f t="shared" si="517"/>
        <v>-</v>
      </c>
      <c r="DA281" s="1431" t="str">
        <f t="shared" si="518"/>
        <v>-</v>
      </c>
      <c r="DB281" s="1431" t="str">
        <f t="shared" si="519"/>
        <v>-</v>
      </c>
      <c r="DC281" s="1431" t="str">
        <f t="shared" si="520"/>
        <v>-</v>
      </c>
      <c r="DD281" s="1431" t="str">
        <f t="shared" si="521"/>
        <v>-</v>
      </c>
      <c r="DE281" s="1434" t="str">
        <f t="shared" si="522"/>
        <v>-</v>
      </c>
      <c r="DF281" s="1378"/>
      <c r="DG281" s="1428" t="str">
        <f t="shared" si="533"/>
        <v>Rev</v>
      </c>
      <c r="DH281" s="1429" t="str">
        <f t="shared" si="533"/>
        <v>[Service]</v>
      </c>
      <c r="DI281" s="1429" t="str">
        <f t="shared" si="533"/>
        <v>[Price]</v>
      </c>
      <c r="DJ281" s="1435" t="str">
        <f t="shared" si="523"/>
        <v>-</v>
      </c>
      <c r="DK281" s="1431" t="str">
        <f t="shared" si="524"/>
        <v>-</v>
      </c>
      <c r="DL281" s="1431" t="str">
        <f t="shared" si="525"/>
        <v>-</v>
      </c>
      <c r="DM281" s="1433" t="str">
        <f t="shared" si="526"/>
        <v>-</v>
      </c>
      <c r="DN281" s="1431" t="str">
        <f t="shared" si="527"/>
        <v>-</v>
      </c>
      <c r="DO281" s="1431" t="str">
        <f t="shared" si="528"/>
        <v>-</v>
      </c>
      <c r="DP281" s="1431" t="str">
        <f t="shared" si="529"/>
        <v>-</v>
      </c>
      <c r="DQ281" s="1434" t="str">
        <f t="shared" si="530"/>
        <v>-</v>
      </c>
    </row>
    <row r="282" spans="4:121">
      <c r="D282" s="70">
        <f>D279+1</f>
        <v>72</v>
      </c>
      <c r="E282" s="713" t="s">
        <v>44</v>
      </c>
      <c r="F282" s="789" t="s">
        <v>27</v>
      </c>
      <c r="G282" s="789"/>
      <c r="H282" s="789"/>
      <c r="I282" s="781" t="s">
        <v>318</v>
      </c>
      <c r="J282" s="781" t="s">
        <v>345</v>
      </c>
      <c r="K282" s="714"/>
      <c r="L282" s="715"/>
      <c r="M282" s="715"/>
      <c r="N282" s="716"/>
      <c r="O282" s="783"/>
      <c r="P282" s="784"/>
      <c r="Q282" s="783"/>
      <c r="R282" s="783"/>
      <c r="S282" s="783"/>
      <c r="T282" s="783"/>
      <c r="U282" s="783"/>
      <c r="V282" s="783"/>
      <c r="W282" s="783"/>
      <c r="X282" s="784"/>
      <c r="Y282" s="783"/>
      <c r="Z282" s="783"/>
      <c r="AA282" s="783"/>
      <c r="AB282" s="783"/>
      <c r="AC282" s="784"/>
      <c r="AD282" s="783"/>
      <c r="AE282" s="783"/>
      <c r="AF282" s="783"/>
      <c r="AG282" s="785"/>
      <c r="AI282" s="745"/>
      <c r="AJ282" s="717" t="str">
        <f t="shared" ref="AJ282:AS282" si="569">IFERROR((X282-W282)/W282,"")</f>
        <v/>
      </c>
      <c r="AK282" s="718" t="str">
        <f t="shared" si="569"/>
        <v/>
      </c>
      <c r="AL282" s="718" t="str">
        <f t="shared" si="569"/>
        <v/>
      </c>
      <c r="AM282" s="718" t="str">
        <f t="shared" si="569"/>
        <v/>
      </c>
      <c r="AN282" s="718" t="str">
        <f t="shared" si="569"/>
        <v/>
      </c>
      <c r="AO282" s="719" t="str">
        <f t="shared" si="569"/>
        <v/>
      </c>
      <c r="AP282" s="494" t="str">
        <f t="shared" si="569"/>
        <v/>
      </c>
      <c r="AQ282" s="494" t="str">
        <f t="shared" si="569"/>
        <v/>
      </c>
      <c r="AR282" s="494" t="str">
        <f t="shared" si="569"/>
        <v/>
      </c>
      <c r="AS282" s="720" t="str">
        <f t="shared" si="569"/>
        <v/>
      </c>
      <c r="AU282" s="1369"/>
      <c r="AW282" s="1412" t="str">
        <f t="shared" si="531"/>
        <v>Price</v>
      </c>
      <c r="AX282" s="1413" t="str">
        <f t="shared" si="531"/>
        <v>[Service]</v>
      </c>
      <c r="AY282" s="1414" t="str">
        <f t="shared" si="496"/>
        <v>[Price]</v>
      </c>
      <c r="AZ282" s="1415" t="str">
        <f t="shared" si="560"/>
        <v>-</v>
      </c>
      <c r="BA282" s="1415" t="str">
        <f t="shared" si="560"/>
        <v>-</v>
      </c>
      <c r="BB282" s="1415" t="str">
        <f t="shared" si="560"/>
        <v>-</v>
      </c>
      <c r="BC282" s="1415" t="str">
        <f t="shared" si="560"/>
        <v>-</v>
      </c>
      <c r="BD282" s="1415" t="str">
        <f t="shared" si="498"/>
        <v>-</v>
      </c>
      <c r="BE282" s="1415" t="str">
        <f t="shared" si="499"/>
        <v>-</v>
      </c>
      <c r="BF282" s="1415" t="str">
        <f t="shared" si="500"/>
        <v>-</v>
      </c>
      <c r="BG282" s="1416" t="str">
        <f t="shared" si="501"/>
        <v>-</v>
      </c>
      <c r="BH282" s="1417" t="str">
        <f t="shared" si="502"/>
        <v>-</v>
      </c>
      <c r="BI282" s="1417" t="str">
        <f t="shared" si="503"/>
        <v>-</v>
      </c>
      <c r="BJ282" s="1417" t="str">
        <f t="shared" si="504"/>
        <v>-</v>
      </c>
      <c r="BK282" s="1417" t="str">
        <f t="shared" si="505"/>
        <v>-</v>
      </c>
      <c r="BL282" s="1418" t="str">
        <f t="shared" si="506"/>
        <v>-</v>
      </c>
      <c r="BM282" s="1417" t="str">
        <f t="shared" si="507"/>
        <v>-</v>
      </c>
      <c r="BN282" s="1417" t="str">
        <f t="shared" si="508"/>
        <v>-</v>
      </c>
      <c r="BO282" s="1417" t="str">
        <f t="shared" si="509"/>
        <v>-</v>
      </c>
      <c r="BP282" s="1417" t="str">
        <f t="shared" si="510"/>
        <v>-</v>
      </c>
      <c r="BQ282" s="1419" t="str">
        <f t="shared" si="511"/>
        <v>-</v>
      </c>
      <c r="BR282" s="1378"/>
      <c r="BS282" s="1420"/>
      <c r="BT282" s="1421"/>
      <c r="BU282" s="1422"/>
      <c r="BV282" s="1423"/>
      <c r="BW282" s="1378"/>
      <c r="BX282" s="1412" t="str">
        <f t="shared" si="512"/>
        <v>Price</v>
      </c>
      <c r="BY282" s="1413" t="str">
        <f t="shared" si="557"/>
        <v>[Service]</v>
      </c>
      <c r="BZ282" s="1414" t="str">
        <f t="shared" si="558"/>
        <v>[Price]</v>
      </c>
      <c r="CA282" s="1424" t="str">
        <f>IFERROR((S282/R282-1)*(R284/R$13),"-")</f>
        <v>-</v>
      </c>
      <c r="CB282" s="1415" t="str">
        <f>IFERROR((T282/S282-1)*(S284/S$13),"-")</f>
        <v>-</v>
      </c>
      <c r="CC282" s="1415" t="str">
        <f>IFERROR((U282/T282-1)*(T284/T$13),"-")</f>
        <v>-</v>
      </c>
      <c r="CD282" s="1415" t="str">
        <f>IFERROR((V282/U282-1)*(U284/U$13),"-")</f>
        <v>-</v>
      </c>
      <c r="CE282" s="1415" t="str">
        <f t="shared" ref="CE282:CR282" si="570">IFERROR((T282/S282-1)*(S284/S$13),"-")</f>
        <v>-</v>
      </c>
      <c r="CF282" s="1415" t="str">
        <f t="shared" si="570"/>
        <v>-</v>
      </c>
      <c r="CG282" s="1415" t="str">
        <f t="shared" si="570"/>
        <v>-</v>
      </c>
      <c r="CH282" s="1425" t="str">
        <f t="shared" si="570"/>
        <v>-</v>
      </c>
      <c r="CI282" s="1417" t="str">
        <f t="shared" si="570"/>
        <v>-</v>
      </c>
      <c r="CJ282" s="1417" t="str">
        <f t="shared" si="570"/>
        <v>-</v>
      </c>
      <c r="CK282" s="1417" t="str">
        <f t="shared" si="570"/>
        <v>-</v>
      </c>
      <c r="CL282" s="1417" t="str">
        <f t="shared" si="570"/>
        <v>-</v>
      </c>
      <c r="CM282" s="1418" t="str">
        <f t="shared" si="570"/>
        <v>-</v>
      </c>
      <c r="CN282" s="1417" t="str">
        <f t="shared" si="570"/>
        <v>-</v>
      </c>
      <c r="CO282" s="1417" t="str">
        <f t="shared" si="570"/>
        <v>-</v>
      </c>
      <c r="CP282" s="1417" t="str">
        <f t="shared" si="570"/>
        <v>-</v>
      </c>
      <c r="CQ282" s="1417" t="str">
        <f t="shared" si="570"/>
        <v>-</v>
      </c>
      <c r="CR282" s="1419" t="str">
        <f t="shared" si="570"/>
        <v>-</v>
      </c>
      <c r="CS282" s="1378"/>
      <c r="CT282" s="1412" t="str">
        <f t="shared" si="492"/>
        <v>Price</v>
      </c>
      <c r="CU282" s="1413" t="str">
        <f t="shared" si="493"/>
        <v>[Service]</v>
      </c>
      <c r="CV282" s="1426" t="str">
        <f t="shared" si="494"/>
        <v>[Price]</v>
      </c>
      <c r="CW282" s="1427" t="str">
        <f t="shared" si="514"/>
        <v>-</v>
      </c>
      <c r="CX282" s="1417" t="str">
        <f t="shared" si="515"/>
        <v>-</v>
      </c>
      <c r="CY282" s="1417" t="str">
        <f t="shared" si="516"/>
        <v>-</v>
      </c>
      <c r="CZ282" s="1418" t="str">
        <f t="shared" si="517"/>
        <v>-</v>
      </c>
      <c r="DA282" s="1417" t="str">
        <f t="shared" si="518"/>
        <v>-</v>
      </c>
      <c r="DB282" s="1417" t="str">
        <f t="shared" si="519"/>
        <v>-</v>
      </c>
      <c r="DC282" s="1417" t="str">
        <f t="shared" si="520"/>
        <v>-</v>
      </c>
      <c r="DD282" s="1417" t="str">
        <f t="shared" si="521"/>
        <v>-</v>
      </c>
      <c r="DE282" s="1419" t="str">
        <f t="shared" si="522"/>
        <v>-</v>
      </c>
      <c r="DF282" s="1378"/>
      <c r="DG282" s="1412" t="str">
        <f t="shared" si="533"/>
        <v>Price</v>
      </c>
      <c r="DH282" s="1413" t="str">
        <f t="shared" si="533"/>
        <v>[Service]</v>
      </c>
      <c r="DI282" s="1426" t="str">
        <f t="shared" si="533"/>
        <v>[Price]</v>
      </c>
      <c r="DJ282" s="1427" t="str">
        <f t="shared" si="523"/>
        <v>-</v>
      </c>
      <c r="DK282" s="1417" t="str">
        <f t="shared" si="524"/>
        <v>-</v>
      </c>
      <c r="DL282" s="1417" t="str">
        <f t="shared" si="525"/>
        <v>-</v>
      </c>
      <c r="DM282" s="1418" t="str">
        <f t="shared" si="526"/>
        <v>-</v>
      </c>
      <c r="DN282" s="1417" t="str">
        <f t="shared" si="527"/>
        <v>-</v>
      </c>
      <c r="DO282" s="1417" t="str">
        <f t="shared" si="528"/>
        <v>-</v>
      </c>
      <c r="DP282" s="1417" t="str">
        <f t="shared" si="529"/>
        <v>-</v>
      </c>
      <c r="DQ282" s="1419" t="str">
        <f t="shared" si="530"/>
        <v>-</v>
      </c>
    </row>
    <row r="283" spans="4:121">
      <c r="E283" s="742" t="s">
        <v>45</v>
      </c>
      <c r="F283" s="722" t="str">
        <f>+F282</f>
        <v>[Service]</v>
      </c>
      <c r="G283" s="723">
        <f>+G282</f>
        <v>0</v>
      </c>
      <c r="H283" s="723">
        <f>+H282</f>
        <v>0</v>
      </c>
      <c r="I283" s="724" t="str">
        <f>+I282</f>
        <v>[Price]</v>
      </c>
      <c r="J283" s="782" t="s">
        <v>322</v>
      </c>
      <c r="K283" s="725"/>
      <c r="L283" s="726"/>
      <c r="M283" s="726"/>
      <c r="N283" s="727"/>
      <c r="O283" s="786"/>
      <c r="P283" s="787"/>
      <c r="Q283" s="786"/>
      <c r="R283" s="786"/>
      <c r="S283" s="786"/>
      <c r="T283" s="786"/>
      <c r="U283" s="786"/>
      <c r="V283" s="786"/>
      <c r="W283" s="786"/>
      <c r="X283" s="787"/>
      <c r="Y283" s="786"/>
      <c r="Z283" s="786"/>
      <c r="AA283" s="786"/>
      <c r="AB283" s="786"/>
      <c r="AC283" s="787"/>
      <c r="AD283" s="786"/>
      <c r="AE283" s="786"/>
      <c r="AF283" s="786"/>
      <c r="AG283" s="788"/>
      <c r="AH283" s="823"/>
      <c r="AI283" s="745"/>
      <c r="AJ283" s="728"/>
      <c r="AK283" s="729"/>
      <c r="AL283" s="729"/>
      <c r="AM283" s="729"/>
      <c r="AN283" s="729"/>
      <c r="AO283" s="730"/>
      <c r="AP283" s="74"/>
      <c r="AQ283" s="74"/>
      <c r="AR283" s="74"/>
      <c r="AS283" s="106"/>
      <c r="AW283" s="1392" t="str">
        <f t="shared" si="531"/>
        <v>Qty</v>
      </c>
      <c r="AX283" s="1393" t="str">
        <f t="shared" si="531"/>
        <v>[Service]</v>
      </c>
      <c r="AY283" s="1394" t="str">
        <f t="shared" si="496"/>
        <v>[Price]</v>
      </c>
      <c r="AZ283" s="1395" t="str">
        <f t="shared" si="560"/>
        <v>-</v>
      </c>
      <c r="BA283" s="1395" t="str">
        <f t="shared" si="560"/>
        <v>-</v>
      </c>
      <c r="BB283" s="1395" t="str">
        <f t="shared" si="560"/>
        <v>-</v>
      </c>
      <c r="BC283" s="1395" t="str">
        <f t="shared" si="560"/>
        <v>-</v>
      </c>
      <c r="BD283" s="1395" t="str">
        <f t="shared" si="498"/>
        <v>-</v>
      </c>
      <c r="BE283" s="1395" t="str">
        <f t="shared" si="499"/>
        <v>-</v>
      </c>
      <c r="BF283" s="1395" t="str">
        <f t="shared" si="500"/>
        <v>-</v>
      </c>
      <c r="BG283" s="1396" t="str">
        <f t="shared" si="501"/>
        <v>-</v>
      </c>
      <c r="BH283" s="1395" t="str">
        <f t="shared" si="502"/>
        <v>-</v>
      </c>
      <c r="BI283" s="1395" t="str">
        <f t="shared" si="503"/>
        <v>-</v>
      </c>
      <c r="BJ283" s="1395" t="str">
        <f t="shared" si="504"/>
        <v>-</v>
      </c>
      <c r="BK283" s="1395" t="str">
        <f t="shared" si="505"/>
        <v>-</v>
      </c>
      <c r="BL283" s="1397" t="str">
        <f t="shared" si="506"/>
        <v>-</v>
      </c>
      <c r="BM283" s="1395" t="str">
        <f t="shared" si="507"/>
        <v>-</v>
      </c>
      <c r="BN283" s="1395" t="str">
        <f t="shared" si="508"/>
        <v>-</v>
      </c>
      <c r="BO283" s="1395" t="str">
        <f t="shared" si="509"/>
        <v>-</v>
      </c>
      <c r="BP283" s="1395" t="str">
        <f t="shared" si="510"/>
        <v>-</v>
      </c>
      <c r="BQ283" s="1398" t="str">
        <f t="shared" si="511"/>
        <v>-</v>
      </c>
      <c r="BR283" s="1378"/>
      <c r="BS283" s="1329"/>
      <c r="BT283" s="1399"/>
      <c r="BU283" s="1331"/>
      <c r="BV283" s="1400"/>
      <c r="BW283" s="1378"/>
      <c r="BX283" s="1392" t="str">
        <f t="shared" si="512"/>
        <v>Qty</v>
      </c>
      <c r="BY283" s="1393" t="str">
        <f t="shared" si="557"/>
        <v>[Service]</v>
      </c>
      <c r="BZ283" s="1394" t="str">
        <f t="shared" si="558"/>
        <v>[Price]</v>
      </c>
      <c r="CA283" s="1401" t="str">
        <f>IFERROR((S283/R283-1)*(R284/R$13),"-")</f>
        <v>-</v>
      </c>
      <c r="CB283" s="1395" t="str">
        <f>IFERROR((T283/S283-1)*(S284/S$13),"-")</f>
        <v>-</v>
      </c>
      <c r="CC283" s="1395" t="str">
        <f>IFERROR((U283/T283-1)*(T284/T$13),"-")</f>
        <v>-</v>
      </c>
      <c r="CD283" s="1395" t="str">
        <f>IFERROR((V283/U283-1)*(U284/U$13),"-")</f>
        <v>-</v>
      </c>
      <c r="CE283" s="1395" t="str">
        <f t="shared" ref="CE283:CR283" si="571">IFERROR((T283/S283-1)*(S284/S$13),"-")</f>
        <v>-</v>
      </c>
      <c r="CF283" s="1395" t="str">
        <f t="shared" si="571"/>
        <v>-</v>
      </c>
      <c r="CG283" s="1395" t="str">
        <f t="shared" si="571"/>
        <v>-</v>
      </c>
      <c r="CH283" s="1397" t="str">
        <f t="shared" si="571"/>
        <v>-</v>
      </c>
      <c r="CI283" s="1395" t="str">
        <f t="shared" si="571"/>
        <v>-</v>
      </c>
      <c r="CJ283" s="1395" t="str">
        <f t="shared" si="571"/>
        <v>-</v>
      </c>
      <c r="CK283" s="1395" t="str">
        <f t="shared" si="571"/>
        <v>-</v>
      </c>
      <c r="CL283" s="1395" t="str">
        <f t="shared" si="571"/>
        <v>-</v>
      </c>
      <c r="CM283" s="1397" t="str">
        <f t="shared" si="571"/>
        <v>-</v>
      </c>
      <c r="CN283" s="1395" t="str">
        <f t="shared" si="571"/>
        <v>-</v>
      </c>
      <c r="CO283" s="1395" t="str">
        <f t="shared" si="571"/>
        <v>-</v>
      </c>
      <c r="CP283" s="1395" t="str">
        <f t="shared" si="571"/>
        <v>-</v>
      </c>
      <c r="CQ283" s="1395" t="str">
        <f t="shared" si="571"/>
        <v>-</v>
      </c>
      <c r="CR283" s="1398" t="str">
        <f t="shared" si="571"/>
        <v>-</v>
      </c>
      <c r="CS283" s="1378"/>
      <c r="CT283" s="1392" t="str">
        <f t="shared" si="492"/>
        <v>Qty</v>
      </c>
      <c r="CU283" s="1393" t="str">
        <f t="shared" si="493"/>
        <v>[Service]</v>
      </c>
      <c r="CV283" s="1393" t="str">
        <f t="shared" si="494"/>
        <v>[Price]</v>
      </c>
      <c r="CW283" s="1401" t="str">
        <f t="shared" si="514"/>
        <v>-</v>
      </c>
      <c r="CX283" s="1395" t="str">
        <f t="shared" si="515"/>
        <v>-</v>
      </c>
      <c r="CY283" s="1395" t="str">
        <f t="shared" si="516"/>
        <v>-</v>
      </c>
      <c r="CZ283" s="1397" t="str">
        <f t="shared" si="517"/>
        <v>-</v>
      </c>
      <c r="DA283" s="1395" t="str">
        <f t="shared" si="518"/>
        <v>-</v>
      </c>
      <c r="DB283" s="1395" t="str">
        <f t="shared" si="519"/>
        <v>-</v>
      </c>
      <c r="DC283" s="1395" t="str">
        <f t="shared" si="520"/>
        <v>-</v>
      </c>
      <c r="DD283" s="1395" t="str">
        <f t="shared" si="521"/>
        <v>-</v>
      </c>
      <c r="DE283" s="1398" t="str">
        <f t="shared" si="522"/>
        <v>-</v>
      </c>
      <c r="DF283" s="1378"/>
      <c r="DG283" s="1392" t="str">
        <f t="shared" si="533"/>
        <v>Qty</v>
      </c>
      <c r="DH283" s="1393" t="str">
        <f t="shared" si="533"/>
        <v>[Service]</v>
      </c>
      <c r="DI283" s="1393" t="str">
        <f t="shared" si="533"/>
        <v>[Price]</v>
      </c>
      <c r="DJ283" s="1401" t="str">
        <f t="shared" si="523"/>
        <v>-</v>
      </c>
      <c r="DK283" s="1395" t="str">
        <f t="shared" si="524"/>
        <v>-</v>
      </c>
      <c r="DL283" s="1395" t="str">
        <f t="shared" si="525"/>
        <v>-</v>
      </c>
      <c r="DM283" s="1397" t="str">
        <f t="shared" si="526"/>
        <v>-</v>
      </c>
      <c r="DN283" s="1395" t="str">
        <f t="shared" si="527"/>
        <v>-</v>
      </c>
      <c r="DO283" s="1395" t="str">
        <f t="shared" si="528"/>
        <v>-</v>
      </c>
      <c r="DP283" s="1395" t="str">
        <f t="shared" si="529"/>
        <v>-</v>
      </c>
      <c r="DQ283" s="1398" t="str">
        <f t="shared" si="530"/>
        <v>-</v>
      </c>
    </row>
    <row r="284" spans="4:121" ht="12.75" thickBot="1">
      <c r="E284" s="743" t="s">
        <v>46</v>
      </c>
      <c r="F284" s="732" t="str">
        <f>+F282</f>
        <v>[Service]</v>
      </c>
      <c r="G284" s="733">
        <f>+G282</f>
        <v>0</v>
      </c>
      <c r="H284" s="733">
        <f>+H282</f>
        <v>0</v>
      </c>
      <c r="I284" s="734" t="str">
        <f>+I282</f>
        <v>[Price]</v>
      </c>
      <c r="J284" s="735" t="s">
        <v>344</v>
      </c>
      <c r="K284" s="736">
        <f t="shared" ref="K284:AG284" si="572">K282*K283/10^6</f>
        <v>0</v>
      </c>
      <c r="L284" s="737">
        <f t="shared" si="572"/>
        <v>0</v>
      </c>
      <c r="M284" s="737">
        <f t="shared" si="572"/>
        <v>0</v>
      </c>
      <c r="N284" s="738">
        <f t="shared" si="572"/>
        <v>0</v>
      </c>
      <c r="O284" s="737">
        <f t="shared" si="572"/>
        <v>0</v>
      </c>
      <c r="P284" s="738">
        <f t="shared" si="572"/>
        <v>0</v>
      </c>
      <c r="Q284" s="737">
        <f t="shared" si="572"/>
        <v>0</v>
      </c>
      <c r="R284" s="737">
        <f t="shared" si="572"/>
        <v>0</v>
      </c>
      <c r="S284" s="737">
        <f t="shared" si="572"/>
        <v>0</v>
      </c>
      <c r="T284" s="737">
        <f t="shared" si="572"/>
        <v>0</v>
      </c>
      <c r="U284" s="737">
        <f t="shared" si="572"/>
        <v>0</v>
      </c>
      <c r="V284" s="737">
        <f t="shared" si="572"/>
        <v>0</v>
      </c>
      <c r="W284" s="737">
        <f t="shared" si="572"/>
        <v>0</v>
      </c>
      <c r="X284" s="738">
        <f t="shared" si="572"/>
        <v>0</v>
      </c>
      <c r="Y284" s="737">
        <f t="shared" si="572"/>
        <v>0</v>
      </c>
      <c r="Z284" s="737">
        <f t="shared" si="572"/>
        <v>0</v>
      </c>
      <c r="AA284" s="737">
        <f t="shared" si="572"/>
        <v>0</v>
      </c>
      <c r="AB284" s="737">
        <f t="shared" si="572"/>
        <v>0</v>
      </c>
      <c r="AC284" s="738">
        <f t="shared" si="572"/>
        <v>0</v>
      </c>
      <c r="AD284" s="737">
        <f t="shared" si="572"/>
        <v>0</v>
      </c>
      <c r="AE284" s="737">
        <f t="shared" si="572"/>
        <v>0</v>
      </c>
      <c r="AF284" s="737">
        <f t="shared" si="572"/>
        <v>0</v>
      </c>
      <c r="AG284" s="739">
        <f t="shared" si="572"/>
        <v>0</v>
      </c>
      <c r="AH284" s="823"/>
      <c r="AI284" s="745"/>
      <c r="AJ284" s="741"/>
      <c r="AK284" s="729"/>
      <c r="AL284" s="729"/>
      <c r="AM284" s="729"/>
      <c r="AN284" s="729"/>
      <c r="AO284" s="730"/>
      <c r="AP284" s="74"/>
      <c r="AQ284" s="74"/>
      <c r="AR284" s="74"/>
      <c r="AS284" s="106"/>
      <c r="AW284" s="1428" t="str">
        <f t="shared" si="531"/>
        <v>Rev</v>
      </c>
      <c r="AX284" s="1429" t="str">
        <f t="shared" si="531"/>
        <v>[Service]</v>
      </c>
      <c r="AY284" s="1430" t="str">
        <f t="shared" si="496"/>
        <v>[Price]</v>
      </c>
      <c r="AZ284" s="1431" t="str">
        <f t="shared" si="560"/>
        <v>-</v>
      </c>
      <c r="BA284" s="1431" t="str">
        <f t="shared" si="560"/>
        <v>-</v>
      </c>
      <c r="BB284" s="1431" t="str">
        <f t="shared" si="560"/>
        <v>-</v>
      </c>
      <c r="BC284" s="1431" t="str">
        <f t="shared" si="560"/>
        <v>-</v>
      </c>
      <c r="BD284" s="1431" t="str">
        <f t="shared" si="498"/>
        <v>-</v>
      </c>
      <c r="BE284" s="1431" t="str">
        <f t="shared" si="499"/>
        <v>-</v>
      </c>
      <c r="BF284" s="1431" t="str">
        <f t="shared" si="500"/>
        <v>-</v>
      </c>
      <c r="BG284" s="1432" t="str">
        <f t="shared" si="501"/>
        <v>-</v>
      </c>
      <c r="BH284" s="1431" t="str">
        <f t="shared" si="502"/>
        <v>-</v>
      </c>
      <c r="BI284" s="1431" t="str">
        <f t="shared" si="503"/>
        <v>-</v>
      </c>
      <c r="BJ284" s="1431" t="str">
        <f t="shared" si="504"/>
        <v>-</v>
      </c>
      <c r="BK284" s="1431" t="str">
        <f t="shared" si="505"/>
        <v>-</v>
      </c>
      <c r="BL284" s="1433" t="str">
        <f t="shared" si="506"/>
        <v>-</v>
      </c>
      <c r="BM284" s="1431" t="str">
        <f t="shared" si="507"/>
        <v>-</v>
      </c>
      <c r="BN284" s="1431" t="str">
        <f t="shared" si="508"/>
        <v>-</v>
      </c>
      <c r="BO284" s="1431" t="str">
        <f t="shared" si="509"/>
        <v>-</v>
      </c>
      <c r="BP284" s="1431" t="str">
        <f t="shared" si="510"/>
        <v>-</v>
      </c>
      <c r="BQ284" s="1434" t="str">
        <f t="shared" si="511"/>
        <v>-</v>
      </c>
      <c r="BR284" s="1378"/>
      <c r="BS284" s="1407"/>
      <c r="BT284" s="1408"/>
      <c r="BU284" s="1409"/>
      <c r="BV284" s="1410"/>
      <c r="BW284" s="1378"/>
      <c r="BX284" s="1428" t="str">
        <f t="shared" si="512"/>
        <v>Rev</v>
      </c>
      <c r="BY284" s="1429" t="str">
        <f t="shared" si="557"/>
        <v>[Service]</v>
      </c>
      <c r="BZ284" s="1430" t="str">
        <f t="shared" si="558"/>
        <v>[Price]</v>
      </c>
      <c r="CA284" s="1435" t="str">
        <f>IFERROR((S284/R284-1)*(R284/R$13),"-")</f>
        <v>-</v>
      </c>
      <c r="CB284" s="1431" t="str">
        <f>IFERROR((T284/S284-1)*(S284/S$13),"-")</f>
        <v>-</v>
      </c>
      <c r="CC284" s="1431" t="str">
        <f>IFERROR((U284/T284-1)*(T284/T$13),"-")</f>
        <v>-</v>
      </c>
      <c r="CD284" s="1431" t="str">
        <f>IFERROR((V284/U284-1)*(U284/U$13),"-")</f>
        <v>-</v>
      </c>
      <c r="CE284" s="1431" t="str">
        <f t="shared" ref="CE284:CR284" si="573">IFERROR((T284/S284-1)*(S284/S$13),"-")</f>
        <v>-</v>
      </c>
      <c r="CF284" s="1431" t="str">
        <f t="shared" si="573"/>
        <v>-</v>
      </c>
      <c r="CG284" s="1431" t="str">
        <f t="shared" si="573"/>
        <v>-</v>
      </c>
      <c r="CH284" s="1433" t="str">
        <f t="shared" si="573"/>
        <v>-</v>
      </c>
      <c r="CI284" s="1431" t="str">
        <f t="shared" si="573"/>
        <v>-</v>
      </c>
      <c r="CJ284" s="1431" t="str">
        <f t="shared" si="573"/>
        <v>-</v>
      </c>
      <c r="CK284" s="1431" t="str">
        <f t="shared" si="573"/>
        <v>-</v>
      </c>
      <c r="CL284" s="1431" t="str">
        <f t="shared" si="573"/>
        <v>-</v>
      </c>
      <c r="CM284" s="1433" t="str">
        <f t="shared" si="573"/>
        <v>-</v>
      </c>
      <c r="CN284" s="1431" t="str">
        <f t="shared" si="573"/>
        <v>-</v>
      </c>
      <c r="CO284" s="1431" t="str">
        <f t="shared" si="573"/>
        <v>-</v>
      </c>
      <c r="CP284" s="1431" t="str">
        <f t="shared" si="573"/>
        <v>-</v>
      </c>
      <c r="CQ284" s="1431" t="str">
        <f t="shared" si="573"/>
        <v>-</v>
      </c>
      <c r="CR284" s="1434" t="str">
        <f t="shared" si="573"/>
        <v>-</v>
      </c>
      <c r="CS284" s="1378"/>
      <c r="CT284" s="1428" t="str">
        <f t="shared" si="492"/>
        <v>Rev</v>
      </c>
      <c r="CU284" s="1429" t="str">
        <f t="shared" si="493"/>
        <v>[Service]</v>
      </c>
      <c r="CV284" s="1429" t="str">
        <f t="shared" si="494"/>
        <v>[Price]</v>
      </c>
      <c r="CW284" s="1435" t="str">
        <f t="shared" si="514"/>
        <v>-</v>
      </c>
      <c r="CX284" s="1431" t="str">
        <f t="shared" si="515"/>
        <v>-</v>
      </c>
      <c r="CY284" s="1431" t="str">
        <f t="shared" si="516"/>
        <v>-</v>
      </c>
      <c r="CZ284" s="1433" t="str">
        <f t="shared" si="517"/>
        <v>-</v>
      </c>
      <c r="DA284" s="1431" t="str">
        <f t="shared" si="518"/>
        <v>-</v>
      </c>
      <c r="DB284" s="1431" t="str">
        <f t="shared" si="519"/>
        <v>-</v>
      </c>
      <c r="DC284" s="1431" t="str">
        <f t="shared" si="520"/>
        <v>-</v>
      </c>
      <c r="DD284" s="1431" t="str">
        <f t="shared" si="521"/>
        <v>-</v>
      </c>
      <c r="DE284" s="1434" t="str">
        <f t="shared" si="522"/>
        <v>-</v>
      </c>
      <c r="DF284" s="1378"/>
      <c r="DG284" s="1428" t="str">
        <f t="shared" si="533"/>
        <v>Rev</v>
      </c>
      <c r="DH284" s="1429" t="str">
        <f t="shared" si="533"/>
        <v>[Service]</v>
      </c>
      <c r="DI284" s="1429" t="str">
        <f t="shared" si="533"/>
        <v>[Price]</v>
      </c>
      <c r="DJ284" s="1435" t="str">
        <f t="shared" si="523"/>
        <v>-</v>
      </c>
      <c r="DK284" s="1431" t="str">
        <f t="shared" si="524"/>
        <v>-</v>
      </c>
      <c r="DL284" s="1431" t="str">
        <f t="shared" si="525"/>
        <v>-</v>
      </c>
      <c r="DM284" s="1433" t="str">
        <f t="shared" si="526"/>
        <v>-</v>
      </c>
      <c r="DN284" s="1431" t="str">
        <f t="shared" si="527"/>
        <v>-</v>
      </c>
      <c r="DO284" s="1431" t="str">
        <f t="shared" si="528"/>
        <v>-</v>
      </c>
      <c r="DP284" s="1431" t="str">
        <f t="shared" si="529"/>
        <v>-</v>
      </c>
      <c r="DQ284" s="1434" t="str">
        <f t="shared" si="530"/>
        <v>-</v>
      </c>
    </row>
    <row r="285" spans="4:121">
      <c r="D285" s="70">
        <f>D282+1</f>
        <v>73</v>
      </c>
      <c r="E285" s="713" t="s">
        <v>44</v>
      </c>
      <c r="F285" s="789" t="s">
        <v>27</v>
      </c>
      <c r="G285" s="789"/>
      <c r="H285" s="789"/>
      <c r="I285" s="781" t="s">
        <v>318</v>
      </c>
      <c r="J285" s="781" t="s">
        <v>345</v>
      </c>
      <c r="K285" s="714"/>
      <c r="L285" s="715"/>
      <c r="M285" s="715"/>
      <c r="N285" s="716"/>
      <c r="O285" s="783"/>
      <c r="P285" s="784"/>
      <c r="Q285" s="783"/>
      <c r="R285" s="783"/>
      <c r="S285" s="783"/>
      <c r="T285" s="783"/>
      <c r="U285" s="783"/>
      <c r="V285" s="783"/>
      <c r="W285" s="783"/>
      <c r="X285" s="784"/>
      <c r="Y285" s="783"/>
      <c r="Z285" s="783"/>
      <c r="AA285" s="783"/>
      <c r="AB285" s="783"/>
      <c r="AC285" s="784"/>
      <c r="AD285" s="783"/>
      <c r="AE285" s="783"/>
      <c r="AF285" s="783"/>
      <c r="AG285" s="785"/>
      <c r="AI285" s="745"/>
      <c r="AJ285" s="717" t="str">
        <f t="shared" ref="AJ285:AS285" si="574">IFERROR((X285-W285)/W285,"")</f>
        <v/>
      </c>
      <c r="AK285" s="718" t="str">
        <f t="shared" si="574"/>
        <v/>
      </c>
      <c r="AL285" s="718" t="str">
        <f t="shared" si="574"/>
        <v/>
      </c>
      <c r="AM285" s="718" t="str">
        <f t="shared" si="574"/>
        <v/>
      </c>
      <c r="AN285" s="718" t="str">
        <f t="shared" si="574"/>
        <v/>
      </c>
      <c r="AO285" s="719" t="str">
        <f t="shared" si="574"/>
        <v/>
      </c>
      <c r="AP285" s="494" t="str">
        <f t="shared" si="574"/>
        <v/>
      </c>
      <c r="AQ285" s="494" t="str">
        <f t="shared" si="574"/>
        <v/>
      </c>
      <c r="AR285" s="494" t="str">
        <f t="shared" si="574"/>
        <v/>
      </c>
      <c r="AS285" s="720" t="str">
        <f t="shared" si="574"/>
        <v/>
      </c>
      <c r="AU285" s="1369"/>
      <c r="AW285" s="1412" t="str">
        <f t="shared" si="531"/>
        <v>Price</v>
      </c>
      <c r="AX285" s="1413" t="str">
        <f t="shared" si="531"/>
        <v>[Service]</v>
      </c>
      <c r="AY285" s="1414" t="str">
        <f t="shared" si="496"/>
        <v>[Price]</v>
      </c>
      <c r="AZ285" s="1415" t="str">
        <f t="shared" si="560"/>
        <v>-</v>
      </c>
      <c r="BA285" s="1415" t="str">
        <f t="shared" si="560"/>
        <v>-</v>
      </c>
      <c r="BB285" s="1415" t="str">
        <f t="shared" si="560"/>
        <v>-</v>
      </c>
      <c r="BC285" s="1415" t="str">
        <f t="shared" si="560"/>
        <v>-</v>
      </c>
      <c r="BD285" s="1415" t="str">
        <f t="shared" si="498"/>
        <v>-</v>
      </c>
      <c r="BE285" s="1415" t="str">
        <f t="shared" si="499"/>
        <v>-</v>
      </c>
      <c r="BF285" s="1415" t="str">
        <f t="shared" si="500"/>
        <v>-</v>
      </c>
      <c r="BG285" s="1416" t="str">
        <f t="shared" si="501"/>
        <v>-</v>
      </c>
      <c r="BH285" s="1417" t="str">
        <f t="shared" si="502"/>
        <v>-</v>
      </c>
      <c r="BI285" s="1417" t="str">
        <f t="shared" si="503"/>
        <v>-</v>
      </c>
      <c r="BJ285" s="1417" t="str">
        <f t="shared" si="504"/>
        <v>-</v>
      </c>
      <c r="BK285" s="1417" t="str">
        <f t="shared" si="505"/>
        <v>-</v>
      </c>
      <c r="BL285" s="1418" t="str">
        <f t="shared" si="506"/>
        <v>-</v>
      </c>
      <c r="BM285" s="1417" t="str">
        <f t="shared" si="507"/>
        <v>-</v>
      </c>
      <c r="BN285" s="1417" t="str">
        <f t="shared" si="508"/>
        <v>-</v>
      </c>
      <c r="BO285" s="1417" t="str">
        <f t="shared" si="509"/>
        <v>-</v>
      </c>
      <c r="BP285" s="1417" t="str">
        <f t="shared" si="510"/>
        <v>-</v>
      </c>
      <c r="BQ285" s="1419" t="str">
        <f t="shared" si="511"/>
        <v>-</v>
      </c>
      <c r="BR285" s="1378"/>
      <c r="BS285" s="1420"/>
      <c r="BT285" s="1421"/>
      <c r="BU285" s="1422"/>
      <c r="BV285" s="1423"/>
      <c r="BW285" s="1378"/>
      <c r="BX285" s="1412" t="str">
        <f t="shared" si="512"/>
        <v>Price</v>
      </c>
      <c r="BY285" s="1413" t="str">
        <f t="shared" si="557"/>
        <v>[Service]</v>
      </c>
      <c r="BZ285" s="1414" t="str">
        <f t="shared" si="558"/>
        <v>[Price]</v>
      </c>
      <c r="CA285" s="1424" t="str">
        <f>IFERROR((S285/R285-1)*(R287/R$13),"-")</f>
        <v>-</v>
      </c>
      <c r="CB285" s="1415" t="str">
        <f>IFERROR((T285/S285-1)*(S287/S$13),"-")</f>
        <v>-</v>
      </c>
      <c r="CC285" s="1415" t="str">
        <f>IFERROR((U285/T285-1)*(T287/T$13),"-")</f>
        <v>-</v>
      </c>
      <c r="CD285" s="1415" t="str">
        <f>IFERROR((V285/U285-1)*(U287/U$13),"-")</f>
        <v>-</v>
      </c>
      <c r="CE285" s="1415" t="str">
        <f t="shared" ref="CE285:CR285" si="575">IFERROR((T285/S285-1)*(S287/S$13),"-")</f>
        <v>-</v>
      </c>
      <c r="CF285" s="1415" t="str">
        <f t="shared" si="575"/>
        <v>-</v>
      </c>
      <c r="CG285" s="1415" t="str">
        <f t="shared" si="575"/>
        <v>-</v>
      </c>
      <c r="CH285" s="1425" t="str">
        <f t="shared" si="575"/>
        <v>-</v>
      </c>
      <c r="CI285" s="1417" t="str">
        <f t="shared" si="575"/>
        <v>-</v>
      </c>
      <c r="CJ285" s="1417" t="str">
        <f t="shared" si="575"/>
        <v>-</v>
      </c>
      <c r="CK285" s="1417" t="str">
        <f t="shared" si="575"/>
        <v>-</v>
      </c>
      <c r="CL285" s="1417" t="str">
        <f t="shared" si="575"/>
        <v>-</v>
      </c>
      <c r="CM285" s="1418" t="str">
        <f t="shared" si="575"/>
        <v>-</v>
      </c>
      <c r="CN285" s="1417" t="str">
        <f t="shared" si="575"/>
        <v>-</v>
      </c>
      <c r="CO285" s="1417" t="str">
        <f t="shared" si="575"/>
        <v>-</v>
      </c>
      <c r="CP285" s="1417" t="str">
        <f t="shared" si="575"/>
        <v>-</v>
      </c>
      <c r="CQ285" s="1417" t="str">
        <f t="shared" si="575"/>
        <v>-</v>
      </c>
      <c r="CR285" s="1419" t="str">
        <f t="shared" si="575"/>
        <v>-</v>
      </c>
      <c r="CS285" s="1378"/>
      <c r="CT285" s="1412" t="str">
        <f t="shared" si="492"/>
        <v>Price</v>
      </c>
      <c r="CU285" s="1413" t="str">
        <f t="shared" si="493"/>
        <v>[Service]</v>
      </c>
      <c r="CV285" s="1426" t="str">
        <f t="shared" si="494"/>
        <v>[Price]</v>
      </c>
      <c r="CW285" s="1427" t="str">
        <f t="shared" si="514"/>
        <v>-</v>
      </c>
      <c r="CX285" s="1417" t="str">
        <f t="shared" si="515"/>
        <v>-</v>
      </c>
      <c r="CY285" s="1417" t="str">
        <f t="shared" si="516"/>
        <v>-</v>
      </c>
      <c r="CZ285" s="1418" t="str">
        <f t="shared" si="517"/>
        <v>-</v>
      </c>
      <c r="DA285" s="1417" t="str">
        <f t="shared" si="518"/>
        <v>-</v>
      </c>
      <c r="DB285" s="1417" t="str">
        <f t="shared" si="519"/>
        <v>-</v>
      </c>
      <c r="DC285" s="1417" t="str">
        <f t="shared" si="520"/>
        <v>-</v>
      </c>
      <c r="DD285" s="1417" t="str">
        <f t="shared" si="521"/>
        <v>-</v>
      </c>
      <c r="DE285" s="1419" t="str">
        <f t="shared" si="522"/>
        <v>-</v>
      </c>
      <c r="DF285" s="1378"/>
      <c r="DG285" s="1412" t="str">
        <f t="shared" si="533"/>
        <v>Price</v>
      </c>
      <c r="DH285" s="1413" t="str">
        <f t="shared" si="533"/>
        <v>[Service]</v>
      </c>
      <c r="DI285" s="1426" t="str">
        <f t="shared" si="533"/>
        <v>[Price]</v>
      </c>
      <c r="DJ285" s="1427" t="str">
        <f t="shared" si="523"/>
        <v>-</v>
      </c>
      <c r="DK285" s="1417" t="str">
        <f t="shared" si="524"/>
        <v>-</v>
      </c>
      <c r="DL285" s="1417" t="str">
        <f t="shared" si="525"/>
        <v>-</v>
      </c>
      <c r="DM285" s="1418" t="str">
        <f t="shared" si="526"/>
        <v>-</v>
      </c>
      <c r="DN285" s="1417" t="str">
        <f t="shared" si="527"/>
        <v>-</v>
      </c>
      <c r="DO285" s="1417" t="str">
        <f t="shared" si="528"/>
        <v>-</v>
      </c>
      <c r="DP285" s="1417" t="str">
        <f t="shared" si="529"/>
        <v>-</v>
      </c>
      <c r="DQ285" s="1419" t="str">
        <f t="shared" si="530"/>
        <v>-</v>
      </c>
    </row>
    <row r="286" spans="4:121">
      <c r="E286" s="742" t="s">
        <v>45</v>
      </c>
      <c r="F286" s="722" t="str">
        <f>+F285</f>
        <v>[Service]</v>
      </c>
      <c r="G286" s="723">
        <f>+G285</f>
        <v>0</v>
      </c>
      <c r="H286" s="723">
        <f>+H285</f>
        <v>0</v>
      </c>
      <c r="I286" s="724" t="str">
        <f>+I285</f>
        <v>[Price]</v>
      </c>
      <c r="J286" s="782" t="s">
        <v>322</v>
      </c>
      <c r="K286" s="725"/>
      <c r="L286" s="726"/>
      <c r="M286" s="726"/>
      <c r="N286" s="727"/>
      <c r="O286" s="786"/>
      <c r="P286" s="787"/>
      <c r="Q286" s="786"/>
      <c r="R286" s="786"/>
      <c r="S286" s="786"/>
      <c r="T286" s="786"/>
      <c r="U286" s="786"/>
      <c r="V286" s="786"/>
      <c r="W286" s="786"/>
      <c r="X286" s="787"/>
      <c r="Y286" s="786"/>
      <c r="Z286" s="786"/>
      <c r="AA286" s="786"/>
      <c r="AB286" s="786"/>
      <c r="AC286" s="787"/>
      <c r="AD286" s="786"/>
      <c r="AE286" s="786"/>
      <c r="AF286" s="786"/>
      <c r="AG286" s="788"/>
      <c r="AH286" s="823"/>
      <c r="AI286" s="745"/>
      <c r="AJ286" s="728"/>
      <c r="AK286" s="729"/>
      <c r="AL286" s="729"/>
      <c r="AM286" s="729"/>
      <c r="AN286" s="729"/>
      <c r="AO286" s="730"/>
      <c r="AP286" s="74"/>
      <c r="AQ286" s="74"/>
      <c r="AR286" s="74"/>
      <c r="AS286" s="106"/>
      <c r="AW286" s="1392" t="str">
        <f t="shared" si="531"/>
        <v>Qty</v>
      </c>
      <c r="AX286" s="1393" t="str">
        <f t="shared" si="531"/>
        <v>[Service]</v>
      </c>
      <c r="AY286" s="1394" t="str">
        <f t="shared" si="496"/>
        <v>[Price]</v>
      </c>
      <c r="AZ286" s="1395" t="str">
        <f t="shared" si="560"/>
        <v>-</v>
      </c>
      <c r="BA286" s="1395" t="str">
        <f t="shared" si="560"/>
        <v>-</v>
      </c>
      <c r="BB286" s="1395" t="str">
        <f t="shared" si="560"/>
        <v>-</v>
      </c>
      <c r="BC286" s="1395" t="str">
        <f t="shared" si="560"/>
        <v>-</v>
      </c>
      <c r="BD286" s="1395" t="str">
        <f t="shared" si="498"/>
        <v>-</v>
      </c>
      <c r="BE286" s="1395" t="str">
        <f t="shared" si="499"/>
        <v>-</v>
      </c>
      <c r="BF286" s="1395" t="str">
        <f t="shared" si="500"/>
        <v>-</v>
      </c>
      <c r="BG286" s="1396" t="str">
        <f t="shared" si="501"/>
        <v>-</v>
      </c>
      <c r="BH286" s="1395" t="str">
        <f t="shared" si="502"/>
        <v>-</v>
      </c>
      <c r="BI286" s="1395" t="str">
        <f t="shared" si="503"/>
        <v>-</v>
      </c>
      <c r="BJ286" s="1395" t="str">
        <f t="shared" si="504"/>
        <v>-</v>
      </c>
      <c r="BK286" s="1395" t="str">
        <f t="shared" si="505"/>
        <v>-</v>
      </c>
      <c r="BL286" s="1397" t="str">
        <f t="shared" si="506"/>
        <v>-</v>
      </c>
      <c r="BM286" s="1395" t="str">
        <f t="shared" si="507"/>
        <v>-</v>
      </c>
      <c r="BN286" s="1395" t="str">
        <f t="shared" si="508"/>
        <v>-</v>
      </c>
      <c r="BO286" s="1395" t="str">
        <f t="shared" si="509"/>
        <v>-</v>
      </c>
      <c r="BP286" s="1395" t="str">
        <f t="shared" si="510"/>
        <v>-</v>
      </c>
      <c r="BQ286" s="1398" t="str">
        <f t="shared" si="511"/>
        <v>-</v>
      </c>
      <c r="BR286" s="1378"/>
      <c r="BS286" s="1329"/>
      <c r="BT286" s="1399"/>
      <c r="BU286" s="1331"/>
      <c r="BV286" s="1400"/>
      <c r="BW286" s="1378"/>
      <c r="BX286" s="1392" t="str">
        <f t="shared" si="512"/>
        <v>Qty</v>
      </c>
      <c r="BY286" s="1393" t="str">
        <f t="shared" si="557"/>
        <v>[Service]</v>
      </c>
      <c r="BZ286" s="1394" t="str">
        <f t="shared" si="558"/>
        <v>[Price]</v>
      </c>
      <c r="CA286" s="1401" t="str">
        <f>IFERROR((S286/R286-1)*(R287/R$13),"-")</f>
        <v>-</v>
      </c>
      <c r="CB286" s="1395" t="str">
        <f>IFERROR((T286/S286-1)*(S287/S$13),"-")</f>
        <v>-</v>
      </c>
      <c r="CC286" s="1395" t="str">
        <f>IFERROR((U286/T286-1)*(T287/T$13),"-")</f>
        <v>-</v>
      </c>
      <c r="CD286" s="1395" t="str">
        <f>IFERROR((V286/U286-1)*(U287/U$13),"-")</f>
        <v>-</v>
      </c>
      <c r="CE286" s="1395" t="str">
        <f t="shared" ref="CE286:CR286" si="576">IFERROR((T286/S286-1)*(S287/S$13),"-")</f>
        <v>-</v>
      </c>
      <c r="CF286" s="1395" t="str">
        <f t="shared" si="576"/>
        <v>-</v>
      </c>
      <c r="CG286" s="1395" t="str">
        <f t="shared" si="576"/>
        <v>-</v>
      </c>
      <c r="CH286" s="1397" t="str">
        <f t="shared" si="576"/>
        <v>-</v>
      </c>
      <c r="CI286" s="1395" t="str">
        <f t="shared" si="576"/>
        <v>-</v>
      </c>
      <c r="CJ286" s="1395" t="str">
        <f t="shared" si="576"/>
        <v>-</v>
      </c>
      <c r="CK286" s="1395" t="str">
        <f t="shared" si="576"/>
        <v>-</v>
      </c>
      <c r="CL286" s="1395" t="str">
        <f t="shared" si="576"/>
        <v>-</v>
      </c>
      <c r="CM286" s="1397" t="str">
        <f t="shared" si="576"/>
        <v>-</v>
      </c>
      <c r="CN286" s="1395" t="str">
        <f t="shared" si="576"/>
        <v>-</v>
      </c>
      <c r="CO286" s="1395" t="str">
        <f t="shared" si="576"/>
        <v>-</v>
      </c>
      <c r="CP286" s="1395" t="str">
        <f t="shared" si="576"/>
        <v>-</v>
      </c>
      <c r="CQ286" s="1395" t="str">
        <f t="shared" si="576"/>
        <v>-</v>
      </c>
      <c r="CR286" s="1398" t="str">
        <f t="shared" si="576"/>
        <v>-</v>
      </c>
      <c r="CS286" s="1378"/>
      <c r="CT286" s="1392" t="str">
        <f t="shared" si="492"/>
        <v>Qty</v>
      </c>
      <c r="CU286" s="1393" t="str">
        <f t="shared" si="493"/>
        <v>[Service]</v>
      </c>
      <c r="CV286" s="1393" t="str">
        <f t="shared" si="494"/>
        <v>[Price]</v>
      </c>
      <c r="CW286" s="1401" t="str">
        <f t="shared" si="514"/>
        <v>-</v>
      </c>
      <c r="CX286" s="1395" t="str">
        <f t="shared" si="515"/>
        <v>-</v>
      </c>
      <c r="CY286" s="1395" t="str">
        <f t="shared" si="516"/>
        <v>-</v>
      </c>
      <c r="CZ286" s="1397" t="str">
        <f t="shared" si="517"/>
        <v>-</v>
      </c>
      <c r="DA286" s="1395" t="str">
        <f t="shared" si="518"/>
        <v>-</v>
      </c>
      <c r="DB286" s="1395" t="str">
        <f t="shared" si="519"/>
        <v>-</v>
      </c>
      <c r="DC286" s="1395" t="str">
        <f t="shared" si="520"/>
        <v>-</v>
      </c>
      <c r="DD286" s="1395" t="str">
        <f t="shared" si="521"/>
        <v>-</v>
      </c>
      <c r="DE286" s="1398" t="str">
        <f t="shared" si="522"/>
        <v>-</v>
      </c>
      <c r="DF286" s="1378"/>
      <c r="DG286" s="1392" t="str">
        <f t="shared" si="533"/>
        <v>Qty</v>
      </c>
      <c r="DH286" s="1393" t="str">
        <f t="shared" si="533"/>
        <v>[Service]</v>
      </c>
      <c r="DI286" s="1393" t="str">
        <f t="shared" si="533"/>
        <v>[Price]</v>
      </c>
      <c r="DJ286" s="1401" t="str">
        <f t="shared" si="523"/>
        <v>-</v>
      </c>
      <c r="DK286" s="1395" t="str">
        <f t="shared" si="524"/>
        <v>-</v>
      </c>
      <c r="DL286" s="1395" t="str">
        <f t="shared" si="525"/>
        <v>-</v>
      </c>
      <c r="DM286" s="1397" t="str">
        <f t="shared" si="526"/>
        <v>-</v>
      </c>
      <c r="DN286" s="1395" t="str">
        <f t="shared" si="527"/>
        <v>-</v>
      </c>
      <c r="DO286" s="1395" t="str">
        <f t="shared" si="528"/>
        <v>-</v>
      </c>
      <c r="DP286" s="1395" t="str">
        <f t="shared" si="529"/>
        <v>-</v>
      </c>
      <c r="DQ286" s="1398" t="str">
        <f t="shared" si="530"/>
        <v>-</v>
      </c>
    </row>
    <row r="287" spans="4:121" ht="12.75" thickBot="1">
      <c r="E287" s="743" t="s">
        <v>46</v>
      </c>
      <c r="F287" s="732" t="str">
        <f>+F285</f>
        <v>[Service]</v>
      </c>
      <c r="G287" s="733">
        <f>+G285</f>
        <v>0</v>
      </c>
      <c r="H287" s="733">
        <f>+H285</f>
        <v>0</v>
      </c>
      <c r="I287" s="734" t="str">
        <f>+I285</f>
        <v>[Price]</v>
      </c>
      <c r="J287" s="735" t="s">
        <v>344</v>
      </c>
      <c r="K287" s="736">
        <f t="shared" ref="K287:AG287" si="577">K285*K286/10^6</f>
        <v>0</v>
      </c>
      <c r="L287" s="737">
        <f t="shared" si="577"/>
        <v>0</v>
      </c>
      <c r="M287" s="737">
        <f t="shared" si="577"/>
        <v>0</v>
      </c>
      <c r="N287" s="738">
        <f t="shared" si="577"/>
        <v>0</v>
      </c>
      <c r="O287" s="737">
        <f t="shared" si="577"/>
        <v>0</v>
      </c>
      <c r="P287" s="738">
        <f t="shared" si="577"/>
        <v>0</v>
      </c>
      <c r="Q287" s="737">
        <f t="shared" si="577"/>
        <v>0</v>
      </c>
      <c r="R287" s="737">
        <f t="shared" si="577"/>
        <v>0</v>
      </c>
      <c r="S287" s="737">
        <f t="shared" si="577"/>
        <v>0</v>
      </c>
      <c r="T287" s="737">
        <f t="shared" si="577"/>
        <v>0</v>
      </c>
      <c r="U287" s="737">
        <f t="shared" si="577"/>
        <v>0</v>
      </c>
      <c r="V287" s="737">
        <f t="shared" si="577"/>
        <v>0</v>
      </c>
      <c r="W287" s="737">
        <f t="shared" si="577"/>
        <v>0</v>
      </c>
      <c r="X287" s="738">
        <f t="shared" si="577"/>
        <v>0</v>
      </c>
      <c r="Y287" s="737">
        <f t="shared" si="577"/>
        <v>0</v>
      </c>
      <c r="Z287" s="737">
        <f t="shared" si="577"/>
        <v>0</v>
      </c>
      <c r="AA287" s="737">
        <f t="shared" si="577"/>
        <v>0</v>
      </c>
      <c r="AB287" s="737">
        <f t="shared" si="577"/>
        <v>0</v>
      </c>
      <c r="AC287" s="738">
        <f t="shared" si="577"/>
        <v>0</v>
      </c>
      <c r="AD287" s="737">
        <f t="shared" si="577"/>
        <v>0</v>
      </c>
      <c r="AE287" s="737">
        <f t="shared" si="577"/>
        <v>0</v>
      </c>
      <c r="AF287" s="737">
        <f t="shared" si="577"/>
        <v>0</v>
      </c>
      <c r="AG287" s="739">
        <f t="shared" si="577"/>
        <v>0</v>
      </c>
      <c r="AH287" s="823"/>
      <c r="AI287" s="745"/>
      <c r="AJ287" s="741"/>
      <c r="AK287" s="729"/>
      <c r="AL287" s="729"/>
      <c r="AM287" s="729"/>
      <c r="AN287" s="729"/>
      <c r="AO287" s="730"/>
      <c r="AP287" s="74"/>
      <c r="AQ287" s="74"/>
      <c r="AR287" s="74"/>
      <c r="AS287" s="106"/>
      <c r="AW287" s="1428" t="str">
        <f t="shared" si="531"/>
        <v>Rev</v>
      </c>
      <c r="AX287" s="1429" t="str">
        <f t="shared" si="531"/>
        <v>[Service]</v>
      </c>
      <c r="AY287" s="1430" t="str">
        <f t="shared" si="496"/>
        <v>[Price]</v>
      </c>
      <c r="AZ287" s="1431" t="str">
        <f t="shared" si="560"/>
        <v>-</v>
      </c>
      <c r="BA287" s="1431" t="str">
        <f t="shared" si="560"/>
        <v>-</v>
      </c>
      <c r="BB287" s="1431" t="str">
        <f t="shared" si="560"/>
        <v>-</v>
      </c>
      <c r="BC287" s="1431" t="str">
        <f t="shared" si="560"/>
        <v>-</v>
      </c>
      <c r="BD287" s="1431" t="str">
        <f t="shared" si="498"/>
        <v>-</v>
      </c>
      <c r="BE287" s="1431" t="str">
        <f t="shared" si="499"/>
        <v>-</v>
      </c>
      <c r="BF287" s="1431" t="str">
        <f t="shared" si="500"/>
        <v>-</v>
      </c>
      <c r="BG287" s="1432" t="str">
        <f t="shared" si="501"/>
        <v>-</v>
      </c>
      <c r="BH287" s="1431" t="str">
        <f t="shared" si="502"/>
        <v>-</v>
      </c>
      <c r="BI287" s="1431" t="str">
        <f t="shared" si="503"/>
        <v>-</v>
      </c>
      <c r="BJ287" s="1431" t="str">
        <f t="shared" si="504"/>
        <v>-</v>
      </c>
      <c r="BK287" s="1431" t="str">
        <f t="shared" si="505"/>
        <v>-</v>
      </c>
      <c r="BL287" s="1433" t="str">
        <f t="shared" si="506"/>
        <v>-</v>
      </c>
      <c r="BM287" s="1431" t="str">
        <f t="shared" si="507"/>
        <v>-</v>
      </c>
      <c r="BN287" s="1431" t="str">
        <f t="shared" si="508"/>
        <v>-</v>
      </c>
      <c r="BO287" s="1431" t="str">
        <f t="shared" si="509"/>
        <v>-</v>
      </c>
      <c r="BP287" s="1431" t="str">
        <f t="shared" si="510"/>
        <v>-</v>
      </c>
      <c r="BQ287" s="1434" t="str">
        <f t="shared" si="511"/>
        <v>-</v>
      </c>
      <c r="BR287" s="1378"/>
      <c r="BS287" s="1407"/>
      <c r="BT287" s="1408"/>
      <c r="BU287" s="1409"/>
      <c r="BV287" s="1410"/>
      <c r="BW287" s="1378"/>
      <c r="BX287" s="1428" t="str">
        <f t="shared" si="512"/>
        <v>Rev</v>
      </c>
      <c r="BY287" s="1429" t="str">
        <f t="shared" si="557"/>
        <v>[Service]</v>
      </c>
      <c r="BZ287" s="1430" t="str">
        <f t="shared" si="558"/>
        <v>[Price]</v>
      </c>
      <c r="CA287" s="1435" t="str">
        <f>IFERROR((S287/R287-1)*(R287/R$13),"-")</f>
        <v>-</v>
      </c>
      <c r="CB287" s="1431" t="str">
        <f>IFERROR((T287/S287-1)*(S287/S$13),"-")</f>
        <v>-</v>
      </c>
      <c r="CC287" s="1431" t="str">
        <f>IFERROR((U287/T287-1)*(T287/T$13),"-")</f>
        <v>-</v>
      </c>
      <c r="CD287" s="1431" t="str">
        <f>IFERROR((V287/U287-1)*(U287/U$13),"-")</f>
        <v>-</v>
      </c>
      <c r="CE287" s="1431" t="str">
        <f t="shared" ref="CE287:CR287" si="578">IFERROR((T287/S287-1)*(S287/S$13),"-")</f>
        <v>-</v>
      </c>
      <c r="CF287" s="1431" t="str">
        <f t="shared" si="578"/>
        <v>-</v>
      </c>
      <c r="CG287" s="1431" t="str">
        <f t="shared" si="578"/>
        <v>-</v>
      </c>
      <c r="CH287" s="1433" t="str">
        <f t="shared" si="578"/>
        <v>-</v>
      </c>
      <c r="CI287" s="1431" t="str">
        <f t="shared" si="578"/>
        <v>-</v>
      </c>
      <c r="CJ287" s="1431" t="str">
        <f t="shared" si="578"/>
        <v>-</v>
      </c>
      <c r="CK287" s="1431" t="str">
        <f t="shared" si="578"/>
        <v>-</v>
      </c>
      <c r="CL287" s="1431" t="str">
        <f t="shared" si="578"/>
        <v>-</v>
      </c>
      <c r="CM287" s="1433" t="str">
        <f t="shared" si="578"/>
        <v>-</v>
      </c>
      <c r="CN287" s="1431" t="str">
        <f t="shared" si="578"/>
        <v>-</v>
      </c>
      <c r="CO287" s="1431" t="str">
        <f t="shared" si="578"/>
        <v>-</v>
      </c>
      <c r="CP287" s="1431" t="str">
        <f t="shared" si="578"/>
        <v>-</v>
      </c>
      <c r="CQ287" s="1431" t="str">
        <f t="shared" si="578"/>
        <v>-</v>
      </c>
      <c r="CR287" s="1434" t="str">
        <f t="shared" si="578"/>
        <v>-</v>
      </c>
      <c r="CS287" s="1378"/>
      <c r="CT287" s="1428" t="str">
        <f t="shared" si="492"/>
        <v>Rev</v>
      </c>
      <c r="CU287" s="1429" t="str">
        <f t="shared" si="493"/>
        <v>[Service]</v>
      </c>
      <c r="CV287" s="1429" t="str">
        <f t="shared" si="494"/>
        <v>[Price]</v>
      </c>
      <c r="CW287" s="1435" t="str">
        <f t="shared" si="514"/>
        <v>-</v>
      </c>
      <c r="CX287" s="1431" t="str">
        <f t="shared" si="515"/>
        <v>-</v>
      </c>
      <c r="CY287" s="1431" t="str">
        <f t="shared" si="516"/>
        <v>-</v>
      </c>
      <c r="CZ287" s="1433" t="str">
        <f t="shared" si="517"/>
        <v>-</v>
      </c>
      <c r="DA287" s="1431" t="str">
        <f t="shared" si="518"/>
        <v>-</v>
      </c>
      <c r="DB287" s="1431" t="str">
        <f t="shared" si="519"/>
        <v>-</v>
      </c>
      <c r="DC287" s="1431" t="str">
        <f t="shared" si="520"/>
        <v>-</v>
      </c>
      <c r="DD287" s="1431" t="str">
        <f t="shared" si="521"/>
        <v>-</v>
      </c>
      <c r="DE287" s="1434" t="str">
        <f t="shared" si="522"/>
        <v>-</v>
      </c>
      <c r="DF287" s="1378"/>
      <c r="DG287" s="1428" t="str">
        <f t="shared" si="533"/>
        <v>Rev</v>
      </c>
      <c r="DH287" s="1429" t="str">
        <f t="shared" si="533"/>
        <v>[Service]</v>
      </c>
      <c r="DI287" s="1429" t="str">
        <f t="shared" si="533"/>
        <v>[Price]</v>
      </c>
      <c r="DJ287" s="1435" t="str">
        <f t="shared" si="523"/>
        <v>-</v>
      </c>
      <c r="DK287" s="1431" t="str">
        <f t="shared" si="524"/>
        <v>-</v>
      </c>
      <c r="DL287" s="1431" t="str">
        <f t="shared" si="525"/>
        <v>-</v>
      </c>
      <c r="DM287" s="1433" t="str">
        <f t="shared" si="526"/>
        <v>-</v>
      </c>
      <c r="DN287" s="1431" t="str">
        <f t="shared" si="527"/>
        <v>-</v>
      </c>
      <c r="DO287" s="1431" t="str">
        <f t="shared" si="528"/>
        <v>-</v>
      </c>
      <c r="DP287" s="1431" t="str">
        <f t="shared" si="529"/>
        <v>-</v>
      </c>
      <c r="DQ287" s="1434" t="str">
        <f t="shared" si="530"/>
        <v>-</v>
      </c>
    </row>
    <row r="288" spans="4:121">
      <c r="D288" s="70">
        <f>D285+1</f>
        <v>74</v>
      </c>
      <c r="E288" s="713" t="s">
        <v>44</v>
      </c>
      <c r="F288" s="789" t="s">
        <v>27</v>
      </c>
      <c r="G288" s="789"/>
      <c r="H288" s="789"/>
      <c r="I288" s="781" t="s">
        <v>318</v>
      </c>
      <c r="J288" s="781" t="s">
        <v>345</v>
      </c>
      <c r="K288" s="714"/>
      <c r="L288" s="715"/>
      <c r="M288" s="715"/>
      <c r="N288" s="716"/>
      <c r="O288" s="783"/>
      <c r="P288" s="784"/>
      <c r="Q288" s="783"/>
      <c r="R288" s="783"/>
      <c r="S288" s="783"/>
      <c r="T288" s="783"/>
      <c r="U288" s="783"/>
      <c r="V288" s="783"/>
      <c r="W288" s="783"/>
      <c r="X288" s="784"/>
      <c r="Y288" s="783"/>
      <c r="Z288" s="783"/>
      <c r="AA288" s="783"/>
      <c r="AB288" s="783"/>
      <c r="AC288" s="784"/>
      <c r="AD288" s="783"/>
      <c r="AE288" s="783"/>
      <c r="AF288" s="783"/>
      <c r="AG288" s="785"/>
      <c r="AI288" s="745"/>
      <c r="AJ288" s="717" t="str">
        <f t="shared" ref="AJ288:AS288" si="579">IFERROR((X288-W288)/W288,"")</f>
        <v/>
      </c>
      <c r="AK288" s="718" t="str">
        <f t="shared" si="579"/>
        <v/>
      </c>
      <c r="AL288" s="718" t="str">
        <f t="shared" si="579"/>
        <v/>
      </c>
      <c r="AM288" s="718" t="str">
        <f t="shared" si="579"/>
        <v/>
      </c>
      <c r="AN288" s="718" t="str">
        <f t="shared" si="579"/>
        <v/>
      </c>
      <c r="AO288" s="719" t="str">
        <f t="shared" si="579"/>
        <v/>
      </c>
      <c r="AP288" s="494" t="str">
        <f t="shared" si="579"/>
        <v/>
      </c>
      <c r="AQ288" s="494" t="str">
        <f t="shared" si="579"/>
        <v/>
      </c>
      <c r="AR288" s="494" t="str">
        <f t="shared" si="579"/>
        <v/>
      </c>
      <c r="AS288" s="720" t="str">
        <f t="shared" si="579"/>
        <v/>
      </c>
      <c r="AU288" s="1369"/>
      <c r="AW288" s="1412" t="str">
        <f t="shared" si="531"/>
        <v>Price</v>
      </c>
      <c r="AX288" s="1413" t="str">
        <f t="shared" si="531"/>
        <v>[Service]</v>
      </c>
      <c r="AY288" s="1414" t="str">
        <f t="shared" si="496"/>
        <v>[Price]</v>
      </c>
      <c r="AZ288" s="1415" t="str">
        <f t="shared" si="560"/>
        <v>-</v>
      </c>
      <c r="BA288" s="1415" t="str">
        <f t="shared" si="560"/>
        <v>-</v>
      </c>
      <c r="BB288" s="1415" t="str">
        <f t="shared" si="560"/>
        <v>-</v>
      </c>
      <c r="BC288" s="1415" t="str">
        <f t="shared" si="560"/>
        <v>-</v>
      </c>
      <c r="BD288" s="1415" t="str">
        <f t="shared" si="498"/>
        <v>-</v>
      </c>
      <c r="BE288" s="1415" t="str">
        <f t="shared" si="499"/>
        <v>-</v>
      </c>
      <c r="BF288" s="1415" t="str">
        <f t="shared" si="500"/>
        <v>-</v>
      </c>
      <c r="BG288" s="1416" t="str">
        <f t="shared" si="501"/>
        <v>-</v>
      </c>
      <c r="BH288" s="1417" t="str">
        <f t="shared" si="502"/>
        <v>-</v>
      </c>
      <c r="BI288" s="1417" t="str">
        <f t="shared" si="503"/>
        <v>-</v>
      </c>
      <c r="BJ288" s="1417" t="str">
        <f t="shared" si="504"/>
        <v>-</v>
      </c>
      <c r="BK288" s="1417" t="str">
        <f t="shared" si="505"/>
        <v>-</v>
      </c>
      <c r="BL288" s="1418" t="str">
        <f t="shared" si="506"/>
        <v>-</v>
      </c>
      <c r="BM288" s="1417" t="str">
        <f t="shared" si="507"/>
        <v>-</v>
      </c>
      <c r="BN288" s="1417" t="str">
        <f t="shared" si="508"/>
        <v>-</v>
      </c>
      <c r="BO288" s="1417" t="str">
        <f t="shared" si="509"/>
        <v>-</v>
      </c>
      <c r="BP288" s="1417" t="str">
        <f t="shared" si="510"/>
        <v>-</v>
      </c>
      <c r="BQ288" s="1419" t="str">
        <f t="shared" si="511"/>
        <v>-</v>
      </c>
      <c r="BR288" s="1378"/>
      <c r="BS288" s="1420"/>
      <c r="BT288" s="1421"/>
      <c r="BU288" s="1422"/>
      <c r="BV288" s="1423"/>
      <c r="BW288" s="1378"/>
      <c r="BX288" s="1412" t="str">
        <f t="shared" si="512"/>
        <v>Price</v>
      </c>
      <c r="BY288" s="1413" t="str">
        <f t="shared" si="557"/>
        <v>[Service]</v>
      </c>
      <c r="BZ288" s="1414" t="str">
        <f t="shared" si="558"/>
        <v>[Price]</v>
      </c>
      <c r="CA288" s="1424" t="str">
        <f>IFERROR((S288/R288-1)*(R290/R$13),"-")</f>
        <v>-</v>
      </c>
      <c r="CB288" s="1415" t="str">
        <f>IFERROR((T288/S288-1)*(S290/S$13),"-")</f>
        <v>-</v>
      </c>
      <c r="CC288" s="1415" t="str">
        <f>IFERROR((U288/T288-1)*(T290/T$13),"-")</f>
        <v>-</v>
      </c>
      <c r="CD288" s="1415" t="str">
        <f>IFERROR((V288/U288-1)*(U290/U$13),"-")</f>
        <v>-</v>
      </c>
      <c r="CE288" s="1415" t="str">
        <f t="shared" ref="CE288:CR288" si="580">IFERROR((T288/S288-1)*(S290/S$13),"-")</f>
        <v>-</v>
      </c>
      <c r="CF288" s="1415" t="str">
        <f t="shared" si="580"/>
        <v>-</v>
      </c>
      <c r="CG288" s="1415" t="str">
        <f t="shared" si="580"/>
        <v>-</v>
      </c>
      <c r="CH288" s="1425" t="str">
        <f t="shared" si="580"/>
        <v>-</v>
      </c>
      <c r="CI288" s="1417" t="str">
        <f t="shared" si="580"/>
        <v>-</v>
      </c>
      <c r="CJ288" s="1417" t="str">
        <f t="shared" si="580"/>
        <v>-</v>
      </c>
      <c r="CK288" s="1417" t="str">
        <f t="shared" si="580"/>
        <v>-</v>
      </c>
      <c r="CL288" s="1417" t="str">
        <f t="shared" si="580"/>
        <v>-</v>
      </c>
      <c r="CM288" s="1418" t="str">
        <f t="shared" si="580"/>
        <v>-</v>
      </c>
      <c r="CN288" s="1417" t="str">
        <f t="shared" si="580"/>
        <v>-</v>
      </c>
      <c r="CO288" s="1417" t="str">
        <f t="shared" si="580"/>
        <v>-</v>
      </c>
      <c r="CP288" s="1417" t="str">
        <f t="shared" si="580"/>
        <v>-</v>
      </c>
      <c r="CQ288" s="1417" t="str">
        <f t="shared" si="580"/>
        <v>-</v>
      </c>
      <c r="CR288" s="1419" t="str">
        <f t="shared" si="580"/>
        <v>-</v>
      </c>
      <c r="CS288" s="1378"/>
      <c r="CT288" s="1412" t="str">
        <f t="shared" si="492"/>
        <v>Price</v>
      </c>
      <c r="CU288" s="1413" t="str">
        <f t="shared" si="493"/>
        <v>[Service]</v>
      </c>
      <c r="CV288" s="1426" t="str">
        <f t="shared" si="494"/>
        <v>[Price]</v>
      </c>
      <c r="CW288" s="1427" t="str">
        <f t="shared" si="514"/>
        <v>-</v>
      </c>
      <c r="CX288" s="1417" t="str">
        <f t="shared" si="515"/>
        <v>-</v>
      </c>
      <c r="CY288" s="1417" t="str">
        <f t="shared" si="516"/>
        <v>-</v>
      </c>
      <c r="CZ288" s="1418" t="str">
        <f t="shared" si="517"/>
        <v>-</v>
      </c>
      <c r="DA288" s="1417" t="str">
        <f t="shared" si="518"/>
        <v>-</v>
      </c>
      <c r="DB288" s="1417" t="str">
        <f t="shared" si="519"/>
        <v>-</v>
      </c>
      <c r="DC288" s="1417" t="str">
        <f t="shared" si="520"/>
        <v>-</v>
      </c>
      <c r="DD288" s="1417" t="str">
        <f t="shared" si="521"/>
        <v>-</v>
      </c>
      <c r="DE288" s="1419" t="str">
        <f t="shared" si="522"/>
        <v>-</v>
      </c>
      <c r="DF288" s="1378"/>
      <c r="DG288" s="1412" t="str">
        <f t="shared" si="533"/>
        <v>Price</v>
      </c>
      <c r="DH288" s="1413" t="str">
        <f t="shared" si="533"/>
        <v>[Service]</v>
      </c>
      <c r="DI288" s="1426" t="str">
        <f t="shared" si="533"/>
        <v>[Price]</v>
      </c>
      <c r="DJ288" s="1427" t="str">
        <f t="shared" si="523"/>
        <v>-</v>
      </c>
      <c r="DK288" s="1417" t="str">
        <f t="shared" si="524"/>
        <v>-</v>
      </c>
      <c r="DL288" s="1417" t="str">
        <f t="shared" si="525"/>
        <v>-</v>
      </c>
      <c r="DM288" s="1418" t="str">
        <f t="shared" si="526"/>
        <v>-</v>
      </c>
      <c r="DN288" s="1417" t="str">
        <f t="shared" si="527"/>
        <v>-</v>
      </c>
      <c r="DO288" s="1417" t="str">
        <f t="shared" si="528"/>
        <v>-</v>
      </c>
      <c r="DP288" s="1417" t="str">
        <f t="shared" si="529"/>
        <v>-</v>
      </c>
      <c r="DQ288" s="1419" t="str">
        <f t="shared" si="530"/>
        <v>-</v>
      </c>
    </row>
    <row r="289" spans="4:121">
      <c r="E289" s="742" t="s">
        <v>45</v>
      </c>
      <c r="F289" s="722" t="str">
        <f>+F288</f>
        <v>[Service]</v>
      </c>
      <c r="G289" s="723">
        <f>+G288</f>
        <v>0</v>
      </c>
      <c r="H289" s="723">
        <f>+H288</f>
        <v>0</v>
      </c>
      <c r="I289" s="724" t="str">
        <f>+I288</f>
        <v>[Price]</v>
      </c>
      <c r="J289" s="782" t="s">
        <v>322</v>
      </c>
      <c r="K289" s="725"/>
      <c r="L289" s="726"/>
      <c r="M289" s="726"/>
      <c r="N289" s="727"/>
      <c r="O289" s="786"/>
      <c r="P289" s="787"/>
      <c r="Q289" s="786"/>
      <c r="R289" s="786"/>
      <c r="S289" s="786"/>
      <c r="T289" s="786"/>
      <c r="U289" s="786"/>
      <c r="V289" s="786"/>
      <c r="W289" s="786"/>
      <c r="X289" s="787"/>
      <c r="Y289" s="786"/>
      <c r="Z289" s="786"/>
      <c r="AA289" s="786"/>
      <c r="AB289" s="786"/>
      <c r="AC289" s="787"/>
      <c r="AD289" s="786"/>
      <c r="AE289" s="786"/>
      <c r="AF289" s="786"/>
      <c r="AG289" s="788"/>
      <c r="AH289" s="823"/>
      <c r="AI289" s="745"/>
      <c r="AJ289" s="728"/>
      <c r="AK289" s="729"/>
      <c r="AL289" s="729"/>
      <c r="AM289" s="729"/>
      <c r="AN289" s="729"/>
      <c r="AO289" s="730"/>
      <c r="AP289" s="74"/>
      <c r="AQ289" s="74"/>
      <c r="AR289" s="74"/>
      <c r="AS289" s="106"/>
      <c r="AW289" s="1392" t="str">
        <f t="shared" si="531"/>
        <v>Qty</v>
      </c>
      <c r="AX289" s="1393" t="str">
        <f t="shared" si="531"/>
        <v>[Service]</v>
      </c>
      <c r="AY289" s="1394" t="str">
        <f t="shared" si="496"/>
        <v>[Price]</v>
      </c>
      <c r="AZ289" s="1395" t="str">
        <f t="shared" si="560"/>
        <v>-</v>
      </c>
      <c r="BA289" s="1395" t="str">
        <f t="shared" si="560"/>
        <v>-</v>
      </c>
      <c r="BB289" s="1395" t="str">
        <f t="shared" si="560"/>
        <v>-</v>
      </c>
      <c r="BC289" s="1395" t="str">
        <f t="shared" si="560"/>
        <v>-</v>
      </c>
      <c r="BD289" s="1395" t="str">
        <f t="shared" si="498"/>
        <v>-</v>
      </c>
      <c r="BE289" s="1395" t="str">
        <f t="shared" si="499"/>
        <v>-</v>
      </c>
      <c r="BF289" s="1395" t="str">
        <f t="shared" si="500"/>
        <v>-</v>
      </c>
      <c r="BG289" s="1396" t="str">
        <f t="shared" si="501"/>
        <v>-</v>
      </c>
      <c r="BH289" s="1395" t="str">
        <f t="shared" si="502"/>
        <v>-</v>
      </c>
      <c r="BI289" s="1395" t="str">
        <f t="shared" si="503"/>
        <v>-</v>
      </c>
      <c r="BJ289" s="1395" t="str">
        <f t="shared" si="504"/>
        <v>-</v>
      </c>
      <c r="BK289" s="1395" t="str">
        <f t="shared" si="505"/>
        <v>-</v>
      </c>
      <c r="BL289" s="1397" t="str">
        <f t="shared" si="506"/>
        <v>-</v>
      </c>
      <c r="BM289" s="1395" t="str">
        <f t="shared" si="507"/>
        <v>-</v>
      </c>
      <c r="BN289" s="1395" t="str">
        <f t="shared" si="508"/>
        <v>-</v>
      </c>
      <c r="BO289" s="1395" t="str">
        <f t="shared" si="509"/>
        <v>-</v>
      </c>
      <c r="BP289" s="1395" t="str">
        <f t="shared" si="510"/>
        <v>-</v>
      </c>
      <c r="BQ289" s="1398" t="str">
        <f t="shared" si="511"/>
        <v>-</v>
      </c>
      <c r="BR289" s="1378"/>
      <c r="BS289" s="1329"/>
      <c r="BT289" s="1399"/>
      <c r="BU289" s="1331"/>
      <c r="BV289" s="1400"/>
      <c r="BW289" s="1378"/>
      <c r="BX289" s="1392" t="str">
        <f t="shared" si="512"/>
        <v>Qty</v>
      </c>
      <c r="BY289" s="1393" t="str">
        <f t="shared" si="557"/>
        <v>[Service]</v>
      </c>
      <c r="BZ289" s="1394" t="str">
        <f t="shared" si="558"/>
        <v>[Price]</v>
      </c>
      <c r="CA289" s="1401" t="str">
        <f>IFERROR((S289/R289-1)*(R290/R$13),"-")</f>
        <v>-</v>
      </c>
      <c r="CB289" s="1395" t="str">
        <f>IFERROR((T289/S289-1)*(S290/S$13),"-")</f>
        <v>-</v>
      </c>
      <c r="CC289" s="1395" t="str">
        <f>IFERROR((U289/T289-1)*(T290/T$13),"-")</f>
        <v>-</v>
      </c>
      <c r="CD289" s="1395" t="str">
        <f>IFERROR((V289/U289-1)*(U290/U$13),"-")</f>
        <v>-</v>
      </c>
      <c r="CE289" s="1395" t="str">
        <f t="shared" ref="CE289:CR289" si="581">IFERROR((T289/S289-1)*(S290/S$13),"-")</f>
        <v>-</v>
      </c>
      <c r="CF289" s="1395" t="str">
        <f t="shared" si="581"/>
        <v>-</v>
      </c>
      <c r="CG289" s="1395" t="str">
        <f t="shared" si="581"/>
        <v>-</v>
      </c>
      <c r="CH289" s="1397" t="str">
        <f t="shared" si="581"/>
        <v>-</v>
      </c>
      <c r="CI289" s="1395" t="str">
        <f t="shared" si="581"/>
        <v>-</v>
      </c>
      <c r="CJ289" s="1395" t="str">
        <f t="shared" si="581"/>
        <v>-</v>
      </c>
      <c r="CK289" s="1395" t="str">
        <f t="shared" si="581"/>
        <v>-</v>
      </c>
      <c r="CL289" s="1395" t="str">
        <f t="shared" si="581"/>
        <v>-</v>
      </c>
      <c r="CM289" s="1397" t="str">
        <f t="shared" si="581"/>
        <v>-</v>
      </c>
      <c r="CN289" s="1395" t="str">
        <f t="shared" si="581"/>
        <v>-</v>
      </c>
      <c r="CO289" s="1395" t="str">
        <f t="shared" si="581"/>
        <v>-</v>
      </c>
      <c r="CP289" s="1395" t="str">
        <f t="shared" si="581"/>
        <v>-</v>
      </c>
      <c r="CQ289" s="1395" t="str">
        <f t="shared" si="581"/>
        <v>-</v>
      </c>
      <c r="CR289" s="1398" t="str">
        <f t="shared" si="581"/>
        <v>-</v>
      </c>
      <c r="CS289" s="1378"/>
      <c r="CT289" s="1392" t="str">
        <f t="shared" si="492"/>
        <v>Qty</v>
      </c>
      <c r="CU289" s="1393" t="str">
        <f t="shared" si="493"/>
        <v>[Service]</v>
      </c>
      <c r="CV289" s="1393" t="str">
        <f t="shared" si="494"/>
        <v>[Price]</v>
      </c>
      <c r="CW289" s="1401" t="str">
        <f t="shared" si="514"/>
        <v>-</v>
      </c>
      <c r="CX289" s="1395" t="str">
        <f t="shared" si="515"/>
        <v>-</v>
      </c>
      <c r="CY289" s="1395" t="str">
        <f t="shared" si="516"/>
        <v>-</v>
      </c>
      <c r="CZ289" s="1397" t="str">
        <f t="shared" si="517"/>
        <v>-</v>
      </c>
      <c r="DA289" s="1395" t="str">
        <f t="shared" si="518"/>
        <v>-</v>
      </c>
      <c r="DB289" s="1395" t="str">
        <f t="shared" si="519"/>
        <v>-</v>
      </c>
      <c r="DC289" s="1395" t="str">
        <f t="shared" si="520"/>
        <v>-</v>
      </c>
      <c r="DD289" s="1395" t="str">
        <f t="shared" si="521"/>
        <v>-</v>
      </c>
      <c r="DE289" s="1398" t="str">
        <f t="shared" si="522"/>
        <v>-</v>
      </c>
      <c r="DF289" s="1378"/>
      <c r="DG289" s="1392" t="str">
        <f t="shared" si="533"/>
        <v>Qty</v>
      </c>
      <c r="DH289" s="1393" t="str">
        <f t="shared" si="533"/>
        <v>[Service]</v>
      </c>
      <c r="DI289" s="1393" t="str">
        <f t="shared" si="533"/>
        <v>[Price]</v>
      </c>
      <c r="DJ289" s="1401" t="str">
        <f t="shared" si="523"/>
        <v>-</v>
      </c>
      <c r="DK289" s="1395" t="str">
        <f t="shared" si="524"/>
        <v>-</v>
      </c>
      <c r="DL289" s="1395" t="str">
        <f t="shared" si="525"/>
        <v>-</v>
      </c>
      <c r="DM289" s="1397" t="str">
        <f t="shared" si="526"/>
        <v>-</v>
      </c>
      <c r="DN289" s="1395" t="str">
        <f t="shared" si="527"/>
        <v>-</v>
      </c>
      <c r="DO289" s="1395" t="str">
        <f t="shared" si="528"/>
        <v>-</v>
      </c>
      <c r="DP289" s="1395" t="str">
        <f t="shared" si="529"/>
        <v>-</v>
      </c>
      <c r="DQ289" s="1398" t="str">
        <f t="shared" si="530"/>
        <v>-</v>
      </c>
    </row>
    <row r="290" spans="4:121" ht="12.75" thickBot="1">
      <c r="E290" s="743" t="s">
        <v>46</v>
      </c>
      <c r="F290" s="732" t="str">
        <f>+F288</f>
        <v>[Service]</v>
      </c>
      <c r="G290" s="733">
        <f>+G288</f>
        <v>0</v>
      </c>
      <c r="H290" s="733">
        <f>+H288</f>
        <v>0</v>
      </c>
      <c r="I290" s="734" t="str">
        <f>+I288</f>
        <v>[Price]</v>
      </c>
      <c r="J290" s="735" t="s">
        <v>344</v>
      </c>
      <c r="K290" s="736">
        <f t="shared" ref="K290:AG290" si="582">K288*K289/10^6</f>
        <v>0</v>
      </c>
      <c r="L290" s="737">
        <f t="shared" si="582"/>
        <v>0</v>
      </c>
      <c r="M290" s="737">
        <f t="shared" si="582"/>
        <v>0</v>
      </c>
      <c r="N290" s="738">
        <f t="shared" si="582"/>
        <v>0</v>
      </c>
      <c r="O290" s="737">
        <f t="shared" si="582"/>
        <v>0</v>
      </c>
      <c r="P290" s="738">
        <f t="shared" si="582"/>
        <v>0</v>
      </c>
      <c r="Q290" s="737">
        <f t="shared" si="582"/>
        <v>0</v>
      </c>
      <c r="R290" s="737">
        <f t="shared" si="582"/>
        <v>0</v>
      </c>
      <c r="S290" s="737">
        <f t="shared" si="582"/>
        <v>0</v>
      </c>
      <c r="T290" s="737">
        <f t="shared" si="582"/>
        <v>0</v>
      </c>
      <c r="U290" s="737">
        <f t="shared" si="582"/>
        <v>0</v>
      </c>
      <c r="V290" s="737">
        <f t="shared" si="582"/>
        <v>0</v>
      </c>
      <c r="W290" s="737">
        <f t="shared" si="582"/>
        <v>0</v>
      </c>
      <c r="X290" s="738">
        <f t="shared" si="582"/>
        <v>0</v>
      </c>
      <c r="Y290" s="737">
        <f t="shared" si="582"/>
        <v>0</v>
      </c>
      <c r="Z290" s="737">
        <f t="shared" si="582"/>
        <v>0</v>
      </c>
      <c r="AA290" s="737">
        <f t="shared" si="582"/>
        <v>0</v>
      </c>
      <c r="AB290" s="737">
        <f t="shared" si="582"/>
        <v>0</v>
      </c>
      <c r="AC290" s="738">
        <f t="shared" si="582"/>
        <v>0</v>
      </c>
      <c r="AD290" s="737">
        <f t="shared" si="582"/>
        <v>0</v>
      </c>
      <c r="AE290" s="737">
        <f t="shared" si="582"/>
        <v>0</v>
      </c>
      <c r="AF290" s="737">
        <f t="shared" si="582"/>
        <v>0</v>
      </c>
      <c r="AG290" s="739">
        <f t="shared" si="582"/>
        <v>0</v>
      </c>
      <c r="AH290" s="823"/>
      <c r="AI290" s="745"/>
      <c r="AJ290" s="741"/>
      <c r="AK290" s="729"/>
      <c r="AL290" s="729"/>
      <c r="AM290" s="729"/>
      <c r="AN290" s="729"/>
      <c r="AO290" s="730"/>
      <c r="AP290" s="74"/>
      <c r="AQ290" s="74"/>
      <c r="AR290" s="74"/>
      <c r="AS290" s="106"/>
      <c r="AW290" s="1428" t="str">
        <f t="shared" si="531"/>
        <v>Rev</v>
      </c>
      <c r="AX290" s="1429" t="str">
        <f t="shared" si="531"/>
        <v>[Service]</v>
      </c>
      <c r="AY290" s="1430" t="str">
        <f t="shared" si="496"/>
        <v>[Price]</v>
      </c>
      <c r="AZ290" s="1431" t="str">
        <f t="shared" si="560"/>
        <v>-</v>
      </c>
      <c r="BA290" s="1431" t="str">
        <f t="shared" si="560"/>
        <v>-</v>
      </c>
      <c r="BB290" s="1431" t="str">
        <f t="shared" si="560"/>
        <v>-</v>
      </c>
      <c r="BC290" s="1431" t="str">
        <f t="shared" si="560"/>
        <v>-</v>
      </c>
      <c r="BD290" s="1431" t="str">
        <f t="shared" si="498"/>
        <v>-</v>
      </c>
      <c r="BE290" s="1431" t="str">
        <f t="shared" si="499"/>
        <v>-</v>
      </c>
      <c r="BF290" s="1431" t="str">
        <f t="shared" si="500"/>
        <v>-</v>
      </c>
      <c r="BG290" s="1432" t="str">
        <f t="shared" si="501"/>
        <v>-</v>
      </c>
      <c r="BH290" s="1431" t="str">
        <f t="shared" si="502"/>
        <v>-</v>
      </c>
      <c r="BI290" s="1431" t="str">
        <f t="shared" si="503"/>
        <v>-</v>
      </c>
      <c r="BJ290" s="1431" t="str">
        <f t="shared" si="504"/>
        <v>-</v>
      </c>
      <c r="BK290" s="1431" t="str">
        <f t="shared" si="505"/>
        <v>-</v>
      </c>
      <c r="BL290" s="1433" t="str">
        <f t="shared" si="506"/>
        <v>-</v>
      </c>
      <c r="BM290" s="1431" t="str">
        <f t="shared" si="507"/>
        <v>-</v>
      </c>
      <c r="BN290" s="1431" t="str">
        <f t="shared" si="508"/>
        <v>-</v>
      </c>
      <c r="BO290" s="1431" t="str">
        <f t="shared" si="509"/>
        <v>-</v>
      </c>
      <c r="BP290" s="1431" t="str">
        <f t="shared" si="510"/>
        <v>-</v>
      </c>
      <c r="BQ290" s="1434" t="str">
        <f t="shared" si="511"/>
        <v>-</v>
      </c>
      <c r="BR290" s="1378"/>
      <c r="BS290" s="1407"/>
      <c r="BT290" s="1408"/>
      <c r="BU290" s="1409"/>
      <c r="BV290" s="1410"/>
      <c r="BW290" s="1378"/>
      <c r="BX290" s="1428" t="str">
        <f t="shared" si="512"/>
        <v>Rev</v>
      </c>
      <c r="BY290" s="1429" t="str">
        <f t="shared" si="557"/>
        <v>[Service]</v>
      </c>
      <c r="BZ290" s="1430" t="str">
        <f t="shared" si="558"/>
        <v>[Price]</v>
      </c>
      <c r="CA290" s="1435" t="str">
        <f>IFERROR((S290/R290-1)*(R290/R$13),"-")</f>
        <v>-</v>
      </c>
      <c r="CB290" s="1431" t="str">
        <f>IFERROR((T290/S290-1)*(S290/S$13),"-")</f>
        <v>-</v>
      </c>
      <c r="CC290" s="1431" t="str">
        <f>IFERROR((U290/T290-1)*(T290/T$13),"-")</f>
        <v>-</v>
      </c>
      <c r="CD290" s="1431" t="str">
        <f>IFERROR((V290/U290-1)*(U290/U$13),"-")</f>
        <v>-</v>
      </c>
      <c r="CE290" s="1431" t="str">
        <f t="shared" ref="CE290:CR290" si="583">IFERROR((T290/S290-1)*(S290/S$13),"-")</f>
        <v>-</v>
      </c>
      <c r="CF290" s="1431" t="str">
        <f t="shared" si="583"/>
        <v>-</v>
      </c>
      <c r="CG290" s="1431" t="str">
        <f t="shared" si="583"/>
        <v>-</v>
      </c>
      <c r="CH290" s="1433" t="str">
        <f t="shared" si="583"/>
        <v>-</v>
      </c>
      <c r="CI290" s="1431" t="str">
        <f t="shared" si="583"/>
        <v>-</v>
      </c>
      <c r="CJ290" s="1431" t="str">
        <f t="shared" si="583"/>
        <v>-</v>
      </c>
      <c r="CK290" s="1431" t="str">
        <f t="shared" si="583"/>
        <v>-</v>
      </c>
      <c r="CL290" s="1431" t="str">
        <f t="shared" si="583"/>
        <v>-</v>
      </c>
      <c r="CM290" s="1433" t="str">
        <f t="shared" si="583"/>
        <v>-</v>
      </c>
      <c r="CN290" s="1431" t="str">
        <f t="shared" si="583"/>
        <v>-</v>
      </c>
      <c r="CO290" s="1431" t="str">
        <f t="shared" si="583"/>
        <v>-</v>
      </c>
      <c r="CP290" s="1431" t="str">
        <f t="shared" si="583"/>
        <v>-</v>
      </c>
      <c r="CQ290" s="1431" t="str">
        <f t="shared" si="583"/>
        <v>-</v>
      </c>
      <c r="CR290" s="1434" t="str">
        <f t="shared" si="583"/>
        <v>-</v>
      </c>
      <c r="CS290" s="1378"/>
      <c r="CT290" s="1428" t="str">
        <f t="shared" si="492"/>
        <v>Rev</v>
      </c>
      <c r="CU290" s="1429" t="str">
        <f t="shared" si="493"/>
        <v>[Service]</v>
      </c>
      <c r="CV290" s="1429" t="str">
        <f t="shared" si="494"/>
        <v>[Price]</v>
      </c>
      <c r="CW290" s="1435" t="str">
        <f t="shared" si="514"/>
        <v>-</v>
      </c>
      <c r="CX290" s="1431" t="str">
        <f t="shared" si="515"/>
        <v>-</v>
      </c>
      <c r="CY290" s="1431" t="str">
        <f t="shared" si="516"/>
        <v>-</v>
      </c>
      <c r="CZ290" s="1433" t="str">
        <f t="shared" si="517"/>
        <v>-</v>
      </c>
      <c r="DA290" s="1431" t="str">
        <f t="shared" si="518"/>
        <v>-</v>
      </c>
      <c r="DB290" s="1431" t="str">
        <f t="shared" si="519"/>
        <v>-</v>
      </c>
      <c r="DC290" s="1431" t="str">
        <f t="shared" si="520"/>
        <v>-</v>
      </c>
      <c r="DD290" s="1431" t="str">
        <f t="shared" si="521"/>
        <v>-</v>
      </c>
      <c r="DE290" s="1434" t="str">
        <f t="shared" si="522"/>
        <v>-</v>
      </c>
      <c r="DF290" s="1378"/>
      <c r="DG290" s="1428" t="str">
        <f t="shared" si="533"/>
        <v>Rev</v>
      </c>
      <c r="DH290" s="1429" t="str">
        <f t="shared" si="533"/>
        <v>[Service]</v>
      </c>
      <c r="DI290" s="1429" t="str">
        <f t="shared" si="533"/>
        <v>[Price]</v>
      </c>
      <c r="DJ290" s="1435" t="str">
        <f t="shared" si="523"/>
        <v>-</v>
      </c>
      <c r="DK290" s="1431" t="str">
        <f t="shared" si="524"/>
        <v>-</v>
      </c>
      <c r="DL290" s="1431" t="str">
        <f t="shared" si="525"/>
        <v>-</v>
      </c>
      <c r="DM290" s="1433" t="str">
        <f t="shared" si="526"/>
        <v>-</v>
      </c>
      <c r="DN290" s="1431" t="str">
        <f t="shared" si="527"/>
        <v>-</v>
      </c>
      <c r="DO290" s="1431" t="str">
        <f t="shared" si="528"/>
        <v>-</v>
      </c>
      <c r="DP290" s="1431" t="str">
        <f t="shared" si="529"/>
        <v>-</v>
      </c>
      <c r="DQ290" s="1434" t="str">
        <f t="shared" si="530"/>
        <v>-</v>
      </c>
    </row>
    <row r="291" spans="4:121">
      <c r="D291" s="70">
        <f>D288+1</f>
        <v>75</v>
      </c>
      <c r="E291" s="713" t="s">
        <v>44</v>
      </c>
      <c r="F291" s="789" t="s">
        <v>27</v>
      </c>
      <c r="G291" s="789"/>
      <c r="H291" s="789"/>
      <c r="I291" s="781" t="s">
        <v>318</v>
      </c>
      <c r="J291" s="781" t="s">
        <v>345</v>
      </c>
      <c r="K291" s="714"/>
      <c r="L291" s="715"/>
      <c r="M291" s="715"/>
      <c r="N291" s="716"/>
      <c r="O291" s="783"/>
      <c r="P291" s="784"/>
      <c r="Q291" s="783"/>
      <c r="R291" s="783"/>
      <c r="S291" s="783"/>
      <c r="T291" s="783"/>
      <c r="U291" s="783"/>
      <c r="V291" s="783"/>
      <c r="W291" s="783"/>
      <c r="X291" s="784"/>
      <c r="Y291" s="783"/>
      <c r="Z291" s="783"/>
      <c r="AA291" s="783"/>
      <c r="AB291" s="783"/>
      <c r="AC291" s="784"/>
      <c r="AD291" s="783"/>
      <c r="AE291" s="783"/>
      <c r="AF291" s="783"/>
      <c r="AG291" s="785"/>
      <c r="AI291" s="745"/>
      <c r="AJ291" s="717" t="str">
        <f t="shared" ref="AJ291:AS291" si="584">IFERROR((X291-W291)/W291,"")</f>
        <v/>
      </c>
      <c r="AK291" s="718" t="str">
        <f t="shared" si="584"/>
        <v/>
      </c>
      <c r="AL291" s="718" t="str">
        <f t="shared" si="584"/>
        <v/>
      </c>
      <c r="AM291" s="718" t="str">
        <f t="shared" si="584"/>
        <v/>
      </c>
      <c r="AN291" s="718" t="str">
        <f t="shared" si="584"/>
        <v/>
      </c>
      <c r="AO291" s="719" t="str">
        <f t="shared" si="584"/>
        <v/>
      </c>
      <c r="AP291" s="494" t="str">
        <f t="shared" si="584"/>
        <v/>
      </c>
      <c r="AQ291" s="494" t="str">
        <f t="shared" si="584"/>
        <v/>
      </c>
      <c r="AR291" s="494" t="str">
        <f t="shared" si="584"/>
        <v/>
      </c>
      <c r="AS291" s="720" t="str">
        <f t="shared" si="584"/>
        <v/>
      </c>
      <c r="AU291" s="1369"/>
      <c r="AW291" s="1412" t="str">
        <f t="shared" si="531"/>
        <v>Price</v>
      </c>
      <c r="AX291" s="1413" t="str">
        <f t="shared" si="531"/>
        <v>[Service]</v>
      </c>
      <c r="AY291" s="1414" t="str">
        <f t="shared" si="496"/>
        <v>[Price]</v>
      </c>
      <c r="AZ291" s="1415" t="str">
        <f t="shared" si="560"/>
        <v>-</v>
      </c>
      <c r="BA291" s="1415" t="str">
        <f t="shared" si="560"/>
        <v>-</v>
      </c>
      <c r="BB291" s="1415" t="str">
        <f t="shared" si="560"/>
        <v>-</v>
      </c>
      <c r="BC291" s="1415" t="str">
        <f t="shared" si="560"/>
        <v>-</v>
      </c>
      <c r="BD291" s="1415" t="str">
        <f t="shared" si="498"/>
        <v>-</v>
      </c>
      <c r="BE291" s="1415" t="str">
        <f t="shared" si="499"/>
        <v>-</v>
      </c>
      <c r="BF291" s="1415" t="str">
        <f t="shared" si="500"/>
        <v>-</v>
      </c>
      <c r="BG291" s="1416" t="str">
        <f t="shared" si="501"/>
        <v>-</v>
      </c>
      <c r="BH291" s="1417" t="str">
        <f t="shared" si="502"/>
        <v>-</v>
      </c>
      <c r="BI291" s="1417" t="str">
        <f t="shared" si="503"/>
        <v>-</v>
      </c>
      <c r="BJ291" s="1417" t="str">
        <f t="shared" si="504"/>
        <v>-</v>
      </c>
      <c r="BK291" s="1417" t="str">
        <f t="shared" si="505"/>
        <v>-</v>
      </c>
      <c r="BL291" s="1418" t="str">
        <f t="shared" si="506"/>
        <v>-</v>
      </c>
      <c r="BM291" s="1417" t="str">
        <f t="shared" si="507"/>
        <v>-</v>
      </c>
      <c r="BN291" s="1417" t="str">
        <f t="shared" si="508"/>
        <v>-</v>
      </c>
      <c r="BO291" s="1417" t="str">
        <f t="shared" si="509"/>
        <v>-</v>
      </c>
      <c r="BP291" s="1417" t="str">
        <f t="shared" si="510"/>
        <v>-</v>
      </c>
      <c r="BQ291" s="1419" t="str">
        <f t="shared" si="511"/>
        <v>-</v>
      </c>
      <c r="BR291" s="1378"/>
      <c r="BS291" s="1420"/>
      <c r="BT291" s="1421"/>
      <c r="BU291" s="1422"/>
      <c r="BV291" s="1423"/>
      <c r="BW291" s="1378"/>
      <c r="BX291" s="1412" t="str">
        <f t="shared" si="512"/>
        <v>Price</v>
      </c>
      <c r="BY291" s="1413" t="str">
        <f t="shared" si="557"/>
        <v>[Service]</v>
      </c>
      <c r="BZ291" s="1414" t="str">
        <f t="shared" si="558"/>
        <v>[Price]</v>
      </c>
      <c r="CA291" s="1424" t="str">
        <f>IFERROR((S291/R291-1)*(R293/R$13),"-")</f>
        <v>-</v>
      </c>
      <c r="CB291" s="1415" t="str">
        <f>IFERROR((T291/S291-1)*(S293/S$13),"-")</f>
        <v>-</v>
      </c>
      <c r="CC291" s="1415" t="str">
        <f>IFERROR((U291/T291-1)*(T293/T$13),"-")</f>
        <v>-</v>
      </c>
      <c r="CD291" s="1415" t="str">
        <f>IFERROR((V291/U291-1)*(U293/U$13),"-")</f>
        <v>-</v>
      </c>
      <c r="CE291" s="1415" t="str">
        <f t="shared" ref="CE291:CR291" si="585">IFERROR((T291/S291-1)*(S293/S$13),"-")</f>
        <v>-</v>
      </c>
      <c r="CF291" s="1415" t="str">
        <f t="shared" si="585"/>
        <v>-</v>
      </c>
      <c r="CG291" s="1415" t="str">
        <f t="shared" si="585"/>
        <v>-</v>
      </c>
      <c r="CH291" s="1425" t="str">
        <f t="shared" si="585"/>
        <v>-</v>
      </c>
      <c r="CI291" s="1417" t="str">
        <f t="shared" si="585"/>
        <v>-</v>
      </c>
      <c r="CJ291" s="1417" t="str">
        <f t="shared" si="585"/>
        <v>-</v>
      </c>
      <c r="CK291" s="1417" t="str">
        <f t="shared" si="585"/>
        <v>-</v>
      </c>
      <c r="CL291" s="1417" t="str">
        <f t="shared" si="585"/>
        <v>-</v>
      </c>
      <c r="CM291" s="1418" t="str">
        <f t="shared" si="585"/>
        <v>-</v>
      </c>
      <c r="CN291" s="1417" t="str">
        <f t="shared" si="585"/>
        <v>-</v>
      </c>
      <c r="CO291" s="1417" t="str">
        <f t="shared" si="585"/>
        <v>-</v>
      </c>
      <c r="CP291" s="1417" t="str">
        <f t="shared" si="585"/>
        <v>-</v>
      </c>
      <c r="CQ291" s="1417" t="str">
        <f t="shared" si="585"/>
        <v>-</v>
      </c>
      <c r="CR291" s="1419" t="str">
        <f t="shared" si="585"/>
        <v>-</v>
      </c>
      <c r="CS291" s="1378"/>
      <c r="CT291" s="1412" t="str">
        <f t="shared" si="492"/>
        <v>Price</v>
      </c>
      <c r="CU291" s="1413" t="str">
        <f t="shared" si="493"/>
        <v>[Service]</v>
      </c>
      <c r="CV291" s="1426" t="str">
        <f t="shared" si="494"/>
        <v>[Price]</v>
      </c>
      <c r="CW291" s="1427" t="str">
        <f t="shared" si="514"/>
        <v>-</v>
      </c>
      <c r="CX291" s="1417" t="str">
        <f t="shared" si="515"/>
        <v>-</v>
      </c>
      <c r="CY291" s="1417" t="str">
        <f t="shared" si="516"/>
        <v>-</v>
      </c>
      <c r="CZ291" s="1418" t="str">
        <f t="shared" si="517"/>
        <v>-</v>
      </c>
      <c r="DA291" s="1417" t="str">
        <f t="shared" si="518"/>
        <v>-</v>
      </c>
      <c r="DB291" s="1417" t="str">
        <f t="shared" si="519"/>
        <v>-</v>
      </c>
      <c r="DC291" s="1417" t="str">
        <f t="shared" si="520"/>
        <v>-</v>
      </c>
      <c r="DD291" s="1417" t="str">
        <f t="shared" si="521"/>
        <v>-</v>
      </c>
      <c r="DE291" s="1419" t="str">
        <f t="shared" si="522"/>
        <v>-</v>
      </c>
      <c r="DF291" s="1378"/>
      <c r="DG291" s="1412" t="str">
        <f t="shared" si="533"/>
        <v>Price</v>
      </c>
      <c r="DH291" s="1413" t="str">
        <f t="shared" si="533"/>
        <v>[Service]</v>
      </c>
      <c r="DI291" s="1426" t="str">
        <f t="shared" si="533"/>
        <v>[Price]</v>
      </c>
      <c r="DJ291" s="1427" t="str">
        <f t="shared" si="523"/>
        <v>-</v>
      </c>
      <c r="DK291" s="1417" t="str">
        <f t="shared" si="524"/>
        <v>-</v>
      </c>
      <c r="DL291" s="1417" t="str">
        <f t="shared" si="525"/>
        <v>-</v>
      </c>
      <c r="DM291" s="1418" t="str">
        <f t="shared" si="526"/>
        <v>-</v>
      </c>
      <c r="DN291" s="1417" t="str">
        <f t="shared" si="527"/>
        <v>-</v>
      </c>
      <c r="DO291" s="1417" t="str">
        <f t="shared" si="528"/>
        <v>-</v>
      </c>
      <c r="DP291" s="1417" t="str">
        <f t="shared" si="529"/>
        <v>-</v>
      </c>
      <c r="DQ291" s="1419" t="str">
        <f t="shared" si="530"/>
        <v>-</v>
      </c>
    </row>
    <row r="292" spans="4:121">
      <c r="E292" s="742" t="s">
        <v>45</v>
      </c>
      <c r="F292" s="722" t="str">
        <f>+F291</f>
        <v>[Service]</v>
      </c>
      <c r="G292" s="723">
        <f>+G291</f>
        <v>0</v>
      </c>
      <c r="H292" s="723">
        <f>+H291</f>
        <v>0</v>
      </c>
      <c r="I292" s="724" t="str">
        <f>+I291</f>
        <v>[Price]</v>
      </c>
      <c r="J292" s="782" t="s">
        <v>322</v>
      </c>
      <c r="K292" s="725"/>
      <c r="L292" s="726"/>
      <c r="M292" s="726"/>
      <c r="N292" s="727"/>
      <c r="O292" s="786"/>
      <c r="P292" s="787"/>
      <c r="Q292" s="786"/>
      <c r="R292" s="786"/>
      <c r="S292" s="786"/>
      <c r="T292" s="786"/>
      <c r="U292" s="786"/>
      <c r="V292" s="786"/>
      <c r="W292" s="786"/>
      <c r="X292" s="787"/>
      <c r="Y292" s="786"/>
      <c r="Z292" s="786"/>
      <c r="AA292" s="786"/>
      <c r="AB292" s="786"/>
      <c r="AC292" s="787"/>
      <c r="AD292" s="786"/>
      <c r="AE292" s="786"/>
      <c r="AF292" s="786"/>
      <c r="AG292" s="788"/>
      <c r="AH292" s="823"/>
      <c r="AI292" s="745"/>
      <c r="AJ292" s="728"/>
      <c r="AK292" s="729"/>
      <c r="AL292" s="729"/>
      <c r="AM292" s="729"/>
      <c r="AN292" s="729"/>
      <c r="AO292" s="730"/>
      <c r="AP292" s="74"/>
      <c r="AQ292" s="74"/>
      <c r="AR292" s="74"/>
      <c r="AS292" s="106"/>
      <c r="AW292" s="1392" t="str">
        <f t="shared" si="531"/>
        <v>Qty</v>
      </c>
      <c r="AX292" s="1393" t="str">
        <f t="shared" si="531"/>
        <v>[Service]</v>
      </c>
      <c r="AY292" s="1394" t="str">
        <f t="shared" si="496"/>
        <v>[Price]</v>
      </c>
      <c r="AZ292" s="1395" t="str">
        <f t="shared" si="560"/>
        <v>-</v>
      </c>
      <c r="BA292" s="1395" t="str">
        <f t="shared" si="560"/>
        <v>-</v>
      </c>
      <c r="BB292" s="1395" t="str">
        <f t="shared" si="560"/>
        <v>-</v>
      </c>
      <c r="BC292" s="1395" t="str">
        <f t="shared" si="560"/>
        <v>-</v>
      </c>
      <c r="BD292" s="1395" t="str">
        <f t="shared" si="498"/>
        <v>-</v>
      </c>
      <c r="BE292" s="1395" t="str">
        <f t="shared" si="499"/>
        <v>-</v>
      </c>
      <c r="BF292" s="1395" t="str">
        <f t="shared" si="500"/>
        <v>-</v>
      </c>
      <c r="BG292" s="1396" t="str">
        <f t="shared" si="501"/>
        <v>-</v>
      </c>
      <c r="BH292" s="1395" t="str">
        <f t="shared" si="502"/>
        <v>-</v>
      </c>
      <c r="BI292" s="1395" t="str">
        <f t="shared" si="503"/>
        <v>-</v>
      </c>
      <c r="BJ292" s="1395" t="str">
        <f t="shared" si="504"/>
        <v>-</v>
      </c>
      <c r="BK292" s="1395" t="str">
        <f t="shared" si="505"/>
        <v>-</v>
      </c>
      <c r="BL292" s="1397" t="str">
        <f t="shared" si="506"/>
        <v>-</v>
      </c>
      <c r="BM292" s="1395" t="str">
        <f t="shared" si="507"/>
        <v>-</v>
      </c>
      <c r="BN292" s="1395" t="str">
        <f t="shared" si="508"/>
        <v>-</v>
      </c>
      <c r="BO292" s="1395" t="str">
        <f t="shared" si="509"/>
        <v>-</v>
      </c>
      <c r="BP292" s="1395" t="str">
        <f t="shared" si="510"/>
        <v>-</v>
      </c>
      <c r="BQ292" s="1398" t="str">
        <f t="shared" si="511"/>
        <v>-</v>
      </c>
      <c r="BR292" s="1378"/>
      <c r="BS292" s="1329"/>
      <c r="BT292" s="1399"/>
      <c r="BU292" s="1331"/>
      <c r="BV292" s="1400"/>
      <c r="BW292" s="1378"/>
      <c r="BX292" s="1392" t="str">
        <f t="shared" si="512"/>
        <v>Qty</v>
      </c>
      <c r="BY292" s="1393" t="str">
        <f t="shared" si="557"/>
        <v>[Service]</v>
      </c>
      <c r="BZ292" s="1394" t="str">
        <f t="shared" si="558"/>
        <v>[Price]</v>
      </c>
      <c r="CA292" s="1401" t="str">
        <f>IFERROR((S292/R292-1)*(R293/R$13),"-")</f>
        <v>-</v>
      </c>
      <c r="CB292" s="1395" t="str">
        <f>IFERROR((T292/S292-1)*(S293/S$13),"-")</f>
        <v>-</v>
      </c>
      <c r="CC292" s="1395" t="str">
        <f>IFERROR((U292/T292-1)*(T293/T$13),"-")</f>
        <v>-</v>
      </c>
      <c r="CD292" s="1395" t="str">
        <f>IFERROR((V292/U292-1)*(U293/U$13),"-")</f>
        <v>-</v>
      </c>
      <c r="CE292" s="1395" t="str">
        <f t="shared" ref="CE292:CR292" si="586">IFERROR((T292/S292-1)*(S293/S$13),"-")</f>
        <v>-</v>
      </c>
      <c r="CF292" s="1395" t="str">
        <f t="shared" si="586"/>
        <v>-</v>
      </c>
      <c r="CG292" s="1395" t="str">
        <f t="shared" si="586"/>
        <v>-</v>
      </c>
      <c r="CH292" s="1397" t="str">
        <f t="shared" si="586"/>
        <v>-</v>
      </c>
      <c r="CI292" s="1395" t="str">
        <f t="shared" si="586"/>
        <v>-</v>
      </c>
      <c r="CJ292" s="1395" t="str">
        <f t="shared" si="586"/>
        <v>-</v>
      </c>
      <c r="CK292" s="1395" t="str">
        <f t="shared" si="586"/>
        <v>-</v>
      </c>
      <c r="CL292" s="1395" t="str">
        <f t="shared" si="586"/>
        <v>-</v>
      </c>
      <c r="CM292" s="1397" t="str">
        <f t="shared" si="586"/>
        <v>-</v>
      </c>
      <c r="CN292" s="1395" t="str">
        <f t="shared" si="586"/>
        <v>-</v>
      </c>
      <c r="CO292" s="1395" t="str">
        <f t="shared" si="586"/>
        <v>-</v>
      </c>
      <c r="CP292" s="1395" t="str">
        <f t="shared" si="586"/>
        <v>-</v>
      </c>
      <c r="CQ292" s="1395" t="str">
        <f t="shared" si="586"/>
        <v>-</v>
      </c>
      <c r="CR292" s="1398" t="str">
        <f t="shared" si="586"/>
        <v>-</v>
      </c>
      <c r="CS292" s="1378"/>
      <c r="CT292" s="1392" t="str">
        <f t="shared" si="492"/>
        <v>Qty</v>
      </c>
      <c r="CU292" s="1393" t="str">
        <f t="shared" si="493"/>
        <v>[Service]</v>
      </c>
      <c r="CV292" s="1393" t="str">
        <f t="shared" si="494"/>
        <v>[Price]</v>
      </c>
      <c r="CW292" s="1401" t="str">
        <f t="shared" si="514"/>
        <v>-</v>
      </c>
      <c r="CX292" s="1395" t="str">
        <f t="shared" si="515"/>
        <v>-</v>
      </c>
      <c r="CY292" s="1395" t="str">
        <f t="shared" si="516"/>
        <v>-</v>
      </c>
      <c r="CZ292" s="1397" t="str">
        <f t="shared" si="517"/>
        <v>-</v>
      </c>
      <c r="DA292" s="1395" t="str">
        <f t="shared" si="518"/>
        <v>-</v>
      </c>
      <c r="DB292" s="1395" t="str">
        <f t="shared" si="519"/>
        <v>-</v>
      </c>
      <c r="DC292" s="1395" t="str">
        <f t="shared" si="520"/>
        <v>-</v>
      </c>
      <c r="DD292" s="1395" t="str">
        <f t="shared" si="521"/>
        <v>-</v>
      </c>
      <c r="DE292" s="1398" t="str">
        <f t="shared" si="522"/>
        <v>-</v>
      </c>
      <c r="DF292" s="1378"/>
      <c r="DG292" s="1392" t="str">
        <f t="shared" si="533"/>
        <v>Qty</v>
      </c>
      <c r="DH292" s="1393" t="str">
        <f t="shared" si="533"/>
        <v>[Service]</v>
      </c>
      <c r="DI292" s="1393" t="str">
        <f t="shared" si="533"/>
        <v>[Price]</v>
      </c>
      <c r="DJ292" s="1401" t="str">
        <f t="shared" si="523"/>
        <v>-</v>
      </c>
      <c r="DK292" s="1395" t="str">
        <f t="shared" si="524"/>
        <v>-</v>
      </c>
      <c r="DL292" s="1395" t="str">
        <f t="shared" si="525"/>
        <v>-</v>
      </c>
      <c r="DM292" s="1397" t="str">
        <f t="shared" si="526"/>
        <v>-</v>
      </c>
      <c r="DN292" s="1395" t="str">
        <f t="shared" si="527"/>
        <v>-</v>
      </c>
      <c r="DO292" s="1395" t="str">
        <f t="shared" si="528"/>
        <v>-</v>
      </c>
      <c r="DP292" s="1395" t="str">
        <f t="shared" si="529"/>
        <v>-</v>
      </c>
      <c r="DQ292" s="1398" t="str">
        <f t="shared" si="530"/>
        <v>-</v>
      </c>
    </row>
    <row r="293" spans="4:121" ht="12.75" thickBot="1">
      <c r="E293" s="743" t="s">
        <v>46</v>
      </c>
      <c r="F293" s="732" t="str">
        <f>+F291</f>
        <v>[Service]</v>
      </c>
      <c r="G293" s="733">
        <f>+G291</f>
        <v>0</v>
      </c>
      <c r="H293" s="733">
        <f>+H291</f>
        <v>0</v>
      </c>
      <c r="I293" s="734" t="str">
        <f>+I291</f>
        <v>[Price]</v>
      </c>
      <c r="J293" s="735" t="s">
        <v>344</v>
      </c>
      <c r="K293" s="736">
        <f t="shared" ref="K293:AG293" si="587">K291*K292/10^6</f>
        <v>0</v>
      </c>
      <c r="L293" s="737">
        <f t="shared" si="587"/>
        <v>0</v>
      </c>
      <c r="M293" s="737">
        <f t="shared" si="587"/>
        <v>0</v>
      </c>
      <c r="N293" s="738">
        <f t="shared" si="587"/>
        <v>0</v>
      </c>
      <c r="O293" s="737">
        <f t="shared" si="587"/>
        <v>0</v>
      </c>
      <c r="P293" s="738">
        <f t="shared" si="587"/>
        <v>0</v>
      </c>
      <c r="Q293" s="737">
        <f t="shared" si="587"/>
        <v>0</v>
      </c>
      <c r="R293" s="737">
        <f t="shared" si="587"/>
        <v>0</v>
      </c>
      <c r="S293" s="737">
        <f t="shared" si="587"/>
        <v>0</v>
      </c>
      <c r="T293" s="737">
        <f t="shared" si="587"/>
        <v>0</v>
      </c>
      <c r="U293" s="737">
        <f t="shared" si="587"/>
        <v>0</v>
      </c>
      <c r="V293" s="737">
        <f t="shared" si="587"/>
        <v>0</v>
      </c>
      <c r="W293" s="737">
        <f t="shared" si="587"/>
        <v>0</v>
      </c>
      <c r="X293" s="738">
        <f t="shared" si="587"/>
        <v>0</v>
      </c>
      <c r="Y293" s="737">
        <f t="shared" si="587"/>
        <v>0</v>
      </c>
      <c r="Z293" s="737">
        <f t="shared" si="587"/>
        <v>0</v>
      </c>
      <c r="AA293" s="737">
        <f t="shared" si="587"/>
        <v>0</v>
      </c>
      <c r="AB293" s="737">
        <f t="shared" si="587"/>
        <v>0</v>
      </c>
      <c r="AC293" s="738">
        <f t="shared" si="587"/>
        <v>0</v>
      </c>
      <c r="AD293" s="737">
        <f t="shared" si="587"/>
        <v>0</v>
      </c>
      <c r="AE293" s="737">
        <f t="shared" si="587"/>
        <v>0</v>
      </c>
      <c r="AF293" s="737">
        <f t="shared" si="587"/>
        <v>0</v>
      </c>
      <c r="AG293" s="739">
        <f t="shared" si="587"/>
        <v>0</v>
      </c>
      <c r="AH293" s="823"/>
      <c r="AI293" s="745"/>
      <c r="AJ293" s="741"/>
      <c r="AK293" s="729"/>
      <c r="AL293" s="729"/>
      <c r="AM293" s="729"/>
      <c r="AN293" s="729"/>
      <c r="AO293" s="730"/>
      <c r="AP293" s="74"/>
      <c r="AQ293" s="74"/>
      <c r="AR293" s="74"/>
      <c r="AS293" s="106"/>
      <c r="AW293" s="1428" t="str">
        <f t="shared" si="531"/>
        <v>Rev</v>
      </c>
      <c r="AX293" s="1429" t="str">
        <f t="shared" si="531"/>
        <v>[Service]</v>
      </c>
      <c r="AY293" s="1430" t="str">
        <f t="shared" si="496"/>
        <v>[Price]</v>
      </c>
      <c r="AZ293" s="1431" t="str">
        <f t="shared" ref="AZ293:BC308" si="588">IFERROR(P293/O293-1,"-")</f>
        <v>-</v>
      </c>
      <c r="BA293" s="1431" t="str">
        <f t="shared" si="588"/>
        <v>-</v>
      </c>
      <c r="BB293" s="1431" t="str">
        <f t="shared" si="588"/>
        <v>-</v>
      </c>
      <c r="BC293" s="1431" t="str">
        <f t="shared" si="588"/>
        <v>-</v>
      </c>
      <c r="BD293" s="1431" t="str">
        <f t="shared" si="498"/>
        <v>-</v>
      </c>
      <c r="BE293" s="1431" t="str">
        <f t="shared" si="499"/>
        <v>-</v>
      </c>
      <c r="BF293" s="1431" t="str">
        <f t="shared" si="500"/>
        <v>-</v>
      </c>
      <c r="BG293" s="1432" t="str">
        <f t="shared" si="501"/>
        <v>-</v>
      </c>
      <c r="BH293" s="1431" t="str">
        <f t="shared" si="502"/>
        <v>-</v>
      </c>
      <c r="BI293" s="1431" t="str">
        <f t="shared" si="503"/>
        <v>-</v>
      </c>
      <c r="BJ293" s="1431" t="str">
        <f t="shared" si="504"/>
        <v>-</v>
      </c>
      <c r="BK293" s="1431" t="str">
        <f t="shared" si="505"/>
        <v>-</v>
      </c>
      <c r="BL293" s="1433" t="str">
        <f t="shared" si="506"/>
        <v>-</v>
      </c>
      <c r="BM293" s="1431" t="str">
        <f t="shared" si="507"/>
        <v>-</v>
      </c>
      <c r="BN293" s="1431" t="str">
        <f t="shared" si="508"/>
        <v>-</v>
      </c>
      <c r="BO293" s="1431" t="str">
        <f t="shared" si="509"/>
        <v>-</v>
      </c>
      <c r="BP293" s="1431" t="str">
        <f t="shared" si="510"/>
        <v>-</v>
      </c>
      <c r="BQ293" s="1434" t="str">
        <f t="shared" si="511"/>
        <v>-</v>
      </c>
      <c r="BR293" s="1378"/>
      <c r="BS293" s="1407"/>
      <c r="BT293" s="1408"/>
      <c r="BU293" s="1409"/>
      <c r="BV293" s="1410"/>
      <c r="BW293" s="1378"/>
      <c r="BX293" s="1428" t="str">
        <f t="shared" si="512"/>
        <v>Rev</v>
      </c>
      <c r="BY293" s="1429" t="str">
        <f t="shared" si="557"/>
        <v>[Service]</v>
      </c>
      <c r="BZ293" s="1430" t="str">
        <f t="shared" si="558"/>
        <v>[Price]</v>
      </c>
      <c r="CA293" s="1435" t="str">
        <f>IFERROR((S293/R293-1)*(R293/R$13),"-")</f>
        <v>-</v>
      </c>
      <c r="CB293" s="1431" t="str">
        <f>IFERROR((T293/S293-1)*(S293/S$13),"-")</f>
        <v>-</v>
      </c>
      <c r="CC293" s="1431" t="str">
        <f>IFERROR((U293/T293-1)*(T293/T$13),"-")</f>
        <v>-</v>
      </c>
      <c r="CD293" s="1431" t="str">
        <f>IFERROR((V293/U293-1)*(U293/U$13),"-")</f>
        <v>-</v>
      </c>
      <c r="CE293" s="1431" t="str">
        <f t="shared" ref="CE293:CR293" si="589">IFERROR((T293/S293-1)*(S293/S$13),"-")</f>
        <v>-</v>
      </c>
      <c r="CF293" s="1431" t="str">
        <f t="shared" si="589"/>
        <v>-</v>
      </c>
      <c r="CG293" s="1431" t="str">
        <f t="shared" si="589"/>
        <v>-</v>
      </c>
      <c r="CH293" s="1433" t="str">
        <f t="shared" si="589"/>
        <v>-</v>
      </c>
      <c r="CI293" s="1431" t="str">
        <f t="shared" si="589"/>
        <v>-</v>
      </c>
      <c r="CJ293" s="1431" t="str">
        <f t="shared" si="589"/>
        <v>-</v>
      </c>
      <c r="CK293" s="1431" t="str">
        <f t="shared" si="589"/>
        <v>-</v>
      </c>
      <c r="CL293" s="1431" t="str">
        <f t="shared" si="589"/>
        <v>-</v>
      </c>
      <c r="CM293" s="1433" t="str">
        <f t="shared" si="589"/>
        <v>-</v>
      </c>
      <c r="CN293" s="1431" t="str">
        <f t="shared" si="589"/>
        <v>-</v>
      </c>
      <c r="CO293" s="1431" t="str">
        <f t="shared" si="589"/>
        <v>-</v>
      </c>
      <c r="CP293" s="1431" t="str">
        <f t="shared" si="589"/>
        <v>-</v>
      </c>
      <c r="CQ293" s="1431" t="str">
        <f t="shared" si="589"/>
        <v>-</v>
      </c>
      <c r="CR293" s="1434" t="str">
        <f t="shared" si="589"/>
        <v>-</v>
      </c>
      <c r="CS293" s="1378"/>
      <c r="CT293" s="1428" t="str">
        <f t="shared" si="492"/>
        <v>Rev</v>
      </c>
      <c r="CU293" s="1429" t="str">
        <f t="shared" si="493"/>
        <v>[Service]</v>
      </c>
      <c r="CV293" s="1429" t="str">
        <f t="shared" si="494"/>
        <v>[Price]</v>
      </c>
      <c r="CW293" s="1435" t="str">
        <f t="shared" si="514"/>
        <v>-</v>
      </c>
      <c r="CX293" s="1431" t="str">
        <f t="shared" si="515"/>
        <v>-</v>
      </c>
      <c r="CY293" s="1431" t="str">
        <f t="shared" si="516"/>
        <v>-</v>
      </c>
      <c r="CZ293" s="1433" t="str">
        <f t="shared" si="517"/>
        <v>-</v>
      </c>
      <c r="DA293" s="1431" t="str">
        <f t="shared" si="518"/>
        <v>-</v>
      </c>
      <c r="DB293" s="1431" t="str">
        <f t="shared" si="519"/>
        <v>-</v>
      </c>
      <c r="DC293" s="1431" t="str">
        <f t="shared" si="520"/>
        <v>-</v>
      </c>
      <c r="DD293" s="1431" t="str">
        <f t="shared" si="521"/>
        <v>-</v>
      </c>
      <c r="DE293" s="1434" t="str">
        <f t="shared" si="522"/>
        <v>-</v>
      </c>
      <c r="DF293" s="1378"/>
      <c r="DG293" s="1428" t="str">
        <f t="shared" si="533"/>
        <v>Rev</v>
      </c>
      <c r="DH293" s="1429" t="str">
        <f t="shared" si="533"/>
        <v>[Service]</v>
      </c>
      <c r="DI293" s="1429" t="str">
        <f t="shared" si="533"/>
        <v>[Price]</v>
      </c>
      <c r="DJ293" s="1435" t="str">
        <f t="shared" si="523"/>
        <v>-</v>
      </c>
      <c r="DK293" s="1431" t="str">
        <f t="shared" si="524"/>
        <v>-</v>
      </c>
      <c r="DL293" s="1431" t="str">
        <f t="shared" si="525"/>
        <v>-</v>
      </c>
      <c r="DM293" s="1433" t="str">
        <f t="shared" si="526"/>
        <v>-</v>
      </c>
      <c r="DN293" s="1431" t="str">
        <f t="shared" si="527"/>
        <v>-</v>
      </c>
      <c r="DO293" s="1431" t="str">
        <f t="shared" si="528"/>
        <v>-</v>
      </c>
      <c r="DP293" s="1431" t="str">
        <f t="shared" si="529"/>
        <v>-</v>
      </c>
      <c r="DQ293" s="1434" t="str">
        <f t="shared" si="530"/>
        <v>-</v>
      </c>
    </row>
    <row r="294" spans="4:121">
      <c r="D294" s="70">
        <f>D291+1</f>
        <v>76</v>
      </c>
      <c r="E294" s="713" t="s">
        <v>44</v>
      </c>
      <c r="F294" s="789" t="s">
        <v>27</v>
      </c>
      <c r="G294" s="789"/>
      <c r="H294" s="789"/>
      <c r="I294" s="781" t="s">
        <v>318</v>
      </c>
      <c r="J294" s="781" t="s">
        <v>345</v>
      </c>
      <c r="K294" s="714"/>
      <c r="L294" s="715"/>
      <c r="M294" s="715"/>
      <c r="N294" s="716"/>
      <c r="O294" s="783"/>
      <c r="P294" s="784"/>
      <c r="Q294" s="783"/>
      <c r="R294" s="783"/>
      <c r="S294" s="783"/>
      <c r="T294" s="783"/>
      <c r="U294" s="783"/>
      <c r="V294" s="783"/>
      <c r="W294" s="783"/>
      <c r="X294" s="784"/>
      <c r="Y294" s="783"/>
      <c r="Z294" s="783"/>
      <c r="AA294" s="783"/>
      <c r="AB294" s="783"/>
      <c r="AC294" s="784"/>
      <c r="AD294" s="783"/>
      <c r="AE294" s="783"/>
      <c r="AF294" s="783"/>
      <c r="AG294" s="785"/>
      <c r="AI294" s="745"/>
      <c r="AJ294" s="717" t="str">
        <f t="shared" ref="AJ294:AS294" si="590">IFERROR((X294-W294)/W294,"")</f>
        <v/>
      </c>
      <c r="AK294" s="718" t="str">
        <f t="shared" si="590"/>
        <v/>
      </c>
      <c r="AL294" s="718" t="str">
        <f t="shared" si="590"/>
        <v/>
      </c>
      <c r="AM294" s="718" t="str">
        <f t="shared" si="590"/>
        <v/>
      </c>
      <c r="AN294" s="718" t="str">
        <f t="shared" si="590"/>
        <v/>
      </c>
      <c r="AO294" s="719" t="str">
        <f t="shared" si="590"/>
        <v/>
      </c>
      <c r="AP294" s="494" t="str">
        <f t="shared" si="590"/>
        <v/>
      </c>
      <c r="AQ294" s="494" t="str">
        <f t="shared" si="590"/>
        <v/>
      </c>
      <c r="AR294" s="494" t="str">
        <f t="shared" si="590"/>
        <v/>
      </c>
      <c r="AS294" s="720" t="str">
        <f t="shared" si="590"/>
        <v/>
      </c>
      <c r="AU294" s="1369"/>
      <c r="AW294" s="1412" t="str">
        <f t="shared" si="531"/>
        <v>Price</v>
      </c>
      <c r="AX294" s="1413" t="str">
        <f t="shared" si="531"/>
        <v>[Service]</v>
      </c>
      <c r="AY294" s="1414" t="str">
        <f t="shared" si="496"/>
        <v>[Price]</v>
      </c>
      <c r="AZ294" s="1415" t="str">
        <f t="shared" si="588"/>
        <v>-</v>
      </c>
      <c r="BA294" s="1415" t="str">
        <f t="shared" si="588"/>
        <v>-</v>
      </c>
      <c r="BB294" s="1415" t="str">
        <f t="shared" si="588"/>
        <v>-</v>
      </c>
      <c r="BC294" s="1415" t="str">
        <f t="shared" si="588"/>
        <v>-</v>
      </c>
      <c r="BD294" s="1415" t="str">
        <f t="shared" si="498"/>
        <v>-</v>
      </c>
      <c r="BE294" s="1415" t="str">
        <f t="shared" si="499"/>
        <v>-</v>
      </c>
      <c r="BF294" s="1415" t="str">
        <f t="shared" si="500"/>
        <v>-</v>
      </c>
      <c r="BG294" s="1416" t="str">
        <f t="shared" si="501"/>
        <v>-</v>
      </c>
      <c r="BH294" s="1417" t="str">
        <f t="shared" si="502"/>
        <v>-</v>
      </c>
      <c r="BI294" s="1417" t="str">
        <f t="shared" si="503"/>
        <v>-</v>
      </c>
      <c r="BJ294" s="1417" t="str">
        <f t="shared" si="504"/>
        <v>-</v>
      </c>
      <c r="BK294" s="1417" t="str">
        <f t="shared" si="505"/>
        <v>-</v>
      </c>
      <c r="BL294" s="1418" t="str">
        <f t="shared" si="506"/>
        <v>-</v>
      </c>
      <c r="BM294" s="1417" t="str">
        <f t="shared" si="507"/>
        <v>-</v>
      </c>
      <c r="BN294" s="1417" t="str">
        <f t="shared" si="508"/>
        <v>-</v>
      </c>
      <c r="BO294" s="1417" t="str">
        <f t="shared" si="509"/>
        <v>-</v>
      </c>
      <c r="BP294" s="1417" t="str">
        <f t="shared" si="510"/>
        <v>-</v>
      </c>
      <c r="BQ294" s="1419" t="str">
        <f t="shared" si="511"/>
        <v>-</v>
      </c>
      <c r="BR294" s="1378"/>
      <c r="BS294" s="1420"/>
      <c r="BT294" s="1421"/>
      <c r="BU294" s="1422"/>
      <c r="BV294" s="1423"/>
      <c r="BW294" s="1378"/>
      <c r="BX294" s="1412" t="str">
        <f t="shared" si="512"/>
        <v>Price</v>
      </c>
      <c r="BY294" s="1413" t="str">
        <f t="shared" si="557"/>
        <v>[Service]</v>
      </c>
      <c r="BZ294" s="1414" t="str">
        <f t="shared" si="558"/>
        <v>[Price]</v>
      </c>
      <c r="CA294" s="1424" t="str">
        <f>IFERROR((S294/R294-1)*(R296/R$13),"-")</f>
        <v>-</v>
      </c>
      <c r="CB294" s="1415" t="str">
        <f>IFERROR((T294/S294-1)*(S296/S$13),"-")</f>
        <v>-</v>
      </c>
      <c r="CC294" s="1415" t="str">
        <f>IFERROR((U294/T294-1)*(T296/T$13),"-")</f>
        <v>-</v>
      </c>
      <c r="CD294" s="1415" t="str">
        <f>IFERROR((V294/U294-1)*(U296/U$13),"-")</f>
        <v>-</v>
      </c>
      <c r="CE294" s="1415" t="str">
        <f t="shared" ref="CE294:CR294" si="591">IFERROR((T294/S294-1)*(S296/S$13),"-")</f>
        <v>-</v>
      </c>
      <c r="CF294" s="1415" t="str">
        <f t="shared" si="591"/>
        <v>-</v>
      </c>
      <c r="CG294" s="1415" t="str">
        <f t="shared" si="591"/>
        <v>-</v>
      </c>
      <c r="CH294" s="1425" t="str">
        <f t="shared" si="591"/>
        <v>-</v>
      </c>
      <c r="CI294" s="1417" t="str">
        <f t="shared" si="591"/>
        <v>-</v>
      </c>
      <c r="CJ294" s="1417" t="str">
        <f t="shared" si="591"/>
        <v>-</v>
      </c>
      <c r="CK294" s="1417" t="str">
        <f t="shared" si="591"/>
        <v>-</v>
      </c>
      <c r="CL294" s="1417" t="str">
        <f t="shared" si="591"/>
        <v>-</v>
      </c>
      <c r="CM294" s="1418" t="str">
        <f t="shared" si="591"/>
        <v>-</v>
      </c>
      <c r="CN294" s="1417" t="str">
        <f t="shared" si="591"/>
        <v>-</v>
      </c>
      <c r="CO294" s="1417" t="str">
        <f t="shared" si="591"/>
        <v>-</v>
      </c>
      <c r="CP294" s="1417" t="str">
        <f t="shared" si="591"/>
        <v>-</v>
      </c>
      <c r="CQ294" s="1417" t="str">
        <f t="shared" si="591"/>
        <v>-</v>
      </c>
      <c r="CR294" s="1419" t="str">
        <f t="shared" si="591"/>
        <v>-</v>
      </c>
      <c r="CS294" s="1378"/>
      <c r="CT294" s="1412" t="str">
        <f t="shared" si="492"/>
        <v>Price</v>
      </c>
      <c r="CU294" s="1413" t="str">
        <f t="shared" si="493"/>
        <v>[Service]</v>
      </c>
      <c r="CV294" s="1426" t="str">
        <f t="shared" si="494"/>
        <v>[Price]</v>
      </c>
      <c r="CW294" s="1427" t="str">
        <f t="shared" si="514"/>
        <v>-</v>
      </c>
      <c r="CX294" s="1417" t="str">
        <f t="shared" si="515"/>
        <v>-</v>
      </c>
      <c r="CY294" s="1417" t="str">
        <f t="shared" si="516"/>
        <v>-</v>
      </c>
      <c r="CZ294" s="1418" t="str">
        <f t="shared" si="517"/>
        <v>-</v>
      </c>
      <c r="DA294" s="1417" t="str">
        <f t="shared" si="518"/>
        <v>-</v>
      </c>
      <c r="DB294" s="1417" t="str">
        <f t="shared" si="519"/>
        <v>-</v>
      </c>
      <c r="DC294" s="1417" t="str">
        <f t="shared" si="520"/>
        <v>-</v>
      </c>
      <c r="DD294" s="1417" t="str">
        <f t="shared" si="521"/>
        <v>-</v>
      </c>
      <c r="DE294" s="1419" t="str">
        <f t="shared" si="522"/>
        <v>-</v>
      </c>
      <c r="DF294" s="1378"/>
      <c r="DG294" s="1412" t="str">
        <f t="shared" si="533"/>
        <v>Price</v>
      </c>
      <c r="DH294" s="1413" t="str">
        <f t="shared" si="533"/>
        <v>[Service]</v>
      </c>
      <c r="DI294" s="1426" t="str">
        <f t="shared" si="533"/>
        <v>[Price]</v>
      </c>
      <c r="DJ294" s="1427" t="str">
        <f t="shared" si="523"/>
        <v>-</v>
      </c>
      <c r="DK294" s="1417" t="str">
        <f t="shared" si="524"/>
        <v>-</v>
      </c>
      <c r="DL294" s="1417" t="str">
        <f t="shared" si="525"/>
        <v>-</v>
      </c>
      <c r="DM294" s="1418" t="str">
        <f t="shared" si="526"/>
        <v>-</v>
      </c>
      <c r="DN294" s="1417" t="str">
        <f t="shared" si="527"/>
        <v>-</v>
      </c>
      <c r="DO294" s="1417" t="str">
        <f t="shared" si="528"/>
        <v>-</v>
      </c>
      <c r="DP294" s="1417" t="str">
        <f t="shared" si="529"/>
        <v>-</v>
      </c>
      <c r="DQ294" s="1419" t="str">
        <f t="shared" si="530"/>
        <v>-</v>
      </c>
    </row>
    <row r="295" spans="4:121">
      <c r="E295" s="742" t="s">
        <v>45</v>
      </c>
      <c r="F295" s="722" t="str">
        <f>+F294</f>
        <v>[Service]</v>
      </c>
      <c r="G295" s="723">
        <f>+G294</f>
        <v>0</v>
      </c>
      <c r="H295" s="723">
        <f>+H294</f>
        <v>0</v>
      </c>
      <c r="I295" s="724" t="str">
        <f>+I294</f>
        <v>[Price]</v>
      </c>
      <c r="J295" s="782" t="s">
        <v>322</v>
      </c>
      <c r="K295" s="725"/>
      <c r="L295" s="726"/>
      <c r="M295" s="726"/>
      <c r="N295" s="727"/>
      <c r="O295" s="786"/>
      <c r="P295" s="787"/>
      <c r="Q295" s="786"/>
      <c r="R295" s="786"/>
      <c r="S295" s="786"/>
      <c r="T295" s="786"/>
      <c r="U295" s="786"/>
      <c r="V295" s="786"/>
      <c r="W295" s="786"/>
      <c r="X295" s="787"/>
      <c r="Y295" s="786"/>
      <c r="Z295" s="786"/>
      <c r="AA295" s="786"/>
      <c r="AB295" s="786"/>
      <c r="AC295" s="787"/>
      <c r="AD295" s="786"/>
      <c r="AE295" s="786"/>
      <c r="AF295" s="786"/>
      <c r="AG295" s="788"/>
      <c r="AH295" s="823"/>
      <c r="AI295" s="745"/>
      <c r="AJ295" s="728"/>
      <c r="AK295" s="729"/>
      <c r="AL295" s="729"/>
      <c r="AM295" s="729"/>
      <c r="AN295" s="729"/>
      <c r="AO295" s="730"/>
      <c r="AP295" s="74"/>
      <c r="AQ295" s="74"/>
      <c r="AR295" s="74"/>
      <c r="AS295" s="106"/>
      <c r="AW295" s="1392" t="str">
        <f t="shared" si="531"/>
        <v>Qty</v>
      </c>
      <c r="AX295" s="1393" t="str">
        <f t="shared" si="531"/>
        <v>[Service]</v>
      </c>
      <c r="AY295" s="1394" t="str">
        <f t="shared" si="496"/>
        <v>[Price]</v>
      </c>
      <c r="AZ295" s="1395" t="str">
        <f t="shared" si="588"/>
        <v>-</v>
      </c>
      <c r="BA295" s="1395" t="str">
        <f t="shared" si="588"/>
        <v>-</v>
      </c>
      <c r="BB295" s="1395" t="str">
        <f t="shared" si="588"/>
        <v>-</v>
      </c>
      <c r="BC295" s="1395" t="str">
        <f t="shared" si="588"/>
        <v>-</v>
      </c>
      <c r="BD295" s="1395" t="str">
        <f t="shared" si="498"/>
        <v>-</v>
      </c>
      <c r="BE295" s="1395" t="str">
        <f t="shared" si="499"/>
        <v>-</v>
      </c>
      <c r="BF295" s="1395" t="str">
        <f t="shared" si="500"/>
        <v>-</v>
      </c>
      <c r="BG295" s="1396" t="str">
        <f t="shared" si="501"/>
        <v>-</v>
      </c>
      <c r="BH295" s="1395" t="str">
        <f t="shared" si="502"/>
        <v>-</v>
      </c>
      <c r="BI295" s="1395" t="str">
        <f t="shared" si="503"/>
        <v>-</v>
      </c>
      <c r="BJ295" s="1395" t="str">
        <f t="shared" si="504"/>
        <v>-</v>
      </c>
      <c r="BK295" s="1395" t="str">
        <f t="shared" si="505"/>
        <v>-</v>
      </c>
      <c r="BL295" s="1397" t="str">
        <f t="shared" si="506"/>
        <v>-</v>
      </c>
      <c r="BM295" s="1395" t="str">
        <f t="shared" si="507"/>
        <v>-</v>
      </c>
      <c r="BN295" s="1395" t="str">
        <f t="shared" si="508"/>
        <v>-</v>
      </c>
      <c r="BO295" s="1395" t="str">
        <f t="shared" si="509"/>
        <v>-</v>
      </c>
      <c r="BP295" s="1395" t="str">
        <f t="shared" si="510"/>
        <v>-</v>
      </c>
      <c r="BQ295" s="1398" t="str">
        <f t="shared" si="511"/>
        <v>-</v>
      </c>
      <c r="BR295" s="1378"/>
      <c r="BS295" s="1329"/>
      <c r="BT295" s="1399"/>
      <c r="BU295" s="1331"/>
      <c r="BV295" s="1400"/>
      <c r="BW295" s="1378"/>
      <c r="BX295" s="1392" t="str">
        <f t="shared" si="512"/>
        <v>Qty</v>
      </c>
      <c r="BY295" s="1393" t="str">
        <f t="shared" si="557"/>
        <v>[Service]</v>
      </c>
      <c r="BZ295" s="1394" t="str">
        <f t="shared" si="558"/>
        <v>[Price]</v>
      </c>
      <c r="CA295" s="1401" t="str">
        <f>IFERROR((S295/R295-1)*(R296/R$13),"-")</f>
        <v>-</v>
      </c>
      <c r="CB295" s="1395" t="str">
        <f>IFERROR((T295/S295-1)*(S296/S$13),"-")</f>
        <v>-</v>
      </c>
      <c r="CC295" s="1395" t="str">
        <f>IFERROR((U295/T295-1)*(T296/T$13),"-")</f>
        <v>-</v>
      </c>
      <c r="CD295" s="1395" t="str">
        <f>IFERROR((V295/U295-1)*(U296/U$13),"-")</f>
        <v>-</v>
      </c>
      <c r="CE295" s="1395" t="str">
        <f t="shared" ref="CE295:CR295" si="592">IFERROR((T295/S295-1)*(S296/S$13),"-")</f>
        <v>-</v>
      </c>
      <c r="CF295" s="1395" t="str">
        <f t="shared" si="592"/>
        <v>-</v>
      </c>
      <c r="CG295" s="1395" t="str">
        <f t="shared" si="592"/>
        <v>-</v>
      </c>
      <c r="CH295" s="1397" t="str">
        <f t="shared" si="592"/>
        <v>-</v>
      </c>
      <c r="CI295" s="1395" t="str">
        <f t="shared" si="592"/>
        <v>-</v>
      </c>
      <c r="CJ295" s="1395" t="str">
        <f t="shared" si="592"/>
        <v>-</v>
      </c>
      <c r="CK295" s="1395" t="str">
        <f t="shared" si="592"/>
        <v>-</v>
      </c>
      <c r="CL295" s="1395" t="str">
        <f t="shared" si="592"/>
        <v>-</v>
      </c>
      <c r="CM295" s="1397" t="str">
        <f t="shared" si="592"/>
        <v>-</v>
      </c>
      <c r="CN295" s="1395" t="str">
        <f t="shared" si="592"/>
        <v>-</v>
      </c>
      <c r="CO295" s="1395" t="str">
        <f t="shared" si="592"/>
        <v>-</v>
      </c>
      <c r="CP295" s="1395" t="str">
        <f t="shared" si="592"/>
        <v>-</v>
      </c>
      <c r="CQ295" s="1395" t="str">
        <f t="shared" si="592"/>
        <v>-</v>
      </c>
      <c r="CR295" s="1398" t="str">
        <f t="shared" si="592"/>
        <v>-</v>
      </c>
      <c r="CS295" s="1378"/>
      <c r="CT295" s="1392" t="str">
        <f t="shared" si="492"/>
        <v>Qty</v>
      </c>
      <c r="CU295" s="1393" t="str">
        <f t="shared" si="493"/>
        <v>[Service]</v>
      </c>
      <c r="CV295" s="1393" t="str">
        <f t="shared" si="494"/>
        <v>[Price]</v>
      </c>
      <c r="CW295" s="1401" t="str">
        <f t="shared" si="514"/>
        <v>-</v>
      </c>
      <c r="CX295" s="1395" t="str">
        <f t="shared" si="515"/>
        <v>-</v>
      </c>
      <c r="CY295" s="1395" t="str">
        <f t="shared" si="516"/>
        <v>-</v>
      </c>
      <c r="CZ295" s="1397" t="str">
        <f t="shared" si="517"/>
        <v>-</v>
      </c>
      <c r="DA295" s="1395" t="str">
        <f t="shared" si="518"/>
        <v>-</v>
      </c>
      <c r="DB295" s="1395" t="str">
        <f t="shared" si="519"/>
        <v>-</v>
      </c>
      <c r="DC295" s="1395" t="str">
        <f t="shared" si="520"/>
        <v>-</v>
      </c>
      <c r="DD295" s="1395" t="str">
        <f t="shared" si="521"/>
        <v>-</v>
      </c>
      <c r="DE295" s="1398" t="str">
        <f t="shared" si="522"/>
        <v>-</v>
      </c>
      <c r="DF295" s="1378"/>
      <c r="DG295" s="1392" t="str">
        <f t="shared" si="533"/>
        <v>Qty</v>
      </c>
      <c r="DH295" s="1393" t="str">
        <f t="shared" si="533"/>
        <v>[Service]</v>
      </c>
      <c r="DI295" s="1393" t="str">
        <f t="shared" si="533"/>
        <v>[Price]</v>
      </c>
      <c r="DJ295" s="1401" t="str">
        <f t="shared" si="523"/>
        <v>-</v>
      </c>
      <c r="DK295" s="1395" t="str">
        <f t="shared" si="524"/>
        <v>-</v>
      </c>
      <c r="DL295" s="1395" t="str">
        <f t="shared" si="525"/>
        <v>-</v>
      </c>
      <c r="DM295" s="1397" t="str">
        <f t="shared" si="526"/>
        <v>-</v>
      </c>
      <c r="DN295" s="1395" t="str">
        <f t="shared" si="527"/>
        <v>-</v>
      </c>
      <c r="DO295" s="1395" t="str">
        <f t="shared" si="528"/>
        <v>-</v>
      </c>
      <c r="DP295" s="1395" t="str">
        <f t="shared" si="529"/>
        <v>-</v>
      </c>
      <c r="DQ295" s="1398" t="str">
        <f t="shared" si="530"/>
        <v>-</v>
      </c>
    </row>
    <row r="296" spans="4:121" ht="12.75" thickBot="1">
      <c r="E296" s="743" t="s">
        <v>46</v>
      </c>
      <c r="F296" s="732" t="str">
        <f>+F294</f>
        <v>[Service]</v>
      </c>
      <c r="G296" s="733">
        <f>+G294</f>
        <v>0</v>
      </c>
      <c r="H296" s="733">
        <f>+H294</f>
        <v>0</v>
      </c>
      <c r="I296" s="734" t="str">
        <f>+I294</f>
        <v>[Price]</v>
      </c>
      <c r="J296" s="735" t="s">
        <v>344</v>
      </c>
      <c r="K296" s="736">
        <f t="shared" ref="K296:AG296" si="593">K294*K295/10^6</f>
        <v>0</v>
      </c>
      <c r="L296" s="737">
        <f t="shared" si="593"/>
        <v>0</v>
      </c>
      <c r="M296" s="737">
        <f t="shared" si="593"/>
        <v>0</v>
      </c>
      <c r="N296" s="738">
        <f t="shared" si="593"/>
        <v>0</v>
      </c>
      <c r="O296" s="737">
        <f t="shared" si="593"/>
        <v>0</v>
      </c>
      <c r="P296" s="738">
        <f t="shared" si="593"/>
        <v>0</v>
      </c>
      <c r="Q296" s="737">
        <f t="shared" si="593"/>
        <v>0</v>
      </c>
      <c r="R296" s="737">
        <f t="shared" si="593"/>
        <v>0</v>
      </c>
      <c r="S296" s="737">
        <f t="shared" si="593"/>
        <v>0</v>
      </c>
      <c r="T296" s="737">
        <f t="shared" si="593"/>
        <v>0</v>
      </c>
      <c r="U296" s="737">
        <f t="shared" si="593"/>
        <v>0</v>
      </c>
      <c r="V296" s="737">
        <f t="shared" si="593"/>
        <v>0</v>
      </c>
      <c r="W296" s="737">
        <f t="shared" si="593"/>
        <v>0</v>
      </c>
      <c r="X296" s="738">
        <f t="shared" si="593"/>
        <v>0</v>
      </c>
      <c r="Y296" s="737">
        <f t="shared" si="593"/>
        <v>0</v>
      </c>
      <c r="Z296" s="737">
        <f t="shared" si="593"/>
        <v>0</v>
      </c>
      <c r="AA296" s="737">
        <f t="shared" si="593"/>
        <v>0</v>
      </c>
      <c r="AB296" s="737">
        <f t="shared" si="593"/>
        <v>0</v>
      </c>
      <c r="AC296" s="738">
        <f t="shared" si="593"/>
        <v>0</v>
      </c>
      <c r="AD296" s="737">
        <f t="shared" si="593"/>
        <v>0</v>
      </c>
      <c r="AE296" s="737">
        <f t="shared" si="593"/>
        <v>0</v>
      </c>
      <c r="AF296" s="737">
        <f t="shared" si="593"/>
        <v>0</v>
      </c>
      <c r="AG296" s="739">
        <f t="shared" si="593"/>
        <v>0</v>
      </c>
      <c r="AH296" s="823"/>
      <c r="AI296" s="745"/>
      <c r="AJ296" s="741"/>
      <c r="AK296" s="729"/>
      <c r="AL296" s="729"/>
      <c r="AM296" s="729"/>
      <c r="AN296" s="729"/>
      <c r="AO296" s="730"/>
      <c r="AP296" s="74"/>
      <c r="AQ296" s="74"/>
      <c r="AR296" s="74"/>
      <c r="AS296" s="106"/>
      <c r="AW296" s="1428" t="str">
        <f t="shared" si="531"/>
        <v>Rev</v>
      </c>
      <c r="AX296" s="1429" t="str">
        <f t="shared" si="531"/>
        <v>[Service]</v>
      </c>
      <c r="AY296" s="1430" t="str">
        <f t="shared" si="496"/>
        <v>[Price]</v>
      </c>
      <c r="AZ296" s="1431" t="str">
        <f t="shared" si="588"/>
        <v>-</v>
      </c>
      <c r="BA296" s="1431" t="str">
        <f t="shared" si="588"/>
        <v>-</v>
      </c>
      <c r="BB296" s="1431" t="str">
        <f t="shared" si="588"/>
        <v>-</v>
      </c>
      <c r="BC296" s="1431" t="str">
        <f t="shared" si="588"/>
        <v>-</v>
      </c>
      <c r="BD296" s="1431" t="str">
        <f t="shared" si="498"/>
        <v>-</v>
      </c>
      <c r="BE296" s="1431" t="str">
        <f t="shared" si="499"/>
        <v>-</v>
      </c>
      <c r="BF296" s="1431" t="str">
        <f t="shared" si="500"/>
        <v>-</v>
      </c>
      <c r="BG296" s="1432" t="str">
        <f t="shared" si="501"/>
        <v>-</v>
      </c>
      <c r="BH296" s="1431" t="str">
        <f t="shared" si="502"/>
        <v>-</v>
      </c>
      <c r="BI296" s="1431" t="str">
        <f t="shared" si="503"/>
        <v>-</v>
      </c>
      <c r="BJ296" s="1431" t="str">
        <f t="shared" si="504"/>
        <v>-</v>
      </c>
      <c r="BK296" s="1431" t="str">
        <f t="shared" si="505"/>
        <v>-</v>
      </c>
      <c r="BL296" s="1433" t="str">
        <f t="shared" si="506"/>
        <v>-</v>
      </c>
      <c r="BM296" s="1431" t="str">
        <f t="shared" si="507"/>
        <v>-</v>
      </c>
      <c r="BN296" s="1431" t="str">
        <f t="shared" si="508"/>
        <v>-</v>
      </c>
      <c r="BO296" s="1431" t="str">
        <f t="shared" si="509"/>
        <v>-</v>
      </c>
      <c r="BP296" s="1431" t="str">
        <f t="shared" si="510"/>
        <v>-</v>
      </c>
      <c r="BQ296" s="1434" t="str">
        <f t="shared" si="511"/>
        <v>-</v>
      </c>
      <c r="BR296" s="1378"/>
      <c r="BS296" s="1407"/>
      <c r="BT296" s="1408"/>
      <c r="BU296" s="1409"/>
      <c r="BV296" s="1410"/>
      <c r="BW296" s="1378"/>
      <c r="BX296" s="1428" t="str">
        <f t="shared" si="512"/>
        <v>Rev</v>
      </c>
      <c r="BY296" s="1429" t="str">
        <f t="shared" si="557"/>
        <v>[Service]</v>
      </c>
      <c r="BZ296" s="1430" t="str">
        <f t="shared" si="558"/>
        <v>[Price]</v>
      </c>
      <c r="CA296" s="1435" t="str">
        <f>IFERROR((S296/R296-1)*(R296/R$13),"-")</f>
        <v>-</v>
      </c>
      <c r="CB296" s="1431" t="str">
        <f>IFERROR((T296/S296-1)*(S296/S$13),"-")</f>
        <v>-</v>
      </c>
      <c r="CC296" s="1431" t="str">
        <f>IFERROR((U296/T296-1)*(T296/T$13),"-")</f>
        <v>-</v>
      </c>
      <c r="CD296" s="1431" t="str">
        <f>IFERROR((V296/U296-1)*(U296/U$13),"-")</f>
        <v>-</v>
      </c>
      <c r="CE296" s="1431" t="str">
        <f t="shared" ref="CE296:CR296" si="594">IFERROR((T296/S296-1)*(S296/S$13),"-")</f>
        <v>-</v>
      </c>
      <c r="CF296" s="1431" t="str">
        <f t="shared" si="594"/>
        <v>-</v>
      </c>
      <c r="CG296" s="1431" t="str">
        <f t="shared" si="594"/>
        <v>-</v>
      </c>
      <c r="CH296" s="1433" t="str">
        <f t="shared" si="594"/>
        <v>-</v>
      </c>
      <c r="CI296" s="1431" t="str">
        <f t="shared" si="594"/>
        <v>-</v>
      </c>
      <c r="CJ296" s="1431" t="str">
        <f t="shared" si="594"/>
        <v>-</v>
      </c>
      <c r="CK296" s="1431" t="str">
        <f t="shared" si="594"/>
        <v>-</v>
      </c>
      <c r="CL296" s="1431" t="str">
        <f t="shared" si="594"/>
        <v>-</v>
      </c>
      <c r="CM296" s="1433" t="str">
        <f t="shared" si="594"/>
        <v>-</v>
      </c>
      <c r="CN296" s="1431" t="str">
        <f t="shared" si="594"/>
        <v>-</v>
      </c>
      <c r="CO296" s="1431" t="str">
        <f t="shared" si="594"/>
        <v>-</v>
      </c>
      <c r="CP296" s="1431" t="str">
        <f t="shared" si="594"/>
        <v>-</v>
      </c>
      <c r="CQ296" s="1431" t="str">
        <f t="shared" si="594"/>
        <v>-</v>
      </c>
      <c r="CR296" s="1434" t="str">
        <f t="shared" si="594"/>
        <v>-</v>
      </c>
      <c r="CS296" s="1378"/>
      <c r="CT296" s="1428" t="str">
        <f t="shared" si="492"/>
        <v>Rev</v>
      </c>
      <c r="CU296" s="1429" t="str">
        <f t="shared" si="493"/>
        <v>[Service]</v>
      </c>
      <c r="CV296" s="1429" t="str">
        <f t="shared" si="494"/>
        <v>[Price]</v>
      </c>
      <c r="CW296" s="1435" t="str">
        <f t="shared" si="514"/>
        <v>-</v>
      </c>
      <c r="CX296" s="1431" t="str">
        <f t="shared" si="515"/>
        <v>-</v>
      </c>
      <c r="CY296" s="1431" t="str">
        <f t="shared" si="516"/>
        <v>-</v>
      </c>
      <c r="CZ296" s="1433" t="str">
        <f t="shared" si="517"/>
        <v>-</v>
      </c>
      <c r="DA296" s="1431" t="str">
        <f t="shared" si="518"/>
        <v>-</v>
      </c>
      <c r="DB296" s="1431" t="str">
        <f t="shared" si="519"/>
        <v>-</v>
      </c>
      <c r="DC296" s="1431" t="str">
        <f t="shared" si="520"/>
        <v>-</v>
      </c>
      <c r="DD296" s="1431" t="str">
        <f t="shared" si="521"/>
        <v>-</v>
      </c>
      <c r="DE296" s="1434" t="str">
        <f t="shared" si="522"/>
        <v>-</v>
      </c>
      <c r="DF296" s="1378"/>
      <c r="DG296" s="1428" t="str">
        <f t="shared" si="533"/>
        <v>Rev</v>
      </c>
      <c r="DH296" s="1429" t="str">
        <f t="shared" si="533"/>
        <v>[Service]</v>
      </c>
      <c r="DI296" s="1429" t="str">
        <f t="shared" si="533"/>
        <v>[Price]</v>
      </c>
      <c r="DJ296" s="1435" t="str">
        <f t="shared" si="523"/>
        <v>-</v>
      </c>
      <c r="DK296" s="1431" t="str">
        <f t="shared" si="524"/>
        <v>-</v>
      </c>
      <c r="DL296" s="1431" t="str">
        <f t="shared" si="525"/>
        <v>-</v>
      </c>
      <c r="DM296" s="1433" t="str">
        <f t="shared" si="526"/>
        <v>-</v>
      </c>
      <c r="DN296" s="1431" t="str">
        <f t="shared" si="527"/>
        <v>-</v>
      </c>
      <c r="DO296" s="1431" t="str">
        <f t="shared" si="528"/>
        <v>-</v>
      </c>
      <c r="DP296" s="1431" t="str">
        <f t="shared" si="529"/>
        <v>-</v>
      </c>
      <c r="DQ296" s="1434" t="str">
        <f t="shared" si="530"/>
        <v>-</v>
      </c>
    </row>
    <row r="297" spans="4:121">
      <c r="D297" s="70">
        <f>D294+1</f>
        <v>77</v>
      </c>
      <c r="E297" s="713" t="s">
        <v>44</v>
      </c>
      <c r="F297" s="789" t="s">
        <v>27</v>
      </c>
      <c r="G297" s="789"/>
      <c r="H297" s="789"/>
      <c r="I297" s="781" t="s">
        <v>318</v>
      </c>
      <c r="J297" s="781" t="s">
        <v>345</v>
      </c>
      <c r="K297" s="714"/>
      <c r="L297" s="715"/>
      <c r="M297" s="715"/>
      <c r="N297" s="716"/>
      <c r="O297" s="783"/>
      <c r="P297" s="784"/>
      <c r="Q297" s="783"/>
      <c r="R297" s="783"/>
      <c r="S297" s="783"/>
      <c r="T297" s="783"/>
      <c r="U297" s="783"/>
      <c r="V297" s="783"/>
      <c r="W297" s="783"/>
      <c r="X297" s="784"/>
      <c r="Y297" s="783"/>
      <c r="Z297" s="783"/>
      <c r="AA297" s="783"/>
      <c r="AB297" s="783"/>
      <c r="AC297" s="784"/>
      <c r="AD297" s="783"/>
      <c r="AE297" s="783"/>
      <c r="AF297" s="783"/>
      <c r="AG297" s="785"/>
      <c r="AI297" s="745"/>
      <c r="AJ297" s="717" t="str">
        <f t="shared" ref="AJ297:AS297" si="595">IFERROR((X297-W297)/W297,"")</f>
        <v/>
      </c>
      <c r="AK297" s="718" t="str">
        <f t="shared" si="595"/>
        <v/>
      </c>
      <c r="AL297" s="718" t="str">
        <f t="shared" si="595"/>
        <v/>
      </c>
      <c r="AM297" s="718" t="str">
        <f t="shared" si="595"/>
        <v/>
      </c>
      <c r="AN297" s="718" t="str">
        <f t="shared" si="595"/>
        <v/>
      </c>
      <c r="AO297" s="719" t="str">
        <f t="shared" si="595"/>
        <v/>
      </c>
      <c r="AP297" s="494" t="str">
        <f t="shared" si="595"/>
        <v/>
      </c>
      <c r="AQ297" s="494" t="str">
        <f t="shared" si="595"/>
        <v/>
      </c>
      <c r="AR297" s="494" t="str">
        <f t="shared" si="595"/>
        <v/>
      </c>
      <c r="AS297" s="720" t="str">
        <f t="shared" si="595"/>
        <v/>
      </c>
      <c r="AU297" s="1369"/>
      <c r="AW297" s="1412" t="str">
        <f t="shared" si="531"/>
        <v>Price</v>
      </c>
      <c r="AX297" s="1413" t="str">
        <f t="shared" si="531"/>
        <v>[Service]</v>
      </c>
      <c r="AY297" s="1414" t="str">
        <f t="shared" si="496"/>
        <v>[Price]</v>
      </c>
      <c r="AZ297" s="1415" t="str">
        <f t="shared" si="588"/>
        <v>-</v>
      </c>
      <c r="BA297" s="1415" t="str">
        <f t="shared" si="588"/>
        <v>-</v>
      </c>
      <c r="BB297" s="1415" t="str">
        <f t="shared" si="588"/>
        <v>-</v>
      </c>
      <c r="BC297" s="1415" t="str">
        <f t="shared" si="588"/>
        <v>-</v>
      </c>
      <c r="BD297" s="1415" t="str">
        <f t="shared" si="498"/>
        <v>-</v>
      </c>
      <c r="BE297" s="1415" t="str">
        <f t="shared" si="499"/>
        <v>-</v>
      </c>
      <c r="BF297" s="1415" t="str">
        <f t="shared" si="500"/>
        <v>-</v>
      </c>
      <c r="BG297" s="1416" t="str">
        <f t="shared" si="501"/>
        <v>-</v>
      </c>
      <c r="BH297" s="1417" t="str">
        <f t="shared" si="502"/>
        <v>-</v>
      </c>
      <c r="BI297" s="1417" t="str">
        <f t="shared" si="503"/>
        <v>-</v>
      </c>
      <c r="BJ297" s="1417" t="str">
        <f t="shared" si="504"/>
        <v>-</v>
      </c>
      <c r="BK297" s="1417" t="str">
        <f t="shared" si="505"/>
        <v>-</v>
      </c>
      <c r="BL297" s="1418" t="str">
        <f t="shared" si="506"/>
        <v>-</v>
      </c>
      <c r="BM297" s="1417" t="str">
        <f t="shared" si="507"/>
        <v>-</v>
      </c>
      <c r="BN297" s="1417" t="str">
        <f t="shared" si="508"/>
        <v>-</v>
      </c>
      <c r="BO297" s="1417" t="str">
        <f t="shared" si="509"/>
        <v>-</v>
      </c>
      <c r="BP297" s="1417" t="str">
        <f t="shared" si="510"/>
        <v>-</v>
      </c>
      <c r="BQ297" s="1419" t="str">
        <f t="shared" si="511"/>
        <v>-</v>
      </c>
      <c r="BR297" s="1378"/>
      <c r="BS297" s="1420"/>
      <c r="BT297" s="1421"/>
      <c r="BU297" s="1422"/>
      <c r="BV297" s="1423"/>
      <c r="BW297" s="1378"/>
      <c r="BX297" s="1412" t="str">
        <f t="shared" si="512"/>
        <v>Price</v>
      </c>
      <c r="BY297" s="1413" t="str">
        <f t="shared" si="557"/>
        <v>[Service]</v>
      </c>
      <c r="BZ297" s="1414" t="str">
        <f t="shared" si="558"/>
        <v>[Price]</v>
      </c>
      <c r="CA297" s="1424" t="str">
        <f>IFERROR((S297/R297-1)*(R299/R$13),"-")</f>
        <v>-</v>
      </c>
      <c r="CB297" s="1415" t="str">
        <f>IFERROR((T297/S297-1)*(S299/S$13),"-")</f>
        <v>-</v>
      </c>
      <c r="CC297" s="1415" t="str">
        <f>IFERROR((U297/T297-1)*(T299/T$13),"-")</f>
        <v>-</v>
      </c>
      <c r="CD297" s="1415" t="str">
        <f>IFERROR((V297/U297-1)*(U299/U$13),"-")</f>
        <v>-</v>
      </c>
      <c r="CE297" s="1415" t="str">
        <f t="shared" ref="CE297:CR297" si="596">IFERROR((T297/S297-1)*(S299/S$13),"-")</f>
        <v>-</v>
      </c>
      <c r="CF297" s="1415" t="str">
        <f t="shared" si="596"/>
        <v>-</v>
      </c>
      <c r="CG297" s="1415" t="str">
        <f t="shared" si="596"/>
        <v>-</v>
      </c>
      <c r="CH297" s="1425" t="str">
        <f t="shared" si="596"/>
        <v>-</v>
      </c>
      <c r="CI297" s="1417" t="str">
        <f t="shared" si="596"/>
        <v>-</v>
      </c>
      <c r="CJ297" s="1417" t="str">
        <f t="shared" si="596"/>
        <v>-</v>
      </c>
      <c r="CK297" s="1417" t="str">
        <f t="shared" si="596"/>
        <v>-</v>
      </c>
      <c r="CL297" s="1417" t="str">
        <f t="shared" si="596"/>
        <v>-</v>
      </c>
      <c r="CM297" s="1418" t="str">
        <f t="shared" si="596"/>
        <v>-</v>
      </c>
      <c r="CN297" s="1417" t="str">
        <f t="shared" si="596"/>
        <v>-</v>
      </c>
      <c r="CO297" s="1417" t="str">
        <f t="shared" si="596"/>
        <v>-</v>
      </c>
      <c r="CP297" s="1417" t="str">
        <f t="shared" si="596"/>
        <v>-</v>
      </c>
      <c r="CQ297" s="1417" t="str">
        <f t="shared" si="596"/>
        <v>-</v>
      </c>
      <c r="CR297" s="1419" t="str">
        <f t="shared" si="596"/>
        <v>-</v>
      </c>
      <c r="CS297" s="1378"/>
      <c r="CT297" s="1412" t="str">
        <f t="shared" si="492"/>
        <v>Price</v>
      </c>
      <c r="CU297" s="1413" t="str">
        <f t="shared" si="493"/>
        <v>[Service]</v>
      </c>
      <c r="CV297" s="1426" t="str">
        <f t="shared" si="494"/>
        <v>[Price]</v>
      </c>
      <c r="CW297" s="1427" t="str">
        <f t="shared" si="514"/>
        <v>-</v>
      </c>
      <c r="CX297" s="1417" t="str">
        <f t="shared" si="515"/>
        <v>-</v>
      </c>
      <c r="CY297" s="1417" t="str">
        <f t="shared" si="516"/>
        <v>-</v>
      </c>
      <c r="CZ297" s="1418" t="str">
        <f t="shared" si="517"/>
        <v>-</v>
      </c>
      <c r="DA297" s="1417" t="str">
        <f t="shared" si="518"/>
        <v>-</v>
      </c>
      <c r="DB297" s="1417" t="str">
        <f t="shared" si="519"/>
        <v>-</v>
      </c>
      <c r="DC297" s="1417" t="str">
        <f t="shared" si="520"/>
        <v>-</v>
      </c>
      <c r="DD297" s="1417" t="str">
        <f t="shared" si="521"/>
        <v>-</v>
      </c>
      <c r="DE297" s="1419" t="str">
        <f t="shared" si="522"/>
        <v>-</v>
      </c>
      <c r="DF297" s="1378"/>
      <c r="DG297" s="1412" t="str">
        <f t="shared" si="533"/>
        <v>Price</v>
      </c>
      <c r="DH297" s="1413" t="str">
        <f t="shared" si="533"/>
        <v>[Service]</v>
      </c>
      <c r="DI297" s="1426" t="str">
        <f t="shared" si="533"/>
        <v>[Price]</v>
      </c>
      <c r="DJ297" s="1427" t="str">
        <f t="shared" si="523"/>
        <v>-</v>
      </c>
      <c r="DK297" s="1417" t="str">
        <f t="shared" si="524"/>
        <v>-</v>
      </c>
      <c r="DL297" s="1417" t="str">
        <f t="shared" si="525"/>
        <v>-</v>
      </c>
      <c r="DM297" s="1418" t="str">
        <f t="shared" si="526"/>
        <v>-</v>
      </c>
      <c r="DN297" s="1417" t="str">
        <f t="shared" si="527"/>
        <v>-</v>
      </c>
      <c r="DO297" s="1417" t="str">
        <f t="shared" si="528"/>
        <v>-</v>
      </c>
      <c r="DP297" s="1417" t="str">
        <f t="shared" si="529"/>
        <v>-</v>
      </c>
      <c r="DQ297" s="1419" t="str">
        <f t="shared" si="530"/>
        <v>-</v>
      </c>
    </row>
    <row r="298" spans="4:121">
      <c r="E298" s="742" t="s">
        <v>45</v>
      </c>
      <c r="F298" s="722" t="str">
        <f>+F297</f>
        <v>[Service]</v>
      </c>
      <c r="G298" s="723">
        <f>+G297</f>
        <v>0</v>
      </c>
      <c r="H298" s="723">
        <f>+H297</f>
        <v>0</v>
      </c>
      <c r="I298" s="724" t="str">
        <f>+I297</f>
        <v>[Price]</v>
      </c>
      <c r="J298" s="782" t="s">
        <v>322</v>
      </c>
      <c r="K298" s="725"/>
      <c r="L298" s="726"/>
      <c r="M298" s="726"/>
      <c r="N298" s="727"/>
      <c r="O298" s="786"/>
      <c r="P298" s="787"/>
      <c r="Q298" s="786"/>
      <c r="R298" s="786"/>
      <c r="S298" s="786"/>
      <c r="T298" s="786"/>
      <c r="U298" s="786"/>
      <c r="V298" s="786"/>
      <c r="W298" s="786"/>
      <c r="X298" s="787"/>
      <c r="Y298" s="786"/>
      <c r="Z298" s="786"/>
      <c r="AA298" s="786"/>
      <c r="AB298" s="786"/>
      <c r="AC298" s="787"/>
      <c r="AD298" s="786"/>
      <c r="AE298" s="786"/>
      <c r="AF298" s="786"/>
      <c r="AG298" s="788"/>
      <c r="AH298" s="823"/>
      <c r="AI298" s="745"/>
      <c r="AJ298" s="728"/>
      <c r="AK298" s="729"/>
      <c r="AL298" s="729"/>
      <c r="AM298" s="729"/>
      <c r="AN298" s="729"/>
      <c r="AO298" s="730"/>
      <c r="AP298" s="74"/>
      <c r="AQ298" s="74"/>
      <c r="AR298" s="74"/>
      <c r="AS298" s="106"/>
      <c r="AW298" s="1392" t="str">
        <f t="shared" si="531"/>
        <v>Qty</v>
      </c>
      <c r="AX298" s="1393" t="str">
        <f t="shared" si="531"/>
        <v>[Service]</v>
      </c>
      <c r="AY298" s="1394" t="str">
        <f t="shared" si="496"/>
        <v>[Price]</v>
      </c>
      <c r="AZ298" s="1395" t="str">
        <f t="shared" si="588"/>
        <v>-</v>
      </c>
      <c r="BA298" s="1395" t="str">
        <f t="shared" si="588"/>
        <v>-</v>
      </c>
      <c r="BB298" s="1395" t="str">
        <f t="shared" si="588"/>
        <v>-</v>
      </c>
      <c r="BC298" s="1395" t="str">
        <f t="shared" si="588"/>
        <v>-</v>
      </c>
      <c r="BD298" s="1395" t="str">
        <f t="shared" si="498"/>
        <v>-</v>
      </c>
      <c r="BE298" s="1395" t="str">
        <f t="shared" si="499"/>
        <v>-</v>
      </c>
      <c r="BF298" s="1395" t="str">
        <f t="shared" si="500"/>
        <v>-</v>
      </c>
      <c r="BG298" s="1396" t="str">
        <f t="shared" si="501"/>
        <v>-</v>
      </c>
      <c r="BH298" s="1395" t="str">
        <f t="shared" si="502"/>
        <v>-</v>
      </c>
      <c r="BI298" s="1395" t="str">
        <f t="shared" si="503"/>
        <v>-</v>
      </c>
      <c r="BJ298" s="1395" t="str">
        <f t="shared" si="504"/>
        <v>-</v>
      </c>
      <c r="BK298" s="1395" t="str">
        <f t="shared" si="505"/>
        <v>-</v>
      </c>
      <c r="BL298" s="1397" t="str">
        <f t="shared" si="506"/>
        <v>-</v>
      </c>
      <c r="BM298" s="1395" t="str">
        <f t="shared" si="507"/>
        <v>-</v>
      </c>
      <c r="BN298" s="1395" t="str">
        <f t="shared" si="508"/>
        <v>-</v>
      </c>
      <c r="BO298" s="1395" t="str">
        <f t="shared" si="509"/>
        <v>-</v>
      </c>
      <c r="BP298" s="1395" t="str">
        <f t="shared" si="510"/>
        <v>-</v>
      </c>
      <c r="BQ298" s="1398" t="str">
        <f t="shared" si="511"/>
        <v>-</v>
      </c>
      <c r="BR298" s="1378"/>
      <c r="BS298" s="1329"/>
      <c r="BT298" s="1399"/>
      <c r="BU298" s="1331"/>
      <c r="BV298" s="1400"/>
      <c r="BW298" s="1378"/>
      <c r="BX298" s="1392" t="str">
        <f t="shared" si="512"/>
        <v>Qty</v>
      </c>
      <c r="BY298" s="1393" t="str">
        <f t="shared" si="557"/>
        <v>[Service]</v>
      </c>
      <c r="BZ298" s="1394" t="str">
        <f t="shared" si="558"/>
        <v>[Price]</v>
      </c>
      <c r="CA298" s="1401" t="str">
        <f>IFERROR((S298/R298-1)*(R299/R$13),"-")</f>
        <v>-</v>
      </c>
      <c r="CB298" s="1395" t="str">
        <f>IFERROR((T298/S298-1)*(S299/S$13),"-")</f>
        <v>-</v>
      </c>
      <c r="CC298" s="1395" t="str">
        <f>IFERROR((U298/T298-1)*(T299/T$13),"-")</f>
        <v>-</v>
      </c>
      <c r="CD298" s="1395" t="str">
        <f>IFERROR((V298/U298-1)*(U299/U$13),"-")</f>
        <v>-</v>
      </c>
      <c r="CE298" s="1395" t="str">
        <f t="shared" ref="CE298:CR298" si="597">IFERROR((T298/S298-1)*(S299/S$13),"-")</f>
        <v>-</v>
      </c>
      <c r="CF298" s="1395" t="str">
        <f t="shared" si="597"/>
        <v>-</v>
      </c>
      <c r="CG298" s="1395" t="str">
        <f t="shared" si="597"/>
        <v>-</v>
      </c>
      <c r="CH298" s="1397" t="str">
        <f t="shared" si="597"/>
        <v>-</v>
      </c>
      <c r="CI298" s="1395" t="str">
        <f t="shared" si="597"/>
        <v>-</v>
      </c>
      <c r="CJ298" s="1395" t="str">
        <f t="shared" si="597"/>
        <v>-</v>
      </c>
      <c r="CK298" s="1395" t="str">
        <f t="shared" si="597"/>
        <v>-</v>
      </c>
      <c r="CL298" s="1395" t="str">
        <f t="shared" si="597"/>
        <v>-</v>
      </c>
      <c r="CM298" s="1397" t="str">
        <f t="shared" si="597"/>
        <v>-</v>
      </c>
      <c r="CN298" s="1395" t="str">
        <f t="shared" si="597"/>
        <v>-</v>
      </c>
      <c r="CO298" s="1395" t="str">
        <f t="shared" si="597"/>
        <v>-</v>
      </c>
      <c r="CP298" s="1395" t="str">
        <f t="shared" si="597"/>
        <v>-</v>
      </c>
      <c r="CQ298" s="1395" t="str">
        <f t="shared" si="597"/>
        <v>-</v>
      </c>
      <c r="CR298" s="1398" t="str">
        <f t="shared" si="597"/>
        <v>-</v>
      </c>
      <c r="CS298" s="1378"/>
      <c r="CT298" s="1392" t="str">
        <f t="shared" si="492"/>
        <v>Qty</v>
      </c>
      <c r="CU298" s="1393" t="str">
        <f t="shared" si="493"/>
        <v>[Service]</v>
      </c>
      <c r="CV298" s="1393" t="str">
        <f t="shared" si="494"/>
        <v>[Price]</v>
      </c>
      <c r="CW298" s="1401" t="str">
        <f t="shared" si="514"/>
        <v>-</v>
      </c>
      <c r="CX298" s="1395" t="str">
        <f t="shared" si="515"/>
        <v>-</v>
      </c>
      <c r="CY298" s="1395" t="str">
        <f t="shared" si="516"/>
        <v>-</v>
      </c>
      <c r="CZ298" s="1397" t="str">
        <f t="shared" si="517"/>
        <v>-</v>
      </c>
      <c r="DA298" s="1395" t="str">
        <f t="shared" si="518"/>
        <v>-</v>
      </c>
      <c r="DB298" s="1395" t="str">
        <f t="shared" si="519"/>
        <v>-</v>
      </c>
      <c r="DC298" s="1395" t="str">
        <f t="shared" si="520"/>
        <v>-</v>
      </c>
      <c r="DD298" s="1395" t="str">
        <f t="shared" si="521"/>
        <v>-</v>
      </c>
      <c r="DE298" s="1398" t="str">
        <f t="shared" si="522"/>
        <v>-</v>
      </c>
      <c r="DF298" s="1378"/>
      <c r="DG298" s="1392" t="str">
        <f t="shared" si="533"/>
        <v>Qty</v>
      </c>
      <c r="DH298" s="1393" t="str">
        <f t="shared" si="533"/>
        <v>[Service]</v>
      </c>
      <c r="DI298" s="1393" t="str">
        <f t="shared" si="533"/>
        <v>[Price]</v>
      </c>
      <c r="DJ298" s="1401" t="str">
        <f t="shared" si="523"/>
        <v>-</v>
      </c>
      <c r="DK298" s="1395" t="str">
        <f t="shared" si="524"/>
        <v>-</v>
      </c>
      <c r="DL298" s="1395" t="str">
        <f t="shared" si="525"/>
        <v>-</v>
      </c>
      <c r="DM298" s="1397" t="str">
        <f t="shared" si="526"/>
        <v>-</v>
      </c>
      <c r="DN298" s="1395" t="str">
        <f t="shared" si="527"/>
        <v>-</v>
      </c>
      <c r="DO298" s="1395" t="str">
        <f t="shared" si="528"/>
        <v>-</v>
      </c>
      <c r="DP298" s="1395" t="str">
        <f t="shared" si="529"/>
        <v>-</v>
      </c>
      <c r="DQ298" s="1398" t="str">
        <f t="shared" si="530"/>
        <v>-</v>
      </c>
    </row>
    <row r="299" spans="4:121" ht="12.75" thickBot="1">
      <c r="E299" s="743" t="s">
        <v>46</v>
      </c>
      <c r="F299" s="732" t="str">
        <f>+F297</f>
        <v>[Service]</v>
      </c>
      <c r="G299" s="733">
        <f>+G297</f>
        <v>0</v>
      </c>
      <c r="H299" s="733">
        <f>+H297</f>
        <v>0</v>
      </c>
      <c r="I299" s="734" t="str">
        <f>+I297</f>
        <v>[Price]</v>
      </c>
      <c r="J299" s="735" t="s">
        <v>344</v>
      </c>
      <c r="K299" s="736">
        <f t="shared" ref="K299:AG299" si="598">K297*K298/10^6</f>
        <v>0</v>
      </c>
      <c r="L299" s="737">
        <f t="shared" si="598"/>
        <v>0</v>
      </c>
      <c r="M299" s="737">
        <f t="shared" si="598"/>
        <v>0</v>
      </c>
      <c r="N299" s="738">
        <f t="shared" si="598"/>
        <v>0</v>
      </c>
      <c r="O299" s="737">
        <f t="shared" si="598"/>
        <v>0</v>
      </c>
      <c r="P299" s="738">
        <f t="shared" si="598"/>
        <v>0</v>
      </c>
      <c r="Q299" s="737">
        <f t="shared" si="598"/>
        <v>0</v>
      </c>
      <c r="R299" s="737">
        <f t="shared" si="598"/>
        <v>0</v>
      </c>
      <c r="S299" s="737">
        <f t="shared" si="598"/>
        <v>0</v>
      </c>
      <c r="T299" s="737">
        <f t="shared" si="598"/>
        <v>0</v>
      </c>
      <c r="U299" s="737">
        <f t="shared" si="598"/>
        <v>0</v>
      </c>
      <c r="V299" s="737">
        <f t="shared" si="598"/>
        <v>0</v>
      </c>
      <c r="W299" s="737">
        <f t="shared" si="598"/>
        <v>0</v>
      </c>
      <c r="X299" s="738">
        <f t="shared" si="598"/>
        <v>0</v>
      </c>
      <c r="Y299" s="737">
        <f t="shared" si="598"/>
        <v>0</v>
      </c>
      <c r="Z299" s="737">
        <f t="shared" si="598"/>
        <v>0</v>
      </c>
      <c r="AA299" s="737">
        <f t="shared" si="598"/>
        <v>0</v>
      </c>
      <c r="AB299" s="737">
        <f t="shared" si="598"/>
        <v>0</v>
      </c>
      <c r="AC299" s="738">
        <f t="shared" si="598"/>
        <v>0</v>
      </c>
      <c r="AD299" s="737">
        <f t="shared" si="598"/>
        <v>0</v>
      </c>
      <c r="AE299" s="737">
        <f t="shared" si="598"/>
        <v>0</v>
      </c>
      <c r="AF299" s="737">
        <f t="shared" si="598"/>
        <v>0</v>
      </c>
      <c r="AG299" s="739">
        <f t="shared" si="598"/>
        <v>0</v>
      </c>
      <c r="AH299" s="823"/>
      <c r="AI299" s="745"/>
      <c r="AJ299" s="741"/>
      <c r="AK299" s="729"/>
      <c r="AL299" s="729"/>
      <c r="AM299" s="729"/>
      <c r="AN299" s="729"/>
      <c r="AO299" s="730"/>
      <c r="AP299" s="74"/>
      <c r="AQ299" s="74"/>
      <c r="AR299" s="74"/>
      <c r="AS299" s="106"/>
      <c r="AW299" s="1428" t="str">
        <f t="shared" si="531"/>
        <v>Rev</v>
      </c>
      <c r="AX299" s="1429" t="str">
        <f t="shared" si="531"/>
        <v>[Service]</v>
      </c>
      <c r="AY299" s="1430" t="str">
        <f t="shared" si="496"/>
        <v>[Price]</v>
      </c>
      <c r="AZ299" s="1431" t="str">
        <f t="shared" si="588"/>
        <v>-</v>
      </c>
      <c r="BA299" s="1431" t="str">
        <f t="shared" si="588"/>
        <v>-</v>
      </c>
      <c r="BB299" s="1431" t="str">
        <f t="shared" si="588"/>
        <v>-</v>
      </c>
      <c r="BC299" s="1431" t="str">
        <f t="shared" si="588"/>
        <v>-</v>
      </c>
      <c r="BD299" s="1431" t="str">
        <f t="shared" si="498"/>
        <v>-</v>
      </c>
      <c r="BE299" s="1431" t="str">
        <f t="shared" si="499"/>
        <v>-</v>
      </c>
      <c r="BF299" s="1431" t="str">
        <f t="shared" si="500"/>
        <v>-</v>
      </c>
      <c r="BG299" s="1432" t="str">
        <f t="shared" si="501"/>
        <v>-</v>
      </c>
      <c r="BH299" s="1431" t="str">
        <f t="shared" si="502"/>
        <v>-</v>
      </c>
      <c r="BI299" s="1431" t="str">
        <f t="shared" si="503"/>
        <v>-</v>
      </c>
      <c r="BJ299" s="1431" t="str">
        <f t="shared" si="504"/>
        <v>-</v>
      </c>
      <c r="BK299" s="1431" t="str">
        <f t="shared" si="505"/>
        <v>-</v>
      </c>
      <c r="BL299" s="1433" t="str">
        <f t="shared" si="506"/>
        <v>-</v>
      </c>
      <c r="BM299" s="1431" t="str">
        <f t="shared" si="507"/>
        <v>-</v>
      </c>
      <c r="BN299" s="1431" t="str">
        <f t="shared" si="508"/>
        <v>-</v>
      </c>
      <c r="BO299" s="1431" t="str">
        <f t="shared" si="509"/>
        <v>-</v>
      </c>
      <c r="BP299" s="1431" t="str">
        <f t="shared" si="510"/>
        <v>-</v>
      </c>
      <c r="BQ299" s="1434" t="str">
        <f t="shared" si="511"/>
        <v>-</v>
      </c>
      <c r="BR299" s="1378"/>
      <c r="BS299" s="1407"/>
      <c r="BT299" s="1408"/>
      <c r="BU299" s="1409"/>
      <c r="BV299" s="1410"/>
      <c r="BW299" s="1378"/>
      <c r="BX299" s="1428" t="str">
        <f t="shared" si="512"/>
        <v>Rev</v>
      </c>
      <c r="BY299" s="1429" t="str">
        <f t="shared" si="557"/>
        <v>[Service]</v>
      </c>
      <c r="BZ299" s="1430" t="str">
        <f t="shared" si="558"/>
        <v>[Price]</v>
      </c>
      <c r="CA299" s="1435" t="str">
        <f>IFERROR((S299/R299-1)*(R299/R$13),"-")</f>
        <v>-</v>
      </c>
      <c r="CB299" s="1431" t="str">
        <f>IFERROR((T299/S299-1)*(S299/S$13),"-")</f>
        <v>-</v>
      </c>
      <c r="CC299" s="1431" t="str">
        <f>IFERROR((U299/T299-1)*(T299/T$13),"-")</f>
        <v>-</v>
      </c>
      <c r="CD299" s="1431" t="str">
        <f>IFERROR((V299/U299-1)*(U299/U$13),"-")</f>
        <v>-</v>
      </c>
      <c r="CE299" s="1431" t="str">
        <f t="shared" ref="CE299:CR299" si="599">IFERROR((T299/S299-1)*(S299/S$13),"-")</f>
        <v>-</v>
      </c>
      <c r="CF299" s="1431" t="str">
        <f t="shared" si="599"/>
        <v>-</v>
      </c>
      <c r="CG299" s="1431" t="str">
        <f t="shared" si="599"/>
        <v>-</v>
      </c>
      <c r="CH299" s="1433" t="str">
        <f t="shared" si="599"/>
        <v>-</v>
      </c>
      <c r="CI299" s="1431" t="str">
        <f t="shared" si="599"/>
        <v>-</v>
      </c>
      <c r="CJ299" s="1431" t="str">
        <f t="shared" si="599"/>
        <v>-</v>
      </c>
      <c r="CK299" s="1431" t="str">
        <f t="shared" si="599"/>
        <v>-</v>
      </c>
      <c r="CL299" s="1431" t="str">
        <f t="shared" si="599"/>
        <v>-</v>
      </c>
      <c r="CM299" s="1433" t="str">
        <f t="shared" si="599"/>
        <v>-</v>
      </c>
      <c r="CN299" s="1431" t="str">
        <f t="shared" si="599"/>
        <v>-</v>
      </c>
      <c r="CO299" s="1431" t="str">
        <f t="shared" si="599"/>
        <v>-</v>
      </c>
      <c r="CP299" s="1431" t="str">
        <f t="shared" si="599"/>
        <v>-</v>
      </c>
      <c r="CQ299" s="1431" t="str">
        <f t="shared" si="599"/>
        <v>-</v>
      </c>
      <c r="CR299" s="1434" t="str">
        <f t="shared" si="599"/>
        <v>-</v>
      </c>
      <c r="CS299" s="1378"/>
      <c r="CT299" s="1428" t="str">
        <f t="shared" si="492"/>
        <v>Rev</v>
      </c>
      <c r="CU299" s="1429" t="str">
        <f t="shared" si="493"/>
        <v>[Service]</v>
      </c>
      <c r="CV299" s="1429" t="str">
        <f t="shared" si="494"/>
        <v>[Price]</v>
      </c>
      <c r="CW299" s="1435" t="str">
        <f t="shared" si="514"/>
        <v>-</v>
      </c>
      <c r="CX299" s="1431" t="str">
        <f t="shared" si="515"/>
        <v>-</v>
      </c>
      <c r="CY299" s="1431" t="str">
        <f t="shared" si="516"/>
        <v>-</v>
      </c>
      <c r="CZ299" s="1433" t="str">
        <f t="shared" si="517"/>
        <v>-</v>
      </c>
      <c r="DA299" s="1431" t="str">
        <f t="shared" si="518"/>
        <v>-</v>
      </c>
      <c r="DB299" s="1431" t="str">
        <f t="shared" si="519"/>
        <v>-</v>
      </c>
      <c r="DC299" s="1431" t="str">
        <f t="shared" si="520"/>
        <v>-</v>
      </c>
      <c r="DD299" s="1431" t="str">
        <f t="shared" si="521"/>
        <v>-</v>
      </c>
      <c r="DE299" s="1434" t="str">
        <f t="shared" si="522"/>
        <v>-</v>
      </c>
      <c r="DF299" s="1378"/>
      <c r="DG299" s="1428" t="str">
        <f t="shared" si="533"/>
        <v>Rev</v>
      </c>
      <c r="DH299" s="1429" t="str">
        <f t="shared" si="533"/>
        <v>[Service]</v>
      </c>
      <c r="DI299" s="1429" t="str">
        <f t="shared" si="533"/>
        <v>[Price]</v>
      </c>
      <c r="DJ299" s="1435" t="str">
        <f t="shared" si="523"/>
        <v>-</v>
      </c>
      <c r="DK299" s="1431" t="str">
        <f t="shared" si="524"/>
        <v>-</v>
      </c>
      <c r="DL299" s="1431" t="str">
        <f t="shared" si="525"/>
        <v>-</v>
      </c>
      <c r="DM299" s="1433" t="str">
        <f t="shared" si="526"/>
        <v>-</v>
      </c>
      <c r="DN299" s="1431" t="str">
        <f t="shared" si="527"/>
        <v>-</v>
      </c>
      <c r="DO299" s="1431" t="str">
        <f t="shared" si="528"/>
        <v>-</v>
      </c>
      <c r="DP299" s="1431" t="str">
        <f t="shared" si="529"/>
        <v>-</v>
      </c>
      <c r="DQ299" s="1434" t="str">
        <f t="shared" si="530"/>
        <v>-</v>
      </c>
    </row>
    <row r="300" spans="4:121">
      <c r="D300" s="70">
        <f>D297+1</f>
        <v>78</v>
      </c>
      <c r="E300" s="713" t="s">
        <v>44</v>
      </c>
      <c r="F300" s="789" t="s">
        <v>27</v>
      </c>
      <c r="G300" s="789"/>
      <c r="H300" s="789"/>
      <c r="I300" s="781" t="s">
        <v>318</v>
      </c>
      <c r="J300" s="781" t="s">
        <v>345</v>
      </c>
      <c r="K300" s="714"/>
      <c r="L300" s="715"/>
      <c r="M300" s="715"/>
      <c r="N300" s="716"/>
      <c r="O300" s="783"/>
      <c r="P300" s="784"/>
      <c r="Q300" s="783"/>
      <c r="R300" s="783"/>
      <c r="S300" s="783"/>
      <c r="T300" s="783"/>
      <c r="U300" s="783"/>
      <c r="V300" s="783"/>
      <c r="W300" s="783"/>
      <c r="X300" s="784"/>
      <c r="Y300" s="783"/>
      <c r="Z300" s="783"/>
      <c r="AA300" s="783"/>
      <c r="AB300" s="783"/>
      <c r="AC300" s="784"/>
      <c r="AD300" s="783"/>
      <c r="AE300" s="783"/>
      <c r="AF300" s="783"/>
      <c r="AG300" s="785"/>
      <c r="AI300" s="745"/>
      <c r="AJ300" s="717" t="str">
        <f t="shared" ref="AJ300:AS300" si="600">IFERROR((X300-W300)/W300,"")</f>
        <v/>
      </c>
      <c r="AK300" s="718" t="str">
        <f t="shared" si="600"/>
        <v/>
      </c>
      <c r="AL300" s="718" t="str">
        <f t="shared" si="600"/>
        <v/>
      </c>
      <c r="AM300" s="718" t="str">
        <f t="shared" si="600"/>
        <v/>
      </c>
      <c r="AN300" s="718" t="str">
        <f t="shared" si="600"/>
        <v/>
      </c>
      <c r="AO300" s="719" t="str">
        <f t="shared" si="600"/>
        <v/>
      </c>
      <c r="AP300" s="494" t="str">
        <f t="shared" si="600"/>
        <v/>
      </c>
      <c r="AQ300" s="494" t="str">
        <f t="shared" si="600"/>
        <v/>
      </c>
      <c r="AR300" s="494" t="str">
        <f t="shared" si="600"/>
        <v/>
      </c>
      <c r="AS300" s="720" t="str">
        <f t="shared" si="600"/>
        <v/>
      </c>
      <c r="AU300" s="1369"/>
      <c r="AW300" s="1412" t="str">
        <f t="shared" si="531"/>
        <v>Price</v>
      </c>
      <c r="AX300" s="1413" t="str">
        <f t="shared" si="531"/>
        <v>[Service]</v>
      </c>
      <c r="AY300" s="1414" t="str">
        <f t="shared" si="496"/>
        <v>[Price]</v>
      </c>
      <c r="AZ300" s="1415" t="str">
        <f t="shared" si="588"/>
        <v>-</v>
      </c>
      <c r="BA300" s="1415" t="str">
        <f t="shared" si="588"/>
        <v>-</v>
      </c>
      <c r="BB300" s="1415" t="str">
        <f t="shared" si="588"/>
        <v>-</v>
      </c>
      <c r="BC300" s="1415" t="str">
        <f t="shared" si="588"/>
        <v>-</v>
      </c>
      <c r="BD300" s="1415" t="str">
        <f t="shared" si="498"/>
        <v>-</v>
      </c>
      <c r="BE300" s="1415" t="str">
        <f t="shared" si="499"/>
        <v>-</v>
      </c>
      <c r="BF300" s="1415" t="str">
        <f t="shared" si="500"/>
        <v>-</v>
      </c>
      <c r="BG300" s="1416" t="str">
        <f t="shared" si="501"/>
        <v>-</v>
      </c>
      <c r="BH300" s="1417" t="str">
        <f t="shared" si="502"/>
        <v>-</v>
      </c>
      <c r="BI300" s="1417" t="str">
        <f t="shared" si="503"/>
        <v>-</v>
      </c>
      <c r="BJ300" s="1417" t="str">
        <f t="shared" si="504"/>
        <v>-</v>
      </c>
      <c r="BK300" s="1417" t="str">
        <f t="shared" si="505"/>
        <v>-</v>
      </c>
      <c r="BL300" s="1418" t="str">
        <f t="shared" si="506"/>
        <v>-</v>
      </c>
      <c r="BM300" s="1417" t="str">
        <f t="shared" si="507"/>
        <v>-</v>
      </c>
      <c r="BN300" s="1417" t="str">
        <f t="shared" si="508"/>
        <v>-</v>
      </c>
      <c r="BO300" s="1417" t="str">
        <f t="shared" si="509"/>
        <v>-</v>
      </c>
      <c r="BP300" s="1417" t="str">
        <f t="shared" si="510"/>
        <v>-</v>
      </c>
      <c r="BQ300" s="1419" t="str">
        <f t="shared" si="511"/>
        <v>-</v>
      </c>
      <c r="BR300" s="1378"/>
      <c r="BS300" s="1420"/>
      <c r="BT300" s="1421"/>
      <c r="BU300" s="1422"/>
      <c r="BV300" s="1423"/>
      <c r="BW300" s="1378"/>
      <c r="BX300" s="1412" t="str">
        <f t="shared" si="512"/>
        <v>Price</v>
      </c>
      <c r="BY300" s="1413" t="str">
        <f t="shared" si="557"/>
        <v>[Service]</v>
      </c>
      <c r="BZ300" s="1414" t="str">
        <f t="shared" si="558"/>
        <v>[Price]</v>
      </c>
      <c r="CA300" s="1424" t="str">
        <f>IFERROR((S300/R300-1)*(R302/R$13),"-")</f>
        <v>-</v>
      </c>
      <c r="CB300" s="1415" t="str">
        <f>IFERROR((T300/S300-1)*(S302/S$13),"-")</f>
        <v>-</v>
      </c>
      <c r="CC300" s="1415" t="str">
        <f>IFERROR((U300/T300-1)*(T302/T$13),"-")</f>
        <v>-</v>
      </c>
      <c r="CD300" s="1415" t="str">
        <f>IFERROR((V300/U300-1)*(U302/U$13),"-")</f>
        <v>-</v>
      </c>
      <c r="CE300" s="1415" t="str">
        <f t="shared" ref="CE300:CR300" si="601">IFERROR((T300/S300-1)*(S302/S$13),"-")</f>
        <v>-</v>
      </c>
      <c r="CF300" s="1415" t="str">
        <f t="shared" si="601"/>
        <v>-</v>
      </c>
      <c r="CG300" s="1415" t="str">
        <f t="shared" si="601"/>
        <v>-</v>
      </c>
      <c r="CH300" s="1425" t="str">
        <f t="shared" si="601"/>
        <v>-</v>
      </c>
      <c r="CI300" s="1417" t="str">
        <f t="shared" si="601"/>
        <v>-</v>
      </c>
      <c r="CJ300" s="1417" t="str">
        <f t="shared" si="601"/>
        <v>-</v>
      </c>
      <c r="CK300" s="1417" t="str">
        <f t="shared" si="601"/>
        <v>-</v>
      </c>
      <c r="CL300" s="1417" t="str">
        <f t="shared" si="601"/>
        <v>-</v>
      </c>
      <c r="CM300" s="1418" t="str">
        <f t="shared" si="601"/>
        <v>-</v>
      </c>
      <c r="CN300" s="1417" t="str">
        <f t="shared" si="601"/>
        <v>-</v>
      </c>
      <c r="CO300" s="1417" t="str">
        <f t="shared" si="601"/>
        <v>-</v>
      </c>
      <c r="CP300" s="1417" t="str">
        <f t="shared" si="601"/>
        <v>-</v>
      </c>
      <c r="CQ300" s="1417" t="str">
        <f t="shared" si="601"/>
        <v>-</v>
      </c>
      <c r="CR300" s="1419" t="str">
        <f t="shared" si="601"/>
        <v>-</v>
      </c>
      <c r="CS300" s="1378"/>
      <c r="CT300" s="1412" t="str">
        <f t="shared" si="492"/>
        <v>Price</v>
      </c>
      <c r="CU300" s="1413" t="str">
        <f t="shared" si="493"/>
        <v>[Service]</v>
      </c>
      <c r="CV300" s="1426" t="str">
        <f t="shared" si="494"/>
        <v>[Price]</v>
      </c>
      <c r="CW300" s="1427" t="str">
        <f t="shared" si="514"/>
        <v>-</v>
      </c>
      <c r="CX300" s="1417" t="str">
        <f t="shared" si="515"/>
        <v>-</v>
      </c>
      <c r="CY300" s="1417" t="str">
        <f t="shared" si="516"/>
        <v>-</v>
      </c>
      <c r="CZ300" s="1418" t="str">
        <f t="shared" si="517"/>
        <v>-</v>
      </c>
      <c r="DA300" s="1417" t="str">
        <f t="shared" si="518"/>
        <v>-</v>
      </c>
      <c r="DB300" s="1417" t="str">
        <f t="shared" si="519"/>
        <v>-</v>
      </c>
      <c r="DC300" s="1417" t="str">
        <f t="shared" si="520"/>
        <v>-</v>
      </c>
      <c r="DD300" s="1417" t="str">
        <f t="shared" si="521"/>
        <v>-</v>
      </c>
      <c r="DE300" s="1419" t="str">
        <f t="shared" si="522"/>
        <v>-</v>
      </c>
      <c r="DF300" s="1378"/>
      <c r="DG300" s="1412" t="str">
        <f t="shared" si="533"/>
        <v>Price</v>
      </c>
      <c r="DH300" s="1413" t="str">
        <f t="shared" si="533"/>
        <v>[Service]</v>
      </c>
      <c r="DI300" s="1426" t="str">
        <f t="shared" si="533"/>
        <v>[Price]</v>
      </c>
      <c r="DJ300" s="1427" t="str">
        <f t="shared" si="523"/>
        <v>-</v>
      </c>
      <c r="DK300" s="1417" t="str">
        <f t="shared" si="524"/>
        <v>-</v>
      </c>
      <c r="DL300" s="1417" t="str">
        <f t="shared" si="525"/>
        <v>-</v>
      </c>
      <c r="DM300" s="1418" t="str">
        <f t="shared" si="526"/>
        <v>-</v>
      </c>
      <c r="DN300" s="1417" t="str">
        <f t="shared" si="527"/>
        <v>-</v>
      </c>
      <c r="DO300" s="1417" t="str">
        <f t="shared" si="528"/>
        <v>-</v>
      </c>
      <c r="DP300" s="1417" t="str">
        <f t="shared" si="529"/>
        <v>-</v>
      </c>
      <c r="DQ300" s="1419" t="str">
        <f t="shared" si="530"/>
        <v>-</v>
      </c>
    </row>
    <row r="301" spans="4:121">
      <c r="E301" s="742" t="s">
        <v>45</v>
      </c>
      <c r="F301" s="722" t="str">
        <f>+F300</f>
        <v>[Service]</v>
      </c>
      <c r="G301" s="723">
        <f>+G300</f>
        <v>0</v>
      </c>
      <c r="H301" s="723">
        <f>+H300</f>
        <v>0</v>
      </c>
      <c r="I301" s="724" t="str">
        <f>+I300</f>
        <v>[Price]</v>
      </c>
      <c r="J301" s="782" t="s">
        <v>322</v>
      </c>
      <c r="K301" s="725"/>
      <c r="L301" s="726"/>
      <c r="M301" s="726"/>
      <c r="N301" s="727"/>
      <c r="O301" s="786"/>
      <c r="P301" s="787"/>
      <c r="Q301" s="786"/>
      <c r="R301" s="786"/>
      <c r="S301" s="786"/>
      <c r="T301" s="786"/>
      <c r="U301" s="786"/>
      <c r="V301" s="786"/>
      <c r="W301" s="786"/>
      <c r="X301" s="787"/>
      <c r="Y301" s="786"/>
      <c r="Z301" s="786"/>
      <c r="AA301" s="786"/>
      <c r="AB301" s="786"/>
      <c r="AC301" s="787"/>
      <c r="AD301" s="786"/>
      <c r="AE301" s="786"/>
      <c r="AF301" s="786"/>
      <c r="AG301" s="788"/>
      <c r="AH301" s="823"/>
      <c r="AI301" s="745"/>
      <c r="AJ301" s="728"/>
      <c r="AK301" s="729"/>
      <c r="AL301" s="729"/>
      <c r="AM301" s="729"/>
      <c r="AN301" s="729"/>
      <c r="AO301" s="730"/>
      <c r="AP301" s="74"/>
      <c r="AQ301" s="74"/>
      <c r="AR301" s="74"/>
      <c r="AS301" s="106"/>
      <c r="AW301" s="1392" t="str">
        <f t="shared" si="531"/>
        <v>Qty</v>
      </c>
      <c r="AX301" s="1393" t="str">
        <f t="shared" si="531"/>
        <v>[Service]</v>
      </c>
      <c r="AY301" s="1394" t="str">
        <f t="shared" si="496"/>
        <v>[Price]</v>
      </c>
      <c r="AZ301" s="1395" t="str">
        <f t="shared" si="588"/>
        <v>-</v>
      </c>
      <c r="BA301" s="1395" t="str">
        <f t="shared" si="588"/>
        <v>-</v>
      </c>
      <c r="BB301" s="1395" t="str">
        <f t="shared" si="588"/>
        <v>-</v>
      </c>
      <c r="BC301" s="1395" t="str">
        <f t="shared" si="588"/>
        <v>-</v>
      </c>
      <c r="BD301" s="1395" t="str">
        <f t="shared" si="498"/>
        <v>-</v>
      </c>
      <c r="BE301" s="1395" t="str">
        <f t="shared" si="499"/>
        <v>-</v>
      </c>
      <c r="BF301" s="1395" t="str">
        <f t="shared" si="500"/>
        <v>-</v>
      </c>
      <c r="BG301" s="1396" t="str">
        <f t="shared" si="501"/>
        <v>-</v>
      </c>
      <c r="BH301" s="1395" t="str">
        <f t="shared" si="502"/>
        <v>-</v>
      </c>
      <c r="BI301" s="1395" t="str">
        <f t="shared" si="503"/>
        <v>-</v>
      </c>
      <c r="BJ301" s="1395" t="str">
        <f t="shared" si="504"/>
        <v>-</v>
      </c>
      <c r="BK301" s="1395" t="str">
        <f t="shared" si="505"/>
        <v>-</v>
      </c>
      <c r="BL301" s="1397" t="str">
        <f t="shared" si="506"/>
        <v>-</v>
      </c>
      <c r="BM301" s="1395" t="str">
        <f t="shared" si="507"/>
        <v>-</v>
      </c>
      <c r="BN301" s="1395" t="str">
        <f t="shared" si="508"/>
        <v>-</v>
      </c>
      <c r="BO301" s="1395" t="str">
        <f t="shared" si="509"/>
        <v>-</v>
      </c>
      <c r="BP301" s="1395" t="str">
        <f t="shared" si="510"/>
        <v>-</v>
      </c>
      <c r="BQ301" s="1398" t="str">
        <f t="shared" si="511"/>
        <v>-</v>
      </c>
      <c r="BR301" s="1378"/>
      <c r="BS301" s="1329"/>
      <c r="BT301" s="1399"/>
      <c r="BU301" s="1331"/>
      <c r="BV301" s="1400"/>
      <c r="BW301" s="1378"/>
      <c r="BX301" s="1392" t="str">
        <f t="shared" si="512"/>
        <v>Qty</v>
      </c>
      <c r="BY301" s="1393" t="str">
        <f t="shared" si="557"/>
        <v>[Service]</v>
      </c>
      <c r="BZ301" s="1394" t="str">
        <f t="shared" si="558"/>
        <v>[Price]</v>
      </c>
      <c r="CA301" s="1401" t="str">
        <f>IFERROR((S301/R301-1)*(R302/R$13),"-")</f>
        <v>-</v>
      </c>
      <c r="CB301" s="1395" t="str">
        <f>IFERROR((T301/S301-1)*(S302/S$13),"-")</f>
        <v>-</v>
      </c>
      <c r="CC301" s="1395" t="str">
        <f>IFERROR((U301/T301-1)*(T302/T$13),"-")</f>
        <v>-</v>
      </c>
      <c r="CD301" s="1395" t="str">
        <f>IFERROR((V301/U301-1)*(U302/U$13),"-")</f>
        <v>-</v>
      </c>
      <c r="CE301" s="1395" t="str">
        <f t="shared" ref="CE301:CR301" si="602">IFERROR((T301/S301-1)*(S302/S$13),"-")</f>
        <v>-</v>
      </c>
      <c r="CF301" s="1395" t="str">
        <f t="shared" si="602"/>
        <v>-</v>
      </c>
      <c r="CG301" s="1395" t="str">
        <f t="shared" si="602"/>
        <v>-</v>
      </c>
      <c r="CH301" s="1397" t="str">
        <f t="shared" si="602"/>
        <v>-</v>
      </c>
      <c r="CI301" s="1395" t="str">
        <f t="shared" si="602"/>
        <v>-</v>
      </c>
      <c r="CJ301" s="1395" t="str">
        <f t="shared" si="602"/>
        <v>-</v>
      </c>
      <c r="CK301" s="1395" t="str">
        <f t="shared" si="602"/>
        <v>-</v>
      </c>
      <c r="CL301" s="1395" t="str">
        <f t="shared" si="602"/>
        <v>-</v>
      </c>
      <c r="CM301" s="1397" t="str">
        <f t="shared" si="602"/>
        <v>-</v>
      </c>
      <c r="CN301" s="1395" t="str">
        <f t="shared" si="602"/>
        <v>-</v>
      </c>
      <c r="CO301" s="1395" t="str">
        <f t="shared" si="602"/>
        <v>-</v>
      </c>
      <c r="CP301" s="1395" t="str">
        <f t="shared" si="602"/>
        <v>-</v>
      </c>
      <c r="CQ301" s="1395" t="str">
        <f t="shared" si="602"/>
        <v>-</v>
      </c>
      <c r="CR301" s="1398" t="str">
        <f t="shared" si="602"/>
        <v>-</v>
      </c>
      <c r="CS301" s="1378"/>
      <c r="CT301" s="1392" t="str">
        <f t="shared" si="492"/>
        <v>Qty</v>
      </c>
      <c r="CU301" s="1393" t="str">
        <f t="shared" si="493"/>
        <v>[Service]</v>
      </c>
      <c r="CV301" s="1393" t="str">
        <f t="shared" si="494"/>
        <v>[Price]</v>
      </c>
      <c r="CW301" s="1401" t="str">
        <f t="shared" si="514"/>
        <v>-</v>
      </c>
      <c r="CX301" s="1395" t="str">
        <f t="shared" si="515"/>
        <v>-</v>
      </c>
      <c r="CY301" s="1395" t="str">
        <f t="shared" si="516"/>
        <v>-</v>
      </c>
      <c r="CZ301" s="1397" t="str">
        <f t="shared" si="517"/>
        <v>-</v>
      </c>
      <c r="DA301" s="1395" t="str">
        <f t="shared" si="518"/>
        <v>-</v>
      </c>
      <c r="DB301" s="1395" t="str">
        <f t="shared" si="519"/>
        <v>-</v>
      </c>
      <c r="DC301" s="1395" t="str">
        <f t="shared" si="520"/>
        <v>-</v>
      </c>
      <c r="DD301" s="1395" t="str">
        <f t="shared" si="521"/>
        <v>-</v>
      </c>
      <c r="DE301" s="1398" t="str">
        <f t="shared" si="522"/>
        <v>-</v>
      </c>
      <c r="DF301" s="1378"/>
      <c r="DG301" s="1392" t="str">
        <f t="shared" si="533"/>
        <v>Qty</v>
      </c>
      <c r="DH301" s="1393" t="str">
        <f t="shared" si="533"/>
        <v>[Service]</v>
      </c>
      <c r="DI301" s="1393" t="str">
        <f t="shared" si="533"/>
        <v>[Price]</v>
      </c>
      <c r="DJ301" s="1401" t="str">
        <f t="shared" si="523"/>
        <v>-</v>
      </c>
      <c r="DK301" s="1395" t="str">
        <f t="shared" si="524"/>
        <v>-</v>
      </c>
      <c r="DL301" s="1395" t="str">
        <f t="shared" si="525"/>
        <v>-</v>
      </c>
      <c r="DM301" s="1397" t="str">
        <f t="shared" si="526"/>
        <v>-</v>
      </c>
      <c r="DN301" s="1395" t="str">
        <f t="shared" si="527"/>
        <v>-</v>
      </c>
      <c r="DO301" s="1395" t="str">
        <f t="shared" si="528"/>
        <v>-</v>
      </c>
      <c r="DP301" s="1395" t="str">
        <f t="shared" si="529"/>
        <v>-</v>
      </c>
      <c r="DQ301" s="1398" t="str">
        <f t="shared" si="530"/>
        <v>-</v>
      </c>
    </row>
    <row r="302" spans="4:121" ht="12.75" thickBot="1">
      <c r="E302" s="743" t="s">
        <v>46</v>
      </c>
      <c r="F302" s="732" t="str">
        <f>+F300</f>
        <v>[Service]</v>
      </c>
      <c r="G302" s="733">
        <f>+G300</f>
        <v>0</v>
      </c>
      <c r="H302" s="733">
        <f>+H300</f>
        <v>0</v>
      </c>
      <c r="I302" s="734" t="str">
        <f>+I300</f>
        <v>[Price]</v>
      </c>
      <c r="J302" s="735" t="s">
        <v>344</v>
      </c>
      <c r="K302" s="736">
        <f t="shared" ref="K302:AG302" si="603">K300*K301/10^6</f>
        <v>0</v>
      </c>
      <c r="L302" s="737">
        <f t="shared" si="603"/>
        <v>0</v>
      </c>
      <c r="M302" s="737">
        <f t="shared" si="603"/>
        <v>0</v>
      </c>
      <c r="N302" s="738">
        <f t="shared" si="603"/>
        <v>0</v>
      </c>
      <c r="O302" s="737">
        <f t="shared" si="603"/>
        <v>0</v>
      </c>
      <c r="P302" s="738">
        <f t="shared" si="603"/>
        <v>0</v>
      </c>
      <c r="Q302" s="737">
        <f t="shared" si="603"/>
        <v>0</v>
      </c>
      <c r="R302" s="737">
        <f t="shared" si="603"/>
        <v>0</v>
      </c>
      <c r="S302" s="737">
        <f t="shared" si="603"/>
        <v>0</v>
      </c>
      <c r="T302" s="737">
        <f t="shared" si="603"/>
        <v>0</v>
      </c>
      <c r="U302" s="737">
        <f t="shared" si="603"/>
        <v>0</v>
      </c>
      <c r="V302" s="737">
        <f t="shared" si="603"/>
        <v>0</v>
      </c>
      <c r="W302" s="737">
        <f t="shared" si="603"/>
        <v>0</v>
      </c>
      <c r="X302" s="738">
        <f t="shared" si="603"/>
        <v>0</v>
      </c>
      <c r="Y302" s="737">
        <f t="shared" si="603"/>
        <v>0</v>
      </c>
      <c r="Z302" s="737">
        <f t="shared" si="603"/>
        <v>0</v>
      </c>
      <c r="AA302" s="737">
        <f t="shared" si="603"/>
        <v>0</v>
      </c>
      <c r="AB302" s="737">
        <f t="shared" si="603"/>
        <v>0</v>
      </c>
      <c r="AC302" s="738">
        <f t="shared" si="603"/>
        <v>0</v>
      </c>
      <c r="AD302" s="737">
        <f t="shared" si="603"/>
        <v>0</v>
      </c>
      <c r="AE302" s="737">
        <f t="shared" si="603"/>
        <v>0</v>
      </c>
      <c r="AF302" s="737">
        <f t="shared" si="603"/>
        <v>0</v>
      </c>
      <c r="AG302" s="739">
        <f t="shared" si="603"/>
        <v>0</v>
      </c>
      <c r="AH302" s="823"/>
      <c r="AI302" s="745"/>
      <c r="AJ302" s="741"/>
      <c r="AK302" s="729"/>
      <c r="AL302" s="729"/>
      <c r="AM302" s="729"/>
      <c r="AN302" s="729"/>
      <c r="AO302" s="730"/>
      <c r="AP302" s="74"/>
      <c r="AQ302" s="74"/>
      <c r="AR302" s="74"/>
      <c r="AS302" s="106"/>
      <c r="AW302" s="1428" t="str">
        <f t="shared" si="531"/>
        <v>Rev</v>
      </c>
      <c r="AX302" s="1429" t="str">
        <f t="shared" si="531"/>
        <v>[Service]</v>
      </c>
      <c r="AY302" s="1430" t="str">
        <f t="shared" si="496"/>
        <v>[Price]</v>
      </c>
      <c r="AZ302" s="1431" t="str">
        <f t="shared" si="588"/>
        <v>-</v>
      </c>
      <c r="BA302" s="1431" t="str">
        <f t="shared" si="588"/>
        <v>-</v>
      </c>
      <c r="BB302" s="1431" t="str">
        <f t="shared" si="588"/>
        <v>-</v>
      </c>
      <c r="BC302" s="1431" t="str">
        <f t="shared" si="588"/>
        <v>-</v>
      </c>
      <c r="BD302" s="1431" t="str">
        <f t="shared" si="498"/>
        <v>-</v>
      </c>
      <c r="BE302" s="1431" t="str">
        <f t="shared" si="499"/>
        <v>-</v>
      </c>
      <c r="BF302" s="1431" t="str">
        <f t="shared" si="500"/>
        <v>-</v>
      </c>
      <c r="BG302" s="1432" t="str">
        <f t="shared" si="501"/>
        <v>-</v>
      </c>
      <c r="BH302" s="1431" t="str">
        <f t="shared" si="502"/>
        <v>-</v>
      </c>
      <c r="BI302" s="1431" t="str">
        <f t="shared" si="503"/>
        <v>-</v>
      </c>
      <c r="BJ302" s="1431" t="str">
        <f t="shared" si="504"/>
        <v>-</v>
      </c>
      <c r="BK302" s="1431" t="str">
        <f t="shared" si="505"/>
        <v>-</v>
      </c>
      <c r="BL302" s="1433" t="str">
        <f t="shared" si="506"/>
        <v>-</v>
      </c>
      <c r="BM302" s="1431" t="str">
        <f t="shared" si="507"/>
        <v>-</v>
      </c>
      <c r="BN302" s="1431" t="str">
        <f t="shared" si="508"/>
        <v>-</v>
      </c>
      <c r="BO302" s="1431" t="str">
        <f t="shared" si="509"/>
        <v>-</v>
      </c>
      <c r="BP302" s="1431" t="str">
        <f t="shared" si="510"/>
        <v>-</v>
      </c>
      <c r="BQ302" s="1434" t="str">
        <f t="shared" si="511"/>
        <v>-</v>
      </c>
      <c r="BR302" s="1378"/>
      <c r="BS302" s="1407"/>
      <c r="BT302" s="1408"/>
      <c r="BU302" s="1409"/>
      <c r="BV302" s="1410"/>
      <c r="BW302" s="1378"/>
      <c r="BX302" s="1428" t="str">
        <f t="shared" si="512"/>
        <v>Rev</v>
      </c>
      <c r="BY302" s="1429" t="str">
        <f t="shared" si="557"/>
        <v>[Service]</v>
      </c>
      <c r="BZ302" s="1430" t="str">
        <f t="shared" si="558"/>
        <v>[Price]</v>
      </c>
      <c r="CA302" s="1435" t="str">
        <f>IFERROR((S302/R302-1)*(R302/R$13),"-")</f>
        <v>-</v>
      </c>
      <c r="CB302" s="1431" t="str">
        <f>IFERROR((T302/S302-1)*(S302/S$13),"-")</f>
        <v>-</v>
      </c>
      <c r="CC302" s="1431" t="str">
        <f>IFERROR((U302/T302-1)*(T302/T$13),"-")</f>
        <v>-</v>
      </c>
      <c r="CD302" s="1431" t="str">
        <f>IFERROR((V302/U302-1)*(U302/U$13),"-")</f>
        <v>-</v>
      </c>
      <c r="CE302" s="1431" t="str">
        <f t="shared" ref="CE302:CR302" si="604">IFERROR((T302/S302-1)*(S302/S$13),"-")</f>
        <v>-</v>
      </c>
      <c r="CF302" s="1431" t="str">
        <f t="shared" si="604"/>
        <v>-</v>
      </c>
      <c r="CG302" s="1431" t="str">
        <f t="shared" si="604"/>
        <v>-</v>
      </c>
      <c r="CH302" s="1433" t="str">
        <f t="shared" si="604"/>
        <v>-</v>
      </c>
      <c r="CI302" s="1431" t="str">
        <f t="shared" si="604"/>
        <v>-</v>
      </c>
      <c r="CJ302" s="1431" t="str">
        <f t="shared" si="604"/>
        <v>-</v>
      </c>
      <c r="CK302" s="1431" t="str">
        <f t="shared" si="604"/>
        <v>-</v>
      </c>
      <c r="CL302" s="1431" t="str">
        <f t="shared" si="604"/>
        <v>-</v>
      </c>
      <c r="CM302" s="1433" t="str">
        <f t="shared" si="604"/>
        <v>-</v>
      </c>
      <c r="CN302" s="1431" t="str">
        <f t="shared" si="604"/>
        <v>-</v>
      </c>
      <c r="CO302" s="1431" t="str">
        <f t="shared" si="604"/>
        <v>-</v>
      </c>
      <c r="CP302" s="1431" t="str">
        <f t="shared" si="604"/>
        <v>-</v>
      </c>
      <c r="CQ302" s="1431" t="str">
        <f t="shared" si="604"/>
        <v>-</v>
      </c>
      <c r="CR302" s="1434" t="str">
        <f t="shared" si="604"/>
        <v>-</v>
      </c>
      <c r="CS302" s="1378"/>
      <c r="CT302" s="1428" t="str">
        <f t="shared" si="492"/>
        <v>Rev</v>
      </c>
      <c r="CU302" s="1429" t="str">
        <f t="shared" si="493"/>
        <v>[Service]</v>
      </c>
      <c r="CV302" s="1429" t="str">
        <f t="shared" si="494"/>
        <v>[Price]</v>
      </c>
      <c r="CW302" s="1435" t="str">
        <f t="shared" si="514"/>
        <v>-</v>
      </c>
      <c r="CX302" s="1431" t="str">
        <f t="shared" si="515"/>
        <v>-</v>
      </c>
      <c r="CY302" s="1431" t="str">
        <f t="shared" si="516"/>
        <v>-</v>
      </c>
      <c r="CZ302" s="1433" t="str">
        <f t="shared" si="517"/>
        <v>-</v>
      </c>
      <c r="DA302" s="1431" t="str">
        <f t="shared" si="518"/>
        <v>-</v>
      </c>
      <c r="DB302" s="1431" t="str">
        <f t="shared" si="519"/>
        <v>-</v>
      </c>
      <c r="DC302" s="1431" t="str">
        <f t="shared" si="520"/>
        <v>-</v>
      </c>
      <c r="DD302" s="1431" t="str">
        <f t="shared" si="521"/>
        <v>-</v>
      </c>
      <c r="DE302" s="1434" t="str">
        <f t="shared" si="522"/>
        <v>-</v>
      </c>
      <c r="DF302" s="1378"/>
      <c r="DG302" s="1428" t="str">
        <f t="shared" si="533"/>
        <v>Rev</v>
      </c>
      <c r="DH302" s="1429" t="str">
        <f t="shared" si="533"/>
        <v>[Service]</v>
      </c>
      <c r="DI302" s="1429" t="str">
        <f t="shared" si="533"/>
        <v>[Price]</v>
      </c>
      <c r="DJ302" s="1435" t="str">
        <f t="shared" si="523"/>
        <v>-</v>
      </c>
      <c r="DK302" s="1431" t="str">
        <f t="shared" si="524"/>
        <v>-</v>
      </c>
      <c r="DL302" s="1431" t="str">
        <f t="shared" si="525"/>
        <v>-</v>
      </c>
      <c r="DM302" s="1433" t="str">
        <f t="shared" si="526"/>
        <v>-</v>
      </c>
      <c r="DN302" s="1431" t="str">
        <f t="shared" si="527"/>
        <v>-</v>
      </c>
      <c r="DO302" s="1431" t="str">
        <f t="shared" si="528"/>
        <v>-</v>
      </c>
      <c r="DP302" s="1431" t="str">
        <f t="shared" si="529"/>
        <v>-</v>
      </c>
      <c r="DQ302" s="1434" t="str">
        <f t="shared" si="530"/>
        <v>-</v>
      </c>
    </row>
    <row r="303" spans="4:121">
      <c r="D303" s="70">
        <f>D300+1</f>
        <v>79</v>
      </c>
      <c r="E303" s="713" t="s">
        <v>44</v>
      </c>
      <c r="F303" s="789" t="s">
        <v>27</v>
      </c>
      <c r="G303" s="789"/>
      <c r="H303" s="789"/>
      <c r="I303" s="781" t="s">
        <v>318</v>
      </c>
      <c r="J303" s="781" t="s">
        <v>345</v>
      </c>
      <c r="K303" s="714"/>
      <c r="L303" s="715"/>
      <c r="M303" s="715"/>
      <c r="N303" s="716"/>
      <c r="O303" s="783"/>
      <c r="P303" s="784"/>
      <c r="Q303" s="783"/>
      <c r="R303" s="783"/>
      <c r="S303" s="783"/>
      <c r="T303" s="783"/>
      <c r="U303" s="783"/>
      <c r="V303" s="783"/>
      <c r="W303" s="783"/>
      <c r="X303" s="784"/>
      <c r="Y303" s="783"/>
      <c r="Z303" s="783"/>
      <c r="AA303" s="783"/>
      <c r="AB303" s="783"/>
      <c r="AC303" s="784"/>
      <c r="AD303" s="783"/>
      <c r="AE303" s="783"/>
      <c r="AF303" s="783"/>
      <c r="AG303" s="785"/>
      <c r="AI303" s="745"/>
      <c r="AJ303" s="717" t="str">
        <f t="shared" ref="AJ303:AS303" si="605">IFERROR((X303-W303)/W303,"")</f>
        <v/>
      </c>
      <c r="AK303" s="718" t="str">
        <f t="shared" si="605"/>
        <v/>
      </c>
      <c r="AL303" s="718" t="str">
        <f t="shared" si="605"/>
        <v/>
      </c>
      <c r="AM303" s="718" t="str">
        <f t="shared" si="605"/>
        <v/>
      </c>
      <c r="AN303" s="718" t="str">
        <f t="shared" si="605"/>
        <v/>
      </c>
      <c r="AO303" s="719" t="str">
        <f t="shared" si="605"/>
        <v/>
      </c>
      <c r="AP303" s="494" t="str">
        <f t="shared" si="605"/>
        <v/>
      </c>
      <c r="AQ303" s="494" t="str">
        <f t="shared" si="605"/>
        <v/>
      </c>
      <c r="AR303" s="494" t="str">
        <f t="shared" si="605"/>
        <v/>
      </c>
      <c r="AS303" s="720" t="str">
        <f t="shared" si="605"/>
        <v/>
      </c>
      <c r="AU303" s="1369"/>
      <c r="AW303" s="1412" t="str">
        <f t="shared" si="531"/>
        <v>Price</v>
      </c>
      <c r="AX303" s="1413" t="str">
        <f t="shared" si="531"/>
        <v>[Service]</v>
      </c>
      <c r="AY303" s="1414" t="str">
        <f t="shared" si="496"/>
        <v>[Price]</v>
      </c>
      <c r="AZ303" s="1415" t="str">
        <f t="shared" si="588"/>
        <v>-</v>
      </c>
      <c r="BA303" s="1415" t="str">
        <f t="shared" si="588"/>
        <v>-</v>
      </c>
      <c r="BB303" s="1415" t="str">
        <f t="shared" si="588"/>
        <v>-</v>
      </c>
      <c r="BC303" s="1415" t="str">
        <f t="shared" si="588"/>
        <v>-</v>
      </c>
      <c r="BD303" s="1415" t="str">
        <f t="shared" si="498"/>
        <v>-</v>
      </c>
      <c r="BE303" s="1415" t="str">
        <f t="shared" si="499"/>
        <v>-</v>
      </c>
      <c r="BF303" s="1415" t="str">
        <f t="shared" si="500"/>
        <v>-</v>
      </c>
      <c r="BG303" s="1416" t="str">
        <f t="shared" si="501"/>
        <v>-</v>
      </c>
      <c r="BH303" s="1417" t="str">
        <f t="shared" si="502"/>
        <v>-</v>
      </c>
      <c r="BI303" s="1417" t="str">
        <f t="shared" si="503"/>
        <v>-</v>
      </c>
      <c r="BJ303" s="1417" t="str">
        <f t="shared" si="504"/>
        <v>-</v>
      </c>
      <c r="BK303" s="1417" t="str">
        <f t="shared" si="505"/>
        <v>-</v>
      </c>
      <c r="BL303" s="1418" t="str">
        <f t="shared" si="506"/>
        <v>-</v>
      </c>
      <c r="BM303" s="1417" t="str">
        <f t="shared" si="507"/>
        <v>-</v>
      </c>
      <c r="BN303" s="1417" t="str">
        <f t="shared" si="508"/>
        <v>-</v>
      </c>
      <c r="BO303" s="1417" t="str">
        <f t="shared" si="509"/>
        <v>-</v>
      </c>
      <c r="BP303" s="1417" t="str">
        <f t="shared" si="510"/>
        <v>-</v>
      </c>
      <c r="BQ303" s="1419" t="str">
        <f t="shared" si="511"/>
        <v>-</v>
      </c>
      <c r="BR303" s="1378"/>
      <c r="BS303" s="1420"/>
      <c r="BT303" s="1421"/>
      <c r="BU303" s="1422"/>
      <c r="BV303" s="1423"/>
      <c r="BW303" s="1378"/>
      <c r="BX303" s="1412" t="str">
        <f t="shared" si="512"/>
        <v>Price</v>
      </c>
      <c r="BY303" s="1413" t="str">
        <f t="shared" si="557"/>
        <v>[Service]</v>
      </c>
      <c r="BZ303" s="1414" t="str">
        <f t="shared" si="558"/>
        <v>[Price]</v>
      </c>
      <c r="CA303" s="1424" t="str">
        <f>IFERROR((S303/R303-1)*(R305/R$13),"-")</f>
        <v>-</v>
      </c>
      <c r="CB303" s="1415" t="str">
        <f>IFERROR((T303/S303-1)*(S305/S$13),"-")</f>
        <v>-</v>
      </c>
      <c r="CC303" s="1415" t="str">
        <f>IFERROR((U303/T303-1)*(T305/T$13),"-")</f>
        <v>-</v>
      </c>
      <c r="CD303" s="1415" t="str">
        <f>IFERROR((V303/U303-1)*(U305/U$13),"-")</f>
        <v>-</v>
      </c>
      <c r="CE303" s="1415" t="str">
        <f t="shared" ref="CE303:CR303" si="606">IFERROR((T303/S303-1)*(S305/S$13),"-")</f>
        <v>-</v>
      </c>
      <c r="CF303" s="1415" t="str">
        <f t="shared" si="606"/>
        <v>-</v>
      </c>
      <c r="CG303" s="1415" t="str">
        <f t="shared" si="606"/>
        <v>-</v>
      </c>
      <c r="CH303" s="1425" t="str">
        <f t="shared" si="606"/>
        <v>-</v>
      </c>
      <c r="CI303" s="1417" t="str">
        <f t="shared" si="606"/>
        <v>-</v>
      </c>
      <c r="CJ303" s="1417" t="str">
        <f t="shared" si="606"/>
        <v>-</v>
      </c>
      <c r="CK303" s="1417" t="str">
        <f t="shared" si="606"/>
        <v>-</v>
      </c>
      <c r="CL303" s="1417" t="str">
        <f t="shared" si="606"/>
        <v>-</v>
      </c>
      <c r="CM303" s="1418" t="str">
        <f t="shared" si="606"/>
        <v>-</v>
      </c>
      <c r="CN303" s="1417" t="str">
        <f t="shared" si="606"/>
        <v>-</v>
      </c>
      <c r="CO303" s="1417" t="str">
        <f t="shared" si="606"/>
        <v>-</v>
      </c>
      <c r="CP303" s="1417" t="str">
        <f t="shared" si="606"/>
        <v>-</v>
      </c>
      <c r="CQ303" s="1417" t="str">
        <f t="shared" si="606"/>
        <v>-</v>
      </c>
      <c r="CR303" s="1419" t="str">
        <f t="shared" si="606"/>
        <v>-</v>
      </c>
      <c r="CS303" s="1378"/>
      <c r="CT303" s="1412" t="str">
        <f t="shared" si="492"/>
        <v>Price</v>
      </c>
      <c r="CU303" s="1413" t="str">
        <f t="shared" si="493"/>
        <v>[Service]</v>
      </c>
      <c r="CV303" s="1426" t="str">
        <f t="shared" si="494"/>
        <v>[Price]</v>
      </c>
      <c r="CW303" s="1427" t="str">
        <f t="shared" si="514"/>
        <v>-</v>
      </c>
      <c r="CX303" s="1417" t="str">
        <f t="shared" si="515"/>
        <v>-</v>
      </c>
      <c r="CY303" s="1417" t="str">
        <f t="shared" si="516"/>
        <v>-</v>
      </c>
      <c r="CZ303" s="1418" t="str">
        <f t="shared" si="517"/>
        <v>-</v>
      </c>
      <c r="DA303" s="1417" t="str">
        <f t="shared" si="518"/>
        <v>-</v>
      </c>
      <c r="DB303" s="1417" t="str">
        <f t="shared" si="519"/>
        <v>-</v>
      </c>
      <c r="DC303" s="1417" t="str">
        <f t="shared" si="520"/>
        <v>-</v>
      </c>
      <c r="DD303" s="1417" t="str">
        <f t="shared" si="521"/>
        <v>-</v>
      </c>
      <c r="DE303" s="1419" t="str">
        <f t="shared" si="522"/>
        <v>-</v>
      </c>
      <c r="DF303" s="1378"/>
      <c r="DG303" s="1412" t="str">
        <f t="shared" si="533"/>
        <v>Price</v>
      </c>
      <c r="DH303" s="1413" t="str">
        <f t="shared" si="533"/>
        <v>[Service]</v>
      </c>
      <c r="DI303" s="1426" t="str">
        <f t="shared" si="533"/>
        <v>[Price]</v>
      </c>
      <c r="DJ303" s="1427" t="str">
        <f t="shared" si="523"/>
        <v>-</v>
      </c>
      <c r="DK303" s="1417" t="str">
        <f t="shared" si="524"/>
        <v>-</v>
      </c>
      <c r="DL303" s="1417" t="str">
        <f t="shared" si="525"/>
        <v>-</v>
      </c>
      <c r="DM303" s="1418" t="str">
        <f t="shared" si="526"/>
        <v>-</v>
      </c>
      <c r="DN303" s="1417" t="str">
        <f t="shared" si="527"/>
        <v>-</v>
      </c>
      <c r="DO303" s="1417" t="str">
        <f t="shared" si="528"/>
        <v>-</v>
      </c>
      <c r="DP303" s="1417" t="str">
        <f t="shared" si="529"/>
        <v>-</v>
      </c>
      <c r="DQ303" s="1419" t="str">
        <f t="shared" si="530"/>
        <v>-</v>
      </c>
    </row>
    <row r="304" spans="4:121">
      <c r="E304" s="742" t="s">
        <v>45</v>
      </c>
      <c r="F304" s="722" t="str">
        <f>+F303</f>
        <v>[Service]</v>
      </c>
      <c r="G304" s="723">
        <f>+G303</f>
        <v>0</v>
      </c>
      <c r="H304" s="723">
        <f>+H303</f>
        <v>0</v>
      </c>
      <c r="I304" s="724" t="str">
        <f>+I303</f>
        <v>[Price]</v>
      </c>
      <c r="J304" s="782" t="s">
        <v>322</v>
      </c>
      <c r="K304" s="725"/>
      <c r="L304" s="726"/>
      <c r="M304" s="726"/>
      <c r="N304" s="727"/>
      <c r="O304" s="786"/>
      <c r="P304" s="787"/>
      <c r="Q304" s="786"/>
      <c r="R304" s="786"/>
      <c r="S304" s="786"/>
      <c r="T304" s="786"/>
      <c r="U304" s="786"/>
      <c r="V304" s="786"/>
      <c r="W304" s="786"/>
      <c r="X304" s="787"/>
      <c r="Y304" s="786"/>
      <c r="Z304" s="786"/>
      <c r="AA304" s="786"/>
      <c r="AB304" s="786"/>
      <c r="AC304" s="787"/>
      <c r="AD304" s="786"/>
      <c r="AE304" s="786"/>
      <c r="AF304" s="786"/>
      <c r="AG304" s="788"/>
      <c r="AH304" s="823"/>
      <c r="AI304" s="745"/>
      <c r="AJ304" s="728"/>
      <c r="AK304" s="729"/>
      <c r="AL304" s="729"/>
      <c r="AM304" s="729"/>
      <c r="AN304" s="729"/>
      <c r="AO304" s="730"/>
      <c r="AP304" s="74"/>
      <c r="AQ304" s="74"/>
      <c r="AR304" s="74"/>
      <c r="AS304" s="106"/>
      <c r="AW304" s="1392" t="str">
        <f t="shared" si="531"/>
        <v>Qty</v>
      </c>
      <c r="AX304" s="1393" t="str">
        <f t="shared" si="531"/>
        <v>[Service]</v>
      </c>
      <c r="AY304" s="1394" t="str">
        <f t="shared" si="496"/>
        <v>[Price]</v>
      </c>
      <c r="AZ304" s="1395" t="str">
        <f t="shared" si="588"/>
        <v>-</v>
      </c>
      <c r="BA304" s="1395" t="str">
        <f t="shared" si="588"/>
        <v>-</v>
      </c>
      <c r="BB304" s="1395" t="str">
        <f t="shared" si="588"/>
        <v>-</v>
      </c>
      <c r="BC304" s="1395" t="str">
        <f t="shared" si="588"/>
        <v>-</v>
      </c>
      <c r="BD304" s="1395" t="str">
        <f t="shared" si="498"/>
        <v>-</v>
      </c>
      <c r="BE304" s="1395" t="str">
        <f t="shared" si="499"/>
        <v>-</v>
      </c>
      <c r="BF304" s="1395" t="str">
        <f t="shared" si="500"/>
        <v>-</v>
      </c>
      <c r="BG304" s="1396" t="str">
        <f t="shared" si="501"/>
        <v>-</v>
      </c>
      <c r="BH304" s="1395" t="str">
        <f t="shared" si="502"/>
        <v>-</v>
      </c>
      <c r="BI304" s="1395" t="str">
        <f t="shared" si="503"/>
        <v>-</v>
      </c>
      <c r="BJ304" s="1395" t="str">
        <f t="shared" si="504"/>
        <v>-</v>
      </c>
      <c r="BK304" s="1395" t="str">
        <f t="shared" si="505"/>
        <v>-</v>
      </c>
      <c r="BL304" s="1397" t="str">
        <f t="shared" si="506"/>
        <v>-</v>
      </c>
      <c r="BM304" s="1395" t="str">
        <f t="shared" si="507"/>
        <v>-</v>
      </c>
      <c r="BN304" s="1395" t="str">
        <f t="shared" si="508"/>
        <v>-</v>
      </c>
      <c r="BO304" s="1395" t="str">
        <f t="shared" si="509"/>
        <v>-</v>
      </c>
      <c r="BP304" s="1395" t="str">
        <f t="shared" si="510"/>
        <v>-</v>
      </c>
      <c r="BQ304" s="1398" t="str">
        <f t="shared" si="511"/>
        <v>-</v>
      </c>
      <c r="BR304" s="1378"/>
      <c r="BS304" s="1329"/>
      <c r="BT304" s="1399"/>
      <c r="BU304" s="1331"/>
      <c r="BV304" s="1400"/>
      <c r="BW304" s="1378"/>
      <c r="BX304" s="1392" t="str">
        <f t="shared" si="512"/>
        <v>Qty</v>
      </c>
      <c r="BY304" s="1393" t="str">
        <f t="shared" si="557"/>
        <v>[Service]</v>
      </c>
      <c r="BZ304" s="1394" t="str">
        <f t="shared" si="558"/>
        <v>[Price]</v>
      </c>
      <c r="CA304" s="1401" t="str">
        <f>IFERROR((S304/R304-1)*(R305/R$13),"-")</f>
        <v>-</v>
      </c>
      <c r="CB304" s="1395" t="str">
        <f>IFERROR((T304/S304-1)*(S305/S$13),"-")</f>
        <v>-</v>
      </c>
      <c r="CC304" s="1395" t="str">
        <f>IFERROR((U304/T304-1)*(T305/T$13),"-")</f>
        <v>-</v>
      </c>
      <c r="CD304" s="1395" t="str">
        <f>IFERROR((V304/U304-1)*(U305/U$13),"-")</f>
        <v>-</v>
      </c>
      <c r="CE304" s="1395" t="str">
        <f t="shared" ref="CE304:CR304" si="607">IFERROR((T304/S304-1)*(S305/S$13),"-")</f>
        <v>-</v>
      </c>
      <c r="CF304" s="1395" t="str">
        <f t="shared" si="607"/>
        <v>-</v>
      </c>
      <c r="CG304" s="1395" t="str">
        <f t="shared" si="607"/>
        <v>-</v>
      </c>
      <c r="CH304" s="1397" t="str">
        <f t="shared" si="607"/>
        <v>-</v>
      </c>
      <c r="CI304" s="1395" t="str">
        <f t="shared" si="607"/>
        <v>-</v>
      </c>
      <c r="CJ304" s="1395" t="str">
        <f t="shared" si="607"/>
        <v>-</v>
      </c>
      <c r="CK304" s="1395" t="str">
        <f t="shared" si="607"/>
        <v>-</v>
      </c>
      <c r="CL304" s="1395" t="str">
        <f t="shared" si="607"/>
        <v>-</v>
      </c>
      <c r="CM304" s="1397" t="str">
        <f t="shared" si="607"/>
        <v>-</v>
      </c>
      <c r="CN304" s="1395" t="str">
        <f t="shared" si="607"/>
        <v>-</v>
      </c>
      <c r="CO304" s="1395" t="str">
        <f t="shared" si="607"/>
        <v>-</v>
      </c>
      <c r="CP304" s="1395" t="str">
        <f t="shared" si="607"/>
        <v>-</v>
      </c>
      <c r="CQ304" s="1395" t="str">
        <f t="shared" si="607"/>
        <v>-</v>
      </c>
      <c r="CR304" s="1398" t="str">
        <f t="shared" si="607"/>
        <v>-</v>
      </c>
      <c r="CS304" s="1378"/>
      <c r="CT304" s="1392" t="str">
        <f t="shared" si="492"/>
        <v>Qty</v>
      </c>
      <c r="CU304" s="1393" t="str">
        <f t="shared" si="493"/>
        <v>[Service]</v>
      </c>
      <c r="CV304" s="1393" t="str">
        <f t="shared" si="494"/>
        <v>[Price]</v>
      </c>
      <c r="CW304" s="1401" t="str">
        <f t="shared" si="514"/>
        <v>-</v>
      </c>
      <c r="CX304" s="1395" t="str">
        <f t="shared" si="515"/>
        <v>-</v>
      </c>
      <c r="CY304" s="1395" t="str">
        <f t="shared" si="516"/>
        <v>-</v>
      </c>
      <c r="CZ304" s="1397" t="str">
        <f t="shared" si="517"/>
        <v>-</v>
      </c>
      <c r="DA304" s="1395" t="str">
        <f t="shared" si="518"/>
        <v>-</v>
      </c>
      <c r="DB304" s="1395" t="str">
        <f t="shared" si="519"/>
        <v>-</v>
      </c>
      <c r="DC304" s="1395" t="str">
        <f t="shared" si="520"/>
        <v>-</v>
      </c>
      <c r="DD304" s="1395" t="str">
        <f t="shared" si="521"/>
        <v>-</v>
      </c>
      <c r="DE304" s="1398" t="str">
        <f t="shared" si="522"/>
        <v>-</v>
      </c>
      <c r="DF304" s="1378"/>
      <c r="DG304" s="1392" t="str">
        <f t="shared" si="533"/>
        <v>Qty</v>
      </c>
      <c r="DH304" s="1393" t="str">
        <f t="shared" si="533"/>
        <v>[Service]</v>
      </c>
      <c r="DI304" s="1393" t="str">
        <f t="shared" si="533"/>
        <v>[Price]</v>
      </c>
      <c r="DJ304" s="1401" t="str">
        <f t="shared" si="523"/>
        <v>-</v>
      </c>
      <c r="DK304" s="1395" t="str">
        <f t="shared" si="524"/>
        <v>-</v>
      </c>
      <c r="DL304" s="1395" t="str">
        <f t="shared" si="525"/>
        <v>-</v>
      </c>
      <c r="DM304" s="1397" t="str">
        <f t="shared" si="526"/>
        <v>-</v>
      </c>
      <c r="DN304" s="1395" t="str">
        <f t="shared" si="527"/>
        <v>-</v>
      </c>
      <c r="DO304" s="1395" t="str">
        <f t="shared" si="528"/>
        <v>-</v>
      </c>
      <c r="DP304" s="1395" t="str">
        <f t="shared" si="529"/>
        <v>-</v>
      </c>
      <c r="DQ304" s="1398" t="str">
        <f t="shared" si="530"/>
        <v>-</v>
      </c>
    </row>
    <row r="305" spans="4:121" ht="12.75" thickBot="1">
      <c r="E305" s="743" t="s">
        <v>46</v>
      </c>
      <c r="F305" s="732" t="str">
        <f>+F303</f>
        <v>[Service]</v>
      </c>
      <c r="G305" s="733">
        <f>+G303</f>
        <v>0</v>
      </c>
      <c r="H305" s="733">
        <f>+H303</f>
        <v>0</v>
      </c>
      <c r="I305" s="734" t="str">
        <f>+I303</f>
        <v>[Price]</v>
      </c>
      <c r="J305" s="735" t="s">
        <v>344</v>
      </c>
      <c r="K305" s="736">
        <f t="shared" ref="K305:AG305" si="608">K303*K304/10^6</f>
        <v>0</v>
      </c>
      <c r="L305" s="737">
        <f t="shared" si="608"/>
        <v>0</v>
      </c>
      <c r="M305" s="737">
        <f t="shared" si="608"/>
        <v>0</v>
      </c>
      <c r="N305" s="738">
        <f t="shared" si="608"/>
        <v>0</v>
      </c>
      <c r="O305" s="737">
        <f t="shared" si="608"/>
        <v>0</v>
      </c>
      <c r="P305" s="738">
        <f t="shared" si="608"/>
        <v>0</v>
      </c>
      <c r="Q305" s="737">
        <f t="shared" si="608"/>
        <v>0</v>
      </c>
      <c r="R305" s="737">
        <f t="shared" si="608"/>
        <v>0</v>
      </c>
      <c r="S305" s="737">
        <f t="shared" si="608"/>
        <v>0</v>
      </c>
      <c r="T305" s="737">
        <f t="shared" si="608"/>
        <v>0</v>
      </c>
      <c r="U305" s="737">
        <f t="shared" si="608"/>
        <v>0</v>
      </c>
      <c r="V305" s="737">
        <f t="shared" si="608"/>
        <v>0</v>
      </c>
      <c r="W305" s="737">
        <f t="shared" si="608"/>
        <v>0</v>
      </c>
      <c r="X305" s="738">
        <f t="shared" si="608"/>
        <v>0</v>
      </c>
      <c r="Y305" s="737">
        <f t="shared" si="608"/>
        <v>0</v>
      </c>
      <c r="Z305" s="737">
        <f t="shared" si="608"/>
        <v>0</v>
      </c>
      <c r="AA305" s="737">
        <f t="shared" si="608"/>
        <v>0</v>
      </c>
      <c r="AB305" s="737">
        <f t="shared" si="608"/>
        <v>0</v>
      </c>
      <c r="AC305" s="738">
        <f t="shared" si="608"/>
        <v>0</v>
      </c>
      <c r="AD305" s="737">
        <f t="shared" si="608"/>
        <v>0</v>
      </c>
      <c r="AE305" s="737">
        <f t="shared" si="608"/>
        <v>0</v>
      </c>
      <c r="AF305" s="737">
        <f t="shared" si="608"/>
        <v>0</v>
      </c>
      <c r="AG305" s="739">
        <f t="shared" si="608"/>
        <v>0</v>
      </c>
      <c r="AH305" s="823"/>
      <c r="AI305" s="745"/>
      <c r="AJ305" s="741"/>
      <c r="AK305" s="729"/>
      <c r="AL305" s="729"/>
      <c r="AM305" s="729"/>
      <c r="AN305" s="729"/>
      <c r="AO305" s="730"/>
      <c r="AP305" s="74"/>
      <c r="AQ305" s="74"/>
      <c r="AR305" s="74"/>
      <c r="AS305" s="106"/>
      <c r="AW305" s="1428" t="str">
        <f t="shared" si="531"/>
        <v>Rev</v>
      </c>
      <c r="AX305" s="1429" t="str">
        <f t="shared" si="531"/>
        <v>[Service]</v>
      </c>
      <c r="AY305" s="1430" t="str">
        <f t="shared" si="496"/>
        <v>[Price]</v>
      </c>
      <c r="AZ305" s="1431" t="str">
        <f t="shared" si="588"/>
        <v>-</v>
      </c>
      <c r="BA305" s="1431" t="str">
        <f t="shared" si="588"/>
        <v>-</v>
      </c>
      <c r="BB305" s="1431" t="str">
        <f t="shared" si="588"/>
        <v>-</v>
      </c>
      <c r="BC305" s="1431" t="str">
        <f t="shared" si="588"/>
        <v>-</v>
      </c>
      <c r="BD305" s="1431" t="str">
        <f t="shared" si="498"/>
        <v>-</v>
      </c>
      <c r="BE305" s="1431" t="str">
        <f t="shared" si="499"/>
        <v>-</v>
      </c>
      <c r="BF305" s="1431" t="str">
        <f t="shared" si="500"/>
        <v>-</v>
      </c>
      <c r="BG305" s="1432" t="str">
        <f t="shared" si="501"/>
        <v>-</v>
      </c>
      <c r="BH305" s="1431" t="str">
        <f t="shared" si="502"/>
        <v>-</v>
      </c>
      <c r="BI305" s="1431" t="str">
        <f t="shared" si="503"/>
        <v>-</v>
      </c>
      <c r="BJ305" s="1431" t="str">
        <f t="shared" si="504"/>
        <v>-</v>
      </c>
      <c r="BK305" s="1431" t="str">
        <f t="shared" si="505"/>
        <v>-</v>
      </c>
      <c r="BL305" s="1433" t="str">
        <f t="shared" si="506"/>
        <v>-</v>
      </c>
      <c r="BM305" s="1431" t="str">
        <f t="shared" si="507"/>
        <v>-</v>
      </c>
      <c r="BN305" s="1431" t="str">
        <f t="shared" si="508"/>
        <v>-</v>
      </c>
      <c r="BO305" s="1431" t="str">
        <f t="shared" si="509"/>
        <v>-</v>
      </c>
      <c r="BP305" s="1431" t="str">
        <f t="shared" si="510"/>
        <v>-</v>
      </c>
      <c r="BQ305" s="1434" t="str">
        <f t="shared" si="511"/>
        <v>-</v>
      </c>
      <c r="BR305" s="1378"/>
      <c r="BS305" s="1407"/>
      <c r="BT305" s="1408"/>
      <c r="BU305" s="1409"/>
      <c r="BV305" s="1410"/>
      <c r="BW305" s="1378"/>
      <c r="BX305" s="1428" t="str">
        <f t="shared" si="512"/>
        <v>Rev</v>
      </c>
      <c r="BY305" s="1429" t="str">
        <f t="shared" si="557"/>
        <v>[Service]</v>
      </c>
      <c r="BZ305" s="1430" t="str">
        <f t="shared" si="558"/>
        <v>[Price]</v>
      </c>
      <c r="CA305" s="1435" t="str">
        <f>IFERROR((S305/R305-1)*(R305/R$13),"-")</f>
        <v>-</v>
      </c>
      <c r="CB305" s="1431" t="str">
        <f>IFERROR((T305/S305-1)*(S305/S$13),"-")</f>
        <v>-</v>
      </c>
      <c r="CC305" s="1431" t="str">
        <f>IFERROR((U305/T305-1)*(T305/T$13),"-")</f>
        <v>-</v>
      </c>
      <c r="CD305" s="1431" t="str">
        <f>IFERROR((V305/U305-1)*(U305/U$13),"-")</f>
        <v>-</v>
      </c>
      <c r="CE305" s="1431" t="str">
        <f t="shared" ref="CE305:CR305" si="609">IFERROR((T305/S305-1)*(S305/S$13),"-")</f>
        <v>-</v>
      </c>
      <c r="CF305" s="1431" t="str">
        <f t="shared" si="609"/>
        <v>-</v>
      </c>
      <c r="CG305" s="1431" t="str">
        <f t="shared" si="609"/>
        <v>-</v>
      </c>
      <c r="CH305" s="1433" t="str">
        <f t="shared" si="609"/>
        <v>-</v>
      </c>
      <c r="CI305" s="1431" t="str">
        <f t="shared" si="609"/>
        <v>-</v>
      </c>
      <c r="CJ305" s="1431" t="str">
        <f t="shared" si="609"/>
        <v>-</v>
      </c>
      <c r="CK305" s="1431" t="str">
        <f t="shared" si="609"/>
        <v>-</v>
      </c>
      <c r="CL305" s="1431" t="str">
        <f t="shared" si="609"/>
        <v>-</v>
      </c>
      <c r="CM305" s="1433" t="str">
        <f t="shared" si="609"/>
        <v>-</v>
      </c>
      <c r="CN305" s="1431" t="str">
        <f t="shared" si="609"/>
        <v>-</v>
      </c>
      <c r="CO305" s="1431" t="str">
        <f t="shared" si="609"/>
        <v>-</v>
      </c>
      <c r="CP305" s="1431" t="str">
        <f t="shared" si="609"/>
        <v>-</v>
      </c>
      <c r="CQ305" s="1431" t="str">
        <f t="shared" si="609"/>
        <v>-</v>
      </c>
      <c r="CR305" s="1434" t="str">
        <f t="shared" si="609"/>
        <v>-</v>
      </c>
      <c r="CS305" s="1378"/>
      <c r="CT305" s="1428" t="str">
        <f t="shared" si="492"/>
        <v>Rev</v>
      </c>
      <c r="CU305" s="1429" t="str">
        <f t="shared" si="493"/>
        <v>[Service]</v>
      </c>
      <c r="CV305" s="1429" t="str">
        <f t="shared" si="494"/>
        <v>[Price]</v>
      </c>
      <c r="CW305" s="1435" t="str">
        <f t="shared" si="514"/>
        <v>-</v>
      </c>
      <c r="CX305" s="1431" t="str">
        <f t="shared" si="515"/>
        <v>-</v>
      </c>
      <c r="CY305" s="1431" t="str">
        <f t="shared" si="516"/>
        <v>-</v>
      </c>
      <c r="CZ305" s="1433" t="str">
        <f t="shared" si="517"/>
        <v>-</v>
      </c>
      <c r="DA305" s="1431" t="str">
        <f t="shared" si="518"/>
        <v>-</v>
      </c>
      <c r="DB305" s="1431" t="str">
        <f t="shared" si="519"/>
        <v>-</v>
      </c>
      <c r="DC305" s="1431" t="str">
        <f t="shared" si="520"/>
        <v>-</v>
      </c>
      <c r="DD305" s="1431" t="str">
        <f t="shared" si="521"/>
        <v>-</v>
      </c>
      <c r="DE305" s="1434" t="str">
        <f t="shared" si="522"/>
        <v>-</v>
      </c>
      <c r="DF305" s="1378"/>
      <c r="DG305" s="1428" t="str">
        <f t="shared" si="533"/>
        <v>Rev</v>
      </c>
      <c r="DH305" s="1429" t="str">
        <f t="shared" si="533"/>
        <v>[Service]</v>
      </c>
      <c r="DI305" s="1429" t="str">
        <f t="shared" si="533"/>
        <v>[Price]</v>
      </c>
      <c r="DJ305" s="1435" t="str">
        <f t="shared" si="523"/>
        <v>-</v>
      </c>
      <c r="DK305" s="1431" t="str">
        <f t="shared" si="524"/>
        <v>-</v>
      </c>
      <c r="DL305" s="1431" t="str">
        <f t="shared" si="525"/>
        <v>-</v>
      </c>
      <c r="DM305" s="1433" t="str">
        <f t="shared" si="526"/>
        <v>-</v>
      </c>
      <c r="DN305" s="1431" t="str">
        <f t="shared" si="527"/>
        <v>-</v>
      </c>
      <c r="DO305" s="1431" t="str">
        <f t="shared" si="528"/>
        <v>-</v>
      </c>
      <c r="DP305" s="1431" t="str">
        <f t="shared" si="529"/>
        <v>-</v>
      </c>
      <c r="DQ305" s="1434" t="str">
        <f t="shared" si="530"/>
        <v>-</v>
      </c>
    </row>
    <row r="306" spans="4:121">
      <c r="D306" s="70">
        <f>D303+1</f>
        <v>80</v>
      </c>
      <c r="E306" s="713" t="s">
        <v>44</v>
      </c>
      <c r="F306" s="789" t="s">
        <v>27</v>
      </c>
      <c r="G306" s="789"/>
      <c r="H306" s="789"/>
      <c r="I306" s="781" t="s">
        <v>318</v>
      </c>
      <c r="J306" s="781" t="s">
        <v>345</v>
      </c>
      <c r="K306" s="714"/>
      <c r="L306" s="715"/>
      <c r="M306" s="715"/>
      <c r="N306" s="716"/>
      <c r="O306" s="783"/>
      <c r="P306" s="784"/>
      <c r="Q306" s="783"/>
      <c r="R306" s="783"/>
      <c r="S306" s="783"/>
      <c r="T306" s="783"/>
      <c r="U306" s="783"/>
      <c r="V306" s="783"/>
      <c r="W306" s="783"/>
      <c r="X306" s="784"/>
      <c r="Y306" s="783"/>
      <c r="Z306" s="783"/>
      <c r="AA306" s="783"/>
      <c r="AB306" s="783"/>
      <c r="AC306" s="784"/>
      <c r="AD306" s="783"/>
      <c r="AE306" s="783"/>
      <c r="AF306" s="783"/>
      <c r="AG306" s="785"/>
      <c r="AI306" s="745"/>
      <c r="AJ306" s="717" t="str">
        <f t="shared" ref="AJ306:AS306" si="610">IFERROR((X306-W306)/W306,"")</f>
        <v/>
      </c>
      <c r="AK306" s="718" t="str">
        <f t="shared" si="610"/>
        <v/>
      </c>
      <c r="AL306" s="718" t="str">
        <f t="shared" si="610"/>
        <v/>
      </c>
      <c r="AM306" s="718" t="str">
        <f t="shared" si="610"/>
        <v/>
      </c>
      <c r="AN306" s="718" t="str">
        <f t="shared" si="610"/>
        <v/>
      </c>
      <c r="AO306" s="719" t="str">
        <f t="shared" si="610"/>
        <v/>
      </c>
      <c r="AP306" s="494" t="str">
        <f t="shared" si="610"/>
        <v/>
      </c>
      <c r="AQ306" s="494" t="str">
        <f t="shared" si="610"/>
        <v/>
      </c>
      <c r="AR306" s="494" t="str">
        <f t="shared" si="610"/>
        <v/>
      </c>
      <c r="AS306" s="720" t="str">
        <f t="shared" si="610"/>
        <v/>
      </c>
      <c r="AU306" s="1369"/>
      <c r="AW306" s="1412" t="str">
        <f t="shared" si="531"/>
        <v>Price</v>
      </c>
      <c r="AX306" s="1413" t="str">
        <f t="shared" si="531"/>
        <v>[Service]</v>
      </c>
      <c r="AY306" s="1414" t="str">
        <f t="shared" si="496"/>
        <v>[Price]</v>
      </c>
      <c r="AZ306" s="1415" t="str">
        <f t="shared" si="588"/>
        <v>-</v>
      </c>
      <c r="BA306" s="1415" t="str">
        <f t="shared" si="588"/>
        <v>-</v>
      </c>
      <c r="BB306" s="1415" t="str">
        <f t="shared" si="588"/>
        <v>-</v>
      </c>
      <c r="BC306" s="1415" t="str">
        <f t="shared" si="588"/>
        <v>-</v>
      </c>
      <c r="BD306" s="1415" t="str">
        <f t="shared" si="498"/>
        <v>-</v>
      </c>
      <c r="BE306" s="1415" t="str">
        <f t="shared" si="499"/>
        <v>-</v>
      </c>
      <c r="BF306" s="1415" t="str">
        <f t="shared" si="500"/>
        <v>-</v>
      </c>
      <c r="BG306" s="1416" t="str">
        <f t="shared" si="501"/>
        <v>-</v>
      </c>
      <c r="BH306" s="1417" t="str">
        <f t="shared" si="502"/>
        <v>-</v>
      </c>
      <c r="BI306" s="1417" t="str">
        <f t="shared" si="503"/>
        <v>-</v>
      </c>
      <c r="BJ306" s="1417" t="str">
        <f t="shared" si="504"/>
        <v>-</v>
      </c>
      <c r="BK306" s="1417" t="str">
        <f t="shared" si="505"/>
        <v>-</v>
      </c>
      <c r="BL306" s="1418" t="str">
        <f t="shared" si="506"/>
        <v>-</v>
      </c>
      <c r="BM306" s="1417" t="str">
        <f t="shared" si="507"/>
        <v>-</v>
      </c>
      <c r="BN306" s="1417" t="str">
        <f t="shared" si="508"/>
        <v>-</v>
      </c>
      <c r="BO306" s="1417" t="str">
        <f t="shared" si="509"/>
        <v>-</v>
      </c>
      <c r="BP306" s="1417" t="str">
        <f t="shared" si="510"/>
        <v>-</v>
      </c>
      <c r="BQ306" s="1419" t="str">
        <f t="shared" si="511"/>
        <v>-</v>
      </c>
      <c r="BR306" s="1378"/>
      <c r="BS306" s="1420"/>
      <c r="BT306" s="1421"/>
      <c r="BU306" s="1422"/>
      <c r="BV306" s="1423"/>
      <c r="BW306" s="1378"/>
      <c r="BX306" s="1412" t="str">
        <f t="shared" si="512"/>
        <v>Price</v>
      </c>
      <c r="BY306" s="1413" t="str">
        <f t="shared" si="557"/>
        <v>[Service]</v>
      </c>
      <c r="BZ306" s="1414" t="str">
        <f t="shared" si="558"/>
        <v>[Price]</v>
      </c>
      <c r="CA306" s="1424" t="str">
        <f>IFERROR((S306/R306-1)*(R308/R$13),"-")</f>
        <v>-</v>
      </c>
      <c r="CB306" s="1415" t="str">
        <f>IFERROR((T306/S306-1)*(S308/S$13),"-")</f>
        <v>-</v>
      </c>
      <c r="CC306" s="1415" t="str">
        <f>IFERROR((U306/T306-1)*(T308/T$13),"-")</f>
        <v>-</v>
      </c>
      <c r="CD306" s="1415" t="str">
        <f>IFERROR((V306/U306-1)*(U308/U$13),"-")</f>
        <v>-</v>
      </c>
      <c r="CE306" s="1415" t="str">
        <f t="shared" ref="CE306:CR306" si="611">IFERROR((T306/S306-1)*(S308/S$13),"-")</f>
        <v>-</v>
      </c>
      <c r="CF306" s="1415" t="str">
        <f t="shared" si="611"/>
        <v>-</v>
      </c>
      <c r="CG306" s="1415" t="str">
        <f t="shared" si="611"/>
        <v>-</v>
      </c>
      <c r="CH306" s="1425" t="str">
        <f t="shared" si="611"/>
        <v>-</v>
      </c>
      <c r="CI306" s="1417" t="str">
        <f t="shared" si="611"/>
        <v>-</v>
      </c>
      <c r="CJ306" s="1417" t="str">
        <f t="shared" si="611"/>
        <v>-</v>
      </c>
      <c r="CK306" s="1417" t="str">
        <f t="shared" si="611"/>
        <v>-</v>
      </c>
      <c r="CL306" s="1417" t="str">
        <f t="shared" si="611"/>
        <v>-</v>
      </c>
      <c r="CM306" s="1418" t="str">
        <f t="shared" si="611"/>
        <v>-</v>
      </c>
      <c r="CN306" s="1417" t="str">
        <f t="shared" si="611"/>
        <v>-</v>
      </c>
      <c r="CO306" s="1417" t="str">
        <f t="shared" si="611"/>
        <v>-</v>
      </c>
      <c r="CP306" s="1417" t="str">
        <f t="shared" si="611"/>
        <v>-</v>
      </c>
      <c r="CQ306" s="1417" t="str">
        <f t="shared" si="611"/>
        <v>-</v>
      </c>
      <c r="CR306" s="1419" t="str">
        <f t="shared" si="611"/>
        <v>-</v>
      </c>
      <c r="CS306" s="1378"/>
      <c r="CT306" s="1412" t="str">
        <f t="shared" si="492"/>
        <v>Price</v>
      </c>
      <c r="CU306" s="1413" t="str">
        <f t="shared" si="493"/>
        <v>[Service]</v>
      </c>
      <c r="CV306" s="1426" t="str">
        <f t="shared" si="494"/>
        <v>[Price]</v>
      </c>
      <c r="CW306" s="1427" t="str">
        <f t="shared" si="514"/>
        <v>-</v>
      </c>
      <c r="CX306" s="1417" t="str">
        <f t="shared" si="515"/>
        <v>-</v>
      </c>
      <c r="CY306" s="1417" t="str">
        <f t="shared" si="516"/>
        <v>-</v>
      </c>
      <c r="CZ306" s="1418" t="str">
        <f t="shared" si="517"/>
        <v>-</v>
      </c>
      <c r="DA306" s="1417" t="str">
        <f t="shared" si="518"/>
        <v>-</v>
      </c>
      <c r="DB306" s="1417" t="str">
        <f t="shared" si="519"/>
        <v>-</v>
      </c>
      <c r="DC306" s="1417" t="str">
        <f t="shared" si="520"/>
        <v>-</v>
      </c>
      <c r="DD306" s="1417" t="str">
        <f t="shared" si="521"/>
        <v>-</v>
      </c>
      <c r="DE306" s="1419" t="str">
        <f t="shared" si="522"/>
        <v>-</v>
      </c>
      <c r="DF306" s="1378"/>
      <c r="DG306" s="1412" t="str">
        <f t="shared" si="533"/>
        <v>Price</v>
      </c>
      <c r="DH306" s="1413" t="str">
        <f t="shared" si="533"/>
        <v>[Service]</v>
      </c>
      <c r="DI306" s="1426" t="str">
        <f t="shared" si="533"/>
        <v>[Price]</v>
      </c>
      <c r="DJ306" s="1427" t="str">
        <f t="shared" si="523"/>
        <v>-</v>
      </c>
      <c r="DK306" s="1417" t="str">
        <f t="shared" si="524"/>
        <v>-</v>
      </c>
      <c r="DL306" s="1417" t="str">
        <f t="shared" si="525"/>
        <v>-</v>
      </c>
      <c r="DM306" s="1418" t="str">
        <f t="shared" si="526"/>
        <v>-</v>
      </c>
      <c r="DN306" s="1417" t="str">
        <f t="shared" si="527"/>
        <v>-</v>
      </c>
      <c r="DO306" s="1417" t="str">
        <f t="shared" si="528"/>
        <v>-</v>
      </c>
      <c r="DP306" s="1417" t="str">
        <f t="shared" si="529"/>
        <v>-</v>
      </c>
      <c r="DQ306" s="1419" t="str">
        <f t="shared" si="530"/>
        <v>-</v>
      </c>
    </row>
    <row r="307" spans="4:121">
      <c r="E307" s="742" t="s">
        <v>45</v>
      </c>
      <c r="F307" s="722" t="str">
        <f>+F306</f>
        <v>[Service]</v>
      </c>
      <c r="G307" s="723">
        <f>+G306</f>
        <v>0</v>
      </c>
      <c r="H307" s="723">
        <f>+H306</f>
        <v>0</v>
      </c>
      <c r="I307" s="724" t="str">
        <f>+I306</f>
        <v>[Price]</v>
      </c>
      <c r="J307" s="782" t="s">
        <v>322</v>
      </c>
      <c r="K307" s="725"/>
      <c r="L307" s="726"/>
      <c r="M307" s="726"/>
      <c r="N307" s="727"/>
      <c r="O307" s="786"/>
      <c r="P307" s="787"/>
      <c r="Q307" s="786"/>
      <c r="R307" s="786"/>
      <c r="S307" s="786"/>
      <c r="T307" s="786"/>
      <c r="U307" s="786"/>
      <c r="V307" s="786"/>
      <c r="W307" s="786"/>
      <c r="X307" s="787"/>
      <c r="Y307" s="786"/>
      <c r="Z307" s="786"/>
      <c r="AA307" s="786"/>
      <c r="AB307" s="786"/>
      <c r="AC307" s="787"/>
      <c r="AD307" s="786"/>
      <c r="AE307" s="786"/>
      <c r="AF307" s="786"/>
      <c r="AG307" s="788"/>
      <c r="AH307" s="823"/>
      <c r="AI307" s="745"/>
      <c r="AJ307" s="728"/>
      <c r="AK307" s="729"/>
      <c r="AL307" s="729"/>
      <c r="AM307" s="729"/>
      <c r="AN307" s="729"/>
      <c r="AO307" s="730"/>
      <c r="AP307" s="74"/>
      <c r="AQ307" s="74"/>
      <c r="AR307" s="74"/>
      <c r="AS307" s="106"/>
      <c r="AW307" s="1392" t="str">
        <f t="shared" si="531"/>
        <v>Qty</v>
      </c>
      <c r="AX307" s="1393" t="str">
        <f t="shared" si="531"/>
        <v>[Service]</v>
      </c>
      <c r="AY307" s="1394" t="str">
        <f t="shared" si="496"/>
        <v>[Price]</v>
      </c>
      <c r="AZ307" s="1395" t="str">
        <f t="shared" si="588"/>
        <v>-</v>
      </c>
      <c r="BA307" s="1395" t="str">
        <f t="shared" si="588"/>
        <v>-</v>
      </c>
      <c r="BB307" s="1395" t="str">
        <f t="shared" si="588"/>
        <v>-</v>
      </c>
      <c r="BC307" s="1395" t="str">
        <f t="shared" si="588"/>
        <v>-</v>
      </c>
      <c r="BD307" s="1395" t="str">
        <f t="shared" si="498"/>
        <v>-</v>
      </c>
      <c r="BE307" s="1395" t="str">
        <f t="shared" si="499"/>
        <v>-</v>
      </c>
      <c r="BF307" s="1395" t="str">
        <f t="shared" si="500"/>
        <v>-</v>
      </c>
      <c r="BG307" s="1396" t="str">
        <f t="shared" si="501"/>
        <v>-</v>
      </c>
      <c r="BH307" s="1395" t="str">
        <f t="shared" si="502"/>
        <v>-</v>
      </c>
      <c r="BI307" s="1395" t="str">
        <f t="shared" si="503"/>
        <v>-</v>
      </c>
      <c r="BJ307" s="1395" t="str">
        <f t="shared" si="504"/>
        <v>-</v>
      </c>
      <c r="BK307" s="1395" t="str">
        <f t="shared" si="505"/>
        <v>-</v>
      </c>
      <c r="BL307" s="1397" t="str">
        <f t="shared" si="506"/>
        <v>-</v>
      </c>
      <c r="BM307" s="1395" t="str">
        <f t="shared" si="507"/>
        <v>-</v>
      </c>
      <c r="BN307" s="1395" t="str">
        <f t="shared" si="508"/>
        <v>-</v>
      </c>
      <c r="BO307" s="1395" t="str">
        <f t="shared" si="509"/>
        <v>-</v>
      </c>
      <c r="BP307" s="1395" t="str">
        <f t="shared" si="510"/>
        <v>-</v>
      </c>
      <c r="BQ307" s="1398" t="str">
        <f t="shared" si="511"/>
        <v>-</v>
      </c>
      <c r="BR307" s="1378"/>
      <c r="BS307" s="1329"/>
      <c r="BT307" s="1399"/>
      <c r="BU307" s="1331"/>
      <c r="BV307" s="1400"/>
      <c r="BW307" s="1378"/>
      <c r="BX307" s="1392" t="str">
        <f t="shared" si="512"/>
        <v>Qty</v>
      </c>
      <c r="BY307" s="1393" t="str">
        <f t="shared" si="557"/>
        <v>[Service]</v>
      </c>
      <c r="BZ307" s="1394" t="str">
        <f t="shared" si="558"/>
        <v>[Price]</v>
      </c>
      <c r="CA307" s="1401" t="str">
        <f>IFERROR((S307/R307-1)*(R308/R$13),"-")</f>
        <v>-</v>
      </c>
      <c r="CB307" s="1395" t="str">
        <f>IFERROR((T307/S307-1)*(S308/S$13),"-")</f>
        <v>-</v>
      </c>
      <c r="CC307" s="1395" t="str">
        <f>IFERROR((U307/T307-1)*(T308/T$13),"-")</f>
        <v>-</v>
      </c>
      <c r="CD307" s="1395" t="str">
        <f>IFERROR((V307/U307-1)*(U308/U$13),"-")</f>
        <v>-</v>
      </c>
      <c r="CE307" s="1395" t="str">
        <f t="shared" ref="CE307:CR307" si="612">IFERROR((T307/S307-1)*(S308/S$13),"-")</f>
        <v>-</v>
      </c>
      <c r="CF307" s="1395" t="str">
        <f t="shared" si="612"/>
        <v>-</v>
      </c>
      <c r="CG307" s="1395" t="str">
        <f t="shared" si="612"/>
        <v>-</v>
      </c>
      <c r="CH307" s="1397" t="str">
        <f t="shared" si="612"/>
        <v>-</v>
      </c>
      <c r="CI307" s="1395" t="str">
        <f t="shared" si="612"/>
        <v>-</v>
      </c>
      <c r="CJ307" s="1395" t="str">
        <f t="shared" si="612"/>
        <v>-</v>
      </c>
      <c r="CK307" s="1395" t="str">
        <f t="shared" si="612"/>
        <v>-</v>
      </c>
      <c r="CL307" s="1395" t="str">
        <f t="shared" si="612"/>
        <v>-</v>
      </c>
      <c r="CM307" s="1397" t="str">
        <f t="shared" si="612"/>
        <v>-</v>
      </c>
      <c r="CN307" s="1395" t="str">
        <f t="shared" si="612"/>
        <v>-</v>
      </c>
      <c r="CO307" s="1395" t="str">
        <f t="shared" si="612"/>
        <v>-</v>
      </c>
      <c r="CP307" s="1395" t="str">
        <f t="shared" si="612"/>
        <v>-</v>
      </c>
      <c r="CQ307" s="1395" t="str">
        <f t="shared" si="612"/>
        <v>-</v>
      </c>
      <c r="CR307" s="1398" t="str">
        <f t="shared" si="612"/>
        <v>-</v>
      </c>
      <c r="CS307" s="1378"/>
      <c r="CT307" s="1392" t="str">
        <f t="shared" si="492"/>
        <v>Qty</v>
      </c>
      <c r="CU307" s="1393" t="str">
        <f t="shared" si="493"/>
        <v>[Service]</v>
      </c>
      <c r="CV307" s="1393" t="str">
        <f t="shared" si="494"/>
        <v>[Price]</v>
      </c>
      <c r="CW307" s="1401" t="str">
        <f t="shared" si="514"/>
        <v>-</v>
      </c>
      <c r="CX307" s="1395" t="str">
        <f t="shared" si="515"/>
        <v>-</v>
      </c>
      <c r="CY307" s="1395" t="str">
        <f t="shared" si="516"/>
        <v>-</v>
      </c>
      <c r="CZ307" s="1397" t="str">
        <f t="shared" si="517"/>
        <v>-</v>
      </c>
      <c r="DA307" s="1395" t="str">
        <f t="shared" si="518"/>
        <v>-</v>
      </c>
      <c r="DB307" s="1395" t="str">
        <f t="shared" si="519"/>
        <v>-</v>
      </c>
      <c r="DC307" s="1395" t="str">
        <f t="shared" si="520"/>
        <v>-</v>
      </c>
      <c r="DD307" s="1395" t="str">
        <f t="shared" si="521"/>
        <v>-</v>
      </c>
      <c r="DE307" s="1398" t="str">
        <f t="shared" si="522"/>
        <v>-</v>
      </c>
      <c r="DF307" s="1378"/>
      <c r="DG307" s="1392" t="str">
        <f t="shared" si="533"/>
        <v>Qty</v>
      </c>
      <c r="DH307" s="1393" t="str">
        <f t="shared" si="533"/>
        <v>[Service]</v>
      </c>
      <c r="DI307" s="1393" t="str">
        <f t="shared" si="533"/>
        <v>[Price]</v>
      </c>
      <c r="DJ307" s="1401" t="str">
        <f t="shared" si="523"/>
        <v>-</v>
      </c>
      <c r="DK307" s="1395" t="str">
        <f t="shared" si="524"/>
        <v>-</v>
      </c>
      <c r="DL307" s="1395" t="str">
        <f t="shared" si="525"/>
        <v>-</v>
      </c>
      <c r="DM307" s="1397" t="str">
        <f t="shared" si="526"/>
        <v>-</v>
      </c>
      <c r="DN307" s="1395" t="str">
        <f t="shared" si="527"/>
        <v>-</v>
      </c>
      <c r="DO307" s="1395" t="str">
        <f t="shared" si="528"/>
        <v>-</v>
      </c>
      <c r="DP307" s="1395" t="str">
        <f t="shared" si="529"/>
        <v>-</v>
      </c>
      <c r="DQ307" s="1398" t="str">
        <f t="shared" si="530"/>
        <v>-</v>
      </c>
    </row>
    <row r="308" spans="4:121" ht="12.75" thickBot="1">
      <c r="E308" s="743" t="s">
        <v>46</v>
      </c>
      <c r="F308" s="732" t="str">
        <f>+F306</f>
        <v>[Service]</v>
      </c>
      <c r="G308" s="733">
        <f>+G306</f>
        <v>0</v>
      </c>
      <c r="H308" s="733">
        <f>+H306</f>
        <v>0</v>
      </c>
      <c r="I308" s="734" t="str">
        <f>+I306</f>
        <v>[Price]</v>
      </c>
      <c r="J308" s="735" t="s">
        <v>344</v>
      </c>
      <c r="K308" s="736">
        <f t="shared" ref="K308:AG308" si="613">K306*K307/10^6</f>
        <v>0</v>
      </c>
      <c r="L308" s="737">
        <f t="shared" si="613"/>
        <v>0</v>
      </c>
      <c r="M308" s="737">
        <f t="shared" si="613"/>
        <v>0</v>
      </c>
      <c r="N308" s="738">
        <f t="shared" si="613"/>
        <v>0</v>
      </c>
      <c r="O308" s="737">
        <f t="shared" si="613"/>
        <v>0</v>
      </c>
      <c r="P308" s="738">
        <f t="shared" si="613"/>
        <v>0</v>
      </c>
      <c r="Q308" s="737">
        <f t="shared" si="613"/>
        <v>0</v>
      </c>
      <c r="R308" s="737">
        <f t="shared" si="613"/>
        <v>0</v>
      </c>
      <c r="S308" s="737">
        <f t="shared" si="613"/>
        <v>0</v>
      </c>
      <c r="T308" s="737">
        <f t="shared" si="613"/>
        <v>0</v>
      </c>
      <c r="U308" s="737">
        <f t="shared" si="613"/>
        <v>0</v>
      </c>
      <c r="V308" s="737">
        <f t="shared" si="613"/>
        <v>0</v>
      </c>
      <c r="W308" s="737">
        <f t="shared" si="613"/>
        <v>0</v>
      </c>
      <c r="X308" s="738">
        <f t="shared" si="613"/>
        <v>0</v>
      </c>
      <c r="Y308" s="737">
        <f t="shared" si="613"/>
        <v>0</v>
      </c>
      <c r="Z308" s="737">
        <f t="shared" si="613"/>
        <v>0</v>
      </c>
      <c r="AA308" s="737">
        <f t="shared" si="613"/>
        <v>0</v>
      </c>
      <c r="AB308" s="737">
        <f t="shared" si="613"/>
        <v>0</v>
      </c>
      <c r="AC308" s="738">
        <f t="shared" si="613"/>
        <v>0</v>
      </c>
      <c r="AD308" s="737">
        <f t="shared" si="613"/>
        <v>0</v>
      </c>
      <c r="AE308" s="737">
        <f t="shared" si="613"/>
        <v>0</v>
      </c>
      <c r="AF308" s="737">
        <f t="shared" si="613"/>
        <v>0</v>
      </c>
      <c r="AG308" s="739">
        <f t="shared" si="613"/>
        <v>0</v>
      </c>
      <c r="AH308" s="823"/>
      <c r="AI308" s="745"/>
      <c r="AJ308" s="741"/>
      <c r="AK308" s="729"/>
      <c r="AL308" s="729"/>
      <c r="AM308" s="729"/>
      <c r="AN308" s="729"/>
      <c r="AO308" s="730"/>
      <c r="AP308" s="74"/>
      <c r="AQ308" s="74"/>
      <c r="AR308" s="74"/>
      <c r="AS308" s="106"/>
      <c r="AW308" s="1428" t="str">
        <f t="shared" si="531"/>
        <v>Rev</v>
      </c>
      <c r="AX308" s="1429" t="str">
        <f t="shared" si="531"/>
        <v>[Service]</v>
      </c>
      <c r="AY308" s="1430" t="str">
        <f t="shared" si="496"/>
        <v>[Price]</v>
      </c>
      <c r="AZ308" s="1431" t="str">
        <f t="shared" si="588"/>
        <v>-</v>
      </c>
      <c r="BA308" s="1431" t="str">
        <f t="shared" si="588"/>
        <v>-</v>
      </c>
      <c r="BB308" s="1431" t="str">
        <f t="shared" si="588"/>
        <v>-</v>
      </c>
      <c r="BC308" s="1431" t="str">
        <f t="shared" si="588"/>
        <v>-</v>
      </c>
      <c r="BD308" s="1431" t="str">
        <f t="shared" si="498"/>
        <v>-</v>
      </c>
      <c r="BE308" s="1431" t="str">
        <f t="shared" si="499"/>
        <v>-</v>
      </c>
      <c r="BF308" s="1431" t="str">
        <f t="shared" si="500"/>
        <v>-</v>
      </c>
      <c r="BG308" s="1432" t="str">
        <f t="shared" si="501"/>
        <v>-</v>
      </c>
      <c r="BH308" s="1431" t="str">
        <f t="shared" si="502"/>
        <v>-</v>
      </c>
      <c r="BI308" s="1431" t="str">
        <f t="shared" si="503"/>
        <v>-</v>
      </c>
      <c r="BJ308" s="1431" t="str">
        <f t="shared" si="504"/>
        <v>-</v>
      </c>
      <c r="BK308" s="1431" t="str">
        <f t="shared" si="505"/>
        <v>-</v>
      </c>
      <c r="BL308" s="1433" t="str">
        <f t="shared" si="506"/>
        <v>-</v>
      </c>
      <c r="BM308" s="1431" t="str">
        <f t="shared" si="507"/>
        <v>-</v>
      </c>
      <c r="BN308" s="1431" t="str">
        <f t="shared" si="508"/>
        <v>-</v>
      </c>
      <c r="BO308" s="1431" t="str">
        <f t="shared" si="509"/>
        <v>-</v>
      </c>
      <c r="BP308" s="1431" t="str">
        <f t="shared" si="510"/>
        <v>-</v>
      </c>
      <c r="BQ308" s="1434" t="str">
        <f t="shared" si="511"/>
        <v>-</v>
      </c>
      <c r="BR308" s="1378"/>
      <c r="BS308" s="1407"/>
      <c r="BT308" s="1408"/>
      <c r="BU308" s="1409"/>
      <c r="BV308" s="1410"/>
      <c r="BW308" s="1378"/>
      <c r="BX308" s="1428" t="str">
        <f t="shared" si="512"/>
        <v>Rev</v>
      </c>
      <c r="BY308" s="1429" t="str">
        <f t="shared" si="557"/>
        <v>[Service]</v>
      </c>
      <c r="BZ308" s="1430" t="str">
        <f t="shared" si="558"/>
        <v>[Price]</v>
      </c>
      <c r="CA308" s="1435" t="str">
        <f>IFERROR((S308/R308-1)*(R308/R$13),"-")</f>
        <v>-</v>
      </c>
      <c r="CB308" s="1431" t="str">
        <f>IFERROR((T308/S308-1)*(S308/S$13),"-")</f>
        <v>-</v>
      </c>
      <c r="CC308" s="1431" t="str">
        <f>IFERROR((U308/T308-1)*(T308/T$13),"-")</f>
        <v>-</v>
      </c>
      <c r="CD308" s="1431" t="str">
        <f>IFERROR((V308/U308-1)*(U308/U$13),"-")</f>
        <v>-</v>
      </c>
      <c r="CE308" s="1431" t="str">
        <f t="shared" ref="CE308:CR308" si="614">IFERROR((T308/S308-1)*(S308/S$13),"-")</f>
        <v>-</v>
      </c>
      <c r="CF308" s="1431" t="str">
        <f t="shared" si="614"/>
        <v>-</v>
      </c>
      <c r="CG308" s="1431" t="str">
        <f t="shared" si="614"/>
        <v>-</v>
      </c>
      <c r="CH308" s="1433" t="str">
        <f t="shared" si="614"/>
        <v>-</v>
      </c>
      <c r="CI308" s="1431" t="str">
        <f t="shared" si="614"/>
        <v>-</v>
      </c>
      <c r="CJ308" s="1431" t="str">
        <f t="shared" si="614"/>
        <v>-</v>
      </c>
      <c r="CK308" s="1431" t="str">
        <f t="shared" si="614"/>
        <v>-</v>
      </c>
      <c r="CL308" s="1431" t="str">
        <f t="shared" si="614"/>
        <v>-</v>
      </c>
      <c r="CM308" s="1433" t="str">
        <f t="shared" si="614"/>
        <v>-</v>
      </c>
      <c r="CN308" s="1431" t="str">
        <f t="shared" si="614"/>
        <v>-</v>
      </c>
      <c r="CO308" s="1431" t="str">
        <f t="shared" si="614"/>
        <v>-</v>
      </c>
      <c r="CP308" s="1431" t="str">
        <f t="shared" si="614"/>
        <v>-</v>
      </c>
      <c r="CQ308" s="1431" t="str">
        <f t="shared" si="614"/>
        <v>-</v>
      </c>
      <c r="CR308" s="1434" t="str">
        <f t="shared" si="614"/>
        <v>-</v>
      </c>
      <c r="CS308" s="1378"/>
      <c r="CT308" s="1428" t="str">
        <f t="shared" si="492"/>
        <v>Rev</v>
      </c>
      <c r="CU308" s="1429" t="str">
        <f t="shared" si="493"/>
        <v>[Service]</v>
      </c>
      <c r="CV308" s="1429" t="str">
        <f t="shared" si="494"/>
        <v>[Price]</v>
      </c>
      <c r="CW308" s="1435" t="str">
        <f t="shared" si="514"/>
        <v>-</v>
      </c>
      <c r="CX308" s="1431" t="str">
        <f t="shared" si="515"/>
        <v>-</v>
      </c>
      <c r="CY308" s="1431" t="str">
        <f t="shared" si="516"/>
        <v>-</v>
      </c>
      <c r="CZ308" s="1433" t="str">
        <f t="shared" si="517"/>
        <v>-</v>
      </c>
      <c r="DA308" s="1431" t="str">
        <f t="shared" si="518"/>
        <v>-</v>
      </c>
      <c r="DB308" s="1431" t="str">
        <f t="shared" si="519"/>
        <v>-</v>
      </c>
      <c r="DC308" s="1431" t="str">
        <f t="shared" si="520"/>
        <v>-</v>
      </c>
      <c r="DD308" s="1431" t="str">
        <f t="shared" si="521"/>
        <v>-</v>
      </c>
      <c r="DE308" s="1434" t="str">
        <f t="shared" si="522"/>
        <v>-</v>
      </c>
      <c r="DF308" s="1378"/>
      <c r="DG308" s="1428" t="str">
        <f t="shared" si="533"/>
        <v>Rev</v>
      </c>
      <c r="DH308" s="1429" t="str">
        <f t="shared" si="533"/>
        <v>[Service]</v>
      </c>
      <c r="DI308" s="1429" t="str">
        <f t="shared" si="533"/>
        <v>[Price]</v>
      </c>
      <c r="DJ308" s="1435" t="str">
        <f t="shared" si="523"/>
        <v>-</v>
      </c>
      <c r="DK308" s="1431" t="str">
        <f t="shared" si="524"/>
        <v>-</v>
      </c>
      <c r="DL308" s="1431" t="str">
        <f t="shared" si="525"/>
        <v>-</v>
      </c>
      <c r="DM308" s="1433" t="str">
        <f t="shared" si="526"/>
        <v>-</v>
      </c>
      <c r="DN308" s="1431" t="str">
        <f t="shared" si="527"/>
        <v>-</v>
      </c>
      <c r="DO308" s="1431" t="str">
        <f t="shared" si="528"/>
        <v>-</v>
      </c>
      <c r="DP308" s="1431" t="str">
        <f t="shared" si="529"/>
        <v>-</v>
      </c>
      <c r="DQ308" s="1434" t="str">
        <f t="shared" si="530"/>
        <v>-</v>
      </c>
    </row>
    <row r="309" spans="4:121">
      <c r="D309" s="70">
        <f>D306+1</f>
        <v>81</v>
      </c>
      <c r="E309" s="713" t="s">
        <v>44</v>
      </c>
      <c r="F309" s="789" t="s">
        <v>27</v>
      </c>
      <c r="G309" s="789"/>
      <c r="H309" s="789"/>
      <c r="I309" s="781" t="s">
        <v>318</v>
      </c>
      <c r="J309" s="781" t="s">
        <v>345</v>
      </c>
      <c r="K309" s="714"/>
      <c r="L309" s="715"/>
      <c r="M309" s="715"/>
      <c r="N309" s="716"/>
      <c r="O309" s="783"/>
      <c r="P309" s="784"/>
      <c r="Q309" s="783"/>
      <c r="R309" s="783"/>
      <c r="S309" s="783"/>
      <c r="T309" s="783"/>
      <c r="U309" s="783"/>
      <c r="V309" s="783"/>
      <c r="W309" s="783"/>
      <c r="X309" s="784"/>
      <c r="Y309" s="783"/>
      <c r="Z309" s="783"/>
      <c r="AA309" s="783"/>
      <c r="AB309" s="783"/>
      <c r="AC309" s="784"/>
      <c r="AD309" s="783"/>
      <c r="AE309" s="783"/>
      <c r="AF309" s="783"/>
      <c r="AG309" s="785"/>
      <c r="AI309" s="745"/>
      <c r="AJ309" s="717" t="str">
        <f t="shared" ref="AJ309:AS309" si="615">IFERROR((X309-W309)/W309,"")</f>
        <v/>
      </c>
      <c r="AK309" s="718" t="str">
        <f t="shared" si="615"/>
        <v/>
      </c>
      <c r="AL309" s="718" t="str">
        <f t="shared" si="615"/>
        <v/>
      </c>
      <c r="AM309" s="718" t="str">
        <f t="shared" si="615"/>
        <v/>
      </c>
      <c r="AN309" s="718" t="str">
        <f t="shared" si="615"/>
        <v/>
      </c>
      <c r="AO309" s="719" t="str">
        <f t="shared" si="615"/>
        <v/>
      </c>
      <c r="AP309" s="494" t="str">
        <f t="shared" si="615"/>
        <v/>
      </c>
      <c r="AQ309" s="494" t="str">
        <f t="shared" si="615"/>
        <v/>
      </c>
      <c r="AR309" s="494" t="str">
        <f t="shared" si="615"/>
        <v/>
      </c>
      <c r="AS309" s="720" t="str">
        <f t="shared" si="615"/>
        <v/>
      </c>
      <c r="AU309" s="1369"/>
      <c r="AW309" s="1412" t="str">
        <f t="shared" si="531"/>
        <v>Price</v>
      </c>
      <c r="AX309" s="1413" t="str">
        <f t="shared" si="531"/>
        <v>[Service]</v>
      </c>
      <c r="AY309" s="1414" t="str">
        <f t="shared" si="496"/>
        <v>[Price]</v>
      </c>
      <c r="AZ309" s="1415" t="str">
        <f t="shared" ref="AZ309:BC324" si="616">IFERROR(P309/O309-1,"-")</f>
        <v>-</v>
      </c>
      <c r="BA309" s="1415" t="str">
        <f t="shared" si="616"/>
        <v>-</v>
      </c>
      <c r="BB309" s="1415" t="str">
        <f t="shared" si="616"/>
        <v>-</v>
      </c>
      <c r="BC309" s="1415" t="str">
        <f t="shared" si="616"/>
        <v>-</v>
      </c>
      <c r="BD309" s="1415" t="str">
        <f t="shared" si="498"/>
        <v>-</v>
      </c>
      <c r="BE309" s="1415" t="str">
        <f t="shared" si="499"/>
        <v>-</v>
      </c>
      <c r="BF309" s="1415" t="str">
        <f t="shared" si="500"/>
        <v>-</v>
      </c>
      <c r="BG309" s="1416" t="str">
        <f t="shared" si="501"/>
        <v>-</v>
      </c>
      <c r="BH309" s="1417" t="str">
        <f t="shared" si="502"/>
        <v>-</v>
      </c>
      <c r="BI309" s="1417" t="str">
        <f t="shared" si="503"/>
        <v>-</v>
      </c>
      <c r="BJ309" s="1417" t="str">
        <f t="shared" si="504"/>
        <v>-</v>
      </c>
      <c r="BK309" s="1417" t="str">
        <f t="shared" si="505"/>
        <v>-</v>
      </c>
      <c r="BL309" s="1418" t="str">
        <f t="shared" si="506"/>
        <v>-</v>
      </c>
      <c r="BM309" s="1417" t="str">
        <f t="shared" si="507"/>
        <v>-</v>
      </c>
      <c r="BN309" s="1417" t="str">
        <f t="shared" si="508"/>
        <v>-</v>
      </c>
      <c r="BO309" s="1417" t="str">
        <f t="shared" si="509"/>
        <v>-</v>
      </c>
      <c r="BP309" s="1417" t="str">
        <f t="shared" si="510"/>
        <v>-</v>
      </c>
      <c r="BQ309" s="1419" t="str">
        <f t="shared" si="511"/>
        <v>-</v>
      </c>
      <c r="BR309" s="1378"/>
      <c r="BS309" s="1420"/>
      <c r="BT309" s="1421"/>
      <c r="BU309" s="1422"/>
      <c r="BV309" s="1423"/>
      <c r="BW309" s="1378"/>
      <c r="BX309" s="1412" t="str">
        <f t="shared" si="512"/>
        <v>Price</v>
      </c>
      <c r="BY309" s="1413" t="str">
        <f t="shared" si="557"/>
        <v>[Service]</v>
      </c>
      <c r="BZ309" s="1414" t="str">
        <f t="shared" si="558"/>
        <v>[Price]</v>
      </c>
      <c r="CA309" s="1424" t="str">
        <f>IFERROR((S309/R309-1)*(R311/R$13),"-")</f>
        <v>-</v>
      </c>
      <c r="CB309" s="1415" t="str">
        <f>IFERROR((T309/S309-1)*(S311/S$13),"-")</f>
        <v>-</v>
      </c>
      <c r="CC309" s="1415" t="str">
        <f>IFERROR((U309/T309-1)*(T311/T$13),"-")</f>
        <v>-</v>
      </c>
      <c r="CD309" s="1415" t="str">
        <f>IFERROR((V309/U309-1)*(U311/U$13),"-")</f>
        <v>-</v>
      </c>
      <c r="CE309" s="1415" t="str">
        <f t="shared" ref="CE309:CR309" si="617">IFERROR((T309/S309-1)*(S311/S$13),"-")</f>
        <v>-</v>
      </c>
      <c r="CF309" s="1415" t="str">
        <f t="shared" si="617"/>
        <v>-</v>
      </c>
      <c r="CG309" s="1415" t="str">
        <f t="shared" si="617"/>
        <v>-</v>
      </c>
      <c r="CH309" s="1425" t="str">
        <f t="shared" si="617"/>
        <v>-</v>
      </c>
      <c r="CI309" s="1417" t="str">
        <f t="shared" si="617"/>
        <v>-</v>
      </c>
      <c r="CJ309" s="1417" t="str">
        <f t="shared" si="617"/>
        <v>-</v>
      </c>
      <c r="CK309" s="1417" t="str">
        <f t="shared" si="617"/>
        <v>-</v>
      </c>
      <c r="CL309" s="1417" t="str">
        <f t="shared" si="617"/>
        <v>-</v>
      </c>
      <c r="CM309" s="1418" t="str">
        <f t="shared" si="617"/>
        <v>-</v>
      </c>
      <c r="CN309" s="1417" t="str">
        <f t="shared" si="617"/>
        <v>-</v>
      </c>
      <c r="CO309" s="1417" t="str">
        <f t="shared" si="617"/>
        <v>-</v>
      </c>
      <c r="CP309" s="1417" t="str">
        <f t="shared" si="617"/>
        <v>-</v>
      </c>
      <c r="CQ309" s="1417" t="str">
        <f t="shared" si="617"/>
        <v>-</v>
      </c>
      <c r="CR309" s="1419" t="str">
        <f t="shared" si="617"/>
        <v>-</v>
      </c>
      <c r="CS309" s="1378"/>
      <c r="CT309" s="1412" t="str">
        <f t="shared" si="492"/>
        <v>Price</v>
      </c>
      <c r="CU309" s="1413" t="str">
        <f t="shared" si="493"/>
        <v>[Service]</v>
      </c>
      <c r="CV309" s="1426" t="str">
        <f t="shared" si="494"/>
        <v>[Price]</v>
      </c>
      <c r="CW309" s="1427" t="str">
        <f t="shared" si="514"/>
        <v>-</v>
      </c>
      <c r="CX309" s="1417" t="str">
        <f t="shared" si="515"/>
        <v>-</v>
      </c>
      <c r="CY309" s="1417" t="str">
        <f t="shared" si="516"/>
        <v>-</v>
      </c>
      <c r="CZ309" s="1418" t="str">
        <f t="shared" si="517"/>
        <v>-</v>
      </c>
      <c r="DA309" s="1417" t="str">
        <f t="shared" si="518"/>
        <v>-</v>
      </c>
      <c r="DB309" s="1417" t="str">
        <f t="shared" si="519"/>
        <v>-</v>
      </c>
      <c r="DC309" s="1417" t="str">
        <f t="shared" si="520"/>
        <v>-</v>
      </c>
      <c r="DD309" s="1417" t="str">
        <f t="shared" si="521"/>
        <v>-</v>
      </c>
      <c r="DE309" s="1419" t="str">
        <f t="shared" si="522"/>
        <v>-</v>
      </c>
      <c r="DF309" s="1378"/>
      <c r="DG309" s="1412" t="str">
        <f t="shared" si="533"/>
        <v>Price</v>
      </c>
      <c r="DH309" s="1413" t="str">
        <f t="shared" si="533"/>
        <v>[Service]</v>
      </c>
      <c r="DI309" s="1426" t="str">
        <f t="shared" si="533"/>
        <v>[Price]</v>
      </c>
      <c r="DJ309" s="1427" t="str">
        <f t="shared" si="523"/>
        <v>-</v>
      </c>
      <c r="DK309" s="1417" t="str">
        <f t="shared" si="524"/>
        <v>-</v>
      </c>
      <c r="DL309" s="1417" t="str">
        <f t="shared" si="525"/>
        <v>-</v>
      </c>
      <c r="DM309" s="1418" t="str">
        <f t="shared" si="526"/>
        <v>-</v>
      </c>
      <c r="DN309" s="1417" t="str">
        <f t="shared" si="527"/>
        <v>-</v>
      </c>
      <c r="DO309" s="1417" t="str">
        <f t="shared" si="528"/>
        <v>-</v>
      </c>
      <c r="DP309" s="1417" t="str">
        <f t="shared" si="529"/>
        <v>-</v>
      </c>
      <c r="DQ309" s="1419" t="str">
        <f t="shared" si="530"/>
        <v>-</v>
      </c>
    </row>
    <row r="310" spans="4:121">
      <c r="E310" s="742" t="s">
        <v>45</v>
      </c>
      <c r="F310" s="722" t="str">
        <f>+F309</f>
        <v>[Service]</v>
      </c>
      <c r="G310" s="723">
        <f>+G309</f>
        <v>0</v>
      </c>
      <c r="H310" s="723">
        <f>+H309</f>
        <v>0</v>
      </c>
      <c r="I310" s="724" t="str">
        <f>+I309</f>
        <v>[Price]</v>
      </c>
      <c r="J310" s="782" t="s">
        <v>322</v>
      </c>
      <c r="K310" s="725"/>
      <c r="L310" s="726"/>
      <c r="M310" s="726"/>
      <c r="N310" s="727"/>
      <c r="O310" s="786"/>
      <c r="P310" s="787"/>
      <c r="Q310" s="786"/>
      <c r="R310" s="786"/>
      <c r="S310" s="786"/>
      <c r="T310" s="786"/>
      <c r="U310" s="786"/>
      <c r="V310" s="786"/>
      <c r="W310" s="786"/>
      <c r="X310" s="787"/>
      <c r="Y310" s="786"/>
      <c r="Z310" s="786"/>
      <c r="AA310" s="786"/>
      <c r="AB310" s="786"/>
      <c r="AC310" s="787"/>
      <c r="AD310" s="786"/>
      <c r="AE310" s="786"/>
      <c r="AF310" s="786"/>
      <c r="AG310" s="788"/>
      <c r="AH310" s="823"/>
      <c r="AI310" s="745"/>
      <c r="AJ310" s="728"/>
      <c r="AK310" s="729"/>
      <c r="AL310" s="729"/>
      <c r="AM310" s="729"/>
      <c r="AN310" s="729"/>
      <c r="AO310" s="730"/>
      <c r="AP310" s="74"/>
      <c r="AQ310" s="74"/>
      <c r="AR310" s="74"/>
      <c r="AS310" s="106"/>
      <c r="AW310" s="1392" t="str">
        <f t="shared" si="531"/>
        <v>Qty</v>
      </c>
      <c r="AX310" s="1393" t="str">
        <f t="shared" si="531"/>
        <v>[Service]</v>
      </c>
      <c r="AY310" s="1394" t="str">
        <f t="shared" si="496"/>
        <v>[Price]</v>
      </c>
      <c r="AZ310" s="1395" t="str">
        <f t="shared" si="616"/>
        <v>-</v>
      </c>
      <c r="BA310" s="1395" t="str">
        <f t="shared" si="616"/>
        <v>-</v>
      </c>
      <c r="BB310" s="1395" t="str">
        <f t="shared" si="616"/>
        <v>-</v>
      </c>
      <c r="BC310" s="1395" t="str">
        <f t="shared" si="616"/>
        <v>-</v>
      </c>
      <c r="BD310" s="1395" t="str">
        <f t="shared" si="498"/>
        <v>-</v>
      </c>
      <c r="BE310" s="1395" t="str">
        <f t="shared" si="499"/>
        <v>-</v>
      </c>
      <c r="BF310" s="1395" t="str">
        <f t="shared" si="500"/>
        <v>-</v>
      </c>
      <c r="BG310" s="1396" t="str">
        <f t="shared" si="501"/>
        <v>-</v>
      </c>
      <c r="BH310" s="1395" t="str">
        <f t="shared" si="502"/>
        <v>-</v>
      </c>
      <c r="BI310" s="1395" t="str">
        <f t="shared" si="503"/>
        <v>-</v>
      </c>
      <c r="BJ310" s="1395" t="str">
        <f t="shared" si="504"/>
        <v>-</v>
      </c>
      <c r="BK310" s="1395" t="str">
        <f t="shared" si="505"/>
        <v>-</v>
      </c>
      <c r="BL310" s="1397" t="str">
        <f t="shared" si="506"/>
        <v>-</v>
      </c>
      <c r="BM310" s="1395" t="str">
        <f t="shared" si="507"/>
        <v>-</v>
      </c>
      <c r="BN310" s="1395" t="str">
        <f t="shared" si="508"/>
        <v>-</v>
      </c>
      <c r="BO310" s="1395" t="str">
        <f t="shared" si="509"/>
        <v>-</v>
      </c>
      <c r="BP310" s="1395" t="str">
        <f t="shared" si="510"/>
        <v>-</v>
      </c>
      <c r="BQ310" s="1398" t="str">
        <f t="shared" si="511"/>
        <v>-</v>
      </c>
      <c r="BR310" s="1378"/>
      <c r="BS310" s="1329"/>
      <c r="BT310" s="1399"/>
      <c r="BU310" s="1331"/>
      <c r="BV310" s="1400"/>
      <c r="BW310" s="1378"/>
      <c r="BX310" s="1392" t="str">
        <f t="shared" si="512"/>
        <v>Qty</v>
      </c>
      <c r="BY310" s="1393" t="str">
        <f t="shared" si="557"/>
        <v>[Service]</v>
      </c>
      <c r="BZ310" s="1394" t="str">
        <f t="shared" si="558"/>
        <v>[Price]</v>
      </c>
      <c r="CA310" s="1401" t="str">
        <f>IFERROR((S310/R310-1)*(R311/R$13),"-")</f>
        <v>-</v>
      </c>
      <c r="CB310" s="1395" t="str">
        <f>IFERROR((T310/S310-1)*(S311/S$13),"-")</f>
        <v>-</v>
      </c>
      <c r="CC310" s="1395" t="str">
        <f>IFERROR((U310/T310-1)*(T311/T$13),"-")</f>
        <v>-</v>
      </c>
      <c r="CD310" s="1395" t="str">
        <f>IFERROR((V310/U310-1)*(U311/U$13),"-")</f>
        <v>-</v>
      </c>
      <c r="CE310" s="1395" t="str">
        <f t="shared" ref="CE310:CR310" si="618">IFERROR((T310/S310-1)*(S311/S$13),"-")</f>
        <v>-</v>
      </c>
      <c r="CF310" s="1395" t="str">
        <f t="shared" si="618"/>
        <v>-</v>
      </c>
      <c r="CG310" s="1395" t="str">
        <f t="shared" si="618"/>
        <v>-</v>
      </c>
      <c r="CH310" s="1397" t="str">
        <f t="shared" si="618"/>
        <v>-</v>
      </c>
      <c r="CI310" s="1395" t="str">
        <f t="shared" si="618"/>
        <v>-</v>
      </c>
      <c r="CJ310" s="1395" t="str">
        <f t="shared" si="618"/>
        <v>-</v>
      </c>
      <c r="CK310" s="1395" t="str">
        <f t="shared" si="618"/>
        <v>-</v>
      </c>
      <c r="CL310" s="1395" t="str">
        <f t="shared" si="618"/>
        <v>-</v>
      </c>
      <c r="CM310" s="1397" t="str">
        <f t="shared" si="618"/>
        <v>-</v>
      </c>
      <c r="CN310" s="1395" t="str">
        <f t="shared" si="618"/>
        <v>-</v>
      </c>
      <c r="CO310" s="1395" t="str">
        <f t="shared" si="618"/>
        <v>-</v>
      </c>
      <c r="CP310" s="1395" t="str">
        <f t="shared" si="618"/>
        <v>-</v>
      </c>
      <c r="CQ310" s="1395" t="str">
        <f t="shared" si="618"/>
        <v>-</v>
      </c>
      <c r="CR310" s="1398" t="str">
        <f t="shared" si="618"/>
        <v>-</v>
      </c>
      <c r="CS310" s="1378"/>
      <c r="CT310" s="1392" t="str">
        <f t="shared" si="492"/>
        <v>Qty</v>
      </c>
      <c r="CU310" s="1393" t="str">
        <f t="shared" si="493"/>
        <v>[Service]</v>
      </c>
      <c r="CV310" s="1393" t="str">
        <f t="shared" si="494"/>
        <v>[Price]</v>
      </c>
      <c r="CW310" s="1401" t="str">
        <f t="shared" si="514"/>
        <v>-</v>
      </c>
      <c r="CX310" s="1395" t="str">
        <f t="shared" si="515"/>
        <v>-</v>
      </c>
      <c r="CY310" s="1395" t="str">
        <f t="shared" si="516"/>
        <v>-</v>
      </c>
      <c r="CZ310" s="1397" t="str">
        <f t="shared" si="517"/>
        <v>-</v>
      </c>
      <c r="DA310" s="1395" t="str">
        <f t="shared" si="518"/>
        <v>-</v>
      </c>
      <c r="DB310" s="1395" t="str">
        <f t="shared" si="519"/>
        <v>-</v>
      </c>
      <c r="DC310" s="1395" t="str">
        <f t="shared" si="520"/>
        <v>-</v>
      </c>
      <c r="DD310" s="1395" t="str">
        <f t="shared" si="521"/>
        <v>-</v>
      </c>
      <c r="DE310" s="1398" t="str">
        <f t="shared" si="522"/>
        <v>-</v>
      </c>
      <c r="DF310" s="1378"/>
      <c r="DG310" s="1392" t="str">
        <f t="shared" si="533"/>
        <v>Qty</v>
      </c>
      <c r="DH310" s="1393" t="str">
        <f t="shared" si="533"/>
        <v>[Service]</v>
      </c>
      <c r="DI310" s="1393" t="str">
        <f t="shared" si="533"/>
        <v>[Price]</v>
      </c>
      <c r="DJ310" s="1401" t="str">
        <f t="shared" si="523"/>
        <v>-</v>
      </c>
      <c r="DK310" s="1395" t="str">
        <f t="shared" si="524"/>
        <v>-</v>
      </c>
      <c r="DL310" s="1395" t="str">
        <f t="shared" si="525"/>
        <v>-</v>
      </c>
      <c r="DM310" s="1397" t="str">
        <f t="shared" si="526"/>
        <v>-</v>
      </c>
      <c r="DN310" s="1395" t="str">
        <f t="shared" si="527"/>
        <v>-</v>
      </c>
      <c r="DO310" s="1395" t="str">
        <f t="shared" si="528"/>
        <v>-</v>
      </c>
      <c r="DP310" s="1395" t="str">
        <f t="shared" si="529"/>
        <v>-</v>
      </c>
      <c r="DQ310" s="1398" t="str">
        <f t="shared" si="530"/>
        <v>-</v>
      </c>
    </row>
    <row r="311" spans="4:121" ht="12.75" thickBot="1">
      <c r="E311" s="743" t="s">
        <v>46</v>
      </c>
      <c r="F311" s="732" t="str">
        <f>+F309</f>
        <v>[Service]</v>
      </c>
      <c r="G311" s="733">
        <f>+G309</f>
        <v>0</v>
      </c>
      <c r="H311" s="733">
        <f>+H309</f>
        <v>0</v>
      </c>
      <c r="I311" s="734" t="str">
        <f>+I309</f>
        <v>[Price]</v>
      </c>
      <c r="J311" s="735" t="s">
        <v>344</v>
      </c>
      <c r="K311" s="736">
        <f t="shared" ref="K311:AG311" si="619">K309*K310/10^6</f>
        <v>0</v>
      </c>
      <c r="L311" s="737">
        <f t="shared" si="619"/>
        <v>0</v>
      </c>
      <c r="M311" s="737">
        <f t="shared" si="619"/>
        <v>0</v>
      </c>
      <c r="N311" s="738">
        <f t="shared" si="619"/>
        <v>0</v>
      </c>
      <c r="O311" s="737">
        <f t="shared" si="619"/>
        <v>0</v>
      </c>
      <c r="P311" s="738">
        <f t="shared" si="619"/>
        <v>0</v>
      </c>
      <c r="Q311" s="737">
        <f t="shared" si="619"/>
        <v>0</v>
      </c>
      <c r="R311" s="737">
        <f t="shared" si="619"/>
        <v>0</v>
      </c>
      <c r="S311" s="737">
        <f t="shared" si="619"/>
        <v>0</v>
      </c>
      <c r="T311" s="737">
        <f t="shared" si="619"/>
        <v>0</v>
      </c>
      <c r="U311" s="737">
        <f t="shared" si="619"/>
        <v>0</v>
      </c>
      <c r="V311" s="737">
        <f t="shared" si="619"/>
        <v>0</v>
      </c>
      <c r="W311" s="737">
        <f t="shared" si="619"/>
        <v>0</v>
      </c>
      <c r="X311" s="738">
        <f t="shared" si="619"/>
        <v>0</v>
      </c>
      <c r="Y311" s="737">
        <f t="shared" si="619"/>
        <v>0</v>
      </c>
      <c r="Z311" s="737">
        <f t="shared" si="619"/>
        <v>0</v>
      </c>
      <c r="AA311" s="737">
        <f t="shared" si="619"/>
        <v>0</v>
      </c>
      <c r="AB311" s="737">
        <f t="shared" si="619"/>
        <v>0</v>
      </c>
      <c r="AC311" s="738">
        <f t="shared" si="619"/>
        <v>0</v>
      </c>
      <c r="AD311" s="737">
        <f t="shared" si="619"/>
        <v>0</v>
      </c>
      <c r="AE311" s="737">
        <f t="shared" si="619"/>
        <v>0</v>
      </c>
      <c r="AF311" s="737">
        <f t="shared" si="619"/>
        <v>0</v>
      </c>
      <c r="AG311" s="739">
        <f t="shared" si="619"/>
        <v>0</v>
      </c>
      <c r="AH311" s="823"/>
      <c r="AI311" s="745"/>
      <c r="AJ311" s="741"/>
      <c r="AK311" s="729"/>
      <c r="AL311" s="729"/>
      <c r="AM311" s="729"/>
      <c r="AN311" s="729"/>
      <c r="AO311" s="730"/>
      <c r="AP311" s="74"/>
      <c r="AQ311" s="74"/>
      <c r="AR311" s="74"/>
      <c r="AS311" s="106"/>
      <c r="AW311" s="1428" t="str">
        <f t="shared" si="531"/>
        <v>Rev</v>
      </c>
      <c r="AX311" s="1429" t="str">
        <f t="shared" si="531"/>
        <v>[Service]</v>
      </c>
      <c r="AY311" s="1430" t="str">
        <f t="shared" si="496"/>
        <v>[Price]</v>
      </c>
      <c r="AZ311" s="1431" t="str">
        <f t="shared" si="616"/>
        <v>-</v>
      </c>
      <c r="BA311" s="1431" t="str">
        <f t="shared" si="616"/>
        <v>-</v>
      </c>
      <c r="BB311" s="1431" t="str">
        <f t="shared" si="616"/>
        <v>-</v>
      </c>
      <c r="BC311" s="1431" t="str">
        <f t="shared" si="616"/>
        <v>-</v>
      </c>
      <c r="BD311" s="1431" t="str">
        <f t="shared" si="498"/>
        <v>-</v>
      </c>
      <c r="BE311" s="1431" t="str">
        <f t="shared" si="499"/>
        <v>-</v>
      </c>
      <c r="BF311" s="1431" t="str">
        <f t="shared" si="500"/>
        <v>-</v>
      </c>
      <c r="BG311" s="1432" t="str">
        <f t="shared" si="501"/>
        <v>-</v>
      </c>
      <c r="BH311" s="1431" t="str">
        <f t="shared" si="502"/>
        <v>-</v>
      </c>
      <c r="BI311" s="1431" t="str">
        <f t="shared" si="503"/>
        <v>-</v>
      </c>
      <c r="BJ311" s="1431" t="str">
        <f t="shared" si="504"/>
        <v>-</v>
      </c>
      <c r="BK311" s="1431" t="str">
        <f t="shared" si="505"/>
        <v>-</v>
      </c>
      <c r="BL311" s="1433" t="str">
        <f t="shared" si="506"/>
        <v>-</v>
      </c>
      <c r="BM311" s="1431" t="str">
        <f t="shared" si="507"/>
        <v>-</v>
      </c>
      <c r="BN311" s="1431" t="str">
        <f t="shared" si="508"/>
        <v>-</v>
      </c>
      <c r="BO311" s="1431" t="str">
        <f t="shared" si="509"/>
        <v>-</v>
      </c>
      <c r="BP311" s="1431" t="str">
        <f t="shared" si="510"/>
        <v>-</v>
      </c>
      <c r="BQ311" s="1434" t="str">
        <f t="shared" si="511"/>
        <v>-</v>
      </c>
      <c r="BR311" s="1378"/>
      <c r="BS311" s="1407"/>
      <c r="BT311" s="1408"/>
      <c r="BU311" s="1409"/>
      <c r="BV311" s="1410"/>
      <c r="BW311" s="1378"/>
      <c r="BX311" s="1428" t="str">
        <f t="shared" si="512"/>
        <v>Rev</v>
      </c>
      <c r="BY311" s="1429" t="str">
        <f t="shared" si="557"/>
        <v>[Service]</v>
      </c>
      <c r="BZ311" s="1430" t="str">
        <f t="shared" si="558"/>
        <v>[Price]</v>
      </c>
      <c r="CA311" s="1435" t="str">
        <f>IFERROR((S311/R311-1)*(R311/R$13),"-")</f>
        <v>-</v>
      </c>
      <c r="CB311" s="1431" t="str">
        <f>IFERROR((T311/S311-1)*(S311/S$13),"-")</f>
        <v>-</v>
      </c>
      <c r="CC311" s="1431" t="str">
        <f>IFERROR((U311/T311-1)*(T311/T$13),"-")</f>
        <v>-</v>
      </c>
      <c r="CD311" s="1431" t="str">
        <f>IFERROR((V311/U311-1)*(U311/U$13),"-")</f>
        <v>-</v>
      </c>
      <c r="CE311" s="1431" t="str">
        <f t="shared" ref="CE311:CR311" si="620">IFERROR((T311/S311-1)*(S311/S$13),"-")</f>
        <v>-</v>
      </c>
      <c r="CF311" s="1431" t="str">
        <f t="shared" si="620"/>
        <v>-</v>
      </c>
      <c r="CG311" s="1431" t="str">
        <f t="shared" si="620"/>
        <v>-</v>
      </c>
      <c r="CH311" s="1433" t="str">
        <f t="shared" si="620"/>
        <v>-</v>
      </c>
      <c r="CI311" s="1431" t="str">
        <f t="shared" si="620"/>
        <v>-</v>
      </c>
      <c r="CJ311" s="1431" t="str">
        <f t="shared" si="620"/>
        <v>-</v>
      </c>
      <c r="CK311" s="1431" t="str">
        <f t="shared" si="620"/>
        <v>-</v>
      </c>
      <c r="CL311" s="1431" t="str">
        <f t="shared" si="620"/>
        <v>-</v>
      </c>
      <c r="CM311" s="1433" t="str">
        <f t="shared" si="620"/>
        <v>-</v>
      </c>
      <c r="CN311" s="1431" t="str">
        <f t="shared" si="620"/>
        <v>-</v>
      </c>
      <c r="CO311" s="1431" t="str">
        <f t="shared" si="620"/>
        <v>-</v>
      </c>
      <c r="CP311" s="1431" t="str">
        <f t="shared" si="620"/>
        <v>-</v>
      </c>
      <c r="CQ311" s="1431" t="str">
        <f t="shared" si="620"/>
        <v>-</v>
      </c>
      <c r="CR311" s="1434" t="str">
        <f t="shared" si="620"/>
        <v>-</v>
      </c>
      <c r="CS311" s="1378"/>
      <c r="CT311" s="1428" t="str">
        <f t="shared" si="492"/>
        <v>Rev</v>
      </c>
      <c r="CU311" s="1429" t="str">
        <f t="shared" si="493"/>
        <v>[Service]</v>
      </c>
      <c r="CV311" s="1429" t="str">
        <f t="shared" si="494"/>
        <v>[Price]</v>
      </c>
      <c r="CW311" s="1435" t="str">
        <f t="shared" si="514"/>
        <v>-</v>
      </c>
      <c r="CX311" s="1431" t="str">
        <f t="shared" si="515"/>
        <v>-</v>
      </c>
      <c r="CY311" s="1431" t="str">
        <f t="shared" si="516"/>
        <v>-</v>
      </c>
      <c r="CZ311" s="1433" t="str">
        <f t="shared" si="517"/>
        <v>-</v>
      </c>
      <c r="DA311" s="1431" t="str">
        <f t="shared" si="518"/>
        <v>-</v>
      </c>
      <c r="DB311" s="1431" t="str">
        <f t="shared" si="519"/>
        <v>-</v>
      </c>
      <c r="DC311" s="1431" t="str">
        <f t="shared" si="520"/>
        <v>-</v>
      </c>
      <c r="DD311" s="1431" t="str">
        <f t="shared" si="521"/>
        <v>-</v>
      </c>
      <c r="DE311" s="1434" t="str">
        <f t="shared" si="522"/>
        <v>-</v>
      </c>
      <c r="DF311" s="1378"/>
      <c r="DG311" s="1428" t="str">
        <f t="shared" si="533"/>
        <v>Rev</v>
      </c>
      <c r="DH311" s="1429" t="str">
        <f t="shared" si="533"/>
        <v>[Service]</v>
      </c>
      <c r="DI311" s="1429" t="str">
        <f t="shared" si="533"/>
        <v>[Price]</v>
      </c>
      <c r="DJ311" s="1435" t="str">
        <f t="shared" si="523"/>
        <v>-</v>
      </c>
      <c r="DK311" s="1431" t="str">
        <f t="shared" si="524"/>
        <v>-</v>
      </c>
      <c r="DL311" s="1431" t="str">
        <f t="shared" si="525"/>
        <v>-</v>
      </c>
      <c r="DM311" s="1433" t="str">
        <f t="shared" si="526"/>
        <v>-</v>
      </c>
      <c r="DN311" s="1431" t="str">
        <f t="shared" si="527"/>
        <v>-</v>
      </c>
      <c r="DO311" s="1431" t="str">
        <f t="shared" si="528"/>
        <v>-</v>
      </c>
      <c r="DP311" s="1431" t="str">
        <f t="shared" si="529"/>
        <v>-</v>
      </c>
      <c r="DQ311" s="1434" t="str">
        <f t="shared" si="530"/>
        <v>-</v>
      </c>
    </row>
    <row r="312" spans="4:121">
      <c r="D312" s="70">
        <f>D309+1</f>
        <v>82</v>
      </c>
      <c r="E312" s="713" t="s">
        <v>44</v>
      </c>
      <c r="F312" s="789" t="s">
        <v>27</v>
      </c>
      <c r="G312" s="789"/>
      <c r="H312" s="789"/>
      <c r="I312" s="781" t="s">
        <v>318</v>
      </c>
      <c r="J312" s="781" t="s">
        <v>345</v>
      </c>
      <c r="K312" s="714"/>
      <c r="L312" s="715"/>
      <c r="M312" s="715"/>
      <c r="N312" s="716"/>
      <c r="O312" s="783"/>
      <c r="P312" s="784"/>
      <c r="Q312" s="783"/>
      <c r="R312" s="783"/>
      <c r="S312" s="783"/>
      <c r="T312" s="783"/>
      <c r="U312" s="783"/>
      <c r="V312" s="783"/>
      <c r="W312" s="783"/>
      <c r="X312" s="784"/>
      <c r="Y312" s="783"/>
      <c r="Z312" s="783"/>
      <c r="AA312" s="783"/>
      <c r="AB312" s="783"/>
      <c r="AC312" s="784"/>
      <c r="AD312" s="783"/>
      <c r="AE312" s="783"/>
      <c r="AF312" s="783"/>
      <c r="AG312" s="785"/>
      <c r="AI312" s="745"/>
      <c r="AJ312" s="717" t="str">
        <f t="shared" ref="AJ312:AS312" si="621">IFERROR((X312-W312)/W312,"")</f>
        <v/>
      </c>
      <c r="AK312" s="718" t="str">
        <f t="shared" si="621"/>
        <v/>
      </c>
      <c r="AL312" s="718" t="str">
        <f t="shared" si="621"/>
        <v/>
      </c>
      <c r="AM312" s="718" t="str">
        <f t="shared" si="621"/>
        <v/>
      </c>
      <c r="AN312" s="718" t="str">
        <f t="shared" si="621"/>
        <v/>
      </c>
      <c r="AO312" s="719" t="str">
        <f t="shared" si="621"/>
        <v/>
      </c>
      <c r="AP312" s="494" t="str">
        <f t="shared" si="621"/>
        <v/>
      </c>
      <c r="AQ312" s="494" t="str">
        <f t="shared" si="621"/>
        <v/>
      </c>
      <c r="AR312" s="494" t="str">
        <f t="shared" si="621"/>
        <v/>
      </c>
      <c r="AS312" s="720" t="str">
        <f t="shared" si="621"/>
        <v/>
      </c>
      <c r="AU312" s="1369"/>
      <c r="AW312" s="1412" t="str">
        <f t="shared" si="531"/>
        <v>Price</v>
      </c>
      <c r="AX312" s="1413" t="str">
        <f t="shared" si="531"/>
        <v>[Service]</v>
      </c>
      <c r="AY312" s="1414" t="str">
        <f t="shared" si="496"/>
        <v>[Price]</v>
      </c>
      <c r="AZ312" s="1415" t="str">
        <f t="shared" si="616"/>
        <v>-</v>
      </c>
      <c r="BA312" s="1415" t="str">
        <f t="shared" si="616"/>
        <v>-</v>
      </c>
      <c r="BB312" s="1415" t="str">
        <f t="shared" si="616"/>
        <v>-</v>
      </c>
      <c r="BC312" s="1415" t="str">
        <f t="shared" si="616"/>
        <v>-</v>
      </c>
      <c r="BD312" s="1415" t="str">
        <f t="shared" si="498"/>
        <v>-</v>
      </c>
      <c r="BE312" s="1415" t="str">
        <f t="shared" si="499"/>
        <v>-</v>
      </c>
      <c r="BF312" s="1415" t="str">
        <f t="shared" si="500"/>
        <v>-</v>
      </c>
      <c r="BG312" s="1416" t="str">
        <f t="shared" si="501"/>
        <v>-</v>
      </c>
      <c r="BH312" s="1417" t="str">
        <f t="shared" si="502"/>
        <v>-</v>
      </c>
      <c r="BI312" s="1417" t="str">
        <f t="shared" si="503"/>
        <v>-</v>
      </c>
      <c r="BJ312" s="1417" t="str">
        <f t="shared" si="504"/>
        <v>-</v>
      </c>
      <c r="BK312" s="1417" t="str">
        <f t="shared" si="505"/>
        <v>-</v>
      </c>
      <c r="BL312" s="1418" t="str">
        <f t="shared" si="506"/>
        <v>-</v>
      </c>
      <c r="BM312" s="1417" t="str">
        <f t="shared" si="507"/>
        <v>-</v>
      </c>
      <c r="BN312" s="1417" t="str">
        <f t="shared" si="508"/>
        <v>-</v>
      </c>
      <c r="BO312" s="1417" t="str">
        <f t="shared" si="509"/>
        <v>-</v>
      </c>
      <c r="BP312" s="1417" t="str">
        <f t="shared" si="510"/>
        <v>-</v>
      </c>
      <c r="BQ312" s="1419" t="str">
        <f t="shared" si="511"/>
        <v>-</v>
      </c>
      <c r="BR312" s="1378"/>
      <c r="BS312" s="1420"/>
      <c r="BT312" s="1421"/>
      <c r="BU312" s="1422"/>
      <c r="BV312" s="1423"/>
      <c r="BW312" s="1378"/>
      <c r="BX312" s="1412" t="str">
        <f t="shared" si="512"/>
        <v>Price</v>
      </c>
      <c r="BY312" s="1413" t="str">
        <f t="shared" si="557"/>
        <v>[Service]</v>
      </c>
      <c r="BZ312" s="1414" t="str">
        <f t="shared" si="558"/>
        <v>[Price]</v>
      </c>
      <c r="CA312" s="1424" t="str">
        <f>IFERROR((S312/R312-1)*(R314/R$13),"-")</f>
        <v>-</v>
      </c>
      <c r="CB312" s="1415" t="str">
        <f>IFERROR((T312/S312-1)*(S314/S$13),"-")</f>
        <v>-</v>
      </c>
      <c r="CC312" s="1415" t="str">
        <f>IFERROR((U312/T312-1)*(T314/T$13),"-")</f>
        <v>-</v>
      </c>
      <c r="CD312" s="1415" t="str">
        <f>IFERROR((V312/U312-1)*(U314/U$13),"-")</f>
        <v>-</v>
      </c>
      <c r="CE312" s="1415" t="str">
        <f t="shared" ref="CE312:CR312" si="622">IFERROR((T312/S312-1)*(S314/S$13),"-")</f>
        <v>-</v>
      </c>
      <c r="CF312" s="1415" t="str">
        <f t="shared" si="622"/>
        <v>-</v>
      </c>
      <c r="CG312" s="1415" t="str">
        <f t="shared" si="622"/>
        <v>-</v>
      </c>
      <c r="CH312" s="1425" t="str">
        <f t="shared" si="622"/>
        <v>-</v>
      </c>
      <c r="CI312" s="1417" t="str">
        <f t="shared" si="622"/>
        <v>-</v>
      </c>
      <c r="CJ312" s="1417" t="str">
        <f t="shared" si="622"/>
        <v>-</v>
      </c>
      <c r="CK312" s="1417" t="str">
        <f t="shared" si="622"/>
        <v>-</v>
      </c>
      <c r="CL312" s="1417" t="str">
        <f t="shared" si="622"/>
        <v>-</v>
      </c>
      <c r="CM312" s="1418" t="str">
        <f t="shared" si="622"/>
        <v>-</v>
      </c>
      <c r="CN312" s="1417" t="str">
        <f t="shared" si="622"/>
        <v>-</v>
      </c>
      <c r="CO312" s="1417" t="str">
        <f t="shared" si="622"/>
        <v>-</v>
      </c>
      <c r="CP312" s="1417" t="str">
        <f t="shared" si="622"/>
        <v>-</v>
      </c>
      <c r="CQ312" s="1417" t="str">
        <f t="shared" si="622"/>
        <v>-</v>
      </c>
      <c r="CR312" s="1419" t="str">
        <f t="shared" si="622"/>
        <v>-</v>
      </c>
      <c r="CS312" s="1378"/>
      <c r="CT312" s="1412" t="str">
        <f t="shared" si="492"/>
        <v>Price</v>
      </c>
      <c r="CU312" s="1413" t="str">
        <f t="shared" si="493"/>
        <v>[Service]</v>
      </c>
      <c r="CV312" s="1426" t="str">
        <f t="shared" si="494"/>
        <v>[Price]</v>
      </c>
      <c r="CW312" s="1427" t="str">
        <f t="shared" si="514"/>
        <v>-</v>
      </c>
      <c r="CX312" s="1417" t="str">
        <f t="shared" si="515"/>
        <v>-</v>
      </c>
      <c r="CY312" s="1417" t="str">
        <f t="shared" si="516"/>
        <v>-</v>
      </c>
      <c r="CZ312" s="1418" t="str">
        <f t="shared" si="517"/>
        <v>-</v>
      </c>
      <c r="DA312" s="1417" t="str">
        <f t="shared" si="518"/>
        <v>-</v>
      </c>
      <c r="DB312" s="1417" t="str">
        <f t="shared" si="519"/>
        <v>-</v>
      </c>
      <c r="DC312" s="1417" t="str">
        <f t="shared" si="520"/>
        <v>-</v>
      </c>
      <c r="DD312" s="1417" t="str">
        <f t="shared" si="521"/>
        <v>-</v>
      </c>
      <c r="DE312" s="1419" t="str">
        <f t="shared" si="522"/>
        <v>-</v>
      </c>
      <c r="DF312" s="1378"/>
      <c r="DG312" s="1412" t="str">
        <f t="shared" si="533"/>
        <v>Price</v>
      </c>
      <c r="DH312" s="1413" t="str">
        <f t="shared" si="533"/>
        <v>[Service]</v>
      </c>
      <c r="DI312" s="1426" t="str">
        <f t="shared" si="533"/>
        <v>[Price]</v>
      </c>
      <c r="DJ312" s="1427" t="str">
        <f t="shared" si="523"/>
        <v>-</v>
      </c>
      <c r="DK312" s="1417" t="str">
        <f t="shared" si="524"/>
        <v>-</v>
      </c>
      <c r="DL312" s="1417" t="str">
        <f t="shared" si="525"/>
        <v>-</v>
      </c>
      <c r="DM312" s="1418" t="str">
        <f t="shared" si="526"/>
        <v>-</v>
      </c>
      <c r="DN312" s="1417" t="str">
        <f t="shared" si="527"/>
        <v>-</v>
      </c>
      <c r="DO312" s="1417" t="str">
        <f t="shared" si="528"/>
        <v>-</v>
      </c>
      <c r="DP312" s="1417" t="str">
        <f t="shared" si="529"/>
        <v>-</v>
      </c>
      <c r="DQ312" s="1419" t="str">
        <f t="shared" si="530"/>
        <v>-</v>
      </c>
    </row>
    <row r="313" spans="4:121">
      <c r="E313" s="742" t="s">
        <v>45</v>
      </c>
      <c r="F313" s="722" t="str">
        <f>+F312</f>
        <v>[Service]</v>
      </c>
      <c r="G313" s="723">
        <f>+G312</f>
        <v>0</v>
      </c>
      <c r="H313" s="723">
        <f>+H312</f>
        <v>0</v>
      </c>
      <c r="I313" s="724" t="str">
        <f>+I312</f>
        <v>[Price]</v>
      </c>
      <c r="J313" s="782" t="s">
        <v>322</v>
      </c>
      <c r="K313" s="725"/>
      <c r="L313" s="726"/>
      <c r="M313" s="726"/>
      <c r="N313" s="727"/>
      <c r="O313" s="786"/>
      <c r="P313" s="787"/>
      <c r="Q313" s="786"/>
      <c r="R313" s="786"/>
      <c r="S313" s="786"/>
      <c r="T313" s="786"/>
      <c r="U313" s="786"/>
      <c r="V313" s="786"/>
      <c r="W313" s="786"/>
      <c r="X313" s="787"/>
      <c r="Y313" s="786"/>
      <c r="Z313" s="786"/>
      <c r="AA313" s="786"/>
      <c r="AB313" s="786"/>
      <c r="AC313" s="787"/>
      <c r="AD313" s="786"/>
      <c r="AE313" s="786"/>
      <c r="AF313" s="786"/>
      <c r="AG313" s="788"/>
      <c r="AH313" s="823"/>
      <c r="AI313" s="745"/>
      <c r="AJ313" s="728"/>
      <c r="AK313" s="729"/>
      <c r="AL313" s="729"/>
      <c r="AM313" s="729"/>
      <c r="AN313" s="729"/>
      <c r="AO313" s="730"/>
      <c r="AP313" s="74"/>
      <c r="AQ313" s="74"/>
      <c r="AR313" s="74"/>
      <c r="AS313" s="106"/>
      <c r="AW313" s="1392" t="str">
        <f t="shared" si="531"/>
        <v>Qty</v>
      </c>
      <c r="AX313" s="1393" t="str">
        <f t="shared" si="531"/>
        <v>[Service]</v>
      </c>
      <c r="AY313" s="1394" t="str">
        <f t="shared" si="496"/>
        <v>[Price]</v>
      </c>
      <c r="AZ313" s="1395" t="str">
        <f t="shared" si="616"/>
        <v>-</v>
      </c>
      <c r="BA313" s="1395" t="str">
        <f t="shared" si="616"/>
        <v>-</v>
      </c>
      <c r="BB313" s="1395" t="str">
        <f t="shared" si="616"/>
        <v>-</v>
      </c>
      <c r="BC313" s="1395" t="str">
        <f t="shared" si="616"/>
        <v>-</v>
      </c>
      <c r="BD313" s="1395" t="str">
        <f t="shared" si="498"/>
        <v>-</v>
      </c>
      <c r="BE313" s="1395" t="str">
        <f t="shared" si="499"/>
        <v>-</v>
      </c>
      <c r="BF313" s="1395" t="str">
        <f t="shared" si="500"/>
        <v>-</v>
      </c>
      <c r="BG313" s="1396" t="str">
        <f t="shared" si="501"/>
        <v>-</v>
      </c>
      <c r="BH313" s="1395" t="str">
        <f t="shared" si="502"/>
        <v>-</v>
      </c>
      <c r="BI313" s="1395" t="str">
        <f t="shared" si="503"/>
        <v>-</v>
      </c>
      <c r="BJ313" s="1395" t="str">
        <f t="shared" si="504"/>
        <v>-</v>
      </c>
      <c r="BK313" s="1395" t="str">
        <f t="shared" si="505"/>
        <v>-</v>
      </c>
      <c r="BL313" s="1397" t="str">
        <f t="shared" si="506"/>
        <v>-</v>
      </c>
      <c r="BM313" s="1395" t="str">
        <f t="shared" si="507"/>
        <v>-</v>
      </c>
      <c r="BN313" s="1395" t="str">
        <f t="shared" si="508"/>
        <v>-</v>
      </c>
      <c r="BO313" s="1395" t="str">
        <f t="shared" si="509"/>
        <v>-</v>
      </c>
      <c r="BP313" s="1395" t="str">
        <f t="shared" si="510"/>
        <v>-</v>
      </c>
      <c r="BQ313" s="1398" t="str">
        <f t="shared" si="511"/>
        <v>-</v>
      </c>
      <c r="BR313" s="1378"/>
      <c r="BS313" s="1329"/>
      <c r="BT313" s="1399"/>
      <c r="BU313" s="1331"/>
      <c r="BV313" s="1400"/>
      <c r="BW313" s="1378"/>
      <c r="BX313" s="1392" t="str">
        <f t="shared" si="512"/>
        <v>Qty</v>
      </c>
      <c r="BY313" s="1393" t="str">
        <f t="shared" si="557"/>
        <v>[Service]</v>
      </c>
      <c r="BZ313" s="1394" t="str">
        <f t="shared" si="558"/>
        <v>[Price]</v>
      </c>
      <c r="CA313" s="1401" t="str">
        <f>IFERROR((S313/R313-1)*(R314/R$13),"-")</f>
        <v>-</v>
      </c>
      <c r="CB313" s="1395" t="str">
        <f>IFERROR((T313/S313-1)*(S314/S$13),"-")</f>
        <v>-</v>
      </c>
      <c r="CC313" s="1395" t="str">
        <f>IFERROR((U313/T313-1)*(T314/T$13),"-")</f>
        <v>-</v>
      </c>
      <c r="CD313" s="1395" t="str">
        <f>IFERROR((V313/U313-1)*(U314/U$13),"-")</f>
        <v>-</v>
      </c>
      <c r="CE313" s="1395" t="str">
        <f t="shared" ref="CE313:CR313" si="623">IFERROR((T313/S313-1)*(S314/S$13),"-")</f>
        <v>-</v>
      </c>
      <c r="CF313" s="1395" t="str">
        <f t="shared" si="623"/>
        <v>-</v>
      </c>
      <c r="CG313" s="1395" t="str">
        <f t="shared" si="623"/>
        <v>-</v>
      </c>
      <c r="CH313" s="1397" t="str">
        <f t="shared" si="623"/>
        <v>-</v>
      </c>
      <c r="CI313" s="1395" t="str">
        <f t="shared" si="623"/>
        <v>-</v>
      </c>
      <c r="CJ313" s="1395" t="str">
        <f t="shared" si="623"/>
        <v>-</v>
      </c>
      <c r="CK313" s="1395" t="str">
        <f t="shared" si="623"/>
        <v>-</v>
      </c>
      <c r="CL313" s="1395" t="str">
        <f t="shared" si="623"/>
        <v>-</v>
      </c>
      <c r="CM313" s="1397" t="str">
        <f t="shared" si="623"/>
        <v>-</v>
      </c>
      <c r="CN313" s="1395" t="str">
        <f t="shared" si="623"/>
        <v>-</v>
      </c>
      <c r="CO313" s="1395" t="str">
        <f t="shared" si="623"/>
        <v>-</v>
      </c>
      <c r="CP313" s="1395" t="str">
        <f t="shared" si="623"/>
        <v>-</v>
      </c>
      <c r="CQ313" s="1395" t="str">
        <f t="shared" si="623"/>
        <v>-</v>
      </c>
      <c r="CR313" s="1398" t="str">
        <f t="shared" si="623"/>
        <v>-</v>
      </c>
      <c r="CS313" s="1378"/>
      <c r="CT313" s="1392" t="str">
        <f t="shared" si="492"/>
        <v>Qty</v>
      </c>
      <c r="CU313" s="1393" t="str">
        <f t="shared" si="493"/>
        <v>[Service]</v>
      </c>
      <c r="CV313" s="1393" t="str">
        <f t="shared" si="494"/>
        <v>[Price]</v>
      </c>
      <c r="CW313" s="1401" t="str">
        <f t="shared" si="514"/>
        <v>-</v>
      </c>
      <c r="CX313" s="1395" t="str">
        <f t="shared" si="515"/>
        <v>-</v>
      </c>
      <c r="CY313" s="1395" t="str">
        <f t="shared" si="516"/>
        <v>-</v>
      </c>
      <c r="CZ313" s="1397" t="str">
        <f t="shared" si="517"/>
        <v>-</v>
      </c>
      <c r="DA313" s="1395" t="str">
        <f t="shared" si="518"/>
        <v>-</v>
      </c>
      <c r="DB313" s="1395" t="str">
        <f t="shared" si="519"/>
        <v>-</v>
      </c>
      <c r="DC313" s="1395" t="str">
        <f t="shared" si="520"/>
        <v>-</v>
      </c>
      <c r="DD313" s="1395" t="str">
        <f t="shared" si="521"/>
        <v>-</v>
      </c>
      <c r="DE313" s="1398" t="str">
        <f t="shared" si="522"/>
        <v>-</v>
      </c>
      <c r="DF313" s="1378"/>
      <c r="DG313" s="1392" t="str">
        <f t="shared" si="533"/>
        <v>Qty</v>
      </c>
      <c r="DH313" s="1393" t="str">
        <f t="shared" si="533"/>
        <v>[Service]</v>
      </c>
      <c r="DI313" s="1393" t="str">
        <f t="shared" si="533"/>
        <v>[Price]</v>
      </c>
      <c r="DJ313" s="1401" t="str">
        <f t="shared" si="523"/>
        <v>-</v>
      </c>
      <c r="DK313" s="1395" t="str">
        <f t="shared" si="524"/>
        <v>-</v>
      </c>
      <c r="DL313" s="1395" t="str">
        <f t="shared" si="525"/>
        <v>-</v>
      </c>
      <c r="DM313" s="1397" t="str">
        <f t="shared" si="526"/>
        <v>-</v>
      </c>
      <c r="DN313" s="1395" t="str">
        <f t="shared" si="527"/>
        <v>-</v>
      </c>
      <c r="DO313" s="1395" t="str">
        <f t="shared" si="528"/>
        <v>-</v>
      </c>
      <c r="DP313" s="1395" t="str">
        <f t="shared" si="529"/>
        <v>-</v>
      </c>
      <c r="DQ313" s="1398" t="str">
        <f t="shared" si="530"/>
        <v>-</v>
      </c>
    </row>
    <row r="314" spans="4:121" ht="12.75" thickBot="1">
      <c r="E314" s="743" t="s">
        <v>46</v>
      </c>
      <c r="F314" s="732" t="str">
        <f>+F312</f>
        <v>[Service]</v>
      </c>
      <c r="G314" s="733">
        <f>+G312</f>
        <v>0</v>
      </c>
      <c r="H314" s="733">
        <f>+H312</f>
        <v>0</v>
      </c>
      <c r="I314" s="734" t="str">
        <f>+I312</f>
        <v>[Price]</v>
      </c>
      <c r="J314" s="735" t="s">
        <v>344</v>
      </c>
      <c r="K314" s="736">
        <f t="shared" ref="K314:AG314" si="624">K312*K313/10^6</f>
        <v>0</v>
      </c>
      <c r="L314" s="737">
        <f t="shared" si="624"/>
        <v>0</v>
      </c>
      <c r="M314" s="737">
        <f t="shared" si="624"/>
        <v>0</v>
      </c>
      <c r="N314" s="738">
        <f t="shared" si="624"/>
        <v>0</v>
      </c>
      <c r="O314" s="737">
        <f t="shared" si="624"/>
        <v>0</v>
      </c>
      <c r="P314" s="738">
        <f t="shared" si="624"/>
        <v>0</v>
      </c>
      <c r="Q314" s="737">
        <f t="shared" si="624"/>
        <v>0</v>
      </c>
      <c r="R314" s="737">
        <f t="shared" si="624"/>
        <v>0</v>
      </c>
      <c r="S314" s="737">
        <f t="shared" si="624"/>
        <v>0</v>
      </c>
      <c r="T314" s="737">
        <f t="shared" si="624"/>
        <v>0</v>
      </c>
      <c r="U314" s="737">
        <f t="shared" si="624"/>
        <v>0</v>
      </c>
      <c r="V314" s="737">
        <f t="shared" si="624"/>
        <v>0</v>
      </c>
      <c r="W314" s="737">
        <f t="shared" si="624"/>
        <v>0</v>
      </c>
      <c r="X314" s="738">
        <f t="shared" si="624"/>
        <v>0</v>
      </c>
      <c r="Y314" s="737">
        <f t="shared" si="624"/>
        <v>0</v>
      </c>
      <c r="Z314" s="737">
        <f t="shared" si="624"/>
        <v>0</v>
      </c>
      <c r="AA314" s="737">
        <f t="shared" si="624"/>
        <v>0</v>
      </c>
      <c r="AB314" s="737">
        <f t="shared" si="624"/>
        <v>0</v>
      </c>
      <c r="AC314" s="738">
        <f t="shared" si="624"/>
        <v>0</v>
      </c>
      <c r="AD314" s="737">
        <f t="shared" si="624"/>
        <v>0</v>
      </c>
      <c r="AE314" s="737">
        <f t="shared" si="624"/>
        <v>0</v>
      </c>
      <c r="AF314" s="737">
        <f t="shared" si="624"/>
        <v>0</v>
      </c>
      <c r="AG314" s="739">
        <f t="shared" si="624"/>
        <v>0</v>
      </c>
      <c r="AH314" s="823"/>
      <c r="AI314" s="745"/>
      <c r="AJ314" s="741"/>
      <c r="AK314" s="729"/>
      <c r="AL314" s="729"/>
      <c r="AM314" s="729"/>
      <c r="AN314" s="729"/>
      <c r="AO314" s="730"/>
      <c r="AP314" s="74"/>
      <c r="AQ314" s="74"/>
      <c r="AR314" s="74"/>
      <c r="AS314" s="106"/>
      <c r="AW314" s="1428" t="str">
        <f t="shared" si="531"/>
        <v>Rev</v>
      </c>
      <c r="AX314" s="1429" t="str">
        <f t="shared" si="531"/>
        <v>[Service]</v>
      </c>
      <c r="AY314" s="1430" t="str">
        <f t="shared" si="496"/>
        <v>[Price]</v>
      </c>
      <c r="AZ314" s="1431" t="str">
        <f t="shared" si="616"/>
        <v>-</v>
      </c>
      <c r="BA314" s="1431" t="str">
        <f t="shared" si="616"/>
        <v>-</v>
      </c>
      <c r="BB314" s="1431" t="str">
        <f t="shared" si="616"/>
        <v>-</v>
      </c>
      <c r="BC314" s="1431" t="str">
        <f t="shared" si="616"/>
        <v>-</v>
      </c>
      <c r="BD314" s="1431" t="str">
        <f t="shared" si="498"/>
        <v>-</v>
      </c>
      <c r="BE314" s="1431" t="str">
        <f t="shared" si="499"/>
        <v>-</v>
      </c>
      <c r="BF314" s="1431" t="str">
        <f t="shared" si="500"/>
        <v>-</v>
      </c>
      <c r="BG314" s="1432" t="str">
        <f t="shared" si="501"/>
        <v>-</v>
      </c>
      <c r="BH314" s="1431" t="str">
        <f t="shared" si="502"/>
        <v>-</v>
      </c>
      <c r="BI314" s="1431" t="str">
        <f t="shared" si="503"/>
        <v>-</v>
      </c>
      <c r="BJ314" s="1431" t="str">
        <f t="shared" si="504"/>
        <v>-</v>
      </c>
      <c r="BK314" s="1431" t="str">
        <f t="shared" si="505"/>
        <v>-</v>
      </c>
      <c r="BL314" s="1433" t="str">
        <f t="shared" si="506"/>
        <v>-</v>
      </c>
      <c r="BM314" s="1431" t="str">
        <f t="shared" si="507"/>
        <v>-</v>
      </c>
      <c r="BN314" s="1431" t="str">
        <f t="shared" si="508"/>
        <v>-</v>
      </c>
      <c r="BO314" s="1431" t="str">
        <f t="shared" si="509"/>
        <v>-</v>
      </c>
      <c r="BP314" s="1431" t="str">
        <f t="shared" si="510"/>
        <v>-</v>
      </c>
      <c r="BQ314" s="1434" t="str">
        <f t="shared" si="511"/>
        <v>-</v>
      </c>
      <c r="BR314" s="1378"/>
      <c r="BS314" s="1407"/>
      <c r="BT314" s="1408"/>
      <c r="BU314" s="1409"/>
      <c r="BV314" s="1410"/>
      <c r="BW314" s="1378"/>
      <c r="BX314" s="1428" t="str">
        <f t="shared" si="512"/>
        <v>Rev</v>
      </c>
      <c r="BY314" s="1429" t="str">
        <f t="shared" si="557"/>
        <v>[Service]</v>
      </c>
      <c r="BZ314" s="1430" t="str">
        <f t="shared" si="558"/>
        <v>[Price]</v>
      </c>
      <c r="CA314" s="1435" t="str">
        <f>IFERROR((S314/R314-1)*(R314/R$13),"-")</f>
        <v>-</v>
      </c>
      <c r="CB314" s="1431" t="str">
        <f>IFERROR((T314/S314-1)*(S314/S$13),"-")</f>
        <v>-</v>
      </c>
      <c r="CC314" s="1431" t="str">
        <f>IFERROR((U314/T314-1)*(T314/T$13),"-")</f>
        <v>-</v>
      </c>
      <c r="CD314" s="1431" t="str">
        <f>IFERROR((V314/U314-1)*(U314/U$13),"-")</f>
        <v>-</v>
      </c>
      <c r="CE314" s="1431" t="str">
        <f t="shared" ref="CE314:CR314" si="625">IFERROR((T314/S314-1)*(S314/S$13),"-")</f>
        <v>-</v>
      </c>
      <c r="CF314" s="1431" t="str">
        <f t="shared" si="625"/>
        <v>-</v>
      </c>
      <c r="CG314" s="1431" t="str">
        <f t="shared" si="625"/>
        <v>-</v>
      </c>
      <c r="CH314" s="1433" t="str">
        <f t="shared" si="625"/>
        <v>-</v>
      </c>
      <c r="CI314" s="1431" t="str">
        <f t="shared" si="625"/>
        <v>-</v>
      </c>
      <c r="CJ314" s="1431" t="str">
        <f t="shared" si="625"/>
        <v>-</v>
      </c>
      <c r="CK314" s="1431" t="str">
        <f t="shared" si="625"/>
        <v>-</v>
      </c>
      <c r="CL314" s="1431" t="str">
        <f t="shared" si="625"/>
        <v>-</v>
      </c>
      <c r="CM314" s="1433" t="str">
        <f t="shared" si="625"/>
        <v>-</v>
      </c>
      <c r="CN314" s="1431" t="str">
        <f t="shared" si="625"/>
        <v>-</v>
      </c>
      <c r="CO314" s="1431" t="str">
        <f t="shared" si="625"/>
        <v>-</v>
      </c>
      <c r="CP314" s="1431" t="str">
        <f t="shared" si="625"/>
        <v>-</v>
      </c>
      <c r="CQ314" s="1431" t="str">
        <f t="shared" si="625"/>
        <v>-</v>
      </c>
      <c r="CR314" s="1434" t="str">
        <f t="shared" si="625"/>
        <v>-</v>
      </c>
      <c r="CS314" s="1378"/>
      <c r="CT314" s="1428" t="str">
        <f t="shared" si="492"/>
        <v>Rev</v>
      </c>
      <c r="CU314" s="1429" t="str">
        <f t="shared" si="493"/>
        <v>[Service]</v>
      </c>
      <c r="CV314" s="1429" t="str">
        <f t="shared" si="494"/>
        <v>[Price]</v>
      </c>
      <c r="CW314" s="1435" t="str">
        <f t="shared" si="514"/>
        <v>-</v>
      </c>
      <c r="CX314" s="1431" t="str">
        <f t="shared" si="515"/>
        <v>-</v>
      </c>
      <c r="CY314" s="1431" t="str">
        <f t="shared" si="516"/>
        <v>-</v>
      </c>
      <c r="CZ314" s="1433" t="str">
        <f t="shared" si="517"/>
        <v>-</v>
      </c>
      <c r="DA314" s="1431" t="str">
        <f t="shared" si="518"/>
        <v>-</v>
      </c>
      <c r="DB314" s="1431" t="str">
        <f t="shared" si="519"/>
        <v>-</v>
      </c>
      <c r="DC314" s="1431" t="str">
        <f t="shared" si="520"/>
        <v>-</v>
      </c>
      <c r="DD314" s="1431" t="str">
        <f t="shared" si="521"/>
        <v>-</v>
      </c>
      <c r="DE314" s="1434" t="str">
        <f t="shared" si="522"/>
        <v>-</v>
      </c>
      <c r="DF314" s="1378"/>
      <c r="DG314" s="1428" t="str">
        <f t="shared" si="533"/>
        <v>Rev</v>
      </c>
      <c r="DH314" s="1429" t="str">
        <f t="shared" si="533"/>
        <v>[Service]</v>
      </c>
      <c r="DI314" s="1429" t="str">
        <f t="shared" si="533"/>
        <v>[Price]</v>
      </c>
      <c r="DJ314" s="1435" t="str">
        <f t="shared" si="523"/>
        <v>-</v>
      </c>
      <c r="DK314" s="1431" t="str">
        <f t="shared" si="524"/>
        <v>-</v>
      </c>
      <c r="DL314" s="1431" t="str">
        <f t="shared" si="525"/>
        <v>-</v>
      </c>
      <c r="DM314" s="1433" t="str">
        <f t="shared" si="526"/>
        <v>-</v>
      </c>
      <c r="DN314" s="1431" t="str">
        <f t="shared" si="527"/>
        <v>-</v>
      </c>
      <c r="DO314" s="1431" t="str">
        <f t="shared" si="528"/>
        <v>-</v>
      </c>
      <c r="DP314" s="1431" t="str">
        <f t="shared" si="529"/>
        <v>-</v>
      </c>
      <c r="DQ314" s="1434" t="str">
        <f t="shared" si="530"/>
        <v>-</v>
      </c>
    </row>
    <row r="315" spans="4:121">
      <c r="D315" s="70">
        <f>D312+1</f>
        <v>83</v>
      </c>
      <c r="E315" s="713" t="s">
        <v>44</v>
      </c>
      <c r="F315" s="789" t="s">
        <v>27</v>
      </c>
      <c r="G315" s="789"/>
      <c r="H315" s="789"/>
      <c r="I315" s="781" t="s">
        <v>318</v>
      </c>
      <c r="J315" s="781" t="s">
        <v>345</v>
      </c>
      <c r="K315" s="714"/>
      <c r="L315" s="715"/>
      <c r="M315" s="715"/>
      <c r="N315" s="716"/>
      <c r="O315" s="783"/>
      <c r="P315" s="784"/>
      <c r="Q315" s="783"/>
      <c r="R315" s="783"/>
      <c r="S315" s="783"/>
      <c r="T315" s="783"/>
      <c r="U315" s="783"/>
      <c r="V315" s="783"/>
      <c r="W315" s="783"/>
      <c r="X315" s="784"/>
      <c r="Y315" s="783"/>
      <c r="Z315" s="783"/>
      <c r="AA315" s="783"/>
      <c r="AB315" s="783"/>
      <c r="AC315" s="784"/>
      <c r="AD315" s="783"/>
      <c r="AE315" s="783"/>
      <c r="AF315" s="783"/>
      <c r="AG315" s="785"/>
      <c r="AI315" s="745"/>
      <c r="AJ315" s="717" t="str">
        <f t="shared" ref="AJ315:AS315" si="626">IFERROR((X315-W315)/W315,"")</f>
        <v/>
      </c>
      <c r="AK315" s="718" t="str">
        <f t="shared" si="626"/>
        <v/>
      </c>
      <c r="AL315" s="718" t="str">
        <f t="shared" si="626"/>
        <v/>
      </c>
      <c r="AM315" s="718" t="str">
        <f t="shared" si="626"/>
        <v/>
      </c>
      <c r="AN315" s="718" t="str">
        <f t="shared" si="626"/>
        <v/>
      </c>
      <c r="AO315" s="719" t="str">
        <f t="shared" si="626"/>
        <v/>
      </c>
      <c r="AP315" s="494" t="str">
        <f t="shared" si="626"/>
        <v/>
      </c>
      <c r="AQ315" s="494" t="str">
        <f t="shared" si="626"/>
        <v/>
      </c>
      <c r="AR315" s="494" t="str">
        <f t="shared" si="626"/>
        <v/>
      </c>
      <c r="AS315" s="720" t="str">
        <f t="shared" si="626"/>
        <v/>
      </c>
      <c r="AU315" s="1369"/>
      <c r="AW315" s="1412" t="str">
        <f t="shared" si="531"/>
        <v>Price</v>
      </c>
      <c r="AX315" s="1413" t="str">
        <f t="shared" si="531"/>
        <v>[Service]</v>
      </c>
      <c r="AY315" s="1414" t="str">
        <f t="shared" si="496"/>
        <v>[Price]</v>
      </c>
      <c r="AZ315" s="1415" t="str">
        <f t="shared" si="616"/>
        <v>-</v>
      </c>
      <c r="BA315" s="1415" t="str">
        <f t="shared" si="616"/>
        <v>-</v>
      </c>
      <c r="BB315" s="1415" t="str">
        <f t="shared" si="616"/>
        <v>-</v>
      </c>
      <c r="BC315" s="1415" t="str">
        <f t="shared" si="616"/>
        <v>-</v>
      </c>
      <c r="BD315" s="1415" t="str">
        <f t="shared" si="498"/>
        <v>-</v>
      </c>
      <c r="BE315" s="1415" t="str">
        <f t="shared" si="499"/>
        <v>-</v>
      </c>
      <c r="BF315" s="1415" t="str">
        <f t="shared" si="500"/>
        <v>-</v>
      </c>
      <c r="BG315" s="1416" t="str">
        <f t="shared" si="501"/>
        <v>-</v>
      </c>
      <c r="BH315" s="1417" t="str">
        <f t="shared" si="502"/>
        <v>-</v>
      </c>
      <c r="BI315" s="1417" t="str">
        <f t="shared" si="503"/>
        <v>-</v>
      </c>
      <c r="BJ315" s="1417" t="str">
        <f t="shared" si="504"/>
        <v>-</v>
      </c>
      <c r="BK315" s="1417" t="str">
        <f t="shared" si="505"/>
        <v>-</v>
      </c>
      <c r="BL315" s="1418" t="str">
        <f t="shared" si="506"/>
        <v>-</v>
      </c>
      <c r="BM315" s="1417" t="str">
        <f t="shared" si="507"/>
        <v>-</v>
      </c>
      <c r="BN315" s="1417" t="str">
        <f t="shared" si="508"/>
        <v>-</v>
      </c>
      <c r="BO315" s="1417" t="str">
        <f t="shared" si="509"/>
        <v>-</v>
      </c>
      <c r="BP315" s="1417" t="str">
        <f t="shared" si="510"/>
        <v>-</v>
      </c>
      <c r="BQ315" s="1419" t="str">
        <f t="shared" si="511"/>
        <v>-</v>
      </c>
      <c r="BR315" s="1378"/>
      <c r="BS315" s="1420"/>
      <c r="BT315" s="1421"/>
      <c r="BU315" s="1422"/>
      <c r="BV315" s="1423"/>
      <c r="BW315" s="1378"/>
      <c r="BX315" s="1412" t="str">
        <f t="shared" si="512"/>
        <v>Price</v>
      </c>
      <c r="BY315" s="1413" t="str">
        <f t="shared" si="557"/>
        <v>[Service]</v>
      </c>
      <c r="BZ315" s="1414" t="str">
        <f t="shared" si="558"/>
        <v>[Price]</v>
      </c>
      <c r="CA315" s="1424" t="str">
        <f>IFERROR((S315/R315-1)*(R317/R$13),"-")</f>
        <v>-</v>
      </c>
      <c r="CB315" s="1415" t="str">
        <f>IFERROR((T315/S315-1)*(S317/S$13),"-")</f>
        <v>-</v>
      </c>
      <c r="CC315" s="1415" t="str">
        <f>IFERROR((U315/T315-1)*(T317/T$13),"-")</f>
        <v>-</v>
      </c>
      <c r="CD315" s="1415" t="str">
        <f>IFERROR((V315/U315-1)*(U317/U$13),"-")</f>
        <v>-</v>
      </c>
      <c r="CE315" s="1415" t="str">
        <f t="shared" ref="CE315:CR315" si="627">IFERROR((T315/S315-1)*(S317/S$13),"-")</f>
        <v>-</v>
      </c>
      <c r="CF315" s="1415" t="str">
        <f t="shared" si="627"/>
        <v>-</v>
      </c>
      <c r="CG315" s="1415" t="str">
        <f t="shared" si="627"/>
        <v>-</v>
      </c>
      <c r="CH315" s="1425" t="str">
        <f t="shared" si="627"/>
        <v>-</v>
      </c>
      <c r="CI315" s="1417" t="str">
        <f t="shared" si="627"/>
        <v>-</v>
      </c>
      <c r="CJ315" s="1417" t="str">
        <f t="shared" si="627"/>
        <v>-</v>
      </c>
      <c r="CK315" s="1417" t="str">
        <f t="shared" si="627"/>
        <v>-</v>
      </c>
      <c r="CL315" s="1417" t="str">
        <f t="shared" si="627"/>
        <v>-</v>
      </c>
      <c r="CM315" s="1418" t="str">
        <f t="shared" si="627"/>
        <v>-</v>
      </c>
      <c r="CN315" s="1417" t="str">
        <f t="shared" si="627"/>
        <v>-</v>
      </c>
      <c r="CO315" s="1417" t="str">
        <f t="shared" si="627"/>
        <v>-</v>
      </c>
      <c r="CP315" s="1417" t="str">
        <f t="shared" si="627"/>
        <v>-</v>
      </c>
      <c r="CQ315" s="1417" t="str">
        <f t="shared" si="627"/>
        <v>-</v>
      </c>
      <c r="CR315" s="1419" t="str">
        <f t="shared" si="627"/>
        <v>-</v>
      </c>
      <c r="CS315" s="1378"/>
      <c r="CT315" s="1412" t="str">
        <f t="shared" si="492"/>
        <v>Price</v>
      </c>
      <c r="CU315" s="1413" t="str">
        <f t="shared" si="493"/>
        <v>[Service]</v>
      </c>
      <c r="CV315" s="1426" t="str">
        <f t="shared" si="494"/>
        <v>[Price]</v>
      </c>
      <c r="CW315" s="1427" t="str">
        <f t="shared" si="514"/>
        <v>-</v>
      </c>
      <c r="CX315" s="1417" t="str">
        <f t="shared" si="515"/>
        <v>-</v>
      </c>
      <c r="CY315" s="1417" t="str">
        <f t="shared" si="516"/>
        <v>-</v>
      </c>
      <c r="CZ315" s="1418" t="str">
        <f t="shared" si="517"/>
        <v>-</v>
      </c>
      <c r="DA315" s="1417" t="str">
        <f t="shared" si="518"/>
        <v>-</v>
      </c>
      <c r="DB315" s="1417" t="str">
        <f t="shared" si="519"/>
        <v>-</v>
      </c>
      <c r="DC315" s="1417" t="str">
        <f t="shared" si="520"/>
        <v>-</v>
      </c>
      <c r="DD315" s="1417" t="str">
        <f t="shared" si="521"/>
        <v>-</v>
      </c>
      <c r="DE315" s="1419" t="str">
        <f t="shared" si="522"/>
        <v>-</v>
      </c>
      <c r="DF315" s="1378"/>
      <c r="DG315" s="1412" t="str">
        <f t="shared" si="533"/>
        <v>Price</v>
      </c>
      <c r="DH315" s="1413" t="str">
        <f t="shared" si="533"/>
        <v>[Service]</v>
      </c>
      <c r="DI315" s="1426" t="str">
        <f t="shared" si="533"/>
        <v>[Price]</v>
      </c>
      <c r="DJ315" s="1427" t="str">
        <f t="shared" si="523"/>
        <v>-</v>
      </c>
      <c r="DK315" s="1417" t="str">
        <f t="shared" si="524"/>
        <v>-</v>
      </c>
      <c r="DL315" s="1417" t="str">
        <f t="shared" si="525"/>
        <v>-</v>
      </c>
      <c r="DM315" s="1418" t="str">
        <f t="shared" si="526"/>
        <v>-</v>
      </c>
      <c r="DN315" s="1417" t="str">
        <f t="shared" si="527"/>
        <v>-</v>
      </c>
      <c r="DO315" s="1417" t="str">
        <f t="shared" si="528"/>
        <v>-</v>
      </c>
      <c r="DP315" s="1417" t="str">
        <f t="shared" si="529"/>
        <v>-</v>
      </c>
      <c r="DQ315" s="1419" t="str">
        <f t="shared" si="530"/>
        <v>-</v>
      </c>
    </row>
    <row r="316" spans="4:121">
      <c r="E316" s="742" t="s">
        <v>45</v>
      </c>
      <c r="F316" s="722" t="str">
        <f>+F315</f>
        <v>[Service]</v>
      </c>
      <c r="G316" s="723">
        <f>+G315</f>
        <v>0</v>
      </c>
      <c r="H316" s="723">
        <f>+H315</f>
        <v>0</v>
      </c>
      <c r="I316" s="724" t="str">
        <f>+I315</f>
        <v>[Price]</v>
      </c>
      <c r="J316" s="782" t="s">
        <v>322</v>
      </c>
      <c r="K316" s="725"/>
      <c r="L316" s="726"/>
      <c r="M316" s="726"/>
      <c r="N316" s="727"/>
      <c r="O316" s="786"/>
      <c r="P316" s="787"/>
      <c r="Q316" s="786"/>
      <c r="R316" s="786"/>
      <c r="S316" s="786"/>
      <c r="T316" s="786"/>
      <c r="U316" s="786"/>
      <c r="V316" s="786"/>
      <c r="W316" s="786"/>
      <c r="X316" s="787"/>
      <c r="Y316" s="786"/>
      <c r="Z316" s="786"/>
      <c r="AA316" s="786"/>
      <c r="AB316" s="786"/>
      <c r="AC316" s="787"/>
      <c r="AD316" s="786"/>
      <c r="AE316" s="786"/>
      <c r="AF316" s="786"/>
      <c r="AG316" s="788"/>
      <c r="AH316" s="823"/>
      <c r="AI316" s="745"/>
      <c r="AJ316" s="728"/>
      <c r="AK316" s="729"/>
      <c r="AL316" s="729"/>
      <c r="AM316" s="729"/>
      <c r="AN316" s="729"/>
      <c r="AO316" s="730"/>
      <c r="AP316" s="74"/>
      <c r="AQ316" s="74"/>
      <c r="AR316" s="74"/>
      <c r="AS316" s="106"/>
      <c r="AW316" s="1392" t="str">
        <f t="shared" si="531"/>
        <v>Qty</v>
      </c>
      <c r="AX316" s="1393" t="str">
        <f t="shared" si="531"/>
        <v>[Service]</v>
      </c>
      <c r="AY316" s="1394" t="str">
        <f t="shared" si="496"/>
        <v>[Price]</v>
      </c>
      <c r="AZ316" s="1395" t="str">
        <f t="shared" si="616"/>
        <v>-</v>
      </c>
      <c r="BA316" s="1395" t="str">
        <f t="shared" si="616"/>
        <v>-</v>
      </c>
      <c r="BB316" s="1395" t="str">
        <f t="shared" si="616"/>
        <v>-</v>
      </c>
      <c r="BC316" s="1395" t="str">
        <f t="shared" si="616"/>
        <v>-</v>
      </c>
      <c r="BD316" s="1395" t="str">
        <f t="shared" si="498"/>
        <v>-</v>
      </c>
      <c r="BE316" s="1395" t="str">
        <f t="shared" si="499"/>
        <v>-</v>
      </c>
      <c r="BF316" s="1395" t="str">
        <f t="shared" si="500"/>
        <v>-</v>
      </c>
      <c r="BG316" s="1396" t="str">
        <f t="shared" si="501"/>
        <v>-</v>
      </c>
      <c r="BH316" s="1395" t="str">
        <f t="shared" si="502"/>
        <v>-</v>
      </c>
      <c r="BI316" s="1395" t="str">
        <f t="shared" si="503"/>
        <v>-</v>
      </c>
      <c r="BJ316" s="1395" t="str">
        <f t="shared" si="504"/>
        <v>-</v>
      </c>
      <c r="BK316" s="1395" t="str">
        <f t="shared" si="505"/>
        <v>-</v>
      </c>
      <c r="BL316" s="1397" t="str">
        <f t="shared" si="506"/>
        <v>-</v>
      </c>
      <c r="BM316" s="1395" t="str">
        <f t="shared" si="507"/>
        <v>-</v>
      </c>
      <c r="BN316" s="1395" t="str">
        <f t="shared" si="508"/>
        <v>-</v>
      </c>
      <c r="BO316" s="1395" t="str">
        <f t="shared" si="509"/>
        <v>-</v>
      </c>
      <c r="BP316" s="1395" t="str">
        <f t="shared" si="510"/>
        <v>-</v>
      </c>
      <c r="BQ316" s="1398" t="str">
        <f t="shared" si="511"/>
        <v>-</v>
      </c>
      <c r="BR316" s="1378"/>
      <c r="BS316" s="1329"/>
      <c r="BT316" s="1399"/>
      <c r="BU316" s="1331"/>
      <c r="BV316" s="1400"/>
      <c r="BW316" s="1378"/>
      <c r="BX316" s="1392" t="str">
        <f t="shared" si="512"/>
        <v>Qty</v>
      </c>
      <c r="BY316" s="1393" t="str">
        <f t="shared" si="557"/>
        <v>[Service]</v>
      </c>
      <c r="BZ316" s="1394" t="str">
        <f t="shared" si="558"/>
        <v>[Price]</v>
      </c>
      <c r="CA316" s="1401" t="str">
        <f>IFERROR((S316/R316-1)*(R317/R$13),"-")</f>
        <v>-</v>
      </c>
      <c r="CB316" s="1395" t="str">
        <f>IFERROR((T316/S316-1)*(S317/S$13),"-")</f>
        <v>-</v>
      </c>
      <c r="CC316" s="1395" t="str">
        <f>IFERROR((U316/T316-1)*(T317/T$13),"-")</f>
        <v>-</v>
      </c>
      <c r="CD316" s="1395" t="str">
        <f>IFERROR((V316/U316-1)*(U317/U$13),"-")</f>
        <v>-</v>
      </c>
      <c r="CE316" s="1395" t="str">
        <f t="shared" ref="CE316:CR316" si="628">IFERROR((T316/S316-1)*(S317/S$13),"-")</f>
        <v>-</v>
      </c>
      <c r="CF316" s="1395" t="str">
        <f t="shared" si="628"/>
        <v>-</v>
      </c>
      <c r="CG316" s="1395" t="str">
        <f t="shared" si="628"/>
        <v>-</v>
      </c>
      <c r="CH316" s="1397" t="str">
        <f t="shared" si="628"/>
        <v>-</v>
      </c>
      <c r="CI316" s="1395" t="str">
        <f t="shared" si="628"/>
        <v>-</v>
      </c>
      <c r="CJ316" s="1395" t="str">
        <f t="shared" si="628"/>
        <v>-</v>
      </c>
      <c r="CK316" s="1395" t="str">
        <f t="shared" si="628"/>
        <v>-</v>
      </c>
      <c r="CL316" s="1395" t="str">
        <f t="shared" si="628"/>
        <v>-</v>
      </c>
      <c r="CM316" s="1397" t="str">
        <f t="shared" si="628"/>
        <v>-</v>
      </c>
      <c r="CN316" s="1395" t="str">
        <f t="shared" si="628"/>
        <v>-</v>
      </c>
      <c r="CO316" s="1395" t="str">
        <f t="shared" si="628"/>
        <v>-</v>
      </c>
      <c r="CP316" s="1395" t="str">
        <f t="shared" si="628"/>
        <v>-</v>
      </c>
      <c r="CQ316" s="1395" t="str">
        <f t="shared" si="628"/>
        <v>-</v>
      </c>
      <c r="CR316" s="1398" t="str">
        <f t="shared" si="628"/>
        <v>-</v>
      </c>
      <c r="CS316" s="1378"/>
      <c r="CT316" s="1392" t="str">
        <f t="shared" si="492"/>
        <v>Qty</v>
      </c>
      <c r="CU316" s="1393" t="str">
        <f t="shared" si="493"/>
        <v>[Service]</v>
      </c>
      <c r="CV316" s="1393" t="str">
        <f t="shared" si="494"/>
        <v>[Price]</v>
      </c>
      <c r="CW316" s="1401" t="str">
        <f t="shared" si="514"/>
        <v>-</v>
      </c>
      <c r="CX316" s="1395" t="str">
        <f t="shared" si="515"/>
        <v>-</v>
      </c>
      <c r="CY316" s="1395" t="str">
        <f t="shared" si="516"/>
        <v>-</v>
      </c>
      <c r="CZ316" s="1397" t="str">
        <f t="shared" si="517"/>
        <v>-</v>
      </c>
      <c r="DA316" s="1395" t="str">
        <f t="shared" si="518"/>
        <v>-</v>
      </c>
      <c r="DB316" s="1395" t="str">
        <f t="shared" si="519"/>
        <v>-</v>
      </c>
      <c r="DC316" s="1395" t="str">
        <f t="shared" si="520"/>
        <v>-</v>
      </c>
      <c r="DD316" s="1395" t="str">
        <f t="shared" si="521"/>
        <v>-</v>
      </c>
      <c r="DE316" s="1398" t="str">
        <f t="shared" si="522"/>
        <v>-</v>
      </c>
      <c r="DF316" s="1378"/>
      <c r="DG316" s="1392" t="str">
        <f t="shared" si="533"/>
        <v>Qty</v>
      </c>
      <c r="DH316" s="1393" t="str">
        <f t="shared" si="533"/>
        <v>[Service]</v>
      </c>
      <c r="DI316" s="1393" t="str">
        <f t="shared" si="533"/>
        <v>[Price]</v>
      </c>
      <c r="DJ316" s="1401" t="str">
        <f t="shared" si="523"/>
        <v>-</v>
      </c>
      <c r="DK316" s="1395" t="str">
        <f t="shared" si="524"/>
        <v>-</v>
      </c>
      <c r="DL316" s="1395" t="str">
        <f t="shared" si="525"/>
        <v>-</v>
      </c>
      <c r="DM316" s="1397" t="str">
        <f t="shared" si="526"/>
        <v>-</v>
      </c>
      <c r="DN316" s="1395" t="str">
        <f t="shared" si="527"/>
        <v>-</v>
      </c>
      <c r="DO316" s="1395" t="str">
        <f t="shared" si="528"/>
        <v>-</v>
      </c>
      <c r="DP316" s="1395" t="str">
        <f t="shared" si="529"/>
        <v>-</v>
      </c>
      <c r="DQ316" s="1398" t="str">
        <f t="shared" si="530"/>
        <v>-</v>
      </c>
    </row>
    <row r="317" spans="4:121" ht="12.75" thickBot="1">
      <c r="E317" s="743" t="s">
        <v>46</v>
      </c>
      <c r="F317" s="732" t="str">
        <f>+F315</f>
        <v>[Service]</v>
      </c>
      <c r="G317" s="733">
        <f>+G315</f>
        <v>0</v>
      </c>
      <c r="H317" s="733">
        <f>+H315</f>
        <v>0</v>
      </c>
      <c r="I317" s="734" t="str">
        <f>+I315</f>
        <v>[Price]</v>
      </c>
      <c r="J317" s="735" t="s">
        <v>344</v>
      </c>
      <c r="K317" s="736">
        <f t="shared" ref="K317:AG317" si="629">K315*K316/10^6</f>
        <v>0</v>
      </c>
      <c r="L317" s="737">
        <f t="shared" si="629"/>
        <v>0</v>
      </c>
      <c r="M317" s="737">
        <f t="shared" si="629"/>
        <v>0</v>
      </c>
      <c r="N317" s="738">
        <f t="shared" si="629"/>
        <v>0</v>
      </c>
      <c r="O317" s="737">
        <f t="shared" si="629"/>
        <v>0</v>
      </c>
      <c r="P317" s="738">
        <f t="shared" si="629"/>
        <v>0</v>
      </c>
      <c r="Q317" s="737">
        <f t="shared" si="629"/>
        <v>0</v>
      </c>
      <c r="R317" s="737">
        <f t="shared" si="629"/>
        <v>0</v>
      </c>
      <c r="S317" s="737">
        <f t="shared" si="629"/>
        <v>0</v>
      </c>
      <c r="T317" s="737">
        <f t="shared" si="629"/>
        <v>0</v>
      </c>
      <c r="U317" s="737">
        <f t="shared" si="629"/>
        <v>0</v>
      </c>
      <c r="V317" s="737">
        <f t="shared" si="629"/>
        <v>0</v>
      </c>
      <c r="W317" s="737">
        <f t="shared" si="629"/>
        <v>0</v>
      </c>
      <c r="X317" s="738">
        <f t="shared" si="629"/>
        <v>0</v>
      </c>
      <c r="Y317" s="737">
        <f t="shared" si="629"/>
        <v>0</v>
      </c>
      <c r="Z317" s="737">
        <f t="shared" si="629"/>
        <v>0</v>
      </c>
      <c r="AA317" s="737">
        <f t="shared" si="629"/>
        <v>0</v>
      </c>
      <c r="AB317" s="737">
        <f t="shared" si="629"/>
        <v>0</v>
      </c>
      <c r="AC317" s="738">
        <f t="shared" si="629"/>
        <v>0</v>
      </c>
      <c r="AD317" s="737">
        <f t="shared" si="629"/>
        <v>0</v>
      </c>
      <c r="AE317" s="737">
        <f t="shared" si="629"/>
        <v>0</v>
      </c>
      <c r="AF317" s="737">
        <f t="shared" si="629"/>
        <v>0</v>
      </c>
      <c r="AG317" s="739">
        <f t="shared" si="629"/>
        <v>0</v>
      </c>
      <c r="AH317" s="823"/>
      <c r="AI317" s="745"/>
      <c r="AJ317" s="741"/>
      <c r="AK317" s="729"/>
      <c r="AL317" s="729"/>
      <c r="AM317" s="729"/>
      <c r="AN317" s="729"/>
      <c r="AO317" s="730"/>
      <c r="AP317" s="74"/>
      <c r="AQ317" s="74"/>
      <c r="AR317" s="74"/>
      <c r="AS317" s="106"/>
      <c r="AW317" s="1428" t="str">
        <f t="shared" si="531"/>
        <v>Rev</v>
      </c>
      <c r="AX317" s="1429" t="str">
        <f t="shared" si="531"/>
        <v>[Service]</v>
      </c>
      <c r="AY317" s="1430" t="str">
        <f t="shared" si="496"/>
        <v>[Price]</v>
      </c>
      <c r="AZ317" s="1431" t="str">
        <f t="shared" si="616"/>
        <v>-</v>
      </c>
      <c r="BA317" s="1431" t="str">
        <f t="shared" si="616"/>
        <v>-</v>
      </c>
      <c r="BB317" s="1431" t="str">
        <f t="shared" si="616"/>
        <v>-</v>
      </c>
      <c r="BC317" s="1431" t="str">
        <f t="shared" si="616"/>
        <v>-</v>
      </c>
      <c r="BD317" s="1431" t="str">
        <f t="shared" si="498"/>
        <v>-</v>
      </c>
      <c r="BE317" s="1431" t="str">
        <f t="shared" si="499"/>
        <v>-</v>
      </c>
      <c r="BF317" s="1431" t="str">
        <f t="shared" si="500"/>
        <v>-</v>
      </c>
      <c r="BG317" s="1432" t="str">
        <f t="shared" si="501"/>
        <v>-</v>
      </c>
      <c r="BH317" s="1431" t="str">
        <f t="shared" si="502"/>
        <v>-</v>
      </c>
      <c r="BI317" s="1431" t="str">
        <f t="shared" si="503"/>
        <v>-</v>
      </c>
      <c r="BJ317" s="1431" t="str">
        <f t="shared" si="504"/>
        <v>-</v>
      </c>
      <c r="BK317" s="1431" t="str">
        <f t="shared" si="505"/>
        <v>-</v>
      </c>
      <c r="BL317" s="1433" t="str">
        <f t="shared" si="506"/>
        <v>-</v>
      </c>
      <c r="BM317" s="1431" t="str">
        <f t="shared" si="507"/>
        <v>-</v>
      </c>
      <c r="BN317" s="1431" t="str">
        <f t="shared" si="508"/>
        <v>-</v>
      </c>
      <c r="BO317" s="1431" t="str">
        <f t="shared" si="509"/>
        <v>-</v>
      </c>
      <c r="BP317" s="1431" t="str">
        <f t="shared" si="510"/>
        <v>-</v>
      </c>
      <c r="BQ317" s="1434" t="str">
        <f t="shared" si="511"/>
        <v>-</v>
      </c>
      <c r="BR317" s="1378"/>
      <c r="BS317" s="1407"/>
      <c r="BT317" s="1408"/>
      <c r="BU317" s="1409"/>
      <c r="BV317" s="1410"/>
      <c r="BW317" s="1378"/>
      <c r="BX317" s="1428" t="str">
        <f t="shared" si="512"/>
        <v>Rev</v>
      </c>
      <c r="BY317" s="1429" t="str">
        <f t="shared" si="557"/>
        <v>[Service]</v>
      </c>
      <c r="BZ317" s="1430" t="str">
        <f t="shared" si="558"/>
        <v>[Price]</v>
      </c>
      <c r="CA317" s="1435" t="str">
        <f>IFERROR((S317/R317-1)*(R317/R$13),"-")</f>
        <v>-</v>
      </c>
      <c r="CB317" s="1431" t="str">
        <f>IFERROR((T317/S317-1)*(S317/S$13),"-")</f>
        <v>-</v>
      </c>
      <c r="CC317" s="1431" t="str">
        <f>IFERROR((U317/T317-1)*(T317/T$13),"-")</f>
        <v>-</v>
      </c>
      <c r="CD317" s="1431" t="str">
        <f>IFERROR((V317/U317-1)*(U317/U$13),"-")</f>
        <v>-</v>
      </c>
      <c r="CE317" s="1431" t="str">
        <f t="shared" ref="CE317:CR317" si="630">IFERROR((T317/S317-1)*(S317/S$13),"-")</f>
        <v>-</v>
      </c>
      <c r="CF317" s="1431" t="str">
        <f t="shared" si="630"/>
        <v>-</v>
      </c>
      <c r="CG317" s="1431" t="str">
        <f t="shared" si="630"/>
        <v>-</v>
      </c>
      <c r="CH317" s="1433" t="str">
        <f t="shared" si="630"/>
        <v>-</v>
      </c>
      <c r="CI317" s="1431" t="str">
        <f t="shared" si="630"/>
        <v>-</v>
      </c>
      <c r="CJ317" s="1431" t="str">
        <f t="shared" si="630"/>
        <v>-</v>
      </c>
      <c r="CK317" s="1431" t="str">
        <f t="shared" si="630"/>
        <v>-</v>
      </c>
      <c r="CL317" s="1431" t="str">
        <f t="shared" si="630"/>
        <v>-</v>
      </c>
      <c r="CM317" s="1433" t="str">
        <f t="shared" si="630"/>
        <v>-</v>
      </c>
      <c r="CN317" s="1431" t="str">
        <f t="shared" si="630"/>
        <v>-</v>
      </c>
      <c r="CO317" s="1431" t="str">
        <f t="shared" si="630"/>
        <v>-</v>
      </c>
      <c r="CP317" s="1431" t="str">
        <f t="shared" si="630"/>
        <v>-</v>
      </c>
      <c r="CQ317" s="1431" t="str">
        <f t="shared" si="630"/>
        <v>-</v>
      </c>
      <c r="CR317" s="1434" t="str">
        <f t="shared" si="630"/>
        <v>-</v>
      </c>
      <c r="CS317" s="1378"/>
      <c r="CT317" s="1428" t="str">
        <f t="shared" si="492"/>
        <v>Rev</v>
      </c>
      <c r="CU317" s="1429" t="str">
        <f t="shared" si="493"/>
        <v>[Service]</v>
      </c>
      <c r="CV317" s="1429" t="str">
        <f t="shared" si="494"/>
        <v>[Price]</v>
      </c>
      <c r="CW317" s="1435" t="str">
        <f t="shared" si="514"/>
        <v>-</v>
      </c>
      <c r="CX317" s="1431" t="str">
        <f t="shared" si="515"/>
        <v>-</v>
      </c>
      <c r="CY317" s="1431" t="str">
        <f t="shared" si="516"/>
        <v>-</v>
      </c>
      <c r="CZ317" s="1433" t="str">
        <f t="shared" si="517"/>
        <v>-</v>
      </c>
      <c r="DA317" s="1431" t="str">
        <f t="shared" si="518"/>
        <v>-</v>
      </c>
      <c r="DB317" s="1431" t="str">
        <f t="shared" si="519"/>
        <v>-</v>
      </c>
      <c r="DC317" s="1431" t="str">
        <f t="shared" si="520"/>
        <v>-</v>
      </c>
      <c r="DD317" s="1431" t="str">
        <f t="shared" si="521"/>
        <v>-</v>
      </c>
      <c r="DE317" s="1434" t="str">
        <f t="shared" si="522"/>
        <v>-</v>
      </c>
      <c r="DF317" s="1378"/>
      <c r="DG317" s="1428" t="str">
        <f t="shared" si="533"/>
        <v>Rev</v>
      </c>
      <c r="DH317" s="1429" t="str">
        <f t="shared" si="533"/>
        <v>[Service]</v>
      </c>
      <c r="DI317" s="1429" t="str">
        <f t="shared" si="533"/>
        <v>[Price]</v>
      </c>
      <c r="DJ317" s="1435" t="str">
        <f t="shared" si="523"/>
        <v>-</v>
      </c>
      <c r="DK317" s="1431" t="str">
        <f t="shared" si="524"/>
        <v>-</v>
      </c>
      <c r="DL317" s="1431" t="str">
        <f t="shared" si="525"/>
        <v>-</v>
      </c>
      <c r="DM317" s="1433" t="str">
        <f t="shared" si="526"/>
        <v>-</v>
      </c>
      <c r="DN317" s="1431" t="str">
        <f t="shared" si="527"/>
        <v>-</v>
      </c>
      <c r="DO317" s="1431" t="str">
        <f t="shared" si="528"/>
        <v>-</v>
      </c>
      <c r="DP317" s="1431" t="str">
        <f t="shared" si="529"/>
        <v>-</v>
      </c>
      <c r="DQ317" s="1434" t="str">
        <f t="shared" si="530"/>
        <v>-</v>
      </c>
    </row>
    <row r="318" spans="4:121">
      <c r="D318" s="70">
        <f>D315+1</f>
        <v>84</v>
      </c>
      <c r="E318" s="713" t="s">
        <v>44</v>
      </c>
      <c r="F318" s="789" t="s">
        <v>27</v>
      </c>
      <c r="G318" s="789"/>
      <c r="H318" s="789"/>
      <c r="I318" s="781" t="s">
        <v>318</v>
      </c>
      <c r="J318" s="781" t="s">
        <v>345</v>
      </c>
      <c r="K318" s="714"/>
      <c r="L318" s="715"/>
      <c r="M318" s="715"/>
      <c r="N318" s="716"/>
      <c r="O318" s="783"/>
      <c r="P318" s="784"/>
      <c r="Q318" s="783"/>
      <c r="R318" s="783"/>
      <c r="S318" s="783"/>
      <c r="T318" s="783"/>
      <c r="U318" s="783"/>
      <c r="V318" s="783"/>
      <c r="W318" s="783"/>
      <c r="X318" s="784"/>
      <c r="Y318" s="783"/>
      <c r="Z318" s="783"/>
      <c r="AA318" s="783"/>
      <c r="AB318" s="783"/>
      <c r="AC318" s="784"/>
      <c r="AD318" s="783"/>
      <c r="AE318" s="783"/>
      <c r="AF318" s="783"/>
      <c r="AG318" s="785"/>
      <c r="AI318" s="745"/>
      <c r="AJ318" s="717" t="str">
        <f t="shared" ref="AJ318:AS318" si="631">IFERROR((X318-W318)/W318,"")</f>
        <v/>
      </c>
      <c r="AK318" s="718" t="str">
        <f t="shared" si="631"/>
        <v/>
      </c>
      <c r="AL318" s="718" t="str">
        <f t="shared" si="631"/>
        <v/>
      </c>
      <c r="AM318" s="718" t="str">
        <f t="shared" si="631"/>
        <v/>
      </c>
      <c r="AN318" s="718" t="str">
        <f t="shared" si="631"/>
        <v/>
      </c>
      <c r="AO318" s="719" t="str">
        <f t="shared" si="631"/>
        <v/>
      </c>
      <c r="AP318" s="494" t="str">
        <f t="shared" si="631"/>
        <v/>
      </c>
      <c r="AQ318" s="494" t="str">
        <f t="shared" si="631"/>
        <v/>
      </c>
      <c r="AR318" s="494" t="str">
        <f t="shared" si="631"/>
        <v/>
      </c>
      <c r="AS318" s="720" t="str">
        <f t="shared" si="631"/>
        <v/>
      </c>
      <c r="AU318" s="1369"/>
      <c r="AW318" s="1412" t="str">
        <f t="shared" si="531"/>
        <v>Price</v>
      </c>
      <c r="AX318" s="1413" t="str">
        <f t="shared" si="531"/>
        <v>[Service]</v>
      </c>
      <c r="AY318" s="1414" t="str">
        <f t="shared" si="496"/>
        <v>[Price]</v>
      </c>
      <c r="AZ318" s="1415" t="str">
        <f t="shared" si="616"/>
        <v>-</v>
      </c>
      <c r="BA318" s="1415" t="str">
        <f t="shared" si="616"/>
        <v>-</v>
      </c>
      <c r="BB318" s="1415" t="str">
        <f t="shared" si="616"/>
        <v>-</v>
      </c>
      <c r="BC318" s="1415" t="str">
        <f t="shared" si="616"/>
        <v>-</v>
      </c>
      <c r="BD318" s="1415" t="str">
        <f t="shared" si="498"/>
        <v>-</v>
      </c>
      <c r="BE318" s="1415" t="str">
        <f t="shared" si="499"/>
        <v>-</v>
      </c>
      <c r="BF318" s="1415" t="str">
        <f t="shared" si="500"/>
        <v>-</v>
      </c>
      <c r="BG318" s="1416" t="str">
        <f t="shared" si="501"/>
        <v>-</v>
      </c>
      <c r="BH318" s="1417" t="str">
        <f t="shared" si="502"/>
        <v>-</v>
      </c>
      <c r="BI318" s="1417" t="str">
        <f t="shared" si="503"/>
        <v>-</v>
      </c>
      <c r="BJ318" s="1417" t="str">
        <f t="shared" si="504"/>
        <v>-</v>
      </c>
      <c r="BK318" s="1417" t="str">
        <f t="shared" si="505"/>
        <v>-</v>
      </c>
      <c r="BL318" s="1418" t="str">
        <f t="shared" si="506"/>
        <v>-</v>
      </c>
      <c r="BM318" s="1417" t="str">
        <f t="shared" si="507"/>
        <v>-</v>
      </c>
      <c r="BN318" s="1417" t="str">
        <f t="shared" si="508"/>
        <v>-</v>
      </c>
      <c r="BO318" s="1417" t="str">
        <f t="shared" si="509"/>
        <v>-</v>
      </c>
      <c r="BP318" s="1417" t="str">
        <f t="shared" si="510"/>
        <v>-</v>
      </c>
      <c r="BQ318" s="1419" t="str">
        <f t="shared" si="511"/>
        <v>-</v>
      </c>
      <c r="BR318" s="1378"/>
      <c r="BS318" s="1420"/>
      <c r="BT318" s="1421"/>
      <c r="BU318" s="1422"/>
      <c r="BV318" s="1423"/>
      <c r="BW318" s="1378"/>
      <c r="BX318" s="1412" t="str">
        <f t="shared" si="512"/>
        <v>Price</v>
      </c>
      <c r="BY318" s="1413" t="str">
        <f t="shared" si="557"/>
        <v>[Service]</v>
      </c>
      <c r="BZ318" s="1414" t="str">
        <f t="shared" si="558"/>
        <v>[Price]</v>
      </c>
      <c r="CA318" s="1424" t="str">
        <f>IFERROR((S318/R318-1)*(R320/R$13),"-")</f>
        <v>-</v>
      </c>
      <c r="CB318" s="1415" t="str">
        <f>IFERROR((T318/S318-1)*(S320/S$13),"-")</f>
        <v>-</v>
      </c>
      <c r="CC318" s="1415" t="str">
        <f>IFERROR((U318/T318-1)*(T320/T$13),"-")</f>
        <v>-</v>
      </c>
      <c r="CD318" s="1415" t="str">
        <f>IFERROR((V318/U318-1)*(U320/U$13),"-")</f>
        <v>-</v>
      </c>
      <c r="CE318" s="1415" t="str">
        <f t="shared" ref="CE318:CR318" si="632">IFERROR((T318/S318-1)*(S320/S$13),"-")</f>
        <v>-</v>
      </c>
      <c r="CF318" s="1415" t="str">
        <f t="shared" si="632"/>
        <v>-</v>
      </c>
      <c r="CG318" s="1415" t="str">
        <f t="shared" si="632"/>
        <v>-</v>
      </c>
      <c r="CH318" s="1425" t="str">
        <f t="shared" si="632"/>
        <v>-</v>
      </c>
      <c r="CI318" s="1417" t="str">
        <f t="shared" si="632"/>
        <v>-</v>
      </c>
      <c r="CJ318" s="1417" t="str">
        <f t="shared" si="632"/>
        <v>-</v>
      </c>
      <c r="CK318" s="1417" t="str">
        <f t="shared" si="632"/>
        <v>-</v>
      </c>
      <c r="CL318" s="1417" t="str">
        <f t="shared" si="632"/>
        <v>-</v>
      </c>
      <c r="CM318" s="1418" t="str">
        <f t="shared" si="632"/>
        <v>-</v>
      </c>
      <c r="CN318" s="1417" t="str">
        <f t="shared" si="632"/>
        <v>-</v>
      </c>
      <c r="CO318" s="1417" t="str">
        <f t="shared" si="632"/>
        <v>-</v>
      </c>
      <c r="CP318" s="1417" t="str">
        <f t="shared" si="632"/>
        <v>-</v>
      </c>
      <c r="CQ318" s="1417" t="str">
        <f t="shared" si="632"/>
        <v>-</v>
      </c>
      <c r="CR318" s="1419" t="str">
        <f t="shared" si="632"/>
        <v>-</v>
      </c>
      <c r="CS318" s="1378"/>
      <c r="CT318" s="1412" t="str">
        <f t="shared" si="492"/>
        <v>Price</v>
      </c>
      <c r="CU318" s="1413" t="str">
        <f t="shared" si="493"/>
        <v>[Service]</v>
      </c>
      <c r="CV318" s="1426" t="str">
        <f t="shared" si="494"/>
        <v>[Price]</v>
      </c>
      <c r="CW318" s="1427" t="str">
        <f t="shared" si="514"/>
        <v>-</v>
      </c>
      <c r="CX318" s="1417" t="str">
        <f t="shared" si="515"/>
        <v>-</v>
      </c>
      <c r="CY318" s="1417" t="str">
        <f t="shared" si="516"/>
        <v>-</v>
      </c>
      <c r="CZ318" s="1418" t="str">
        <f t="shared" si="517"/>
        <v>-</v>
      </c>
      <c r="DA318" s="1417" t="str">
        <f t="shared" si="518"/>
        <v>-</v>
      </c>
      <c r="DB318" s="1417" t="str">
        <f t="shared" si="519"/>
        <v>-</v>
      </c>
      <c r="DC318" s="1417" t="str">
        <f t="shared" si="520"/>
        <v>-</v>
      </c>
      <c r="DD318" s="1417" t="str">
        <f t="shared" si="521"/>
        <v>-</v>
      </c>
      <c r="DE318" s="1419" t="str">
        <f t="shared" si="522"/>
        <v>-</v>
      </c>
      <c r="DF318" s="1378"/>
      <c r="DG318" s="1412" t="str">
        <f t="shared" si="533"/>
        <v>Price</v>
      </c>
      <c r="DH318" s="1413" t="str">
        <f t="shared" si="533"/>
        <v>[Service]</v>
      </c>
      <c r="DI318" s="1426" t="str">
        <f t="shared" si="533"/>
        <v>[Price]</v>
      </c>
      <c r="DJ318" s="1427" t="str">
        <f t="shared" si="523"/>
        <v>-</v>
      </c>
      <c r="DK318" s="1417" t="str">
        <f t="shared" si="524"/>
        <v>-</v>
      </c>
      <c r="DL318" s="1417" t="str">
        <f t="shared" si="525"/>
        <v>-</v>
      </c>
      <c r="DM318" s="1418" t="str">
        <f t="shared" si="526"/>
        <v>-</v>
      </c>
      <c r="DN318" s="1417" t="str">
        <f t="shared" si="527"/>
        <v>-</v>
      </c>
      <c r="DO318" s="1417" t="str">
        <f t="shared" si="528"/>
        <v>-</v>
      </c>
      <c r="DP318" s="1417" t="str">
        <f t="shared" si="529"/>
        <v>-</v>
      </c>
      <c r="DQ318" s="1419" t="str">
        <f t="shared" si="530"/>
        <v>-</v>
      </c>
    </row>
    <row r="319" spans="4:121">
      <c r="E319" s="742" t="s">
        <v>45</v>
      </c>
      <c r="F319" s="722" t="str">
        <f>+F318</f>
        <v>[Service]</v>
      </c>
      <c r="G319" s="723">
        <f>+G318</f>
        <v>0</v>
      </c>
      <c r="H319" s="723">
        <f>+H318</f>
        <v>0</v>
      </c>
      <c r="I319" s="724" t="str">
        <f>+I318</f>
        <v>[Price]</v>
      </c>
      <c r="J319" s="782" t="s">
        <v>322</v>
      </c>
      <c r="K319" s="725"/>
      <c r="L319" s="726"/>
      <c r="M319" s="726"/>
      <c r="N319" s="727"/>
      <c r="O319" s="786"/>
      <c r="P319" s="787"/>
      <c r="Q319" s="786"/>
      <c r="R319" s="786"/>
      <c r="S319" s="786"/>
      <c r="T319" s="786"/>
      <c r="U319" s="786"/>
      <c r="V319" s="786"/>
      <c r="W319" s="786"/>
      <c r="X319" s="787"/>
      <c r="Y319" s="786"/>
      <c r="Z319" s="786"/>
      <c r="AA319" s="786"/>
      <c r="AB319" s="786"/>
      <c r="AC319" s="787"/>
      <c r="AD319" s="786"/>
      <c r="AE319" s="786"/>
      <c r="AF319" s="786"/>
      <c r="AG319" s="788"/>
      <c r="AH319" s="823"/>
      <c r="AI319" s="745"/>
      <c r="AJ319" s="728"/>
      <c r="AK319" s="729"/>
      <c r="AL319" s="729"/>
      <c r="AM319" s="729"/>
      <c r="AN319" s="729"/>
      <c r="AO319" s="730"/>
      <c r="AP319" s="74"/>
      <c r="AQ319" s="74"/>
      <c r="AR319" s="74"/>
      <c r="AS319" s="106"/>
      <c r="AW319" s="1392" t="str">
        <f t="shared" si="531"/>
        <v>Qty</v>
      </c>
      <c r="AX319" s="1393" t="str">
        <f t="shared" si="531"/>
        <v>[Service]</v>
      </c>
      <c r="AY319" s="1394" t="str">
        <f t="shared" si="496"/>
        <v>[Price]</v>
      </c>
      <c r="AZ319" s="1395" t="str">
        <f t="shared" si="616"/>
        <v>-</v>
      </c>
      <c r="BA319" s="1395" t="str">
        <f t="shared" si="616"/>
        <v>-</v>
      </c>
      <c r="BB319" s="1395" t="str">
        <f t="shared" si="616"/>
        <v>-</v>
      </c>
      <c r="BC319" s="1395" t="str">
        <f t="shared" si="616"/>
        <v>-</v>
      </c>
      <c r="BD319" s="1395" t="str">
        <f t="shared" si="498"/>
        <v>-</v>
      </c>
      <c r="BE319" s="1395" t="str">
        <f t="shared" si="499"/>
        <v>-</v>
      </c>
      <c r="BF319" s="1395" t="str">
        <f t="shared" si="500"/>
        <v>-</v>
      </c>
      <c r="BG319" s="1396" t="str">
        <f t="shared" si="501"/>
        <v>-</v>
      </c>
      <c r="BH319" s="1395" t="str">
        <f t="shared" si="502"/>
        <v>-</v>
      </c>
      <c r="BI319" s="1395" t="str">
        <f t="shared" si="503"/>
        <v>-</v>
      </c>
      <c r="BJ319" s="1395" t="str">
        <f t="shared" si="504"/>
        <v>-</v>
      </c>
      <c r="BK319" s="1395" t="str">
        <f t="shared" si="505"/>
        <v>-</v>
      </c>
      <c r="BL319" s="1397" t="str">
        <f t="shared" si="506"/>
        <v>-</v>
      </c>
      <c r="BM319" s="1395" t="str">
        <f t="shared" si="507"/>
        <v>-</v>
      </c>
      <c r="BN319" s="1395" t="str">
        <f t="shared" si="508"/>
        <v>-</v>
      </c>
      <c r="BO319" s="1395" t="str">
        <f t="shared" si="509"/>
        <v>-</v>
      </c>
      <c r="BP319" s="1395" t="str">
        <f t="shared" si="510"/>
        <v>-</v>
      </c>
      <c r="BQ319" s="1398" t="str">
        <f t="shared" si="511"/>
        <v>-</v>
      </c>
      <c r="BR319" s="1378"/>
      <c r="BS319" s="1329"/>
      <c r="BT319" s="1399"/>
      <c r="BU319" s="1331"/>
      <c r="BV319" s="1400"/>
      <c r="BW319" s="1378"/>
      <c r="BX319" s="1392" t="str">
        <f t="shared" si="512"/>
        <v>Qty</v>
      </c>
      <c r="BY319" s="1393" t="str">
        <f t="shared" si="557"/>
        <v>[Service]</v>
      </c>
      <c r="BZ319" s="1394" t="str">
        <f t="shared" si="558"/>
        <v>[Price]</v>
      </c>
      <c r="CA319" s="1401" t="str">
        <f>IFERROR((S319/R319-1)*(R320/R$13),"-")</f>
        <v>-</v>
      </c>
      <c r="CB319" s="1395" t="str">
        <f>IFERROR((T319/S319-1)*(S320/S$13),"-")</f>
        <v>-</v>
      </c>
      <c r="CC319" s="1395" t="str">
        <f>IFERROR((U319/T319-1)*(T320/T$13),"-")</f>
        <v>-</v>
      </c>
      <c r="CD319" s="1395" t="str">
        <f>IFERROR((V319/U319-1)*(U320/U$13),"-")</f>
        <v>-</v>
      </c>
      <c r="CE319" s="1395" t="str">
        <f t="shared" ref="CE319:CR319" si="633">IFERROR((T319/S319-1)*(S320/S$13),"-")</f>
        <v>-</v>
      </c>
      <c r="CF319" s="1395" t="str">
        <f t="shared" si="633"/>
        <v>-</v>
      </c>
      <c r="CG319" s="1395" t="str">
        <f t="shared" si="633"/>
        <v>-</v>
      </c>
      <c r="CH319" s="1397" t="str">
        <f t="shared" si="633"/>
        <v>-</v>
      </c>
      <c r="CI319" s="1395" t="str">
        <f t="shared" si="633"/>
        <v>-</v>
      </c>
      <c r="CJ319" s="1395" t="str">
        <f t="shared" si="633"/>
        <v>-</v>
      </c>
      <c r="CK319" s="1395" t="str">
        <f t="shared" si="633"/>
        <v>-</v>
      </c>
      <c r="CL319" s="1395" t="str">
        <f t="shared" si="633"/>
        <v>-</v>
      </c>
      <c r="CM319" s="1397" t="str">
        <f t="shared" si="633"/>
        <v>-</v>
      </c>
      <c r="CN319" s="1395" t="str">
        <f t="shared" si="633"/>
        <v>-</v>
      </c>
      <c r="CO319" s="1395" t="str">
        <f t="shared" si="633"/>
        <v>-</v>
      </c>
      <c r="CP319" s="1395" t="str">
        <f t="shared" si="633"/>
        <v>-</v>
      </c>
      <c r="CQ319" s="1395" t="str">
        <f t="shared" si="633"/>
        <v>-</v>
      </c>
      <c r="CR319" s="1398" t="str">
        <f t="shared" si="633"/>
        <v>-</v>
      </c>
      <c r="CS319" s="1378"/>
      <c r="CT319" s="1392" t="str">
        <f t="shared" si="492"/>
        <v>Qty</v>
      </c>
      <c r="CU319" s="1393" t="str">
        <f t="shared" si="493"/>
        <v>[Service]</v>
      </c>
      <c r="CV319" s="1393" t="str">
        <f t="shared" si="494"/>
        <v>[Price]</v>
      </c>
      <c r="CW319" s="1401" t="str">
        <f t="shared" si="514"/>
        <v>-</v>
      </c>
      <c r="CX319" s="1395" t="str">
        <f t="shared" si="515"/>
        <v>-</v>
      </c>
      <c r="CY319" s="1395" t="str">
        <f t="shared" si="516"/>
        <v>-</v>
      </c>
      <c r="CZ319" s="1397" t="str">
        <f t="shared" si="517"/>
        <v>-</v>
      </c>
      <c r="DA319" s="1395" t="str">
        <f t="shared" si="518"/>
        <v>-</v>
      </c>
      <c r="DB319" s="1395" t="str">
        <f t="shared" si="519"/>
        <v>-</v>
      </c>
      <c r="DC319" s="1395" t="str">
        <f t="shared" si="520"/>
        <v>-</v>
      </c>
      <c r="DD319" s="1395" t="str">
        <f t="shared" si="521"/>
        <v>-</v>
      </c>
      <c r="DE319" s="1398" t="str">
        <f t="shared" si="522"/>
        <v>-</v>
      </c>
      <c r="DF319" s="1378"/>
      <c r="DG319" s="1392" t="str">
        <f t="shared" si="533"/>
        <v>Qty</v>
      </c>
      <c r="DH319" s="1393" t="str">
        <f t="shared" si="533"/>
        <v>[Service]</v>
      </c>
      <c r="DI319" s="1393" t="str">
        <f t="shared" si="533"/>
        <v>[Price]</v>
      </c>
      <c r="DJ319" s="1401" t="str">
        <f t="shared" si="523"/>
        <v>-</v>
      </c>
      <c r="DK319" s="1395" t="str">
        <f t="shared" si="524"/>
        <v>-</v>
      </c>
      <c r="DL319" s="1395" t="str">
        <f t="shared" si="525"/>
        <v>-</v>
      </c>
      <c r="DM319" s="1397" t="str">
        <f t="shared" si="526"/>
        <v>-</v>
      </c>
      <c r="DN319" s="1395" t="str">
        <f t="shared" si="527"/>
        <v>-</v>
      </c>
      <c r="DO319" s="1395" t="str">
        <f t="shared" si="528"/>
        <v>-</v>
      </c>
      <c r="DP319" s="1395" t="str">
        <f t="shared" si="529"/>
        <v>-</v>
      </c>
      <c r="DQ319" s="1398" t="str">
        <f t="shared" si="530"/>
        <v>-</v>
      </c>
    </row>
    <row r="320" spans="4:121" ht="12.75" thickBot="1">
      <c r="E320" s="743" t="s">
        <v>46</v>
      </c>
      <c r="F320" s="732" t="str">
        <f>+F318</f>
        <v>[Service]</v>
      </c>
      <c r="G320" s="733">
        <f>+G318</f>
        <v>0</v>
      </c>
      <c r="H320" s="733">
        <f>+H318</f>
        <v>0</v>
      </c>
      <c r="I320" s="734" t="str">
        <f>+I318</f>
        <v>[Price]</v>
      </c>
      <c r="J320" s="735" t="s">
        <v>344</v>
      </c>
      <c r="K320" s="736">
        <f t="shared" ref="K320:AG320" si="634">K318*K319/10^6</f>
        <v>0</v>
      </c>
      <c r="L320" s="737">
        <f t="shared" si="634"/>
        <v>0</v>
      </c>
      <c r="M320" s="737">
        <f t="shared" si="634"/>
        <v>0</v>
      </c>
      <c r="N320" s="738">
        <f t="shared" si="634"/>
        <v>0</v>
      </c>
      <c r="O320" s="737">
        <f t="shared" si="634"/>
        <v>0</v>
      </c>
      <c r="P320" s="738">
        <f t="shared" si="634"/>
        <v>0</v>
      </c>
      <c r="Q320" s="737">
        <f t="shared" si="634"/>
        <v>0</v>
      </c>
      <c r="R320" s="737">
        <f t="shared" si="634"/>
        <v>0</v>
      </c>
      <c r="S320" s="737">
        <f t="shared" si="634"/>
        <v>0</v>
      </c>
      <c r="T320" s="737">
        <f t="shared" si="634"/>
        <v>0</v>
      </c>
      <c r="U320" s="737">
        <f t="shared" si="634"/>
        <v>0</v>
      </c>
      <c r="V320" s="737">
        <f t="shared" si="634"/>
        <v>0</v>
      </c>
      <c r="W320" s="737">
        <f t="shared" si="634"/>
        <v>0</v>
      </c>
      <c r="X320" s="738">
        <f t="shared" si="634"/>
        <v>0</v>
      </c>
      <c r="Y320" s="737">
        <f t="shared" si="634"/>
        <v>0</v>
      </c>
      <c r="Z320" s="737">
        <f t="shared" si="634"/>
        <v>0</v>
      </c>
      <c r="AA320" s="737">
        <f t="shared" si="634"/>
        <v>0</v>
      </c>
      <c r="AB320" s="737">
        <f t="shared" si="634"/>
        <v>0</v>
      </c>
      <c r="AC320" s="738">
        <f t="shared" si="634"/>
        <v>0</v>
      </c>
      <c r="AD320" s="737">
        <f t="shared" si="634"/>
        <v>0</v>
      </c>
      <c r="AE320" s="737">
        <f t="shared" si="634"/>
        <v>0</v>
      </c>
      <c r="AF320" s="737">
        <f t="shared" si="634"/>
        <v>0</v>
      </c>
      <c r="AG320" s="739">
        <f t="shared" si="634"/>
        <v>0</v>
      </c>
      <c r="AH320" s="823"/>
      <c r="AI320" s="745"/>
      <c r="AJ320" s="741"/>
      <c r="AK320" s="729"/>
      <c r="AL320" s="729"/>
      <c r="AM320" s="729"/>
      <c r="AN320" s="729"/>
      <c r="AO320" s="730"/>
      <c r="AP320" s="74"/>
      <c r="AQ320" s="74"/>
      <c r="AR320" s="74"/>
      <c r="AS320" s="106"/>
      <c r="AW320" s="1428" t="str">
        <f t="shared" si="531"/>
        <v>Rev</v>
      </c>
      <c r="AX320" s="1429" t="str">
        <f t="shared" si="531"/>
        <v>[Service]</v>
      </c>
      <c r="AY320" s="1430" t="str">
        <f t="shared" si="496"/>
        <v>[Price]</v>
      </c>
      <c r="AZ320" s="1431" t="str">
        <f t="shared" si="616"/>
        <v>-</v>
      </c>
      <c r="BA320" s="1431" t="str">
        <f t="shared" si="616"/>
        <v>-</v>
      </c>
      <c r="BB320" s="1431" t="str">
        <f t="shared" si="616"/>
        <v>-</v>
      </c>
      <c r="BC320" s="1431" t="str">
        <f t="shared" si="616"/>
        <v>-</v>
      </c>
      <c r="BD320" s="1431" t="str">
        <f t="shared" si="498"/>
        <v>-</v>
      </c>
      <c r="BE320" s="1431" t="str">
        <f t="shared" si="499"/>
        <v>-</v>
      </c>
      <c r="BF320" s="1431" t="str">
        <f t="shared" si="500"/>
        <v>-</v>
      </c>
      <c r="BG320" s="1432" t="str">
        <f t="shared" si="501"/>
        <v>-</v>
      </c>
      <c r="BH320" s="1431" t="str">
        <f t="shared" si="502"/>
        <v>-</v>
      </c>
      <c r="BI320" s="1431" t="str">
        <f t="shared" si="503"/>
        <v>-</v>
      </c>
      <c r="BJ320" s="1431" t="str">
        <f t="shared" si="504"/>
        <v>-</v>
      </c>
      <c r="BK320" s="1431" t="str">
        <f t="shared" si="505"/>
        <v>-</v>
      </c>
      <c r="BL320" s="1433" t="str">
        <f t="shared" si="506"/>
        <v>-</v>
      </c>
      <c r="BM320" s="1431" t="str">
        <f t="shared" si="507"/>
        <v>-</v>
      </c>
      <c r="BN320" s="1431" t="str">
        <f t="shared" si="508"/>
        <v>-</v>
      </c>
      <c r="BO320" s="1431" t="str">
        <f t="shared" si="509"/>
        <v>-</v>
      </c>
      <c r="BP320" s="1431" t="str">
        <f t="shared" si="510"/>
        <v>-</v>
      </c>
      <c r="BQ320" s="1434" t="str">
        <f t="shared" si="511"/>
        <v>-</v>
      </c>
      <c r="BR320" s="1378"/>
      <c r="BS320" s="1407"/>
      <c r="BT320" s="1408"/>
      <c r="BU320" s="1409"/>
      <c r="BV320" s="1410"/>
      <c r="BW320" s="1378"/>
      <c r="BX320" s="1428" t="str">
        <f t="shared" si="512"/>
        <v>Rev</v>
      </c>
      <c r="BY320" s="1429" t="str">
        <f t="shared" si="557"/>
        <v>[Service]</v>
      </c>
      <c r="BZ320" s="1430" t="str">
        <f t="shared" si="558"/>
        <v>[Price]</v>
      </c>
      <c r="CA320" s="1435" t="str">
        <f>IFERROR((S320/R320-1)*(R320/R$13),"-")</f>
        <v>-</v>
      </c>
      <c r="CB320" s="1431" t="str">
        <f>IFERROR((T320/S320-1)*(S320/S$13),"-")</f>
        <v>-</v>
      </c>
      <c r="CC320" s="1431" t="str">
        <f>IFERROR((U320/T320-1)*(T320/T$13),"-")</f>
        <v>-</v>
      </c>
      <c r="CD320" s="1431" t="str">
        <f>IFERROR((V320/U320-1)*(U320/U$13),"-")</f>
        <v>-</v>
      </c>
      <c r="CE320" s="1431" t="str">
        <f t="shared" ref="CE320:CR320" si="635">IFERROR((T320/S320-1)*(S320/S$13),"-")</f>
        <v>-</v>
      </c>
      <c r="CF320" s="1431" t="str">
        <f t="shared" si="635"/>
        <v>-</v>
      </c>
      <c r="CG320" s="1431" t="str">
        <f t="shared" si="635"/>
        <v>-</v>
      </c>
      <c r="CH320" s="1433" t="str">
        <f t="shared" si="635"/>
        <v>-</v>
      </c>
      <c r="CI320" s="1431" t="str">
        <f t="shared" si="635"/>
        <v>-</v>
      </c>
      <c r="CJ320" s="1431" t="str">
        <f t="shared" si="635"/>
        <v>-</v>
      </c>
      <c r="CK320" s="1431" t="str">
        <f t="shared" si="635"/>
        <v>-</v>
      </c>
      <c r="CL320" s="1431" t="str">
        <f t="shared" si="635"/>
        <v>-</v>
      </c>
      <c r="CM320" s="1433" t="str">
        <f t="shared" si="635"/>
        <v>-</v>
      </c>
      <c r="CN320" s="1431" t="str">
        <f t="shared" si="635"/>
        <v>-</v>
      </c>
      <c r="CO320" s="1431" t="str">
        <f t="shared" si="635"/>
        <v>-</v>
      </c>
      <c r="CP320" s="1431" t="str">
        <f t="shared" si="635"/>
        <v>-</v>
      </c>
      <c r="CQ320" s="1431" t="str">
        <f t="shared" si="635"/>
        <v>-</v>
      </c>
      <c r="CR320" s="1434" t="str">
        <f t="shared" si="635"/>
        <v>-</v>
      </c>
      <c r="CS320" s="1378"/>
      <c r="CT320" s="1428" t="str">
        <f t="shared" si="492"/>
        <v>Rev</v>
      </c>
      <c r="CU320" s="1429" t="str">
        <f t="shared" si="493"/>
        <v>[Service]</v>
      </c>
      <c r="CV320" s="1429" t="str">
        <f t="shared" si="494"/>
        <v>[Price]</v>
      </c>
      <c r="CW320" s="1435" t="str">
        <f t="shared" si="514"/>
        <v>-</v>
      </c>
      <c r="CX320" s="1431" t="str">
        <f t="shared" si="515"/>
        <v>-</v>
      </c>
      <c r="CY320" s="1431" t="str">
        <f t="shared" si="516"/>
        <v>-</v>
      </c>
      <c r="CZ320" s="1433" t="str">
        <f t="shared" si="517"/>
        <v>-</v>
      </c>
      <c r="DA320" s="1431" t="str">
        <f t="shared" si="518"/>
        <v>-</v>
      </c>
      <c r="DB320" s="1431" t="str">
        <f t="shared" si="519"/>
        <v>-</v>
      </c>
      <c r="DC320" s="1431" t="str">
        <f t="shared" si="520"/>
        <v>-</v>
      </c>
      <c r="DD320" s="1431" t="str">
        <f t="shared" si="521"/>
        <v>-</v>
      </c>
      <c r="DE320" s="1434" t="str">
        <f t="shared" si="522"/>
        <v>-</v>
      </c>
      <c r="DF320" s="1378"/>
      <c r="DG320" s="1428" t="str">
        <f t="shared" si="533"/>
        <v>Rev</v>
      </c>
      <c r="DH320" s="1429" t="str">
        <f t="shared" si="533"/>
        <v>[Service]</v>
      </c>
      <c r="DI320" s="1429" t="str">
        <f t="shared" si="533"/>
        <v>[Price]</v>
      </c>
      <c r="DJ320" s="1435" t="str">
        <f t="shared" si="523"/>
        <v>-</v>
      </c>
      <c r="DK320" s="1431" t="str">
        <f t="shared" si="524"/>
        <v>-</v>
      </c>
      <c r="DL320" s="1431" t="str">
        <f t="shared" si="525"/>
        <v>-</v>
      </c>
      <c r="DM320" s="1433" t="str">
        <f t="shared" si="526"/>
        <v>-</v>
      </c>
      <c r="DN320" s="1431" t="str">
        <f t="shared" si="527"/>
        <v>-</v>
      </c>
      <c r="DO320" s="1431" t="str">
        <f t="shared" si="528"/>
        <v>-</v>
      </c>
      <c r="DP320" s="1431" t="str">
        <f t="shared" si="529"/>
        <v>-</v>
      </c>
      <c r="DQ320" s="1434" t="str">
        <f t="shared" si="530"/>
        <v>-</v>
      </c>
    </row>
    <row r="321" spans="4:121">
      <c r="D321" s="70">
        <f>D318+1</f>
        <v>85</v>
      </c>
      <c r="E321" s="713" t="s">
        <v>44</v>
      </c>
      <c r="F321" s="789" t="s">
        <v>27</v>
      </c>
      <c r="G321" s="789"/>
      <c r="H321" s="789"/>
      <c r="I321" s="781" t="s">
        <v>318</v>
      </c>
      <c r="J321" s="781" t="s">
        <v>345</v>
      </c>
      <c r="K321" s="714"/>
      <c r="L321" s="715"/>
      <c r="M321" s="715"/>
      <c r="N321" s="716"/>
      <c r="O321" s="783"/>
      <c r="P321" s="784"/>
      <c r="Q321" s="783"/>
      <c r="R321" s="783"/>
      <c r="S321" s="783"/>
      <c r="T321" s="783"/>
      <c r="U321" s="783"/>
      <c r="V321" s="783"/>
      <c r="W321" s="783"/>
      <c r="X321" s="784"/>
      <c r="Y321" s="783"/>
      <c r="Z321" s="783"/>
      <c r="AA321" s="783"/>
      <c r="AB321" s="783"/>
      <c r="AC321" s="784"/>
      <c r="AD321" s="783"/>
      <c r="AE321" s="783"/>
      <c r="AF321" s="783"/>
      <c r="AG321" s="785"/>
      <c r="AI321" s="745"/>
      <c r="AJ321" s="717" t="str">
        <f t="shared" ref="AJ321:AS321" si="636">IFERROR((X321-W321)/W321,"")</f>
        <v/>
      </c>
      <c r="AK321" s="718" t="str">
        <f t="shared" si="636"/>
        <v/>
      </c>
      <c r="AL321" s="718" t="str">
        <f t="shared" si="636"/>
        <v/>
      </c>
      <c r="AM321" s="718" t="str">
        <f t="shared" si="636"/>
        <v/>
      </c>
      <c r="AN321" s="718" t="str">
        <f t="shared" si="636"/>
        <v/>
      </c>
      <c r="AO321" s="719" t="str">
        <f t="shared" si="636"/>
        <v/>
      </c>
      <c r="AP321" s="494" t="str">
        <f t="shared" si="636"/>
        <v/>
      </c>
      <c r="AQ321" s="494" t="str">
        <f t="shared" si="636"/>
        <v/>
      </c>
      <c r="AR321" s="494" t="str">
        <f t="shared" si="636"/>
        <v/>
      </c>
      <c r="AS321" s="720" t="str">
        <f t="shared" si="636"/>
        <v/>
      </c>
      <c r="AU321" s="1369"/>
      <c r="AW321" s="1412" t="str">
        <f t="shared" si="531"/>
        <v>Price</v>
      </c>
      <c r="AX321" s="1413" t="str">
        <f t="shared" si="531"/>
        <v>[Service]</v>
      </c>
      <c r="AY321" s="1414" t="str">
        <f t="shared" si="496"/>
        <v>[Price]</v>
      </c>
      <c r="AZ321" s="1415" t="str">
        <f t="shared" si="616"/>
        <v>-</v>
      </c>
      <c r="BA321" s="1415" t="str">
        <f t="shared" si="616"/>
        <v>-</v>
      </c>
      <c r="BB321" s="1415" t="str">
        <f t="shared" si="616"/>
        <v>-</v>
      </c>
      <c r="BC321" s="1415" t="str">
        <f t="shared" si="616"/>
        <v>-</v>
      </c>
      <c r="BD321" s="1415" t="str">
        <f t="shared" si="498"/>
        <v>-</v>
      </c>
      <c r="BE321" s="1415" t="str">
        <f t="shared" si="499"/>
        <v>-</v>
      </c>
      <c r="BF321" s="1415" t="str">
        <f t="shared" si="500"/>
        <v>-</v>
      </c>
      <c r="BG321" s="1416" t="str">
        <f t="shared" si="501"/>
        <v>-</v>
      </c>
      <c r="BH321" s="1417" t="str">
        <f t="shared" si="502"/>
        <v>-</v>
      </c>
      <c r="BI321" s="1417" t="str">
        <f t="shared" si="503"/>
        <v>-</v>
      </c>
      <c r="BJ321" s="1417" t="str">
        <f t="shared" si="504"/>
        <v>-</v>
      </c>
      <c r="BK321" s="1417" t="str">
        <f t="shared" si="505"/>
        <v>-</v>
      </c>
      <c r="BL321" s="1418" t="str">
        <f t="shared" si="506"/>
        <v>-</v>
      </c>
      <c r="BM321" s="1417" t="str">
        <f t="shared" si="507"/>
        <v>-</v>
      </c>
      <c r="BN321" s="1417" t="str">
        <f t="shared" si="508"/>
        <v>-</v>
      </c>
      <c r="BO321" s="1417" t="str">
        <f t="shared" si="509"/>
        <v>-</v>
      </c>
      <c r="BP321" s="1417" t="str">
        <f t="shared" si="510"/>
        <v>-</v>
      </c>
      <c r="BQ321" s="1419" t="str">
        <f t="shared" si="511"/>
        <v>-</v>
      </c>
      <c r="BR321" s="1378"/>
      <c r="BS321" s="1420"/>
      <c r="BT321" s="1421"/>
      <c r="BU321" s="1422"/>
      <c r="BV321" s="1423"/>
      <c r="BW321" s="1378"/>
      <c r="BX321" s="1412" t="str">
        <f t="shared" si="512"/>
        <v>Price</v>
      </c>
      <c r="BY321" s="1413" t="str">
        <f t="shared" si="557"/>
        <v>[Service]</v>
      </c>
      <c r="BZ321" s="1414" t="str">
        <f t="shared" si="558"/>
        <v>[Price]</v>
      </c>
      <c r="CA321" s="1424" t="str">
        <f>IFERROR((S321/R321-1)*(R323/R$13),"-")</f>
        <v>-</v>
      </c>
      <c r="CB321" s="1415" t="str">
        <f>IFERROR((T321/S321-1)*(S323/S$13),"-")</f>
        <v>-</v>
      </c>
      <c r="CC321" s="1415" t="str">
        <f>IFERROR((U321/T321-1)*(T323/T$13),"-")</f>
        <v>-</v>
      </c>
      <c r="CD321" s="1415" t="str">
        <f>IFERROR((V321/U321-1)*(U323/U$13),"-")</f>
        <v>-</v>
      </c>
      <c r="CE321" s="1415" t="str">
        <f t="shared" ref="CE321:CR321" si="637">IFERROR((T321/S321-1)*(S323/S$13),"-")</f>
        <v>-</v>
      </c>
      <c r="CF321" s="1415" t="str">
        <f t="shared" si="637"/>
        <v>-</v>
      </c>
      <c r="CG321" s="1415" t="str">
        <f t="shared" si="637"/>
        <v>-</v>
      </c>
      <c r="CH321" s="1425" t="str">
        <f t="shared" si="637"/>
        <v>-</v>
      </c>
      <c r="CI321" s="1417" t="str">
        <f t="shared" si="637"/>
        <v>-</v>
      </c>
      <c r="CJ321" s="1417" t="str">
        <f t="shared" si="637"/>
        <v>-</v>
      </c>
      <c r="CK321" s="1417" t="str">
        <f t="shared" si="637"/>
        <v>-</v>
      </c>
      <c r="CL321" s="1417" t="str">
        <f t="shared" si="637"/>
        <v>-</v>
      </c>
      <c r="CM321" s="1418" t="str">
        <f t="shared" si="637"/>
        <v>-</v>
      </c>
      <c r="CN321" s="1417" t="str">
        <f t="shared" si="637"/>
        <v>-</v>
      </c>
      <c r="CO321" s="1417" t="str">
        <f t="shared" si="637"/>
        <v>-</v>
      </c>
      <c r="CP321" s="1417" t="str">
        <f t="shared" si="637"/>
        <v>-</v>
      </c>
      <c r="CQ321" s="1417" t="str">
        <f t="shared" si="637"/>
        <v>-</v>
      </c>
      <c r="CR321" s="1419" t="str">
        <f t="shared" si="637"/>
        <v>-</v>
      </c>
      <c r="CS321" s="1378"/>
      <c r="CT321" s="1412" t="str">
        <f t="shared" si="492"/>
        <v>Price</v>
      </c>
      <c r="CU321" s="1413" t="str">
        <f t="shared" si="493"/>
        <v>[Service]</v>
      </c>
      <c r="CV321" s="1426" t="str">
        <f t="shared" si="494"/>
        <v>[Price]</v>
      </c>
      <c r="CW321" s="1427" t="str">
        <f t="shared" si="514"/>
        <v>-</v>
      </c>
      <c r="CX321" s="1417" t="str">
        <f t="shared" si="515"/>
        <v>-</v>
      </c>
      <c r="CY321" s="1417" t="str">
        <f t="shared" si="516"/>
        <v>-</v>
      </c>
      <c r="CZ321" s="1418" t="str">
        <f t="shared" si="517"/>
        <v>-</v>
      </c>
      <c r="DA321" s="1417" t="str">
        <f t="shared" si="518"/>
        <v>-</v>
      </c>
      <c r="DB321" s="1417" t="str">
        <f t="shared" si="519"/>
        <v>-</v>
      </c>
      <c r="DC321" s="1417" t="str">
        <f t="shared" si="520"/>
        <v>-</v>
      </c>
      <c r="DD321" s="1417" t="str">
        <f t="shared" si="521"/>
        <v>-</v>
      </c>
      <c r="DE321" s="1419" t="str">
        <f t="shared" si="522"/>
        <v>-</v>
      </c>
      <c r="DF321" s="1378"/>
      <c r="DG321" s="1412" t="str">
        <f t="shared" si="533"/>
        <v>Price</v>
      </c>
      <c r="DH321" s="1413" t="str">
        <f t="shared" si="533"/>
        <v>[Service]</v>
      </c>
      <c r="DI321" s="1426" t="str">
        <f t="shared" si="533"/>
        <v>[Price]</v>
      </c>
      <c r="DJ321" s="1427" t="str">
        <f t="shared" si="523"/>
        <v>-</v>
      </c>
      <c r="DK321" s="1417" t="str">
        <f t="shared" si="524"/>
        <v>-</v>
      </c>
      <c r="DL321" s="1417" t="str">
        <f t="shared" si="525"/>
        <v>-</v>
      </c>
      <c r="DM321" s="1418" t="str">
        <f t="shared" si="526"/>
        <v>-</v>
      </c>
      <c r="DN321" s="1417" t="str">
        <f t="shared" si="527"/>
        <v>-</v>
      </c>
      <c r="DO321" s="1417" t="str">
        <f t="shared" si="528"/>
        <v>-</v>
      </c>
      <c r="DP321" s="1417" t="str">
        <f t="shared" si="529"/>
        <v>-</v>
      </c>
      <c r="DQ321" s="1419" t="str">
        <f t="shared" si="530"/>
        <v>-</v>
      </c>
    </row>
    <row r="322" spans="4:121">
      <c r="E322" s="742" t="s">
        <v>45</v>
      </c>
      <c r="F322" s="722" t="str">
        <f>+F321</f>
        <v>[Service]</v>
      </c>
      <c r="G322" s="723">
        <f>+G321</f>
        <v>0</v>
      </c>
      <c r="H322" s="723">
        <f>+H321</f>
        <v>0</v>
      </c>
      <c r="I322" s="724" t="str">
        <f>+I321</f>
        <v>[Price]</v>
      </c>
      <c r="J322" s="782" t="s">
        <v>322</v>
      </c>
      <c r="K322" s="725"/>
      <c r="L322" s="726"/>
      <c r="M322" s="726"/>
      <c r="N322" s="727"/>
      <c r="O322" s="786"/>
      <c r="P322" s="787"/>
      <c r="Q322" s="786"/>
      <c r="R322" s="786"/>
      <c r="S322" s="786"/>
      <c r="T322" s="786"/>
      <c r="U322" s="786"/>
      <c r="V322" s="786"/>
      <c r="W322" s="786"/>
      <c r="X322" s="787"/>
      <c r="Y322" s="786"/>
      <c r="Z322" s="786"/>
      <c r="AA322" s="786"/>
      <c r="AB322" s="786"/>
      <c r="AC322" s="787"/>
      <c r="AD322" s="786"/>
      <c r="AE322" s="786"/>
      <c r="AF322" s="786"/>
      <c r="AG322" s="788"/>
      <c r="AH322" s="823"/>
      <c r="AI322" s="745"/>
      <c r="AJ322" s="728"/>
      <c r="AK322" s="729"/>
      <c r="AL322" s="729"/>
      <c r="AM322" s="729"/>
      <c r="AN322" s="729"/>
      <c r="AO322" s="730"/>
      <c r="AP322" s="74"/>
      <c r="AQ322" s="74"/>
      <c r="AR322" s="74"/>
      <c r="AS322" s="106"/>
      <c r="AW322" s="1392" t="str">
        <f t="shared" si="531"/>
        <v>Qty</v>
      </c>
      <c r="AX322" s="1393" t="str">
        <f t="shared" si="531"/>
        <v>[Service]</v>
      </c>
      <c r="AY322" s="1394" t="str">
        <f t="shared" si="496"/>
        <v>[Price]</v>
      </c>
      <c r="AZ322" s="1395" t="str">
        <f t="shared" si="616"/>
        <v>-</v>
      </c>
      <c r="BA322" s="1395" t="str">
        <f t="shared" si="616"/>
        <v>-</v>
      </c>
      <c r="BB322" s="1395" t="str">
        <f t="shared" si="616"/>
        <v>-</v>
      </c>
      <c r="BC322" s="1395" t="str">
        <f t="shared" si="616"/>
        <v>-</v>
      </c>
      <c r="BD322" s="1395" t="str">
        <f t="shared" si="498"/>
        <v>-</v>
      </c>
      <c r="BE322" s="1395" t="str">
        <f t="shared" si="499"/>
        <v>-</v>
      </c>
      <c r="BF322" s="1395" t="str">
        <f t="shared" si="500"/>
        <v>-</v>
      </c>
      <c r="BG322" s="1396" t="str">
        <f t="shared" si="501"/>
        <v>-</v>
      </c>
      <c r="BH322" s="1395" t="str">
        <f t="shared" si="502"/>
        <v>-</v>
      </c>
      <c r="BI322" s="1395" t="str">
        <f t="shared" si="503"/>
        <v>-</v>
      </c>
      <c r="BJ322" s="1395" t="str">
        <f t="shared" si="504"/>
        <v>-</v>
      </c>
      <c r="BK322" s="1395" t="str">
        <f t="shared" si="505"/>
        <v>-</v>
      </c>
      <c r="BL322" s="1397" t="str">
        <f t="shared" si="506"/>
        <v>-</v>
      </c>
      <c r="BM322" s="1395" t="str">
        <f t="shared" si="507"/>
        <v>-</v>
      </c>
      <c r="BN322" s="1395" t="str">
        <f t="shared" si="508"/>
        <v>-</v>
      </c>
      <c r="BO322" s="1395" t="str">
        <f t="shared" si="509"/>
        <v>-</v>
      </c>
      <c r="BP322" s="1395" t="str">
        <f t="shared" si="510"/>
        <v>-</v>
      </c>
      <c r="BQ322" s="1398" t="str">
        <f t="shared" si="511"/>
        <v>-</v>
      </c>
      <c r="BR322" s="1378"/>
      <c r="BS322" s="1329"/>
      <c r="BT322" s="1399"/>
      <c r="BU322" s="1331"/>
      <c r="BV322" s="1400"/>
      <c r="BW322" s="1378"/>
      <c r="BX322" s="1392" t="str">
        <f t="shared" si="512"/>
        <v>Qty</v>
      </c>
      <c r="BY322" s="1393" t="str">
        <f t="shared" si="557"/>
        <v>[Service]</v>
      </c>
      <c r="BZ322" s="1394" t="str">
        <f t="shared" si="558"/>
        <v>[Price]</v>
      </c>
      <c r="CA322" s="1401" t="str">
        <f>IFERROR((S322/R322-1)*(R323/R$13),"-")</f>
        <v>-</v>
      </c>
      <c r="CB322" s="1395" t="str">
        <f>IFERROR((T322/S322-1)*(S323/S$13),"-")</f>
        <v>-</v>
      </c>
      <c r="CC322" s="1395" t="str">
        <f>IFERROR((U322/T322-1)*(T323/T$13),"-")</f>
        <v>-</v>
      </c>
      <c r="CD322" s="1395" t="str">
        <f>IFERROR((V322/U322-1)*(U323/U$13),"-")</f>
        <v>-</v>
      </c>
      <c r="CE322" s="1395" t="str">
        <f t="shared" ref="CE322:CR322" si="638">IFERROR((T322/S322-1)*(S323/S$13),"-")</f>
        <v>-</v>
      </c>
      <c r="CF322" s="1395" t="str">
        <f t="shared" si="638"/>
        <v>-</v>
      </c>
      <c r="CG322" s="1395" t="str">
        <f t="shared" si="638"/>
        <v>-</v>
      </c>
      <c r="CH322" s="1397" t="str">
        <f t="shared" si="638"/>
        <v>-</v>
      </c>
      <c r="CI322" s="1395" t="str">
        <f t="shared" si="638"/>
        <v>-</v>
      </c>
      <c r="CJ322" s="1395" t="str">
        <f t="shared" si="638"/>
        <v>-</v>
      </c>
      <c r="CK322" s="1395" t="str">
        <f t="shared" si="638"/>
        <v>-</v>
      </c>
      <c r="CL322" s="1395" t="str">
        <f t="shared" si="638"/>
        <v>-</v>
      </c>
      <c r="CM322" s="1397" t="str">
        <f t="shared" si="638"/>
        <v>-</v>
      </c>
      <c r="CN322" s="1395" t="str">
        <f t="shared" si="638"/>
        <v>-</v>
      </c>
      <c r="CO322" s="1395" t="str">
        <f t="shared" si="638"/>
        <v>-</v>
      </c>
      <c r="CP322" s="1395" t="str">
        <f t="shared" si="638"/>
        <v>-</v>
      </c>
      <c r="CQ322" s="1395" t="str">
        <f t="shared" si="638"/>
        <v>-</v>
      </c>
      <c r="CR322" s="1398" t="str">
        <f t="shared" si="638"/>
        <v>-</v>
      </c>
      <c r="CS322" s="1378"/>
      <c r="CT322" s="1392" t="str">
        <f t="shared" si="492"/>
        <v>Qty</v>
      </c>
      <c r="CU322" s="1393" t="str">
        <f t="shared" si="493"/>
        <v>[Service]</v>
      </c>
      <c r="CV322" s="1393" t="str">
        <f t="shared" si="494"/>
        <v>[Price]</v>
      </c>
      <c r="CW322" s="1401" t="str">
        <f t="shared" si="514"/>
        <v>-</v>
      </c>
      <c r="CX322" s="1395" t="str">
        <f t="shared" si="515"/>
        <v>-</v>
      </c>
      <c r="CY322" s="1395" t="str">
        <f t="shared" si="516"/>
        <v>-</v>
      </c>
      <c r="CZ322" s="1397" t="str">
        <f t="shared" si="517"/>
        <v>-</v>
      </c>
      <c r="DA322" s="1395" t="str">
        <f t="shared" si="518"/>
        <v>-</v>
      </c>
      <c r="DB322" s="1395" t="str">
        <f t="shared" si="519"/>
        <v>-</v>
      </c>
      <c r="DC322" s="1395" t="str">
        <f t="shared" si="520"/>
        <v>-</v>
      </c>
      <c r="DD322" s="1395" t="str">
        <f t="shared" si="521"/>
        <v>-</v>
      </c>
      <c r="DE322" s="1398" t="str">
        <f t="shared" si="522"/>
        <v>-</v>
      </c>
      <c r="DF322" s="1378"/>
      <c r="DG322" s="1392" t="str">
        <f t="shared" si="533"/>
        <v>Qty</v>
      </c>
      <c r="DH322" s="1393" t="str">
        <f t="shared" si="533"/>
        <v>[Service]</v>
      </c>
      <c r="DI322" s="1393" t="str">
        <f t="shared" si="533"/>
        <v>[Price]</v>
      </c>
      <c r="DJ322" s="1401" t="str">
        <f t="shared" si="523"/>
        <v>-</v>
      </c>
      <c r="DK322" s="1395" t="str">
        <f t="shared" si="524"/>
        <v>-</v>
      </c>
      <c r="DL322" s="1395" t="str">
        <f t="shared" si="525"/>
        <v>-</v>
      </c>
      <c r="DM322" s="1397" t="str">
        <f t="shared" si="526"/>
        <v>-</v>
      </c>
      <c r="DN322" s="1395" t="str">
        <f t="shared" si="527"/>
        <v>-</v>
      </c>
      <c r="DO322" s="1395" t="str">
        <f t="shared" si="528"/>
        <v>-</v>
      </c>
      <c r="DP322" s="1395" t="str">
        <f t="shared" si="529"/>
        <v>-</v>
      </c>
      <c r="DQ322" s="1398" t="str">
        <f t="shared" si="530"/>
        <v>-</v>
      </c>
    </row>
    <row r="323" spans="4:121" ht="12.75" thickBot="1">
      <c r="E323" s="743" t="s">
        <v>46</v>
      </c>
      <c r="F323" s="732" t="str">
        <f>+F321</f>
        <v>[Service]</v>
      </c>
      <c r="G323" s="733">
        <f>+G321</f>
        <v>0</v>
      </c>
      <c r="H323" s="733">
        <f>+H321</f>
        <v>0</v>
      </c>
      <c r="I323" s="734" t="str">
        <f>+I321</f>
        <v>[Price]</v>
      </c>
      <c r="J323" s="735" t="s">
        <v>344</v>
      </c>
      <c r="K323" s="736">
        <f t="shared" ref="K323:AG323" si="639">K321*K322/10^6</f>
        <v>0</v>
      </c>
      <c r="L323" s="737">
        <f t="shared" si="639"/>
        <v>0</v>
      </c>
      <c r="M323" s="737">
        <f t="shared" si="639"/>
        <v>0</v>
      </c>
      <c r="N323" s="738">
        <f t="shared" si="639"/>
        <v>0</v>
      </c>
      <c r="O323" s="737">
        <f t="shared" si="639"/>
        <v>0</v>
      </c>
      <c r="P323" s="738">
        <f t="shared" si="639"/>
        <v>0</v>
      </c>
      <c r="Q323" s="737">
        <f t="shared" si="639"/>
        <v>0</v>
      </c>
      <c r="R323" s="737">
        <f t="shared" si="639"/>
        <v>0</v>
      </c>
      <c r="S323" s="737">
        <f t="shared" si="639"/>
        <v>0</v>
      </c>
      <c r="T323" s="737">
        <f t="shared" si="639"/>
        <v>0</v>
      </c>
      <c r="U323" s="737">
        <f t="shared" si="639"/>
        <v>0</v>
      </c>
      <c r="V323" s="737">
        <f t="shared" si="639"/>
        <v>0</v>
      </c>
      <c r="W323" s="737">
        <f t="shared" si="639"/>
        <v>0</v>
      </c>
      <c r="X323" s="738">
        <f t="shared" si="639"/>
        <v>0</v>
      </c>
      <c r="Y323" s="737">
        <f t="shared" si="639"/>
        <v>0</v>
      </c>
      <c r="Z323" s="737">
        <f t="shared" si="639"/>
        <v>0</v>
      </c>
      <c r="AA323" s="737">
        <f t="shared" si="639"/>
        <v>0</v>
      </c>
      <c r="AB323" s="737">
        <f t="shared" si="639"/>
        <v>0</v>
      </c>
      <c r="AC323" s="738">
        <f t="shared" si="639"/>
        <v>0</v>
      </c>
      <c r="AD323" s="737">
        <f t="shared" si="639"/>
        <v>0</v>
      </c>
      <c r="AE323" s="737">
        <f t="shared" si="639"/>
        <v>0</v>
      </c>
      <c r="AF323" s="737">
        <f t="shared" si="639"/>
        <v>0</v>
      </c>
      <c r="AG323" s="739">
        <f t="shared" si="639"/>
        <v>0</v>
      </c>
      <c r="AH323" s="823"/>
      <c r="AI323" s="745"/>
      <c r="AJ323" s="741"/>
      <c r="AK323" s="729"/>
      <c r="AL323" s="729"/>
      <c r="AM323" s="729"/>
      <c r="AN323" s="729"/>
      <c r="AO323" s="730"/>
      <c r="AP323" s="74"/>
      <c r="AQ323" s="74"/>
      <c r="AR323" s="74"/>
      <c r="AS323" s="106"/>
      <c r="AW323" s="1428" t="str">
        <f t="shared" si="531"/>
        <v>Rev</v>
      </c>
      <c r="AX323" s="1429" t="str">
        <f t="shared" si="531"/>
        <v>[Service]</v>
      </c>
      <c r="AY323" s="1430" t="str">
        <f t="shared" si="496"/>
        <v>[Price]</v>
      </c>
      <c r="AZ323" s="1431" t="str">
        <f t="shared" si="616"/>
        <v>-</v>
      </c>
      <c r="BA323" s="1431" t="str">
        <f t="shared" si="616"/>
        <v>-</v>
      </c>
      <c r="BB323" s="1431" t="str">
        <f t="shared" si="616"/>
        <v>-</v>
      </c>
      <c r="BC323" s="1431" t="str">
        <f t="shared" si="616"/>
        <v>-</v>
      </c>
      <c r="BD323" s="1431" t="str">
        <f t="shared" si="498"/>
        <v>-</v>
      </c>
      <c r="BE323" s="1431" t="str">
        <f t="shared" si="499"/>
        <v>-</v>
      </c>
      <c r="BF323" s="1431" t="str">
        <f t="shared" si="500"/>
        <v>-</v>
      </c>
      <c r="BG323" s="1432" t="str">
        <f t="shared" si="501"/>
        <v>-</v>
      </c>
      <c r="BH323" s="1431" t="str">
        <f t="shared" si="502"/>
        <v>-</v>
      </c>
      <c r="BI323" s="1431" t="str">
        <f t="shared" si="503"/>
        <v>-</v>
      </c>
      <c r="BJ323" s="1431" t="str">
        <f t="shared" si="504"/>
        <v>-</v>
      </c>
      <c r="BK323" s="1431" t="str">
        <f t="shared" si="505"/>
        <v>-</v>
      </c>
      <c r="BL323" s="1433" t="str">
        <f t="shared" si="506"/>
        <v>-</v>
      </c>
      <c r="BM323" s="1431" t="str">
        <f t="shared" si="507"/>
        <v>-</v>
      </c>
      <c r="BN323" s="1431" t="str">
        <f t="shared" si="508"/>
        <v>-</v>
      </c>
      <c r="BO323" s="1431" t="str">
        <f t="shared" si="509"/>
        <v>-</v>
      </c>
      <c r="BP323" s="1431" t="str">
        <f t="shared" si="510"/>
        <v>-</v>
      </c>
      <c r="BQ323" s="1434" t="str">
        <f t="shared" si="511"/>
        <v>-</v>
      </c>
      <c r="BR323" s="1378"/>
      <c r="BS323" s="1407"/>
      <c r="BT323" s="1408"/>
      <c r="BU323" s="1409"/>
      <c r="BV323" s="1410"/>
      <c r="BW323" s="1378"/>
      <c r="BX323" s="1428" t="str">
        <f t="shared" si="512"/>
        <v>Rev</v>
      </c>
      <c r="BY323" s="1429" t="str">
        <f t="shared" si="557"/>
        <v>[Service]</v>
      </c>
      <c r="BZ323" s="1430" t="str">
        <f t="shared" si="558"/>
        <v>[Price]</v>
      </c>
      <c r="CA323" s="1435" t="str">
        <f>IFERROR((S323/R323-1)*(R323/R$13),"-")</f>
        <v>-</v>
      </c>
      <c r="CB323" s="1431" t="str">
        <f>IFERROR((T323/S323-1)*(S323/S$13),"-")</f>
        <v>-</v>
      </c>
      <c r="CC323" s="1431" t="str">
        <f>IFERROR((U323/T323-1)*(T323/T$13),"-")</f>
        <v>-</v>
      </c>
      <c r="CD323" s="1431" t="str">
        <f>IFERROR((V323/U323-1)*(U323/U$13),"-")</f>
        <v>-</v>
      </c>
      <c r="CE323" s="1431" t="str">
        <f t="shared" ref="CE323:CR323" si="640">IFERROR((T323/S323-1)*(S323/S$13),"-")</f>
        <v>-</v>
      </c>
      <c r="CF323" s="1431" t="str">
        <f t="shared" si="640"/>
        <v>-</v>
      </c>
      <c r="CG323" s="1431" t="str">
        <f t="shared" si="640"/>
        <v>-</v>
      </c>
      <c r="CH323" s="1433" t="str">
        <f t="shared" si="640"/>
        <v>-</v>
      </c>
      <c r="CI323" s="1431" t="str">
        <f t="shared" si="640"/>
        <v>-</v>
      </c>
      <c r="CJ323" s="1431" t="str">
        <f t="shared" si="640"/>
        <v>-</v>
      </c>
      <c r="CK323" s="1431" t="str">
        <f t="shared" si="640"/>
        <v>-</v>
      </c>
      <c r="CL323" s="1431" t="str">
        <f t="shared" si="640"/>
        <v>-</v>
      </c>
      <c r="CM323" s="1433" t="str">
        <f t="shared" si="640"/>
        <v>-</v>
      </c>
      <c r="CN323" s="1431" t="str">
        <f t="shared" si="640"/>
        <v>-</v>
      </c>
      <c r="CO323" s="1431" t="str">
        <f t="shared" si="640"/>
        <v>-</v>
      </c>
      <c r="CP323" s="1431" t="str">
        <f t="shared" si="640"/>
        <v>-</v>
      </c>
      <c r="CQ323" s="1431" t="str">
        <f t="shared" si="640"/>
        <v>-</v>
      </c>
      <c r="CR323" s="1434" t="str">
        <f t="shared" si="640"/>
        <v>-</v>
      </c>
      <c r="CS323" s="1378"/>
      <c r="CT323" s="1428" t="str">
        <f t="shared" si="492"/>
        <v>Rev</v>
      </c>
      <c r="CU323" s="1429" t="str">
        <f t="shared" si="493"/>
        <v>[Service]</v>
      </c>
      <c r="CV323" s="1429" t="str">
        <f t="shared" si="494"/>
        <v>[Price]</v>
      </c>
      <c r="CW323" s="1435" t="str">
        <f t="shared" si="514"/>
        <v>-</v>
      </c>
      <c r="CX323" s="1431" t="str">
        <f t="shared" si="515"/>
        <v>-</v>
      </c>
      <c r="CY323" s="1431" t="str">
        <f t="shared" si="516"/>
        <v>-</v>
      </c>
      <c r="CZ323" s="1433" t="str">
        <f t="shared" si="517"/>
        <v>-</v>
      </c>
      <c r="DA323" s="1431" t="str">
        <f t="shared" si="518"/>
        <v>-</v>
      </c>
      <c r="DB323" s="1431" t="str">
        <f t="shared" si="519"/>
        <v>-</v>
      </c>
      <c r="DC323" s="1431" t="str">
        <f t="shared" si="520"/>
        <v>-</v>
      </c>
      <c r="DD323" s="1431" t="str">
        <f t="shared" si="521"/>
        <v>-</v>
      </c>
      <c r="DE323" s="1434" t="str">
        <f t="shared" si="522"/>
        <v>-</v>
      </c>
      <c r="DF323" s="1378"/>
      <c r="DG323" s="1428" t="str">
        <f t="shared" si="533"/>
        <v>Rev</v>
      </c>
      <c r="DH323" s="1429" t="str">
        <f t="shared" si="533"/>
        <v>[Service]</v>
      </c>
      <c r="DI323" s="1429" t="str">
        <f t="shared" si="533"/>
        <v>[Price]</v>
      </c>
      <c r="DJ323" s="1435" t="str">
        <f t="shared" si="523"/>
        <v>-</v>
      </c>
      <c r="DK323" s="1431" t="str">
        <f t="shared" si="524"/>
        <v>-</v>
      </c>
      <c r="DL323" s="1431" t="str">
        <f t="shared" si="525"/>
        <v>-</v>
      </c>
      <c r="DM323" s="1433" t="str">
        <f t="shared" si="526"/>
        <v>-</v>
      </c>
      <c r="DN323" s="1431" t="str">
        <f t="shared" si="527"/>
        <v>-</v>
      </c>
      <c r="DO323" s="1431" t="str">
        <f t="shared" si="528"/>
        <v>-</v>
      </c>
      <c r="DP323" s="1431" t="str">
        <f t="shared" si="529"/>
        <v>-</v>
      </c>
      <c r="DQ323" s="1434" t="str">
        <f t="shared" si="530"/>
        <v>-</v>
      </c>
    </row>
    <row r="324" spans="4:121">
      <c r="D324" s="70">
        <f>D321+1</f>
        <v>86</v>
      </c>
      <c r="E324" s="713" t="s">
        <v>44</v>
      </c>
      <c r="F324" s="789" t="s">
        <v>27</v>
      </c>
      <c r="G324" s="789"/>
      <c r="H324" s="789"/>
      <c r="I324" s="781" t="s">
        <v>318</v>
      </c>
      <c r="J324" s="781" t="s">
        <v>345</v>
      </c>
      <c r="K324" s="714"/>
      <c r="L324" s="715"/>
      <c r="M324" s="715"/>
      <c r="N324" s="716"/>
      <c r="O324" s="783"/>
      <c r="P324" s="784"/>
      <c r="Q324" s="783"/>
      <c r="R324" s="783"/>
      <c r="S324" s="783"/>
      <c r="T324" s="783"/>
      <c r="U324" s="783"/>
      <c r="V324" s="783"/>
      <c r="W324" s="783"/>
      <c r="X324" s="784"/>
      <c r="Y324" s="783"/>
      <c r="Z324" s="783"/>
      <c r="AA324" s="783"/>
      <c r="AB324" s="783"/>
      <c r="AC324" s="784"/>
      <c r="AD324" s="783"/>
      <c r="AE324" s="783"/>
      <c r="AF324" s="783"/>
      <c r="AG324" s="785"/>
      <c r="AI324" s="745"/>
      <c r="AJ324" s="717" t="str">
        <f t="shared" ref="AJ324:AS324" si="641">IFERROR((X324-W324)/W324,"")</f>
        <v/>
      </c>
      <c r="AK324" s="718" t="str">
        <f t="shared" si="641"/>
        <v/>
      </c>
      <c r="AL324" s="718" t="str">
        <f t="shared" si="641"/>
        <v/>
      </c>
      <c r="AM324" s="718" t="str">
        <f t="shared" si="641"/>
        <v/>
      </c>
      <c r="AN324" s="718" t="str">
        <f t="shared" si="641"/>
        <v/>
      </c>
      <c r="AO324" s="719" t="str">
        <f t="shared" si="641"/>
        <v/>
      </c>
      <c r="AP324" s="494" t="str">
        <f t="shared" si="641"/>
        <v/>
      </c>
      <c r="AQ324" s="494" t="str">
        <f t="shared" si="641"/>
        <v/>
      </c>
      <c r="AR324" s="494" t="str">
        <f t="shared" si="641"/>
        <v/>
      </c>
      <c r="AS324" s="720" t="str">
        <f t="shared" si="641"/>
        <v/>
      </c>
      <c r="AU324" s="1369"/>
      <c r="AW324" s="1412" t="str">
        <f t="shared" si="531"/>
        <v>Price</v>
      </c>
      <c r="AX324" s="1413" t="str">
        <f t="shared" si="531"/>
        <v>[Service]</v>
      </c>
      <c r="AY324" s="1414" t="str">
        <f t="shared" si="496"/>
        <v>[Price]</v>
      </c>
      <c r="AZ324" s="1415" t="str">
        <f t="shared" si="616"/>
        <v>-</v>
      </c>
      <c r="BA324" s="1415" t="str">
        <f t="shared" si="616"/>
        <v>-</v>
      </c>
      <c r="BB324" s="1415" t="str">
        <f t="shared" si="616"/>
        <v>-</v>
      </c>
      <c r="BC324" s="1415" t="str">
        <f t="shared" si="616"/>
        <v>-</v>
      </c>
      <c r="BD324" s="1415" t="str">
        <f t="shared" si="498"/>
        <v>-</v>
      </c>
      <c r="BE324" s="1415" t="str">
        <f t="shared" si="499"/>
        <v>-</v>
      </c>
      <c r="BF324" s="1415" t="str">
        <f t="shared" si="500"/>
        <v>-</v>
      </c>
      <c r="BG324" s="1416" t="str">
        <f t="shared" si="501"/>
        <v>-</v>
      </c>
      <c r="BH324" s="1417" t="str">
        <f t="shared" si="502"/>
        <v>-</v>
      </c>
      <c r="BI324" s="1417" t="str">
        <f t="shared" si="503"/>
        <v>-</v>
      </c>
      <c r="BJ324" s="1417" t="str">
        <f t="shared" si="504"/>
        <v>-</v>
      </c>
      <c r="BK324" s="1417" t="str">
        <f t="shared" si="505"/>
        <v>-</v>
      </c>
      <c r="BL324" s="1418" t="str">
        <f t="shared" si="506"/>
        <v>-</v>
      </c>
      <c r="BM324" s="1417" t="str">
        <f t="shared" si="507"/>
        <v>-</v>
      </c>
      <c r="BN324" s="1417" t="str">
        <f t="shared" si="508"/>
        <v>-</v>
      </c>
      <c r="BO324" s="1417" t="str">
        <f t="shared" si="509"/>
        <v>-</v>
      </c>
      <c r="BP324" s="1417" t="str">
        <f t="shared" si="510"/>
        <v>-</v>
      </c>
      <c r="BQ324" s="1419" t="str">
        <f t="shared" si="511"/>
        <v>-</v>
      </c>
      <c r="BR324" s="1378"/>
      <c r="BS324" s="1420"/>
      <c r="BT324" s="1421"/>
      <c r="BU324" s="1422"/>
      <c r="BV324" s="1423"/>
      <c r="BW324" s="1378"/>
      <c r="BX324" s="1412" t="str">
        <f t="shared" si="512"/>
        <v>Price</v>
      </c>
      <c r="BY324" s="1413" t="str">
        <f t="shared" si="557"/>
        <v>[Service]</v>
      </c>
      <c r="BZ324" s="1414" t="str">
        <f t="shared" si="558"/>
        <v>[Price]</v>
      </c>
      <c r="CA324" s="1424" t="str">
        <f>IFERROR((S324/R324-1)*(R326/R$13),"-")</f>
        <v>-</v>
      </c>
      <c r="CB324" s="1415" t="str">
        <f>IFERROR((T324/S324-1)*(S326/S$13),"-")</f>
        <v>-</v>
      </c>
      <c r="CC324" s="1415" t="str">
        <f>IFERROR((U324/T324-1)*(T326/T$13),"-")</f>
        <v>-</v>
      </c>
      <c r="CD324" s="1415" t="str">
        <f>IFERROR((V324/U324-1)*(U326/U$13),"-")</f>
        <v>-</v>
      </c>
      <c r="CE324" s="1415" t="str">
        <f t="shared" ref="CE324:CR324" si="642">IFERROR((T324/S324-1)*(S326/S$13),"-")</f>
        <v>-</v>
      </c>
      <c r="CF324" s="1415" t="str">
        <f t="shared" si="642"/>
        <v>-</v>
      </c>
      <c r="CG324" s="1415" t="str">
        <f t="shared" si="642"/>
        <v>-</v>
      </c>
      <c r="CH324" s="1425" t="str">
        <f t="shared" si="642"/>
        <v>-</v>
      </c>
      <c r="CI324" s="1417" t="str">
        <f t="shared" si="642"/>
        <v>-</v>
      </c>
      <c r="CJ324" s="1417" t="str">
        <f t="shared" si="642"/>
        <v>-</v>
      </c>
      <c r="CK324" s="1417" t="str">
        <f t="shared" si="642"/>
        <v>-</v>
      </c>
      <c r="CL324" s="1417" t="str">
        <f t="shared" si="642"/>
        <v>-</v>
      </c>
      <c r="CM324" s="1418" t="str">
        <f t="shared" si="642"/>
        <v>-</v>
      </c>
      <c r="CN324" s="1417" t="str">
        <f t="shared" si="642"/>
        <v>-</v>
      </c>
      <c r="CO324" s="1417" t="str">
        <f t="shared" si="642"/>
        <v>-</v>
      </c>
      <c r="CP324" s="1417" t="str">
        <f t="shared" si="642"/>
        <v>-</v>
      </c>
      <c r="CQ324" s="1417" t="str">
        <f t="shared" si="642"/>
        <v>-</v>
      </c>
      <c r="CR324" s="1419" t="str">
        <f t="shared" si="642"/>
        <v>-</v>
      </c>
      <c r="CS324" s="1378"/>
      <c r="CT324" s="1412" t="str">
        <f t="shared" ref="CT324:CT387" si="643">AW324</f>
        <v>Price</v>
      </c>
      <c r="CU324" s="1413" t="str">
        <f t="shared" ref="CU324:CU387" si="644">AX324</f>
        <v>[Service]</v>
      </c>
      <c r="CV324" s="1426" t="str">
        <f t="shared" ref="CV324:CV387" si="645">AY324</f>
        <v>[Price]</v>
      </c>
      <c r="CW324" s="1427" t="str">
        <f t="shared" si="514"/>
        <v>-</v>
      </c>
      <c r="CX324" s="1417" t="str">
        <f t="shared" si="515"/>
        <v>-</v>
      </c>
      <c r="CY324" s="1417" t="str">
        <f t="shared" si="516"/>
        <v>-</v>
      </c>
      <c r="CZ324" s="1418" t="str">
        <f t="shared" si="517"/>
        <v>-</v>
      </c>
      <c r="DA324" s="1417" t="str">
        <f t="shared" si="518"/>
        <v>-</v>
      </c>
      <c r="DB324" s="1417" t="str">
        <f t="shared" si="519"/>
        <v>-</v>
      </c>
      <c r="DC324" s="1417" t="str">
        <f t="shared" si="520"/>
        <v>-</v>
      </c>
      <c r="DD324" s="1417" t="str">
        <f t="shared" si="521"/>
        <v>-</v>
      </c>
      <c r="DE324" s="1419" t="str">
        <f t="shared" si="522"/>
        <v>-</v>
      </c>
      <c r="DF324" s="1378"/>
      <c r="DG324" s="1412" t="str">
        <f t="shared" si="533"/>
        <v>Price</v>
      </c>
      <c r="DH324" s="1413" t="str">
        <f t="shared" si="533"/>
        <v>[Service]</v>
      </c>
      <c r="DI324" s="1426" t="str">
        <f t="shared" si="533"/>
        <v>[Price]</v>
      </c>
      <c r="DJ324" s="1427" t="str">
        <f t="shared" si="523"/>
        <v>-</v>
      </c>
      <c r="DK324" s="1417" t="str">
        <f t="shared" si="524"/>
        <v>-</v>
      </c>
      <c r="DL324" s="1417" t="str">
        <f t="shared" si="525"/>
        <v>-</v>
      </c>
      <c r="DM324" s="1418" t="str">
        <f t="shared" si="526"/>
        <v>-</v>
      </c>
      <c r="DN324" s="1417" t="str">
        <f t="shared" si="527"/>
        <v>-</v>
      </c>
      <c r="DO324" s="1417" t="str">
        <f t="shared" si="528"/>
        <v>-</v>
      </c>
      <c r="DP324" s="1417" t="str">
        <f t="shared" si="529"/>
        <v>-</v>
      </c>
      <c r="DQ324" s="1419" t="str">
        <f t="shared" si="530"/>
        <v>-</v>
      </c>
    </row>
    <row r="325" spans="4:121">
      <c r="E325" s="742" t="s">
        <v>45</v>
      </c>
      <c r="F325" s="722" t="str">
        <f>+F324</f>
        <v>[Service]</v>
      </c>
      <c r="G325" s="723">
        <f>+G324</f>
        <v>0</v>
      </c>
      <c r="H325" s="723">
        <f>+H324</f>
        <v>0</v>
      </c>
      <c r="I325" s="724" t="str">
        <f>+I324</f>
        <v>[Price]</v>
      </c>
      <c r="J325" s="782" t="s">
        <v>322</v>
      </c>
      <c r="K325" s="725"/>
      <c r="L325" s="726"/>
      <c r="M325" s="726"/>
      <c r="N325" s="727"/>
      <c r="O325" s="786"/>
      <c r="P325" s="787"/>
      <c r="Q325" s="786"/>
      <c r="R325" s="786"/>
      <c r="S325" s="786"/>
      <c r="T325" s="786"/>
      <c r="U325" s="786"/>
      <c r="V325" s="786"/>
      <c r="W325" s="786"/>
      <c r="X325" s="787"/>
      <c r="Y325" s="786"/>
      <c r="Z325" s="786"/>
      <c r="AA325" s="786"/>
      <c r="AB325" s="786"/>
      <c r="AC325" s="787"/>
      <c r="AD325" s="786"/>
      <c r="AE325" s="786"/>
      <c r="AF325" s="786"/>
      <c r="AG325" s="788"/>
      <c r="AH325" s="823"/>
      <c r="AI325" s="745"/>
      <c r="AJ325" s="728"/>
      <c r="AK325" s="729"/>
      <c r="AL325" s="729"/>
      <c r="AM325" s="729"/>
      <c r="AN325" s="729"/>
      <c r="AO325" s="730"/>
      <c r="AP325" s="74"/>
      <c r="AQ325" s="74"/>
      <c r="AR325" s="74"/>
      <c r="AS325" s="106"/>
      <c r="AW325" s="1392" t="str">
        <f t="shared" si="531"/>
        <v>Qty</v>
      </c>
      <c r="AX325" s="1393" t="str">
        <f t="shared" si="531"/>
        <v>[Service]</v>
      </c>
      <c r="AY325" s="1394" t="str">
        <f t="shared" ref="AY325:AY388" si="646">I325</f>
        <v>[Price]</v>
      </c>
      <c r="AZ325" s="1395" t="str">
        <f t="shared" ref="AZ325:BC340" si="647">IFERROR(P325/O325-1,"-")</f>
        <v>-</v>
      </c>
      <c r="BA325" s="1395" t="str">
        <f t="shared" si="647"/>
        <v>-</v>
      </c>
      <c r="BB325" s="1395" t="str">
        <f t="shared" si="647"/>
        <v>-</v>
      </c>
      <c r="BC325" s="1395" t="str">
        <f t="shared" si="647"/>
        <v>-</v>
      </c>
      <c r="BD325" s="1395" t="str">
        <f t="shared" ref="BD325:BD388" si="648">IFERROR(T325/S325-1,"-")</f>
        <v>-</v>
      </c>
      <c r="BE325" s="1395" t="str">
        <f t="shared" ref="BE325:BE388" si="649">IFERROR(U325/T325-1,"-")</f>
        <v>-</v>
      </c>
      <c r="BF325" s="1395" t="str">
        <f t="shared" ref="BF325:BF388" si="650">IFERROR(V325/U325-1,"-")</f>
        <v>-</v>
      </c>
      <c r="BG325" s="1396" t="str">
        <f t="shared" ref="BG325:BG388" si="651">IFERROR(W325/V325-1,"-")</f>
        <v>-</v>
      </c>
      <c r="BH325" s="1395" t="str">
        <f t="shared" ref="BH325:BH388" si="652">IFERROR(X325/W325-1,"-")</f>
        <v>-</v>
      </c>
      <c r="BI325" s="1395" t="str">
        <f t="shared" ref="BI325:BI388" si="653">IFERROR(Y325/X325-1,"-")</f>
        <v>-</v>
      </c>
      <c r="BJ325" s="1395" t="str">
        <f t="shared" ref="BJ325:BJ388" si="654">IFERROR(Z325/Y325-1,"-")</f>
        <v>-</v>
      </c>
      <c r="BK325" s="1395" t="str">
        <f t="shared" ref="BK325:BK388" si="655">IFERROR(AA325/Z325-1,"-")</f>
        <v>-</v>
      </c>
      <c r="BL325" s="1397" t="str">
        <f t="shared" ref="BL325:BL388" si="656">IFERROR(AB325/AA325-1,"-")</f>
        <v>-</v>
      </c>
      <c r="BM325" s="1395" t="str">
        <f t="shared" ref="BM325:BM388" si="657">IFERROR(AC325/AB325-1,"-")</f>
        <v>-</v>
      </c>
      <c r="BN325" s="1395" t="str">
        <f t="shared" ref="BN325:BN388" si="658">IFERROR(AD325/AC325-1,"-")</f>
        <v>-</v>
      </c>
      <c r="BO325" s="1395" t="str">
        <f t="shared" ref="BO325:BO388" si="659">IFERROR(AE325/AD325-1,"-")</f>
        <v>-</v>
      </c>
      <c r="BP325" s="1395" t="str">
        <f t="shared" ref="BP325:BP388" si="660">IFERROR(AF325/AE325-1,"-")</f>
        <v>-</v>
      </c>
      <c r="BQ325" s="1398" t="str">
        <f t="shared" ref="BQ325:BQ388" si="661">IFERROR(AG325/AF325-1,"-")</f>
        <v>-</v>
      </c>
      <c r="BR325" s="1378"/>
      <c r="BS325" s="1329"/>
      <c r="BT325" s="1399"/>
      <c r="BU325" s="1331"/>
      <c r="BV325" s="1400"/>
      <c r="BW325" s="1378"/>
      <c r="BX325" s="1392" t="str">
        <f t="shared" ref="BX325:BX388" si="662">AW325</f>
        <v>Qty</v>
      </c>
      <c r="BY325" s="1393" t="str">
        <f t="shared" si="557"/>
        <v>[Service]</v>
      </c>
      <c r="BZ325" s="1394" t="str">
        <f t="shared" si="558"/>
        <v>[Price]</v>
      </c>
      <c r="CA325" s="1401" t="str">
        <f>IFERROR((S325/R325-1)*(R326/R$13),"-")</f>
        <v>-</v>
      </c>
      <c r="CB325" s="1395" t="str">
        <f>IFERROR((T325/S325-1)*(S326/S$13),"-")</f>
        <v>-</v>
      </c>
      <c r="CC325" s="1395" t="str">
        <f>IFERROR((U325/T325-1)*(T326/T$13),"-")</f>
        <v>-</v>
      </c>
      <c r="CD325" s="1395" t="str">
        <f>IFERROR((V325/U325-1)*(U326/U$13),"-")</f>
        <v>-</v>
      </c>
      <c r="CE325" s="1395" t="str">
        <f t="shared" ref="CE325:CR325" si="663">IFERROR((T325/S325-1)*(S326/S$13),"-")</f>
        <v>-</v>
      </c>
      <c r="CF325" s="1395" t="str">
        <f t="shared" si="663"/>
        <v>-</v>
      </c>
      <c r="CG325" s="1395" t="str">
        <f t="shared" si="663"/>
        <v>-</v>
      </c>
      <c r="CH325" s="1397" t="str">
        <f t="shared" si="663"/>
        <v>-</v>
      </c>
      <c r="CI325" s="1395" t="str">
        <f t="shared" si="663"/>
        <v>-</v>
      </c>
      <c r="CJ325" s="1395" t="str">
        <f t="shared" si="663"/>
        <v>-</v>
      </c>
      <c r="CK325" s="1395" t="str">
        <f t="shared" si="663"/>
        <v>-</v>
      </c>
      <c r="CL325" s="1395" t="str">
        <f t="shared" si="663"/>
        <v>-</v>
      </c>
      <c r="CM325" s="1397" t="str">
        <f t="shared" si="663"/>
        <v>-</v>
      </c>
      <c r="CN325" s="1395" t="str">
        <f t="shared" si="663"/>
        <v>-</v>
      </c>
      <c r="CO325" s="1395" t="str">
        <f t="shared" si="663"/>
        <v>-</v>
      </c>
      <c r="CP325" s="1395" t="str">
        <f t="shared" si="663"/>
        <v>-</v>
      </c>
      <c r="CQ325" s="1395" t="str">
        <f t="shared" si="663"/>
        <v>-</v>
      </c>
      <c r="CR325" s="1398" t="str">
        <f t="shared" si="663"/>
        <v>-</v>
      </c>
      <c r="CS325" s="1378"/>
      <c r="CT325" s="1392" t="str">
        <f t="shared" si="643"/>
        <v>Qty</v>
      </c>
      <c r="CU325" s="1393" t="str">
        <f t="shared" si="644"/>
        <v>[Service]</v>
      </c>
      <c r="CV325" s="1393" t="str">
        <f t="shared" si="645"/>
        <v>[Price]</v>
      </c>
      <c r="CW325" s="1401" t="str">
        <f t="shared" ref="CW325:CW388" si="664">IFERROR((Y325/$W325)^(1/CW$64)-1,"-")</f>
        <v>-</v>
      </c>
      <c r="CX325" s="1395" t="str">
        <f t="shared" ref="CX325:CX388" si="665">IFERROR((Z325/$W325)^(1/CX$64)-1,"-")</f>
        <v>-</v>
      </c>
      <c r="CY325" s="1395" t="str">
        <f t="shared" ref="CY325:CY388" si="666">IFERROR((AA325/$W325)^(1/CY$64)-1,"-")</f>
        <v>-</v>
      </c>
      <c r="CZ325" s="1397" t="str">
        <f t="shared" ref="CZ325:CZ388" si="667">IFERROR((AB325/$W325)^(1/CZ$64)-1,"-")</f>
        <v>-</v>
      </c>
      <c r="DA325" s="1395" t="str">
        <f t="shared" ref="DA325:DA388" si="668">IFERROR((AC325/$W325)^(1/DA$64)-1,"-")</f>
        <v>-</v>
      </c>
      <c r="DB325" s="1395" t="str">
        <f t="shared" ref="DB325:DB388" si="669">IFERROR((AD325/$W325)^(1/DB$64)-1,"-")</f>
        <v>-</v>
      </c>
      <c r="DC325" s="1395" t="str">
        <f t="shared" ref="DC325:DC388" si="670">IFERROR((AE325/$W325)^(1/DC$64)-1,"-")</f>
        <v>-</v>
      </c>
      <c r="DD325" s="1395" t="str">
        <f t="shared" ref="DD325:DD388" si="671">IFERROR((AF325/$W325)^(1/DD$64)-1,"-")</f>
        <v>-</v>
      </c>
      <c r="DE325" s="1398" t="str">
        <f t="shared" ref="DE325:DE388" si="672">IFERROR((AG325/$W325)^(1/DE$64)-1,"-")</f>
        <v>-</v>
      </c>
      <c r="DF325" s="1378"/>
      <c r="DG325" s="1392" t="str">
        <f t="shared" si="533"/>
        <v>Qty</v>
      </c>
      <c r="DH325" s="1393" t="str">
        <f t="shared" si="533"/>
        <v>[Service]</v>
      </c>
      <c r="DI325" s="1393" t="str">
        <f t="shared" si="533"/>
        <v>[Price]</v>
      </c>
      <c r="DJ325" s="1401" t="str">
        <f t="shared" ref="DJ325:DJ388" si="673">IFERROR((Z325/$X325)^(1/DJ$64)-1,"-")</f>
        <v>-</v>
      </c>
      <c r="DK325" s="1395" t="str">
        <f t="shared" ref="DK325:DK388" si="674">IFERROR((AA325/$X325)^(1/DK$64)-1,"-")</f>
        <v>-</v>
      </c>
      <c r="DL325" s="1395" t="str">
        <f t="shared" ref="DL325:DL388" si="675">IFERROR((AB325/$X325)^(1/DL$64)-1,"-")</f>
        <v>-</v>
      </c>
      <c r="DM325" s="1397" t="str">
        <f t="shared" ref="DM325:DM388" si="676">IFERROR((AC325/$X325)^(1/DM$64)-1,"-")</f>
        <v>-</v>
      </c>
      <c r="DN325" s="1395" t="str">
        <f t="shared" ref="DN325:DN388" si="677">IFERROR((AD325/$X325)^(1/DN$64)-1,"-")</f>
        <v>-</v>
      </c>
      <c r="DO325" s="1395" t="str">
        <f t="shared" ref="DO325:DO388" si="678">IFERROR((AE325/$X325)^(1/DO$64)-1,"-")</f>
        <v>-</v>
      </c>
      <c r="DP325" s="1395" t="str">
        <f t="shared" ref="DP325:DP388" si="679">IFERROR((AF325/$X325)^(1/DP$64)-1,"-")</f>
        <v>-</v>
      </c>
      <c r="DQ325" s="1398" t="str">
        <f t="shared" ref="DQ325:DQ388" si="680">IFERROR((AG325/$X325)^(1/DQ$64)-1,"-")</f>
        <v>-</v>
      </c>
    </row>
    <row r="326" spans="4:121" ht="12.75" thickBot="1">
      <c r="E326" s="743" t="s">
        <v>46</v>
      </c>
      <c r="F326" s="732" t="str">
        <f>+F324</f>
        <v>[Service]</v>
      </c>
      <c r="G326" s="733">
        <f>+G324</f>
        <v>0</v>
      </c>
      <c r="H326" s="733">
        <f>+H324</f>
        <v>0</v>
      </c>
      <c r="I326" s="734" t="str">
        <f>+I324</f>
        <v>[Price]</v>
      </c>
      <c r="J326" s="735" t="s">
        <v>344</v>
      </c>
      <c r="K326" s="736">
        <f t="shared" ref="K326:AG326" si="681">K324*K325/10^6</f>
        <v>0</v>
      </c>
      <c r="L326" s="737">
        <f t="shared" si="681"/>
        <v>0</v>
      </c>
      <c r="M326" s="737">
        <f t="shared" si="681"/>
        <v>0</v>
      </c>
      <c r="N326" s="738">
        <f t="shared" si="681"/>
        <v>0</v>
      </c>
      <c r="O326" s="737">
        <f t="shared" si="681"/>
        <v>0</v>
      </c>
      <c r="P326" s="738">
        <f t="shared" si="681"/>
        <v>0</v>
      </c>
      <c r="Q326" s="737">
        <f t="shared" si="681"/>
        <v>0</v>
      </c>
      <c r="R326" s="737">
        <f t="shared" si="681"/>
        <v>0</v>
      </c>
      <c r="S326" s="737">
        <f t="shared" si="681"/>
        <v>0</v>
      </c>
      <c r="T326" s="737">
        <f t="shared" si="681"/>
        <v>0</v>
      </c>
      <c r="U326" s="737">
        <f t="shared" si="681"/>
        <v>0</v>
      </c>
      <c r="V326" s="737">
        <f t="shared" si="681"/>
        <v>0</v>
      </c>
      <c r="W326" s="737">
        <f t="shared" si="681"/>
        <v>0</v>
      </c>
      <c r="X326" s="738">
        <f t="shared" si="681"/>
        <v>0</v>
      </c>
      <c r="Y326" s="737">
        <f t="shared" si="681"/>
        <v>0</v>
      </c>
      <c r="Z326" s="737">
        <f t="shared" si="681"/>
        <v>0</v>
      </c>
      <c r="AA326" s="737">
        <f t="shared" si="681"/>
        <v>0</v>
      </c>
      <c r="AB326" s="737">
        <f t="shared" si="681"/>
        <v>0</v>
      </c>
      <c r="AC326" s="738">
        <f t="shared" si="681"/>
        <v>0</v>
      </c>
      <c r="AD326" s="737">
        <f t="shared" si="681"/>
        <v>0</v>
      </c>
      <c r="AE326" s="737">
        <f t="shared" si="681"/>
        <v>0</v>
      </c>
      <c r="AF326" s="737">
        <f t="shared" si="681"/>
        <v>0</v>
      </c>
      <c r="AG326" s="739">
        <f t="shared" si="681"/>
        <v>0</v>
      </c>
      <c r="AH326" s="823"/>
      <c r="AI326" s="745"/>
      <c r="AJ326" s="741"/>
      <c r="AK326" s="729"/>
      <c r="AL326" s="729"/>
      <c r="AM326" s="729"/>
      <c r="AN326" s="729"/>
      <c r="AO326" s="730"/>
      <c r="AP326" s="74"/>
      <c r="AQ326" s="74"/>
      <c r="AR326" s="74"/>
      <c r="AS326" s="106"/>
      <c r="AW326" s="1428" t="str">
        <f t="shared" ref="AW326:AX389" si="682">E326</f>
        <v>Rev</v>
      </c>
      <c r="AX326" s="1429" t="str">
        <f t="shared" si="682"/>
        <v>[Service]</v>
      </c>
      <c r="AY326" s="1430" t="str">
        <f t="shared" si="646"/>
        <v>[Price]</v>
      </c>
      <c r="AZ326" s="1431" t="str">
        <f t="shared" si="647"/>
        <v>-</v>
      </c>
      <c r="BA326" s="1431" t="str">
        <f t="shared" si="647"/>
        <v>-</v>
      </c>
      <c r="BB326" s="1431" t="str">
        <f t="shared" si="647"/>
        <v>-</v>
      </c>
      <c r="BC326" s="1431" t="str">
        <f t="shared" si="647"/>
        <v>-</v>
      </c>
      <c r="BD326" s="1431" t="str">
        <f t="shared" si="648"/>
        <v>-</v>
      </c>
      <c r="BE326" s="1431" t="str">
        <f t="shared" si="649"/>
        <v>-</v>
      </c>
      <c r="BF326" s="1431" t="str">
        <f t="shared" si="650"/>
        <v>-</v>
      </c>
      <c r="BG326" s="1432" t="str">
        <f t="shared" si="651"/>
        <v>-</v>
      </c>
      <c r="BH326" s="1431" t="str">
        <f t="shared" si="652"/>
        <v>-</v>
      </c>
      <c r="BI326" s="1431" t="str">
        <f t="shared" si="653"/>
        <v>-</v>
      </c>
      <c r="BJ326" s="1431" t="str">
        <f t="shared" si="654"/>
        <v>-</v>
      </c>
      <c r="BK326" s="1431" t="str">
        <f t="shared" si="655"/>
        <v>-</v>
      </c>
      <c r="BL326" s="1433" t="str">
        <f t="shared" si="656"/>
        <v>-</v>
      </c>
      <c r="BM326" s="1431" t="str">
        <f t="shared" si="657"/>
        <v>-</v>
      </c>
      <c r="BN326" s="1431" t="str">
        <f t="shared" si="658"/>
        <v>-</v>
      </c>
      <c r="BO326" s="1431" t="str">
        <f t="shared" si="659"/>
        <v>-</v>
      </c>
      <c r="BP326" s="1431" t="str">
        <f t="shared" si="660"/>
        <v>-</v>
      </c>
      <c r="BQ326" s="1434" t="str">
        <f t="shared" si="661"/>
        <v>-</v>
      </c>
      <c r="BR326" s="1378"/>
      <c r="BS326" s="1407"/>
      <c r="BT326" s="1408"/>
      <c r="BU326" s="1409"/>
      <c r="BV326" s="1410"/>
      <c r="BW326" s="1378"/>
      <c r="BX326" s="1428" t="str">
        <f t="shared" si="662"/>
        <v>Rev</v>
      </c>
      <c r="BY326" s="1429" t="str">
        <f t="shared" si="557"/>
        <v>[Service]</v>
      </c>
      <c r="BZ326" s="1430" t="str">
        <f t="shared" si="558"/>
        <v>[Price]</v>
      </c>
      <c r="CA326" s="1435" t="str">
        <f>IFERROR((S326/R326-1)*(R326/R$13),"-")</f>
        <v>-</v>
      </c>
      <c r="CB326" s="1431" t="str">
        <f>IFERROR((T326/S326-1)*(S326/S$13),"-")</f>
        <v>-</v>
      </c>
      <c r="CC326" s="1431" t="str">
        <f>IFERROR((U326/T326-1)*(T326/T$13),"-")</f>
        <v>-</v>
      </c>
      <c r="CD326" s="1431" t="str">
        <f>IFERROR((V326/U326-1)*(U326/U$13),"-")</f>
        <v>-</v>
      </c>
      <c r="CE326" s="1431" t="str">
        <f t="shared" ref="CE326:CR326" si="683">IFERROR((T326/S326-1)*(S326/S$13),"-")</f>
        <v>-</v>
      </c>
      <c r="CF326" s="1431" t="str">
        <f t="shared" si="683"/>
        <v>-</v>
      </c>
      <c r="CG326" s="1431" t="str">
        <f t="shared" si="683"/>
        <v>-</v>
      </c>
      <c r="CH326" s="1433" t="str">
        <f t="shared" si="683"/>
        <v>-</v>
      </c>
      <c r="CI326" s="1431" t="str">
        <f t="shared" si="683"/>
        <v>-</v>
      </c>
      <c r="CJ326" s="1431" t="str">
        <f t="shared" si="683"/>
        <v>-</v>
      </c>
      <c r="CK326" s="1431" t="str">
        <f t="shared" si="683"/>
        <v>-</v>
      </c>
      <c r="CL326" s="1431" t="str">
        <f t="shared" si="683"/>
        <v>-</v>
      </c>
      <c r="CM326" s="1433" t="str">
        <f t="shared" si="683"/>
        <v>-</v>
      </c>
      <c r="CN326" s="1431" t="str">
        <f t="shared" si="683"/>
        <v>-</v>
      </c>
      <c r="CO326" s="1431" t="str">
        <f t="shared" si="683"/>
        <v>-</v>
      </c>
      <c r="CP326" s="1431" t="str">
        <f t="shared" si="683"/>
        <v>-</v>
      </c>
      <c r="CQ326" s="1431" t="str">
        <f t="shared" si="683"/>
        <v>-</v>
      </c>
      <c r="CR326" s="1434" t="str">
        <f t="shared" si="683"/>
        <v>-</v>
      </c>
      <c r="CS326" s="1378"/>
      <c r="CT326" s="1428" t="str">
        <f t="shared" si="643"/>
        <v>Rev</v>
      </c>
      <c r="CU326" s="1429" t="str">
        <f t="shared" si="644"/>
        <v>[Service]</v>
      </c>
      <c r="CV326" s="1429" t="str">
        <f t="shared" si="645"/>
        <v>[Price]</v>
      </c>
      <c r="CW326" s="1435" t="str">
        <f t="shared" si="664"/>
        <v>-</v>
      </c>
      <c r="CX326" s="1431" t="str">
        <f t="shared" si="665"/>
        <v>-</v>
      </c>
      <c r="CY326" s="1431" t="str">
        <f t="shared" si="666"/>
        <v>-</v>
      </c>
      <c r="CZ326" s="1433" t="str">
        <f t="shared" si="667"/>
        <v>-</v>
      </c>
      <c r="DA326" s="1431" t="str">
        <f t="shared" si="668"/>
        <v>-</v>
      </c>
      <c r="DB326" s="1431" t="str">
        <f t="shared" si="669"/>
        <v>-</v>
      </c>
      <c r="DC326" s="1431" t="str">
        <f t="shared" si="670"/>
        <v>-</v>
      </c>
      <c r="DD326" s="1431" t="str">
        <f t="shared" si="671"/>
        <v>-</v>
      </c>
      <c r="DE326" s="1434" t="str">
        <f t="shared" si="672"/>
        <v>-</v>
      </c>
      <c r="DF326" s="1378"/>
      <c r="DG326" s="1428" t="str">
        <f t="shared" ref="DG326:DI389" si="684">CT326</f>
        <v>Rev</v>
      </c>
      <c r="DH326" s="1429" t="str">
        <f t="shared" si="684"/>
        <v>[Service]</v>
      </c>
      <c r="DI326" s="1429" t="str">
        <f t="shared" si="684"/>
        <v>[Price]</v>
      </c>
      <c r="DJ326" s="1435" t="str">
        <f t="shared" si="673"/>
        <v>-</v>
      </c>
      <c r="DK326" s="1431" t="str">
        <f t="shared" si="674"/>
        <v>-</v>
      </c>
      <c r="DL326" s="1431" t="str">
        <f t="shared" si="675"/>
        <v>-</v>
      </c>
      <c r="DM326" s="1433" t="str">
        <f t="shared" si="676"/>
        <v>-</v>
      </c>
      <c r="DN326" s="1431" t="str">
        <f t="shared" si="677"/>
        <v>-</v>
      </c>
      <c r="DO326" s="1431" t="str">
        <f t="shared" si="678"/>
        <v>-</v>
      </c>
      <c r="DP326" s="1431" t="str">
        <f t="shared" si="679"/>
        <v>-</v>
      </c>
      <c r="DQ326" s="1434" t="str">
        <f t="shared" si="680"/>
        <v>-</v>
      </c>
    </row>
    <row r="327" spans="4:121">
      <c r="D327" s="70">
        <f>D324+1</f>
        <v>87</v>
      </c>
      <c r="E327" s="713" t="s">
        <v>44</v>
      </c>
      <c r="F327" s="789" t="s">
        <v>27</v>
      </c>
      <c r="G327" s="789"/>
      <c r="H327" s="789"/>
      <c r="I327" s="781" t="s">
        <v>318</v>
      </c>
      <c r="J327" s="781" t="s">
        <v>345</v>
      </c>
      <c r="K327" s="714"/>
      <c r="L327" s="715"/>
      <c r="M327" s="715"/>
      <c r="N327" s="716"/>
      <c r="O327" s="783"/>
      <c r="P327" s="784"/>
      <c r="Q327" s="783"/>
      <c r="R327" s="783"/>
      <c r="S327" s="783"/>
      <c r="T327" s="783"/>
      <c r="U327" s="783"/>
      <c r="V327" s="783"/>
      <c r="W327" s="783"/>
      <c r="X327" s="784"/>
      <c r="Y327" s="783"/>
      <c r="Z327" s="783"/>
      <c r="AA327" s="783"/>
      <c r="AB327" s="783"/>
      <c r="AC327" s="784"/>
      <c r="AD327" s="783"/>
      <c r="AE327" s="783"/>
      <c r="AF327" s="783"/>
      <c r="AG327" s="785"/>
      <c r="AI327" s="745"/>
      <c r="AJ327" s="717" t="str">
        <f t="shared" ref="AJ327:AS327" si="685">IFERROR((X327-W327)/W327,"")</f>
        <v/>
      </c>
      <c r="AK327" s="718" t="str">
        <f t="shared" si="685"/>
        <v/>
      </c>
      <c r="AL327" s="718" t="str">
        <f t="shared" si="685"/>
        <v/>
      </c>
      <c r="AM327" s="718" t="str">
        <f t="shared" si="685"/>
        <v/>
      </c>
      <c r="AN327" s="718" t="str">
        <f t="shared" si="685"/>
        <v/>
      </c>
      <c r="AO327" s="719" t="str">
        <f t="shared" si="685"/>
        <v/>
      </c>
      <c r="AP327" s="494" t="str">
        <f t="shared" si="685"/>
        <v/>
      </c>
      <c r="AQ327" s="494" t="str">
        <f t="shared" si="685"/>
        <v/>
      </c>
      <c r="AR327" s="494" t="str">
        <f t="shared" si="685"/>
        <v/>
      </c>
      <c r="AS327" s="720" t="str">
        <f t="shared" si="685"/>
        <v/>
      </c>
      <c r="AU327" s="1369"/>
      <c r="AW327" s="1412" t="str">
        <f t="shared" si="682"/>
        <v>Price</v>
      </c>
      <c r="AX327" s="1413" t="str">
        <f t="shared" si="682"/>
        <v>[Service]</v>
      </c>
      <c r="AY327" s="1414" t="str">
        <f t="shared" si="646"/>
        <v>[Price]</v>
      </c>
      <c r="AZ327" s="1415" t="str">
        <f t="shared" si="647"/>
        <v>-</v>
      </c>
      <c r="BA327" s="1415" t="str">
        <f t="shared" si="647"/>
        <v>-</v>
      </c>
      <c r="BB327" s="1415" t="str">
        <f t="shared" si="647"/>
        <v>-</v>
      </c>
      <c r="BC327" s="1415" t="str">
        <f t="shared" si="647"/>
        <v>-</v>
      </c>
      <c r="BD327" s="1415" t="str">
        <f t="shared" si="648"/>
        <v>-</v>
      </c>
      <c r="BE327" s="1415" t="str">
        <f t="shared" si="649"/>
        <v>-</v>
      </c>
      <c r="BF327" s="1415" t="str">
        <f t="shared" si="650"/>
        <v>-</v>
      </c>
      <c r="BG327" s="1416" t="str">
        <f t="shared" si="651"/>
        <v>-</v>
      </c>
      <c r="BH327" s="1417" t="str">
        <f t="shared" si="652"/>
        <v>-</v>
      </c>
      <c r="BI327" s="1417" t="str">
        <f t="shared" si="653"/>
        <v>-</v>
      </c>
      <c r="BJ327" s="1417" t="str">
        <f t="shared" si="654"/>
        <v>-</v>
      </c>
      <c r="BK327" s="1417" t="str">
        <f t="shared" si="655"/>
        <v>-</v>
      </c>
      <c r="BL327" s="1418" t="str">
        <f t="shared" si="656"/>
        <v>-</v>
      </c>
      <c r="BM327" s="1417" t="str">
        <f t="shared" si="657"/>
        <v>-</v>
      </c>
      <c r="BN327" s="1417" t="str">
        <f t="shared" si="658"/>
        <v>-</v>
      </c>
      <c r="BO327" s="1417" t="str">
        <f t="shared" si="659"/>
        <v>-</v>
      </c>
      <c r="BP327" s="1417" t="str">
        <f t="shared" si="660"/>
        <v>-</v>
      </c>
      <c r="BQ327" s="1419" t="str">
        <f t="shared" si="661"/>
        <v>-</v>
      </c>
      <c r="BR327" s="1378"/>
      <c r="BS327" s="1420"/>
      <c r="BT327" s="1421"/>
      <c r="BU327" s="1422"/>
      <c r="BV327" s="1423"/>
      <c r="BW327" s="1378"/>
      <c r="BX327" s="1412" t="str">
        <f t="shared" si="662"/>
        <v>Price</v>
      </c>
      <c r="BY327" s="1413" t="str">
        <f t="shared" si="557"/>
        <v>[Service]</v>
      </c>
      <c r="BZ327" s="1414" t="str">
        <f t="shared" si="558"/>
        <v>[Price]</v>
      </c>
      <c r="CA327" s="1424" t="str">
        <f>IFERROR((S327/R327-1)*(R329/R$13),"-")</f>
        <v>-</v>
      </c>
      <c r="CB327" s="1415" t="str">
        <f>IFERROR((T327/S327-1)*(S329/S$13),"-")</f>
        <v>-</v>
      </c>
      <c r="CC327" s="1415" t="str">
        <f>IFERROR((U327/T327-1)*(T329/T$13),"-")</f>
        <v>-</v>
      </c>
      <c r="CD327" s="1415" t="str">
        <f>IFERROR((V327/U327-1)*(U329/U$13),"-")</f>
        <v>-</v>
      </c>
      <c r="CE327" s="1415" t="str">
        <f t="shared" ref="CE327:CR327" si="686">IFERROR((T327/S327-1)*(S329/S$13),"-")</f>
        <v>-</v>
      </c>
      <c r="CF327" s="1415" t="str">
        <f t="shared" si="686"/>
        <v>-</v>
      </c>
      <c r="CG327" s="1415" t="str">
        <f t="shared" si="686"/>
        <v>-</v>
      </c>
      <c r="CH327" s="1425" t="str">
        <f t="shared" si="686"/>
        <v>-</v>
      </c>
      <c r="CI327" s="1417" t="str">
        <f t="shared" si="686"/>
        <v>-</v>
      </c>
      <c r="CJ327" s="1417" t="str">
        <f t="shared" si="686"/>
        <v>-</v>
      </c>
      <c r="CK327" s="1417" t="str">
        <f t="shared" si="686"/>
        <v>-</v>
      </c>
      <c r="CL327" s="1417" t="str">
        <f t="shared" si="686"/>
        <v>-</v>
      </c>
      <c r="CM327" s="1418" t="str">
        <f t="shared" si="686"/>
        <v>-</v>
      </c>
      <c r="CN327" s="1417" t="str">
        <f t="shared" si="686"/>
        <v>-</v>
      </c>
      <c r="CO327" s="1417" t="str">
        <f t="shared" si="686"/>
        <v>-</v>
      </c>
      <c r="CP327" s="1417" t="str">
        <f t="shared" si="686"/>
        <v>-</v>
      </c>
      <c r="CQ327" s="1417" t="str">
        <f t="shared" si="686"/>
        <v>-</v>
      </c>
      <c r="CR327" s="1419" t="str">
        <f t="shared" si="686"/>
        <v>-</v>
      </c>
      <c r="CS327" s="1378"/>
      <c r="CT327" s="1412" t="str">
        <f t="shared" si="643"/>
        <v>Price</v>
      </c>
      <c r="CU327" s="1413" t="str">
        <f t="shared" si="644"/>
        <v>[Service]</v>
      </c>
      <c r="CV327" s="1426" t="str">
        <f t="shared" si="645"/>
        <v>[Price]</v>
      </c>
      <c r="CW327" s="1427" t="str">
        <f t="shared" si="664"/>
        <v>-</v>
      </c>
      <c r="CX327" s="1417" t="str">
        <f t="shared" si="665"/>
        <v>-</v>
      </c>
      <c r="CY327" s="1417" t="str">
        <f t="shared" si="666"/>
        <v>-</v>
      </c>
      <c r="CZ327" s="1418" t="str">
        <f t="shared" si="667"/>
        <v>-</v>
      </c>
      <c r="DA327" s="1417" t="str">
        <f t="shared" si="668"/>
        <v>-</v>
      </c>
      <c r="DB327" s="1417" t="str">
        <f t="shared" si="669"/>
        <v>-</v>
      </c>
      <c r="DC327" s="1417" t="str">
        <f t="shared" si="670"/>
        <v>-</v>
      </c>
      <c r="DD327" s="1417" t="str">
        <f t="shared" si="671"/>
        <v>-</v>
      </c>
      <c r="DE327" s="1419" t="str">
        <f t="shared" si="672"/>
        <v>-</v>
      </c>
      <c r="DF327" s="1378"/>
      <c r="DG327" s="1412" t="str">
        <f t="shared" si="684"/>
        <v>Price</v>
      </c>
      <c r="DH327" s="1413" t="str">
        <f t="shared" si="684"/>
        <v>[Service]</v>
      </c>
      <c r="DI327" s="1426" t="str">
        <f t="shared" si="684"/>
        <v>[Price]</v>
      </c>
      <c r="DJ327" s="1427" t="str">
        <f t="shared" si="673"/>
        <v>-</v>
      </c>
      <c r="DK327" s="1417" t="str">
        <f t="shared" si="674"/>
        <v>-</v>
      </c>
      <c r="DL327" s="1417" t="str">
        <f t="shared" si="675"/>
        <v>-</v>
      </c>
      <c r="DM327" s="1418" t="str">
        <f t="shared" si="676"/>
        <v>-</v>
      </c>
      <c r="DN327" s="1417" t="str">
        <f t="shared" si="677"/>
        <v>-</v>
      </c>
      <c r="DO327" s="1417" t="str">
        <f t="shared" si="678"/>
        <v>-</v>
      </c>
      <c r="DP327" s="1417" t="str">
        <f t="shared" si="679"/>
        <v>-</v>
      </c>
      <c r="DQ327" s="1419" t="str">
        <f t="shared" si="680"/>
        <v>-</v>
      </c>
    </row>
    <row r="328" spans="4:121">
      <c r="E328" s="742" t="s">
        <v>45</v>
      </c>
      <c r="F328" s="722" t="str">
        <f>+F327</f>
        <v>[Service]</v>
      </c>
      <c r="G328" s="723">
        <f>+G327</f>
        <v>0</v>
      </c>
      <c r="H328" s="723">
        <f>+H327</f>
        <v>0</v>
      </c>
      <c r="I328" s="724" t="str">
        <f>+I327</f>
        <v>[Price]</v>
      </c>
      <c r="J328" s="782" t="s">
        <v>322</v>
      </c>
      <c r="K328" s="725"/>
      <c r="L328" s="726"/>
      <c r="M328" s="726"/>
      <c r="N328" s="727"/>
      <c r="O328" s="786"/>
      <c r="P328" s="787"/>
      <c r="Q328" s="786"/>
      <c r="R328" s="786"/>
      <c r="S328" s="786"/>
      <c r="T328" s="786"/>
      <c r="U328" s="786"/>
      <c r="V328" s="786"/>
      <c r="W328" s="786"/>
      <c r="X328" s="787"/>
      <c r="Y328" s="786"/>
      <c r="Z328" s="786"/>
      <c r="AA328" s="786"/>
      <c r="AB328" s="786"/>
      <c r="AC328" s="787"/>
      <c r="AD328" s="786"/>
      <c r="AE328" s="786"/>
      <c r="AF328" s="786"/>
      <c r="AG328" s="788"/>
      <c r="AH328" s="823"/>
      <c r="AI328" s="745"/>
      <c r="AJ328" s="728"/>
      <c r="AK328" s="729"/>
      <c r="AL328" s="729"/>
      <c r="AM328" s="729"/>
      <c r="AN328" s="729"/>
      <c r="AO328" s="730"/>
      <c r="AP328" s="74"/>
      <c r="AQ328" s="74"/>
      <c r="AR328" s="74"/>
      <c r="AS328" s="106"/>
      <c r="AW328" s="1392" t="str">
        <f t="shared" si="682"/>
        <v>Qty</v>
      </c>
      <c r="AX328" s="1393" t="str">
        <f t="shared" si="682"/>
        <v>[Service]</v>
      </c>
      <c r="AY328" s="1394" t="str">
        <f t="shared" si="646"/>
        <v>[Price]</v>
      </c>
      <c r="AZ328" s="1395" t="str">
        <f t="shared" si="647"/>
        <v>-</v>
      </c>
      <c r="BA328" s="1395" t="str">
        <f t="shared" si="647"/>
        <v>-</v>
      </c>
      <c r="BB328" s="1395" t="str">
        <f t="shared" si="647"/>
        <v>-</v>
      </c>
      <c r="BC328" s="1395" t="str">
        <f t="shared" si="647"/>
        <v>-</v>
      </c>
      <c r="BD328" s="1395" t="str">
        <f t="shared" si="648"/>
        <v>-</v>
      </c>
      <c r="BE328" s="1395" t="str">
        <f t="shared" si="649"/>
        <v>-</v>
      </c>
      <c r="BF328" s="1395" t="str">
        <f t="shared" si="650"/>
        <v>-</v>
      </c>
      <c r="BG328" s="1396" t="str">
        <f t="shared" si="651"/>
        <v>-</v>
      </c>
      <c r="BH328" s="1395" t="str">
        <f t="shared" si="652"/>
        <v>-</v>
      </c>
      <c r="BI328" s="1395" t="str">
        <f t="shared" si="653"/>
        <v>-</v>
      </c>
      <c r="BJ328" s="1395" t="str">
        <f t="shared" si="654"/>
        <v>-</v>
      </c>
      <c r="BK328" s="1395" t="str">
        <f t="shared" si="655"/>
        <v>-</v>
      </c>
      <c r="BL328" s="1397" t="str">
        <f t="shared" si="656"/>
        <v>-</v>
      </c>
      <c r="BM328" s="1395" t="str">
        <f t="shared" si="657"/>
        <v>-</v>
      </c>
      <c r="BN328" s="1395" t="str">
        <f t="shared" si="658"/>
        <v>-</v>
      </c>
      <c r="BO328" s="1395" t="str">
        <f t="shared" si="659"/>
        <v>-</v>
      </c>
      <c r="BP328" s="1395" t="str">
        <f t="shared" si="660"/>
        <v>-</v>
      </c>
      <c r="BQ328" s="1398" t="str">
        <f t="shared" si="661"/>
        <v>-</v>
      </c>
      <c r="BR328" s="1378"/>
      <c r="BS328" s="1329"/>
      <c r="BT328" s="1399"/>
      <c r="BU328" s="1331"/>
      <c r="BV328" s="1400"/>
      <c r="BW328" s="1378"/>
      <c r="BX328" s="1392" t="str">
        <f t="shared" si="662"/>
        <v>Qty</v>
      </c>
      <c r="BY328" s="1393" t="str">
        <f t="shared" si="557"/>
        <v>[Service]</v>
      </c>
      <c r="BZ328" s="1394" t="str">
        <f t="shared" si="558"/>
        <v>[Price]</v>
      </c>
      <c r="CA328" s="1401" t="str">
        <f>IFERROR((S328/R328-1)*(R329/R$13),"-")</f>
        <v>-</v>
      </c>
      <c r="CB328" s="1395" t="str">
        <f>IFERROR((T328/S328-1)*(S329/S$13),"-")</f>
        <v>-</v>
      </c>
      <c r="CC328" s="1395" t="str">
        <f>IFERROR((U328/T328-1)*(T329/T$13),"-")</f>
        <v>-</v>
      </c>
      <c r="CD328" s="1395" t="str">
        <f>IFERROR((V328/U328-1)*(U329/U$13),"-")</f>
        <v>-</v>
      </c>
      <c r="CE328" s="1395" t="str">
        <f t="shared" ref="CE328:CR328" si="687">IFERROR((T328/S328-1)*(S329/S$13),"-")</f>
        <v>-</v>
      </c>
      <c r="CF328" s="1395" t="str">
        <f t="shared" si="687"/>
        <v>-</v>
      </c>
      <c r="CG328" s="1395" t="str">
        <f t="shared" si="687"/>
        <v>-</v>
      </c>
      <c r="CH328" s="1397" t="str">
        <f t="shared" si="687"/>
        <v>-</v>
      </c>
      <c r="CI328" s="1395" t="str">
        <f t="shared" si="687"/>
        <v>-</v>
      </c>
      <c r="CJ328" s="1395" t="str">
        <f t="shared" si="687"/>
        <v>-</v>
      </c>
      <c r="CK328" s="1395" t="str">
        <f t="shared" si="687"/>
        <v>-</v>
      </c>
      <c r="CL328" s="1395" t="str">
        <f t="shared" si="687"/>
        <v>-</v>
      </c>
      <c r="CM328" s="1397" t="str">
        <f t="shared" si="687"/>
        <v>-</v>
      </c>
      <c r="CN328" s="1395" t="str">
        <f t="shared" si="687"/>
        <v>-</v>
      </c>
      <c r="CO328" s="1395" t="str">
        <f t="shared" si="687"/>
        <v>-</v>
      </c>
      <c r="CP328" s="1395" t="str">
        <f t="shared" si="687"/>
        <v>-</v>
      </c>
      <c r="CQ328" s="1395" t="str">
        <f t="shared" si="687"/>
        <v>-</v>
      </c>
      <c r="CR328" s="1398" t="str">
        <f t="shared" si="687"/>
        <v>-</v>
      </c>
      <c r="CS328" s="1378"/>
      <c r="CT328" s="1392" t="str">
        <f t="shared" si="643"/>
        <v>Qty</v>
      </c>
      <c r="CU328" s="1393" t="str">
        <f t="shared" si="644"/>
        <v>[Service]</v>
      </c>
      <c r="CV328" s="1393" t="str">
        <f t="shared" si="645"/>
        <v>[Price]</v>
      </c>
      <c r="CW328" s="1401" t="str">
        <f t="shared" si="664"/>
        <v>-</v>
      </c>
      <c r="CX328" s="1395" t="str">
        <f t="shared" si="665"/>
        <v>-</v>
      </c>
      <c r="CY328" s="1395" t="str">
        <f t="shared" si="666"/>
        <v>-</v>
      </c>
      <c r="CZ328" s="1397" t="str">
        <f t="shared" si="667"/>
        <v>-</v>
      </c>
      <c r="DA328" s="1395" t="str">
        <f t="shared" si="668"/>
        <v>-</v>
      </c>
      <c r="DB328" s="1395" t="str">
        <f t="shared" si="669"/>
        <v>-</v>
      </c>
      <c r="DC328" s="1395" t="str">
        <f t="shared" si="670"/>
        <v>-</v>
      </c>
      <c r="DD328" s="1395" t="str">
        <f t="shared" si="671"/>
        <v>-</v>
      </c>
      <c r="DE328" s="1398" t="str">
        <f t="shared" si="672"/>
        <v>-</v>
      </c>
      <c r="DF328" s="1378"/>
      <c r="DG328" s="1392" t="str">
        <f t="shared" si="684"/>
        <v>Qty</v>
      </c>
      <c r="DH328" s="1393" t="str">
        <f t="shared" si="684"/>
        <v>[Service]</v>
      </c>
      <c r="DI328" s="1393" t="str">
        <f t="shared" si="684"/>
        <v>[Price]</v>
      </c>
      <c r="DJ328" s="1401" t="str">
        <f t="shared" si="673"/>
        <v>-</v>
      </c>
      <c r="DK328" s="1395" t="str">
        <f t="shared" si="674"/>
        <v>-</v>
      </c>
      <c r="DL328" s="1395" t="str">
        <f t="shared" si="675"/>
        <v>-</v>
      </c>
      <c r="DM328" s="1397" t="str">
        <f t="shared" si="676"/>
        <v>-</v>
      </c>
      <c r="DN328" s="1395" t="str">
        <f t="shared" si="677"/>
        <v>-</v>
      </c>
      <c r="DO328" s="1395" t="str">
        <f t="shared" si="678"/>
        <v>-</v>
      </c>
      <c r="DP328" s="1395" t="str">
        <f t="shared" si="679"/>
        <v>-</v>
      </c>
      <c r="DQ328" s="1398" t="str">
        <f t="shared" si="680"/>
        <v>-</v>
      </c>
    </row>
    <row r="329" spans="4:121" ht="12.75" thickBot="1">
      <c r="E329" s="743" t="s">
        <v>46</v>
      </c>
      <c r="F329" s="732" t="str">
        <f>+F327</f>
        <v>[Service]</v>
      </c>
      <c r="G329" s="733">
        <f>+G327</f>
        <v>0</v>
      </c>
      <c r="H329" s="733">
        <f>+H327</f>
        <v>0</v>
      </c>
      <c r="I329" s="734" t="str">
        <f>+I327</f>
        <v>[Price]</v>
      </c>
      <c r="J329" s="735" t="s">
        <v>344</v>
      </c>
      <c r="K329" s="736">
        <f t="shared" ref="K329:AG329" si="688">K327*K328/10^6</f>
        <v>0</v>
      </c>
      <c r="L329" s="737">
        <f t="shared" si="688"/>
        <v>0</v>
      </c>
      <c r="M329" s="737">
        <f t="shared" si="688"/>
        <v>0</v>
      </c>
      <c r="N329" s="738">
        <f t="shared" si="688"/>
        <v>0</v>
      </c>
      <c r="O329" s="737">
        <f t="shared" si="688"/>
        <v>0</v>
      </c>
      <c r="P329" s="738">
        <f t="shared" si="688"/>
        <v>0</v>
      </c>
      <c r="Q329" s="737">
        <f t="shared" si="688"/>
        <v>0</v>
      </c>
      <c r="R329" s="737">
        <f t="shared" si="688"/>
        <v>0</v>
      </c>
      <c r="S329" s="737">
        <f t="shared" si="688"/>
        <v>0</v>
      </c>
      <c r="T329" s="737">
        <f t="shared" si="688"/>
        <v>0</v>
      </c>
      <c r="U329" s="737">
        <f t="shared" si="688"/>
        <v>0</v>
      </c>
      <c r="V329" s="737">
        <f t="shared" si="688"/>
        <v>0</v>
      </c>
      <c r="W329" s="737">
        <f t="shared" si="688"/>
        <v>0</v>
      </c>
      <c r="X329" s="738">
        <f t="shared" si="688"/>
        <v>0</v>
      </c>
      <c r="Y329" s="737">
        <f t="shared" si="688"/>
        <v>0</v>
      </c>
      <c r="Z329" s="737">
        <f t="shared" si="688"/>
        <v>0</v>
      </c>
      <c r="AA329" s="737">
        <f t="shared" si="688"/>
        <v>0</v>
      </c>
      <c r="AB329" s="737">
        <f t="shared" si="688"/>
        <v>0</v>
      </c>
      <c r="AC329" s="738">
        <f t="shared" si="688"/>
        <v>0</v>
      </c>
      <c r="AD329" s="737">
        <f t="shared" si="688"/>
        <v>0</v>
      </c>
      <c r="AE329" s="737">
        <f t="shared" si="688"/>
        <v>0</v>
      </c>
      <c r="AF329" s="737">
        <f t="shared" si="688"/>
        <v>0</v>
      </c>
      <c r="AG329" s="739">
        <f t="shared" si="688"/>
        <v>0</v>
      </c>
      <c r="AH329" s="823"/>
      <c r="AI329" s="745"/>
      <c r="AJ329" s="741"/>
      <c r="AK329" s="729"/>
      <c r="AL329" s="729"/>
      <c r="AM329" s="729"/>
      <c r="AN329" s="729"/>
      <c r="AO329" s="730"/>
      <c r="AP329" s="74"/>
      <c r="AQ329" s="74"/>
      <c r="AR329" s="74"/>
      <c r="AS329" s="106"/>
      <c r="AW329" s="1428" t="str">
        <f t="shared" si="682"/>
        <v>Rev</v>
      </c>
      <c r="AX329" s="1429" t="str">
        <f t="shared" si="682"/>
        <v>[Service]</v>
      </c>
      <c r="AY329" s="1430" t="str">
        <f t="shared" si="646"/>
        <v>[Price]</v>
      </c>
      <c r="AZ329" s="1431" t="str">
        <f t="shared" si="647"/>
        <v>-</v>
      </c>
      <c r="BA329" s="1431" t="str">
        <f t="shared" si="647"/>
        <v>-</v>
      </c>
      <c r="BB329" s="1431" t="str">
        <f t="shared" si="647"/>
        <v>-</v>
      </c>
      <c r="BC329" s="1431" t="str">
        <f t="shared" si="647"/>
        <v>-</v>
      </c>
      <c r="BD329" s="1431" t="str">
        <f t="shared" si="648"/>
        <v>-</v>
      </c>
      <c r="BE329" s="1431" t="str">
        <f t="shared" si="649"/>
        <v>-</v>
      </c>
      <c r="BF329" s="1431" t="str">
        <f t="shared" si="650"/>
        <v>-</v>
      </c>
      <c r="BG329" s="1432" t="str">
        <f t="shared" si="651"/>
        <v>-</v>
      </c>
      <c r="BH329" s="1431" t="str">
        <f t="shared" si="652"/>
        <v>-</v>
      </c>
      <c r="BI329" s="1431" t="str">
        <f t="shared" si="653"/>
        <v>-</v>
      </c>
      <c r="BJ329" s="1431" t="str">
        <f t="shared" si="654"/>
        <v>-</v>
      </c>
      <c r="BK329" s="1431" t="str">
        <f t="shared" si="655"/>
        <v>-</v>
      </c>
      <c r="BL329" s="1433" t="str">
        <f t="shared" si="656"/>
        <v>-</v>
      </c>
      <c r="BM329" s="1431" t="str">
        <f t="shared" si="657"/>
        <v>-</v>
      </c>
      <c r="BN329" s="1431" t="str">
        <f t="shared" si="658"/>
        <v>-</v>
      </c>
      <c r="BO329" s="1431" t="str">
        <f t="shared" si="659"/>
        <v>-</v>
      </c>
      <c r="BP329" s="1431" t="str">
        <f t="shared" si="660"/>
        <v>-</v>
      </c>
      <c r="BQ329" s="1434" t="str">
        <f t="shared" si="661"/>
        <v>-</v>
      </c>
      <c r="BR329" s="1378"/>
      <c r="BS329" s="1407"/>
      <c r="BT329" s="1408"/>
      <c r="BU329" s="1409"/>
      <c r="BV329" s="1410"/>
      <c r="BW329" s="1378"/>
      <c r="BX329" s="1428" t="str">
        <f t="shared" si="662"/>
        <v>Rev</v>
      </c>
      <c r="BY329" s="1429" t="str">
        <f t="shared" si="557"/>
        <v>[Service]</v>
      </c>
      <c r="BZ329" s="1430" t="str">
        <f t="shared" si="558"/>
        <v>[Price]</v>
      </c>
      <c r="CA329" s="1435" t="str">
        <f>IFERROR((S329/R329-1)*(R329/R$13),"-")</f>
        <v>-</v>
      </c>
      <c r="CB329" s="1431" t="str">
        <f>IFERROR((T329/S329-1)*(S329/S$13),"-")</f>
        <v>-</v>
      </c>
      <c r="CC329" s="1431" t="str">
        <f>IFERROR((U329/T329-1)*(T329/T$13),"-")</f>
        <v>-</v>
      </c>
      <c r="CD329" s="1431" t="str">
        <f>IFERROR((V329/U329-1)*(U329/U$13),"-")</f>
        <v>-</v>
      </c>
      <c r="CE329" s="1431" t="str">
        <f t="shared" ref="CE329:CR329" si="689">IFERROR((T329/S329-1)*(S329/S$13),"-")</f>
        <v>-</v>
      </c>
      <c r="CF329" s="1431" t="str">
        <f t="shared" si="689"/>
        <v>-</v>
      </c>
      <c r="CG329" s="1431" t="str">
        <f t="shared" si="689"/>
        <v>-</v>
      </c>
      <c r="CH329" s="1433" t="str">
        <f t="shared" si="689"/>
        <v>-</v>
      </c>
      <c r="CI329" s="1431" t="str">
        <f t="shared" si="689"/>
        <v>-</v>
      </c>
      <c r="CJ329" s="1431" t="str">
        <f t="shared" si="689"/>
        <v>-</v>
      </c>
      <c r="CK329" s="1431" t="str">
        <f t="shared" si="689"/>
        <v>-</v>
      </c>
      <c r="CL329" s="1431" t="str">
        <f t="shared" si="689"/>
        <v>-</v>
      </c>
      <c r="CM329" s="1433" t="str">
        <f t="shared" si="689"/>
        <v>-</v>
      </c>
      <c r="CN329" s="1431" t="str">
        <f t="shared" si="689"/>
        <v>-</v>
      </c>
      <c r="CO329" s="1431" t="str">
        <f t="shared" si="689"/>
        <v>-</v>
      </c>
      <c r="CP329" s="1431" t="str">
        <f t="shared" si="689"/>
        <v>-</v>
      </c>
      <c r="CQ329" s="1431" t="str">
        <f t="shared" si="689"/>
        <v>-</v>
      </c>
      <c r="CR329" s="1434" t="str">
        <f t="shared" si="689"/>
        <v>-</v>
      </c>
      <c r="CS329" s="1378"/>
      <c r="CT329" s="1428" t="str">
        <f t="shared" si="643"/>
        <v>Rev</v>
      </c>
      <c r="CU329" s="1429" t="str">
        <f t="shared" si="644"/>
        <v>[Service]</v>
      </c>
      <c r="CV329" s="1429" t="str">
        <f t="shared" si="645"/>
        <v>[Price]</v>
      </c>
      <c r="CW329" s="1435" t="str">
        <f t="shared" si="664"/>
        <v>-</v>
      </c>
      <c r="CX329" s="1431" t="str">
        <f t="shared" si="665"/>
        <v>-</v>
      </c>
      <c r="CY329" s="1431" t="str">
        <f t="shared" si="666"/>
        <v>-</v>
      </c>
      <c r="CZ329" s="1433" t="str">
        <f t="shared" si="667"/>
        <v>-</v>
      </c>
      <c r="DA329" s="1431" t="str">
        <f t="shared" si="668"/>
        <v>-</v>
      </c>
      <c r="DB329" s="1431" t="str">
        <f t="shared" si="669"/>
        <v>-</v>
      </c>
      <c r="DC329" s="1431" t="str">
        <f t="shared" si="670"/>
        <v>-</v>
      </c>
      <c r="DD329" s="1431" t="str">
        <f t="shared" si="671"/>
        <v>-</v>
      </c>
      <c r="DE329" s="1434" t="str">
        <f t="shared" si="672"/>
        <v>-</v>
      </c>
      <c r="DF329" s="1378"/>
      <c r="DG329" s="1428" t="str">
        <f t="shared" si="684"/>
        <v>Rev</v>
      </c>
      <c r="DH329" s="1429" t="str">
        <f t="shared" si="684"/>
        <v>[Service]</v>
      </c>
      <c r="DI329" s="1429" t="str">
        <f t="shared" si="684"/>
        <v>[Price]</v>
      </c>
      <c r="DJ329" s="1435" t="str">
        <f t="shared" si="673"/>
        <v>-</v>
      </c>
      <c r="DK329" s="1431" t="str">
        <f t="shared" si="674"/>
        <v>-</v>
      </c>
      <c r="DL329" s="1431" t="str">
        <f t="shared" si="675"/>
        <v>-</v>
      </c>
      <c r="DM329" s="1433" t="str">
        <f t="shared" si="676"/>
        <v>-</v>
      </c>
      <c r="DN329" s="1431" t="str">
        <f t="shared" si="677"/>
        <v>-</v>
      </c>
      <c r="DO329" s="1431" t="str">
        <f t="shared" si="678"/>
        <v>-</v>
      </c>
      <c r="DP329" s="1431" t="str">
        <f t="shared" si="679"/>
        <v>-</v>
      </c>
      <c r="DQ329" s="1434" t="str">
        <f t="shared" si="680"/>
        <v>-</v>
      </c>
    </row>
    <row r="330" spans="4:121">
      <c r="D330" s="70">
        <f>D327+1</f>
        <v>88</v>
      </c>
      <c r="E330" s="713" t="s">
        <v>44</v>
      </c>
      <c r="F330" s="789" t="s">
        <v>27</v>
      </c>
      <c r="G330" s="789"/>
      <c r="H330" s="789"/>
      <c r="I330" s="781" t="s">
        <v>318</v>
      </c>
      <c r="J330" s="781" t="s">
        <v>345</v>
      </c>
      <c r="K330" s="714"/>
      <c r="L330" s="715"/>
      <c r="M330" s="715"/>
      <c r="N330" s="716"/>
      <c r="O330" s="783"/>
      <c r="P330" s="784"/>
      <c r="Q330" s="783"/>
      <c r="R330" s="783"/>
      <c r="S330" s="783"/>
      <c r="T330" s="783"/>
      <c r="U330" s="783"/>
      <c r="V330" s="783"/>
      <c r="W330" s="783"/>
      <c r="X330" s="784"/>
      <c r="Y330" s="783"/>
      <c r="Z330" s="783"/>
      <c r="AA330" s="783"/>
      <c r="AB330" s="783"/>
      <c r="AC330" s="784"/>
      <c r="AD330" s="783"/>
      <c r="AE330" s="783"/>
      <c r="AF330" s="783"/>
      <c r="AG330" s="785"/>
      <c r="AI330" s="745"/>
      <c r="AJ330" s="717" t="str">
        <f t="shared" ref="AJ330:AS330" si="690">IFERROR((X330-W330)/W330,"")</f>
        <v/>
      </c>
      <c r="AK330" s="718" t="str">
        <f t="shared" si="690"/>
        <v/>
      </c>
      <c r="AL330" s="718" t="str">
        <f t="shared" si="690"/>
        <v/>
      </c>
      <c r="AM330" s="718" t="str">
        <f t="shared" si="690"/>
        <v/>
      </c>
      <c r="AN330" s="718" t="str">
        <f t="shared" si="690"/>
        <v/>
      </c>
      <c r="AO330" s="719" t="str">
        <f t="shared" si="690"/>
        <v/>
      </c>
      <c r="AP330" s="494" t="str">
        <f t="shared" si="690"/>
        <v/>
      </c>
      <c r="AQ330" s="494" t="str">
        <f t="shared" si="690"/>
        <v/>
      </c>
      <c r="AR330" s="494" t="str">
        <f t="shared" si="690"/>
        <v/>
      </c>
      <c r="AS330" s="720" t="str">
        <f t="shared" si="690"/>
        <v/>
      </c>
      <c r="AU330" s="1369"/>
      <c r="AW330" s="1412" t="str">
        <f t="shared" si="682"/>
        <v>Price</v>
      </c>
      <c r="AX330" s="1413" t="str">
        <f t="shared" si="682"/>
        <v>[Service]</v>
      </c>
      <c r="AY330" s="1414" t="str">
        <f t="shared" si="646"/>
        <v>[Price]</v>
      </c>
      <c r="AZ330" s="1415" t="str">
        <f t="shared" si="647"/>
        <v>-</v>
      </c>
      <c r="BA330" s="1415" t="str">
        <f t="shared" si="647"/>
        <v>-</v>
      </c>
      <c r="BB330" s="1415" t="str">
        <f t="shared" si="647"/>
        <v>-</v>
      </c>
      <c r="BC330" s="1415" t="str">
        <f t="shared" si="647"/>
        <v>-</v>
      </c>
      <c r="BD330" s="1415" t="str">
        <f t="shared" si="648"/>
        <v>-</v>
      </c>
      <c r="BE330" s="1415" t="str">
        <f t="shared" si="649"/>
        <v>-</v>
      </c>
      <c r="BF330" s="1415" t="str">
        <f t="shared" si="650"/>
        <v>-</v>
      </c>
      <c r="BG330" s="1416" t="str">
        <f t="shared" si="651"/>
        <v>-</v>
      </c>
      <c r="BH330" s="1417" t="str">
        <f t="shared" si="652"/>
        <v>-</v>
      </c>
      <c r="BI330" s="1417" t="str">
        <f t="shared" si="653"/>
        <v>-</v>
      </c>
      <c r="BJ330" s="1417" t="str">
        <f t="shared" si="654"/>
        <v>-</v>
      </c>
      <c r="BK330" s="1417" t="str">
        <f t="shared" si="655"/>
        <v>-</v>
      </c>
      <c r="BL330" s="1418" t="str">
        <f t="shared" si="656"/>
        <v>-</v>
      </c>
      <c r="BM330" s="1417" t="str">
        <f t="shared" si="657"/>
        <v>-</v>
      </c>
      <c r="BN330" s="1417" t="str">
        <f t="shared" si="658"/>
        <v>-</v>
      </c>
      <c r="BO330" s="1417" t="str">
        <f t="shared" si="659"/>
        <v>-</v>
      </c>
      <c r="BP330" s="1417" t="str">
        <f t="shared" si="660"/>
        <v>-</v>
      </c>
      <c r="BQ330" s="1419" t="str">
        <f t="shared" si="661"/>
        <v>-</v>
      </c>
      <c r="BR330" s="1378"/>
      <c r="BS330" s="1420"/>
      <c r="BT330" s="1421"/>
      <c r="BU330" s="1422"/>
      <c r="BV330" s="1423"/>
      <c r="BW330" s="1378"/>
      <c r="BX330" s="1412" t="str">
        <f t="shared" si="662"/>
        <v>Price</v>
      </c>
      <c r="BY330" s="1413" t="str">
        <f t="shared" si="557"/>
        <v>[Service]</v>
      </c>
      <c r="BZ330" s="1414" t="str">
        <f t="shared" si="558"/>
        <v>[Price]</v>
      </c>
      <c r="CA330" s="1424" t="str">
        <f>IFERROR((S330/R330-1)*(R332/R$13),"-")</f>
        <v>-</v>
      </c>
      <c r="CB330" s="1415" t="str">
        <f>IFERROR((T330/S330-1)*(S332/S$13),"-")</f>
        <v>-</v>
      </c>
      <c r="CC330" s="1415" t="str">
        <f>IFERROR((U330/T330-1)*(T332/T$13),"-")</f>
        <v>-</v>
      </c>
      <c r="CD330" s="1415" t="str">
        <f>IFERROR((V330/U330-1)*(U332/U$13),"-")</f>
        <v>-</v>
      </c>
      <c r="CE330" s="1415" t="str">
        <f t="shared" ref="CE330:CR330" si="691">IFERROR((T330/S330-1)*(S332/S$13),"-")</f>
        <v>-</v>
      </c>
      <c r="CF330" s="1415" t="str">
        <f t="shared" si="691"/>
        <v>-</v>
      </c>
      <c r="CG330" s="1415" t="str">
        <f t="shared" si="691"/>
        <v>-</v>
      </c>
      <c r="CH330" s="1425" t="str">
        <f t="shared" si="691"/>
        <v>-</v>
      </c>
      <c r="CI330" s="1417" t="str">
        <f t="shared" si="691"/>
        <v>-</v>
      </c>
      <c r="CJ330" s="1417" t="str">
        <f t="shared" si="691"/>
        <v>-</v>
      </c>
      <c r="CK330" s="1417" t="str">
        <f t="shared" si="691"/>
        <v>-</v>
      </c>
      <c r="CL330" s="1417" t="str">
        <f t="shared" si="691"/>
        <v>-</v>
      </c>
      <c r="CM330" s="1418" t="str">
        <f t="shared" si="691"/>
        <v>-</v>
      </c>
      <c r="CN330" s="1417" t="str">
        <f t="shared" si="691"/>
        <v>-</v>
      </c>
      <c r="CO330" s="1417" t="str">
        <f t="shared" si="691"/>
        <v>-</v>
      </c>
      <c r="CP330" s="1417" t="str">
        <f t="shared" si="691"/>
        <v>-</v>
      </c>
      <c r="CQ330" s="1417" t="str">
        <f t="shared" si="691"/>
        <v>-</v>
      </c>
      <c r="CR330" s="1419" t="str">
        <f t="shared" si="691"/>
        <v>-</v>
      </c>
      <c r="CS330" s="1378"/>
      <c r="CT330" s="1412" t="str">
        <f t="shared" si="643"/>
        <v>Price</v>
      </c>
      <c r="CU330" s="1413" t="str">
        <f t="shared" si="644"/>
        <v>[Service]</v>
      </c>
      <c r="CV330" s="1426" t="str">
        <f t="shared" si="645"/>
        <v>[Price]</v>
      </c>
      <c r="CW330" s="1427" t="str">
        <f t="shared" si="664"/>
        <v>-</v>
      </c>
      <c r="CX330" s="1417" t="str">
        <f t="shared" si="665"/>
        <v>-</v>
      </c>
      <c r="CY330" s="1417" t="str">
        <f t="shared" si="666"/>
        <v>-</v>
      </c>
      <c r="CZ330" s="1418" t="str">
        <f t="shared" si="667"/>
        <v>-</v>
      </c>
      <c r="DA330" s="1417" t="str">
        <f t="shared" si="668"/>
        <v>-</v>
      </c>
      <c r="DB330" s="1417" t="str">
        <f t="shared" si="669"/>
        <v>-</v>
      </c>
      <c r="DC330" s="1417" t="str">
        <f t="shared" si="670"/>
        <v>-</v>
      </c>
      <c r="DD330" s="1417" t="str">
        <f t="shared" si="671"/>
        <v>-</v>
      </c>
      <c r="DE330" s="1419" t="str">
        <f t="shared" si="672"/>
        <v>-</v>
      </c>
      <c r="DF330" s="1378"/>
      <c r="DG330" s="1412" t="str">
        <f t="shared" si="684"/>
        <v>Price</v>
      </c>
      <c r="DH330" s="1413" t="str">
        <f t="shared" si="684"/>
        <v>[Service]</v>
      </c>
      <c r="DI330" s="1426" t="str">
        <f t="shared" si="684"/>
        <v>[Price]</v>
      </c>
      <c r="DJ330" s="1427" t="str">
        <f t="shared" si="673"/>
        <v>-</v>
      </c>
      <c r="DK330" s="1417" t="str">
        <f t="shared" si="674"/>
        <v>-</v>
      </c>
      <c r="DL330" s="1417" t="str">
        <f t="shared" si="675"/>
        <v>-</v>
      </c>
      <c r="DM330" s="1418" t="str">
        <f t="shared" si="676"/>
        <v>-</v>
      </c>
      <c r="DN330" s="1417" t="str">
        <f t="shared" si="677"/>
        <v>-</v>
      </c>
      <c r="DO330" s="1417" t="str">
        <f t="shared" si="678"/>
        <v>-</v>
      </c>
      <c r="DP330" s="1417" t="str">
        <f t="shared" si="679"/>
        <v>-</v>
      </c>
      <c r="DQ330" s="1419" t="str">
        <f t="shared" si="680"/>
        <v>-</v>
      </c>
    </row>
    <row r="331" spans="4:121">
      <c r="E331" s="742" t="s">
        <v>45</v>
      </c>
      <c r="F331" s="722" t="str">
        <f>+F330</f>
        <v>[Service]</v>
      </c>
      <c r="G331" s="723">
        <f>+G330</f>
        <v>0</v>
      </c>
      <c r="H331" s="723">
        <f>+H330</f>
        <v>0</v>
      </c>
      <c r="I331" s="724" t="str">
        <f>+I330</f>
        <v>[Price]</v>
      </c>
      <c r="J331" s="782" t="s">
        <v>322</v>
      </c>
      <c r="K331" s="725"/>
      <c r="L331" s="726"/>
      <c r="M331" s="726"/>
      <c r="N331" s="727"/>
      <c r="O331" s="786"/>
      <c r="P331" s="787"/>
      <c r="Q331" s="786"/>
      <c r="R331" s="786"/>
      <c r="S331" s="786"/>
      <c r="T331" s="786"/>
      <c r="U331" s="786"/>
      <c r="V331" s="786"/>
      <c r="W331" s="786"/>
      <c r="X331" s="787"/>
      <c r="Y331" s="786"/>
      <c r="Z331" s="786"/>
      <c r="AA331" s="786"/>
      <c r="AB331" s="786"/>
      <c r="AC331" s="787"/>
      <c r="AD331" s="786"/>
      <c r="AE331" s="786"/>
      <c r="AF331" s="786"/>
      <c r="AG331" s="788"/>
      <c r="AH331" s="823"/>
      <c r="AI331" s="745"/>
      <c r="AJ331" s="728"/>
      <c r="AK331" s="729"/>
      <c r="AL331" s="729"/>
      <c r="AM331" s="729"/>
      <c r="AN331" s="729"/>
      <c r="AO331" s="730"/>
      <c r="AP331" s="74"/>
      <c r="AQ331" s="74"/>
      <c r="AR331" s="74"/>
      <c r="AS331" s="106"/>
      <c r="AW331" s="1392" t="str">
        <f t="shared" si="682"/>
        <v>Qty</v>
      </c>
      <c r="AX331" s="1393" t="str">
        <f t="shared" si="682"/>
        <v>[Service]</v>
      </c>
      <c r="AY331" s="1394" t="str">
        <f t="shared" si="646"/>
        <v>[Price]</v>
      </c>
      <c r="AZ331" s="1395" t="str">
        <f t="shared" si="647"/>
        <v>-</v>
      </c>
      <c r="BA331" s="1395" t="str">
        <f t="shared" si="647"/>
        <v>-</v>
      </c>
      <c r="BB331" s="1395" t="str">
        <f t="shared" si="647"/>
        <v>-</v>
      </c>
      <c r="BC331" s="1395" t="str">
        <f t="shared" si="647"/>
        <v>-</v>
      </c>
      <c r="BD331" s="1395" t="str">
        <f t="shared" si="648"/>
        <v>-</v>
      </c>
      <c r="BE331" s="1395" t="str">
        <f t="shared" si="649"/>
        <v>-</v>
      </c>
      <c r="BF331" s="1395" t="str">
        <f t="shared" si="650"/>
        <v>-</v>
      </c>
      <c r="BG331" s="1396" t="str">
        <f t="shared" si="651"/>
        <v>-</v>
      </c>
      <c r="BH331" s="1395" t="str">
        <f t="shared" si="652"/>
        <v>-</v>
      </c>
      <c r="BI331" s="1395" t="str">
        <f t="shared" si="653"/>
        <v>-</v>
      </c>
      <c r="BJ331" s="1395" t="str">
        <f t="shared" si="654"/>
        <v>-</v>
      </c>
      <c r="BK331" s="1395" t="str">
        <f t="shared" si="655"/>
        <v>-</v>
      </c>
      <c r="BL331" s="1397" t="str">
        <f t="shared" si="656"/>
        <v>-</v>
      </c>
      <c r="BM331" s="1395" t="str">
        <f t="shared" si="657"/>
        <v>-</v>
      </c>
      <c r="BN331" s="1395" t="str">
        <f t="shared" si="658"/>
        <v>-</v>
      </c>
      <c r="BO331" s="1395" t="str">
        <f t="shared" si="659"/>
        <v>-</v>
      </c>
      <c r="BP331" s="1395" t="str">
        <f t="shared" si="660"/>
        <v>-</v>
      </c>
      <c r="BQ331" s="1398" t="str">
        <f t="shared" si="661"/>
        <v>-</v>
      </c>
      <c r="BR331" s="1378"/>
      <c r="BS331" s="1329"/>
      <c r="BT331" s="1399"/>
      <c r="BU331" s="1331"/>
      <c r="BV331" s="1400"/>
      <c r="BW331" s="1378"/>
      <c r="BX331" s="1392" t="str">
        <f t="shared" si="662"/>
        <v>Qty</v>
      </c>
      <c r="BY331" s="1393" t="str">
        <f t="shared" si="557"/>
        <v>[Service]</v>
      </c>
      <c r="BZ331" s="1394" t="str">
        <f t="shared" si="558"/>
        <v>[Price]</v>
      </c>
      <c r="CA331" s="1401" t="str">
        <f>IFERROR((S331/R331-1)*(R332/R$13),"-")</f>
        <v>-</v>
      </c>
      <c r="CB331" s="1395" t="str">
        <f>IFERROR((T331/S331-1)*(S332/S$13),"-")</f>
        <v>-</v>
      </c>
      <c r="CC331" s="1395" t="str">
        <f>IFERROR((U331/T331-1)*(T332/T$13),"-")</f>
        <v>-</v>
      </c>
      <c r="CD331" s="1395" t="str">
        <f>IFERROR((V331/U331-1)*(U332/U$13),"-")</f>
        <v>-</v>
      </c>
      <c r="CE331" s="1395" t="str">
        <f t="shared" ref="CE331:CR331" si="692">IFERROR((T331/S331-1)*(S332/S$13),"-")</f>
        <v>-</v>
      </c>
      <c r="CF331" s="1395" t="str">
        <f t="shared" si="692"/>
        <v>-</v>
      </c>
      <c r="CG331" s="1395" t="str">
        <f t="shared" si="692"/>
        <v>-</v>
      </c>
      <c r="CH331" s="1397" t="str">
        <f t="shared" si="692"/>
        <v>-</v>
      </c>
      <c r="CI331" s="1395" t="str">
        <f t="shared" si="692"/>
        <v>-</v>
      </c>
      <c r="CJ331" s="1395" t="str">
        <f t="shared" si="692"/>
        <v>-</v>
      </c>
      <c r="CK331" s="1395" t="str">
        <f t="shared" si="692"/>
        <v>-</v>
      </c>
      <c r="CL331" s="1395" t="str">
        <f t="shared" si="692"/>
        <v>-</v>
      </c>
      <c r="CM331" s="1397" t="str">
        <f t="shared" si="692"/>
        <v>-</v>
      </c>
      <c r="CN331" s="1395" t="str">
        <f t="shared" si="692"/>
        <v>-</v>
      </c>
      <c r="CO331" s="1395" t="str">
        <f t="shared" si="692"/>
        <v>-</v>
      </c>
      <c r="CP331" s="1395" t="str">
        <f t="shared" si="692"/>
        <v>-</v>
      </c>
      <c r="CQ331" s="1395" t="str">
        <f t="shared" si="692"/>
        <v>-</v>
      </c>
      <c r="CR331" s="1398" t="str">
        <f t="shared" si="692"/>
        <v>-</v>
      </c>
      <c r="CS331" s="1378"/>
      <c r="CT331" s="1392" t="str">
        <f t="shared" si="643"/>
        <v>Qty</v>
      </c>
      <c r="CU331" s="1393" t="str">
        <f t="shared" si="644"/>
        <v>[Service]</v>
      </c>
      <c r="CV331" s="1393" t="str">
        <f t="shared" si="645"/>
        <v>[Price]</v>
      </c>
      <c r="CW331" s="1401" t="str">
        <f t="shared" si="664"/>
        <v>-</v>
      </c>
      <c r="CX331" s="1395" t="str">
        <f t="shared" si="665"/>
        <v>-</v>
      </c>
      <c r="CY331" s="1395" t="str">
        <f t="shared" si="666"/>
        <v>-</v>
      </c>
      <c r="CZ331" s="1397" t="str">
        <f t="shared" si="667"/>
        <v>-</v>
      </c>
      <c r="DA331" s="1395" t="str">
        <f t="shared" si="668"/>
        <v>-</v>
      </c>
      <c r="DB331" s="1395" t="str">
        <f t="shared" si="669"/>
        <v>-</v>
      </c>
      <c r="DC331" s="1395" t="str">
        <f t="shared" si="670"/>
        <v>-</v>
      </c>
      <c r="DD331" s="1395" t="str">
        <f t="shared" si="671"/>
        <v>-</v>
      </c>
      <c r="DE331" s="1398" t="str">
        <f t="shared" si="672"/>
        <v>-</v>
      </c>
      <c r="DF331" s="1378"/>
      <c r="DG331" s="1392" t="str">
        <f t="shared" si="684"/>
        <v>Qty</v>
      </c>
      <c r="DH331" s="1393" t="str">
        <f t="shared" si="684"/>
        <v>[Service]</v>
      </c>
      <c r="DI331" s="1393" t="str">
        <f t="shared" si="684"/>
        <v>[Price]</v>
      </c>
      <c r="DJ331" s="1401" t="str">
        <f t="shared" si="673"/>
        <v>-</v>
      </c>
      <c r="DK331" s="1395" t="str">
        <f t="shared" si="674"/>
        <v>-</v>
      </c>
      <c r="DL331" s="1395" t="str">
        <f t="shared" si="675"/>
        <v>-</v>
      </c>
      <c r="DM331" s="1397" t="str">
        <f t="shared" si="676"/>
        <v>-</v>
      </c>
      <c r="DN331" s="1395" t="str">
        <f t="shared" si="677"/>
        <v>-</v>
      </c>
      <c r="DO331" s="1395" t="str">
        <f t="shared" si="678"/>
        <v>-</v>
      </c>
      <c r="DP331" s="1395" t="str">
        <f t="shared" si="679"/>
        <v>-</v>
      </c>
      <c r="DQ331" s="1398" t="str">
        <f t="shared" si="680"/>
        <v>-</v>
      </c>
    </row>
    <row r="332" spans="4:121" ht="12.75" thickBot="1">
      <c r="E332" s="743" t="s">
        <v>46</v>
      </c>
      <c r="F332" s="732" t="str">
        <f>+F330</f>
        <v>[Service]</v>
      </c>
      <c r="G332" s="733">
        <f>+G330</f>
        <v>0</v>
      </c>
      <c r="H332" s="733">
        <f>+H330</f>
        <v>0</v>
      </c>
      <c r="I332" s="734" t="str">
        <f>+I330</f>
        <v>[Price]</v>
      </c>
      <c r="J332" s="735" t="s">
        <v>344</v>
      </c>
      <c r="K332" s="736">
        <f t="shared" ref="K332:AG332" si="693">K330*K331/10^6</f>
        <v>0</v>
      </c>
      <c r="L332" s="737">
        <f t="shared" si="693"/>
        <v>0</v>
      </c>
      <c r="M332" s="737">
        <f t="shared" si="693"/>
        <v>0</v>
      </c>
      <c r="N332" s="738">
        <f t="shared" si="693"/>
        <v>0</v>
      </c>
      <c r="O332" s="737">
        <f t="shared" si="693"/>
        <v>0</v>
      </c>
      <c r="P332" s="738">
        <f t="shared" si="693"/>
        <v>0</v>
      </c>
      <c r="Q332" s="737">
        <f t="shared" si="693"/>
        <v>0</v>
      </c>
      <c r="R332" s="737">
        <f t="shared" si="693"/>
        <v>0</v>
      </c>
      <c r="S332" s="737">
        <f t="shared" si="693"/>
        <v>0</v>
      </c>
      <c r="T332" s="737">
        <f t="shared" si="693"/>
        <v>0</v>
      </c>
      <c r="U332" s="737">
        <f t="shared" si="693"/>
        <v>0</v>
      </c>
      <c r="V332" s="737">
        <f t="shared" si="693"/>
        <v>0</v>
      </c>
      <c r="W332" s="737">
        <f t="shared" si="693"/>
        <v>0</v>
      </c>
      <c r="X332" s="738">
        <f t="shared" si="693"/>
        <v>0</v>
      </c>
      <c r="Y332" s="737">
        <f t="shared" si="693"/>
        <v>0</v>
      </c>
      <c r="Z332" s="737">
        <f t="shared" si="693"/>
        <v>0</v>
      </c>
      <c r="AA332" s="737">
        <f t="shared" si="693"/>
        <v>0</v>
      </c>
      <c r="AB332" s="737">
        <f t="shared" si="693"/>
        <v>0</v>
      </c>
      <c r="AC332" s="738">
        <f t="shared" si="693"/>
        <v>0</v>
      </c>
      <c r="AD332" s="737">
        <f t="shared" si="693"/>
        <v>0</v>
      </c>
      <c r="AE332" s="737">
        <f t="shared" si="693"/>
        <v>0</v>
      </c>
      <c r="AF332" s="737">
        <f t="shared" si="693"/>
        <v>0</v>
      </c>
      <c r="AG332" s="739">
        <f t="shared" si="693"/>
        <v>0</v>
      </c>
      <c r="AH332" s="823"/>
      <c r="AI332" s="745"/>
      <c r="AJ332" s="741"/>
      <c r="AK332" s="729"/>
      <c r="AL332" s="729"/>
      <c r="AM332" s="729"/>
      <c r="AN332" s="729"/>
      <c r="AO332" s="730"/>
      <c r="AP332" s="74"/>
      <c r="AQ332" s="74"/>
      <c r="AR332" s="74"/>
      <c r="AS332" s="106"/>
      <c r="AW332" s="1428" t="str">
        <f t="shared" si="682"/>
        <v>Rev</v>
      </c>
      <c r="AX332" s="1429" t="str">
        <f t="shared" si="682"/>
        <v>[Service]</v>
      </c>
      <c r="AY332" s="1430" t="str">
        <f t="shared" si="646"/>
        <v>[Price]</v>
      </c>
      <c r="AZ332" s="1431" t="str">
        <f t="shared" si="647"/>
        <v>-</v>
      </c>
      <c r="BA332" s="1431" t="str">
        <f t="shared" si="647"/>
        <v>-</v>
      </c>
      <c r="BB332" s="1431" t="str">
        <f t="shared" si="647"/>
        <v>-</v>
      </c>
      <c r="BC332" s="1431" t="str">
        <f t="shared" si="647"/>
        <v>-</v>
      </c>
      <c r="BD332" s="1431" t="str">
        <f t="shared" si="648"/>
        <v>-</v>
      </c>
      <c r="BE332" s="1431" t="str">
        <f t="shared" si="649"/>
        <v>-</v>
      </c>
      <c r="BF332" s="1431" t="str">
        <f t="shared" si="650"/>
        <v>-</v>
      </c>
      <c r="BG332" s="1432" t="str">
        <f t="shared" si="651"/>
        <v>-</v>
      </c>
      <c r="BH332" s="1431" t="str">
        <f t="shared" si="652"/>
        <v>-</v>
      </c>
      <c r="BI332" s="1431" t="str">
        <f t="shared" si="653"/>
        <v>-</v>
      </c>
      <c r="BJ332" s="1431" t="str">
        <f t="shared" si="654"/>
        <v>-</v>
      </c>
      <c r="BK332" s="1431" t="str">
        <f t="shared" si="655"/>
        <v>-</v>
      </c>
      <c r="BL332" s="1433" t="str">
        <f t="shared" si="656"/>
        <v>-</v>
      </c>
      <c r="BM332" s="1431" t="str">
        <f t="shared" si="657"/>
        <v>-</v>
      </c>
      <c r="BN332" s="1431" t="str">
        <f t="shared" si="658"/>
        <v>-</v>
      </c>
      <c r="BO332" s="1431" t="str">
        <f t="shared" si="659"/>
        <v>-</v>
      </c>
      <c r="BP332" s="1431" t="str">
        <f t="shared" si="660"/>
        <v>-</v>
      </c>
      <c r="BQ332" s="1434" t="str">
        <f t="shared" si="661"/>
        <v>-</v>
      </c>
      <c r="BR332" s="1378"/>
      <c r="BS332" s="1407"/>
      <c r="BT332" s="1408"/>
      <c r="BU332" s="1409"/>
      <c r="BV332" s="1410"/>
      <c r="BW332" s="1378"/>
      <c r="BX332" s="1428" t="str">
        <f t="shared" si="662"/>
        <v>Rev</v>
      </c>
      <c r="BY332" s="1429" t="str">
        <f t="shared" si="557"/>
        <v>[Service]</v>
      </c>
      <c r="BZ332" s="1430" t="str">
        <f t="shared" si="558"/>
        <v>[Price]</v>
      </c>
      <c r="CA332" s="1435" t="str">
        <f>IFERROR((S332/R332-1)*(R332/R$13),"-")</f>
        <v>-</v>
      </c>
      <c r="CB332" s="1431" t="str">
        <f>IFERROR((T332/S332-1)*(S332/S$13),"-")</f>
        <v>-</v>
      </c>
      <c r="CC332" s="1431" t="str">
        <f>IFERROR((U332/T332-1)*(T332/T$13),"-")</f>
        <v>-</v>
      </c>
      <c r="CD332" s="1431" t="str">
        <f>IFERROR((V332/U332-1)*(U332/U$13),"-")</f>
        <v>-</v>
      </c>
      <c r="CE332" s="1431" t="str">
        <f t="shared" ref="CE332:CR332" si="694">IFERROR((T332/S332-1)*(S332/S$13),"-")</f>
        <v>-</v>
      </c>
      <c r="CF332" s="1431" t="str">
        <f t="shared" si="694"/>
        <v>-</v>
      </c>
      <c r="CG332" s="1431" t="str">
        <f t="shared" si="694"/>
        <v>-</v>
      </c>
      <c r="CH332" s="1433" t="str">
        <f t="shared" si="694"/>
        <v>-</v>
      </c>
      <c r="CI332" s="1431" t="str">
        <f t="shared" si="694"/>
        <v>-</v>
      </c>
      <c r="CJ332" s="1431" t="str">
        <f t="shared" si="694"/>
        <v>-</v>
      </c>
      <c r="CK332" s="1431" t="str">
        <f t="shared" si="694"/>
        <v>-</v>
      </c>
      <c r="CL332" s="1431" t="str">
        <f t="shared" si="694"/>
        <v>-</v>
      </c>
      <c r="CM332" s="1433" t="str">
        <f t="shared" si="694"/>
        <v>-</v>
      </c>
      <c r="CN332" s="1431" t="str">
        <f t="shared" si="694"/>
        <v>-</v>
      </c>
      <c r="CO332" s="1431" t="str">
        <f t="shared" si="694"/>
        <v>-</v>
      </c>
      <c r="CP332" s="1431" t="str">
        <f t="shared" si="694"/>
        <v>-</v>
      </c>
      <c r="CQ332" s="1431" t="str">
        <f t="shared" si="694"/>
        <v>-</v>
      </c>
      <c r="CR332" s="1434" t="str">
        <f t="shared" si="694"/>
        <v>-</v>
      </c>
      <c r="CS332" s="1378"/>
      <c r="CT332" s="1428" t="str">
        <f t="shared" si="643"/>
        <v>Rev</v>
      </c>
      <c r="CU332" s="1429" t="str">
        <f t="shared" si="644"/>
        <v>[Service]</v>
      </c>
      <c r="CV332" s="1429" t="str">
        <f t="shared" si="645"/>
        <v>[Price]</v>
      </c>
      <c r="CW332" s="1435" t="str">
        <f t="shared" si="664"/>
        <v>-</v>
      </c>
      <c r="CX332" s="1431" t="str">
        <f t="shared" si="665"/>
        <v>-</v>
      </c>
      <c r="CY332" s="1431" t="str">
        <f t="shared" si="666"/>
        <v>-</v>
      </c>
      <c r="CZ332" s="1433" t="str">
        <f t="shared" si="667"/>
        <v>-</v>
      </c>
      <c r="DA332" s="1431" t="str">
        <f t="shared" si="668"/>
        <v>-</v>
      </c>
      <c r="DB332" s="1431" t="str">
        <f t="shared" si="669"/>
        <v>-</v>
      </c>
      <c r="DC332" s="1431" t="str">
        <f t="shared" si="670"/>
        <v>-</v>
      </c>
      <c r="DD332" s="1431" t="str">
        <f t="shared" si="671"/>
        <v>-</v>
      </c>
      <c r="DE332" s="1434" t="str">
        <f t="shared" si="672"/>
        <v>-</v>
      </c>
      <c r="DF332" s="1378"/>
      <c r="DG332" s="1428" t="str">
        <f t="shared" si="684"/>
        <v>Rev</v>
      </c>
      <c r="DH332" s="1429" t="str">
        <f t="shared" si="684"/>
        <v>[Service]</v>
      </c>
      <c r="DI332" s="1429" t="str">
        <f t="shared" si="684"/>
        <v>[Price]</v>
      </c>
      <c r="DJ332" s="1435" t="str">
        <f t="shared" si="673"/>
        <v>-</v>
      </c>
      <c r="DK332" s="1431" t="str">
        <f t="shared" si="674"/>
        <v>-</v>
      </c>
      <c r="DL332" s="1431" t="str">
        <f t="shared" si="675"/>
        <v>-</v>
      </c>
      <c r="DM332" s="1433" t="str">
        <f t="shared" si="676"/>
        <v>-</v>
      </c>
      <c r="DN332" s="1431" t="str">
        <f t="shared" si="677"/>
        <v>-</v>
      </c>
      <c r="DO332" s="1431" t="str">
        <f t="shared" si="678"/>
        <v>-</v>
      </c>
      <c r="DP332" s="1431" t="str">
        <f t="shared" si="679"/>
        <v>-</v>
      </c>
      <c r="DQ332" s="1434" t="str">
        <f t="shared" si="680"/>
        <v>-</v>
      </c>
    </row>
    <row r="333" spans="4:121">
      <c r="D333" s="70">
        <f>D330+1</f>
        <v>89</v>
      </c>
      <c r="E333" s="713" t="s">
        <v>44</v>
      </c>
      <c r="F333" s="789" t="s">
        <v>27</v>
      </c>
      <c r="G333" s="789"/>
      <c r="H333" s="789"/>
      <c r="I333" s="781" t="s">
        <v>318</v>
      </c>
      <c r="J333" s="781" t="s">
        <v>345</v>
      </c>
      <c r="K333" s="714"/>
      <c r="L333" s="715"/>
      <c r="M333" s="715"/>
      <c r="N333" s="716"/>
      <c r="O333" s="783"/>
      <c r="P333" s="784"/>
      <c r="Q333" s="783"/>
      <c r="R333" s="783"/>
      <c r="S333" s="783"/>
      <c r="T333" s="783"/>
      <c r="U333" s="783"/>
      <c r="V333" s="783"/>
      <c r="W333" s="783"/>
      <c r="X333" s="784"/>
      <c r="Y333" s="783"/>
      <c r="Z333" s="783"/>
      <c r="AA333" s="783"/>
      <c r="AB333" s="783"/>
      <c r="AC333" s="784"/>
      <c r="AD333" s="783"/>
      <c r="AE333" s="783"/>
      <c r="AF333" s="783"/>
      <c r="AG333" s="785"/>
      <c r="AI333" s="745"/>
      <c r="AJ333" s="717" t="str">
        <f t="shared" ref="AJ333:AS333" si="695">IFERROR((X333-W333)/W333,"")</f>
        <v/>
      </c>
      <c r="AK333" s="718" t="str">
        <f t="shared" si="695"/>
        <v/>
      </c>
      <c r="AL333" s="718" t="str">
        <f t="shared" si="695"/>
        <v/>
      </c>
      <c r="AM333" s="718" t="str">
        <f t="shared" si="695"/>
        <v/>
      </c>
      <c r="AN333" s="718" t="str">
        <f t="shared" si="695"/>
        <v/>
      </c>
      <c r="AO333" s="719" t="str">
        <f t="shared" si="695"/>
        <v/>
      </c>
      <c r="AP333" s="494" t="str">
        <f t="shared" si="695"/>
        <v/>
      </c>
      <c r="AQ333" s="494" t="str">
        <f t="shared" si="695"/>
        <v/>
      </c>
      <c r="AR333" s="494" t="str">
        <f t="shared" si="695"/>
        <v/>
      </c>
      <c r="AS333" s="720" t="str">
        <f t="shared" si="695"/>
        <v/>
      </c>
      <c r="AU333" s="1369"/>
      <c r="AW333" s="1412" t="str">
        <f t="shared" si="682"/>
        <v>Price</v>
      </c>
      <c r="AX333" s="1413" t="str">
        <f t="shared" si="682"/>
        <v>[Service]</v>
      </c>
      <c r="AY333" s="1414" t="str">
        <f t="shared" si="646"/>
        <v>[Price]</v>
      </c>
      <c r="AZ333" s="1415" t="str">
        <f t="shared" si="647"/>
        <v>-</v>
      </c>
      <c r="BA333" s="1415" t="str">
        <f t="shared" si="647"/>
        <v>-</v>
      </c>
      <c r="BB333" s="1415" t="str">
        <f t="shared" si="647"/>
        <v>-</v>
      </c>
      <c r="BC333" s="1415" t="str">
        <f t="shared" si="647"/>
        <v>-</v>
      </c>
      <c r="BD333" s="1415" t="str">
        <f t="shared" si="648"/>
        <v>-</v>
      </c>
      <c r="BE333" s="1415" t="str">
        <f t="shared" si="649"/>
        <v>-</v>
      </c>
      <c r="BF333" s="1415" t="str">
        <f t="shared" si="650"/>
        <v>-</v>
      </c>
      <c r="BG333" s="1416" t="str">
        <f t="shared" si="651"/>
        <v>-</v>
      </c>
      <c r="BH333" s="1417" t="str">
        <f t="shared" si="652"/>
        <v>-</v>
      </c>
      <c r="BI333" s="1417" t="str">
        <f t="shared" si="653"/>
        <v>-</v>
      </c>
      <c r="BJ333" s="1417" t="str">
        <f t="shared" si="654"/>
        <v>-</v>
      </c>
      <c r="BK333" s="1417" t="str">
        <f t="shared" si="655"/>
        <v>-</v>
      </c>
      <c r="BL333" s="1418" t="str">
        <f t="shared" si="656"/>
        <v>-</v>
      </c>
      <c r="BM333" s="1417" t="str">
        <f t="shared" si="657"/>
        <v>-</v>
      </c>
      <c r="BN333" s="1417" t="str">
        <f t="shared" si="658"/>
        <v>-</v>
      </c>
      <c r="BO333" s="1417" t="str">
        <f t="shared" si="659"/>
        <v>-</v>
      </c>
      <c r="BP333" s="1417" t="str">
        <f t="shared" si="660"/>
        <v>-</v>
      </c>
      <c r="BQ333" s="1419" t="str">
        <f t="shared" si="661"/>
        <v>-</v>
      </c>
      <c r="BR333" s="1378"/>
      <c r="BS333" s="1420"/>
      <c r="BT333" s="1421"/>
      <c r="BU333" s="1422"/>
      <c r="BV333" s="1423"/>
      <c r="BW333" s="1378"/>
      <c r="BX333" s="1412" t="str">
        <f t="shared" si="662"/>
        <v>Price</v>
      </c>
      <c r="BY333" s="1413" t="str">
        <f t="shared" si="557"/>
        <v>[Service]</v>
      </c>
      <c r="BZ333" s="1414" t="str">
        <f t="shared" si="558"/>
        <v>[Price]</v>
      </c>
      <c r="CA333" s="1424" t="str">
        <f>IFERROR((S333/R333-1)*(R335/R$13),"-")</f>
        <v>-</v>
      </c>
      <c r="CB333" s="1415" t="str">
        <f>IFERROR((T333/S333-1)*(S335/S$13),"-")</f>
        <v>-</v>
      </c>
      <c r="CC333" s="1415" t="str">
        <f>IFERROR((U333/T333-1)*(T335/T$13),"-")</f>
        <v>-</v>
      </c>
      <c r="CD333" s="1415" t="str">
        <f>IFERROR((V333/U333-1)*(U335/U$13),"-")</f>
        <v>-</v>
      </c>
      <c r="CE333" s="1415" t="str">
        <f t="shared" ref="CE333:CR333" si="696">IFERROR((T333/S333-1)*(S335/S$13),"-")</f>
        <v>-</v>
      </c>
      <c r="CF333" s="1415" t="str">
        <f t="shared" si="696"/>
        <v>-</v>
      </c>
      <c r="CG333" s="1415" t="str">
        <f t="shared" si="696"/>
        <v>-</v>
      </c>
      <c r="CH333" s="1425" t="str">
        <f t="shared" si="696"/>
        <v>-</v>
      </c>
      <c r="CI333" s="1417" t="str">
        <f t="shared" si="696"/>
        <v>-</v>
      </c>
      <c r="CJ333" s="1417" t="str">
        <f t="shared" si="696"/>
        <v>-</v>
      </c>
      <c r="CK333" s="1417" t="str">
        <f t="shared" si="696"/>
        <v>-</v>
      </c>
      <c r="CL333" s="1417" t="str">
        <f t="shared" si="696"/>
        <v>-</v>
      </c>
      <c r="CM333" s="1418" t="str">
        <f t="shared" si="696"/>
        <v>-</v>
      </c>
      <c r="CN333" s="1417" t="str">
        <f t="shared" si="696"/>
        <v>-</v>
      </c>
      <c r="CO333" s="1417" t="str">
        <f t="shared" si="696"/>
        <v>-</v>
      </c>
      <c r="CP333" s="1417" t="str">
        <f t="shared" si="696"/>
        <v>-</v>
      </c>
      <c r="CQ333" s="1417" t="str">
        <f t="shared" si="696"/>
        <v>-</v>
      </c>
      <c r="CR333" s="1419" t="str">
        <f t="shared" si="696"/>
        <v>-</v>
      </c>
      <c r="CS333" s="1378"/>
      <c r="CT333" s="1412" t="str">
        <f t="shared" si="643"/>
        <v>Price</v>
      </c>
      <c r="CU333" s="1413" t="str">
        <f t="shared" si="644"/>
        <v>[Service]</v>
      </c>
      <c r="CV333" s="1426" t="str">
        <f t="shared" si="645"/>
        <v>[Price]</v>
      </c>
      <c r="CW333" s="1427" t="str">
        <f t="shared" si="664"/>
        <v>-</v>
      </c>
      <c r="CX333" s="1417" t="str">
        <f t="shared" si="665"/>
        <v>-</v>
      </c>
      <c r="CY333" s="1417" t="str">
        <f t="shared" si="666"/>
        <v>-</v>
      </c>
      <c r="CZ333" s="1418" t="str">
        <f t="shared" si="667"/>
        <v>-</v>
      </c>
      <c r="DA333" s="1417" t="str">
        <f t="shared" si="668"/>
        <v>-</v>
      </c>
      <c r="DB333" s="1417" t="str">
        <f t="shared" si="669"/>
        <v>-</v>
      </c>
      <c r="DC333" s="1417" t="str">
        <f t="shared" si="670"/>
        <v>-</v>
      </c>
      <c r="DD333" s="1417" t="str">
        <f t="shared" si="671"/>
        <v>-</v>
      </c>
      <c r="DE333" s="1419" t="str">
        <f t="shared" si="672"/>
        <v>-</v>
      </c>
      <c r="DF333" s="1378"/>
      <c r="DG333" s="1412" t="str">
        <f t="shared" si="684"/>
        <v>Price</v>
      </c>
      <c r="DH333" s="1413" t="str">
        <f t="shared" si="684"/>
        <v>[Service]</v>
      </c>
      <c r="DI333" s="1426" t="str">
        <f t="shared" si="684"/>
        <v>[Price]</v>
      </c>
      <c r="DJ333" s="1427" t="str">
        <f t="shared" si="673"/>
        <v>-</v>
      </c>
      <c r="DK333" s="1417" t="str">
        <f t="shared" si="674"/>
        <v>-</v>
      </c>
      <c r="DL333" s="1417" t="str">
        <f t="shared" si="675"/>
        <v>-</v>
      </c>
      <c r="DM333" s="1418" t="str">
        <f t="shared" si="676"/>
        <v>-</v>
      </c>
      <c r="DN333" s="1417" t="str">
        <f t="shared" si="677"/>
        <v>-</v>
      </c>
      <c r="DO333" s="1417" t="str">
        <f t="shared" si="678"/>
        <v>-</v>
      </c>
      <c r="DP333" s="1417" t="str">
        <f t="shared" si="679"/>
        <v>-</v>
      </c>
      <c r="DQ333" s="1419" t="str">
        <f t="shared" si="680"/>
        <v>-</v>
      </c>
    </row>
    <row r="334" spans="4:121">
      <c r="E334" s="742" t="s">
        <v>45</v>
      </c>
      <c r="F334" s="722" t="str">
        <f>+F333</f>
        <v>[Service]</v>
      </c>
      <c r="G334" s="723">
        <f>+G333</f>
        <v>0</v>
      </c>
      <c r="H334" s="723">
        <f>+H333</f>
        <v>0</v>
      </c>
      <c r="I334" s="724" t="str">
        <f>+I333</f>
        <v>[Price]</v>
      </c>
      <c r="J334" s="782" t="s">
        <v>322</v>
      </c>
      <c r="K334" s="725"/>
      <c r="L334" s="726"/>
      <c r="M334" s="726"/>
      <c r="N334" s="727"/>
      <c r="O334" s="786"/>
      <c r="P334" s="787"/>
      <c r="Q334" s="786"/>
      <c r="R334" s="786"/>
      <c r="S334" s="786"/>
      <c r="T334" s="786"/>
      <c r="U334" s="786"/>
      <c r="V334" s="786"/>
      <c r="W334" s="786"/>
      <c r="X334" s="787"/>
      <c r="Y334" s="786"/>
      <c r="Z334" s="786"/>
      <c r="AA334" s="786"/>
      <c r="AB334" s="786"/>
      <c r="AC334" s="787"/>
      <c r="AD334" s="786"/>
      <c r="AE334" s="786"/>
      <c r="AF334" s="786"/>
      <c r="AG334" s="788"/>
      <c r="AH334" s="823"/>
      <c r="AI334" s="745"/>
      <c r="AJ334" s="728"/>
      <c r="AK334" s="729"/>
      <c r="AL334" s="729"/>
      <c r="AM334" s="729"/>
      <c r="AN334" s="729"/>
      <c r="AO334" s="730"/>
      <c r="AP334" s="74"/>
      <c r="AQ334" s="74"/>
      <c r="AR334" s="74"/>
      <c r="AS334" s="106"/>
      <c r="AW334" s="1392" t="str">
        <f t="shared" si="682"/>
        <v>Qty</v>
      </c>
      <c r="AX334" s="1393" t="str">
        <f t="shared" si="682"/>
        <v>[Service]</v>
      </c>
      <c r="AY334" s="1394" t="str">
        <f t="shared" si="646"/>
        <v>[Price]</v>
      </c>
      <c r="AZ334" s="1395" t="str">
        <f t="shared" si="647"/>
        <v>-</v>
      </c>
      <c r="BA334" s="1395" t="str">
        <f t="shared" si="647"/>
        <v>-</v>
      </c>
      <c r="BB334" s="1395" t="str">
        <f t="shared" si="647"/>
        <v>-</v>
      </c>
      <c r="BC334" s="1395" t="str">
        <f t="shared" si="647"/>
        <v>-</v>
      </c>
      <c r="BD334" s="1395" t="str">
        <f t="shared" si="648"/>
        <v>-</v>
      </c>
      <c r="BE334" s="1395" t="str">
        <f t="shared" si="649"/>
        <v>-</v>
      </c>
      <c r="BF334" s="1395" t="str">
        <f t="shared" si="650"/>
        <v>-</v>
      </c>
      <c r="BG334" s="1396" t="str">
        <f t="shared" si="651"/>
        <v>-</v>
      </c>
      <c r="BH334" s="1395" t="str">
        <f t="shared" si="652"/>
        <v>-</v>
      </c>
      <c r="BI334" s="1395" t="str">
        <f t="shared" si="653"/>
        <v>-</v>
      </c>
      <c r="BJ334" s="1395" t="str">
        <f t="shared" si="654"/>
        <v>-</v>
      </c>
      <c r="BK334" s="1395" t="str">
        <f t="shared" si="655"/>
        <v>-</v>
      </c>
      <c r="BL334" s="1397" t="str">
        <f t="shared" si="656"/>
        <v>-</v>
      </c>
      <c r="BM334" s="1395" t="str">
        <f t="shared" si="657"/>
        <v>-</v>
      </c>
      <c r="BN334" s="1395" t="str">
        <f t="shared" si="658"/>
        <v>-</v>
      </c>
      <c r="BO334" s="1395" t="str">
        <f t="shared" si="659"/>
        <v>-</v>
      </c>
      <c r="BP334" s="1395" t="str">
        <f t="shared" si="660"/>
        <v>-</v>
      </c>
      <c r="BQ334" s="1398" t="str">
        <f t="shared" si="661"/>
        <v>-</v>
      </c>
      <c r="BR334" s="1378"/>
      <c r="BS334" s="1329"/>
      <c r="BT334" s="1399"/>
      <c r="BU334" s="1331"/>
      <c r="BV334" s="1400"/>
      <c r="BW334" s="1378"/>
      <c r="BX334" s="1392" t="str">
        <f t="shared" si="662"/>
        <v>Qty</v>
      </c>
      <c r="BY334" s="1393" t="str">
        <f t="shared" si="557"/>
        <v>[Service]</v>
      </c>
      <c r="BZ334" s="1394" t="str">
        <f t="shared" si="558"/>
        <v>[Price]</v>
      </c>
      <c r="CA334" s="1401" t="str">
        <f>IFERROR((S334/R334-1)*(R335/R$13),"-")</f>
        <v>-</v>
      </c>
      <c r="CB334" s="1395" t="str">
        <f>IFERROR((T334/S334-1)*(S335/S$13),"-")</f>
        <v>-</v>
      </c>
      <c r="CC334" s="1395" t="str">
        <f>IFERROR((U334/T334-1)*(T335/T$13),"-")</f>
        <v>-</v>
      </c>
      <c r="CD334" s="1395" t="str">
        <f>IFERROR((V334/U334-1)*(U335/U$13),"-")</f>
        <v>-</v>
      </c>
      <c r="CE334" s="1395" t="str">
        <f t="shared" ref="CE334:CR334" si="697">IFERROR((T334/S334-1)*(S335/S$13),"-")</f>
        <v>-</v>
      </c>
      <c r="CF334" s="1395" t="str">
        <f t="shared" si="697"/>
        <v>-</v>
      </c>
      <c r="CG334" s="1395" t="str">
        <f t="shared" si="697"/>
        <v>-</v>
      </c>
      <c r="CH334" s="1397" t="str">
        <f t="shared" si="697"/>
        <v>-</v>
      </c>
      <c r="CI334" s="1395" t="str">
        <f t="shared" si="697"/>
        <v>-</v>
      </c>
      <c r="CJ334" s="1395" t="str">
        <f t="shared" si="697"/>
        <v>-</v>
      </c>
      <c r="CK334" s="1395" t="str">
        <f t="shared" si="697"/>
        <v>-</v>
      </c>
      <c r="CL334" s="1395" t="str">
        <f t="shared" si="697"/>
        <v>-</v>
      </c>
      <c r="CM334" s="1397" t="str">
        <f t="shared" si="697"/>
        <v>-</v>
      </c>
      <c r="CN334" s="1395" t="str">
        <f t="shared" si="697"/>
        <v>-</v>
      </c>
      <c r="CO334" s="1395" t="str">
        <f t="shared" si="697"/>
        <v>-</v>
      </c>
      <c r="CP334" s="1395" t="str">
        <f t="shared" si="697"/>
        <v>-</v>
      </c>
      <c r="CQ334" s="1395" t="str">
        <f t="shared" si="697"/>
        <v>-</v>
      </c>
      <c r="CR334" s="1398" t="str">
        <f t="shared" si="697"/>
        <v>-</v>
      </c>
      <c r="CS334" s="1378"/>
      <c r="CT334" s="1392" t="str">
        <f t="shared" si="643"/>
        <v>Qty</v>
      </c>
      <c r="CU334" s="1393" t="str">
        <f t="shared" si="644"/>
        <v>[Service]</v>
      </c>
      <c r="CV334" s="1393" t="str">
        <f t="shared" si="645"/>
        <v>[Price]</v>
      </c>
      <c r="CW334" s="1401" t="str">
        <f t="shared" si="664"/>
        <v>-</v>
      </c>
      <c r="CX334" s="1395" t="str">
        <f t="shared" si="665"/>
        <v>-</v>
      </c>
      <c r="CY334" s="1395" t="str">
        <f t="shared" si="666"/>
        <v>-</v>
      </c>
      <c r="CZ334" s="1397" t="str">
        <f t="shared" si="667"/>
        <v>-</v>
      </c>
      <c r="DA334" s="1395" t="str">
        <f t="shared" si="668"/>
        <v>-</v>
      </c>
      <c r="DB334" s="1395" t="str">
        <f t="shared" si="669"/>
        <v>-</v>
      </c>
      <c r="DC334" s="1395" t="str">
        <f t="shared" si="670"/>
        <v>-</v>
      </c>
      <c r="DD334" s="1395" t="str">
        <f t="shared" si="671"/>
        <v>-</v>
      </c>
      <c r="DE334" s="1398" t="str">
        <f t="shared" si="672"/>
        <v>-</v>
      </c>
      <c r="DF334" s="1378"/>
      <c r="DG334" s="1392" t="str">
        <f t="shared" si="684"/>
        <v>Qty</v>
      </c>
      <c r="DH334" s="1393" t="str">
        <f t="shared" si="684"/>
        <v>[Service]</v>
      </c>
      <c r="DI334" s="1393" t="str">
        <f t="shared" si="684"/>
        <v>[Price]</v>
      </c>
      <c r="DJ334" s="1401" t="str">
        <f t="shared" si="673"/>
        <v>-</v>
      </c>
      <c r="DK334" s="1395" t="str">
        <f t="shared" si="674"/>
        <v>-</v>
      </c>
      <c r="DL334" s="1395" t="str">
        <f t="shared" si="675"/>
        <v>-</v>
      </c>
      <c r="DM334" s="1397" t="str">
        <f t="shared" si="676"/>
        <v>-</v>
      </c>
      <c r="DN334" s="1395" t="str">
        <f t="shared" si="677"/>
        <v>-</v>
      </c>
      <c r="DO334" s="1395" t="str">
        <f t="shared" si="678"/>
        <v>-</v>
      </c>
      <c r="DP334" s="1395" t="str">
        <f t="shared" si="679"/>
        <v>-</v>
      </c>
      <c r="DQ334" s="1398" t="str">
        <f t="shared" si="680"/>
        <v>-</v>
      </c>
    </row>
    <row r="335" spans="4:121" ht="12.75" thickBot="1">
      <c r="E335" s="743" t="s">
        <v>46</v>
      </c>
      <c r="F335" s="732" t="str">
        <f>+F333</f>
        <v>[Service]</v>
      </c>
      <c r="G335" s="733">
        <f>+G333</f>
        <v>0</v>
      </c>
      <c r="H335" s="733">
        <f>+H333</f>
        <v>0</v>
      </c>
      <c r="I335" s="734" t="str">
        <f>+I333</f>
        <v>[Price]</v>
      </c>
      <c r="J335" s="735" t="s">
        <v>344</v>
      </c>
      <c r="K335" s="736">
        <f t="shared" ref="K335:AG335" si="698">K333*K334/10^6</f>
        <v>0</v>
      </c>
      <c r="L335" s="737">
        <f t="shared" si="698"/>
        <v>0</v>
      </c>
      <c r="M335" s="737">
        <f t="shared" si="698"/>
        <v>0</v>
      </c>
      <c r="N335" s="738">
        <f t="shared" si="698"/>
        <v>0</v>
      </c>
      <c r="O335" s="737">
        <f t="shared" si="698"/>
        <v>0</v>
      </c>
      <c r="P335" s="738">
        <f t="shared" si="698"/>
        <v>0</v>
      </c>
      <c r="Q335" s="737">
        <f t="shared" si="698"/>
        <v>0</v>
      </c>
      <c r="R335" s="737">
        <f t="shared" si="698"/>
        <v>0</v>
      </c>
      <c r="S335" s="737">
        <f t="shared" si="698"/>
        <v>0</v>
      </c>
      <c r="T335" s="737">
        <f t="shared" si="698"/>
        <v>0</v>
      </c>
      <c r="U335" s="737">
        <f t="shared" si="698"/>
        <v>0</v>
      </c>
      <c r="V335" s="737">
        <f t="shared" si="698"/>
        <v>0</v>
      </c>
      <c r="W335" s="737">
        <f t="shared" si="698"/>
        <v>0</v>
      </c>
      <c r="X335" s="738">
        <f t="shared" si="698"/>
        <v>0</v>
      </c>
      <c r="Y335" s="737">
        <f t="shared" si="698"/>
        <v>0</v>
      </c>
      <c r="Z335" s="737">
        <f t="shared" si="698"/>
        <v>0</v>
      </c>
      <c r="AA335" s="737">
        <f t="shared" si="698"/>
        <v>0</v>
      </c>
      <c r="AB335" s="737">
        <f t="shared" si="698"/>
        <v>0</v>
      </c>
      <c r="AC335" s="738">
        <f t="shared" si="698"/>
        <v>0</v>
      </c>
      <c r="AD335" s="737">
        <f t="shared" si="698"/>
        <v>0</v>
      </c>
      <c r="AE335" s="737">
        <f t="shared" si="698"/>
        <v>0</v>
      </c>
      <c r="AF335" s="737">
        <f t="shared" si="698"/>
        <v>0</v>
      </c>
      <c r="AG335" s="739">
        <f t="shared" si="698"/>
        <v>0</v>
      </c>
      <c r="AH335" s="823"/>
      <c r="AI335" s="745"/>
      <c r="AJ335" s="741"/>
      <c r="AK335" s="729"/>
      <c r="AL335" s="729"/>
      <c r="AM335" s="729"/>
      <c r="AN335" s="729"/>
      <c r="AO335" s="730"/>
      <c r="AP335" s="74"/>
      <c r="AQ335" s="74"/>
      <c r="AR335" s="74"/>
      <c r="AS335" s="106"/>
      <c r="AW335" s="1428" t="str">
        <f t="shared" si="682"/>
        <v>Rev</v>
      </c>
      <c r="AX335" s="1429" t="str">
        <f t="shared" si="682"/>
        <v>[Service]</v>
      </c>
      <c r="AY335" s="1430" t="str">
        <f t="shared" si="646"/>
        <v>[Price]</v>
      </c>
      <c r="AZ335" s="1431" t="str">
        <f t="shared" si="647"/>
        <v>-</v>
      </c>
      <c r="BA335" s="1431" t="str">
        <f t="shared" si="647"/>
        <v>-</v>
      </c>
      <c r="BB335" s="1431" t="str">
        <f t="shared" si="647"/>
        <v>-</v>
      </c>
      <c r="BC335" s="1431" t="str">
        <f t="shared" si="647"/>
        <v>-</v>
      </c>
      <c r="BD335" s="1431" t="str">
        <f t="shared" si="648"/>
        <v>-</v>
      </c>
      <c r="BE335" s="1431" t="str">
        <f t="shared" si="649"/>
        <v>-</v>
      </c>
      <c r="BF335" s="1431" t="str">
        <f t="shared" si="650"/>
        <v>-</v>
      </c>
      <c r="BG335" s="1432" t="str">
        <f t="shared" si="651"/>
        <v>-</v>
      </c>
      <c r="BH335" s="1431" t="str">
        <f t="shared" si="652"/>
        <v>-</v>
      </c>
      <c r="BI335" s="1431" t="str">
        <f t="shared" si="653"/>
        <v>-</v>
      </c>
      <c r="BJ335" s="1431" t="str">
        <f t="shared" si="654"/>
        <v>-</v>
      </c>
      <c r="BK335" s="1431" t="str">
        <f t="shared" si="655"/>
        <v>-</v>
      </c>
      <c r="BL335" s="1433" t="str">
        <f t="shared" si="656"/>
        <v>-</v>
      </c>
      <c r="BM335" s="1431" t="str">
        <f t="shared" si="657"/>
        <v>-</v>
      </c>
      <c r="BN335" s="1431" t="str">
        <f t="shared" si="658"/>
        <v>-</v>
      </c>
      <c r="BO335" s="1431" t="str">
        <f t="shared" si="659"/>
        <v>-</v>
      </c>
      <c r="BP335" s="1431" t="str">
        <f t="shared" si="660"/>
        <v>-</v>
      </c>
      <c r="BQ335" s="1434" t="str">
        <f t="shared" si="661"/>
        <v>-</v>
      </c>
      <c r="BR335" s="1378"/>
      <c r="BS335" s="1407"/>
      <c r="BT335" s="1408"/>
      <c r="BU335" s="1409"/>
      <c r="BV335" s="1410"/>
      <c r="BW335" s="1378"/>
      <c r="BX335" s="1428" t="str">
        <f t="shared" si="662"/>
        <v>Rev</v>
      </c>
      <c r="BY335" s="1429" t="str">
        <f t="shared" si="557"/>
        <v>[Service]</v>
      </c>
      <c r="BZ335" s="1430" t="str">
        <f t="shared" si="558"/>
        <v>[Price]</v>
      </c>
      <c r="CA335" s="1435" t="str">
        <f>IFERROR((S335/R335-1)*(R335/R$13),"-")</f>
        <v>-</v>
      </c>
      <c r="CB335" s="1431" t="str">
        <f>IFERROR((T335/S335-1)*(S335/S$13),"-")</f>
        <v>-</v>
      </c>
      <c r="CC335" s="1431" t="str">
        <f>IFERROR((U335/T335-1)*(T335/T$13),"-")</f>
        <v>-</v>
      </c>
      <c r="CD335" s="1431" t="str">
        <f>IFERROR((V335/U335-1)*(U335/U$13),"-")</f>
        <v>-</v>
      </c>
      <c r="CE335" s="1431" t="str">
        <f t="shared" ref="CE335:CR335" si="699">IFERROR((T335/S335-1)*(S335/S$13),"-")</f>
        <v>-</v>
      </c>
      <c r="CF335" s="1431" t="str">
        <f t="shared" si="699"/>
        <v>-</v>
      </c>
      <c r="CG335" s="1431" t="str">
        <f t="shared" si="699"/>
        <v>-</v>
      </c>
      <c r="CH335" s="1433" t="str">
        <f t="shared" si="699"/>
        <v>-</v>
      </c>
      <c r="CI335" s="1431" t="str">
        <f t="shared" si="699"/>
        <v>-</v>
      </c>
      <c r="CJ335" s="1431" t="str">
        <f t="shared" si="699"/>
        <v>-</v>
      </c>
      <c r="CK335" s="1431" t="str">
        <f t="shared" si="699"/>
        <v>-</v>
      </c>
      <c r="CL335" s="1431" t="str">
        <f t="shared" si="699"/>
        <v>-</v>
      </c>
      <c r="CM335" s="1433" t="str">
        <f t="shared" si="699"/>
        <v>-</v>
      </c>
      <c r="CN335" s="1431" t="str">
        <f t="shared" si="699"/>
        <v>-</v>
      </c>
      <c r="CO335" s="1431" t="str">
        <f t="shared" si="699"/>
        <v>-</v>
      </c>
      <c r="CP335" s="1431" t="str">
        <f t="shared" si="699"/>
        <v>-</v>
      </c>
      <c r="CQ335" s="1431" t="str">
        <f t="shared" si="699"/>
        <v>-</v>
      </c>
      <c r="CR335" s="1434" t="str">
        <f t="shared" si="699"/>
        <v>-</v>
      </c>
      <c r="CS335" s="1378"/>
      <c r="CT335" s="1428" t="str">
        <f t="shared" si="643"/>
        <v>Rev</v>
      </c>
      <c r="CU335" s="1429" t="str">
        <f t="shared" si="644"/>
        <v>[Service]</v>
      </c>
      <c r="CV335" s="1429" t="str">
        <f t="shared" si="645"/>
        <v>[Price]</v>
      </c>
      <c r="CW335" s="1435" t="str">
        <f t="shared" si="664"/>
        <v>-</v>
      </c>
      <c r="CX335" s="1431" t="str">
        <f t="shared" si="665"/>
        <v>-</v>
      </c>
      <c r="CY335" s="1431" t="str">
        <f t="shared" si="666"/>
        <v>-</v>
      </c>
      <c r="CZ335" s="1433" t="str">
        <f t="shared" si="667"/>
        <v>-</v>
      </c>
      <c r="DA335" s="1431" t="str">
        <f t="shared" si="668"/>
        <v>-</v>
      </c>
      <c r="DB335" s="1431" t="str">
        <f t="shared" si="669"/>
        <v>-</v>
      </c>
      <c r="DC335" s="1431" t="str">
        <f t="shared" si="670"/>
        <v>-</v>
      </c>
      <c r="DD335" s="1431" t="str">
        <f t="shared" si="671"/>
        <v>-</v>
      </c>
      <c r="DE335" s="1434" t="str">
        <f t="shared" si="672"/>
        <v>-</v>
      </c>
      <c r="DF335" s="1378"/>
      <c r="DG335" s="1428" t="str">
        <f t="shared" si="684"/>
        <v>Rev</v>
      </c>
      <c r="DH335" s="1429" t="str">
        <f t="shared" si="684"/>
        <v>[Service]</v>
      </c>
      <c r="DI335" s="1429" t="str">
        <f t="shared" si="684"/>
        <v>[Price]</v>
      </c>
      <c r="DJ335" s="1435" t="str">
        <f t="shared" si="673"/>
        <v>-</v>
      </c>
      <c r="DK335" s="1431" t="str">
        <f t="shared" si="674"/>
        <v>-</v>
      </c>
      <c r="DL335" s="1431" t="str">
        <f t="shared" si="675"/>
        <v>-</v>
      </c>
      <c r="DM335" s="1433" t="str">
        <f t="shared" si="676"/>
        <v>-</v>
      </c>
      <c r="DN335" s="1431" t="str">
        <f t="shared" si="677"/>
        <v>-</v>
      </c>
      <c r="DO335" s="1431" t="str">
        <f t="shared" si="678"/>
        <v>-</v>
      </c>
      <c r="DP335" s="1431" t="str">
        <f t="shared" si="679"/>
        <v>-</v>
      </c>
      <c r="DQ335" s="1434" t="str">
        <f t="shared" si="680"/>
        <v>-</v>
      </c>
    </row>
    <row r="336" spans="4:121">
      <c r="D336" s="70">
        <f>D333+1</f>
        <v>90</v>
      </c>
      <c r="E336" s="713" t="s">
        <v>44</v>
      </c>
      <c r="F336" s="789" t="s">
        <v>27</v>
      </c>
      <c r="G336" s="789"/>
      <c r="H336" s="789"/>
      <c r="I336" s="781" t="s">
        <v>318</v>
      </c>
      <c r="J336" s="781" t="s">
        <v>345</v>
      </c>
      <c r="K336" s="714"/>
      <c r="L336" s="715"/>
      <c r="M336" s="715"/>
      <c r="N336" s="716"/>
      <c r="O336" s="783"/>
      <c r="P336" s="784"/>
      <c r="Q336" s="783"/>
      <c r="R336" s="783"/>
      <c r="S336" s="783"/>
      <c r="T336" s="783"/>
      <c r="U336" s="783"/>
      <c r="V336" s="783"/>
      <c r="W336" s="783"/>
      <c r="X336" s="784"/>
      <c r="Y336" s="783"/>
      <c r="Z336" s="783"/>
      <c r="AA336" s="783"/>
      <c r="AB336" s="783"/>
      <c r="AC336" s="784"/>
      <c r="AD336" s="783"/>
      <c r="AE336" s="783"/>
      <c r="AF336" s="783"/>
      <c r="AG336" s="785"/>
      <c r="AI336" s="745"/>
      <c r="AJ336" s="717" t="str">
        <f t="shared" ref="AJ336:AS336" si="700">IFERROR((X336-W336)/W336,"")</f>
        <v/>
      </c>
      <c r="AK336" s="718" t="str">
        <f t="shared" si="700"/>
        <v/>
      </c>
      <c r="AL336" s="718" t="str">
        <f t="shared" si="700"/>
        <v/>
      </c>
      <c r="AM336" s="718" t="str">
        <f t="shared" si="700"/>
        <v/>
      </c>
      <c r="AN336" s="718" t="str">
        <f t="shared" si="700"/>
        <v/>
      </c>
      <c r="AO336" s="719" t="str">
        <f t="shared" si="700"/>
        <v/>
      </c>
      <c r="AP336" s="494" t="str">
        <f t="shared" si="700"/>
        <v/>
      </c>
      <c r="AQ336" s="494" t="str">
        <f t="shared" si="700"/>
        <v/>
      </c>
      <c r="AR336" s="494" t="str">
        <f t="shared" si="700"/>
        <v/>
      </c>
      <c r="AS336" s="720" t="str">
        <f t="shared" si="700"/>
        <v/>
      </c>
      <c r="AU336" s="1369"/>
      <c r="AW336" s="1412" t="str">
        <f t="shared" si="682"/>
        <v>Price</v>
      </c>
      <c r="AX336" s="1413" t="str">
        <f t="shared" si="682"/>
        <v>[Service]</v>
      </c>
      <c r="AY336" s="1414" t="str">
        <f t="shared" si="646"/>
        <v>[Price]</v>
      </c>
      <c r="AZ336" s="1415" t="str">
        <f t="shared" si="647"/>
        <v>-</v>
      </c>
      <c r="BA336" s="1415" t="str">
        <f t="shared" si="647"/>
        <v>-</v>
      </c>
      <c r="BB336" s="1415" t="str">
        <f t="shared" si="647"/>
        <v>-</v>
      </c>
      <c r="BC336" s="1415" t="str">
        <f t="shared" si="647"/>
        <v>-</v>
      </c>
      <c r="BD336" s="1415" t="str">
        <f t="shared" si="648"/>
        <v>-</v>
      </c>
      <c r="BE336" s="1415" t="str">
        <f t="shared" si="649"/>
        <v>-</v>
      </c>
      <c r="BF336" s="1415" t="str">
        <f t="shared" si="650"/>
        <v>-</v>
      </c>
      <c r="BG336" s="1416" t="str">
        <f t="shared" si="651"/>
        <v>-</v>
      </c>
      <c r="BH336" s="1417" t="str">
        <f t="shared" si="652"/>
        <v>-</v>
      </c>
      <c r="BI336" s="1417" t="str">
        <f t="shared" si="653"/>
        <v>-</v>
      </c>
      <c r="BJ336" s="1417" t="str">
        <f t="shared" si="654"/>
        <v>-</v>
      </c>
      <c r="BK336" s="1417" t="str">
        <f t="shared" si="655"/>
        <v>-</v>
      </c>
      <c r="BL336" s="1418" t="str">
        <f t="shared" si="656"/>
        <v>-</v>
      </c>
      <c r="BM336" s="1417" t="str">
        <f t="shared" si="657"/>
        <v>-</v>
      </c>
      <c r="BN336" s="1417" t="str">
        <f t="shared" si="658"/>
        <v>-</v>
      </c>
      <c r="BO336" s="1417" t="str">
        <f t="shared" si="659"/>
        <v>-</v>
      </c>
      <c r="BP336" s="1417" t="str">
        <f t="shared" si="660"/>
        <v>-</v>
      </c>
      <c r="BQ336" s="1419" t="str">
        <f t="shared" si="661"/>
        <v>-</v>
      </c>
      <c r="BR336" s="1378"/>
      <c r="BS336" s="1420"/>
      <c r="BT336" s="1421"/>
      <c r="BU336" s="1422"/>
      <c r="BV336" s="1423"/>
      <c r="BW336" s="1378"/>
      <c r="BX336" s="1412" t="str">
        <f t="shared" si="662"/>
        <v>Price</v>
      </c>
      <c r="BY336" s="1413" t="str">
        <f t="shared" si="557"/>
        <v>[Service]</v>
      </c>
      <c r="BZ336" s="1414" t="str">
        <f t="shared" si="558"/>
        <v>[Price]</v>
      </c>
      <c r="CA336" s="1424" t="str">
        <f>IFERROR((S336/R336-1)*(R338/R$13),"-")</f>
        <v>-</v>
      </c>
      <c r="CB336" s="1415" t="str">
        <f>IFERROR((T336/S336-1)*(S338/S$13),"-")</f>
        <v>-</v>
      </c>
      <c r="CC336" s="1415" t="str">
        <f>IFERROR((U336/T336-1)*(T338/T$13),"-")</f>
        <v>-</v>
      </c>
      <c r="CD336" s="1415" t="str">
        <f>IFERROR((V336/U336-1)*(U338/U$13),"-")</f>
        <v>-</v>
      </c>
      <c r="CE336" s="1415" t="str">
        <f t="shared" ref="CE336:CR336" si="701">IFERROR((T336/S336-1)*(S338/S$13),"-")</f>
        <v>-</v>
      </c>
      <c r="CF336" s="1415" t="str">
        <f t="shared" si="701"/>
        <v>-</v>
      </c>
      <c r="CG336" s="1415" t="str">
        <f t="shared" si="701"/>
        <v>-</v>
      </c>
      <c r="CH336" s="1425" t="str">
        <f t="shared" si="701"/>
        <v>-</v>
      </c>
      <c r="CI336" s="1417" t="str">
        <f t="shared" si="701"/>
        <v>-</v>
      </c>
      <c r="CJ336" s="1417" t="str">
        <f t="shared" si="701"/>
        <v>-</v>
      </c>
      <c r="CK336" s="1417" t="str">
        <f t="shared" si="701"/>
        <v>-</v>
      </c>
      <c r="CL336" s="1417" t="str">
        <f t="shared" si="701"/>
        <v>-</v>
      </c>
      <c r="CM336" s="1418" t="str">
        <f t="shared" si="701"/>
        <v>-</v>
      </c>
      <c r="CN336" s="1417" t="str">
        <f t="shared" si="701"/>
        <v>-</v>
      </c>
      <c r="CO336" s="1417" t="str">
        <f t="shared" si="701"/>
        <v>-</v>
      </c>
      <c r="CP336" s="1417" t="str">
        <f t="shared" si="701"/>
        <v>-</v>
      </c>
      <c r="CQ336" s="1417" t="str">
        <f t="shared" si="701"/>
        <v>-</v>
      </c>
      <c r="CR336" s="1419" t="str">
        <f t="shared" si="701"/>
        <v>-</v>
      </c>
      <c r="CS336" s="1378"/>
      <c r="CT336" s="1412" t="str">
        <f t="shared" si="643"/>
        <v>Price</v>
      </c>
      <c r="CU336" s="1413" t="str">
        <f t="shared" si="644"/>
        <v>[Service]</v>
      </c>
      <c r="CV336" s="1426" t="str">
        <f t="shared" si="645"/>
        <v>[Price]</v>
      </c>
      <c r="CW336" s="1427" t="str">
        <f t="shared" si="664"/>
        <v>-</v>
      </c>
      <c r="CX336" s="1417" t="str">
        <f t="shared" si="665"/>
        <v>-</v>
      </c>
      <c r="CY336" s="1417" t="str">
        <f t="shared" si="666"/>
        <v>-</v>
      </c>
      <c r="CZ336" s="1418" t="str">
        <f t="shared" si="667"/>
        <v>-</v>
      </c>
      <c r="DA336" s="1417" t="str">
        <f t="shared" si="668"/>
        <v>-</v>
      </c>
      <c r="DB336" s="1417" t="str">
        <f t="shared" si="669"/>
        <v>-</v>
      </c>
      <c r="DC336" s="1417" t="str">
        <f t="shared" si="670"/>
        <v>-</v>
      </c>
      <c r="DD336" s="1417" t="str">
        <f t="shared" si="671"/>
        <v>-</v>
      </c>
      <c r="DE336" s="1419" t="str">
        <f t="shared" si="672"/>
        <v>-</v>
      </c>
      <c r="DF336" s="1378"/>
      <c r="DG336" s="1412" t="str">
        <f t="shared" si="684"/>
        <v>Price</v>
      </c>
      <c r="DH336" s="1413" t="str">
        <f t="shared" si="684"/>
        <v>[Service]</v>
      </c>
      <c r="DI336" s="1426" t="str">
        <f t="shared" si="684"/>
        <v>[Price]</v>
      </c>
      <c r="DJ336" s="1427" t="str">
        <f t="shared" si="673"/>
        <v>-</v>
      </c>
      <c r="DK336" s="1417" t="str">
        <f t="shared" si="674"/>
        <v>-</v>
      </c>
      <c r="DL336" s="1417" t="str">
        <f t="shared" si="675"/>
        <v>-</v>
      </c>
      <c r="DM336" s="1418" t="str">
        <f t="shared" si="676"/>
        <v>-</v>
      </c>
      <c r="DN336" s="1417" t="str">
        <f t="shared" si="677"/>
        <v>-</v>
      </c>
      <c r="DO336" s="1417" t="str">
        <f t="shared" si="678"/>
        <v>-</v>
      </c>
      <c r="DP336" s="1417" t="str">
        <f t="shared" si="679"/>
        <v>-</v>
      </c>
      <c r="DQ336" s="1419" t="str">
        <f t="shared" si="680"/>
        <v>-</v>
      </c>
    </row>
    <row r="337" spans="4:121">
      <c r="E337" s="742" t="s">
        <v>45</v>
      </c>
      <c r="F337" s="722" t="str">
        <f>+F336</f>
        <v>[Service]</v>
      </c>
      <c r="G337" s="723">
        <f>+G336</f>
        <v>0</v>
      </c>
      <c r="H337" s="723">
        <f>+H336</f>
        <v>0</v>
      </c>
      <c r="I337" s="724" t="str">
        <f>+I336</f>
        <v>[Price]</v>
      </c>
      <c r="J337" s="782" t="s">
        <v>322</v>
      </c>
      <c r="K337" s="725"/>
      <c r="L337" s="726"/>
      <c r="M337" s="726"/>
      <c r="N337" s="727"/>
      <c r="O337" s="786"/>
      <c r="P337" s="787"/>
      <c r="Q337" s="786"/>
      <c r="R337" s="786"/>
      <c r="S337" s="786"/>
      <c r="T337" s="786"/>
      <c r="U337" s="786"/>
      <c r="V337" s="786"/>
      <c r="W337" s="786"/>
      <c r="X337" s="787"/>
      <c r="Y337" s="786"/>
      <c r="Z337" s="786"/>
      <c r="AA337" s="786"/>
      <c r="AB337" s="786"/>
      <c r="AC337" s="787"/>
      <c r="AD337" s="786"/>
      <c r="AE337" s="786"/>
      <c r="AF337" s="786"/>
      <c r="AG337" s="788"/>
      <c r="AH337" s="823"/>
      <c r="AI337" s="745"/>
      <c r="AJ337" s="728"/>
      <c r="AK337" s="729"/>
      <c r="AL337" s="729"/>
      <c r="AM337" s="729"/>
      <c r="AN337" s="729"/>
      <c r="AO337" s="730"/>
      <c r="AP337" s="74"/>
      <c r="AQ337" s="74"/>
      <c r="AR337" s="74"/>
      <c r="AS337" s="106"/>
      <c r="AW337" s="1392" t="str">
        <f t="shared" si="682"/>
        <v>Qty</v>
      </c>
      <c r="AX337" s="1393" t="str">
        <f t="shared" si="682"/>
        <v>[Service]</v>
      </c>
      <c r="AY337" s="1394" t="str">
        <f t="shared" si="646"/>
        <v>[Price]</v>
      </c>
      <c r="AZ337" s="1395" t="str">
        <f t="shared" si="647"/>
        <v>-</v>
      </c>
      <c r="BA337" s="1395" t="str">
        <f t="shared" si="647"/>
        <v>-</v>
      </c>
      <c r="BB337" s="1395" t="str">
        <f t="shared" si="647"/>
        <v>-</v>
      </c>
      <c r="BC337" s="1395" t="str">
        <f t="shared" si="647"/>
        <v>-</v>
      </c>
      <c r="BD337" s="1395" t="str">
        <f t="shared" si="648"/>
        <v>-</v>
      </c>
      <c r="BE337" s="1395" t="str">
        <f t="shared" si="649"/>
        <v>-</v>
      </c>
      <c r="BF337" s="1395" t="str">
        <f t="shared" si="650"/>
        <v>-</v>
      </c>
      <c r="BG337" s="1396" t="str">
        <f t="shared" si="651"/>
        <v>-</v>
      </c>
      <c r="BH337" s="1395" t="str">
        <f t="shared" si="652"/>
        <v>-</v>
      </c>
      <c r="BI337" s="1395" t="str">
        <f t="shared" si="653"/>
        <v>-</v>
      </c>
      <c r="BJ337" s="1395" t="str">
        <f t="shared" si="654"/>
        <v>-</v>
      </c>
      <c r="BK337" s="1395" t="str">
        <f t="shared" si="655"/>
        <v>-</v>
      </c>
      <c r="BL337" s="1397" t="str">
        <f t="shared" si="656"/>
        <v>-</v>
      </c>
      <c r="BM337" s="1395" t="str">
        <f t="shared" si="657"/>
        <v>-</v>
      </c>
      <c r="BN337" s="1395" t="str">
        <f t="shared" si="658"/>
        <v>-</v>
      </c>
      <c r="BO337" s="1395" t="str">
        <f t="shared" si="659"/>
        <v>-</v>
      </c>
      <c r="BP337" s="1395" t="str">
        <f t="shared" si="660"/>
        <v>-</v>
      </c>
      <c r="BQ337" s="1398" t="str">
        <f t="shared" si="661"/>
        <v>-</v>
      </c>
      <c r="BR337" s="1378"/>
      <c r="BS337" s="1329"/>
      <c r="BT337" s="1399"/>
      <c r="BU337" s="1331"/>
      <c r="BV337" s="1400"/>
      <c r="BW337" s="1378"/>
      <c r="BX337" s="1392" t="str">
        <f t="shared" si="662"/>
        <v>Qty</v>
      </c>
      <c r="BY337" s="1393" t="str">
        <f t="shared" si="557"/>
        <v>[Service]</v>
      </c>
      <c r="BZ337" s="1394" t="str">
        <f t="shared" si="558"/>
        <v>[Price]</v>
      </c>
      <c r="CA337" s="1401" t="str">
        <f>IFERROR((S337/R337-1)*(R338/R$13),"-")</f>
        <v>-</v>
      </c>
      <c r="CB337" s="1395" t="str">
        <f>IFERROR((T337/S337-1)*(S338/S$13),"-")</f>
        <v>-</v>
      </c>
      <c r="CC337" s="1395" t="str">
        <f>IFERROR((U337/T337-1)*(T338/T$13),"-")</f>
        <v>-</v>
      </c>
      <c r="CD337" s="1395" t="str">
        <f>IFERROR((V337/U337-1)*(U338/U$13),"-")</f>
        <v>-</v>
      </c>
      <c r="CE337" s="1395" t="str">
        <f t="shared" ref="CE337:CR337" si="702">IFERROR((T337/S337-1)*(S338/S$13),"-")</f>
        <v>-</v>
      </c>
      <c r="CF337" s="1395" t="str">
        <f t="shared" si="702"/>
        <v>-</v>
      </c>
      <c r="CG337" s="1395" t="str">
        <f t="shared" si="702"/>
        <v>-</v>
      </c>
      <c r="CH337" s="1397" t="str">
        <f t="shared" si="702"/>
        <v>-</v>
      </c>
      <c r="CI337" s="1395" t="str">
        <f t="shared" si="702"/>
        <v>-</v>
      </c>
      <c r="CJ337" s="1395" t="str">
        <f t="shared" si="702"/>
        <v>-</v>
      </c>
      <c r="CK337" s="1395" t="str">
        <f t="shared" si="702"/>
        <v>-</v>
      </c>
      <c r="CL337" s="1395" t="str">
        <f t="shared" si="702"/>
        <v>-</v>
      </c>
      <c r="CM337" s="1397" t="str">
        <f t="shared" si="702"/>
        <v>-</v>
      </c>
      <c r="CN337" s="1395" t="str">
        <f t="shared" si="702"/>
        <v>-</v>
      </c>
      <c r="CO337" s="1395" t="str">
        <f t="shared" si="702"/>
        <v>-</v>
      </c>
      <c r="CP337" s="1395" t="str">
        <f t="shared" si="702"/>
        <v>-</v>
      </c>
      <c r="CQ337" s="1395" t="str">
        <f t="shared" si="702"/>
        <v>-</v>
      </c>
      <c r="CR337" s="1398" t="str">
        <f t="shared" si="702"/>
        <v>-</v>
      </c>
      <c r="CS337" s="1378"/>
      <c r="CT337" s="1392" t="str">
        <f t="shared" si="643"/>
        <v>Qty</v>
      </c>
      <c r="CU337" s="1393" t="str">
        <f t="shared" si="644"/>
        <v>[Service]</v>
      </c>
      <c r="CV337" s="1393" t="str">
        <f t="shared" si="645"/>
        <v>[Price]</v>
      </c>
      <c r="CW337" s="1401" t="str">
        <f t="shared" si="664"/>
        <v>-</v>
      </c>
      <c r="CX337" s="1395" t="str">
        <f t="shared" si="665"/>
        <v>-</v>
      </c>
      <c r="CY337" s="1395" t="str">
        <f t="shared" si="666"/>
        <v>-</v>
      </c>
      <c r="CZ337" s="1397" t="str">
        <f t="shared" si="667"/>
        <v>-</v>
      </c>
      <c r="DA337" s="1395" t="str">
        <f t="shared" si="668"/>
        <v>-</v>
      </c>
      <c r="DB337" s="1395" t="str">
        <f t="shared" si="669"/>
        <v>-</v>
      </c>
      <c r="DC337" s="1395" t="str">
        <f t="shared" si="670"/>
        <v>-</v>
      </c>
      <c r="DD337" s="1395" t="str">
        <f t="shared" si="671"/>
        <v>-</v>
      </c>
      <c r="DE337" s="1398" t="str">
        <f t="shared" si="672"/>
        <v>-</v>
      </c>
      <c r="DF337" s="1378"/>
      <c r="DG337" s="1392" t="str">
        <f t="shared" si="684"/>
        <v>Qty</v>
      </c>
      <c r="DH337" s="1393" t="str">
        <f t="shared" si="684"/>
        <v>[Service]</v>
      </c>
      <c r="DI337" s="1393" t="str">
        <f t="shared" si="684"/>
        <v>[Price]</v>
      </c>
      <c r="DJ337" s="1401" t="str">
        <f t="shared" si="673"/>
        <v>-</v>
      </c>
      <c r="DK337" s="1395" t="str">
        <f t="shared" si="674"/>
        <v>-</v>
      </c>
      <c r="DL337" s="1395" t="str">
        <f t="shared" si="675"/>
        <v>-</v>
      </c>
      <c r="DM337" s="1397" t="str">
        <f t="shared" si="676"/>
        <v>-</v>
      </c>
      <c r="DN337" s="1395" t="str">
        <f t="shared" si="677"/>
        <v>-</v>
      </c>
      <c r="DO337" s="1395" t="str">
        <f t="shared" si="678"/>
        <v>-</v>
      </c>
      <c r="DP337" s="1395" t="str">
        <f t="shared" si="679"/>
        <v>-</v>
      </c>
      <c r="DQ337" s="1398" t="str">
        <f t="shared" si="680"/>
        <v>-</v>
      </c>
    </row>
    <row r="338" spans="4:121" ht="12.75" thickBot="1">
      <c r="E338" s="743" t="s">
        <v>46</v>
      </c>
      <c r="F338" s="732" t="str">
        <f>+F336</f>
        <v>[Service]</v>
      </c>
      <c r="G338" s="733">
        <f>+G336</f>
        <v>0</v>
      </c>
      <c r="H338" s="733">
        <f>+H336</f>
        <v>0</v>
      </c>
      <c r="I338" s="734" t="str">
        <f>+I336</f>
        <v>[Price]</v>
      </c>
      <c r="J338" s="735" t="s">
        <v>344</v>
      </c>
      <c r="K338" s="736">
        <f t="shared" ref="K338:AG338" si="703">K336*K337/10^6</f>
        <v>0</v>
      </c>
      <c r="L338" s="737">
        <f t="shared" si="703"/>
        <v>0</v>
      </c>
      <c r="M338" s="737">
        <f t="shared" si="703"/>
        <v>0</v>
      </c>
      <c r="N338" s="738">
        <f t="shared" si="703"/>
        <v>0</v>
      </c>
      <c r="O338" s="737">
        <f t="shared" si="703"/>
        <v>0</v>
      </c>
      <c r="P338" s="738">
        <f t="shared" si="703"/>
        <v>0</v>
      </c>
      <c r="Q338" s="737">
        <f t="shared" si="703"/>
        <v>0</v>
      </c>
      <c r="R338" s="737">
        <f t="shared" si="703"/>
        <v>0</v>
      </c>
      <c r="S338" s="737">
        <f t="shared" si="703"/>
        <v>0</v>
      </c>
      <c r="T338" s="737">
        <f t="shared" si="703"/>
        <v>0</v>
      </c>
      <c r="U338" s="737">
        <f t="shared" si="703"/>
        <v>0</v>
      </c>
      <c r="V338" s="737">
        <f t="shared" si="703"/>
        <v>0</v>
      </c>
      <c r="W338" s="737">
        <f t="shared" si="703"/>
        <v>0</v>
      </c>
      <c r="X338" s="738">
        <f t="shared" si="703"/>
        <v>0</v>
      </c>
      <c r="Y338" s="737">
        <f t="shared" si="703"/>
        <v>0</v>
      </c>
      <c r="Z338" s="737">
        <f t="shared" si="703"/>
        <v>0</v>
      </c>
      <c r="AA338" s="737">
        <f t="shared" si="703"/>
        <v>0</v>
      </c>
      <c r="AB338" s="737">
        <f t="shared" si="703"/>
        <v>0</v>
      </c>
      <c r="AC338" s="738">
        <f t="shared" si="703"/>
        <v>0</v>
      </c>
      <c r="AD338" s="737">
        <f t="shared" si="703"/>
        <v>0</v>
      </c>
      <c r="AE338" s="737">
        <f t="shared" si="703"/>
        <v>0</v>
      </c>
      <c r="AF338" s="737">
        <f t="shared" si="703"/>
        <v>0</v>
      </c>
      <c r="AG338" s="739">
        <f t="shared" si="703"/>
        <v>0</v>
      </c>
      <c r="AH338" s="823"/>
      <c r="AI338" s="745"/>
      <c r="AJ338" s="741"/>
      <c r="AK338" s="729"/>
      <c r="AL338" s="729"/>
      <c r="AM338" s="729"/>
      <c r="AN338" s="729"/>
      <c r="AO338" s="730"/>
      <c r="AP338" s="74"/>
      <c r="AQ338" s="74"/>
      <c r="AR338" s="74"/>
      <c r="AS338" s="106"/>
      <c r="AW338" s="1428" t="str">
        <f t="shared" si="682"/>
        <v>Rev</v>
      </c>
      <c r="AX338" s="1429" t="str">
        <f t="shared" si="682"/>
        <v>[Service]</v>
      </c>
      <c r="AY338" s="1430" t="str">
        <f t="shared" si="646"/>
        <v>[Price]</v>
      </c>
      <c r="AZ338" s="1431" t="str">
        <f t="shared" si="647"/>
        <v>-</v>
      </c>
      <c r="BA338" s="1431" t="str">
        <f t="shared" si="647"/>
        <v>-</v>
      </c>
      <c r="BB338" s="1431" t="str">
        <f t="shared" si="647"/>
        <v>-</v>
      </c>
      <c r="BC338" s="1431" t="str">
        <f t="shared" si="647"/>
        <v>-</v>
      </c>
      <c r="BD338" s="1431" t="str">
        <f t="shared" si="648"/>
        <v>-</v>
      </c>
      <c r="BE338" s="1431" t="str">
        <f t="shared" si="649"/>
        <v>-</v>
      </c>
      <c r="BF338" s="1431" t="str">
        <f t="shared" si="650"/>
        <v>-</v>
      </c>
      <c r="BG338" s="1432" t="str">
        <f t="shared" si="651"/>
        <v>-</v>
      </c>
      <c r="BH338" s="1431" t="str">
        <f t="shared" si="652"/>
        <v>-</v>
      </c>
      <c r="BI338" s="1431" t="str">
        <f t="shared" si="653"/>
        <v>-</v>
      </c>
      <c r="BJ338" s="1431" t="str">
        <f t="shared" si="654"/>
        <v>-</v>
      </c>
      <c r="BK338" s="1431" t="str">
        <f t="shared" si="655"/>
        <v>-</v>
      </c>
      <c r="BL338" s="1433" t="str">
        <f t="shared" si="656"/>
        <v>-</v>
      </c>
      <c r="BM338" s="1431" t="str">
        <f t="shared" si="657"/>
        <v>-</v>
      </c>
      <c r="BN338" s="1431" t="str">
        <f t="shared" si="658"/>
        <v>-</v>
      </c>
      <c r="BO338" s="1431" t="str">
        <f t="shared" si="659"/>
        <v>-</v>
      </c>
      <c r="BP338" s="1431" t="str">
        <f t="shared" si="660"/>
        <v>-</v>
      </c>
      <c r="BQ338" s="1434" t="str">
        <f t="shared" si="661"/>
        <v>-</v>
      </c>
      <c r="BR338" s="1378"/>
      <c r="BS338" s="1407"/>
      <c r="BT338" s="1408"/>
      <c r="BU338" s="1409"/>
      <c r="BV338" s="1410"/>
      <c r="BW338" s="1378"/>
      <c r="BX338" s="1428" t="str">
        <f t="shared" si="662"/>
        <v>Rev</v>
      </c>
      <c r="BY338" s="1429" t="str">
        <f t="shared" si="557"/>
        <v>[Service]</v>
      </c>
      <c r="BZ338" s="1430" t="str">
        <f t="shared" si="558"/>
        <v>[Price]</v>
      </c>
      <c r="CA338" s="1435" t="str">
        <f>IFERROR((S338/R338-1)*(R338/R$13),"-")</f>
        <v>-</v>
      </c>
      <c r="CB338" s="1431" t="str">
        <f>IFERROR((T338/S338-1)*(S338/S$13),"-")</f>
        <v>-</v>
      </c>
      <c r="CC338" s="1431" t="str">
        <f>IFERROR((U338/T338-1)*(T338/T$13),"-")</f>
        <v>-</v>
      </c>
      <c r="CD338" s="1431" t="str">
        <f>IFERROR((V338/U338-1)*(U338/U$13),"-")</f>
        <v>-</v>
      </c>
      <c r="CE338" s="1431" t="str">
        <f t="shared" ref="CE338:CR338" si="704">IFERROR((T338/S338-1)*(S338/S$13),"-")</f>
        <v>-</v>
      </c>
      <c r="CF338" s="1431" t="str">
        <f t="shared" si="704"/>
        <v>-</v>
      </c>
      <c r="CG338" s="1431" t="str">
        <f t="shared" si="704"/>
        <v>-</v>
      </c>
      <c r="CH338" s="1433" t="str">
        <f t="shared" si="704"/>
        <v>-</v>
      </c>
      <c r="CI338" s="1431" t="str">
        <f t="shared" si="704"/>
        <v>-</v>
      </c>
      <c r="CJ338" s="1431" t="str">
        <f t="shared" si="704"/>
        <v>-</v>
      </c>
      <c r="CK338" s="1431" t="str">
        <f t="shared" si="704"/>
        <v>-</v>
      </c>
      <c r="CL338" s="1431" t="str">
        <f t="shared" si="704"/>
        <v>-</v>
      </c>
      <c r="CM338" s="1433" t="str">
        <f t="shared" si="704"/>
        <v>-</v>
      </c>
      <c r="CN338" s="1431" t="str">
        <f t="shared" si="704"/>
        <v>-</v>
      </c>
      <c r="CO338" s="1431" t="str">
        <f t="shared" si="704"/>
        <v>-</v>
      </c>
      <c r="CP338" s="1431" t="str">
        <f t="shared" si="704"/>
        <v>-</v>
      </c>
      <c r="CQ338" s="1431" t="str">
        <f t="shared" si="704"/>
        <v>-</v>
      </c>
      <c r="CR338" s="1434" t="str">
        <f t="shared" si="704"/>
        <v>-</v>
      </c>
      <c r="CS338" s="1378"/>
      <c r="CT338" s="1428" t="str">
        <f t="shared" si="643"/>
        <v>Rev</v>
      </c>
      <c r="CU338" s="1429" t="str">
        <f t="shared" si="644"/>
        <v>[Service]</v>
      </c>
      <c r="CV338" s="1429" t="str">
        <f t="shared" si="645"/>
        <v>[Price]</v>
      </c>
      <c r="CW338" s="1435" t="str">
        <f t="shared" si="664"/>
        <v>-</v>
      </c>
      <c r="CX338" s="1431" t="str">
        <f t="shared" si="665"/>
        <v>-</v>
      </c>
      <c r="CY338" s="1431" t="str">
        <f t="shared" si="666"/>
        <v>-</v>
      </c>
      <c r="CZ338" s="1433" t="str">
        <f t="shared" si="667"/>
        <v>-</v>
      </c>
      <c r="DA338" s="1431" t="str">
        <f t="shared" si="668"/>
        <v>-</v>
      </c>
      <c r="DB338" s="1431" t="str">
        <f t="shared" si="669"/>
        <v>-</v>
      </c>
      <c r="DC338" s="1431" t="str">
        <f t="shared" si="670"/>
        <v>-</v>
      </c>
      <c r="DD338" s="1431" t="str">
        <f t="shared" si="671"/>
        <v>-</v>
      </c>
      <c r="DE338" s="1434" t="str">
        <f t="shared" si="672"/>
        <v>-</v>
      </c>
      <c r="DF338" s="1378"/>
      <c r="DG338" s="1428" t="str">
        <f t="shared" si="684"/>
        <v>Rev</v>
      </c>
      <c r="DH338" s="1429" t="str">
        <f t="shared" si="684"/>
        <v>[Service]</v>
      </c>
      <c r="DI338" s="1429" t="str">
        <f t="shared" si="684"/>
        <v>[Price]</v>
      </c>
      <c r="DJ338" s="1435" t="str">
        <f t="shared" si="673"/>
        <v>-</v>
      </c>
      <c r="DK338" s="1431" t="str">
        <f t="shared" si="674"/>
        <v>-</v>
      </c>
      <c r="DL338" s="1431" t="str">
        <f t="shared" si="675"/>
        <v>-</v>
      </c>
      <c r="DM338" s="1433" t="str">
        <f t="shared" si="676"/>
        <v>-</v>
      </c>
      <c r="DN338" s="1431" t="str">
        <f t="shared" si="677"/>
        <v>-</v>
      </c>
      <c r="DO338" s="1431" t="str">
        <f t="shared" si="678"/>
        <v>-</v>
      </c>
      <c r="DP338" s="1431" t="str">
        <f t="shared" si="679"/>
        <v>-</v>
      </c>
      <c r="DQ338" s="1434" t="str">
        <f t="shared" si="680"/>
        <v>-</v>
      </c>
    </row>
    <row r="339" spans="4:121">
      <c r="D339" s="70">
        <f>D336+1</f>
        <v>91</v>
      </c>
      <c r="E339" s="713" t="s">
        <v>44</v>
      </c>
      <c r="F339" s="789" t="s">
        <v>27</v>
      </c>
      <c r="G339" s="789"/>
      <c r="H339" s="789"/>
      <c r="I339" s="781" t="s">
        <v>318</v>
      </c>
      <c r="J339" s="781" t="s">
        <v>345</v>
      </c>
      <c r="K339" s="714"/>
      <c r="L339" s="715"/>
      <c r="M339" s="715"/>
      <c r="N339" s="716"/>
      <c r="O339" s="783"/>
      <c r="P339" s="784"/>
      <c r="Q339" s="783"/>
      <c r="R339" s="783"/>
      <c r="S339" s="783"/>
      <c r="T339" s="783"/>
      <c r="U339" s="783"/>
      <c r="V339" s="783"/>
      <c r="W339" s="783"/>
      <c r="X339" s="784"/>
      <c r="Y339" s="783"/>
      <c r="Z339" s="783"/>
      <c r="AA339" s="783"/>
      <c r="AB339" s="783"/>
      <c r="AC339" s="784"/>
      <c r="AD339" s="783"/>
      <c r="AE339" s="783"/>
      <c r="AF339" s="783"/>
      <c r="AG339" s="785"/>
      <c r="AI339" s="745"/>
      <c r="AJ339" s="717" t="str">
        <f t="shared" ref="AJ339:AS339" si="705">IFERROR((X339-W339)/W339,"")</f>
        <v/>
      </c>
      <c r="AK339" s="718" t="str">
        <f t="shared" si="705"/>
        <v/>
      </c>
      <c r="AL339" s="718" t="str">
        <f t="shared" si="705"/>
        <v/>
      </c>
      <c r="AM339" s="718" t="str">
        <f t="shared" si="705"/>
        <v/>
      </c>
      <c r="AN339" s="718" t="str">
        <f t="shared" si="705"/>
        <v/>
      </c>
      <c r="AO339" s="719" t="str">
        <f t="shared" si="705"/>
        <v/>
      </c>
      <c r="AP339" s="494" t="str">
        <f t="shared" si="705"/>
        <v/>
      </c>
      <c r="AQ339" s="494" t="str">
        <f t="shared" si="705"/>
        <v/>
      </c>
      <c r="AR339" s="494" t="str">
        <f t="shared" si="705"/>
        <v/>
      </c>
      <c r="AS339" s="720" t="str">
        <f t="shared" si="705"/>
        <v/>
      </c>
      <c r="AU339" s="1369"/>
      <c r="AW339" s="1412" t="str">
        <f t="shared" si="682"/>
        <v>Price</v>
      </c>
      <c r="AX339" s="1413" t="str">
        <f t="shared" si="682"/>
        <v>[Service]</v>
      </c>
      <c r="AY339" s="1414" t="str">
        <f t="shared" si="646"/>
        <v>[Price]</v>
      </c>
      <c r="AZ339" s="1415" t="str">
        <f t="shared" si="647"/>
        <v>-</v>
      </c>
      <c r="BA339" s="1415" t="str">
        <f t="shared" si="647"/>
        <v>-</v>
      </c>
      <c r="BB339" s="1415" t="str">
        <f t="shared" si="647"/>
        <v>-</v>
      </c>
      <c r="BC339" s="1415" t="str">
        <f t="shared" si="647"/>
        <v>-</v>
      </c>
      <c r="BD339" s="1415" t="str">
        <f t="shared" si="648"/>
        <v>-</v>
      </c>
      <c r="BE339" s="1415" t="str">
        <f t="shared" si="649"/>
        <v>-</v>
      </c>
      <c r="BF339" s="1415" t="str">
        <f t="shared" si="650"/>
        <v>-</v>
      </c>
      <c r="BG339" s="1416" t="str">
        <f t="shared" si="651"/>
        <v>-</v>
      </c>
      <c r="BH339" s="1417" t="str">
        <f t="shared" si="652"/>
        <v>-</v>
      </c>
      <c r="BI339" s="1417" t="str">
        <f t="shared" si="653"/>
        <v>-</v>
      </c>
      <c r="BJ339" s="1417" t="str">
        <f t="shared" si="654"/>
        <v>-</v>
      </c>
      <c r="BK339" s="1417" t="str">
        <f t="shared" si="655"/>
        <v>-</v>
      </c>
      <c r="BL339" s="1418" t="str">
        <f t="shared" si="656"/>
        <v>-</v>
      </c>
      <c r="BM339" s="1417" t="str">
        <f t="shared" si="657"/>
        <v>-</v>
      </c>
      <c r="BN339" s="1417" t="str">
        <f t="shared" si="658"/>
        <v>-</v>
      </c>
      <c r="BO339" s="1417" t="str">
        <f t="shared" si="659"/>
        <v>-</v>
      </c>
      <c r="BP339" s="1417" t="str">
        <f t="shared" si="660"/>
        <v>-</v>
      </c>
      <c r="BQ339" s="1419" t="str">
        <f t="shared" si="661"/>
        <v>-</v>
      </c>
      <c r="BR339" s="1378"/>
      <c r="BS339" s="1420"/>
      <c r="BT339" s="1421"/>
      <c r="BU339" s="1422"/>
      <c r="BV339" s="1423"/>
      <c r="BW339" s="1378"/>
      <c r="BX339" s="1412" t="str">
        <f t="shared" si="662"/>
        <v>Price</v>
      </c>
      <c r="BY339" s="1413" t="str">
        <f t="shared" si="557"/>
        <v>[Service]</v>
      </c>
      <c r="BZ339" s="1414" t="str">
        <f t="shared" si="558"/>
        <v>[Price]</v>
      </c>
      <c r="CA339" s="1424" t="str">
        <f>IFERROR((S339/R339-1)*(R341/R$13),"-")</f>
        <v>-</v>
      </c>
      <c r="CB339" s="1415" t="str">
        <f>IFERROR((T339/S339-1)*(S341/S$13),"-")</f>
        <v>-</v>
      </c>
      <c r="CC339" s="1415" t="str">
        <f>IFERROR((U339/T339-1)*(T341/T$13),"-")</f>
        <v>-</v>
      </c>
      <c r="CD339" s="1415" t="str">
        <f>IFERROR((V339/U339-1)*(U341/U$13),"-")</f>
        <v>-</v>
      </c>
      <c r="CE339" s="1415" t="str">
        <f t="shared" ref="CE339:CR339" si="706">IFERROR((T339/S339-1)*(S341/S$13),"-")</f>
        <v>-</v>
      </c>
      <c r="CF339" s="1415" t="str">
        <f t="shared" si="706"/>
        <v>-</v>
      </c>
      <c r="CG339" s="1415" t="str">
        <f t="shared" si="706"/>
        <v>-</v>
      </c>
      <c r="CH339" s="1425" t="str">
        <f t="shared" si="706"/>
        <v>-</v>
      </c>
      <c r="CI339" s="1417" t="str">
        <f t="shared" si="706"/>
        <v>-</v>
      </c>
      <c r="CJ339" s="1417" t="str">
        <f t="shared" si="706"/>
        <v>-</v>
      </c>
      <c r="CK339" s="1417" t="str">
        <f t="shared" si="706"/>
        <v>-</v>
      </c>
      <c r="CL339" s="1417" t="str">
        <f t="shared" si="706"/>
        <v>-</v>
      </c>
      <c r="CM339" s="1418" t="str">
        <f t="shared" si="706"/>
        <v>-</v>
      </c>
      <c r="CN339" s="1417" t="str">
        <f t="shared" si="706"/>
        <v>-</v>
      </c>
      <c r="CO339" s="1417" t="str">
        <f t="shared" si="706"/>
        <v>-</v>
      </c>
      <c r="CP339" s="1417" t="str">
        <f t="shared" si="706"/>
        <v>-</v>
      </c>
      <c r="CQ339" s="1417" t="str">
        <f t="shared" si="706"/>
        <v>-</v>
      </c>
      <c r="CR339" s="1419" t="str">
        <f t="shared" si="706"/>
        <v>-</v>
      </c>
      <c r="CS339" s="1378"/>
      <c r="CT339" s="1412" t="str">
        <f t="shared" si="643"/>
        <v>Price</v>
      </c>
      <c r="CU339" s="1413" t="str">
        <f t="shared" si="644"/>
        <v>[Service]</v>
      </c>
      <c r="CV339" s="1426" t="str">
        <f t="shared" si="645"/>
        <v>[Price]</v>
      </c>
      <c r="CW339" s="1427" t="str">
        <f t="shared" si="664"/>
        <v>-</v>
      </c>
      <c r="CX339" s="1417" t="str">
        <f t="shared" si="665"/>
        <v>-</v>
      </c>
      <c r="CY339" s="1417" t="str">
        <f t="shared" si="666"/>
        <v>-</v>
      </c>
      <c r="CZ339" s="1418" t="str">
        <f t="shared" si="667"/>
        <v>-</v>
      </c>
      <c r="DA339" s="1417" t="str">
        <f t="shared" si="668"/>
        <v>-</v>
      </c>
      <c r="DB339" s="1417" t="str">
        <f t="shared" si="669"/>
        <v>-</v>
      </c>
      <c r="DC339" s="1417" t="str">
        <f t="shared" si="670"/>
        <v>-</v>
      </c>
      <c r="DD339" s="1417" t="str">
        <f t="shared" si="671"/>
        <v>-</v>
      </c>
      <c r="DE339" s="1419" t="str">
        <f t="shared" si="672"/>
        <v>-</v>
      </c>
      <c r="DF339" s="1378"/>
      <c r="DG339" s="1412" t="str">
        <f t="shared" si="684"/>
        <v>Price</v>
      </c>
      <c r="DH339" s="1413" t="str">
        <f t="shared" si="684"/>
        <v>[Service]</v>
      </c>
      <c r="DI339" s="1426" t="str">
        <f t="shared" si="684"/>
        <v>[Price]</v>
      </c>
      <c r="DJ339" s="1427" t="str">
        <f t="shared" si="673"/>
        <v>-</v>
      </c>
      <c r="DK339" s="1417" t="str">
        <f t="shared" si="674"/>
        <v>-</v>
      </c>
      <c r="DL339" s="1417" t="str">
        <f t="shared" si="675"/>
        <v>-</v>
      </c>
      <c r="DM339" s="1418" t="str">
        <f t="shared" si="676"/>
        <v>-</v>
      </c>
      <c r="DN339" s="1417" t="str">
        <f t="shared" si="677"/>
        <v>-</v>
      </c>
      <c r="DO339" s="1417" t="str">
        <f t="shared" si="678"/>
        <v>-</v>
      </c>
      <c r="DP339" s="1417" t="str">
        <f t="shared" si="679"/>
        <v>-</v>
      </c>
      <c r="DQ339" s="1419" t="str">
        <f t="shared" si="680"/>
        <v>-</v>
      </c>
    </row>
    <row r="340" spans="4:121">
      <c r="E340" s="742" t="s">
        <v>45</v>
      </c>
      <c r="F340" s="722" t="str">
        <f>+F339</f>
        <v>[Service]</v>
      </c>
      <c r="G340" s="723">
        <f>+G339</f>
        <v>0</v>
      </c>
      <c r="H340" s="723">
        <f>+H339</f>
        <v>0</v>
      </c>
      <c r="I340" s="724" t="str">
        <f>+I339</f>
        <v>[Price]</v>
      </c>
      <c r="J340" s="782" t="s">
        <v>322</v>
      </c>
      <c r="K340" s="725"/>
      <c r="L340" s="726"/>
      <c r="M340" s="726"/>
      <c r="N340" s="727"/>
      <c r="O340" s="786"/>
      <c r="P340" s="787"/>
      <c r="Q340" s="786"/>
      <c r="R340" s="786"/>
      <c r="S340" s="786"/>
      <c r="T340" s="786"/>
      <c r="U340" s="786"/>
      <c r="V340" s="786"/>
      <c r="W340" s="786"/>
      <c r="X340" s="787"/>
      <c r="Y340" s="786"/>
      <c r="Z340" s="786"/>
      <c r="AA340" s="786"/>
      <c r="AB340" s="786"/>
      <c r="AC340" s="787"/>
      <c r="AD340" s="786"/>
      <c r="AE340" s="786"/>
      <c r="AF340" s="786"/>
      <c r="AG340" s="788"/>
      <c r="AH340" s="823"/>
      <c r="AI340" s="745"/>
      <c r="AJ340" s="728"/>
      <c r="AK340" s="729"/>
      <c r="AL340" s="729"/>
      <c r="AM340" s="729"/>
      <c r="AN340" s="729"/>
      <c r="AO340" s="730"/>
      <c r="AP340" s="74"/>
      <c r="AQ340" s="74"/>
      <c r="AR340" s="74"/>
      <c r="AS340" s="106"/>
      <c r="AW340" s="1392" t="str">
        <f t="shared" si="682"/>
        <v>Qty</v>
      </c>
      <c r="AX340" s="1393" t="str">
        <f t="shared" si="682"/>
        <v>[Service]</v>
      </c>
      <c r="AY340" s="1394" t="str">
        <f t="shared" si="646"/>
        <v>[Price]</v>
      </c>
      <c r="AZ340" s="1395" t="str">
        <f t="shared" si="647"/>
        <v>-</v>
      </c>
      <c r="BA340" s="1395" t="str">
        <f t="shared" si="647"/>
        <v>-</v>
      </c>
      <c r="BB340" s="1395" t="str">
        <f t="shared" si="647"/>
        <v>-</v>
      </c>
      <c r="BC340" s="1395" t="str">
        <f t="shared" si="647"/>
        <v>-</v>
      </c>
      <c r="BD340" s="1395" t="str">
        <f t="shared" si="648"/>
        <v>-</v>
      </c>
      <c r="BE340" s="1395" t="str">
        <f t="shared" si="649"/>
        <v>-</v>
      </c>
      <c r="BF340" s="1395" t="str">
        <f t="shared" si="650"/>
        <v>-</v>
      </c>
      <c r="BG340" s="1396" t="str">
        <f t="shared" si="651"/>
        <v>-</v>
      </c>
      <c r="BH340" s="1395" t="str">
        <f t="shared" si="652"/>
        <v>-</v>
      </c>
      <c r="BI340" s="1395" t="str">
        <f t="shared" si="653"/>
        <v>-</v>
      </c>
      <c r="BJ340" s="1395" t="str">
        <f t="shared" si="654"/>
        <v>-</v>
      </c>
      <c r="BK340" s="1395" t="str">
        <f t="shared" si="655"/>
        <v>-</v>
      </c>
      <c r="BL340" s="1397" t="str">
        <f t="shared" si="656"/>
        <v>-</v>
      </c>
      <c r="BM340" s="1395" t="str">
        <f t="shared" si="657"/>
        <v>-</v>
      </c>
      <c r="BN340" s="1395" t="str">
        <f t="shared" si="658"/>
        <v>-</v>
      </c>
      <c r="BO340" s="1395" t="str">
        <f t="shared" si="659"/>
        <v>-</v>
      </c>
      <c r="BP340" s="1395" t="str">
        <f t="shared" si="660"/>
        <v>-</v>
      </c>
      <c r="BQ340" s="1398" t="str">
        <f t="shared" si="661"/>
        <v>-</v>
      </c>
      <c r="BR340" s="1378"/>
      <c r="BS340" s="1329"/>
      <c r="BT340" s="1399"/>
      <c r="BU340" s="1331"/>
      <c r="BV340" s="1400"/>
      <c r="BW340" s="1378"/>
      <c r="BX340" s="1392" t="str">
        <f t="shared" si="662"/>
        <v>Qty</v>
      </c>
      <c r="BY340" s="1393" t="str">
        <f t="shared" ref="BY340:BY403" si="707">AX340</f>
        <v>[Service]</v>
      </c>
      <c r="BZ340" s="1394" t="str">
        <f t="shared" ref="BZ340:BZ403" si="708">AY340</f>
        <v>[Price]</v>
      </c>
      <c r="CA340" s="1401" t="str">
        <f>IFERROR((S340/R340-1)*(R341/R$13),"-")</f>
        <v>-</v>
      </c>
      <c r="CB340" s="1395" t="str">
        <f>IFERROR((T340/S340-1)*(S341/S$13),"-")</f>
        <v>-</v>
      </c>
      <c r="CC340" s="1395" t="str">
        <f>IFERROR((U340/T340-1)*(T341/T$13),"-")</f>
        <v>-</v>
      </c>
      <c r="CD340" s="1395" t="str">
        <f>IFERROR((V340/U340-1)*(U341/U$13),"-")</f>
        <v>-</v>
      </c>
      <c r="CE340" s="1395" t="str">
        <f t="shared" ref="CE340:CR340" si="709">IFERROR((T340/S340-1)*(S341/S$13),"-")</f>
        <v>-</v>
      </c>
      <c r="CF340" s="1395" t="str">
        <f t="shared" si="709"/>
        <v>-</v>
      </c>
      <c r="CG340" s="1395" t="str">
        <f t="shared" si="709"/>
        <v>-</v>
      </c>
      <c r="CH340" s="1397" t="str">
        <f t="shared" si="709"/>
        <v>-</v>
      </c>
      <c r="CI340" s="1395" t="str">
        <f t="shared" si="709"/>
        <v>-</v>
      </c>
      <c r="CJ340" s="1395" t="str">
        <f t="shared" si="709"/>
        <v>-</v>
      </c>
      <c r="CK340" s="1395" t="str">
        <f t="shared" si="709"/>
        <v>-</v>
      </c>
      <c r="CL340" s="1395" t="str">
        <f t="shared" si="709"/>
        <v>-</v>
      </c>
      <c r="CM340" s="1397" t="str">
        <f t="shared" si="709"/>
        <v>-</v>
      </c>
      <c r="CN340" s="1395" t="str">
        <f t="shared" si="709"/>
        <v>-</v>
      </c>
      <c r="CO340" s="1395" t="str">
        <f t="shared" si="709"/>
        <v>-</v>
      </c>
      <c r="CP340" s="1395" t="str">
        <f t="shared" si="709"/>
        <v>-</v>
      </c>
      <c r="CQ340" s="1395" t="str">
        <f t="shared" si="709"/>
        <v>-</v>
      </c>
      <c r="CR340" s="1398" t="str">
        <f t="shared" si="709"/>
        <v>-</v>
      </c>
      <c r="CS340" s="1378"/>
      <c r="CT340" s="1392" t="str">
        <f t="shared" si="643"/>
        <v>Qty</v>
      </c>
      <c r="CU340" s="1393" t="str">
        <f t="shared" si="644"/>
        <v>[Service]</v>
      </c>
      <c r="CV340" s="1393" t="str">
        <f t="shared" si="645"/>
        <v>[Price]</v>
      </c>
      <c r="CW340" s="1401" t="str">
        <f t="shared" si="664"/>
        <v>-</v>
      </c>
      <c r="CX340" s="1395" t="str">
        <f t="shared" si="665"/>
        <v>-</v>
      </c>
      <c r="CY340" s="1395" t="str">
        <f t="shared" si="666"/>
        <v>-</v>
      </c>
      <c r="CZ340" s="1397" t="str">
        <f t="shared" si="667"/>
        <v>-</v>
      </c>
      <c r="DA340" s="1395" t="str">
        <f t="shared" si="668"/>
        <v>-</v>
      </c>
      <c r="DB340" s="1395" t="str">
        <f t="shared" si="669"/>
        <v>-</v>
      </c>
      <c r="DC340" s="1395" t="str">
        <f t="shared" si="670"/>
        <v>-</v>
      </c>
      <c r="DD340" s="1395" t="str">
        <f t="shared" si="671"/>
        <v>-</v>
      </c>
      <c r="DE340" s="1398" t="str">
        <f t="shared" si="672"/>
        <v>-</v>
      </c>
      <c r="DF340" s="1378"/>
      <c r="DG340" s="1392" t="str">
        <f t="shared" si="684"/>
        <v>Qty</v>
      </c>
      <c r="DH340" s="1393" t="str">
        <f t="shared" si="684"/>
        <v>[Service]</v>
      </c>
      <c r="DI340" s="1393" t="str">
        <f t="shared" si="684"/>
        <v>[Price]</v>
      </c>
      <c r="DJ340" s="1401" t="str">
        <f t="shared" si="673"/>
        <v>-</v>
      </c>
      <c r="DK340" s="1395" t="str">
        <f t="shared" si="674"/>
        <v>-</v>
      </c>
      <c r="DL340" s="1395" t="str">
        <f t="shared" si="675"/>
        <v>-</v>
      </c>
      <c r="DM340" s="1397" t="str">
        <f t="shared" si="676"/>
        <v>-</v>
      </c>
      <c r="DN340" s="1395" t="str">
        <f t="shared" si="677"/>
        <v>-</v>
      </c>
      <c r="DO340" s="1395" t="str">
        <f t="shared" si="678"/>
        <v>-</v>
      </c>
      <c r="DP340" s="1395" t="str">
        <f t="shared" si="679"/>
        <v>-</v>
      </c>
      <c r="DQ340" s="1398" t="str">
        <f t="shared" si="680"/>
        <v>-</v>
      </c>
    </row>
    <row r="341" spans="4:121" ht="12.75" thickBot="1">
      <c r="E341" s="743" t="s">
        <v>46</v>
      </c>
      <c r="F341" s="732" t="str">
        <f>+F339</f>
        <v>[Service]</v>
      </c>
      <c r="G341" s="733">
        <f>+G339</f>
        <v>0</v>
      </c>
      <c r="H341" s="733">
        <f>+H339</f>
        <v>0</v>
      </c>
      <c r="I341" s="734" t="str">
        <f>+I339</f>
        <v>[Price]</v>
      </c>
      <c r="J341" s="735" t="s">
        <v>344</v>
      </c>
      <c r="K341" s="736">
        <f t="shared" ref="K341:AG341" si="710">K339*K340/10^6</f>
        <v>0</v>
      </c>
      <c r="L341" s="737">
        <f t="shared" si="710"/>
        <v>0</v>
      </c>
      <c r="M341" s="737">
        <f t="shared" si="710"/>
        <v>0</v>
      </c>
      <c r="N341" s="738">
        <f t="shared" si="710"/>
        <v>0</v>
      </c>
      <c r="O341" s="737">
        <f t="shared" si="710"/>
        <v>0</v>
      </c>
      <c r="P341" s="738">
        <f t="shared" si="710"/>
        <v>0</v>
      </c>
      <c r="Q341" s="737">
        <f t="shared" si="710"/>
        <v>0</v>
      </c>
      <c r="R341" s="737">
        <f t="shared" si="710"/>
        <v>0</v>
      </c>
      <c r="S341" s="737">
        <f t="shared" si="710"/>
        <v>0</v>
      </c>
      <c r="T341" s="737">
        <f t="shared" si="710"/>
        <v>0</v>
      </c>
      <c r="U341" s="737">
        <f t="shared" si="710"/>
        <v>0</v>
      </c>
      <c r="V341" s="737">
        <f t="shared" si="710"/>
        <v>0</v>
      </c>
      <c r="W341" s="737">
        <f t="shared" si="710"/>
        <v>0</v>
      </c>
      <c r="X341" s="738">
        <f t="shared" si="710"/>
        <v>0</v>
      </c>
      <c r="Y341" s="737">
        <f t="shared" si="710"/>
        <v>0</v>
      </c>
      <c r="Z341" s="737">
        <f t="shared" si="710"/>
        <v>0</v>
      </c>
      <c r="AA341" s="737">
        <f t="shared" si="710"/>
        <v>0</v>
      </c>
      <c r="AB341" s="737">
        <f t="shared" si="710"/>
        <v>0</v>
      </c>
      <c r="AC341" s="738">
        <f t="shared" si="710"/>
        <v>0</v>
      </c>
      <c r="AD341" s="737">
        <f t="shared" si="710"/>
        <v>0</v>
      </c>
      <c r="AE341" s="737">
        <f t="shared" si="710"/>
        <v>0</v>
      </c>
      <c r="AF341" s="737">
        <f t="shared" si="710"/>
        <v>0</v>
      </c>
      <c r="AG341" s="739">
        <f t="shared" si="710"/>
        <v>0</v>
      </c>
      <c r="AH341" s="823"/>
      <c r="AI341" s="745"/>
      <c r="AJ341" s="741"/>
      <c r="AK341" s="729"/>
      <c r="AL341" s="729"/>
      <c r="AM341" s="729"/>
      <c r="AN341" s="729"/>
      <c r="AO341" s="730"/>
      <c r="AP341" s="74"/>
      <c r="AQ341" s="74"/>
      <c r="AR341" s="74"/>
      <c r="AS341" s="106"/>
      <c r="AW341" s="1428" t="str">
        <f t="shared" si="682"/>
        <v>Rev</v>
      </c>
      <c r="AX341" s="1429" t="str">
        <f t="shared" si="682"/>
        <v>[Service]</v>
      </c>
      <c r="AY341" s="1430" t="str">
        <f t="shared" si="646"/>
        <v>[Price]</v>
      </c>
      <c r="AZ341" s="1431" t="str">
        <f t="shared" ref="AZ341:BC356" si="711">IFERROR(P341/O341-1,"-")</f>
        <v>-</v>
      </c>
      <c r="BA341" s="1431" t="str">
        <f t="shared" si="711"/>
        <v>-</v>
      </c>
      <c r="BB341" s="1431" t="str">
        <f t="shared" si="711"/>
        <v>-</v>
      </c>
      <c r="BC341" s="1431" t="str">
        <f t="shared" si="711"/>
        <v>-</v>
      </c>
      <c r="BD341" s="1431" t="str">
        <f t="shared" si="648"/>
        <v>-</v>
      </c>
      <c r="BE341" s="1431" t="str">
        <f t="shared" si="649"/>
        <v>-</v>
      </c>
      <c r="BF341" s="1431" t="str">
        <f t="shared" si="650"/>
        <v>-</v>
      </c>
      <c r="BG341" s="1432" t="str">
        <f t="shared" si="651"/>
        <v>-</v>
      </c>
      <c r="BH341" s="1431" t="str">
        <f t="shared" si="652"/>
        <v>-</v>
      </c>
      <c r="BI341" s="1431" t="str">
        <f t="shared" si="653"/>
        <v>-</v>
      </c>
      <c r="BJ341" s="1431" t="str">
        <f t="shared" si="654"/>
        <v>-</v>
      </c>
      <c r="BK341" s="1431" t="str">
        <f t="shared" si="655"/>
        <v>-</v>
      </c>
      <c r="BL341" s="1433" t="str">
        <f t="shared" si="656"/>
        <v>-</v>
      </c>
      <c r="BM341" s="1431" t="str">
        <f t="shared" si="657"/>
        <v>-</v>
      </c>
      <c r="BN341" s="1431" t="str">
        <f t="shared" si="658"/>
        <v>-</v>
      </c>
      <c r="BO341" s="1431" t="str">
        <f t="shared" si="659"/>
        <v>-</v>
      </c>
      <c r="BP341" s="1431" t="str">
        <f t="shared" si="660"/>
        <v>-</v>
      </c>
      <c r="BQ341" s="1434" t="str">
        <f t="shared" si="661"/>
        <v>-</v>
      </c>
      <c r="BR341" s="1378"/>
      <c r="BS341" s="1407"/>
      <c r="BT341" s="1408"/>
      <c r="BU341" s="1409"/>
      <c r="BV341" s="1410"/>
      <c r="BW341" s="1378"/>
      <c r="BX341" s="1428" t="str">
        <f t="shared" si="662"/>
        <v>Rev</v>
      </c>
      <c r="BY341" s="1429" t="str">
        <f t="shared" si="707"/>
        <v>[Service]</v>
      </c>
      <c r="BZ341" s="1430" t="str">
        <f t="shared" si="708"/>
        <v>[Price]</v>
      </c>
      <c r="CA341" s="1435" t="str">
        <f>IFERROR((S341/R341-1)*(R341/R$13),"-")</f>
        <v>-</v>
      </c>
      <c r="CB341" s="1431" t="str">
        <f>IFERROR((T341/S341-1)*(S341/S$13),"-")</f>
        <v>-</v>
      </c>
      <c r="CC341" s="1431" t="str">
        <f>IFERROR((U341/T341-1)*(T341/T$13),"-")</f>
        <v>-</v>
      </c>
      <c r="CD341" s="1431" t="str">
        <f>IFERROR((V341/U341-1)*(U341/U$13),"-")</f>
        <v>-</v>
      </c>
      <c r="CE341" s="1431" t="str">
        <f t="shared" ref="CE341:CR341" si="712">IFERROR((T341/S341-1)*(S341/S$13),"-")</f>
        <v>-</v>
      </c>
      <c r="CF341" s="1431" t="str">
        <f t="shared" si="712"/>
        <v>-</v>
      </c>
      <c r="CG341" s="1431" t="str">
        <f t="shared" si="712"/>
        <v>-</v>
      </c>
      <c r="CH341" s="1433" t="str">
        <f t="shared" si="712"/>
        <v>-</v>
      </c>
      <c r="CI341" s="1431" t="str">
        <f t="shared" si="712"/>
        <v>-</v>
      </c>
      <c r="CJ341" s="1431" t="str">
        <f t="shared" si="712"/>
        <v>-</v>
      </c>
      <c r="CK341" s="1431" t="str">
        <f t="shared" si="712"/>
        <v>-</v>
      </c>
      <c r="CL341" s="1431" t="str">
        <f t="shared" si="712"/>
        <v>-</v>
      </c>
      <c r="CM341" s="1433" t="str">
        <f t="shared" si="712"/>
        <v>-</v>
      </c>
      <c r="CN341" s="1431" t="str">
        <f t="shared" si="712"/>
        <v>-</v>
      </c>
      <c r="CO341" s="1431" t="str">
        <f t="shared" si="712"/>
        <v>-</v>
      </c>
      <c r="CP341" s="1431" t="str">
        <f t="shared" si="712"/>
        <v>-</v>
      </c>
      <c r="CQ341" s="1431" t="str">
        <f t="shared" si="712"/>
        <v>-</v>
      </c>
      <c r="CR341" s="1434" t="str">
        <f t="shared" si="712"/>
        <v>-</v>
      </c>
      <c r="CS341" s="1378"/>
      <c r="CT341" s="1428" t="str">
        <f t="shared" si="643"/>
        <v>Rev</v>
      </c>
      <c r="CU341" s="1429" t="str">
        <f t="shared" si="644"/>
        <v>[Service]</v>
      </c>
      <c r="CV341" s="1429" t="str">
        <f t="shared" si="645"/>
        <v>[Price]</v>
      </c>
      <c r="CW341" s="1435" t="str">
        <f t="shared" si="664"/>
        <v>-</v>
      </c>
      <c r="CX341" s="1431" t="str">
        <f t="shared" si="665"/>
        <v>-</v>
      </c>
      <c r="CY341" s="1431" t="str">
        <f t="shared" si="666"/>
        <v>-</v>
      </c>
      <c r="CZ341" s="1433" t="str">
        <f t="shared" si="667"/>
        <v>-</v>
      </c>
      <c r="DA341" s="1431" t="str">
        <f t="shared" si="668"/>
        <v>-</v>
      </c>
      <c r="DB341" s="1431" t="str">
        <f t="shared" si="669"/>
        <v>-</v>
      </c>
      <c r="DC341" s="1431" t="str">
        <f t="shared" si="670"/>
        <v>-</v>
      </c>
      <c r="DD341" s="1431" t="str">
        <f t="shared" si="671"/>
        <v>-</v>
      </c>
      <c r="DE341" s="1434" t="str">
        <f t="shared" si="672"/>
        <v>-</v>
      </c>
      <c r="DF341" s="1378"/>
      <c r="DG341" s="1428" t="str">
        <f t="shared" si="684"/>
        <v>Rev</v>
      </c>
      <c r="DH341" s="1429" t="str">
        <f t="shared" si="684"/>
        <v>[Service]</v>
      </c>
      <c r="DI341" s="1429" t="str">
        <f t="shared" si="684"/>
        <v>[Price]</v>
      </c>
      <c r="DJ341" s="1435" t="str">
        <f t="shared" si="673"/>
        <v>-</v>
      </c>
      <c r="DK341" s="1431" t="str">
        <f t="shared" si="674"/>
        <v>-</v>
      </c>
      <c r="DL341" s="1431" t="str">
        <f t="shared" si="675"/>
        <v>-</v>
      </c>
      <c r="DM341" s="1433" t="str">
        <f t="shared" si="676"/>
        <v>-</v>
      </c>
      <c r="DN341" s="1431" t="str">
        <f t="shared" si="677"/>
        <v>-</v>
      </c>
      <c r="DO341" s="1431" t="str">
        <f t="shared" si="678"/>
        <v>-</v>
      </c>
      <c r="DP341" s="1431" t="str">
        <f t="shared" si="679"/>
        <v>-</v>
      </c>
      <c r="DQ341" s="1434" t="str">
        <f t="shared" si="680"/>
        <v>-</v>
      </c>
    </row>
    <row r="342" spans="4:121">
      <c r="D342" s="70">
        <f>D339+1</f>
        <v>92</v>
      </c>
      <c r="E342" s="713" t="s">
        <v>44</v>
      </c>
      <c r="F342" s="789" t="s">
        <v>27</v>
      </c>
      <c r="G342" s="789"/>
      <c r="H342" s="789"/>
      <c r="I342" s="781" t="s">
        <v>318</v>
      </c>
      <c r="J342" s="781" t="s">
        <v>345</v>
      </c>
      <c r="K342" s="714"/>
      <c r="L342" s="715"/>
      <c r="M342" s="715"/>
      <c r="N342" s="716"/>
      <c r="O342" s="783"/>
      <c r="P342" s="784"/>
      <c r="Q342" s="783"/>
      <c r="R342" s="783"/>
      <c r="S342" s="783"/>
      <c r="T342" s="783"/>
      <c r="U342" s="783"/>
      <c r="V342" s="783"/>
      <c r="W342" s="783"/>
      <c r="X342" s="784"/>
      <c r="Y342" s="783"/>
      <c r="Z342" s="783"/>
      <c r="AA342" s="783"/>
      <c r="AB342" s="783"/>
      <c r="AC342" s="784"/>
      <c r="AD342" s="783"/>
      <c r="AE342" s="783"/>
      <c r="AF342" s="783"/>
      <c r="AG342" s="785"/>
      <c r="AI342" s="745"/>
      <c r="AJ342" s="717" t="str">
        <f t="shared" ref="AJ342:AS342" si="713">IFERROR((X342-W342)/W342,"")</f>
        <v/>
      </c>
      <c r="AK342" s="718" t="str">
        <f t="shared" si="713"/>
        <v/>
      </c>
      <c r="AL342" s="718" t="str">
        <f t="shared" si="713"/>
        <v/>
      </c>
      <c r="AM342" s="718" t="str">
        <f t="shared" si="713"/>
        <v/>
      </c>
      <c r="AN342" s="718" t="str">
        <f t="shared" si="713"/>
        <v/>
      </c>
      <c r="AO342" s="719" t="str">
        <f t="shared" si="713"/>
        <v/>
      </c>
      <c r="AP342" s="494" t="str">
        <f t="shared" si="713"/>
        <v/>
      </c>
      <c r="AQ342" s="494" t="str">
        <f t="shared" si="713"/>
        <v/>
      </c>
      <c r="AR342" s="494" t="str">
        <f t="shared" si="713"/>
        <v/>
      </c>
      <c r="AS342" s="720" t="str">
        <f t="shared" si="713"/>
        <v/>
      </c>
      <c r="AU342" s="1369"/>
      <c r="AW342" s="1412" t="str">
        <f t="shared" si="682"/>
        <v>Price</v>
      </c>
      <c r="AX342" s="1413" t="str">
        <f t="shared" si="682"/>
        <v>[Service]</v>
      </c>
      <c r="AY342" s="1414" t="str">
        <f t="shared" si="646"/>
        <v>[Price]</v>
      </c>
      <c r="AZ342" s="1415" t="str">
        <f t="shared" si="711"/>
        <v>-</v>
      </c>
      <c r="BA342" s="1415" t="str">
        <f t="shared" si="711"/>
        <v>-</v>
      </c>
      <c r="BB342" s="1415" t="str">
        <f t="shared" si="711"/>
        <v>-</v>
      </c>
      <c r="BC342" s="1415" t="str">
        <f t="shared" si="711"/>
        <v>-</v>
      </c>
      <c r="BD342" s="1415" t="str">
        <f t="shared" si="648"/>
        <v>-</v>
      </c>
      <c r="BE342" s="1415" t="str">
        <f t="shared" si="649"/>
        <v>-</v>
      </c>
      <c r="BF342" s="1415" t="str">
        <f t="shared" si="650"/>
        <v>-</v>
      </c>
      <c r="BG342" s="1416" t="str">
        <f t="shared" si="651"/>
        <v>-</v>
      </c>
      <c r="BH342" s="1417" t="str">
        <f t="shared" si="652"/>
        <v>-</v>
      </c>
      <c r="BI342" s="1417" t="str">
        <f t="shared" si="653"/>
        <v>-</v>
      </c>
      <c r="BJ342" s="1417" t="str">
        <f t="shared" si="654"/>
        <v>-</v>
      </c>
      <c r="BK342" s="1417" t="str">
        <f t="shared" si="655"/>
        <v>-</v>
      </c>
      <c r="BL342" s="1418" t="str">
        <f t="shared" si="656"/>
        <v>-</v>
      </c>
      <c r="BM342" s="1417" t="str">
        <f t="shared" si="657"/>
        <v>-</v>
      </c>
      <c r="BN342" s="1417" t="str">
        <f t="shared" si="658"/>
        <v>-</v>
      </c>
      <c r="BO342" s="1417" t="str">
        <f t="shared" si="659"/>
        <v>-</v>
      </c>
      <c r="BP342" s="1417" t="str">
        <f t="shared" si="660"/>
        <v>-</v>
      </c>
      <c r="BQ342" s="1419" t="str">
        <f t="shared" si="661"/>
        <v>-</v>
      </c>
      <c r="BR342" s="1378"/>
      <c r="BS342" s="1420"/>
      <c r="BT342" s="1421"/>
      <c r="BU342" s="1422"/>
      <c r="BV342" s="1423"/>
      <c r="BW342" s="1378"/>
      <c r="BX342" s="1412" t="str">
        <f t="shared" si="662"/>
        <v>Price</v>
      </c>
      <c r="BY342" s="1413" t="str">
        <f t="shared" si="707"/>
        <v>[Service]</v>
      </c>
      <c r="BZ342" s="1414" t="str">
        <f t="shared" si="708"/>
        <v>[Price]</v>
      </c>
      <c r="CA342" s="1424" t="str">
        <f>IFERROR((S342/R342-1)*(R344/R$13),"-")</f>
        <v>-</v>
      </c>
      <c r="CB342" s="1415" t="str">
        <f>IFERROR((T342/S342-1)*(S344/S$13),"-")</f>
        <v>-</v>
      </c>
      <c r="CC342" s="1415" t="str">
        <f>IFERROR((U342/T342-1)*(T344/T$13),"-")</f>
        <v>-</v>
      </c>
      <c r="CD342" s="1415" t="str">
        <f>IFERROR((V342/U342-1)*(U344/U$13),"-")</f>
        <v>-</v>
      </c>
      <c r="CE342" s="1415" t="str">
        <f t="shared" ref="CE342:CR342" si="714">IFERROR((T342/S342-1)*(S344/S$13),"-")</f>
        <v>-</v>
      </c>
      <c r="CF342" s="1415" t="str">
        <f t="shared" si="714"/>
        <v>-</v>
      </c>
      <c r="CG342" s="1415" t="str">
        <f t="shared" si="714"/>
        <v>-</v>
      </c>
      <c r="CH342" s="1425" t="str">
        <f t="shared" si="714"/>
        <v>-</v>
      </c>
      <c r="CI342" s="1417" t="str">
        <f t="shared" si="714"/>
        <v>-</v>
      </c>
      <c r="CJ342" s="1417" t="str">
        <f t="shared" si="714"/>
        <v>-</v>
      </c>
      <c r="CK342" s="1417" t="str">
        <f t="shared" si="714"/>
        <v>-</v>
      </c>
      <c r="CL342" s="1417" t="str">
        <f t="shared" si="714"/>
        <v>-</v>
      </c>
      <c r="CM342" s="1418" t="str">
        <f t="shared" si="714"/>
        <v>-</v>
      </c>
      <c r="CN342" s="1417" t="str">
        <f t="shared" si="714"/>
        <v>-</v>
      </c>
      <c r="CO342" s="1417" t="str">
        <f t="shared" si="714"/>
        <v>-</v>
      </c>
      <c r="CP342" s="1417" t="str">
        <f t="shared" si="714"/>
        <v>-</v>
      </c>
      <c r="CQ342" s="1417" t="str">
        <f t="shared" si="714"/>
        <v>-</v>
      </c>
      <c r="CR342" s="1419" t="str">
        <f t="shared" si="714"/>
        <v>-</v>
      </c>
      <c r="CS342" s="1378"/>
      <c r="CT342" s="1412" t="str">
        <f t="shared" si="643"/>
        <v>Price</v>
      </c>
      <c r="CU342" s="1413" t="str">
        <f t="shared" si="644"/>
        <v>[Service]</v>
      </c>
      <c r="CV342" s="1426" t="str">
        <f t="shared" si="645"/>
        <v>[Price]</v>
      </c>
      <c r="CW342" s="1427" t="str">
        <f t="shared" si="664"/>
        <v>-</v>
      </c>
      <c r="CX342" s="1417" t="str">
        <f t="shared" si="665"/>
        <v>-</v>
      </c>
      <c r="CY342" s="1417" t="str">
        <f t="shared" si="666"/>
        <v>-</v>
      </c>
      <c r="CZ342" s="1418" t="str">
        <f t="shared" si="667"/>
        <v>-</v>
      </c>
      <c r="DA342" s="1417" t="str">
        <f t="shared" si="668"/>
        <v>-</v>
      </c>
      <c r="DB342" s="1417" t="str">
        <f t="shared" si="669"/>
        <v>-</v>
      </c>
      <c r="DC342" s="1417" t="str">
        <f t="shared" si="670"/>
        <v>-</v>
      </c>
      <c r="DD342" s="1417" t="str">
        <f t="shared" si="671"/>
        <v>-</v>
      </c>
      <c r="DE342" s="1419" t="str">
        <f t="shared" si="672"/>
        <v>-</v>
      </c>
      <c r="DF342" s="1378"/>
      <c r="DG342" s="1412" t="str">
        <f t="shared" si="684"/>
        <v>Price</v>
      </c>
      <c r="DH342" s="1413" t="str">
        <f t="shared" si="684"/>
        <v>[Service]</v>
      </c>
      <c r="DI342" s="1426" t="str">
        <f t="shared" si="684"/>
        <v>[Price]</v>
      </c>
      <c r="DJ342" s="1427" t="str">
        <f t="shared" si="673"/>
        <v>-</v>
      </c>
      <c r="DK342" s="1417" t="str">
        <f t="shared" si="674"/>
        <v>-</v>
      </c>
      <c r="DL342" s="1417" t="str">
        <f t="shared" si="675"/>
        <v>-</v>
      </c>
      <c r="DM342" s="1418" t="str">
        <f t="shared" si="676"/>
        <v>-</v>
      </c>
      <c r="DN342" s="1417" t="str">
        <f t="shared" si="677"/>
        <v>-</v>
      </c>
      <c r="DO342" s="1417" t="str">
        <f t="shared" si="678"/>
        <v>-</v>
      </c>
      <c r="DP342" s="1417" t="str">
        <f t="shared" si="679"/>
        <v>-</v>
      </c>
      <c r="DQ342" s="1419" t="str">
        <f t="shared" si="680"/>
        <v>-</v>
      </c>
    </row>
    <row r="343" spans="4:121">
      <c r="E343" s="742" t="s">
        <v>45</v>
      </c>
      <c r="F343" s="722" t="str">
        <f>+F342</f>
        <v>[Service]</v>
      </c>
      <c r="G343" s="723">
        <f>+G342</f>
        <v>0</v>
      </c>
      <c r="H343" s="723">
        <f>+H342</f>
        <v>0</v>
      </c>
      <c r="I343" s="724" t="str">
        <f>+I342</f>
        <v>[Price]</v>
      </c>
      <c r="J343" s="782" t="s">
        <v>322</v>
      </c>
      <c r="K343" s="725"/>
      <c r="L343" s="726"/>
      <c r="M343" s="726"/>
      <c r="N343" s="727"/>
      <c r="O343" s="786"/>
      <c r="P343" s="787"/>
      <c r="Q343" s="786"/>
      <c r="R343" s="786"/>
      <c r="S343" s="786"/>
      <c r="T343" s="786"/>
      <c r="U343" s="786"/>
      <c r="V343" s="786"/>
      <c r="W343" s="786"/>
      <c r="X343" s="787"/>
      <c r="Y343" s="786"/>
      <c r="Z343" s="786"/>
      <c r="AA343" s="786"/>
      <c r="AB343" s="786"/>
      <c r="AC343" s="787"/>
      <c r="AD343" s="786"/>
      <c r="AE343" s="786"/>
      <c r="AF343" s="786"/>
      <c r="AG343" s="788"/>
      <c r="AH343" s="823"/>
      <c r="AI343" s="745"/>
      <c r="AJ343" s="728"/>
      <c r="AK343" s="729"/>
      <c r="AL343" s="729"/>
      <c r="AM343" s="729"/>
      <c r="AN343" s="729"/>
      <c r="AO343" s="730"/>
      <c r="AP343" s="74"/>
      <c r="AQ343" s="74"/>
      <c r="AR343" s="74"/>
      <c r="AS343" s="106"/>
      <c r="AW343" s="1392" t="str">
        <f t="shared" si="682"/>
        <v>Qty</v>
      </c>
      <c r="AX343" s="1393" t="str">
        <f t="shared" si="682"/>
        <v>[Service]</v>
      </c>
      <c r="AY343" s="1394" t="str">
        <f t="shared" si="646"/>
        <v>[Price]</v>
      </c>
      <c r="AZ343" s="1395" t="str">
        <f t="shared" si="711"/>
        <v>-</v>
      </c>
      <c r="BA343" s="1395" t="str">
        <f t="shared" si="711"/>
        <v>-</v>
      </c>
      <c r="BB343" s="1395" t="str">
        <f t="shared" si="711"/>
        <v>-</v>
      </c>
      <c r="BC343" s="1395" t="str">
        <f t="shared" si="711"/>
        <v>-</v>
      </c>
      <c r="BD343" s="1395" t="str">
        <f t="shared" si="648"/>
        <v>-</v>
      </c>
      <c r="BE343" s="1395" t="str">
        <f t="shared" si="649"/>
        <v>-</v>
      </c>
      <c r="BF343" s="1395" t="str">
        <f t="shared" si="650"/>
        <v>-</v>
      </c>
      <c r="BG343" s="1396" t="str">
        <f t="shared" si="651"/>
        <v>-</v>
      </c>
      <c r="BH343" s="1395" t="str">
        <f t="shared" si="652"/>
        <v>-</v>
      </c>
      <c r="BI343" s="1395" t="str">
        <f t="shared" si="653"/>
        <v>-</v>
      </c>
      <c r="BJ343" s="1395" t="str">
        <f t="shared" si="654"/>
        <v>-</v>
      </c>
      <c r="BK343" s="1395" t="str">
        <f t="shared" si="655"/>
        <v>-</v>
      </c>
      <c r="BL343" s="1397" t="str">
        <f t="shared" si="656"/>
        <v>-</v>
      </c>
      <c r="BM343" s="1395" t="str">
        <f t="shared" si="657"/>
        <v>-</v>
      </c>
      <c r="BN343" s="1395" t="str">
        <f t="shared" si="658"/>
        <v>-</v>
      </c>
      <c r="BO343" s="1395" t="str">
        <f t="shared" si="659"/>
        <v>-</v>
      </c>
      <c r="BP343" s="1395" t="str">
        <f t="shared" si="660"/>
        <v>-</v>
      </c>
      <c r="BQ343" s="1398" t="str">
        <f t="shared" si="661"/>
        <v>-</v>
      </c>
      <c r="BR343" s="1378"/>
      <c r="BS343" s="1329"/>
      <c r="BT343" s="1399"/>
      <c r="BU343" s="1331"/>
      <c r="BV343" s="1400"/>
      <c r="BW343" s="1378"/>
      <c r="BX343" s="1392" t="str">
        <f t="shared" si="662"/>
        <v>Qty</v>
      </c>
      <c r="BY343" s="1393" t="str">
        <f t="shared" si="707"/>
        <v>[Service]</v>
      </c>
      <c r="BZ343" s="1394" t="str">
        <f t="shared" si="708"/>
        <v>[Price]</v>
      </c>
      <c r="CA343" s="1401" t="str">
        <f>IFERROR((S343/R343-1)*(R344/R$13),"-")</f>
        <v>-</v>
      </c>
      <c r="CB343" s="1395" t="str">
        <f>IFERROR((T343/S343-1)*(S344/S$13),"-")</f>
        <v>-</v>
      </c>
      <c r="CC343" s="1395" t="str">
        <f>IFERROR((U343/T343-1)*(T344/T$13),"-")</f>
        <v>-</v>
      </c>
      <c r="CD343" s="1395" t="str">
        <f>IFERROR((V343/U343-1)*(U344/U$13),"-")</f>
        <v>-</v>
      </c>
      <c r="CE343" s="1395" t="str">
        <f t="shared" ref="CE343:CR343" si="715">IFERROR((T343/S343-1)*(S344/S$13),"-")</f>
        <v>-</v>
      </c>
      <c r="CF343" s="1395" t="str">
        <f t="shared" si="715"/>
        <v>-</v>
      </c>
      <c r="CG343" s="1395" t="str">
        <f t="shared" si="715"/>
        <v>-</v>
      </c>
      <c r="CH343" s="1397" t="str">
        <f t="shared" si="715"/>
        <v>-</v>
      </c>
      <c r="CI343" s="1395" t="str">
        <f t="shared" si="715"/>
        <v>-</v>
      </c>
      <c r="CJ343" s="1395" t="str">
        <f t="shared" si="715"/>
        <v>-</v>
      </c>
      <c r="CK343" s="1395" t="str">
        <f t="shared" si="715"/>
        <v>-</v>
      </c>
      <c r="CL343" s="1395" t="str">
        <f t="shared" si="715"/>
        <v>-</v>
      </c>
      <c r="CM343" s="1397" t="str">
        <f t="shared" si="715"/>
        <v>-</v>
      </c>
      <c r="CN343" s="1395" t="str">
        <f t="shared" si="715"/>
        <v>-</v>
      </c>
      <c r="CO343" s="1395" t="str">
        <f t="shared" si="715"/>
        <v>-</v>
      </c>
      <c r="CP343" s="1395" t="str">
        <f t="shared" si="715"/>
        <v>-</v>
      </c>
      <c r="CQ343" s="1395" t="str">
        <f t="shared" si="715"/>
        <v>-</v>
      </c>
      <c r="CR343" s="1398" t="str">
        <f t="shared" si="715"/>
        <v>-</v>
      </c>
      <c r="CS343" s="1378"/>
      <c r="CT343" s="1392" t="str">
        <f t="shared" si="643"/>
        <v>Qty</v>
      </c>
      <c r="CU343" s="1393" t="str">
        <f t="shared" si="644"/>
        <v>[Service]</v>
      </c>
      <c r="CV343" s="1393" t="str">
        <f t="shared" si="645"/>
        <v>[Price]</v>
      </c>
      <c r="CW343" s="1401" t="str">
        <f t="shared" si="664"/>
        <v>-</v>
      </c>
      <c r="CX343" s="1395" t="str">
        <f t="shared" si="665"/>
        <v>-</v>
      </c>
      <c r="CY343" s="1395" t="str">
        <f t="shared" si="666"/>
        <v>-</v>
      </c>
      <c r="CZ343" s="1397" t="str">
        <f t="shared" si="667"/>
        <v>-</v>
      </c>
      <c r="DA343" s="1395" t="str">
        <f t="shared" si="668"/>
        <v>-</v>
      </c>
      <c r="DB343" s="1395" t="str">
        <f t="shared" si="669"/>
        <v>-</v>
      </c>
      <c r="DC343" s="1395" t="str">
        <f t="shared" si="670"/>
        <v>-</v>
      </c>
      <c r="DD343" s="1395" t="str">
        <f t="shared" si="671"/>
        <v>-</v>
      </c>
      <c r="DE343" s="1398" t="str">
        <f t="shared" si="672"/>
        <v>-</v>
      </c>
      <c r="DF343" s="1378"/>
      <c r="DG343" s="1392" t="str">
        <f t="shared" si="684"/>
        <v>Qty</v>
      </c>
      <c r="DH343" s="1393" t="str">
        <f t="shared" si="684"/>
        <v>[Service]</v>
      </c>
      <c r="DI343" s="1393" t="str">
        <f t="shared" si="684"/>
        <v>[Price]</v>
      </c>
      <c r="DJ343" s="1401" t="str">
        <f t="shared" si="673"/>
        <v>-</v>
      </c>
      <c r="DK343" s="1395" t="str">
        <f t="shared" si="674"/>
        <v>-</v>
      </c>
      <c r="DL343" s="1395" t="str">
        <f t="shared" si="675"/>
        <v>-</v>
      </c>
      <c r="DM343" s="1397" t="str">
        <f t="shared" si="676"/>
        <v>-</v>
      </c>
      <c r="DN343" s="1395" t="str">
        <f t="shared" si="677"/>
        <v>-</v>
      </c>
      <c r="DO343" s="1395" t="str">
        <f t="shared" si="678"/>
        <v>-</v>
      </c>
      <c r="DP343" s="1395" t="str">
        <f t="shared" si="679"/>
        <v>-</v>
      </c>
      <c r="DQ343" s="1398" t="str">
        <f t="shared" si="680"/>
        <v>-</v>
      </c>
    </row>
    <row r="344" spans="4:121" ht="12.75" thickBot="1">
      <c r="E344" s="743" t="s">
        <v>46</v>
      </c>
      <c r="F344" s="732" t="str">
        <f>+F342</f>
        <v>[Service]</v>
      </c>
      <c r="G344" s="733">
        <f>+G342</f>
        <v>0</v>
      </c>
      <c r="H344" s="733">
        <f>+H342</f>
        <v>0</v>
      </c>
      <c r="I344" s="734" t="str">
        <f>+I342</f>
        <v>[Price]</v>
      </c>
      <c r="J344" s="735" t="s">
        <v>344</v>
      </c>
      <c r="K344" s="736">
        <f t="shared" ref="K344:AG344" si="716">K342*K343/10^6</f>
        <v>0</v>
      </c>
      <c r="L344" s="737">
        <f t="shared" si="716"/>
        <v>0</v>
      </c>
      <c r="M344" s="737">
        <f t="shared" si="716"/>
        <v>0</v>
      </c>
      <c r="N344" s="738">
        <f t="shared" si="716"/>
        <v>0</v>
      </c>
      <c r="O344" s="737">
        <f t="shared" si="716"/>
        <v>0</v>
      </c>
      <c r="P344" s="738">
        <f t="shared" si="716"/>
        <v>0</v>
      </c>
      <c r="Q344" s="737">
        <f t="shared" si="716"/>
        <v>0</v>
      </c>
      <c r="R344" s="737">
        <f t="shared" si="716"/>
        <v>0</v>
      </c>
      <c r="S344" s="737">
        <f t="shared" si="716"/>
        <v>0</v>
      </c>
      <c r="T344" s="737">
        <f t="shared" si="716"/>
        <v>0</v>
      </c>
      <c r="U344" s="737">
        <f t="shared" si="716"/>
        <v>0</v>
      </c>
      <c r="V344" s="737">
        <f t="shared" si="716"/>
        <v>0</v>
      </c>
      <c r="W344" s="737">
        <f t="shared" si="716"/>
        <v>0</v>
      </c>
      <c r="X344" s="738">
        <f t="shared" si="716"/>
        <v>0</v>
      </c>
      <c r="Y344" s="737">
        <f t="shared" si="716"/>
        <v>0</v>
      </c>
      <c r="Z344" s="737">
        <f t="shared" si="716"/>
        <v>0</v>
      </c>
      <c r="AA344" s="737">
        <f t="shared" si="716"/>
        <v>0</v>
      </c>
      <c r="AB344" s="737">
        <f t="shared" si="716"/>
        <v>0</v>
      </c>
      <c r="AC344" s="738">
        <f t="shared" si="716"/>
        <v>0</v>
      </c>
      <c r="AD344" s="737">
        <f t="shared" si="716"/>
        <v>0</v>
      </c>
      <c r="AE344" s="737">
        <f t="shared" si="716"/>
        <v>0</v>
      </c>
      <c r="AF344" s="737">
        <f t="shared" si="716"/>
        <v>0</v>
      </c>
      <c r="AG344" s="739">
        <f t="shared" si="716"/>
        <v>0</v>
      </c>
      <c r="AH344" s="823"/>
      <c r="AI344" s="745"/>
      <c r="AJ344" s="741"/>
      <c r="AK344" s="729"/>
      <c r="AL344" s="729"/>
      <c r="AM344" s="729"/>
      <c r="AN344" s="729"/>
      <c r="AO344" s="730"/>
      <c r="AP344" s="74"/>
      <c r="AQ344" s="74"/>
      <c r="AR344" s="74"/>
      <c r="AS344" s="106"/>
      <c r="AW344" s="1428" t="str">
        <f t="shared" si="682"/>
        <v>Rev</v>
      </c>
      <c r="AX344" s="1429" t="str">
        <f t="shared" si="682"/>
        <v>[Service]</v>
      </c>
      <c r="AY344" s="1430" t="str">
        <f t="shared" si="646"/>
        <v>[Price]</v>
      </c>
      <c r="AZ344" s="1431" t="str">
        <f t="shared" si="711"/>
        <v>-</v>
      </c>
      <c r="BA344" s="1431" t="str">
        <f t="shared" si="711"/>
        <v>-</v>
      </c>
      <c r="BB344" s="1431" t="str">
        <f t="shared" si="711"/>
        <v>-</v>
      </c>
      <c r="BC344" s="1431" t="str">
        <f t="shared" si="711"/>
        <v>-</v>
      </c>
      <c r="BD344" s="1431" t="str">
        <f t="shared" si="648"/>
        <v>-</v>
      </c>
      <c r="BE344" s="1431" t="str">
        <f t="shared" si="649"/>
        <v>-</v>
      </c>
      <c r="BF344" s="1431" t="str">
        <f t="shared" si="650"/>
        <v>-</v>
      </c>
      <c r="BG344" s="1432" t="str">
        <f t="shared" si="651"/>
        <v>-</v>
      </c>
      <c r="BH344" s="1431" t="str">
        <f t="shared" si="652"/>
        <v>-</v>
      </c>
      <c r="BI344" s="1431" t="str">
        <f t="shared" si="653"/>
        <v>-</v>
      </c>
      <c r="BJ344" s="1431" t="str">
        <f t="shared" si="654"/>
        <v>-</v>
      </c>
      <c r="BK344" s="1431" t="str">
        <f t="shared" si="655"/>
        <v>-</v>
      </c>
      <c r="BL344" s="1433" t="str">
        <f t="shared" si="656"/>
        <v>-</v>
      </c>
      <c r="BM344" s="1431" t="str">
        <f t="shared" si="657"/>
        <v>-</v>
      </c>
      <c r="BN344" s="1431" t="str">
        <f t="shared" si="658"/>
        <v>-</v>
      </c>
      <c r="BO344" s="1431" t="str">
        <f t="shared" si="659"/>
        <v>-</v>
      </c>
      <c r="BP344" s="1431" t="str">
        <f t="shared" si="660"/>
        <v>-</v>
      </c>
      <c r="BQ344" s="1434" t="str">
        <f t="shared" si="661"/>
        <v>-</v>
      </c>
      <c r="BR344" s="1378"/>
      <c r="BS344" s="1407"/>
      <c r="BT344" s="1408"/>
      <c r="BU344" s="1409"/>
      <c r="BV344" s="1410"/>
      <c r="BW344" s="1378"/>
      <c r="BX344" s="1428" t="str">
        <f t="shared" si="662"/>
        <v>Rev</v>
      </c>
      <c r="BY344" s="1429" t="str">
        <f t="shared" si="707"/>
        <v>[Service]</v>
      </c>
      <c r="BZ344" s="1430" t="str">
        <f t="shared" si="708"/>
        <v>[Price]</v>
      </c>
      <c r="CA344" s="1435" t="str">
        <f>IFERROR((S344/R344-1)*(R344/R$13),"-")</f>
        <v>-</v>
      </c>
      <c r="CB344" s="1431" t="str">
        <f>IFERROR((T344/S344-1)*(S344/S$13),"-")</f>
        <v>-</v>
      </c>
      <c r="CC344" s="1431" t="str">
        <f>IFERROR((U344/T344-1)*(T344/T$13),"-")</f>
        <v>-</v>
      </c>
      <c r="CD344" s="1431" t="str">
        <f>IFERROR((V344/U344-1)*(U344/U$13),"-")</f>
        <v>-</v>
      </c>
      <c r="CE344" s="1431" t="str">
        <f t="shared" ref="CE344:CR344" si="717">IFERROR((T344/S344-1)*(S344/S$13),"-")</f>
        <v>-</v>
      </c>
      <c r="CF344" s="1431" t="str">
        <f t="shared" si="717"/>
        <v>-</v>
      </c>
      <c r="CG344" s="1431" t="str">
        <f t="shared" si="717"/>
        <v>-</v>
      </c>
      <c r="CH344" s="1433" t="str">
        <f t="shared" si="717"/>
        <v>-</v>
      </c>
      <c r="CI344" s="1431" t="str">
        <f t="shared" si="717"/>
        <v>-</v>
      </c>
      <c r="CJ344" s="1431" t="str">
        <f t="shared" si="717"/>
        <v>-</v>
      </c>
      <c r="CK344" s="1431" t="str">
        <f t="shared" si="717"/>
        <v>-</v>
      </c>
      <c r="CL344" s="1431" t="str">
        <f t="shared" si="717"/>
        <v>-</v>
      </c>
      <c r="CM344" s="1433" t="str">
        <f t="shared" si="717"/>
        <v>-</v>
      </c>
      <c r="CN344" s="1431" t="str">
        <f t="shared" si="717"/>
        <v>-</v>
      </c>
      <c r="CO344" s="1431" t="str">
        <f t="shared" si="717"/>
        <v>-</v>
      </c>
      <c r="CP344" s="1431" t="str">
        <f t="shared" si="717"/>
        <v>-</v>
      </c>
      <c r="CQ344" s="1431" t="str">
        <f t="shared" si="717"/>
        <v>-</v>
      </c>
      <c r="CR344" s="1434" t="str">
        <f t="shared" si="717"/>
        <v>-</v>
      </c>
      <c r="CS344" s="1378"/>
      <c r="CT344" s="1428" t="str">
        <f t="shared" si="643"/>
        <v>Rev</v>
      </c>
      <c r="CU344" s="1429" t="str">
        <f t="shared" si="644"/>
        <v>[Service]</v>
      </c>
      <c r="CV344" s="1429" t="str">
        <f t="shared" si="645"/>
        <v>[Price]</v>
      </c>
      <c r="CW344" s="1435" t="str">
        <f t="shared" si="664"/>
        <v>-</v>
      </c>
      <c r="CX344" s="1431" t="str">
        <f t="shared" si="665"/>
        <v>-</v>
      </c>
      <c r="CY344" s="1431" t="str">
        <f t="shared" si="666"/>
        <v>-</v>
      </c>
      <c r="CZ344" s="1433" t="str">
        <f t="shared" si="667"/>
        <v>-</v>
      </c>
      <c r="DA344" s="1431" t="str">
        <f t="shared" si="668"/>
        <v>-</v>
      </c>
      <c r="DB344" s="1431" t="str">
        <f t="shared" si="669"/>
        <v>-</v>
      </c>
      <c r="DC344" s="1431" t="str">
        <f t="shared" si="670"/>
        <v>-</v>
      </c>
      <c r="DD344" s="1431" t="str">
        <f t="shared" si="671"/>
        <v>-</v>
      </c>
      <c r="DE344" s="1434" t="str">
        <f t="shared" si="672"/>
        <v>-</v>
      </c>
      <c r="DF344" s="1378"/>
      <c r="DG344" s="1428" t="str">
        <f t="shared" si="684"/>
        <v>Rev</v>
      </c>
      <c r="DH344" s="1429" t="str">
        <f t="shared" si="684"/>
        <v>[Service]</v>
      </c>
      <c r="DI344" s="1429" t="str">
        <f t="shared" si="684"/>
        <v>[Price]</v>
      </c>
      <c r="DJ344" s="1435" t="str">
        <f t="shared" si="673"/>
        <v>-</v>
      </c>
      <c r="DK344" s="1431" t="str">
        <f t="shared" si="674"/>
        <v>-</v>
      </c>
      <c r="DL344" s="1431" t="str">
        <f t="shared" si="675"/>
        <v>-</v>
      </c>
      <c r="DM344" s="1433" t="str">
        <f t="shared" si="676"/>
        <v>-</v>
      </c>
      <c r="DN344" s="1431" t="str">
        <f t="shared" si="677"/>
        <v>-</v>
      </c>
      <c r="DO344" s="1431" t="str">
        <f t="shared" si="678"/>
        <v>-</v>
      </c>
      <c r="DP344" s="1431" t="str">
        <f t="shared" si="679"/>
        <v>-</v>
      </c>
      <c r="DQ344" s="1434" t="str">
        <f t="shared" si="680"/>
        <v>-</v>
      </c>
    </row>
    <row r="345" spans="4:121">
      <c r="D345" s="70">
        <f>D342+1</f>
        <v>93</v>
      </c>
      <c r="E345" s="713" t="s">
        <v>44</v>
      </c>
      <c r="F345" s="789" t="s">
        <v>27</v>
      </c>
      <c r="G345" s="789"/>
      <c r="H345" s="789"/>
      <c r="I345" s="781" t="s">
        <v>318</v>
      </c>
      <c r="J345" s="781" t="s">
        <v>345</v>
      </c>
      <c r="K345" s="714"/>
      <c r="L345" s="715"/>
      <c r="M345" s="715"/>
      <c r="N345" s="716"/>
      <c r="O345" s="783"/>
      <c r="P345" s="784"/>
      <c r="Q345" s="783"/>
      <c r="R345" s="783"/>
      <c r="S345" s="783"/>
      <c r="T345" s="783"/>
      <c r="U345" s="783"/>
      <c r="V345" s="783"/>
      <c r="W345" s="783"/>
      <c r="X345" s="784"/>
      <c r="Y345" s="783"/>
      <c r="Z345" s="783"/>
      <c r="AA345" s="783"/>
      <c r="AB345" s="783"/>
      <c r="AC345" s="784"/>
      <c r="AD345" s="783"/>
      <c r="AE345" s="783"/>
      <c r="AF345" s="783"/>
      <c r="AG345" s="785"/>
      <c r="AI345" s="745"/>
      <c r="AJ345" s="717" t="str">
        <f t="shared" ref="AJ345:AS345" si="718">IFERROR((X345-W345)/W345,"")</f>
        <v/>
      </c>
      <c r="AK345" s="718" t="str">
        <f t="shared" si="718"/>
        <v/>
      </c>
      <c r="AL345" s="718" t="str">
        <f t="shared" si="718"/>
        <v/>
      </c>
      <c r="AM345" s="718" t="str">
        <f t="shared" si="718"/>
        <v/>
      </c>
      <c r="AN345" s="718" t="str">
        <f t="shared" si="718"/>
        <v/>
      </c>
      <c r="AO345" s="719" t="str">
        <f t="shared" si="718"/>
        <v/>
      </c>
      <c r="AP345" s="494" t="str">
        <f t="shared" si="718"/>
        <v/>
      </c>
      <c r="AQ345" s="494" t="str">
        <f t="shared" si="718"/>
        <v/>
      </c>
      <c r="AR345" s="494" t="str">
        <f t="shared" si="718"/>
        <v/>
      </c>
      <c r="AS345" s="720" t="str">
        <f t="shared" si="718"/>
        <v/>
      </c>
      <c r="AU345" s="1369"/>
      <c r="AW345" s="1412" t="str">
        <f t="shared" si="682"/>
        <v>Price</v>
      </c>
      <c r="AX345" s="1413" t="str">
        <f t="shared" si="682"/>
        <v>[Service]</v>
      </c>
      <c r="AY345" s="1414" t="str">
        <f t="shared" si="646"/>
        <v>[Price]</v>
      </c>
      <c r="AZ345" s="1415" t="str">
        <f t="shared" si="711"/>
        <v>-</v>
      </c>
      <c r="BA345" s="1415" t="str">
        <f t="shared" si="711"/>
        <v>-</v>
      </c>
      <c r="BB345" s="1415" t="str">
        <f t="shared" si="711"/>
        <v>-</v>
      </c>
      <c r="BC345" s="1415" t="str">
        <f t="shared" si="711"/>
        <v>-</v>
      </c>
      <c r="BD345" s="1415" t="str">
        <f t="shared" si="648"/>
        <v>-</v>
      </c>
      <c r="BE345" s="1415" t="str">
        <f t="shared" si="649"/>
        <v>-</v>
      </c>
      <c r="BF345" s="1415" t="str">
        <f t="shared" si="650"/>
        <v>-</v>
      </c>
      <c r="BG345" s="1416" t="str">
        <f t="shared" si="651"/>
        <v>-</v>
      </c>
      <c r="BH345" s="1417" t="str">
        <f t="shared" si="652"/>
        <v>-</v>
      </c>
      <c r="BI345" s="1417" t="str">
        <f t="shared" si="653"/>
        <v>-</v>
      </c>
      <c r="BJ345" s="1417" t="str">
        <f t="shared" si="654"/>
        <v>-</v>
      </c>
      <c r="BK345" s="1417" t="str">
        <f t="shared" si="655"/>
        <v>-</v>
      </c>
      <c r="BL345" s="1418" t="str">
        <f t="shared" si="656"/>
        <v>-</v>
      </c>
      <c r="BM345" s="1417" t="str">
        <f t="shared" si="657"/>
        <v>-</v>
      </c>
      <c r="BN345" s="1417" t="str">
        <f t="shared" si="658"/>
        <v>-</v>
      </c>
      <c r="BO345" s="1417" t="str">
        <f t="shared" si="659"/>
        <v>-</v>
      </c>
      <c r="BP345" s="1417" t="str">
        <f t="shared" si="660"/>
        <v>-</v>
      </c>
      <c r="BQ345" s="1419" t="str">
        <f t="shared" si="661"/>
        <v>-</v>
      </c>
      <c r="BR345" s="1378"/>
      <c r="BS345" s="1420"/>
      <c r="BT345" s="1421"/>
      <c r="BU345" s="1422"/>
      <c r="BV345" s="1423"/>
      <c r="BW345" s="1378"/>
      <c r="BX345" s="1412" t="str">
        <f t="shared" si="662"/>
        <v>Price</v>
      </c>
      <c r="BY345" s="1413" t="str">
        <f t="shared" si="707"/>
        <v>[Service]</v>
      </c>
      <c r="BZ345" s="1414" t="str">
        <f t="shared" si="708"/>
        <v>[Price]</v>
      </c>
      <c r="CA345" s="1424" t="str">
        <f>IFERROR((S345/R345-1)*(R347/R$13),"-")</f>
        <v>-</v>
      </c>
      <c r="CB345" s="1415" t="str">
        <f>IFERROR((T345/S345-1)*(S347/S$13),"-")</f>
        <v>-</v>
      </c>
      <c r="CC345" s="1415" t="str">
        <f>IFERROR((U345/T345-1)*(T347/T$13),"-")</f>
        <v>-</v>
      </c>
      <c r="CD345" s="1415" t="str">
        <f>IFERROR((V345/U345-1)*(U347/U$13),"-")</f>
        <v>-</v>
      </c>
      <c r="CE345" s="1415" t="str">
        <f t="shared" ref="CE345:CR345" si="719">IFERROR((T345/S345-1)*(S347/S$13),"-")</f>
        <v>-</v>
      </c>
      <c r="CF345" s="1415" t="str">
        <f t="shared" si="719"/>
        <v>-</v>
      </c>
      <c r="CG345" s="1415" t="str">
        <f t="shared" si="719"/>
        <v>-</v>
      </c>
      <c r="CH345" s="1425" t="str">
        <f t="shared" si="719"/>
        <v>-</v>
      </c>
      <c r="CI345" s="1417" t="str">
        <f t="shared" si="719"/>
        <v>-</v>
      </c>
      <c r="CJ345" s="1417" t="str">
        <f t="shared" si="719"/>
        <v>-</v>
      </c>
      <c r="CK345" s="1417" t="str">
        <f t="shared" si="719"/>
        <v>-</v>
      </c>
      <c r="CL345" s="1417" t="str">
        <f t="shared" si="719"/>
        <v>-</v>
      </c>
      <c r="CM345" s="1418" t="str">
        <f t="shared" si="719"/>
        <v>-</v>
      </c>
      <c r="CN345" s="1417" t="str">
        <f t="shared" si="719"/>
        <v>-</v>
      </c>
      <c r="CO345" s="1417" t="str">
        <f t="shared" si="719"/>
        <v>-</v>
      </c>
      <c r="CP345" s="1417" t="str">
        <f t="shared" si="719"/>
        <v>-</v>
      </c>
      <c r="CQ345" s="1417" t="str">
        <f t="shared" si="719"/>
        <v>-</v>
      </c>
      <c r="CR345" s="1419" t="str">
        <f t="shared" si="719"/>
        <v>-</v>
      </c>
      <c r="CS345" s="1378"/>
      <c r="CT345" s="1412" t="str">
        <f t="shared" si="643"/>
        <v>Price</v>
      </c>
      <c r="CU345" s="1413" t="str">
        <f t="shared" si="644"/>
        <v>[Service]</v>
      </c>
      <c r="CV345" s="1426" t="str">
        <f t="shared" si="645"/>
        <v>[Price]</v>
      </c>
      <c r="CW345" s="1427" t="str">
        <f t="shared" si="664"/>
        <v>-</v>
      </c>
      <c r="CX345" s="1417" t="str">
        <f t="shared" si="665"/>
        <v>-</v>
      </c>
      <c r="CY345" s="1417" t="str">
        <f t="shared" si="666"/>
        <v>-</v>
      </c>
      <c r="CZ345" s="1418" t="str">
        <f t="shared" si="667"/>
        <v>-</v>
      </c>
      <c r="DA345" s="1417" t="str">
        <f t="shared" si="668"/>
        <v>-</v>
      </c>
      <c r="DB345" s="1417" t="str">
        <f t="shared" si="669"/>
        <v>-</v>
      </c>
      <c r="DC345" s="1417" t="str">
        <f t="shared" si="670"/>
        <v>-</v>
      </c>
      <c r="DD345" s="1417" t="str">
        <f t="shared" si="671"/>
        <v>-</v>
      </c>
      <c r="DE345" s="1419" t="str">
        <f t="shared" si="672"/>
        <v>-</v>
      </c>
      <c r="DF345" s="1378"/>
      <c r="DG345" s="1412" t="str">
        <f t="shared" si="684"/>
        <v>Price</v>
      </c>
      <c r="DH345" s="1413" t="str">
        <f t="shared" si="684"/>
        <v>[Service]</v>
      </c>
      <c r="DI345" s="1426" t="str">
        <f t="shared" si="684"/>
        <v>[Price]</v>
      </c>
      <c r="DJ345" s="1427" t="str">
        <f t="shared" si="673"/>
        <v>-</v>
      </c>
      <c r="DK345" s="1417" t="str">
        <f t="shared" si="674"/>
        <v>-</v>
      </c>
      <c r="DL345" s="1417" t="str">
        <f t="shared" si="675"/>
        <v>-</v>
      </c>
      <c r="DM345" s="1418" t="str">
        <f t="shared" si="676"/>
        <v>-</v>
      </c>
      <c r="DN345" s="1417" t="str">
        <f t="shared" si="677"/>
        <v>-</v>
      </c>
      <c r="DO345" s="1417" t="str">
        <f t="shared" si="678"/>
        <v>-</v>
      </c>
      <c r="DP345" s="1417" t="str">
        <f t="shared" si="679"/>
        <v>-</v>
      </c>
      <c r="DQ345" s="1419" t="str">
        <f t="shared" si="680"/>
        <v>-</v>
      </c>
    </row>
    <row r="346" spans="4:121">
      <c r="E346" s="742" t="s">
        <v>45</v>
      </c>
      <c r="F346" s="722" t="str">
        <f>+F345</f>
        <v>[Service]</v>
      </c>
      <c r="G346" s="723">
        <f>+G345</f>
        <v>0</v>
      </c>
      <c r="H346" s="723">
        <f>+H345</f>
        <v>0</v>
      </c>
      <c r="I346" s="724" t="str">
        <f>+I345</f>
        <v>[Price]</v>
      </c>
      <c r="J346" s="782" t="s">
        <v>322</v>
      </c>
      <c r="K346" s="725"/>
      <c r="L346" s="726"/>
      <c r="M346" s="726"/>
      <c r="N346" s="727"/>
      <c r="O346" s="786"/>
      <c r="P346" s="787"/>
      <c r="Q346" s="786"/>
      <c r="R346" s="786"/>
      <c r="S346" s="786"/>
      <c r="T346" s="786"/>
      <c r="U346" s="786"/>
      <c r="V346" s="786"/>
      <c r="W346" s="786"/>
      <c r="X346" s="787"/>
      <c r="Y346" s="786"/>
      <c r="Z346" s="786"/>
      <c r="AA346" s="786"/>
      <c r="AB346" s="786"/>
      <c r="AC346" s="787"/>
      <c r="AD346" s="786"/>
      <c r="AE346" s="786"/>
      <c r="AF346" s="786"/>
      <c r="AG346" s="788"/>
      <c r="AH346" s="823"/>
      <c r="AI346" s="745"/>
      <c r="AJ346" s="728"/>
      <c r="AK346" s="729"/>
      <c r="AL346" s="729"/>
      <c r="AM346" s="729"/>
      <c r="AN346" s="729"/>
      <c r="AO346" s="730"/>
      <c r="AP346" s="74"/>
      <c r="AQ346" s="74"/>
      <c r="AR346" s="74"/>
      <c r="AS346" s="106"/>
      <c r="AW346" s="1392" t="str">
        <f t="shared" si="682"/>
        <v>Qty</v>
      </c>
      <c r="AX346" s="1393" t="str">
        <f t="shared" si="682"/>
        <v>[Service]</v>
      </c>
      <c r="AY346" s="1394" t="str">
        <f t="shared" si="646"/>
        <v>[Price]</v>
      </c>
      <c r="AZ346" s="1395" t="str">
        <f t="shared" si="711"/>
        <v>-</v>
      </c>
      <c r="BA346" s="1395" t="str">
        <f t="shared" si="711"/>
        <v>-</v>
      </c>
      <c r="BB346" s="1395" t="str">
        <f t="shared" si="711"/>
        <v>-</v>
      </c>
      <c r="BC346" s="1395" t="str">
        <f t="shared" si="711"/>
        <v>-</v>
      </c>
      <c r="BD346" s="1395" t="str">
        <f t="shared" si="648"/>
        <v>-</v>
      </c>
      <c r="BE346" s="1395" t="str">
        <f t="shared" si="649"/>
        <v>-</v>
      </c>
      <c r="BF346" s="1395" t="str">
        <f t="shared" si="650"/>
        <v>-</v>
      </c>
      <c r="BG346" s="1396" t="str">
        <f t="shared" si="651"/>
        <v>-</v>
      </c>
      <c r="BH346" s="1395" t="str">
        <f t="shared" si="652"/>
        <v>-</v>
      </c>
      <c r="BI346" s="1395" t="str">
        <f t="shared" si="653"/>
        <v>-</v>
      </c>
      <c r="BJ346" s="1395" t="str">
        <f t="shared" si="654"/>
        <v>-</v>
      </c>
      <c r="BK346" s="1395" t="str">
        <f t="shared" si="655"/>
        <v>-</v>
      </c>
      <c r="BL346" s="1397" t="str">
        <f t="shared" si="656"/>
        <v>-</v>
      </c>
      <c r="BM346" s="1395" t="str">
        <f t="shared" si="657"/>
        <v>-</v>
      </c>
      <c r="BN346" s="1395" t="str">
        <f t="shared" si="658"/>
        <v>-</v>
      </c>
      <c r="BO346" s="1395" t="str">
        <f t="shared" si="659"/>
        <v>-</v>
      </c>
      <c r="BP346" s="1395" t="str">
        <f t="shared" si="660"/>
        <v>-</v>
      </c>
      <c r="BQ346" s="1398" t="str">
        <f t="shared" si="661"/>
        <v>-</v>
      </c>
      <c r="BR346" s="1378"/>
      <c r="BS346" s="1329"/>
      <c r="BT346" s="1399"/>
      <c r="BU346" s="1331"/>
      <c r="BV346" s="1400"/>
      <c r="BW346" s="1378"/>
      <c r="BX346" s="1392" t="str">
        <f t="shared" si="662"/>
        <v>Qty</v>
      </c>
      <c r="BY346" s="1393" t="str">
        <f t="shared" si="707"/>
        <v>[Service]</v>
      </c>
      <c r="BZ346" s="1394" t="str">
        <f t="shared" si="708"/>
        <v>[Price]</v>
      </c>
      <c r="CA346" s="1401" t="str">
        <f>IFERROR((S346/R346-1)*(R347/R$13),"-")</f>
        <v>-</v>
      </c>
      <c r="CB346" s="1395" t="str">
        <f>IFERROR((T346/S346-1)*(S347/S$13),"-")</f>
        <v>-</v>
      </c>
      <c r="CC346" s="1395" t="str">
        <f>IFERROR((U346/T346-1)*(T347/T$13),"-")</f>
        <v>-</v>
      </c>
      <c r="CD346" s="1395" t="str">
        <f>IFERROR((V346/U346-1)*(U347/U$13),"-")</f>
        <v>-</v>
      </c>
      <c r="CE346" s="1395" t="str">
        <f t="shared" ref="CE346:CR346" si="720">IFERROR((T346/S346-1)*(S347/S$13),"-")</f>
        <v>-</v>
      </c>
      <c r="CF346" s="1395" t="str">
        <f t="shared" si="720"/>
        <v>-</v>
      </c>
      <c r="CG346" s="1395" t="str">
        <f t="shared" si="720"/>
        <v>-</v>
      </c>
      <c r="CH346" s="1397" t="str">
        <f t="shared" si="720"/>
        <v>-</v>
      </c>
      <c r="CI346" s="1395" t="str">
        <f t="shared" si="720"/>
        <v>-</v>
      </c>
      <c r="CJ346" s="1395" t="str">
        <f t="shared" si="720"/>
        <v>-</v>
      </c>
      <c r="CK346" s="1395" t="str">
        <f t="shared" si="720"/>
        <v>-</v>
      </c>
      <c r="CL346" s="1395" t="str">
        <f t="shared" si="720"/>
        <v>-</v>
      </c>
      <c r="CM346" s="1397" t="str">
        <f t="shared" si="720"/>
        <v>-</v>
      </c>
      <c r="CN346" s="1395" t="str">
        <f t="shared" si="720"/>
        <v>-</v>
      </c>
      <c r="CO346" s="1395" t="str">
        <f t="shared" si="720"/>
        <v>-</v>
      </c>
      <c r="CP346" s="1395" t="str">
        <f t="shared" si="720"/>
        <v>-</v>
      </c>
      <c r="CQ346" s="1395" t="str">
        <f t="shared" si="720"/>
        <v>-</v>
      </c>
      <c r="CR346" s="1398" t="str">
        <f t="shared" si="720"/>
        <v>-</v>
      </c>
      <c r="CS346" s="1378"/>
      <c r="CT346" s="1392" t="str">
        <f t="shared" si="643"/>
        <v>Qty</v>
      </c>
      <c r="CU346" s="1393" t="str">
        <f t="shared" si="644"/>
        <v>[Service]</v>
      </c>
      <c r="CV346" s="1393" t="str">
        <f t="shared" si="645"/>
        <v>[Price]</v>
      </c>
      <c r="CW346" s="1401" t="str">
        <f t="shared" si="664"/>
        <v>-</v>
      </c>
      <c r="CX346" s="1395" t="str">
        <f t="shared" si="665"/>
        <v>-</v>
      </c>
      <c r="CY346" s="1395" t="str">
        <f t="shared" si="666"/>
        <v>-</v>
      </c>
      <c r="CZ346" s="1397" t="str">
        <f t="shared" si="667"/>
        <v>-</v>
      </c>
      <c r="DA346" s="1395" t="str">
        <f t="shared" si="668"/>
        <v>-</v>
      </c>
      <c r="DB346" s="1395" t="str">
        <f t="shared" si="669"/>
        <v>-</v>
      </c>
      <c r="DC346" s="1395" t="str">
        <f t="shared" si="670"/>
        <v>-</v>
      </c>
      <c r="DD346" s="1395" t="str">
        <f t="shared" si="671"/>
        <v>-</v>
      </c>
      <c r="DE346" s="1398" t="str">
        <f t="shared" si="672"/>
        <v>-</v>
      </c>
      <c r="DF346" s="1378"/>
      <c r="DG346" s="1392" t="str">
        <f t="shared" si="684"/>
        <v>Qty</v>
      </c>
      <c r="DH346" s="1393" t="str">
        <f t="shared" si="684"/>
        <v>[Service]</v>
      </c>
      <c r="DI346" s="1393" t="str">
        <f t="shared" si="684"/>
        <v>[Price]</v>
      </c>
      <c r="DJ346" s="1401" t="str">
        <f t="shared" si="673"/>
        <v>-</v>
      </c>
      <c r="DK346" s="1395" t="str">
        <f t="shared" si="674"/>
        <v>-</v>
      </c>
      <c r="DL346" s="1395" t="str">
        <f t="shared" si="675"/>
        <v>-</v>
      </c>
      <c r="DM346" s="1397" t="str">
        <f t="shared" si="676"/>
        <v>-</v>
      </c>
      <c r="DN346" s="1395" t="str">
        <f t="shared" si="677"/>
        <v>-</v>
      </c>
      <c r="DO346" s="1395" t="str">
        <f t="shared" si="678"/>
        <v>-</v>
      </c>
      <c r="DP346" s="1395" t="str">
        <f t="shared" si="679"/>
        <v>-</v>
      </c>
      <c r="DQ346" s="1398" t="str">
        <f t="shared" si="680"/>
        <v>-</v>
      </c>
    </row>
    <row r="347" spans="4:121" ht="12.75" thickBot="1">
      <c r="E347" s="743" t="s">
        <v>46</v>
      </c>
      <c r="F347" s="732" t="str">
        <f>+F345</f>
        <v>[Service]</v>
      </c>
      <c r="G347" s="733">
        <f>+G345</f>
        <v>0</v>
      </c>
      <c r="H347" s="733">
        <f>+H345</f>
        <v>0</v>
      </c>
      <c r="I347" s="734" t="str">
        <f>+I345</f>
        <v>[Price]</v>
      </c>
      <c r="J347" s="735" t="s">
        <v>344</v>
      </c>
      <c r="K347" s="736">
        <f t="shared" ref="K347:AG347" si="721">K345*K346/10^6</f>
        <v>0</v>
      </c>
      <c r="L347" s="737">
        <f t="shared" si="721"/>
        <v>0</v>
      </c>
      <c r="M347" s="737">
        <f t="shared" si="721"/>
        <v>0</v>
      </c>
      <c r="N347" s="738">
        <f t="shared" si="721"/>
        <v>0</v>
      </c>
      <c r="O347" s="737">
        <f t="shared" si="721"/>
        <v>0</v>
      </c>
      <c r="P347" s="738">
        <f t="shared" si="721"/>
        <v>0</v>
      </c>
      <c r="Q347" s="737">
        <f t="shared" si="721"/>
        <v>0</v>
      </c>
      <c r="R347" s="737">
        <f t="shared" si="721"/>
        <v>0</v>
      </c>
      <c r="S347" s="737">
        <f t="shared" si="721"/>
        <v>0</v>
      </c>
      <c r="T347" s="737">
        <f t="shared" si="721"/>
        <v>0</v>
      </c>
      <c r="U347" s="737">
        <f t="shared" si="721"/>
        <v>0</v>
      </c>
      <c r="V347" s="737">
        <f t="shared" si="721"/>
        <v>0</v>
      </c>
      <c r="W347" s="737">
        <f t="shared" si="721"/>
        <v>0</v>
      </c>
      <c r="X347" s="738">
        <f t="shared" si="721"/>
        <v>0</v>
      </c>
      <c r="Y347" s="737">
        <f t="shared" si="721"/>
        <v>0</v>
      </c>
      <c r="Z347" s="737">
        <f t="shared" si="721"/>
        <v>0</v>
      </c>
      <c r="AA347" s="737">
        <f t="shared" si="721"/>
        <v>0</v>
      </c>
      <c r="AB347" s="737">
        <f t="shared" si="721"/>
        <v>0</v>
      </c>
      <c r="AC347" s="738">
        <f t="shared" si="721"/>
        <v>0</v>
      </c>
      <c r="AD347" s="737">
        <f t="shared" si="721"/>
        <v>0</v>
      </c>
      <c r="AE347" s="737">
        <f t="shared" si="721"/>
        <v>0</v>
      </c>
      <c r="AF347" s="737">
        <f t="shared" si="721"/>
        <v>0</v>
      </c>
      <c r="AG347" s="739">
        <f t="shared" si="721"/>
        <v>0</v>
      </c>
      <c r="AH347" s="823"/>
      <c r="AI347" s="745"/>
      <c r="AJ347" s="741"/>
      <c r="AK347" s="729"/>
      <c r="AL347" s="729"/>
      <c r="AM347" s="729"/>
      <c r="AN347" s="729"/>
      <c r="AO347" s="730"/>
      <c r="AP347" s="74"/>
      <c r="AQ347" s="74"/>
      <c r="AR347" s="74"/>
      <c r="AS347" s="106"/>
      <c r="AW347" s="1428" t="str">
        <f t="shared" si="682"/>
        <v>Rev</v>
      </c>
      <c r="AX347" s="1429" t="str">
        <f t="shared" si="682"/>
        <v>[Service]</v>
      </c>
      <c r="AY347" s="1430" t="str">
        <f t="shared" si="646"/>
        <v>[Price]</v>
      </c>
      <c r="AZ347" s="1431" t="str">
        <f t="shared" si="711"/>
        <v>-</v>
      </c>
      <c r="BA347" s="1431" t="str">
        <f t="shared" si="711"/>
        <v>-</v>
      </c>
      <c r="BB347" s="1431" t="str">
        <f t="shared" si="711"/>
        <v>-</v>
      </c>
      <c r="BC347" s="1431" t="str">
        <f t="shared" si="711"/>
        <v>-</v>
      </c>
      <c r="BD347" s="1431" t="str">
        <f t="shared" si="648"/>
        <v>-</v>
      </c>
      <c r="BE347" s="1431" t="str">
        <f t="shared" si="649"/>
        <v>-</v>
      </c>
      <c r="BF347" s="1431" t="str">
        <f t="shared" si="650"/>
        <v>-</v>
      </c>
      <c r="BG347" s="1432" t="str">
        <f t="shared" si="651"/>
        <v>-</v>
      </c>
      <c r="BH347" s="1431" t="str">
        <f t="shared" si="652"/>
        <v>-</v>
      </c>
      <c r="BI347" s="1431" t="str">
        <f t="shared" si="653"/>
        <v>-</v>
      </c>
      <c r="BJ347" s="1431" t="str">
        <f t="shared" si="654"/>
        <v>-</v>
      </c>
      <c r="BK347" s="1431" t="str">
        <f t="shared" si="655"/>
        <v>-</v>
      </c>
      <c r="BL347" s="1433" t="str">
        <f t="shared" si="656"/>
        <v>-</v>
      </c>
      <c r="BM347" s="1431" t="str">
        <f t="shared" si="657"/>
        <v>-</v>
      </c>
      <c r="BN347" s="1431" t="str">
        <f t="shared" si="658"/>
        <v>-</v>
      </c>
      <c r="BO347" s="1431" t="str">
        <f t="shared" si="659"/>
        <v>-</v>
      </c>
      <c r="BP347" s="1431" t="str">
        <f t="shared" si="660"/>
        <v>-</v>
      </c>
      <c r="BQ347" s="1434" t="str">
        <f t="shared" si="661"/>
        <v>-</v>
      </c>
      <c r="BR347" s="1378"/>
      <c r="BS347" s="1407"/>
      <c r="BT347" s="1408"/>
      <c r="BU347" s="1409"/>
      <c r="BV347" s="1410"/>
      <c r="BW347" s="1378"/>
      <c r="BX347" s="1428" t="str">
        <f t="shared" si="662"/>
        <v>Rev</v>
      </c>
      <c r="BY347" s="1429" t="str">
        <f t="shared" si="707"/>
        <v>[Service]</v>
      </c>
      <c r="BZ347" s="1430" t="str">
        <f t="shared" si="708"/>
        <v>[Price]</v>
      </c>
      <c r="CA347" s="1435" t="str">
        <f>IFERROR((S347/R347-1)*(R347/R$13),"-")</f>
        <v>-</v>
      </c>
      <c r="CB347" s="1431" t="str">
        <f>IFERROR((T347/S347-1)*(S347/S$13),"-")</f>
        <v>-</v>
      </c>
      <c r="CC347" s="1431" t="str">
        <f>IFERROR((U347/T347-1)*(T347/T$13),"-")</f>
        <v>-</v>
      </c>
      <c r="CD347" s="1431" t="str">
        <f>IFERROR((V347/U347-1)*(U347/U$13),"-")</f>
        <v>-</v>
      </c>
      <c r="CE347" s="1431" t="str">
        <f t="shared" ref="CE347:CR347" si="722">IFERROR((T347/S347-1)*(S347/S$13),"-")</f>
        <v>-</v>
      </c>
      <c r="CF347" s="1431" t="str">
        <f t="shared" si="722"/>
        <v>-</v>
      </c>
      <c r="CG347" s="1431" t="str">
        <f t="shared" si="722"/>
        <v>-</v>
      </c>
      <c r="CH347" s="1433" t="str">
        <f t="shared" si="722"/>
        <v>-</v>
      </c>
      <c r="CI347" s="1431" t="str">
        <f t="shared" si="722"/>
        <v>-</v>
      </c>
      <c r="CJ347" s="1431" t="str">
        <f t="shared" si="722"/>
        <v>-</v>
      </c>
      <c r="CK347" s="1431" t="str">
        <f t="shared" si="722"/>
        <v>-</v>
      </c>
      <c r="CL347" s="1431" t="str">
        <f t="shared" si="722"/>
        <v>-</v>
      </c>
      <c r="CM347" s="1433" t="str">
        <f t="shared" si="722"/>
        <v>-</v>
      </c>
      <c r="CN347" s="1431" t="str">
        <f t="shared" si="722"/>
        <v>-</v>
      </c>
      <c r="CO347" s="1431" t="str">
        <f t="shared" si="722"/>
        <v>-</v>
      </c>
      <c r="CP347" s="1431" t="str">
        <f t="shared" si="722"/>
        <v>-</v>
      </c>
      <c r="CQ347" s="1431" t="str">
        <f t="shared" si="722"/>
        <v>-</v>
      </c>
      <c r="CR347" s="1434" t="str">
        <f t="shared" si="722"/>
        <v>-</v>
      </c>
      <c r="CS347" s="1378"/>
      <c r="CT347" s="1428" t="str">
        <f t="shared" si="643"/>
        <v>Rev</v>
      </c>
      <c r="CU347" s="1429" t="str">
        <f t="shared" si="644"/>
        <v>[Service]</v>
      </c>
      <c r="CV347" s="1429" t="str">
        <f t="shared" si="645"/>
        <v>[Price]</v>
      </c>
      <c r="CW347" s="1435" t="str">
        <f t="shared" si="664"/>
        <v>-</v>
      </c>
      <c r="CX347" s="1431" t="str">
        <f t="shared" si="665"/>
        <v>-</v>
      </c>
      <c r="CY347" s="1431" t="str">
        <f t="shared" si="666"/>
        <v>-</v>
      </c>
      <c r="CZ347" s="1433" t="str">
        <f t="shared" si="667"/>
        <v>-</v>
      </c>
      <c r="DA347" s="1431" t="str">
        <f t="shared" si="668"/>
        <v>-</v>
      </c>
      <c r="DB347" s="1431" t="str">
        <f t="shared" si="669"/>
        <v>-</v>
      </c>
      <c r="DC347" s="1431" t="str">
        <f t="shared" si="670"/>
        <v>-</v>
      </c>
      <c r="DD347" s="1431" t="str">
        <f t="shared" si="671"/>
        <v>-</v>
      </c>
      <c r="DE347" s="1434" t="str">
        <f t="shared" si="672"/>
        <v>-</v>
      </c>
      <c r="DF347" s="1378"/>
      <c r="DG347" s="1428" t="str">
        <f t="shared" si="684"/>
        <v>Rev</v>
      </c>
      <c r="DH347" s="1429" t="str">
        <f t="shared" si="684"/>
        <v>[Service]</v>
      </c>
      <c r="DI347" s="1429" t="str">
        <f t="shared" si="684"/>
        <v>[Price]</v>
      </c>
      <c r="DJ347" s="1435" t="str">
        <f t="shared" si="673"/>
        <v>-</v>
      </c>
      <c r="DK347" s="1431" t="str">
        <f t="shared" si="674"/>
        <v>-</v>
      </c>
      <c r="DL347" s="1431" t="str">
        <f t="shared" si="675"/>
        <v>-</v>
      </c>
      <c r="DM347" s="1433" t="str">
        <f t="shared" si="676"/>
        <v>-</v>
      </c>
      <c r="DN347" s="1431" t="str">
        <f t="shared" si="677"/>
        <v>-</v>
      </c>
      <c r="DO347" s="1431" t="str">
        <f t="shared" si="678"/>
        <v>-</v>
      </c>
      <c r="DP347" s="1431" t="str">
        <f t="shared" si="679"/>
        <v>-</v>
      </c>
      <c r="DQ347" s="1434" t="str">
        <f t="shared" si="680"/>
        <v>-</v>
      </c>
    </row>
    <row r="348" spans="4:121">
      <c r="D348" s="70">
        <f>D345+1</f>
        <v>94</v>
      </c>
      <c r="E348" s="713" t="s">
        <v>44</v>
      </c>
      <c r="F348" s="789" t="s">
        <v>27</v>
      </c>
      <c r="G348" s="789"/>
      <c r="H348" s="789"/>
      <c r="I348" s="781" t="s">
        <v>318</v>
      </c>
      <c r="J348" s="781" t="s">
        <v>345</v>
      </c>
      <c r="K348" s="714"/>
      <c r="L348" s="715"/>
      <c r="M348" s="715"/>
      <c r="N348" s="716"/>
      <c r="O348" s="783"/>
      <c r="P348" s="784"/>
      <c r="Q348" s="783"/>
      <c r="R348" s="783"/>
      <c r="S348" s="783"/>
      <c r="T348" s="783"/>
      <c r="U348" s="783"/>
      <c r="V348" s="783"/>
      <c r="W348" s="783"/>
      <c r="X348" s="784"/>
      <c r="Y348" s="783"/>
      <c r="Z348" s="783"/>
      <c r="AA348" s="783"/>
      <c r="AB348" s="783"/>
      <c r="AC348" s="784"/>
      <c r="AD348" s="783"/>
      <c r="AE348" s="783"/>
      <c r="AF348" s="783"/>
      <c r="AG348" s="785"/>
      <c r="AI348" s="745"/>
      <c r="AJ348" s="717" t="str">
        <f t="shared" ref="AJ348:AS348" si="723">IFERROR((X348-W348)/W348,"")</f>
        <v/>
      </c>
      <c r="AK348" s="718" t="str">
        <f t="shared" si="723"/>
        <v/>
      </c>
      <c r="AL348" s="718" t="str">
        <f t="shared" si="723"/>
        <v/>
      </c>
      <c r="AM348" s="718" t="str">
        <f t="shared" si="723"/>
        <v/>
      </c>
      <c r="AN348" s="718" t="str">
        <f t="shared" si="723"/>
        <v/>
      </c>
      <c r="AO348" s="719" t="str">
        <f t="shared" si="723"/>
        <v/>
      </c>
      <c r="AP348" s="494" t="str">
        <f t="shared" si="723"/>
        <v/>
      </c>
      <c r="AQ348" s="494" t="str">
        <f t="shared" si="723"/>
        <v/>
      </c>
      <c r="AR348" s="494" t="str">
        <f t="shared" si="723"/>
        <v/>
      </c>
      <c r="AS348" s="720" t="str">
        <f t="shared" si="723"/>
        <v/>
      </c>
      <c r="AU348" s="1369"/>
      <c r="AW348" s="1412" t="str">
        <f t="shared" si="682"/>
        <v>Price</v>
      </c>
      <c r="AX348" s="1413" t="str">
        <f t="shared" si="682"/>
        <v>[Service]</v>
      </c>
      <c r="AY348" s="1414" t="str">
        <f t="shared" si="646"/>
        <v>[Price]</v>
      </c>
      <c r="AZ348" s="1415" t="str">
        <f t="shared" si="711"/>
        <v>-</v>
      </c>
      <c r="BA348" s="1415" t="str">
        <f t="shared" si="711"/>
        <v>-</v>
      </c>
      <c r="BB348" s="1415" t="str">
        <f t="shared" si="711"/>
        <v>-</v>
      </c>
      <c r="BC348" s="1415" t="str">
        <f t="shared" si="711"/>
        <v>-</v>
      </c>
      <c r="BD348" s="1415" t="str">
        <f t="shared" si="648"/>
        <v>-</v>
      </c>
      <c r="BE348" s="1415" t="str">
        <f t="shared" si="649"/>
        <v>-</v>
      </c>
      <c r="BF348" s="1415" t="str">
        <f t="shared" si="650"/>
        <v>-</v>
      </c>
      <c r="BG348" s="1416" t="str">
        <f t="shared" si="651"/>
        <v>-</v>
      </c>
      <c r="BH348" s="1417" t="str">
        <f t="shared" si="652"/>
        <v>-</v>
      </c>
      <c r="BI348" s="1417" t="str">
        <f t="shared" si="653"/>
        <v>-</v>
      </c>
      <c r="BJ348" s="1417" t="str">
        <f t="shared" si="654"/>
        <v>-</v>
      </c>
      <c r="BK348" s="1417" t="str">
        <f t="shared" si="655"/>
        <v>-</v>
      </c>
      <c r="BL348" s="1418" t="str">
        <f t="shared" si="656"/>
        <v>-</v>
      </c>
      <c r="BM348" s="1417" t="str">
        <f t="shared" si="657"/>
        <v>-</v>
      </c>
      <c r="BN348" s="1417" t="str">
        <f t="shared" si="658"/>
        <v>-</v>
      </c>
      <c r="BO348" s="1417" t="str">
        <f t="shared" si="659"/>
        <v>-</v>
      </c>
      <c r="BP348" s="1417" t="str">
        <f t="shared" si="660"/>
        <v>-</v>
      </c>
      <c r="BQ348" s="1419" t="str">
        <f t="shared" si="661"/>
        <v>-</v>
      </c>
      <c r="BR348" s="1378"/>
      <c r="BS348" s="1420"/>
      <c r="BT348" s="1421"/>
      <c r="BU348" s="1422"/>
      <c r="BV348" s="1423"/>
      <c r="BW348" s="1378"/>
      <c r="BX348" s="1412" t="str">
        <f t="shared" si="662"/>
        <v>Price</v>
      </c>
      <c r="BY348" s="1413" t="str">
        <f t="shared" si="707"/>
        <v>[Service]</v>
      </c>
      <c r="BZ348" s="1414" t="str">
        <f t="shared" si="708"/>
        <v>[Price]</v>
      </c>
      <c r="CA348" s="1424" t="str">
        <f>IFERROR((S348/R348-1)*(R350/R$13),"-")</f>
        <v>-</v>
      </c>
      <c r="CB348" s="1415" t="str">
        <f>IFERROR((T348/S348-1)*(S350/S$13),"-")</f>
        <v>-</v>
      </c>
      <c r="CC348" s="1415" t="str">
        <f>IFERROR((U348/T348-1)*(T350/T$13),"-")</f>
        <v>-</v>
      </c>
      <c r="CD348" s="1415" t="str">
        <f>IFERROR((V348/U348-1)*(U350/U$13),"-")</f>
        <v>-</v>
      </c>
      <c r="CE348" s="1415" t="str">
        <f t="shared" ref="CE348:CR348" si="724">IFERROR((T348/S348-1)*(S350/S$13),"-")</f>
        <v>-</v>
      </c>
      <c r="CF348" s="1415" t="str">
        <f t="shared" si="724"/>
        <v>-</v>
      </c>
      <c r="CG348" s="1415" t="str">
        <f t="shared" si="724"/>
        <v>-</v>
      </c>
      <c r="CH348" s="1425" t="str">
        <f t="shared" si="724"/>
        <v>-</v>
      </c>
      <c r="CI348" s="1417" t="str">
        <f t="shared" si="724"/>
        <v>-</v>
      </c>
      <c r="CJ348" s="1417" t="str">
        <f t="shared" si="724"/>
        <v>-</v>
      </c>
      <c r="CK348" s="1417" t="str">
        <f t="shared" si="724"/>
        <v>-</v>
      </c>
      <c r="CL348" s="1417" t="str">
        <f t="shared" si="724"/>
        <v>-</v>
      </c>
      <c r="CM348" s="1418" t="str">
        <f t="shared" si="724"/>
        <v>-</v>
      </c>
      <c r="CN348" s="1417" t="str">
        <f t="shared" si="724"/>
        <v>-</v>
      </c>
      <c r="CO348" s="1417" t="str">
        <f t="shared" si="724"/>
        <v>-</v>
      </c>
      <c r="CP348" s="1417" t="str">
        <f t="shared" si="724"/>
        <v>-</v>
      </c>
      <c r="CQ348" s="1417" t="str">
        <f t="shared" si="724"/>
        <v>-</v>
      </c>
      <c r="CR348" s="1419" t="str">
        <f t="shared" si="724"/>
        <v>-</v>
      </c>
      <c r="CS348" s="1378"/>
      <c r="CT348" s="1412" t="str">
        <f t="shared" si="643"/>
        <v>Price</v>
      </c>
      <c r="CU348" s="1413" t="str">
        <f t="shared" si="644"/>
        <v>[Service]</v>
      </c>
      <c r="CV348" s="1426" t="str">
        <f t="shared" si="645"/>
        <v>[Price]</v>
      </c>
      <c r="CW348" s="1427" t="str">
        <f t="shared" si="664"/>
        <v>-</v>
      </c>
      <c r="CX348" s="1417" t="str">
        <f t="shared" si="665"/>
        <v>-</v>
      </c>
      <c r="CY348" s="1417" t="str">
        <f t="shared" si="666"/>
        <v>-</v>
      </c>
      <c r="CZ348" s="1418" t="str">
        <f t="shared" si="667"/>
        <v>-</v>
      </c>
      <c r="DA348" s="1417" t="str">
        <f t="shared" si="668"/>
        <v>-</v>
      </c>
      <c r="DB348" s="1417" t="str">
        <f t="shared" si="669"/>
        <v>-</v>
      </c>
      <c r="DC348" s="1417" t="str">
        <f t="shared" si="670"/>
        <v>-</v>
      </c>
      <c r="DD348" s="1417" t="str">
        <f t="shared" si="671"/>
        <v>-</v>
      </c>
      <c r="DE348" s="1419" t="str">
        <f t="shared" si="672"/>
        <v>-</v>
      </c>
      <c r="DF348" s="1378"/>
      <c r="DG348" s="1412" t="str">
        <f t="shared" si="684"/>
        <v>Price</v>
      </c>
      <c r="DH348" s="1413" t="str">
        <f t="shared" si="684"/>
        <v>[Service]</v>
      </c>
      <c r="DI348" s="1426" t="str">
        <f t="shared" si="684"/>
        <v>[Price]</v>
      </c>
      <c r="DJ348" s="1427" t="str">
        <f t="shared" si="673"/>
        <v>-</v>
      </c>
      <c r="DK348" s="1417" t="str">
        <f t="shared" si="674"/>
        <v>-</v>
      </c>
      <c r="DL348" s="1417" t="str">
        <f t="shared" si="675"/>
        <v>-</v>
      </c>
      <c r="DM348" s="1418" t="str">
        <f t="shared" si="676"/>
        <v>-</v>
      </c>
      <c r="DN348" s="1417" t="str">
        <f t="shared" si="677"/>
        <v>-</v>
      </c>
      <c r="DO348" s="1417" t="str">
        <f t="shared" si="678"/>
        <v>-</v>
      </c>
      <c r="DP348" s="1417" t="str">
        <f t="shared" si="679"/>
        <v>-</v>
      </c>
      <c r="DQ348" s="1419" t="str">
        <f t="shared" si="680"/>
        <v>-</v>
      </c>
    </row>
    <row r="349" spans="4:121">
      <c r="E349" s="742" t="s">
        <v>45</v>
      </c>
      <c r="F349" s="722" t="str">
        <f>+F348</f>
        <v>[Service]</v>
      </c>
      <c r="G349" s="723">
        <f>+G348</f>
        <v>0</v>
      </c>
      <c r="H349" s="723">
        <f>+H348</f>
        <v>0</v>
      </c>
      <c r="I349" s="724" t="str">
        <f>+I348</f>
        <v>[Price]</v>
      </c>
      <c r="J349" s="782" t="s">
        <v>322</v>
      </c>
      <c r="K349" s="725"/>
      <c r="L349" s="726"/>
      <c r="M349" s="726"/>
      <c r="N349" s="727"/>
      <c r="O349" s="786"/>
      <c r="P349" s="787"/>
      <c r="Q349" s="786"/>
      <c r="R349" s="786"/>
      <c r="S349" s="786"/>
      <c r="T349" s="786"/>
      <c r="U349" s="786"/>
      <c r="V349" s="786"/>
      <c r="W349" s="786"/>
      <c r="X349" s="787"/>
      <c r="Y349" s="786"/>
      <c r="Z349" s="786"/>
      <c r="AA349" s="786"/>
      <c r="AB349" s="786"/>
      <c r="AC349" s="787"/>
      <c r="AD349" s="786"/>
      <c r="AE349" s="786"/>
      <c r="AF349" s="786"/>
      <c r="AG349" s="788"/>
      <c r="AH349" s="823"/>
      <c r="AI349" s="745"/>
      <c r="AJ349" s="728"/>
      <c r="AK349" s="729"/>
      <c r="AL349" s="729"/>
      <c r="AM349" s="729"/>
      <c r="AN349" s="729"/>
      <c r="AO349" s="730"/>
      <c r="AP349" s="74"/>
      <c r="AQ349" s="74"/>
      <c r="AR349" s="74"/>
      <c r="AS349" s="106"/>
      <c r="AW349" s="1392" t="str">
        <f t="shared" si="682"/>
        <v>Qty</v>
      </c>
      <c r="AX349" s="1393" t="str">
        <f t="shared" si="682"/>
        <v>[Service]</v>
      </c>
      <c r="AY349" s="1394" t="str">
        <f t="shared" si="646"/>
        <v>[Price]</v>
      </c>
      <c r="AZ349" s="1395" t="str">
        <f t="shared" si="711"/>
        <v>-</v>
      </c>
      <c r="BA349" s="1395" t="str">
        <f t="shared" si="711"/>
        <v>-</v>
      </c>
      <c r="BB349" s="1395" t="str">
        <f t="shared" si="711"/>
        <v>-</v>
      </c>
      <c r="BC349" s="1395" t="str">
        <f t="shared" si="711"/>
        <v>-</v>
      </c>
      <c r="BD349" s="1395" t="str">
        <f t="shared" si="648"/>
        <v>-</v>
      </c>
      <c r="BE349" s="1395" t="str">
        <f t="shared" si="649"/>
        <v>-</v>
      </c>
      <c r="BF349" s="1395" t="str">
        <f t="shared" si="650"/>
        <v>-</v>
      </c>
      <c r="BG349" s="1396" t="str">
        <f t="shared" si="651"/>
        <v>-</v>
      </c>
      <c r="BH349" s="1395" t="str">
        <f t="shared" si="652"/>
        <v>-</v>
      </c>
      <c r="BI349" s="1395" t="str">
        <f t="shared" si="653"/>
        <v>-</v>
      </c>
      <c r="BJ349" s="1395" t="str">
        <f t="shared" si="654"/>
        <v>-</v>
      </c>
      <c r="BK349" s="1395" t="str">
        <f t="shared" si="655"/>
        <v>-</v>
      </c>
      <c r="BL349" s="1397" t="str">
        <f t="shared" si="656"/>
        <v>-</v>
      </c>
      <c r="BM349" s="1395" t="str">
        <f t="shared" si="657"/>
        <v>-</v>
      </c>
      <c r="BN349" s="1395" t="str">
        <f t="shared" si="658"/>
        <v>-</v>
      </c>
      <c r="BO349" s="1395" t="str">
        <f t="shared" si="659"/>
        <v>-</v>
      </c>
      <c r="BP349" s="1395" t="str">
        <f t="shared" si="660"/>
        <v>-</v>
      </c>
      <c r="BQ349" s="1398" t="str">
        <f t="shared" si="661"/>
        <v>-</v>
      </c>
      <c r="BR349" s="1378"/>
      <c r="BS349" s="1329"/>
      <c r="BT349" s="1399"/>
      <c r="BU349" s="1331"/>
      <c r="BV349" s="1400"/>
      <c r="BW349" s="1378"/>
      <c r="BX349" s="1392" t="str">
        <f t="shared" si="662"/>
        <v>Qty</v>
      </c>
      <c r="BY349" s="1393" t="str">
        <f t="shared" si="707"/>
        <v>[Service]</v>
      </c>
      <c r="BZ349" s="1394" t="str">
        <f t="shared" si="708"/>
        <v>[Price]</v>
      </c>
      <c r="CA349" s="1401" t="str">
        <f>IFERROR((S349/R349-1)*(R350/R$13),"-")</f>
        <v>-</v>
      </c>
      <c r="CB349" s="1395" t="str">
        <f>IFERROR((T349/S349-1)*(S350/S$13),"-")</f>
        <v>-</v>
      </c>
      <c r="CC349" s="1395" t="str">
        <f>IFERROR((U349/T349-1)*(T350/T$13),"-")</f>
        <v>-</v>
      </c>
      <c r="CD349" s="1395" t="str">
        <f>IFERROR((V349/U349-1)*(U350/U$13),"-")</f>
        <v>-</v>
      </c>
      <c r="CE349" s="1395" t="str">
        <f t="shared" ref="CE349:CR349" si="725">IFERROR((T349/S349-1)*(S350/S$13),"-")</f>
        <v>-</v>
      </c>
      <c r="CF349" s="1395" t="str">
        <f t="shared" si="725"/>
        <v>-</v>
      </c>
      <c r="CG349" s="1395" t="str">
        <f t="shared" si="725"/>
        <v>-</v>
      </c>
      <c r="CH349" s="1397" t="str">
        <f t="shared" si="725"/>
        <v>-</v>
      </c>
      <c r="CI349" s="1395" t="str">
        <f t="shared" si="725"/>
        <v>-</v>
      </c>
      <c r="CJ349" s="1395" t="str">
        <f t="shared" si="725"/>
        <v>-</v>
      </c>
      <c r="CK349" s="1395" t="str">
        <f t="shared" si="725"/>
        <v>-</v>
      </c>
      <c r="CL349" s="1395" t="str">
        <f t="shared" si="725"/>
        <v>-</v>
      </c>
      <c r="CM349" s="1397" t="str">
        <f t="shared" si="725"/>
        <v>-</v>
      </c>
      <c r="CN349" s="1395" t="str">
        <f t="shared" si="725"/>
        <v>-</v>
      </c>
      <c r="CO349" s="1395" t="str">
        <f t="shared" si="725"/>
        <v>-</v>
      </c>
      <c r="CP349" s="1395" t="str">
        <f t="shared" si="725"/>
        <v>-</v>
      </c>
      <c r="CQ349" s="1395" t="str">
        <f t="shared" si="725"/>
        <v>-</v>
      </c>
      <c r="CR349" s="1398" t="str">
        <f t="shared" si="725"/>
        <v>-</v>
      </c>
      <c r="CS349" s="1378"/>
      <c r="CT349" s="1392" t="str">
        <f t="shared" si="643"/>
        <v>Qty</v>
      </c>
      <c r="CU349" s="1393" t="str">
        <f t="shared" si="644"/>
        <v>[Service]</v>
      </c>
      <c r="CV349" s="1393" t="str">
        <f t="shared" si="645"/>
        <v>[Price]</v>
      </c>
      <c r="CW349" s="1401" t="str">
        <f t="shared" si="664"/>
        <v>-</v>
      </c>
      <c r="CX349" s="1395" t="str">
        <f t="shared" si="665"/>
        <v>-</v>
      </c>
      <c r="CY349" s="1395" t="str">
        <f t="shared" si="666"/>
        <v>-</v>
      </c>
      <c r="CZ349" s="1397" t="str">
        <f t="shared" si="667"/>
        <v>-</v>
      </c>
      <c r="DA349" s="1395" t="str">
        <f t="shared" si="668"/>
        <v>-</v>
      </c>
      <c r="DB349" s="1395" t="str">
        <f t="shared" si="669"/>
        <v>-</v>
      </c>
      <c r="DC349" s="1395" t="str">
        <f t="shared" si="670"/>
        <v>-</v>
      </c>
      <c r="DD349" s="1395" t="str">
        <f t="shared" si="671"/>
        <v>-</v>
      </c>
      <c r="DE349" s="1398" t="str">
        <f t="shared" si="672"/>
        <v>-</v>
      </c>
      <c r="DF349" s="1378"/>
      <c r="DG349" s="1392" t="str">
        <f t="shared" si="684"/>
        <v>Qty</v>
      </c>
      <c r="DH349" s="1393" t="str">
        <f t="shared" si="684"/>
        <v>[Service]</v>
      </c>
      <c r="DI349" s="1393" t="str">
        <f t="shared" si="684"/>
        <v>[Price]</v>
      </c>
      <c r="DJ349" s="1401" t="str">
        <f t="shared" si="673"/>
        <v>-</v>
      </c>
      <c r="DK349" s="1395" t="str">
        <f t="shared" si="674"/>
        <v>-</v>
      </c>
      <c r="DL349" s="1395" t="str">
        <f t="shared" si="675"/>
        <v>-</v>
      </c>
      <c r="DM349" s="1397" t="str">
        <f t="shared" si="676"/>
        <v>-</v>
      </c>
      <c r="DN349" s="1395" t="str">
        <f t="shared" si="677"/>
        <v>-</v>
      </c>
      <c r="DO349" s="1395" t="str">
        <f t="shared" si="678"/>
        <v>-</v>
      </c>
      <c r="DP349" s="1395" t="str">
        <f t="shared" si="679"/>
        <v>-</v>
      </c>
      <c r="DQ349" s="1398" t="str">
        <f t="shared" si="680"/>
        <v>-</v>
      </c>
    </row>
    <row r="350" spans="4:121" ht="12.75" thickBot="1">
      <c r="E350" s="743" t="s">
        <v>46</v>
      </c>
      <c r="F350" s="732" t="str">
        <f>+F348</f>
        <v>[Service]</v>
      </c>
      <c r="G350" s="733">
        <f>+G348</f>
        <v>0</v>
      </c>
      <c r="H350" s="733">
        <f>+H348</f>
        <v>0</v>
      </c>
      <c r="I350" s="734" t="str">
        <f>+I348</f>
        <v>[Price]</v>
      </c>
      <c r="J350" s="735" t="s">
        <v>344</v>
      </c>
      <c r="K350" s="736">
        <f t="shared" ref="K350:AG350" si="726">K348*K349/10^6</f>
        <v>0</v>
      </c>
      <c r="L350" s="737">
        <f t="shared" si="726"/>
        <v>0</v>
      </c>
      <c r="M350" s="737">
        <f t="shared" si="726"/>
        <v>0</v>
      </c>
      <c r="N350" s="738">
        <f t="shared" si="726"/>
        <v>0</v>
      </c>
      <c r="O350" s="737">
        <f t="shared" si="726"/>
        <v>0</v>
      </c>
      <c r="P350" s="738">
        <f t="shared" si="726"/>
        <v>0</v>
      </c>
      <c r="Q350" s="737">
        <f t="shared" si="726"/>
        <v>0</v>
      </c>
      <c r="R350" s="737">
        <f t="shared" si="726"/>
        <v>0</v>
      </c>
      <c r="S350" s="737">
        <f t="shared" si="726"/>
        <v>0</v>
      </c>
      <c r="T350" s="737">
        <f t="shared" si="726"/>
        <v>0</v>
      </c>
      <c r="U350" s="737">
        <f t="shared" si="726"/>
        <v>0</v>
      </c>
      <c r="V350" s="737">
        <f t="shared" si="726"/>
        <v>0</v>
      </c>
      <c r="W350" s="737">
        <f t="shared" si="726"/>
        <v>0</v>
      </c>
      <c r="X350" s="738">
        <f t="shared" si="726"/>
        <v>0</v>
      </c>
      <c r="Y350" s="737">
        <f t="shared" si="726"/>
        <v>0</v>
      </c>
      <c r="Z350" s="737">
        <f t="shared" si="726"/>
        <v>0</v>
      </c>
      <c r="AA350" s="737">
        <f t="shared" si="726"/>
        <v>0</v>
      </c>
      <c r="AB350" s="737">
        <f t="shared" si="726"/>
        <v>0</v>
      </c>
      <c r="AC350" s="738">
        <f t="shared" si="726"/>
        <v>0</v>
      </c>
      <c r="AD350" s="737">
        <f t="shared" si="726"/>
        <v>0</v>
      </c>
      <c r="AE350" s="737">
        <f t="shared" si="726"/>
        <v>0</v>
      </c>
      <c r="AF350" s="737">
        <f t="shared" si="726"/>
        <v>0</v>
      </c>
      <c r="AG350" s="739">
        <f t="shared" si="726"/>
        <v>0</v>
      </c>
      <c r="AH350" s="823"/>
      <c r="AI350" s="745"/>
      <c r="AJ350" s="741"/>
      <c r="AK350" s="729"/>
      <c r="AL350" s="729"/>
      <c r="AM350" s="729"/>
      <c r="AN350" s="729"/>
      <c r="AO350" s="730"/>
      <c r="AP350" s="74"/>
      <c r="AQ350" s="74"/>
      <c r="AR350" s="74"/>
      <c r="AS350" s="106"/>
      <c r="AW350" s="1428" t="str">
        <f t="shared" si="682"/>
        <v>Rev</v>
      </c>
      <c r="AX350" s="1429" t="str">
        <f t="shared" si="682"/>
        <v>[Service]</v>
      </c>
      <c r="AY350" s="1430" t="str">
        <f t="shared" si="646"/>
        <v>[Price]</v>
      </c>
      <c r="AZ350" s="1431" t="str">
        <f t="shared" si="711"/>
        <v>-</v>
      </c>
      <c r="BA350" s="1431" t="str">
        <f t="shared" si="711"/>
        <v>-</v>
      </c>
      <c r="BB350" s="1431" t="str">
        <f t="shared" si="711"/>
        <v>-</v>
      </c>
      <c r="BC350" s="1431" t="str">
        <f t="shared" si="711"/>
        <v>-</v>
      </c>
      <c r="BD350" s="1431" t="str">
        <f t="shared" si="648"/>
        <v>-</v>
      </c>
      <c r="BE350" s="1431" t="str">
        <f t="shared" si="649"/>
        <v>-</v>
      </c>
      <c r="BF350" s="1431" t="str">
        <f t="shared" si="650"/>
        <v>-</v>
      </c>
      <c r="BG350" s="1432" t="str">
        <f t="shared" si="651"/>
        <v>-</v>
      </c>
      <c r="BH350" s="1431" t="str">
        <f t="shared" si="652"/>
        <v>-</v>
      </c>
      <c r="BI350" s="1431" t="str">
        <f t="shared" si="653"/>
        <v>-</v>
      </c>
      <c r="BJ350" s="1431" t="str">
        <f t="shared" si="654"/>
        <v>-</v>
      </c>
      <c r="BK350" s="1431" t="str">
        <f t="shared" si="655"/>
        <v>-</v>
      </c>
      <c r="BL350" s="1433" t="str">
        <f t="shared" si="656"/>
        <v>-</v>
      </c>
      <c r="BM350" s="1431" t="str">
        <f t="shared" si="657"/>
        <v>-</v>
      </c>
      <c r="BN350" s="1431" t="str">
        <f t="shared" si="658"/>
        <v>-</v>
      </c>
      <c r="BO350" s="1431" t="str">
        <f t="shared" si="659"/>
        <v>-</v>
      </c>
      <c r="BP350" s="1431" t="str">
        <f t="shared" si="660"/>
        <v>-</v>
      </c>
      <c r="BQ350" s="1434" t="str">
        <f t="shared" si="661"/>
        <v>-</v>
      </c>
      <c r="BR350" s="1378"/>
      <c r="BS350" s="1407"/>
      <c r="BT350" s="1408"/>
      <c r="BU350" s="1409"/>
      <c r="BV350" s="1410"/>
      <c r="BW350" s="1378"/>
      <c r="BX350" s="1428" t="str">
        <f t="shared" si="662"/>
        <v>Rev</v>
      </c>
      <c r="BY350" s="1429" t="str">
        <f t="shared" si="707"/>
        <v>[Service]</v>
      </c>
      <c r="BZ350" s="1430" t="str">
        <f t="shared" si="708"/>
        <v>[Price]</v>
      </c>
      <c r="CA350" s="1435" t="str">
        <f>IFERROR((S350/R350-1)*(R350/R$13),"-")</f>
        <v>-</v>
      </c>
      <c r="CB350" s="1431" t="str">
        <f>IFERROR((T350/S350-1)*(S350/S$13),"-")</f>
        <v>-</v>
      </c>
      <c r="CC350" s="1431" t="str">
        <f>IFERROR((U350/T350-1)*(T350/T$13),"-")</f>
        <v>-</v>
      </c>
      <c r="CD350" s="1431" t="str">
        <f>IFERROR((V350/U350-1)*(U350/U$13),"-")</f>
        <v>-</v>
      </c>
      <c r="CE350" s="1431" t="str">
        <f t="shared" ref="CE350:CR350" si="727">IFERROR((T350/S350-1)*(S350/S$13),"-")</f>
        <v>-</v>
      </c>
      <c r="CF350" s="1431" t="str">
        <f t="shared" si="727"/>
        <v>-</v>
      </c>
      <c r="CG350" s="1431" t="str">
        <f t="shared" si="727"/>
        <v>-</v>
      </c>
      <c r="CH350" s="1433" t="str">
        <f t="shared" si="727"/>
        <v>-</v>
      </c>
      <c r="CI350" s="1431" t="str">
        <f t="shared" si="727"/>
        <v>-</v>
      </c>
      <c r="CJ350" s="1431" t="str">
        <f t="shared" si="727"/>
        <v>-</v>
      </c>
      <c r="CK350" s="1431" t="str">
        <f t="shared" si="727"/>
        <v>-</v>
      </c>
      <c r="CL350" s="1431" t="str">
        <f t="shared" si="727"/>
        <v>-</v>
      </c>
      <c r="CM350" s="1433" t="str">
        <f t="shared" si="727"/>
        <v>-</v>
      </c>
      <c r="CN350" s="1431" t="str">
        <f t="shared" si="727"/>
        <v>-</v>
      </c>
      <c r="CO350" s="1431" t="str">
        <f t="shared" si="727"/>
        <v>-</v>
      </c>
      <c r="CP350" s="1431" t="str">
        <f t="shared" si="727"/>
        <v>-</v>
      </c>
      <c r="CQ350" s="1431" t="str">
        <f t="shared" si="727"/>
        <v>-</v>
      </c>
      <c r="CR350" s="1434" t="str">
        <f t="shared" si="727"/>
        <v>-</v>
      </c>
      <c r="CS350" s="1378"/>
      <c r="CT350" s="1428" t="str">
        <f t="shared" si="643"/>
        <v>Rev</v>
      </c>
      <c r="CU350" s="1429" t="str">
        <f t="shared" si="644"/>
        <v>[Service]</v>
      </c>
      <c r="CV350" s="1429" t="str">
        <f t="shared" si="645"/>
        <v>[Price]</v>
      </c>
      <c r="CW350" s="1435" t="str">
        <f t="shared" si="664"/>
        <v>-</v>
      </c>
      <c r="CX350" s="1431" t="str">
        <f t="shared" si="665"/>
        <v>-</v>
      </c>
      <c r="CY350" s="1431" t="str">
        <f t="shared" si="666"/>
        <v>-</v>
      </c>
      <c r="CZ350" s="1433" t="str">
        <f t="shared" si="667"/>
        <v>-</v>
      </c>
      <c r="DA350" s="1431" t="str">
        <f t="shared" si="668"/>
        <v>-</v>
      </c>
      <c r="DB350" s="1431" t="str">
        <f t="shared" si="669"/>
        <v>-</v>
      </c>
      <c r="DC350" s="1431" t="str">
        <f t="shared" si="670"/>
        <v>-</v>
      </c>
      <c r="DD350" s="1431" t="str">
        <f t="shared" si="671"/>
        <v>-</v>
      </c>
      <c r="DE350" s="1434" t="str">
        <f t="shared" si="672"/>
        <v>-</v>
      </c>
      <c r="DF350" s="1378"/>
      <c r="DG350" s="1428" t="str">
        <f t="shared" si="684"/>
        <v>Rev</v>
      </c>
      <c r="DH350" s="1429" t="str">
        <f t="shared" si="684"/>
        <v>[Service]</v>
      </c>
      <c r="DI350" s="1429" t="str">
        <f t="shared" si="684"/>
        <v>[Price]</v>
      </c>
      <c r="DJ350" s="1435" t="str">
        <f t="shared" si="673"/>
        <v>-</v>
      </c>
      <c r="DK350" s="1431" t="str">
        <f t="shared" si="674"/>
        <v>-</v>
      </c>
      <c r="DL350" s="1431" t="str">
        <f t="shared" si="675"/>
        <v>-</v>
      </c>
      <c r="DM350" s="1433" t="str">
        <f t="shared" si="676"/>
        <v>-</v>
      </c>
      <c r="DN350" s="1431" t="str">
        <f t="shared" si="677"/>
        <v>-</v>
      </c>
      <c r="DO350" s="1431" t="str">
        <f t="shared" si="678"/>
        <v>-</v>
      </c>
      <c r="DP350" s="1431" t="str">
        <f t="shared" si="679"/>
        <v>-</v>
      </c>
      <c r="DQ350" s="1434" t="str">
        <f t="shared" si="680"/>
        <v>-</v>
      </c>
    </row>
    <row r="351" spans="4:121">
      <c r="D351" s="70">
        <f>D348+1</f>
        <v>95</v>
      </c>
      <c r="E351" s="713" t="s">
        <v>44</v>
      </c>
      <c r="F351" s="789" t="s">
        <v>27</v>
      </c>
      <c r="G351" s="789"/>
      <c r="H351" s="789"/>
      <c r="I351" s="781" t="s">
        <v>318</v>
      </c>
      <c r="J351" s="781" t="s">
        <v>345</v>
      </c>
      <c r="K351" s="714"/>
      <c r="L351" s="715"/>
      <c r="M351" s="715"/>
      <c r="N351" s="716"/>
      <c r="O351" s="783"/>
      <c r="P351" s="784"/>
      <c r="Q351" s="783"/>
      <c r="R351" s="783"/>
      <c r="S351" s="783"/>
      <c r="T351" s="783"/>
      <c r="U351" s="783"/>
      <c r="V351" s="783"/>
      <c r="W351" s="783"/>
      <c r="X351" s="784"/>
      <c r="Y351" s="783"/>
      <c r="Z351" s="783"/>
      <c r="AA351" s="783"/>
      <c r="AB351" s="783"/>
      <c r="AC351" s="784"/>
      <c r="AD351" s="783"/>
      <c r="AE351" s="783"/>
      <c r="AF351" s="783"/>
      <c r="AG351" s="785"/>
      <c r="AI351" s="745"/>
      <c r="AJ351" s="717" t="str">
        <f t="shared" ref="AJ351:AS351" si="728">IFERROR((X351-W351)/W351,"")</f>
        <v/>
      </c>
      <c r="AK351" s="718" t="str">
        <f t="shared" si="728"/>
        <v/>
      </c>
      <c r="AL351" s="718" t="str">
        <f t="shared" si="728"/>
        <v/>
      </c>
      <c r="AM351" s="718" t="str">
        <f t="shared" si="728"/>
        <v/>
      </c>
      <c r="AN351" s="718" t="str">
        <f t="shared" si="728"/>
        <v/>
      </c>
      <c r="AO351" s="719" t="str">
        <f t="shared" si="728"/>
        <v/>
      </c>
      <c r="AP351" s="494" t="str">
        <f t="shared" si="728"/>
        <v/>
      </c>
      <c r="AQ351" s="494" t="str">
        <f t="shared" si="728"/>
        <v/>
      </c>
      <c r="AR351" s="494" t="str">
        <f t="shared" si="728"/>
        <v/>
      </c>
      <c r="AS351" s="720" t="str">
        <f t="shared" si="728"/>
        <v/>
      </c>
      <c r="AU351" s="1369"/>
      <c r="AW351" s="1412" t="str">
        <f t="shared" si="682"/>
        <v>Price</v>
      </c>
      <c r="AX351" s="1413" t="str">
        <f t="shared" si="682"/>
        <v>[Service]</v>
      </c>
      <c r="AY351" s="1414" t="str">
        <f t="shared" si="646"/>
        <v>[Price]</v>
      </c>
      <c r="AZ351" s="1415" t="str">
        <f t="shared" si="711"/>
        <v>-</v>
      </c>
      <c r="BA351" s="1415" t="str">
        <f t="shared" si="711"/>
        <v>-</v>
      </c>
      <c r="BB351" s="1415" t="str">
        <f t="shared" si="711"/>
        <v>-</v>
      </c>
      <c r="BC351" s="1415" t="str">
        <f t="shared" si="711"/>
        <v>-</v>
      </c>
      <c r="BD351" s="1415" t="str">
        <f t="shared" si="648"/>
        <v>-</v>
      </c>
      <c r="BE351" s="1415" t="str">
        <f t="shared" si="649"/>
        <v>-</v>
      </c>
      <c r="BF351" s="1415" t="str">
        <f t="shared" si="650"/>
        <v>-</v>
      </c>
      <c r="BG351" s="1416" t="str">
        <f t="shared" si="651"/>
        <v>-</v>
      </c>
      <c r="BH351" s="1417" t="str">
        <f t="shared" si="652"/>
        <v>-</v>
      </c>
      <c r="BI351" s="1417" t="str">
        <f t="shared" si="653"/>
        <v>-</v>
      </c>
      <c r="BJ351" s="1417" t="str">
        <f t="shared" si="654"/>
        <v>-</v>
      </c>
      <c r="BK351" s="1417" t="str">
        <f t="shared" si="655"/>
        <v>-</v>
      </c>
      <c r="BL351" s="1418" t="str">
        <f t="shared" si="656"/>
        <v>-</v>
      </c>
      <c r="BM351" s="1417" t="str">
        <f t="shared" si="657"/>
        <v>-</v>
      </c>
      <c r="BN351" s="1417" t="str">
        <f t="shared" si="658"/>
        <v>-</v>
      </c>
      <c r="BO351" s="1417" t="str">
        <f t="shared" si="659"/>
        <v>-</v>
      </c>
      <c r="BP351" s="1417" t="str">
        <f t="shared" si="660"/>
        <v>-</v>
      </c>
      <c r="BQ351" s="1419" t="str">
        <f t="shared" si="661"/>
        <v>-</v>
      </c>
      <c r="BR351" s="1378"/>
      <c r="BS351" s="1420"/>
      <c r="BT351" s="1421"/>
      <c r="BU351" s="1422"/>
      <c r="BV351" s="1423"/>
      <c r="BW351" s="1378"/>
      <c r="BX351" s="1412" t="str">
        <f t="shared" si="662"/>
        <v>Price</v>
      </c>
      <c r="BY351" s="1413" t="str">
        <f t="shared" si="707"/>
        <v>[Service]</v>
      </c>
      <c r="BZ351" s="1414" t="str">
        <f t="shared" si="708"/>
        <v>[Price]</v>
      </c>
      <c r="CA351" s="1424" t="str">
        <f>IFERROR((S351/R351-1)*(R353/R$13),"-")</f>
        <v>-</v>
      </c>
      <c r="CB351" s="1415" t="str">
        <f>IFERROR((T351/S351-1)*(S353/S$13),"-")</f>
        <v>-</v>
      </c>
      <c r="CC351" s="1415" t="str">
        <f>IFERROR((U351/T351-1)*(T353/T$13),"-")</f>
        <v>-</v>
      </c>
      <c r="CD351" s="1415" t="str">
        <f>IFERROR((V351/U351-1)*(U353/U$13),"-")</f>
        <v>-</v>
      </c>
      <c r="CE351" s="1415" t="str">
        <f t="shared" ref="CE351:CR351" si="729">IFERROR((T351/S351-1)*(S353/S$13),"-")</f>
        <v>-</v>
      </c>
      <c r="CF351" s="1415" t="str">
        <f t="shared" si="729"/>
        <v>-</v>
      </c>
      <c r="CG351" s="1415" t="str">
        <f t="shared" si="729"/>
        <v>-</v>
      </c>
      <c r="CH351" s="1425" t="str">
        <f t="shared" si="729"/>
        <v>-</v>
      </c>
      <c r="CI351" s="1417" t="str">
        <f t="shared" si="729"/>
        <v>-</v>
      </c>
      <c r="CJ351" s="1417" t="str">
        <f t="shared" si="729"/>
        <v>-</v>
      </c>
      <c r="CK351" s="1417" t="str">
        <f t="shared" si="729"/>
        <v>-</v>
      </c>
      <c r="CL351" s="1417" t="str">
        <f t="shared" si="729"/>
        <v>-</v>
      </c>
      <c r="CM351" s="1418" t="str">
        <f t="shared" si="729"/>
        <v>-</v>
      </c>
      <c r="CN351" s="1417" t="str">
        <f t="shared" si="729"/>
        <v>-</v>
      </c>
      <c r="CO351" s="1417" t="str">
        <f t="shared" si="729"/>
        <v>-</v>
      </c>
      <c r="CP351" s="1417" t="str">
        <f t="shared" si="729"/>
        <v>-</v>
      </c>
      <c r="CQ351" s="1417" t="str">
        <f t="shared" si="729"/>
        <v>-</v>
      </c>
      <c r="CR351" s="1419" t="str">
        <f t="shared" si="729"/>
        <v>-</v>
      </c>
      <c r="CS351" s="1378"/>
      <c r="CT351" s="1412" t="str">
        <f t="shared" si="643"/>
        <v>Price</v>
      </c>
      <c r="CU351" s="1413" t="str">
        <f t="shared" si="644"/>
        <v>[Service]</v>
      </c>
      <c r="CV351" s="1426" t="str">
        <f t="shared" si="645"/>
        <v>[Price]</v>
      </c>
      <c r="CW351" s="1427" t="str">
        <f t="shared" si="664"/>
        <v>-</v>
      </c>
      <c r="CX351" s="1417" t="str">
        <f t="shared" si="665"/>
        <v>-</v>
      </c>
      <c r="CY351" s="1417" t="str">
        <f t="shared" si="666"/>
        <v>-</v>
      </c>
      <c r="CZ351" s="1418" t="str">
        <f t="shared" si="667"/>
        <v>-</v>
      </c>
      <c r="DA351" s="1417" t="str">
        <f t="shared" si="668"/>
        <v>-</v>
      </c>
      <c r="DB351" s="1417" t="str">
        <f t="shared" si="669"/>
        <v>-</v>
      </c>
      <c r="DC351" s="1417" t="str">
        <f t="shared" si="670"/>
        <v>-</v>
      </c>
      <c r="DD351" s="1417" t="str">
        <f t="shared" si="671"/>
        <v>-</v>
      </c>
      <c r="DE351" s="1419" t="str">
        <f t="shared" si="672"/>
        <v>-</v>
      </c>
      <c r="DF351" s="1378"/>
      <c r="DG351" s="1412" t="str">
        <f t="shared" si="684"/>
        <v>Price</v>
      </c>
      <c r="DH351" s="1413" t="str">
        <f t="shared" si="684"/>
        <v>[Service]</v>
      </c>
      <c r="DI351" s="1426" t="str">
        <f t="shared" si="684"/>
        <v>[Price]</v>
      </c>
      <c r="DJ351" s="1427" t="str">
        <f t="shared" si="673"/>
        <v>-</v>
      </c>
      <c r="DK351" s="1417" t="str">
        <f t="shared" si="674"/>
        <v>-</v>
      </c>
      <c r="DL351" s="1417" t="str">
        <f t="shared" si="675"/>
        <v>-</v>
      </c>
      <c r="DM351" s="1418" t="str">
        <f t="shared" si="676"/>
        <v>-</v>
      </c>
      <c r="DN351" s="1417" t="str">
        <f t="shared" si="677"/>
        <v>-</v>
      </c>
      <c r="DO351" s="1417" t="str">
        <f t="shared" si="678"/>
        <v>-</v>
      </c>
      <c r="DP351" s="1417" t="str">
        <f t="shared" si="679"/>
        <v>-</v>
      </c>
      <c r="DQ351" s="1419" t="str">
        <f t="shared" si="680"/>
        <v>-</v>
      </c>
    </row>
    <row r="352" spans="4:121">
      <c r="E352" s="742" t="s">
        <v>45</v>
      </c>
      <c r="F352" s="722" t="str">
        <f>+F351</f>
        <v>[Service]</v>
      </c>
      <c r="G352" s="723">
        <f>+G351</f>
        <v>0</v>
      </c>
      <c r="H352" s="723">
        <f>+H351</f>
        <v>0</v>
      </c>
      <c r="I352" s="724" t="str">
        <f>+I351</f>
        <v>[Price]</v>
      </c>
      <c r="J352" s="782" t="s">
        <v>322</v>
      </c>
      <c r="K352" s="725"/>
      <c r="L352" s="726"/>
      <c r="M352" s="726"/>
      <c r="N352" s="727"/>
      <c r="O352" s="786"/>
      <c r="P352" s="787"/>
      <c r="Q352" s="786"/>
      <c r="R352" s="786"/>
      <c r="S352" s="786"/>
      <c r="T352" s="786"/>
      <c r="U352" s="786"/>
      <c r="V352" s="786"/>
      <c r="W352" s="786"/>
      <c r="X352" s="787"/>
      <c r="Y352" s="786"/>
      <c r="Z352" s="786"/>
      <c r="AA352" s="786"/>
      <c r="AB352" s="786"/>
      <c r="AC352" s="787"/>
      <c r="AD352" s="786"/>
      <c r="AE352" s="786"/>
      <c r="AF352" s="786"/>
      <c r="AG352" s="788"/>
      <c r="AH352" s="823"/>
      <c r="AI352" s="745"/>
      <c r="AJ352" s="728"/>
      <c r="AK352" s="729"/>
      <c r="AL352" s="729"/>
      <c r="AM352" s="729"/>
      <c r="AN352" s="729"/>
      <c r="AO352" s="730"/>
      <c r="AP352" s="74"/>
      <c r="AQ352" s="74"/>
      <c r="AR352" s="74"/>
      <c r="AS352" s="106"/>
      <c r="AW352" s="1392" t="str">
        <f t="shared" si="682"/>
        <v>Qty</v>
      </c>
      <c r="AX352" s="1393" t="str">
        <f t="shared" si="682"/>
        <v>[Service]</v>
      </c>
      <c r="AY352" s="1394" t="str">
        <f t="shared" si="646"/>
        <v>[Price]</v>
      </c>
      <c r="AZ352" s="1395" t="str">
        <f t="shared" si="711"/>
        <v>-</v>
      </c>
      <c r="BA352" s="1395" t="str">
        <f t="shared" si="711"/>
        <v>-</v>
      </c>
      <c r="BB352" s="1395" t="str">
        <f t="shared" si="711"/>
        <v>-</v>
      </c>
      <c r="BC352" s="1395" t="str">
        <f t="shared" si="711"/>
        <v>-</v>
      </c>
      <c r="BD352" s="1395" t="str">
        <f t="shared" si="648"/>
        <v>-</v>
      </c>
      <c r="BE352" s="1395" t="str">
        <f t="shared" si="649"/>
        <v>-</v>
      </c>
      <c r="BF352" s="1395" t="str">
        <f t="shared" si="650"/>
        <v>-</v>
      </c>
      <c r="BG352" s="1396" t="str">
        <f t="shared" si="651"/>
        <v>-</v>
      </c>
      <c r="BH352" s="1395" t="str">
        <f t="shared" si="652"/>
        <v>-</v>
      </c>
      <c r="BI352" s="1395" t="str">
        <f t="shared" si="653"/>
        <v>-</v>
      </c>
      <c r="BJ352" s="1395" t="str">
        <f t="shared" si="654"/>
        <v>-</v>
      </c>
      <c r="BK352" s="1395" t="str">
        <f t="shared" si="655"/>
        <v>-</v>
      </c>
      <c r="BL352" s="1397" t="str">
        <f t="shared" si="656"/>
        <v>-</v>
      </c>
      <c r="BM352" s="1395" t="str">
        <f t="shared" si="657"/>
        <v>-</v>
      </c>
      <c r="BN352" s="1395" t="str">
        <f t="shared" si="658"/>
        <v>-</v>
      </c>
      <c r="BO352" s="1395" t="str">
        <f t="shared" si="659"/>
        <v>-</v>
      </c>
      <c r="BP352" s="1395" t="str">
        <f t="shared" si="660"/>
        <v>-</v>
      </c>
      <c r="BQ352" s="1398" t="str">
        <f t="shared" si="661"/>
        <v>-</v>
      </c>
      <c r="BR352" s="1378"/>
      <c r="BS352" s="1329"/>
      <c r="BT352" s="1399"/>
      <c r="BU352" s="1331"/>
      <c r="BV352" s="1400"/>
      <c r="BW352" s="1378"/>
      <c r="BX352" s="1392" t="str">
        <f t="shared" si="662"/>
        <v>Qty</v>
      </c>
      <c r="BY352" s="1393" t="str">
        <f t="shared" si="707"/>
        <v>[Service]</v>
      </c>
      <c r="BZ352" s="1394" t="str">
        <f t="shared" si="708"/>
        <v>[Price]</v>
      </c>
      <c r="CA352" s="1401" t="str">
        <f>IFERROR((S352/R352-1)*(R353/R$13),"-")</f>
        <v>-</v>
      </c>
      <c r="CB352" s="1395" t="str">
        <f>IFERROR((T352/S352-1)*(S353/S$13),"-")</f>
        <v>-</v>
      </c>
      <c r="CC352" s="1395" t="str">
        <f>IFERROR((U352/T352-1)*(T353/T$13),"-")</f>
        <v>-</v>
      </c>
      <c r="CD352" s="1395" t="str">
        <f>IFERROR((V352/U352-1)*(U353/U$13),"-")</f>
        <v>-</v>
      </c>
      <c r="CE352" s="1395" t="str">
        <f t="shared" ref="CE352:CR352" si="730">IFERROR((T352/S352-1)*(S353/S$13),"-")</f>
        <v>-</v>
      </c>
      <c r="CF352" s="1395" t="str">
        <f t="shared" si="730"/>
        <v>-</v>
      </c>
      <c r="CG352" s="1395" t="str">
        <f t="shared" si="730"/>
        <v>-</v>
      </c>
      <c r="CH352" s="1397" t="str">
        <f t="shared" si="730"/>
        <v>-</v>
      </c>
      <c r="CI352" s="1395" t="str">
        <f t="shared" si="730"/>
        <v>-</v>
      </c>
      <c r="CJ352" s="1395" t="str">
        <f t="shared" si="730"/>
        <v>-</v>
      </c>
      <c r="CK352" s="1395" t="str">
        <f t="shared" si="730"/>
        <v>-</v>
      </c>
      <c r="CL352" s="1395" t="str">
        <f t="shared" si="730"/>
        <v>-</v>
      </c>
      <c r="CM352" s="1397" t="str">
        <f t="shared" si="730"/>
        <v>-</v>
      </c>
      <c r="CN352" s="1395" t="str">
        <f t="shared" si="730"/>
        <v>-</v>
      </c>
      <c r="CO352" s="1395" t="str">
        <f t="shared" si="730"/>
        <v>-</v>
      </c>
      <c r="CP352" s="1395" t="str">
        <f t="shared" si="730"/>
        <v>-</v>
      </c>
      <c r="CQ352" s="1395" t="str">
        <f t="shared" si="730"/>
        <v>-</v>
      </c>
      <c r="CR352" s="1398" t="str">
        <f t="shared" si="730"/>
        <v>-</v>
      </c>
      <c r="CS352" s="1378"/>
      <c r="CT352" s="1392" t="str">
        <f t="shared" si="643"/>
        <v>Qty</v>
      </c>
      <c r="CU352" s="1393" t="str">
        <f t="shared" si="644"/>
        <v>[Service]</v>
      </c>
      <c r="CV352" s="1393" t="str">
        <f t="shared" si="645"/>
        <v>[Price]</v>
      </c>
      <c r="CW352" s="1401" t="str">
        <f t="shared" si="664"/>
        <v>-</v>
      </c>
      <c r="CX352" s="1395" t="str">
        <f t="shared" si="665"/>
        <v>-</v>
      </c>
      <c r="CY352" s="1395" t="str">
        <f t="shared" si="666"/>
        <v>-</v>
      </c>
      <c r="CZ352" s="1397" t="str">
        <f t="shared" si="667"/>
        <v>-</v>
      </c>
      <c r="DA352" s="1395" t="str">
        <f t="shared" si="668"/>
        <v>-</v>
      </c>
      <c r="DB352" s="1395" t="str">
        <f t="shared" si="669"/>
        <v>-</v>
      </c>
      <c r="DC352" s="1395" t="str">
        <f t="shared" si="670"/>
        <v>-</v>
      </c>
      <c r="DD352" s="1395" t="str">
        <f t="shared" si="671"/>
        <v>-</v>
      </c>
      <c r="DE352" s="1398" t="str">
        <f t="shared" si="672"/>
        <v>-</v>
      </c>
      <c r="DF352" s="1378"/>
      <c r="DG352" s="1392" t="str">
        <f t="shared" si="684"/>
        <v>Qty</v>
      </c>
      <c r="DH352" s="1393" t="str">
        <f t="shared" si="684"/>
        <v>[Service]</v>
      </c>
      <c r="DI352" s="1393" t="str">
        <f t="shared" si="684"/>
        <v>[Price]</v>
      </c>
      <c r="DJ352" s="1401" t="str">
        <f t="shared" si="673"/>
        <v>-</v>
      </c>
      <c r="DK352" s="1395" t="str">
        <f t="shared" si="674"/>
        <v>-</v>
      </c>
      <c r="DL352" s="1395" t="str">
        <f t="shared" si="675"/>
        <v>-</v>
      </c>
      <c r="DM352" s="1397" t="str">
        <f t="shared" si="676"/>
        <v>-</v>
      </c>
      <c r="DN352" s="1395" t="str">
        <f t="shared" si="677"/>
        <v>-</v>
      </c>
      <c r="DO352" s="1395" t="str">
        <f t="shared" si="678"/>
        <v>-</v>
      </c>
      <c r="DP352" s="1395" t="str">
        <f t="shared" si="679"/>
        <v>-</v>
      </c>
      <c r="DQ352" s="1398" t="str">
        <f t="shared" si="680"/>
        <v>-</v>
      </c>
    </row>
    <row r="353" spans="4:121" ht="12.75" thickBot="1">
      <c r="E353" s="743" t="s">
        <v>46</v>
      </c>
      <c r="F353" s="732" t="str">
        <f>+F351</f>
        <v>[Service]</v>
      </c>
      <c r="G353" s="733">
        <f>+G351</f>
        <v>0</v>
      </c>
      <c r="H353" s="733">
        <f>+H351</f>
        <v>0</v>
      </c>
      <c r="I353" s="734" t="str">
        <f>+I351</f>
        <v>[Price]</v>
      </c>
      <c r="J353" s="735" t="s">
        <v>344</v>
      </c>
      <c r="K353" s="736">
        <f t="shared" ref="K353:AG353" si="731">K351*K352/10^6</f>
        <v>0</v>
      </c>
      <c r="L353" s="737">
        <f t="shared" si="731"/>
        <v>0</v>
      </c>
      <c r="M353" s="737">
        <f t="shared" si="731"/>
        <v>0</v>
      </c>
      <c r="N353" s="738">
        <f t="shared" si="731"/>
        <v>0</v>
      </c>
      <c r="O353" s="737">
        <f t="shared" si="731"/>
        <v>0</v>
      </c>
      <c r="P353" s="738">
        <f t="shared" si="731"/>
        <v>0</v>
      </c>
      <c r="Q353" s="737">
        <f t="shared" si="731"/>
        <v>0</v>
      </c>
      <c r="R353" s="737">
        <f t="shared" si="731"/>
        <v>0</v>
      </c>
      <c r="S353" s="737">
        <f t="shared" si="731"/>
        <v>0</v>
      </c>
      <c r="T353" s="737">
        <f t="shared" si="731"/>
        <v>0</v>
      </c>
      <c r="U353" s="737">
        <f t="shared" si="731"/>
        <v>0</v>
      </c>
      <c r="V353" s="737">
        <f t="shared" si="731"/>
        <v>0</v>
      </c>
      <c r="W353" s="737">
        <f t="shared" si="731"/>
        <v>0</v>
      </c>
      <c r="X353" s="738">
        <f t="shared" si="731"/>
        <v>0</v>
      </c>
      <c r="Y353" s="737">
        <f t="shared" si="731"/>
        <v>0</v>
      </c>
      <c r="Z353" s="737">
        <f t="shared" si="731"/>
        <v>0</v>
      </c>
      <c r="AA353" s="737">
        <f t="shared" si="731"/>
        <v>0</v>
      </c>
      <c r="AB353" s="737">
        <f t="shared" si="731"/>
        <v>0</v>
      </c>
      <c r="AC353" s="738">
        <f t="shared" si="731"/>
        <v>0</v>
      </c>
      <c r="AD353" s="737">
        <f t="shared" si="731"/>
        <v>0</v>
      </c>
      <c r="AE353" s="737">
        <f t="shared" si="731"/>
        <v>0</v>
      </c>
      <c r="AF353" s="737">
        <f t="shared" si="731"/>
        <v>0</v>
      </c>
      <c r="AG353" s="739">
        <f t="shared" si="731"/>
        <v>0</v>
      </c>
      <c r="AH353" s="823"/>
      <c r="AI353" s="745"/>
      <c r="AJ353" s="741"/>
      <c r="AK353" s="729"/>
      <c r="AL353" s="729"/>
      <c r="AM353" s="729"/>
      <c r="AN353" s="729"/>
      <c r="AO353" s="730"/>
      <c r="AP353" s="74"/>
      <c r="AQ353" s="74"/>
      <c r="AR353" s="74"/>
      <c r="AS353" s="106"/>
      <c r="AW353" s="1428" t="str">
        <f t="shared" si="682"/>
        <v>Rev</v>
      </c>
      <c r="AX353" s="1429" t="str">
        <f t="shared" si="682"/>
        <v>[Service]</v>
      </c>
      <c r="AY353" s="1430" t="str">
        <f t="shared" si="646"/>
        <v>[Price]</v>
      </c>
      <c r="AZ353" s="1431" t="str">
        <f t="shared" si="711"/>
        <v>-</v>
      </c>
      <c r="BA353" s="1431" t="str">
        <f t="shared" si="711"/>
        <v>-</v>
      </c>
      <c r="BB353" s="1431" t="str">
        <f t="shared" si="711"/>
        <v>-</v>
      </c>
      <c r="BC353" s="1431" t="str">
        <f t="shared" si="711"/>
        <v>-</v>
      </c>
      <c r="BD353" s="1431" t="str">
        <f t="shared" si="648"/>
        <v>-</v>
      </c>
      <c r="BE353" s="1431" t="str">
        <f t="shared" si="649"/>
        <v>-</v>
      </c>
      <c r="BF353" s="1431" t="str">
        <f t="shared" si="650"/>
        <v>-</v>
      </c>
      <c r="BG353" s="1432" t="str">
        <f t="shared" si="651"/>
        <v>-</v>
      </c>
      <c r="BH353" s="1431" t="str">
        <f t="shared" si="652"/>
        <v>-</v>
      </c>
      <c r="BI353" s="1431" t="str">
        <f t="shared" si="653"/>
        <v>-</v>
      </c>
      <c r="BJ353" s="1431" t="str">
        <f t="shared" si="654"/>
        <v>-</v>
      </c>
      <c r="BK353" s="1431" t="str">
        <f t="shared" si="655"/>
        <v>-</v>
      </c>
      <c r="BL353" s="1433" t="str">
        <f t="shared" si="656"/>
        <v>-</v>
      </c>
      <c r="BM353" s="1431" t="str">
        <f t="shared" si="657"/>
        <v>-</v>
      </c>
      <c r="BN353" s="1431" t="str">
        <f t="shared" si="658"/>
        <v>-</v>
      </c>
      <c r="BO353" s="1431" t="str">
        <f t="shared" si="659"/>
        <v>-</v>
      </c>
      <c r="BP353" s="1431" t="str">
        <f t="shared" si="660"/>
        <v>-</v>
      </c>
      <c r="BQ353" s="1434" t="str">
        <f t="shared" si="661"/>
        <v>-</v>
      </c>
      <c r="BR353" s="1378"/>
      <c r="BS353" s="1407"/>
      <c r="BT353" s="1408"/>
      <c r="BU353" s="1409"/>
      <c r="BV353" s="1410"/>
      <c r="BW353" s="1378"/>
      <c r="BX353" s="1428" t="str">
        <f t="shared" si="662"/>
        <v>Rev</v>
      </c>
      <c r="BY353" s="1429" t="str">
        <f t="shared" si="707"/>
        <v>[Service]</v>
      </c>
      <c r="BZ353" s="1430" t="str">
        <f t="shared" si="708"/>
        <v>[Price]</v>
      </c>
      <c r="CA353" s="1435" t="str">
        <f>IFERROR((S353/R353-1)*(R353/R$13),"-")</f>
        <v>-</v>
      </c>
      <c r="CB353" s="1431" t="str">
        <f>IFERROR((T353/S353-1)*(S353/S$13),"-")</f>
        <v>-</v>
      </c>
      <c r="CC353" s="1431" t="str">
        <f>IFERROR((U353/T353-1)*(T353/T$13),"-")</f>
        <v>-</v>
      </c>
      <c r="CD353" s="1431" t="str">
        <f>IFERROR((V353/U353-1)*(U353/U$13),"-")</f>
        <v>-</v>
      </c>
      <c r="CE353" s="1431" t="str">
        <f t="shared" ref="CE353:CR353" si="732">IFERROR((T353/S353-1)*(S353/S$13),"-")</f>
        <v>-</v>
      </c>
      <c r="CF353" s="1431" t="str">
        <f t="shared" si="732"/>
        <v>-</v>
      </c>
      <c r="CG353" s="1431" t="str">
        <f t="shared" si="732"/>
        <v>-</v>
      </c>
      <c r="CH353" s="1433" t="str">
        <f t="shared" si="732"/>
        <v>-</v>
      </c>
      <c r="CI353" s="1431" t="str">
        <f t="shared" si="732"/>
        <v>-</v>
      </c>
      <c r="CJ353" s="1431" t="str">
        <f t="shared" si="732"/>
        <v>-</v>
      </c>
      <c r="CK353" s="1431" t="str">
        <f t="shared" si="732"/>
        <v>-</v>
      </c>
      <c r="CL353" s="1431" t="str">
        <f t="shared" si="732"/>
        <v>-</v>
      </c>
      <c r="CM353" s="1433" t="str">
        <f t="shared" si="732"/>
        <v>-</v>
      </c>
      <c r="CN353" s="1431" t="str">
        <f t="shared" si="732"/>
        <v>-</v>
      </c>
      <c r="CO353" s="1431" t="str">
        <f t="shared" si="732"/>
        <v>-</v>
      </c>
      <c r="CP353" s="1431" t="str">
        <f t="shared" si="732"/>
        <v>-</v>
      </c>
      <c r="CQ353" s="1431" t="str">
        <f t="shared" si="732"/>
        <v>-</v>
      </c>
      <c r="CR353" s="1434" t="str">
        <f t="shared" si="732"/>
        <v>-</v>
      </c>
      <c r="CS353" s="1378"/>
      <c r="CT353" s="1428" t="str">
        <f t="shared" si="643"/>
        <v>Rev</v>
      </c>
      <c r="CU353" s="1429" t="str">
        <f t="shared" si="644"/>
        <v>[Service]</v>
      </c>
      <c r="CV353" s="1429" t="str">
        <f t="shared" si="645"/>
        <v>[Price]</v>
      </c>
      <c r="CW353" s="1435" t="str">
        <f t="shared" si="664"/>
        <v>-</v>
      </c>
      <c r="CX353" s="1431" t="str">
        <f t="shared" si="665"/>
        <v>-</v>
      </c>
      <c r="CY353" s="1431" t="str">
        <f t="shared" si="666"/>
        <v>-</v>
      </c>
      <c r="CZ353" s="1433" t="str">
        <f t="shared" si="667"/>
        <v>-</v>
      </c>
      <c r="DA353" s="1431" t="str">
        <f t="shared" si="668"/>
        <v>-</v>
      </c>
      <c r="DB353" s="1431" t="str">
        <f t="shared" si="669"/>
        <v>-</v>
      </c>
      <c r="DC353" s="1431" t="str">
        <f t="shared" si="670"/>
        <v>-</v>
      </c>
      <c r="DD353" s="1431" t="str">
        <f t="shared" si="671"/>
        <v>-</v>
      </c>
      <c r="DE353" s="1434" t="str">
        <f t="shared" si="672"/>
        <v>-</v>
      </c>
      <c r="DF353" s="1378"/>
      <c r="DG353" s="1428" t="str">
        <f t="shared" si="684"/>
        <v>Rev</v>
      </c>
      <c r="DH353" s="1429" t="str">
        <f t="shared" si="684"/>
        <v>[Service]</v>
      </c>
      <c r="DI353" s="1429" t="str">
        <f t="shared" si="684"/>
        <v>[Price]</v>
      </c>
      <c r="DJ353" s="1435" t="str">
        <f t="shared" si="673"/>
        <v>-</v>
      </c>
      <c r="DK353" s="1431" t="str">
        <f t="shared" si="674"/>
        <v>-</v>
      </c>
      <c r="DL353" s="1431" t="str">
        <f t="shared" si="675"/>
        <v>-</v>
      </c>
      <c r="DM353" s="1433" t="str">
        <f t="shared" si="676"/>
        <v>-</v>
      </c>
      <c r="DN353" s="1431" t="str">
        <f t="shared" si="677"/>
        <v>-</v>
      </c>
      <c r="DO353" s="1431" t="str">
        <f t="shared" si="678"/>
        <v>-</v>
      </c>
      <c r="DP353" s="1431" t="str">
        <f t="shared" si="679"/>
        <v>-</v>
      </c>
      <c r="DQ353" s="1434" t="str">
        <f t="shared" si="680"/>
        <v>-</v>
      </c>
    </row>
    <row r="354" spans="4:121">
      <c r="D354" s="70">
        <f>D351+1</f>
        <v>96</v>
      </c>
      <c r="E354" s="713" t="s">
        <v>44</v>
      </c>
      <c r="F354" s="789" t="s">
        <v>27</v>
      </c>
      <c r="G354" s="789"/>
      <c r="H354" s="789"/>
      <c r="I354" s="781" t="s">
        <v>318</v>
      </c>
      <c r="J354" s="781" t="s">
        <v>345</v>
      </c>
      <c r="K354" s="714"/>
      <c r="L354" s="715"/>
      <c r="M354" s="715"/>
      <c r="N354" s="716"/>
      <c r="O354" s="783"/>
      <c r="P354" s="784"/>
      <c r="Q354" s="783"/>
      <c r="R354" s="783"/>
      <c r="S354" s="783"/>
      <c r="T354" s="783"/>
      <c r="U354" s="783"/>
      <c r="V354" s="783"/>
      <c r="W354" s="783"/>
      <c r="X354" s="784"/>
      <c r="Y354" s="783"/>
      <c r="Z354" s="783"/>
      <c r="AA354" s="783"/>
      <c r="AB354" s="783"/>
      <c r="AC354" s="784"/>
      <c r="AD354" s="783"/>
      <c r="AE354" s="783"/>
      <c r="AF354" s="783"/>
      <c r="AG354" s="785"/>
      <c r="AI354" s="745"/>
      <c r="AJ354" s="717" t="str">
        <f t="shared" ref="AJ354:AS354" si="733">IFERROR((X354-W354)/W354,"")</f>
        <v/>
      </c>
      <c r="AK354" s="718" t="str">
        <f t="shared" si="733"/>
        <v/>
      </c>
      <c r="AL354" s="718" t="str">
        <f t="shared" si="733"/>
        <v/>
      </c>
      <c r="AM354" s="718" t="str">
        <f t="shared" si="733"/>
        <v/>
      </c>
      <c r="AN354" s="718" t="str">
        <f t="shared" si="733"/>
        <v/>
      </c>
      <c r="AO354" s="719" t="str">
        <f t="shared" si="733"/>
        <v/>
      </c>
      <c r="AP354" s="494" t="str">
        <f t="shared" si="733"/>
        <v/>
      </c>
      <c r="AQ354" s="494" t="str">
        <f t="shared" si="733"/>
        <v/>
      </c>
      <c r="AR354" s="494" t="str">
        <f t="shared" si="733"/>
        <v/>
      </c>
      <c r="AS354" s="720" t="str">
        <f t="shared" si="733"/>
        <v/>
      </c>
      <c r="AU354" s="1369"/>
      <c r="AW354" s="1412" t="str">
        <f t="shared" si="682"/>
        <v>Price</v>
      </c>
      <c r="AX354" s="1413" t="str">
        <f t="shared" si="682"/>
        <v>[Service]</v>
      </c>
      <c r="AY354" s="1414" t="str">
        <f t="shared" si="646"/>
        <v>[Price]</v>
      </c>
      <c r="AZ354" s="1415" t="str">
        <f t="shared" si="711"/>
        <v>-</v>
      </c>
      <c r="BA354" s="1415" t="str">
        <f t="shared" si="711"/>
        <v>-</v>
      </c>
      <c r="BB354" s="1415" t="str">
        <f t="shared" si="711"/>
        <v>-</v>
      </c>
      <c r="BC354" s="1415" t="str">
        <f t="shared" si="711"/>
        <v>-</v>
      </c>
      <c r="BD354" s="1415" t="str">
        <f t="shared" si="648"/>
        <v>-</v>
      </c>
      <c r="BE354" s="1415" t="str">
        <f t="shared" si="649"/>
        <v>-</v>
      </c>
      <c r="BF354" s="1415" t="str">
        <f t="shared" si="650"/>
        <v>-</v>
      </c>
      <c r="BG354" s="1416" t="str">
        <f t="shared" si="651"/>
        <v>-</v>
      </c>
      <c r="BH354" s="1417" t="str">
        <f t="shared" si="652"/>
        <v>-</v>
      </c>
      <c r="BI354" s="1417" t="str">
        <f t="shared" si="653"/>
        <v>-</v>
      </c>
      <c r="BJ354" s="1417" t="str">
        <f t="shared" si="654"/>
        <v>-</v>
      </c>
      <c r="BK354" s="1417" t="str">
        <f t="shared" si="655"/>
        <v>-</v>
      </c>
      <c r="BL354" s="1418" t="str">
        <f t="shared" si="656"/>
        <v>-</v>
      </c>
      <c r="BM354" s="1417" t="str">
        <f t="shared" si="657"/>
        <v>-</v>
      </c>
      <c r="BN354" s="1417" t="str">
        <f t="shared" si="658"/>
        <v>-</v>
      </c>
      <c r="BO354" s="1417" t="str">
        <f t="shared" si="659"/>
        <v>-</v>
      </c>
      <c r="BP354" s="1417" t="str">
        <f t="shared" si="660"/>
        <v>-</v>
      </c>
      <c r="BQ354" s="1419" t="str">
        <f t="shared" si="661"/>
        <v>-</v>
      </c>
      <c r="BR354" s="1378"/>
      <c r="BS354" s="1420"/>
      <c r="BT354" s="1421"/>
      <c r="BU354" s="1422"/>
      <c r="BV354" s="1423"/>
      <c r="BW354" s="1378"/>
      <c r="BX354" s="1412" t="str">
        <f t="shared" si="662"/>
        <v>Price</v>
      </c>
      <c r="BY354" s="1413" t="str">
        <f t="shared" si="707"/>
        <v>[Service]</v>
      </c>
      <c r="BZ354" s="1414" t="str">
        <f t="shared" si="708"/>
        <v>[Price]</v>
      </c>
      <c r="CA354" s="1424" t="str">
        <f>IFERROR((S354/R354-1)*(R356/R$13),"-")</f>
        <v>-</v>
      </c>
      <c r="CB354" s="1415" t="str">
        <f>IFERROR((T354/S354-1)*(S356/S$13),"-")</f>
        <v>-</v>
      </c>
      <c r="CC354" s="1415" t="str">
        <f>IFERROR((U354/T354-1)*(T356/T$13),"-")</f>
        <v>-</v>
      </c>
      <c r="CD354" s="1415" t="str">
        <f>IFERROR((V354/U354-1)*(U356/U$13),"-")</f>
        <v>-</v>
      </c>
      <c r="CE354" s="1415" t="str">
        <f t="shared" ref="CE354:CR354" si="734">IFERROR((T354/S354-1)*(S356/S$13),"-")</f>
        <v>-</v>
      </c>
      <c r="CF354" s="1415" t="str">
        <f t="shared" si="734"/>
        <v>-</v>
      </c>
      <c r="CG354" s="1415" t="str">
        <f t="shared" si="734"/>
        <v>-</v>
      </c>
      <c r="CH354" s="1425" t="str">
        <f t="shared" si="734"/>
        <v>-</v>
      </c>
      <c r="CI354" s="1417" t="str">
        <f t="shared" si="734"/>
        <v>-</v>
      </c>
      <c r="CJ354" s="1417" t="str">
        <f t="shared" si="734"/>
        <v>-</v>
      </c>
      <c r="CK354" s="1417" t="str">
        <f t="shared" si="734"/>
        <v>-</v>
      </c>
      <c r="CL354" s="1417" t="str">
        <f t="shared" si="734"/>
        <v>-</v>
      </c>
      <c r="CM354" s="1418" t="str">
        <f t="shared" si="734"/>
        <v>-</v>
      </c>
      <c r="CN354" s="1417" t="str">
        <f t="shared" si="734"/>
        <v>-</v>
      </c>
      <c r="CO354" s="1417" t="str">
        <f t="shared" si="734"/>
        <v>-</v>
      </c>
      <c r="CP354" s="1417" t="str">
        <f t="shared" si="734"/>
        <v>-</v>
      </c>
      <c r="CQ354" s="1417" t="str">
        <f t="shared" si="734"/>
        <v>-</v>
      </c>
      <c r="CR354" s="1419" t="str">
        <f t="shared" si="734"/>
        <v>-</v>
      </c>
      <c r="CS354" s="1378"/>
      <c r="CT354" s="1412" t="str">
        <f t="shared" si="643"/>
        <v>Price</v>
      </c>
      <c r="CU354" s="1413" t="str">
        <f t="shared" si="644"/>
        <v>[Service]</v>
      </c>
      <c r="CV354" s="1426" t="str">
        <f t="shared" si="645"/>
        <v>[Price]</v>
      </c>
      <c r="CW354" s="1427" t="str">
        <f t="shared" si="664"/>
        <v>-</v>
      </c>
      <c r="CX354" s="1417" t="str">
        <f t="shared" si="665"/>
        <v>-</v>
      </c>
      <c r="CY354" s="1417" t="str">
        <f t="shared" si="666"/>
        <v>-</v>
      </c>
      <c r="CZ354" s="1418" t="str">
        <f t="shared" si="667"/>
        <v>-</v>
      </c>
      <c r="DA354" s="1417" t="str">
        <f t="shared" si="668"/>
        <v>-</v>
      </c>
      <c r="DB354" s="1417" t="str">
        <f t="shared" si="669"/>
        <v>-</v>
      </c>
      <c r="DC354" s="1417" t="str">
        <f t="shared" si="670"/>
        <v>-</v>
      </c>
      <c r="DD354" s="1417" t="str">
        <f t="shared" si="671"/>
        <v>-</v>
      </c>
      <c r="DE354" s="1419" t="str">
        <f t="shared" si="672"/>
        <v>-</v>
      </c>
      <c r="DF354" s="1378"/>
      <c r="DG354" s="1412" t="str">
        <f t="shared" si="684"/>
        <v>Price</v>
      </c>
      <c r="DH354" s="1413" t="str">
        <f t="shared" si="684"/>
        <v>[Service]</v>
      </c>
      <c r="DI354" s="1426" t="str">
        <f t="shared" si="684"/>
        <v>[Price]</v>
      </c>
      <c r="DJ354" s="1427" t="str">
        <f t="shared" si="673"/>
        <v>-</v>
      </c>
      <c r="DK354" s="1417" t="str">
        <f t="shared" si="674"/>
        <v>-</v>
      </c>
      <c r="DL354" s="1417" t="str">
        <f t="shared" si="675"/>
        <v>-</v>
      </c>
      <c r="DM354" s="1418" t="str">
        <f t="shared" si="676"/>
        <v>-</v>
      </c>
      <c r="DN354" s="1417" t="str">
        <f t="shared" si="677"/>
        <v>-</v>
      </c>
      <c r="DO354" s="1417" t="str">
        <f t="shared" si="678"/>
        <v>-</v>
      </c>
      <c r="DP354" s="1417" t="str">
        <f t="shared" si="679"/>
        <v>-</v>
      </c>
      <c r="DQ354" s="1419" t="str">
        <f t="shared" si="680"/>
        <v>-</v>
      </c>
    </row>
    <row r="355" spans="4:121">
      <c r="E355" s="742" t="s">
        <v>45</v>
      </c>
      <c r="F355" s="722" t="str">
        <f>+F354</f>
        <v>[Service]</v>
      </c>
      <c r="G355" s="723">
        <f>+G354</f>
        <v>0</v>
      </c>
      <c r="H355" s="723">
        <f>+H354</f>
        <v>0</v>
      </c>
      <c r="I355" s="724" t="str">
        <f>+I354</f>
        <v>[Price]</v>
      </c>
      <c r="J355" s="782" t="s">
        <v>322</v>
      </c>
      <c r="K355" s="725"/>
      <c r="L355" s="726"/>
      <c r="M355" s="726"/>
      <c r="N355" s="727"/>
      <c r="O355" s="786"/>
      <c r="P355" s="787"/>
      <c r="Q355" s="786"/>
      <c r="R355" s="786"/>
      <c r="S355" s="786"/>
      <c r="T355" s="786"/>
      <c r="U355" s="786"/>
      <c r="V355" s="786"/>
      <c r="W355" s="786"/>
      <c r="X355" s="787"/>
      <c r="Y355" s="786"/>
      <c r="Z355" s="786"/>
      <c r="AA355" s="786"/>
      <c r="AB355" s="786"/>
      <c r="AC355" s="787"/>
      <c r="AD355" s="786"/>
      <c r="AE355" s="786"/>
      <c r="AF355" s="786"/>
      <c r="AG355" s="788"/>
      <c r="AH355" s="823"/>
      <c r="AI355" s="745"/>
      <c r="AJ355" s="728"/>
      <c r="AK355" s="729"/>
      <c r="AL355" s="729"/>
      <c r="AM355" s="729"/>
      <c r="AN355" s="729"/>
      <c r="AO355" s="730"/>
      <c r="AP355" s="74"/>
      <c r="AQ355" s="74"/>
      <c r="AR355" s="74"/>
      <c r="AS355" s="106"/>
      <c r="AW355" s="1392" t="str">
        <f t="shared" si="682"/>
        <v>Qty</v>
      </c>
      <c r="AX355" s="1393" t="str">
        <f t="shared" si="682"/>
        <v>[Service]</v>
      </c>
      <c r="AY355" s="1394" t="str">
        <f t="shared" si="646"/>
        <v>[Price]</v>
      </c>
      <c r="AZ355" s="1395" t="str">
        <f t="shared" si="711"/>
        <v>-</v>
      </c>
      <c r="BA355" s="1395" t="str">
        <f t="shared" si="711"/>
        <v>-</v>
      </c>
      <c r="BB355" s="1395" t="str">
        <f t="shared" si="711"/>
        <v>-</v>
      </c>
      <c r="BC355" s="1395" t="str">
        <f t="shared" si="711"/>
        <v>-</v>
      </c>
      <c r="BD355" s="1395" t="str">
        <f t="shared" si="648"/>
        <v>-</v>
      </c>
      <c r="BE355" s="1395" t="str">
        <f t="shared" si="649"/>
        <v>-</v>
      </c>
      <c r="BF355" s="1395" t="str">
        <f t="shared" si="650"/>
        <v>-</v>
      </c>
      <c r="BG355" s="1396" t="str">
        <f t="shared" si="651"/>
        <v>-</v>
      </c>
      <c r="BH355" s="1395" t="str">
        <f t="shared" si="652"/>
        <v>-</v>
      </c>
      <c r="BI355" s="1395" t="str">
        <f t="shared" si="653"/>
        <v>-</v>
      </c>
      <c r="BJ355" s="1395" t="str">
        <f t="shared" si="654"/>
        <v>-</v>
      </c>
      <c r="BK355" s="1395" t="str">
        <f t="shared" si="655"/>
        <v>-</v>
      </c>
      <c r="BL355" s="1397" t="str">
        <f t="shared" si="656"/>
        <v>-</v>
      </c>
      <c r="BM355" s="1395" t="str">
        <f t="shared" si="657"/>
        <v>-</v>
      </c>
      <c r="BN355" s="1395" t="str">
        <f t="shared" si="658"/>
        <v>-</v>
      </c>
      <c r="BO355" s="1395" t="str">
        <f t="shared" si="659"/>
        <v>-</v>
      </c>
      <c r="BP355" s="1395" t="str">
        <f t="shared" si="660"/>
        <v>-</v>
      </c>
      <c r="BQ355" s="1398" t="str">
        <f t="shared" si="661"/>
        <v>-</v>
      </c>
      <c r="BR355" s="1378"/>
      <c r="BS355" s="1329"/>
      <c r="BT355" s="1399"/>
      <c r="BU355" s="1331"/>
      <c r="BV355" s="1400"/>
      <c r="BW355" s="1378"/>
      <c r="BX355" s="1392" t="str">
        <f t="shared" si="662"/>
        <v>Qty</v>
      </c>
      <c r="BY355" s="1393" t="str">
        <f t="shared" si="707"/>
        <v>[Service]</v>
      </c>
      <c r="BZ355" s="1394" t="str">
        <f t="shared" si="708"/>
        <v>[Price]</v>
      </c>
      <c r="CA355" s="1401" t="str">
        <f>IFERROR((S355/R355-1)*(R356/R$13),"-")</f>
        <v>-</v>
      </c>
      <c r="CB355" s="1395" t="str">
        <f>IFERROR((T355/S355-1)*(S356/S$13),"-")</f>
        <v>-</v>
      </c>
      <c r="CC355" s="1395" t="str">
        <f>IFERROR((U355/T355-1)*(T356/T$13),"-")</f>
        <v>-</v>
      </c>
      <c r="CD355" s="1395" t="str">
        <f>IFERROR((V355/U355-1)*(U356/U$13),"-")</f>
        <v>-</v>
      </c>
      <c r="CE355" s="1395" t="str">
        <f t="shared" ref="CE355:CR355" si="735">IFERROR((T355/S355-1)*(S356/S$13),"-")</f>
        <v>-</v>
      </c>
      <c r="CF355" s="1395" t="str">
        <f t="shared" si="735"/>
        <v>-</v>
      </c>
      <c r="CG355" s="1395" t="str">
        <f t="shared" si="735"/>
        <v>-</v>
      </c>
      <c r="CH355" s="1397" t="str">
        <f t="shared" si="735"/>
        <v>-</v>
      </c>
      <c r="CI355" s="1395" t="str">
        <f t="shared" si="735"/>
        <v>-</v>
      </c>
      <c r="CJ355" s="1395" t="str">
        <f t="shared" si="735"/>
        <v>-</v>
      </c>
      <c r="CK355" s="1395" t="str">
        <f t="shared" si="735"/>
        <v>-</v>
      </c>
      <c r="CL355" s="1395" t="str">
        <f t="shared" si="735"/>
        <v>-</v>
      </c>
      <c r="CM355" s="1397" t="str">
        <f t="shared" si="735"/>
        <v>-</v>
      </c>
      <c r="CN355" s="1395" t="str">
        <f t="shared" si="735"/>
        <v>-</v>
      </c>
      <c r="CO355" s="1395" t="str">
        <f t="shared" si="735"/>
        <v>-</v>
      </c>
      <c r="CP355" s="1395" t="str">
        <f t="shared" si="735"/>
        <v>-</v>
      </c>
      <c r="CQ355" s="1395" t="str">
        <f t="shared" si="735"/>
        <v>-</v>
      </c>
      <c r="CR355" s="1398" t="str">
        <f t="shared" si="735"/>
        <v>-</v>
      </c>
      <c r="CS355" s="1378"/>
      <c r="CT355" s="1392" t="str">
        <f t="shared" si="643"/>
        <v>Qty</v>
      </c>
      <c r="CU355" s="1393" t="str">
        <f t="shared" si="644"/>
        <v>[Service]</v>
      </c>
      <c r="CV355" s="1393" t="str">
        <f t="shared" si="645"/>
        <v>[Price]</v>
      </c>
      <c r="CW355" s="1401" t="str">
        <f t="shared" si="664"/>
        <v>-</v>
      </c>
      <c r="CX355" s="1395" t="str">
        <f t="shared" si="665"/>
        <v>-</v>
      </c>
      <c r="CY355" s="1395" t="str">
        <f t="shared" si="666"/>
        <v>-</v>
      </c>
      <c r="CZ355" s="1397" t="str">
        <f t="shared" si="667"/>
        <v>-</v>
      </c>
      <c r="DA355" s="1395" t="str">
        <f t="shared" si="668"/>
        <v>-</v>
      </c>
      <c r="DB355" s="1395" t="str">
        <f t="shared" si="669"/>
        <v>-</v>
      </c>
      <c r="DC355" s="1395" t="str">
        <f t="shared" si="670"/>
        <v>-</v>
      </c>
      <c r="DD355" s="1395" t="str">
        <f t="shared" si="671"/>
        <v>-</v>
      </c>
      <c r="DE355" s="1398" t="str">
        <f t="shared" si="672"/>
        <v>-</v>
      </c>
      <c r="DF355" s="1378"/>
      <c r="DG355" s="1392" t="str">
        <f t="shared" si="684"/>
        <v>Qty</v>
      </c>
      <c r="DH355" s="1393" t="str">
        <f t="shared" si="684"/>
        <v>[Service]</v>
      </c>
      <c r="DI355" s="1393" t="str">
        <f t="shared" si="684"/>
        <v>[Price]</v>
      </c>
      <c r="DJ355" s="1401" t="str">
        <f t="shared" si="673"/>
        <v>-</v>
      </c>
      <c r="DK355" s="1395" t="str">
        <f t="shared" si="674"/>
        <v>-</v>
      </c>
      <c r="DL355" s="1395" t="str">
        <f t="shared" si="675"/>
        <v>-</v>
      </c>
      <c r="DM355" s="1397" t="str">
        <f t="shared" si="676"/>
        <v>-</v>
      </c>
      <c r="DN355" s="1395" t="str">
        <f t="shared" si="677"/>
        <v>-</v>
      </c>
      <c r="DO355" s="1395" t="str">
        <f t="shared" si="678"/>
        <v>-</v>
      </c>
      <c r="DP355" s="1395" t="str">
        <f t="shared" si="679"/>
        <v>-</v>
      </c>
      <c r="DQ355" s="1398" t="str">
        <f t="shared" si="680"/>
        <v>-</v>
      </c>
    </row>
    <row r="356" spans="4:121" ht="12.75" thickBot="1">
      <c r="E356" s="743" t="s">
        <v>46</v>
      </c>
      <c r="F356" s="732" t="str">
        <f>+F354</f>
        <v>[Service]</v>
      </c>
      <c r="G356" s="733">
        <f>+G354</f>
        <v>0</v>
      </c>
      <c r="H356" s="733">
        <f>+H354</f>
        <v>0</v>
      </c>
      <c r="I356" s="734" t="str">
        <f>+I354</f>
        <v>[Price]</v>
      </c>
      <c r="J356" s="735" t="s">
        <v>344</v>
      </c>
      <c r="K356" s="736">
        <f t="shared" ref="K356:AG356" si="736">K354*K355/10^6</f>
        <v>0</v>
      </c>
      <c r="L356" s="737">
        <f t="shared" si="736"/>
        <v>0</v>
      </c>
      <c r="M356" s="737">
        <f t="shared" si="736"/>
        <v>0</v>
      </c>
      <c r="N356" s="738">
        <f t="shared" si="736"/>
        <v>0</v>
      </c>
      <c r="O356" s="737">
        <f t="shared" si="736"/>
        <v>0</v>
      </c>
      <c r="P356" s="738">
        <f t="shared" si="736"/>
        <v>0</v>
      </c>
      <c r="Q356" s="737">
        <f t="shared" si="736"/>
        <v>0</v>
      </c>
      <c r="R356" s="737">
        <f t="shared" si="736"/>
        <v>0</v>
      </c>
      <c r="S356" s="737">
        <f t="shared" si="736"/>
        <v>0</v>
      </c>
      <c r="T356" s="737">
        <f t="shared" si="736"/>
        <v>0</v>
      </c>
      <c r="U356" s="737">
        <f t="shared" si="736"/>
        <v>0</v>
      </c>
      <c r="V356" s="737">
        <f t="shared" si="736"/>
        <v>0</v>
      </c>
      <c r="W356" s="737">
        <f t="shared" si="736"/>
        <v>0</v>
      </c>
      <c r="X356" s="738">
        <f t="shared" si="736"/>
        <v>0</v>
      </c>
      <c r="Y356" s="737">
        <f t="shared" si="736"/>
        <v>0</v>
      </c>
      <c r="Z356" s="737">
        <f t="shared" si="736"/>
        <v>0</v>
      </c>
      <c r="AA356" s="737">
        <f t="shared" si="736"/>
        <v>0</v>
      </c>
      <c r="AB356" s="737">
        <f t="shared" si="736"/>
        <v>0</v>
      </c>
      <c r="AC356" s="738">
        <f t="shared" si="736"/>
        <v>0</v>
      </c>
      <c r="AD356" s="737">
        <f t="shared" si="736"/>
        <v>0</v>
      </c>
      <c r="AE356" s="737">
        <f t="shared" si="736"/>
        <v>0</v>
      </c>
      <c r="AF356" s="737">
        <f t="shared" si="736"/>
        <v>0</v>
      </c>
      <c r="AG356" s="739">
        <f t="shared" si="736"/>
        <v>0</v>
      </c>
      <c r="AH356" s="823"/>
      <c r="AI356" s="745"/>
      <c r="AJ356" s="741"/>
      <c r="AK356" s="729"/>
      <c r="AL356" s="729"/>
      <c r="AM356" s="729"/>
      <c r="AN356" s="729"/>
      <c r="AO356" s="730"/>
      <c r="AP356" s="74"/>
      <c r="AQ356" s="74"/>
      <c r="AR356" s="74"/>
      <c r="AS356" s="106"/>
      <c r="AW356" s="1428" t="str">
        <f t="shared" si="682"/>
        <v>Rev</v>
      </c>
      <c r="AX356" s="1429" t="str">
        <f t="shared" si="682"/>
        <v>[Service]</v>
      </c>
      <c r="AY356" s="1430" t="str">
        <f t="shared" si="646"/>
        <v>[Price]</v>
      </c>
      <c r="AZ356" s="1431" t="str">
        <f t="shared" si="711"/>
        <v>-</v>
      </c>
      <c r="BA356" s="1431" t="str">
        <f t="shared" si="711"/>
        <v>-</v>
      </c>
      <c r="BB356" s="1431" t="str">
        <f t="shared" si="711"/>
        <v>-</v>
      </c>
      <c r="BC356" s="1431" t="str">
        <f t="shared" si="711"/>
        <v>-</v>
      </c>
      <c r="BD356" s="1431" t="str">
        <f t="shared" si="648"/>
        <v>-</v>
      </c>
      <c r="BE356" s="1431" t="str">
        <f t="shared" si="649"/>
        <v>-</v>
      </c>
      <c r="BF356" s="1431" t="str">
        <f t="shared" si="650"/>
        <v>-</v>
      </c>
      <c r="BG356" s="1432" t="str">
        <f t="shared" si="651"/>
        <v>-</v>
      </c>
      <c r="BH356" s="1431" t="str">
        <f t="shared" si="652"/>
        <v>-</v>
      </c>
      <c r="BI356" s="1431" t="str">
        <f t="shared" si="653"/>
        <v>-</v>
      </c>
      <c r="BJ356" s="1431" t="str">
        <f t="shared" si="654"/>
        <v>-</v>
      </c>
      <c r="BK356" s="1431" t="str">
        <f t="shared" si="655"/>
        <v>-</v>
      </c>
      <c r="BL356" s="1433" t="str">
        <f t="shared" si="656"/>
        <v>-</v>
      </c>
      <c r="BM356" s="1431" t="str">
        <f t="shared" si="657"/>
        <v>-</v>
      </c>
      <c r="BN356" s="1431" t="str">
        <f t="shared" si="658"/>
        <v>-</v>
      </c>
      <c r="BO356" s="1431" t="str">
        <f t="shared" si="659"/>
        <v>-</v>
      </c>
      <c r="BP356" s="1431" t="str">
        <f t="shared" si="660"/>
        <v>-</v>
      </c>
      <c r="BQ356" s="1434" t="str">
        <f t="shared" si="661"/>
        <v>-</v>
      </c>
      <c r="BR356" s="1378"/>
      <c r="BS356" s="1407"/>
      <c r="BT356" s="1408"/>
      <c r="BU356" s="1409"/>
      <c r="BV356" s="1410"/>
      <c r="BW356" s="1378"/>
      <c r="BX356" s="1428" t="str">
        <f t="shared" si="662"/>
        <v>Rev</v>
      </c>
      <c r="BY356" s="1429" t="str">
        <f t="shared" si="707"/>
        <v>[Service]</v>
      </c>
      <c r="BZ356" s="1430" t="str">
        <f t="shared" si="708"/>
        <v>[Price]</v>
      </c>
      <c r="CA356" s="1435" t="str">
        <f>IFERROR((S356/R356-1)*(R356/R$13),"-")</f>
        <v>-</v>
      </c>
      <c r="CB356" s="1431" t="str">
        <f>IFERROR((T356/S356-1)*(S356/S$13),"-")</f>
        <v>-</v>
      </c>
      <c r="CC356" s="1431" t="str">
        <f>IFERROR((U356/T356-1)*(T356/T$13),"-")</f>
        <v>-</v>
      </c>
      <c r="CD356" s="1431" t="str">
        <f>IFERROR((V356/U356-1)*(U356/U$13),"-")</f>
        <v>-</v>
      </c>
      <c r="CE356" s="1431" t="str">
        <f t="shared" ref="CE356:CR356" si="737">IFERROR((T356/S356-1)*(S356/S$13),"-")</f>
        <v>-</v>
      </c>
      <c r="CF356" s="1431" t="str">
        <f t="shared" si="737"/>
        <v>-</v>
      </c>
      <c r="CG356" s="1431" t="str">
        <f t="shared" si="737"/>
        <v>-</v>
      </c>
      <c r="CH356" s="1433" t="str">
        <f t="shared" si="737"/>
        <v>-</v>
      </c>
      <c r="CI356" s="1431" t="str">
        <f t="shared" si="737"/>
        <v>-</v>
      </c>
      <c r="CJ356" s="1431" t="str">
        <f t="shared" si="737"/>
        <v>-</v>
      </c>
      <c r="CK356" s="1431" t="str">
        <f t="shared" si="737"/>
        <v>-</v>
      </c>
      <c r="CL356" s="1431" t="str">
        <f t="shared" si="737"/>
        <v>-</v>
      </c>
      <c r="CM356" s="1433" t="str">
        <f t="shared" si="737"/>
        <v>-</v>
      </c>
      <c r="CN356" s="1431" t="str">
        <f t="shared" si="737"/>
        <v>-</v>
      </c>
      <c r="CO356" s="1431" t="str">
        <f t="shared" si="737"/>
        <v>-</v>
      </c>
      <c r="CP356" s="1431" t="str">
        <f t="shared" si="737"/>
        <v>-</v>
      </c>
      <c r="CQ356" s="1431" t="str">
        <f t="shared" si="737"/>
        <v>-</v>
      </c>
      <c r="CR356" s="1434" t="str">
        <f t="shared" si="737"/>
        <v>-</v>
      </c>
      <c r="CS356" s="1378"/>
      <c r="CT356" s="1428" t="str">
        <f t="shared" si="643"/>
        <v>Rev</v>
      </c>
      <c r="CU356" s="1429" t="str">
        <f t="shared" si="644"/>
        <v>[Service]</v>
      </c>
      <c r="CV356" s="1429" t="str">
        <f t="shared" si="645"/>
        <v>[Price]</v>
      </c>
      <c r="CW356" s="1435" t="str">
        <f t="shared" si="664"/>
        <v>-</v>
      </c>
      <c r="CX356" s="1431" t="str">
        <f t="shared" si="665"/>
        <v>-</v>
      </c>
      <c r="CY356" s="1431" t="str">
        <f t="shared" si="666"/>
        <v>-</v>
      </c>
      <c r="CZ356" s="1433" t="str">
        <f t="shared" si="667"/>
        <v>-</v>
      </c>
      <c r="DA356" s="1431" t="str">
        <f t="shared" si="668"/>
        <v>-</v>
      </c>
      <c r="DB356" s="1431" t="str">
        <f t="shared" si="669"/>
        <v>-</v>
      </c>
      <c r="DC356" s="1431" t="str">
        <f t="shared" si="670"/>
        <v>-</v>
      </c>
      <c r="DD356" s="1431" t="str">
        <f t="shared" si="671"/>
        <v>-</v>
      </c>
      <c r="DE356" s="1434" t="str">
        <f t="shared" si="672"/>
        <v>-</v>
      </c>
      <c r="DF356" s="1378"/>
      <c r="DG356" s="1428" t="str">
        <f t="shared" si="684"/>
        <v>Rev</v>
      </c>
      <c r="DH356" s="1429" t="str">
        <f t="shared" si="684"/>
        <v>[Service]</v>
      </c>
      <c r="DI356" s="1429" t="str">
        <f t="shared" si="684"/>
        <v>[Price]</v>
      </c>
      <c r="DJ356" s="1435" t="str">
        <f t="shared" si="673"/>
        <v>-</v>
      </c>
      <c r="DK356" s="1431" t="str">
        <f t="shared" si="674"/>
        <v>-</v>
      </c>
      <c r="DL356" s="1431" t="str">
        <f t="shared" si="675"/>
        <v>-</v>
      </c>
      <c r="DM356" s="1433" t="str">
        <f t="shared" si="676"/>
        <v>-</v>
      </c>
      <c r="DN356" s="1431" t="str">
        <f t="shared" si="677"/>
        <v>-</v>
      </c>
      <c r="DO356" s="1431" t="str">
        <f t="shared" si="678"/>
        <v>-</v>
      </c>
      <c r="DP356" s="1431" t="str">
        <f t="shared" si="679"/>
        <v>-</v>
      </c>
      <c r="DQ356" s="1434" t="str">
        <f t="shared" si="680"/>
        <v>-</v>
      </c>
    </row>
    <row r="357" spans="4:121">
      <c r="D357" s="70">
        <f>D354+1</f>
        <v>97</v>
      </c>
      <c r="E357" s="713" t="s">
        <v>44</v>
      </c>
      <c r="F357" s="789" t="s">
        <v>27</v>
      </c>
      <c r="G357" s="789"/>
      <c r="H357" s="789"/>
      <c r="I357" s="781" t="s">
        <v>318</v>
      </c>
      <c r="J357" s="781" t="s">
        <v>345</v>
      </c>
      <c r="K357" s="714"/>
      <c r="L357" s="715"/>
      <c r="M357" s="715"/>
      <c r="N357" s="716"/>
      <c r="O357" s="783"/>
      <c r="P357" s="784"/>
      <c r="Q357" s="783"/>
      <c r="R357" s="783"/>
      <c r="S357" s="783"/>
      <c r="T357" s="783"/>
      <c r="U357" s="783"/>
      <c r="V357" s="783"/>
      <c r="W357" s="783"/>
      <c r="X357" s="784"/>
      <c r="Y357" s="783"/>
      <c r="Z357" s="783"/>
      <c r="AA357" s="783"/>
      <c r="AB357" s="783"/>
      <c r="AC357" s="784"/>
      <c r="AD357" s="783"/>
      <c r="AE357" s="783"/>
      <c r="AF357" s="783"/>
      <c r="AG357" s="785"/>
      <c r="AI357" s="745"/>
      <c r="AJ357" s="717" t="str">
        <f t="shared" ref="AJ357:AS357" si="738">IFERROR((X357-W357)/W357,"")</f>
        <v/>
      </c>
      <c r="AK357" s="718" t="str">
        <f t="shared" si="738"/>
        <v/>
      </c>
      <c r="AL357" s="718" t="str">
        <f t="shared" si="738"/>
        <v/>
      </c>
      <c r="AM357" s="718" t="str">
        <f t="shared" si="738"/>
        <v/>
      </c>
      <c r="AN357" s="718" t="str">
        <f t="shared" si="738"/>
        <v/>
      </c>
      <c r="AO357" s="719" t="str">
        <f t="shared" si="738"/>
        <v/>
      </c>
      <c r="AP357" s="494" t="str">
        <f t="shared" si="738"/>
        <v/>
      </c>
      <c r="AQ357" s="494" t="str">
        <f t="shared" si="738"/>
        <v/>
      </c>
      <c r="AR357" s="494" t="str">
        <f t="shared" si="738"/>
        <v/>
      </c>
      <c r="AS357" s="720" t="str">
        <f t="shared" si="738"/>
        <v/>
      </c>
      <c r="AU357" s="1369"/>
      <c r="AW357" s="1412" t="str">
        <f t="shared" si="682"/>
        <v>Price</v>
      </c>
      <c r="AX357" s="1413" t="str">
        <f t="shared" si="682"/>
        <v>[Service]</v>
      </c>
      <c r="AY357" s="1414" t="str">
        <f t="shared" si="646"/>
        <v>[Price]</v>
      </c>
      <c r="AZ357" s="1415" t="str">
        <f t="shared" ref="AZ357:BC372" si="739">IFERROR(P357/O357-1,"-")</f>
        <v>-</v>
      </c>
      <c r="BA357" s="1415" t="str">
        <f t="shared" si="739"/>
        <v>-</v>
      </c>
      <c r="BB357" s="1415" t="str">
        <f t="shared" si="739"/>
        <v>-</v>
      </c>
      <c r="BC357" s="1415" t="str">
        <f t="shared" si="739"/>
        <v>-</v>
      </c>
      <c r="BD357" s="1415" t="str">
        <f t="shared" si="648"/>
        <v>-</v>
      </c>
      <c r="BE357" s="1415" t="str">
        <f t="shared" si="649"/>
        <v>-</v>
      </c>
      <c r="BF357" s="1415" t="str">
        <f t="shared" si="650"/>
        <v>-</v>
      </c>
      <c r="BG357" s="1416" t="str">
        <f t="shared" si="651"/>
        <v>-</v>
      </c>
      <c r="BH357" s="1417" t="str">
        <f t="shared" si="652"/>
        <v>-</v>
      </c>
      <c r="BI357" s="1417" t="str">
        <f t="shared" si="653"/>
        <v>-</v>
      </c>
      <c r="BJ357" s="1417" t="str">
        <f t="shared" si="654"/>
        <v>-</v>
      </c>
      <c r="BK357" s="1417" t="str">
        <f t="shared" si="655"/>
        <v>-</v>
      </c>
      <c r="BL357" s="1418" t="str">
        <f t="shared" si="656"/>
        <v>-</v>
      </c>
      <c r="BM357" s="1417" t="str">
        <f t="shared" si="657"/>
        <v>-</v>
      </c>
      <c r="BN357" s="1417" t="str">
        <f t="shared" si="658"/>
        <v>-</v>
      </c>
      <c r="BO357" s="1417" t="str">
        <f t="shared" si="659"/>
        <v>-</v>
      </c>
      <c r="BP357" s="1417" t="str">
        <f t="shared" si="660"/>
        <v>-</v>
      </c>
      <c r="BQ357" s="1419" t="str">
        <f t="shared" si="661"/>
        <v>-</v>
      </c>
      <c r="BR357" s="1378"/>
      <c r="BS357" s="1420"/>
      <c r="BT357" s="1421"/>
      <c r="BU357" s="1422"/>
      <c r="BV357" s="1423"/>
      <c r="BW357" s="1378"/>
      <c r="BX357" s="1412" t="str">
        <f t="shared" si="662"/>
        <v>Price</v>
      </c>
      <c r="BY357" s="1413" t="str">
        <f t="shared" si="707"/>
        <v>[Service]</v>
      </c>
      <c r="BZ357" s="1414" t="str">
        <f t="shared" si="708"/>
        <v>[Price]</v>
      </c>
      <c r="CA357" s="1424" t="str">
        <f>IFERROR((S357/R357-1)*(R359/R$13),"-")</f>
        <v>-</v>
      </c>
      <c r="CB357" s="1415" t="str">
        <f>IFERROR((T357/S357-1)*(S359/S$13),"-")</f>
        <v>-</v>
      </c>
      <c r="CC357" s="1415" t="str">
        <f>IFERROR((U357/T357-1)*(T359/T$13),"-")</f>
        <v>-</v>
      </c>
      <c r="CD357" s="1415" t="str">
        <f>IFERROR((V357/U357-1)*(U359/U$13),"-")</f>
        <v>-</v>
      </c>
      <c r="CE357" s="1415" t="str">
        <f t="shared" ref="CE357:CR357" si="740">IFERROR((T357/S357-1)*(S359/S$13),"-")</f>
        <v>-</v>
      </c>
      <c r="CF357" s="1415" t="str">
        <f t="shared" si="740"/>
        <v>-</v>
      </c>
      <c r="CG357" s="1415" t="str">
        <f t="shared" si="740"/>
        <v>-</v>
      </c>
      <c r="CH357" s="1425" t="str">
        <f t="shared" si="740"/>
        <v>-</v>
      </c>
      <c r="CI357" s="1417" t="str">
        <f t="shared" si="740"/>
        <v>-</v>
      </c>
      <c r="CJ357" s="1417" t="str">
        <f t="shared" si="740"/>
        <v>-</v>
      </c>
      <c r="CK357" s="1417" t="str">
        <f t="shared" si="740"/>
        <v>-</v>
      </c>
      <c r="CL357" s="1417" t="str">
        <f t="shared" si="740"/>
        <v>-</v>
      </c>
      <c r="CM357" s="1418" t="str">
        <f t="shared" si="740"/>
        <v>-</v>
      </c>
      <c r="CN357" s="1417" t="str">
        <f t="shared" si="740"/>
        <v>-</v>
      </c>
      <c r="CO357" s="1417" t="str">
        <f t="shared" si="740"/>
        <v>-</v>
      </c>
      <c r="CP357" s="1417" t="str">
        <f t="shared" si="740"/>
        <v>-</v>
      </c>
      <c r="CQ357" s="1417" t="str">
        <f t="shared" si="740"/>
        <v>-</v>
      </c>
      <c r="CR357" s="1419" t="str">
        <f t="shared" si="740"/>
        <v>-</v>
      </c>
      <c r="CS357" s="1378"/>
      <c r="CT357" s="1412" t="str">
        <f t="shared" si="643"/>
        <v>Price</v>
      </c>
      <c r="CU357" s="1413" t="str">
        <f t="shared" si="644"/>
        <v>[Service]</v>
      </c>
      <c r="CV357" s="1426" t="str">
        <f t="shared" si="645"/>
        <v>[Price]</v>
      </c>
      <c r="CW357" s="1427" t="str">
        <f t="shared" si="664"/>
        <v>-</v>
      </c>
      <c r="CX357" s="1417" t="str">
        <f t="shared" si="665"/>
        <v>-</v>
      </c>
      <c r="CY357" s="1417" t="str">
        <f t="shared" si="666"/>
        <v>-</v>
      </c>
      <c r="CZ357" s="1418" t="str">
        <f t="shared" si="667"/>
        <v>-</v>
      </c>
      <c r="DA357" s="1417" t="str">
        <f t="shared" si="668"/>
        <v>-</v>
      </c>
      <c r="DB357" s="1417" t="str">
        <f t="shared" si="669"/>
        <v>-</v>
      </c>
      <c r="DC357" s="1417" t="str">
        <f t="shared" si="670"/>
        <v>-</v>
      </c>
      <c r="DD357" s="1417" t="str">
        <f t="shared" si="671"/>
        <v>-</v>
      </c>
      <c r="DE357" s="1419" t="str">
        <f t="shared" si="672"/>
        <v>-</v>
      </c>
      <c r="DF357" s="1378"/>
      <c r="DG357" s="1412" t="str">
        <f t="shared" si="684"/>
        <v>Price</v>
      </c>
      <c r="DH357" s="1413" t="str">
        <f t="shared" si="684"/>
        <v>[Service]</v>
      </c>
      <c r="DI357" s="1426" t="str">
        <f t="shared" si="684"/>
        <v>[Price]</v>
      </c>
      <c r="DJ357" s="1427" t="str">
        <f t="shared" si="673"/>
        <v>-</v>
      </c>
      <c r="DK357" s="1417" t="str">
        <f t="shared" si="674"/>
        <v>-</v>
      </c>
      <c r="DL357" s="1417" t="str">
        <f t="shared" si="675"/>
        <v>-</v>
      </c>
      <c r="DM357" s="1418" t="str">
        <f t="shared" si="676"/>
        <v>-</v>
      </c>
      <c r="DN357" s="1417" t="str">
        <f t="shared" si="677"/>
        <v>-</v>
      </c>
      <c r="DO357" s="1417" t="str">
        <f t="shared" si="678"/>
        <v>-</v>
      </c>
      <c r="DP357" s="1417" t="str">
        <f t="shared" si="679"/>
        <v>-</v>
      </c>
      <c r="DQ357" s="1419" t="str">
        <f t="shared" si="680"/>
        <v>-</v>
      </c>
    </row>
    <row r="358" spans="4:121">
      <c r="E358" s="742" t="s">
        <v>45</v>
      </c>
      <c r="F358" s="722" t="str">
        <f>+F357</f>
        <v>[Service]</v>
      </c>
      <c r="G358" s="723">
        <f>+G357</f>
        <v>0</v>
      </c>
      <c r="H358" s="723">
        <f>+H357</f>
        <v>0</v>
      </c>
      <c r="I358" s="724" t="str">
        <f>+I357</f>
        <v>[Price]</v>
      </c>
      <c r="J358" s="782" t="s">
        <v>322</v>
      </c>
      <c r="K358" s="725"/>
      <c r="L358" s="726"/>
      <c r="M358" s="726"/>
      <c r="N358" s="727"/>
      <c r="O358" s="786"/>
      <c r="P358" s="787"/>
      <c r="Q358" s="786"/>
      <c r="R358" s="786"/>
      <c r="S358" s="786"/>
      <c r="T358" s="786"/>
      <c r="U358" s="786"/>
      <c r="V358" s="786"/>
      <c r="W358" s="786"/>
      <c r="X358" s="787"/>
      <c r="Y358" s="786"/>
      <c r="Z358" s="786"/>
      <c r="AA358" s="786"/>
      <c r="AB358" s="786"/>
      <c r="AC358" s="787"/>
      <c r="AD358" s="786"/>
      <c r="AE358" s="786"/>
      <c r="AF358" s="786"/>
      <c r="AG358" s="788"/>
      <c r="AH358" s="823"/>
      <c r="AI358" s="745"/>
      <c r="AJ358" s="728"/>
      <c r="AK358" s="729"/>
      <c r="AL358" s="729"/>
      <c r="AM358" s="729"/>
      <c r="AN358" s="729"/>
      <c r="AO358" s="730"/>
      <c r="AP358" s="74"/>
      <c r="AQ358" s="74"/>
      <c r="AR358" s="74"/>
      <c r="AS358" s="106"/>
      <c r="AW358" s="1392" t="str">
        <f t="shared" si="682"/>
        <v>Qty</v>
      </c>
      <c r="AX358" s="1393" t="str">
        <f t="shared" si="682"/>
        <v>[Service]</v>
      </c>
      <c r="AY358" s="1394" t="str">
        <f t="shared" si="646"/>
        <v>[Price]</v>
      </c>
      <c r="AZ358" s="1395" t="str">
        <f t="shared" si="739"/>
        <v>-</v>
      </c>
      <c r="BA358" s="1395" t="str">
        <f t="shared" si="739"/>
        <v>-</v>
      </c>
      <c r="BB358" s="1395" t="str">
        <f t="shared" si="739"/>
        <v>-</v>
      </c>
      <c r="BC358" s="1395" t="str">
        <f t="shared" si="739"/>
        <v>-</v>
      </c>
      <c r="BD358" s="1395" t="str">
        <f t="shared" si="648"/>
        <v>-</v>
      </c>
      <c r="BE358" s="1395" t="str">
        <f t="shared" si="649"/>
        <v>-</v>
      </c>
      <c r="BF358" s="1395" t="str">
        <f t="shared" si="650"/>
        <v>-</v>
      </c>
      <c r="BG358" s="1396" t="str">
        <f t="shared" si="651"/>
        <v>-</v>
      </c>
      <c r="BH358" s="1395" t="str">
        <f t="shared" si="652"/>
        <v>-</v>
      </c>
      <c r="BI358" s="1395" t="str">
        <f t="shared" si="653"/>
        <v>-</v>
      </c>
      <c r="BJ358" s="1395" t="str">
        <f t="shared" si="654"/>
        <v>-</v>
      </c>
      <c r="BK358" s="1395" t="str">
        <f t="shared" si="655"/>
        <v>-</v>
      </c>
      <c r="BL358" s="1397" t="str">
        <f t="shared" si="656"/>
        <v>-</v>
      </c>
      <c r="BM358" s="1395" t="str">
        <f t="shared" si="657"/>
        <v>-</v>
      </c>
      <c r="BN358" s="1395" t="str">
        <f t="shared" si="658"/>
        <v>-</v>
      </c>
      <c r="BO358" s="1395" t="str">
        <f t="shared" si="659"/>
        <v>-</v>
      </c>
      <c r="BP358" s="1395" t="str">
        <f t="shared" si="660"/>
        <v>-</v>
      </c>
      <c r="BQ358" s="1398" t="str">
        <f t="shared" si="661"/>
        <v>-</v>
      </c>
      <c r="BR358" s="1378"/>
      <c r="BS358" s="1329"/>
      <c r="BT358" s="1399"/>
      <c r="BU358" s="1331"/>
      <c r="BV358" s="1400"/>
      <c r="BW358" s="1378"/>
      <c r="BX358" s="1392" t="str">
        <f t="shared" si="662"/>
        <v>Qty</v>
      </c>
      <c r="BY358" s="1393" t="str">
        <f t="shared" si="707"/>
        <v>[Service]</v>
      </c>
      <c r="BZ358" s="1394" t="str">
        <f t="shared" si="708"/>
        <v>[Price]</v>
      </c>
      <c r="CA358" s="1401" t="str">
        <f>IFERROR((S358/R358-1)*(R359/R$13),"-")</f>
        <v>-</v>
      </c>
      <c r="CB358" s="1395" t="str">
        <f>IFERROR((T358/S358-1)*(S359/S$13),"-")</f>
        <v>-</v>
      </c>
      <c r="CC358" s="1395" t="str">
        <f>IFERROR((U358/T358-1)*(T359/T$13),"-")</f>
        <v>-</v>
      </c>
      <c r="CD358" s="1395" t="str">
        <f>IFERROR((V358/U358-1)*(U359/U$13),"-")</f>
        <v>-</v>
      </c>
      <c r="CE358" s="1395" t="str">
        <f t="shared" ref="CE358:CR358" si="741">IFERROR((T358/S358-1)*(S359/S$13),"-")</f>
        <v>-</v>
      </c>
      <c r="CF358" s="1395" t="str">
        <f t="shared" si="741"/>
        <v>-</v>
      </c>
      <c r="CG358" s="1395" t="str">
        <f t="shared" si="741"/>
        <v>-</v>
      </c>
      <c r="CH358" s="1397" t="str">
        <f t="shared" si="741"/>
        <v>-</v>
      </c>
      <c r="CI358" s="1395" t="str">
        <f t="shared" si="741"/>
        <v>-</v>
      </c>
      <c r="CJ358" s="1395" t="str">
        <f t="shared" si="741"/>
        <v>-</v>
      </c>
      <c r="CK358" s="1395" t="str">
        <f t="shared" si="741"/>
        <v>-</v>
      </c>
      <c r="CL358" s="1395" t="str">
        <f t="shared" si="741"/>
        <v>-</v>
      </c>
      <c r="CM358" s="1397" t="str">
        <f t="shared" si="741"/>
        <v>-</v>
      </c>
      <c r="CN358" s="1395" t="str">
        <f t="shared" si="741"/>
        <v>-</v>
      </c>
      <c r="CO358" s="1395" t="str">
        <f t="shared" si="741"/>
        <v>-</v>
      </c>
      <c r="CP358" s="1395" t="str">
        <f t="shared" si="741"/>
        <v>-</v>
      </c>
      <c r="CQ358" s="1395" t="str">
        <f t="shared" si="741"/>
        <v>-</v>
      </c>
      <c r="CR358" s="1398" t="str">
        <f t="shared" si="741"/>
        <v>-</v>
      </c>
      <c r="CS358" s="1378"/>
      <c r="CT358" s="1392" t="str">
        <f t="shared" si="643"/>
        <v>Qty</v>
      </c>
      <c r="CU358" s="1393" t="str">
        <f t="shared" si="644"/>
        <v>[Service]</v>
      </c>
      <c r="CV358" s="1393" t="str">
        <f t="shared" si="645"/>
        <v>[Price]</v>
      </c>
      <c r="CW358" s="1401" t="str">
        <f t="shared" si="664"/>
        <v>-</v>
      </c>
      <c r="CX358" s="1395" t="str">
        <f t="shared" si="665"/>
        <v>-</v>
      </c>
      <c r="CY358" s="1395" t="str">
        <f t="shared" si="666"/>
        <v>-</v>
      </c>
      <c r="CZ358" s="1397" t="str">
        <f t="shared" si="667"/>
        <v>-</v>
      </c>
      <c r="DA358" s="1395" t="str">
        <f t="shared" si="668"/>
        <v>-</v>
      </c>
      <c r="DB358" s="1395" t="str">
        <f t="shared" si="669"/>
        <v>-</v>
      </c>
      <c r="DC358" s="1395" t="str">
        <f t="shared" si="670"/>
        <v>-</v>
      </c>
      <c r="DD358" s="1395" t="str">
        <f t="shared" si="671"/>
        <v>-</v>
      </c>
      <c r="DE358" s="1398" t="str">
        <f t="shared" si="672"/>
        <v>-</v>
      </c>
      <c r="DF358" s="1378"/>
      <c r="DG358" s="1392" t="str">
        <f t="shared" si="684"/>
        <v>Qty</v>
      </c>
      <c r="DH358" s="1393" t="str">
        <f t="shared" si="684"/>
        <v>[Service]</v>
      </c>
      <c r="DI358" s="1393" t="str">
        <f t="shared" si="684"/>
        <v>[Price]</v>
      </c>
      <c r="DJ358" s="1401" t="str">
        <f t="shared" si="673"/>
        <v>-</v>
      </c>
      <c r="DK358" s="1395" t="str">
        <f t="shared" si="674"/>
        <v>-</v>
      </c>
      <c r="DL358" s="1395" t="str">
        <f t="shared" si="675"/>
        <v>-</v>
      </c>
      <c r="DM358" s="1397" t="str">
        <f t="shared" si="676"/>
        <v>-</v>
      </c>
      <c r="DN358" s="1395" t="str">
        <f t="shared" si="677"/>
        <v>-</v>
      </c>
      <c r="DO358" s="1395" t="str">
        <f t="shared" si="678"/>
        <v>-</v>
      </c>
      <c r="DP358" s="1395" t="str">
        <f t="shared" si="679"/>
        <v>-</v>
      </c>
      <c r="DQ358" s="1398" t="str">
        <f t="shared" si="680"/>
        <v>-</v>
      </c>
    </row>
    <row r="359" spans="4:121" ht="12.75" thickBot="1">
      <c r="E359" s="743" t="s">
        <v>46</v>
      </c>
      <c r="F359" s="732" t="str">
        <f>+F357</f>
        <v>[Service]</v>
      </c>
      <c r="G359" s="733">
        <f>+G357</f>
        <v>0</v>
      </c>
      <c r="H359" s="733">
        <f>+H357</f>
        <v>0</v>
      </c>
      <c r="I359" s="734" t="str">
        <f>+I357</f>
        <v>[Price]</v>
      </c>
      <c r="J359" s="735" t="s">
        <v>344</v>
      </c>
      <c r="K359" s="736">
        <f t="shared" ref="K359:AG359" si="742">K357*K358/10^6</f>
        <v>0</v>
      </c>
      <c r="L359" s="737">
        <f t="shared" si="742"/>
        <v>0</v>
      </c>
      <c r="M359" s="737">
        <f t="shared" si="742"/>
        <v>0</v>
      </c>
      <c r="N359" s="738">
        <f t="shared" si="742"/>
        <v>0</v>
      </c>
      <c r="O359" s="737">
        <f t="shared" si="742"/>
        <v>0</v>
      </c>
      <c r="P359" s="738">
        <f t="shared" si="742"/>
        <v>0</v>
      </c>
      <c r="Q359" s="737">
        <f t="shared" si="742"/>
        <v>0</v>
      </c>
      <c r="R359" s="737">
        <f t="shared" si="742"/>
        <v>0</v>
      </c>
      <c r="S359" s="737">
        <f t="shared" si="742"/>
        <v>0</v>
      </c>
      <c r="T359" s="737">
        <f t="shared" si="742"/>
        <v>0</v>
      </c>
      <c r="U359" s="737">
        <f t="shared" si="742"/>
        <v>0</v>
      </c>
      <c r="V359" s="737">
        <f t="shared" si="742"/>
        <v>0</v>
      </c>
      <c r="W359" s="737">
        <f t="shared" si="742"/>
        <v>0</v>
      </c>
      <c r="X359" s="738">
        <f t="shared" si="742"/>
        <v>0</v>
      </c>
      <c r="Y359" s="737">
        <f t="shared" si="742"/>
        <v>0</v>
      </c>
      <c r="Z359" s="737">
        <f t="shared" si="742"/>
        <v>0</v>
      </c>
      <c r="AA359" s="737">
        <f t="shared" si="742"/>
        <v>0</v>
      </c>
      <c r="AB359" s="737">
        <f t="shared" si="742"/>
        <v>0</v>
      </c>
      <c r="AC359" s="738">
        <f t="shared" si="742"/>
        <v>0</v>
      </c>
      <c r="AD359" s="737">
        <f t="shared" si="742"/>
        <v>0</v>
      </c>
      <c r="AE359" s="737">
        <f t="shared" si="742"/>
        <v>0</v>
      </c>
      <c r="AF359" s="737">
        <f t="shared" si="742"/>
        <v>0</v>
      </c>
      <c r="AG359" s="739">
        <f t="shared" si="742"/>
        <v>0</v>
      </c>
      <c r="AH359" s="823"/>
      <c r="AI359" s="745"/>
      <c r="AJ359" s="741"/>
      <c r="AK359" s="729"/>
      <c r="AL359" s="729"/>
      <c r="AM359" s="729"/>
      <c r="AN359" s="729"/>
      <c r="AO359" s="730"/>
      <c r="AP359" s="74"/>
      <c r="AQ359" s="74"/>
      <c r="AR359" s="74"/>
      <c r="AS359" s="106"/>
      <c r="AW359" s="1428" t="str">
        <f t="shared" si="682"/>
        <v>Rev</v>
      </c>
      <c r="AX359" s="1429" t="str">
        <f t="shared" si="682"/>
        <v>[Service]</v>
      </c>
      <c r="AY359" s="1430" t="str">
        <f t="shared" si="646"/>
        <v>[Price]</v>
      </c>
      <c r="AZ359" s="1431" t="str">
        <f t="shared" si="739"/>
        <v>-</v>
      </c>
      <c r="BA359" s="1431" t="str">
        <f t="shared" si="739"/>
        <v>-</v>
      </c>
      <c r="BB359" s="1431" t="str">
        <f t="shared" si="739"/>
        <v>-</v>
      </c>
      <c r="BC359" s="1431" t="str">
        <f t="shared" si="739"/>
        <v>-</v>
      </c>
      <c r="BD359" s="1431" t="str">
        <f t="shared" si="648"/>
        <v>-</v>
      </c>
      <c r="BE359" s="1431" t="str">
        <f t="shared" si="649"/>
        <v>-</v>
      </c>
      <c r="BF359" s="1431" t="str">
        <f t="shared" si="650"/>
        <v>-</v>
      </c>
      <c r="BG359" s="1432" t="str">
        <f t="shared" si="651"/>
        <v>-</v>
      </c>
      <c r="BH359" s="1431" t="str">
        <f t="shared" si="652"/>
        <v>-</v>
      </c>
      <c r="BI359" s="1431" t="str">
        <f t="shared" si="653"/>
        <v>-</v>
      </c>
      <c r="BJ359" s="1431" t="str">
        <f t="shared" si="654"/>
        <v>-</v>
      </c>
      <c r="BK359" s="1431" t="str">
        <f t="shared" si="655"/>
        <v>-</v>
      </c>
      <c r="BL359" s="1433" t="str">
        <f t="shared" si="656"/>
        <v>-</v>
      </c>
      <c r="BM359" s="1431" t="str">
        <f t="shared" si="657"/>
        <v>-</v>
      </c>
      <c r="BN359" s="1431" t="str">
        <f t="shared" si="658"/>
        <v>-</v>
      </c>
      <c r="BO359" s="1431" t="str">
        <f t="shared" si="659"/>
        <v>-</v>
      </c>
      <c r="BP359" s="1431" t="str">
        <f t="shared" si="660"/>
        <v>-</v>
      </c>
      <c r="BQ359" s="1434" t="str">
        <f t="shared" si="661"/>
        <v>-</v>
      </c>
      <c r="BR359" s="1378"/>
      <c r="BS359" s="1407"/>
      <c r="BT359" s="1408"/>
      <c r="BU359" s="1409"/>
      <c r="BV359" s="1410"/>
      <c r="BW359" s="1378"/>
      <c r="BX359" s="1428" t="str">
        <f t="shared" si="662"/>
        <v>Rev</v>
      </c>
      <c r="BY359" s="1429" t="str">
        <f t="shared" si="707"/>
        <v>[Service]</v>
      </c>
      <c r="BZ359" s="1430" t="str">
        <f t="shared" si="708"/>
        <v>[Price]</v>
      </c>
      <c r="CA359" s="1435" t="str">
        <f>IFERROR((S359/R359-1)*(R359/R$13),"-")</f>
        <v>-</v>
      </c>
      <c r="CB359" s="1431" t="str">
        <f>IFERROR((T359/S359-1)*(S359/S$13),"-")</f>
        <v>-</v>
      </c>
      <c r="CC359" s="1431" t="str">
        <f>IFERROR((U359/T359-1)*(T359/T$13),"-")</f>
        <v>-</v>
      </c>
      <c r="CD359" s="1431" t="str">
        <f>IFERROR((V359/U359-1)*(U359/U$13),"-")</f>
        <v>-</v>
      </c>
      <c r="CE359" s="1431" t="str">
        <f t="shared" ref="CE359:CR359" si="743">IFERROR((T359/S359-1)*(S359/S$13),"-")</f>
        <v>-</v>
      </c>
      <c r="CF359" s="1431" t="str">
        <f t="shared" si="743"/>
        <v>-</v>
      </c>
      <c r="CG359" s="1431" t="str">
        <f t="shared" si="743"/>
        <v>-</v>
      </c>
      <c r="CH359" s="1433" t="str">
        <f t="shared" si="743"/>
        <v>-</v>
      </c>
      <c r="CI359" s="1431" t="str">
        <f t="shared" si="743"/>
        <v>-</v>
      </c>
      <c r="CJ359" s="1431" t="str">
        <f t="shared" si="743"/>
        <v>-</v>
      </c>
      <c r="CK359" s="1431" t="str">
        <f t="shared" si="743"/>
        <v>-</v>
      </c>
      <c r="CL359" s="1431" t="str">
        <f t="shared" si="743"/>
        <v>-</v>
      </c>
      <c r="CM359" s="1433" t="str">
        <f t="shared" si="743"/>
        <v>-</v>
      </c>
      <c r="CN359" s="1431" t="str">
        <f t="shared" si="743"/>
        <v>-</v>
      </c>
      <c r="CO359" s="1431" t="str">
        <f t="shared" si="743"/>
        <v>-</v>
      </c>
      <c r="CP359" s="1431" t="str">
        <f t="shared" si="743"/>
        <v>-</v>
      </c>
      <c r="CQ359" s="1431" t="str">
        <f t="shared" si="743"/>
        <v>-</v>
      </c>
      <c r="CR359" s="1434" t="str">
        <f t="shared" si="743"/>
        <v>-</v>
      </c>
      <c r="CS359" s="1378"/>
      <c r="CT359" s="1428" t="str">
        <f t="shared" si="643"/>
        <v>Rev</v>
      </c>
      <c r="CU359" s="1429" t="str">
        <f t="shared" si="644"/>
        <v>[Service]</v>
      </c>
      <c r="CV359" s="1429" t="str">
        <f t="shared" si="645"/>
        <v>[Price]</v>
      </c>
      <c r="CW359" s="1435" t="str">
        <f t="shared" si="664"/>
        <v>-</v>
      </c>
      <c r="CX359" s="1431" t="str">
        <f t="shared" si="665"/>
        <v>-</v>
      </c>
      <c r="CY359" s="1431" t="str">
        <f t="shared" si="666"/>
        <v>-</v>
      </c>
      <c r="CZ359" s="1433" t="str">
        <f t="shared" si="667"/>
        <v>-</v>
      </c>
      <c r="DA359" s="1431" t="str">
        <f t="shared" si="668"/>
        <v>-</v>
      </c>
      <c r="DB359" s="1431" t="str">
        <f t="shared" si="669"/>
        <v>-</v>
      </c>
      <c r="DC359" s="1431" t="str">
        <f t="shared" si="670"/>
        <v>-</v>
      </c>
      <c r="DD359" s="1431" t="str">
        <f t="shared" si="671"/>
        <v>-</v>
      </c>
      <c r="DE359" s="1434" t="str">
        <f t="shared" si="672"/>
        <v>-</v>
      </c>
      <c r="DF359" s="1378"/>
      <c r="DG359" s="1428" t="str">
        <f t="shared" si="684"/>
        <v>Rev</v>
      </c>
      <c r="DH359" s="1429" t="str">
        <f t="shared" si="684"/>
        <v>[Service]</v>
      </c>
      <c r="DI359" s="1429" t="str">
        <f t="shared" si="684"/>
        <v>[Price]</v>
      </c>
      <c r="DJ359" s="1435" t="str">
        <f t="shared" si="673"/>
        <v>-</v>
      </c>
      <c r="DK359" s="1431" t="str">
        <f t="shared" si="674"/>
        <v>-</v>
      </c>
      <c r="DL359" s="1431" t="str">
        <f t="shared" si="675"/>
        <v>-</v>
      </c>
      <c r="DM359" s="1433" t="str">
        <f t="shared" si="676"/>
        <v>-</v>
      </c>
      <c r="DN359" s="1431" t="str">
        <f t="shared" si="677"/>
        <v>-</v>
      </c>
      <c r="DO359" s="1431" t="str">
        <f t="shared" si="678"/>
        <v>-</v>
      </c>
      <c r="DP359" s="1431" t="str">
        <f t="shared" si="679"/>
        <v>-</v>
      </c>
      <c r="DQ359" s="1434" t="str">
        <f t="shared" si="680"/>
        <v>-</v>
      </c>
    </row>
    <row r="360" spans="4:121">
      <c r="D360" s="70">
        <f>D357+1</f>
        <v>98</v>
      </c>
      <c r="E360" s="713" t="s">
        <v>44</v>
      </c>
      <c r="F360" s="789" t="s">
        <v>27</v>
      </c>
      <c r="G360" s="789"/>
      <c r="H360" s="789"/>
      <c r="I360" s="781" t="s">
        <v>318</v>
      </c>
      <c r="J360" s="781" t="s">
        <v>345</v>
      </c>
      <c r="K360" s="714"/>
      <c r="L360" s="715"/>
      <c r="M360" s="715"/>
      <c r="N360" s="716"/>
      <c r="O360" s="783"/>
      <c r="P360" s="784"/>
      <c r="Q360" s="783"/>
      <c r="R360" s="783"/>
      <c r="S360" s="783"/>
      <c r="T360" s="783"/>
      <c r="U360" s="783"/>
      <c r="V360" s="783"/>
      <c r="W360" s="783"/>
      <c r="X360" s="784"/>
      <c r="Y360" s="783"/>
      <c r="Z360" s="783"/>
      <c r="AA360" s="783"/>
      <c r="AB360" s="783"/>
      <c r="AC360" s="784"/>
      <c r="AD360" s="783"/>
      <c r="AE360" s="783"/>
      <c r="AF360" s="783"/>
      <c r="AG360" s="785"/>
      <c r="AI360" s="745"/>
      <c r="AJ360" s="717" t="str">
        <f t="shared" ref="AJ360:AS360" si="744">IFERROR((X360-W360)/W360,"")</f>
        <v/>
      </c>
      <c r="AK360" s="718" t="str">
        <f t="shared" si="744"/>
        <v/>
      </c>
      <c r="AL360" s="718" t="str">
        <f t="shared" si="744"/>
        <v/>
      </c>
      <c r="AM360" s="718" t="str">
        <f t="shared" si="744"/>
        <v/>
      </c>
      <c r="AN360" s="718" t="str">
        <f t="shared" si="744"/>
        <v/>
      </c>
      <c r="AO360" s="719" t="str">
        <f t="shared" si="744"/>
        <v/>
      </c>
      <c r="AP360" s="494" t="str">
        <f t="shared" si="744"/>
        <v/>
      </c>
      <c r="AQ360" s="494" t="str">
        <f t="shared" si="744"/>
        <v/>
      </c>
      <c r="AR360" s="494" t="str">
        <f t="shared" si="744"/>
        <v/>
      </c>
      <c r="AS360" s="720" t="str">
        <f t="shared" si="744"/>
        <v/>
      </c>
      <c r="AU360" s="1369"/>
      <c r="AW360" s="1412" t="str">
        <f t="shared" si="682"/>
        <v>Price</v>
      </c>
      <c r="AX360" s="1413" t="str">
        <f t="shared" si="682"/>
        <v>[Service]</v>
      </c>
      <c r="AY360" s="1414" t="str">
        <f t="shared" si="646"/>
        <v>[Price]</v>
      </c>
      <c r="AZ360" s="1415" t="str">
        <f t="shared" si="739"/>
        <v>-</v>
      </c>
      <c r="BA360" s="1415" t="str">
        <f t="shared" si="739"/>
        <v>-</v>
      </c>
      <c r="BB360" s="1415" t="str">
        <f t="shared" si="739"/>
        <v>-</v>
      </c>
      <c r="BC360" s="1415" t="str">
        <f t="shared" si="739"/>
        <v>-</v>
      </c>
      <c r="BD360" s="1415" t="str">
        <f t="shared" si="648"/>
        <v>-</v>
      </c>
      <c r="BE360" s="1415" t="str">
        <f t="shared" si="649"/>
        <v>-</v>
      </c>
      <c r="BF360" s="1415" t="str">
        <f t="shared" si="650"/>
        <v>-</v>
      </c>
      <c r="BG360" s="1416" t="str">
        <f t="shared" si="651"/>
        <v>-</v>
      </c>
      <c r="BH360" s="1417" t="str">
        <f t="shared" si="652"/>
        <v>-</v>
      </c>
      <c r="BI360" s="1417" t="str">
        <f t="shared" si="653"/>
        <v>-</v>
      </c>
      <c r="BJ360" s="1417" t="str">
        <f t="shared" si="654"/>
        <v>-</v>
      </c>
      <c r="BK360" s="1417" t="str">
        <f t="shared" si="655"/>
        <v>-</v>
      </c>
      <c r="BL360" s="1418" t="str">
        <f t="shared" si="656"/>
        <v>-</v>
      </c>
      <c r="BM360" s="1417" t="str">
        <f t="shared" si="657"/>
        <v>-</v>
      </c>
      <c r="BN360" s="1417" t="str">
        <f t="shared" si="658"/>
        <v>-</v>
      </c>
      <c r="BO360" s="1417" t="str">
        <f t="shared" si="659"/>
        <v>-</v>
      </c>
      <c r="BP360" s="1417" t="str">
        <f t="shared" si="660"/>
        <v>-</v>
      </c>
      <c r="BQ360" s="1419" t="str">
        <f t="shared" si="661"/>
        <v>-</v>
      </c>
      <c r="BR360" s="1378"/>
      <c r="BS360" s="1420"/>
      <c r="BT360" s="1421"/>
      <c r="BU360" s="1422"/>
      <c r="BV360" s="1423"/>
      <c r="BW360" s="1378"/>
      <c r="BX360" s="1412" t="str">
        <f t="shared" si="662"/>
        <v>Price</v>
      </c>
      <c r="BY360" s="1413" t="str">
        <f t="shared" si="707"/>
        <v>[Service]</v>
      </c>
      <c r="BZ360" s="1414" t="str">
        <f t="shared" si="708"/>
        <v>[Price]</v>
      </c>
      <c r="CA360" s="1424" t="str">
        <f>IFERROR((S360/R360-1)*(R362/R$13),"-")</f>
        <v>-</v>
      </c>
      <c r="CB360" s="1415" t="str">
        <f>IFERROR((T360/S360-1)*(S362/S$13),"-")</f>
        <v>-</v>
      </c>
      <c r="CC360" s="1415" t="str">
        <f>IFERROR((U360/T360-1)*(T362/T$13),"-")</f>
        <v>-</v>
      </c>
      <c r="CD360" s="1415" t="str">
        <f>IFERROR((V360/U360-1)*(U362/U$13),"-")</f>
        <v>-</v>
      </c>
      <c r="CE360" s="1415" t="str">
        <f t="shared" ref="CE360:CR360" si="745">IFERROR((T360/S360-1)*(S362/S$13),"-")</f>
        <v>-</v>
      </c>
      <c r="CF360" s="1415" t="str">
        <f t="shared" si="745"/>
        <v>-</v>
      </c>
      <c r="CG360" s="1415" t="str">
        <f t="shared" si="745"/>
        <v>-</v>
      </c>
      <c r="CH360" s="1425" t="str">
        <f t="shared" si="745"/>
        <v>-</v>
      </c>
      <c r="CI360" s="1417" t="str">
        <f t="shared" si="745"/>
        <v>-</v>
      </c>
      <c r="CJ360" s="1417" t="str">
        <f t="shared" si="745"/>
        <v>-</v>
      </c>
      <c r="CK360" s="1417" t="str">
        <f t="shared" si="745"/>
        <v>-</v>
      </c>
      <c r="CL360" s="1417" t="str">
        <f t="shared" si="745"/>
        <v>-</v>
      </c>
      <c r="CM360" s="1418" t="str">
        <f t="shared" si="745"/>
        <v>-</v>
      </c>
      <c r="CN360" s="1417" t="str">
        <f t="shared" si="745"/>
        <v>-</v>
      </c>
      <c r="CO360" s="1417" t="str">
        <f t="shared" si="745"/>
        <v>-</v>
      </c>
      <c r="CP360" s="1417" t="str">
        <f t="shared" si="745"/>
        <v>-</v>
      </c>
      <c r="CQ360" s="1417" t="str">
        <f t="shared" si="745"/>
        <v>-</v>
      </c>
      <c r="CR360" s="1419" t="str">
        <f t="shared" si="745"/>
        <v>-</v>
      </c>
      <c r="CS360" s="1378"/>
      <c r="CT360" s="1412" t="str">
        <f t="shared" si="643"/>
        <v>Price</v>
      </c>
      <c r="CU360" s="1413" t="str">
        <f t="shared" si="644"/>
        <v>[Service]</v>
      </c>
      <c r="CV360" s="1426" t="str">
        <f t="shared" si="645"/>
        <v>[Price]</v>
      </c>
      <c r="CW360" s="1427" t="str">
        <f t="shared" si="664"/>
        <v>-</v>
      </c>
      <c r="CX360" s="1417" t="str">
        <f t="shared" si="665"/>
        <v>-</v>
      </c>
      <c r="CY360" s="1417" t="str">
        <f t="shared" si="666"/>
        <v>-</v>
      </c>
      <c r="CZ360" s="1418" t="str">
        <f t="shared" si="667"/>
        <v>-</v>
      </c>
      <c r="DA360" s="1417" t="str">
        <f t="shared" si="668"/>
        <v>-</v>
      </c>
      <c r="DB360" s="1417" t="str">
        <f t="shared" si="669"/>
        <v>-</v>
      </c>
      <c r="DC360" s="1417" t="str">
        <f t="shared" si="670"/>
        <v>-</v>
      </c>
      <c r="DD360" s="1417" t="str">
        <f t="shared" si="671"/>
        <v>-</v>
      </c>
      <c r="DE360" s="1419" t="str">
        <f t="shared" si="672"/>
        <v>-</v>
      </c>
      <c r="DF360" s="1378"/>
      <c r="DG360" s="1412" t="str">
        <f t="shared" si="684"/>
        <v>Price</v>
      </c>
      <c r="DH360" s="1413" t="str">
        <f t="shared" si="684"/>
        <v>[Service]</v>
      </c>
      <c r="DI360" s="1426" t="str">
        <f t="shared" si="684"/>
        <v>[Price]</v>
      </c>
      <c r="DJ360" s="1427" t="str">
        <f t="shared" si="673"/>
        <v>-</v>
      </c>
      <c r="DK360" s="1417" t="str">
        <f t="shared" si="674"/>
        <v>-</v>
      </c>
      <c r="DL360" s="1417" t="str">
        <f t="shared" si="675"/>
        <v>-</v>
      </c>
      <c r="DM360" s="1418" t="str">
        <f t="shared" si="676"/>
        <v>-</v>
      </c>
      <c r="DN360" s="1417" t="str">
        <f t="shared" si="677"/>
        <v>-</v>
      </c>
      <c r="DO360" s="1417" t="str">
        <f t="shared" si="678"/>
        <v>-</v>
      </c>
      <c r="DP360" s="1417" t="str">
        <f t="shared" si="679"/>
        <v>-</v>
      </c>
      <c r="DQ360" s="1419" t="str">
        <f t="shared" si="680"/>
        <v>-</v>
      </c>
    </row>
    <row r="361" spans="4:121">
      <c r="E361" s="742" t="s">
        <v>45</v>
      </c>
      <c r="F361" s="722" t="str">
        <f>+F360</f>
        <v>[Service]</v>
      </c>
      <c r="G361" s="723">
        <f>+G360</f>
        <v>0</v>
      </c>
      <c r="H361" s="723">
        <f>+H360</f>
        <v>0</v>
      </c>
      <c r="I361" s="724" t="str">
        <f>+I360</f>
        <v>[Price]</v>
      </c>
      <c r="J361" s="782" t="s">
        <v>322</v>
      </c>
      <c r="K361" s="725"/>
      <c r="L361" s="726"/>
      <c r="M361" s="726"/>
      <c r="N361" s="727"/>
      <c r="O361" s="786"/>
      <c r="P361" s="787"/>
      <c r="Q361" s="786"/>
      <c r="R361" s="786"/>
      <c r="S361" s="786"/>
      <c r="T361" s="786"/>
      <c r="U361" s="786"/>
      <c r="V361" s="786"/>
      <c r="W361" s="786"/>
      <c r="X361" s="787"/>
      <c r="Y361" s="786"/>
      <c r="Z361" s="786"/>
      <c r="AA361" s="786"/>
      <c r="AB361" s="786"/>
      <c r="AC361" s="787"/>
      <c r="AD361" s="786"/>
      <c r="AE361" s="786"/>
      <c r="AF361" s="786"/>
      <c r="AG361" s="788"/>
      <c r="AH361" s="823"/>
      <c r="AI361" s="745"/>
      <c r="AJ361" s="728"/>
      <c r="AK361" s="729"/>
      <c r="AL361" s="729"/>
      <c r="AM361" s="729"/>
      <c r="AN361" s="729"/>
      <c r="AO361" s="730"/>
      <c r="AP361" s="74"/>
      <c r="AQ361" s="74"/>
      <c r="AR361" s="74"/>
      <c r="AS361" s="106"/>
      <c r="AW361" s="1392" t="str">
        <f t="shared" si="682"/>
        <v>Qty</v>
      </c>
      <c r="AX361" s="1393" t="str">
        <f t="shared" si="682"/>
        <v>[Service]</v>
      </c>
      <c r="AY361" s="1394" t="str">
        <f t="shared" si="646"/>
        <v>[Price]</v>
      </c>
      <c r="AZ361" s="1395" t="str">
        <f t="shared" si="739"/>
        <v>-</v>
      </c>
      <c r="BA361" s="1395" t="str">
        <f t="shared" si="739"/>
        <v>-</v>
      </c>
      <c r="BB361" s="1395" t="str">
        <f t="shared" si="739"/>
        <v>-</v>
      </c>
      <c r="BC361" s="1395" t="str">
        <f t="shared" si="739"/>
        <v>-</v>
      </c>
      <c r="BD361" s="1395" t="str">
        <f t="shared" si="648"/>
        <v>-</v>
      </c>
      <c r="BE361" s="1395" t="str">
        <f t="shared" si="649"/>
        <v>-</v>
      </c>
      <c r="BF361" s="1395" t="str">
        <f t="shared" si="650"/>
        <v>-</v>
      </c>
      <c r="BG361" s="1396" t="str">
        <f t="shared" si="651"/>
        <v>-</v>
      </c>
      <c r="BH361" s="1395" t="str">
        <f t="shared" si="652"/>
        <v>-</v>
      </c>
      <c r="BI361" s="1395" t="str">
        <f t="shared" si="653"/>
        <v>-</v>
      </c>
      <c r="BJ361" s="1395" t="str">
        <f t="shared" si="654"/>
        <v>-</v>
      </c>
      <c r="BK361" s="1395" t="str">
        <f t="shared" si="655"/>
        <v>-</v>
      </c>
      <c r="BL361" s="1397" t="str">
        <f t="shared" si="656"/>
        <v>-</v>
      </c>
      <c r="BM361" s="1395" t="str">
        <f t="shared" si="657"/>
        <v>-</v>
      </c>
      <c r="BN361" s="1395" t="str">
        <f t="shared" si="658"/>
        <v>-</v>
      </c>
      <c r="BO361" s="1395" t="str">
        <f t="shared" si="659"/>
        <v>-</v>
      </c>
      <c r="BP361" s="1395" t="str">
        <f t="shared" si="660"/>
        <v>-</v>
      </c>
      <c r="BQ361" s="1398" t="str">
        <f t="shared" si="661"/>
        <v>-</v>
      </c>
      <c r="BR361" s="1378"/>
      <c r="BS361" s="1329"/>
      <c r="BT361" s="1399"/>
      <c r="BU361" s="1331"/>
      <c r="BV361" s="1400"/>
      <c r="BW361" s="1378"/>
      <c r="BX361" s="1392" t="str">
        <f t="shared" si="662"/>
        <v>Qty</v>
      </c>
      <c r="BY361" s="1393" t="str">
        <f t="shared" si="707"/>
        <v>[Service]</v>
      </c>
      <c r="BZ361" s="1394" t="str">
        <f t="shared" si="708"/>
        <v>[Price]</v>
      </c>
      <c r="CA361" s="1401" t="str">
        <f>IFERROR((S361/R361-1)*(R362/R$13),"-")</f>
        <v>-</v>
      </c>
      <c r="CB361" s="1395" t="str">
        <f>IFERROR((T361/S361-1)*(S362/S$13),"-")</f>
        <v>-</v>
      </c>
      <c r="CC361" s="1395" t="str">
        <f>IFERROR((U361/T361-1)*(T362/T$13),"-")</f>
        <v>-</v>
      </c>
      <c r="CD361" s="1395" t="str">
        <f>IFERROR((V361/U361-1)*(U362/U$13),"-")</f>
        <v>-</v>
      </c>
      <c r="CE361" s="1395" t="str">
        <f t="shared" ref="CE361:CR361" si="746">IFERROR((T361/S361-1)*(S362/S$13),"-")</f>
        <v>-</v>
      </c>
      <c r="CF361" s="1395" t="str">
        <f t="shared" si="746"/>
        <v>-</v>
      </c>
      <c r="CG361" s="1395" t="str">
        <f t="shared" si="746"/>
        <v>-</v>
      </c>
      <c r="CH361" s="1397" t="str">
        <f t="shared" si="746"/>
        <v>-</v>
      </c>
      <c r="CI361" s="1395" t="str">
        <f t="shared" si="746"/>
        <v>-</v>
      </c>
      <c r="CJ361" s="1395" t="str">
        <f t="shared" si="746"/>
        <v>-</v>
      </c>
      <c r="CK361" s="1395" t="str">
        <f t="shared" si="746"/>
        <v>-</v>
      </c>
      <c r="CL361" s="1395" t="str">
        <f t="shared" si="746"/>
        <v>-</v>
      </c>
      <c r="CM361" s="1397" t="str">
        <f t="shared" si="746"/>
        <v>-</v>
      </c>
      <c r="CN361" s="1395" t="str">
        <f t="shared" si="746"/>
        <v>-</v>
      </c>
      <c r="CO361" s="1395" t="str">
        <f t="shared" si="746"/>
        <v>-</v>
      </c>
      <c r="CP361" s="1395" t="str">
        <f t="shared" si="746"/>
        <v>-</v>
      </c>
      <c r="CQ361" s="1395" t="str">
        <f t="shared" si="746"/>
        <v>-</v>
      </c>
      <c r="CR361" s="1398" t="str">
        <f t="shared" si="746"/>
        <v>-</v>
      </c>
      <c r="CS361" s="1378"/>
      <c r="CT361" s="1392" t="str">
        <f t="shared" si="643"/>
        <v>Qty</v>
      </c>
      <c r="CU361" s="1393" t="str">
        <f t="shared" si="644"/>
        <v>[Service]</v>
      </c>
      <c r="CV361" s="1393" t="str">
        <f t="shared" si="645"/>
        <v>[Price]</v>
      </c>
      <c r="CW361" s="1401" t="str">
        <f t="shared" si="664"/>
        <v>-</v>
      </c>
      <c r="CX361" s="1395" t="str">
        <f t="shared" si="665"/>
        <v>-</v>
      </c>
      <c r="CY361" s="1395" t="str">
        <f t="shared" si="666"/>
        <v>-</v>
      </c>
      <c r="CZ361" s="1397" t="str">
        <f t="shared" si="667"/>
        <v>-</v>
      </c>
      <c r="DA361" s="1395" t="str">
        <f t="shared" si="668"/>
        <v>-</v>
      </c>
      <c r="DB361" s="1395" t="str">
        <f t="shared" si="669"/>
        <v>-</v>
      </c>
      <c r="DC361" s="1395" t="str">
        <f t="shared" si="670"/>
        <v>-</v>
      </c>
      <c r="DD361" s="1395" t="str">
        <f t="shared" si="671"/>
        <v>-</v>
      </c>
      <c r="DE361" s="1398" t="str">
        <f t="shared" si="672"/>
        <v>-</v>
      </c>
      <c r="DF361" s="1378"/>
      <c r="DG361" s="1392" t="str">
        <f t="shared" si="684"/>
        <v>Qty</v>
      </c>
      <c r="DH361" s="1393" t="str">
        <f t="shared" si="684"/>
        <v>[Service]</v>
      </c>
      <c r="DI361" s="1393" t="str">
        <f t="shared" si="684"/>
        <v>[Price]</v>
      </c>
      <c r="DJ361" s="1401" t="str">
        <f t="shared" si="673"/>
        <v>-</v>
      </c>
      <c r="DK361" s="1395" t="str">
        <f t="shared" si="674"/>
        <v>-</v>
      </c>
      <c r="DL361" s="1395" t="str">
        <f t="shared" si="675"/>
        <v>-</v>
      </c>
      <c r="DM361" s="1397" t="str">
        <f t="shared" si="676"/>
        <v>-</v>
      </c>
      <c r="DN361" s="1395" t="str">
        <f t="shared" si="677"/>
        <v>-</v>
      </c>
      <c r="DO361" s="1395" t="str">
        <f t="shared" si="678"/>
        <v>-</v>
      </c>
      <c r="DP361" s="1395" t="str">
        <f t="shared" si="679"/>
        <v>-</v>
      </c>
      <c r="DQ361" s="1398" t="str">
        <f t="shared" si="680"/>
        <v>-</v>
      </c>
    </row>
    <row r="362" spans="4:121" ht="12.75" thickBot="1">
      <c r="E362" s="743" t="s">
        <v>46</v>
      </c>
      <c r="F362" s="732" t="str">
        <f>+F360</f>
        <v>[Service]</v>
      </c>
      <c r="G362" s="733">
        <f>+G360</f>
        <v>0</v>
      </c>
      <c r="H362" s="733">
        <f>+H360</f>
        <v>0</v>
      </c>
      <c r="I362" s="734" t="str">
        <f>+I360</f>
        <v>[Price]</v>
      </c>
      <c r="J362" s="735" t="s">
        <v>344</v>
      </c>
      <c r="K362" s="736">
        <f t="shared" ref="K362:AG362" si="747">K360*K361/10^6</f>
        <v>0</v>
      </c>
      <c r="L362" s="737">
        <f t="shared" si="747"/>
        <v>0</v>
      </c>
      <c r="M362" s="737">
        <f t="shared" si="747"/>
        <v>0</v>
      </c>
      <c r="N362" s="738">
        <f t="shared" si="747"/>
        <v>0</v>
      </c>
      <c r="O362" s="737">
        <f t="shared" si="747"/>
        <v>0</v>
      </c>
      <c r="P362" s="738">
        <f t="shared" si="747"/>
        <v>0</v>
      </c>
      <c r="Q362" s="737">
        <f t="shared" si="747"/>
        <v>0</v>
      </c>
      <c r="R362" s="737">
        <f t="shared" si="747"/>
        <v>0</v>
      </c>
      <c r="S362" s="737">
        <f t="shared" si="747"/>
        <v>0</v>
      </c>
      <c r="T362" s="737">
        <f t="shared" si="747"/>
        <v>0</v>
      </c>
      <c r="U362" s="737">
        <f t="shared" si="747"/>
        <v>0</v>
      </c>
      <c r="V362" s="737">
        <f t="shared" si="747"/>
        <v>0</v>
      </c>
      <c r="W362" s="737">
        <f t="shared" si="747"/>
        <v>0</v>
      </c>
      <c r="X362" s="738">
        <f t="shared" si="747"/>
        <v>0</v>
      </c>
      <c r="Y362" s="737">
        <f t="shared" si="747"/>
        <v>0</v>
      </c>
      <c r="Z362" s="737">
        <f t="shared" si="747"/>
        <v>0</v>
      </c>
      <c r="AA362" s="737">
        <f t="shared" si="747"/>
        <v>0</v>
      </c>
      <c r="AB362" s="737">
        <f t="shared" si="747"/>
        <v>0</v>
      </c>
      <c r="AC362" s="738">
        <f t="shared" si="747"/>
        <v>0</v>
      </c>
      <c r="AD362" s="737">
        <f t="shared" si="747"/>
        <v>0</v>
      </c>
      <c r="AE362" s="737">
        <f t="shared" si="747"/>
        <v>0</v>
      </c>
      <c r="AF362" s="737">
        <f t="shared" si="747"/>
        <v>0</v>
      </c>
      <c r="AG362" s="739">
        <f t="shared" si="747"/>
        <v>0</v>
      </c>
      <c r="AH362" s="823"/>
      <c r="AI362" s="745"/>
      <c r="AJ362" s="741"/>
      <c r="AK362" s="729"/>
      <c r="AL362" s="729"/>
      <c r="AM362" s="729"/>
      <c r="AN362" s="729"/>
      <c r="AO362" s="730"/>
      <c r="AP362" s="74"/>
      <c r="AQ362" s="74"/>
      <c r="AR362" s="74"/>
      <c r="AS362" s="106"/>
      <c r="AW362" s="1428" t="str">
        <f t="shared" si="682"/>
        <v>Rev</v>
      </c>
      <c r="AX362" s="1429" t="str">
        <f t="shared" si="682"/>
        <v>[Service]</v>
      </c>
      <c r="AY362" s="1430" t="str">
        <f t="shared" si="646"/>
        <v>[Price]</v>
      </c>
      <c r="AZ362" s="1431" t="str">
        <f t="shared" si="739"/>
        <v>-</v>
      </c>
      <c r="BA362" s="1431" t="str">
        <f t="shared" si="739"/>
        <v>-</v>
      </c>
      <c r="BB362" s="1431" t="str">
        <f t="shared" si="739"/>
        <v>-</v>
      </c>
      <c r="BC362" s="1431" t="str">
        <f t="shared" si="739"/>
        <v>-</v>
      </c>
      <c r="BD362" s="1431" t="str">
        <f t="shared" si="648"/>
        <v>-</v>
      </c>
      <c r="BE362" s="1431" t="str">
        <f t="shared" si="649"/>
        <v>-</v>
      </c>
      <c r="BF362" s="1431" t="str">
        <f t="shared" si="650"/>
        <v>-</v>
      </c>
      <c r="BG362" s="1432" t="str">
        <f t="shared" si="651"/>
        <v>-</v>
      </c>
      <c r="BH362" s="1431" t="str">
        <f t="shared" si="652"/>
        <v>-</v>
      </c>
      <c r="BI362" s="1431" t="str">
        <f t="shared" si="653"/>
        <v>-</v>
      </c>
      <c r="BJ362" s="1431" t="str">
        <f t="shared" si="654"/>
        <v>-</v>
      </c>
      <c r="BK362" s="1431" t="str">
        <f t="shared" si="655"/>
        <v>-</v>
      </c>
      <c r="BL362" s="1433" t="str">
        <f t="shared" si="656"/>
        <v>-</v>
      </c>
      <c r="BM362" s="1431" t="str">
        <f t="shared" si="657"/>
        <v>-</v>
      </c>
      <c r="BN362" s="1431" t="str">
        <f t="shared" si="658"/>
        <v>-</v>
      </c>
      <c r="BO362" s="1431" t="str">
        <f t="shared" si="659"/>
        <v>-</v>
      </c>
      <c r="BP362" s="1431" t="str">
        <f t="shared" si="660"/>
        <v>-</v>
      </c>
      <c r="BQ362" s="1434" t="str">
        <f t="shared" si="661"/>
        <v>-</v>
      </c>
      <c r="BR362" s="1378"/>
      <c r="BS362" s="1407"/>
      <c r="BT362" s="1408"/>
      <c r="BU362" s="1409"/>
      <c r="BV362" s="1410"/>
      <c r="BW362" s="1378"/>
      <c r="BX362" s="1428" t="str">
        <f t="shared" si="662"/>
        <v>Rev</v>
      </c>
      <c r="BY362" s="1429" t="str">
        <f t="shared" si="707"/>
        <v>[Service]</v>
      </c>
      <c r="BZ362" s="1430" t="str">
        <f t="shared" si="708"/>
        <v>[Price]</v>
      </c>
      <c r="CA362" s="1435" t="str">
        <f>IFERROR((S362/R362-1)*(R362/R$13),"-")</f>
        <v>-</v>
      </c>
      <c r="CB362" s="1431" t="str">
        <f>IFERROR((T362/S362-1)*(S362/S$13),"-")</f>
        <v>-</v>
      </c>
      <c r="CC362" s="1431" t="str">
        <f>IFERROR((U362/T362-1)*(T362/T$13),"-")</f>
        <v>-</v>
      </c>
      <c r="CD362" s="1431" t="str">
        <f>IFERROR((V362/U362-1)*(U362/U$13),"-")</f>
        <v>-</v>
      </c>
      <c r="CE362" s="1431" t="str">
        <f t="shared" ref="CE362:CR362" si="748">IFERROR((T362/S362-1)*(S362/S$13),"-")</f>
        <v>-</v>
      </c>
      <c r="CF362" s="1431" t="str">
        <f t="shared" si="748"/>
        <v>-</v>
      </c>
      <c r="CG362" s="1431" t="str">
        <f t="shared" si="748"/>
        <v>-</v>
      </c>
      <c r="CH362" s="1433" t="str">
        <f t="shared" si="748"/>
        <v>-</v>
      </c>
      <c r="CI362" s="1431" t="str">
        <f t="shared" si="748"/>
        <v>-</v>
      </c>
      <c r="CJ362" s="1431" t="str">
        <f t="shared" si="748"/>
        <v>-</v>
      </c>
      <c r="CK362" s="1431" t="str">
        <f t="shared" si="748"/>
        <v>-</v>
      </c>
      <c r="CL362" s="1431" t="str">
        <f t="shared" si="748"/>
        <v>-</v>
      </c>
      <c r="CM362" s="1433" t="str">
        <f t="shared" si="748"/>
        <v>-</v>
      </c>
      <c r="CN362" s="1431" t="str">
        <f t="shared" si="748"/>
        <v>-</v>
      </c>
      <c r="CO362" s="1431" t="str">
        <f t="shared" si="748"/>
        <v>-</v>
      </c>
      <c r="CP362" s="1431" t="str">
        <f t="shared" si="748"/>
        <v>-</v>
      </c>
      <c r="CQ362" s="1431" t="str">
        <f t="shared" si="748"/>
        <v>-</v>
      </c>
      <c r="CR362" s="1434" t="str">
        <f t="shared" si="748"/>
        <v>-</v>
      </c>
      <c r="CS362" s="1378"/>
      <c r="CT362" s="1428" t="str">
        <f t="shared" si="643"/>
        <v>Rev</v>
      </c>
      <c r="CU362" s="1429" t="str">
        <f t="shared" si="644"/>
        <v>[Service]</v>
      </c>
      <c r="CV362" s="1429" t="str">
        <f t="shared" si="645"/>
        <v>[Price]</v>
      </c>
      <c r="CW362" s="1435" t="str">
        <f t="shared" si="664"/>
        <v>-</v>
      </c>
      <c r="CX362" s="1431" t="str">
        <f t="shared" si="665"/>
        <v>-</v>
      </c>
      <c r="CY362" s="1431" t="str">
        <f t="shared" si="666"/>
        <v>-</v>
      </c>
      <c r="CZ362" s="1433" t="str">
        <f t="shared" si="667"/>
        <v>-</v>
      </c>
      <c r="DA362" s="1431" t="str">
        <f t="shared" si="668"/>
        <v>-</v>
      </c>
      <c r="DB362" s="1431" t="str">
        <f t="shared" si="669"/>
        <v>-</v>
      </c>
      <c r="DC362" s="1431" t="str">
        <f t="shared" si="670"/>
        <v>-</v>
      </c>
      <c r="DD362" s="1431" t="str">
        <f t="shared" si="671"/>
        <v>-</v>
      </c>
      <c r="DE362" s="1434" t="str">
        <f t="shared" si="672"/>
        <v>-</v>
      </c>
      <c r="DF362" s="1378"/>
      <c r="DG362" s="1428" t="str">
        <f t="shared" si="684"/>
        <v>Rev</v>
      </c>
      <c r="DH362" s="1429" t="str">
        <f t="shared" si="684"/>
        <v>[Service]</v>
      </c>
      <c r="DI362" s="1429" t="str">
        <f t="shared" si="684"/>
        <v>[Price]</v>
      </c>
      <c r="DJ362" s="1435" t="str">
        <f t="shared" si="673"/>
        <v>-</v>
      </c>
      <c r="DK362" s="1431" t="str">
        <f t="shared" si="674"/>
        <v>-</v>
      </c>
      <c r="DL362" s="1431" t="str">
        <f t="shared" si="675"/>
        <v>-</v>
      </c>
      <c r="DM362" s="1433" t="str">
        <f t="shared" si="676"/>
        <v>-</v>
      </c>
      <c r="DN362" s="1431" t="str">
        <f t="shared" si="677"/>
        <v>-</v>
      </c>
      <c r="DO362" s="1431" t="str">
        <f t="shared" si="678"/>
        <v>-</v>
      </c>
      <c r="DP362" s="1431" t="str">
        <f t="shared" si="679"/>
        <v>-</v>
      </c>
      <c r="DQ362" s="1434" t="str">
        <f t="shared" si="680"/>
        <v>-</v>
      </c>
    </row>
    <row r="363" spans="4:121">
      <c r="D363" s="70">
        <f>D360+1</f>
        <v>99</v>
      </c>
      <c r="E363" s="713" t="s">
        <v>44</v>
      </c>
      <c r="F363" s="789" t="s">
        <v>27</v>
      </c>
      <c r="G363" s="789"/>
      <c r="H363" s="789"/>
      <c r="I363" s="781" t="s">
        <v>318</v>
      </c>
      <c r="J363" s="781" t="s">
        <v>345</v>
      </c>
      <c r="K363" s="714"/>
      <c r="L363" s="715"/>
      <c r="M363" s="715"/>
      <c r="N363" s="716"/>
      <c r="O363" s="783"/>
      <c r="P363" s="784"/>
      <c r="Q363" s="783"/>
      <c r="R363" s="783"/>
      <c r="S363" s="783"/>
      <c r="T363" s="783"/>
      <c r="U363" s="783"/>
      <c r="V363" s="783"/>
      <c r="W363" s="783"/>
      <c r="X363" s="784"/>
      <c r="Y363" s="783"/>
      <c r="Z363" s="783"/>
      <c r="AA363" s="783"/>
      <c r="AB363" s="783"/>
      <c r="AC363" s="784"/>
      <c r="AD363" s="783"/>
      <c r="AE363" s="783"/>
      <c r="AF363" s="783"/>
      <c r="AG363" s="785"/>
      <c r="AI363" s="745"/>
      <c r="AJ363" s="717" t="str">
        <f t="shared" ref="AJ363:AS363" si="749">IFERROR((X363-W363)/W363,"")</f>
        <v/>
      </c>
      <c r="AK363" s="718" t="str">
        <f t="shared" si="749"/>
        <v/>
      </c>
      <c r="AL363" s="718" t="str">
        <f t="shared" si="749"/>
        <v/>
      </c>
      <c r="AM363" s="718" t="str">
        <f t="shared" si="749"/>
        <v/>
      </c>
      <c r="AN363" s="718" t="str">
        <f t="shared" si="749"/>
        <v/>
      </c>
      <c r="AO363" s="719" t="str">
        <f t="shared" si="749"/>
        <v/>
      </c>
      <c r="AP363" s="494" t="str">
        <f t="shared" si="749"/>
        <v/>
      </c>
      <c r="AQ363" s="494" t="str">
        <f t="shared" si="749"/>
        <v/>
      </c>
      <c r="AR363" s="494" t="str">
        <f t="shared" si="749"/>
        <v/>
      </c>
      <c r="AS363" s="720" t="str">
        <f t="shared" si="749"/>
        <v/>
      </c>
      <c r="AU363" s="1369"/>
      <c r="AW363" s="1412" t="str">
        <f t="shared" si="682"/>
        <v>Price</v>
      </c>
      <c r="AX363" s="1413" t="str">
        <f t="shared" si="682"/>
        <v>[Service]</v>
      </c>
      <c r="AY363" s="1414" t="str">
        <f t="shared" si="646"/>
        <v>[Price]</v>
      </c>
      <c r="AZ363" s="1415" t="str">
        <f t="shared" si="739"/>
        <v>-</v>
      </c>
      <c r="BA363" s="1415" t="str">
        <f t="shared" si="739"/>
        <v>-</v>
      </c>
      <c r="BB363" s="1415" t="str">
        <f t="shared" si="739"/>
        <v>-</v>
      </c>
      <c r="BC363" s="1415" t="str">
        <f t="shared" si="739"/>
        <v>-</v>
      </c>
      <c r="BD363" s="1415" t="str">
        <f t="shared" si="648"/>
        <v>-</v>
      </c>
      <c r="BE363" s="1415" t="str">
        <f t="shared" si="649"/>
        <v>-</v>
      </c>
      <c r="BF363" s="1415" t="str">
        <f t="shared" si="650"/>
        <v>-</v>
      </c>
      <c r="BG363" s="1416" t="str">
        <f t="shared" si="651"/>
        <v>-</v>
      </c>
      <c r="BH363" s="1417" t="str">
        <f t="shared" si="652"/>
        <v>-</v>
      </c>
      <c r="BI363" s="1417" t="str">
        <f t="shared" si="653"/>
        <v>-</v>
      </c>
      <c r="BJ363" s="1417" t="str">
        <f t="shared" si="654"/>
        <v>-</v>
      </c>
      <c r="BK363" s="1417" t="str">
        <f t="shared" si="655"/>
        <v>-</v>
      </c>
      <c r="BL363" s="1418" t="str">
        <f t="shared" si="656"/>
        <v>-</v>
      </c>
      <c r="BM363" s="1417" t="str">
        <f t="shared" si="657"/>
        <v>-</v>
      </c>
      <c r="BN363" s="1417" t="str">
        <f t="shared" si="658"/>
        <v>-</v>
      </c>
      <c r="BO363" s="1417" t="str">
        <f t="shared" si="659"/>
        <v>-</v>
      </c>
      <c r="BP363" s="1417" t="str">
        <f t="shared" si="660"/>
        <v>-</v>
      </c>
      <c r="BQ363" s="1419" t="str">
        <f t="shared" si="661"/>
        <v>-</v>
      </c>
      <c r="BR363" s="1378"/>
      <c r="BS363" s="1420"/>
      <c r="BT363" s="1421"/>
      <c r="BU363" s="1422"/>
      <c r="BV363" s="1423"/>
      <c r="BW363" s="1378"/>
      <c r="BX363" s="1412" t="str">
        <f t="shared" si="662"/>
        <v>Price</v>
      </c>
      <c r="BY363" s="1413" t="str">
        <f t="shared" si="707"/>
        <v>[Service]</v>
      </c>
      <c r="BZ363" s="1414" t="str">
        <f t="shared" si="708"/>
        <v>[Price]</v>
      </c>
      <c r="CA363" s="1424" t="str">
        <f>IFERROR((S363/R363-1)*(R365/R$13),"-")</f>
        <v>-</v>
      </c>
      <c r="CB363" s="1415" t="str">
        <f>IFERROR((T363/S363-1)*(S365/S$13),"-")</f>
        <v>-</v>
      </c>
      <c r="CC363" s="1415" t="str">
        <f>IFERROR((U363/T363-1)*(T365/T$13),"-")</f>
        <v>-</v>
      </c>
      <c r="CD363" s="1415" t="str">
        <f>IFERROR((V363/U363-1)*(U365/U$13),"-")</f>
        <v>-</v>
      </c>
      <c r="CE363" s="1415" t="str">
        <f t="shared" ref="CE363:CR363" si="750">IFERROR((T363/S363-1)*(S365/S$13),"-")</f>
        <v>-</v>
      </c>
      <c r="CF363" s="1415" t="str">
        <f t="shared" si="750"/>
        <v>-</v>
      </c>
      <c r="CG363" s="1415" t="str">
        <f t="shared" si="750"/>
        <v>-</v>
      </c>
      <c r="CH363" s="1425" t="str">
        <f t="shared" si="750"/>
        <v>-</v>
      </c>
      <c r="CI363" s="1417" t="str">
        <f t="shared" si="750"/>
        <v>-</v>
      </c>
      <c r="CJ363" s="1417" t="str">
        <f t="shared" si="750"/>
        <v>-</v>
      </c>
      <c r="CK363" s="1417" t="str">
        <f t="shared" si="750"/>
        <v>-</v>
      </c>
      <c r="CL363" s="1417" t="str">
        <f t="shared" si="750"/>
        <v>-</v>
      </c>
      <c r="CM363" s="1418" t="str">
        <f t="shared" si="750"/>
        <v>-</v>
      </c>
      <c r="CN363" s="1417" t="str">
        <f t="shared" si="750"/>
        <v>-</v>
      </c>
      <c r="CO363" s="1417" t="str">
        <f t="shared" si="750"/>
        <v>-</v>
      </c>
      <c r="CP363" s="1417" t="str">
        <f t="shared" si="750"/>
        <v>-</v>
      </c>
      <c r="CQ363" s="1417" t="str">
        <f t="shared" si="750"/>
        <v>-</v>
      </c>
      <c r="CR363" s="1419" t="str">
        <f t="shared" si="750"/>
        <v>-</v>
      </c>
      <c r="CS363" s="1378"/>
      <c r="CT363" s="1412" t="str">
        <f t="shared" si="643"/>
        <v>Price</v>
      </c>
      <c r="CU363" s="1413" t="str">
        <f t="shared" si="644"/>
        <v>[Service]</v>
      </c>
      <c r="CV363" s="1426" t="str">
        <f t="shared" si="645"/>
        <v>[Price]</v>
      </c>
      <c r="CW363" s="1427" t="str">
        <f t="shared" si="664"/>
        <v>-</v>
      </c>
      <c r="CX363" s="1417" t="str">
        <f t="shared" si="665"/>
        <v>-</v>
      </c>
      <c r="CY363" s="1417" t="str">
        <f t="shared" si="666"/>
        <v>-</v>
      </c>
      <c r="CZ363" s="1418" t="str">
        <f t="shared" si="667"/>
        <v>-</v>
      </c>
      <c r="DA363" s="1417" t="str">
        <f t="shared" si="668"/>
        <v>-</v>
      </c>
      <c r="DB363" s="1417" t="str">
        <f t="shared" si="669"/>
        <v>-</v>
      </c>
      <c r="DC363" s="1417" t="str">
        <f t="shared" si="670"/>
        <v>-</v>
      </c>
      <c r="DD363" s="1417" t="str">
        <f t="shared" si="671"/>
        <v>-</v>
      </c>
      <c r="DE363" s="1419" t="str">
        <f t="shared" si="672"/>
        <v>-</v>
      </c>
      <c r="DF363" s="1378"/>
      <c r="DG363" s="1412" t="str">
        <f t="shared" si="684"/>
        <v>Price</v>
      </c>
      <c r="DH363" s="1413" t="str">
        <f t="shared" si="684"/>
        <v>[Service]</v>
      </c>
      <c r="DI363" s="1426" t="str">
        <f t="shared" si="684"/>
        <v>[Price]</v>
      </c>
      <c r="DJ363" s="1427" t="str">
        <f t="shared" si="673"/>
        <v>-</v>
      </c>
      <c r="DK363" s="1417" t="str">
        <f t="shared" si="674"/>
        <v>-</v>
      </c>
      <c r="DL363" s="1417" t="str">
        <f t="shared" si="675"/>
        <v>-</v>
      </c>
      <c r="DM363" s="1418" t="str">
        <f t="shared" si="676"/>
        <v>-</v>
      </c>
      <c r="DN363" s="1417" t="str">
        <f t="shared" si="677"/>
        <v>-</v>
      </c>
      <c r="DO363" s="1417" t="str">
        <f t="shared" si="678"/>
        <v>-</v>
      </c>
      <c r="DP363" s="1417" t="str">
        <f t="shared" si="679"/>
        <v>-</v>
      </c>
      <c r="DQ363" s="1419" t="str">
        <f t="shared" si="680"/>
        <v>-</v>
      </c>
    </row>
    <row r="364" spans="4:121">
      <c r="E364" s="742" t="s">
        <v>45</v>
      </c>
      <c r="F364" s="722" t="str">
        <f>+F363</f>
        <v>[Service]</v>
      </c>
      <c r="G364" s="723">
        <f>+G363</f>
        <v>0</v>
      </c>
      <c r="H364" s="723">
        <f>+H363</f>
        <v>0</v>
      </c>
      <c r="I364" s="724" t="str">
        <f>+I363</f>
        <v>[Price]</v>
      </c>
      <c r="J364" s="782" t="s">
        <v>322</v>
      </c>
      <c r="K364" s="725"/>
      <c r="L364" s="726"/>
      <c r="M364" s="726"/>
      <c r="N364" s="727"/>
      <c r="O364" s="786"/>
      <c r="P364" s="787"/>
      <c r="Q364" s="786"/>
      <c r="R364" s="786"/>
      <c r="S364" s="786"/>
      <c r="T364" s="786"/>
      <c r="U364" s="786"/>
      <c r="V364" s="786"/>
      <c r="W364" s="786"/>
      <c r="X364" s="787"/>
      <c r="Y364" s="786"/>
      <c r="Z364" s="786"/>
      <c r="AA364" s="786"/>
      <c r="AB364" s="786"/>
      <c r="AC364" s="787"/>
      <c r="AD364" s="786"/>
      <c r="AE364" s="786"/>
      <c r="AF364" s="786"/>
      <c r="AG364" s="788"/>
      <c r="AH364" s="823"/>
      <c r="AI364" s="745"/>
      <c r="AJ364" s="728"/>
      <c r="AK364" s="729"/>
      <c r="AL364" s="729"/>
      <c r="AM364" s="729"/>
      <c r="AN364" s="729"/>
      <c r="AO364" s="730"/>
      <c r="AP364" s="74"/>
      <c r="AQ364" s="74"/>
      <c r="AR364" s="74"/>
      <c r="AS364" s="106"/>
      <c r="AW364" s="1392" t="str">
        <f t="shared" si="682"/>
        <v>Qty</v>
      </c>
      <c r="AX364" s="1393" t="str">
        <f t="shared" si="682"/>
        <v>[Service]</v>
      </c>
      <c r="AY364" s="1394" t="str">
        <f t="shared" si="646"/>
        <v>[Price]</v>
      </c>
      <c r="AZ364" s="1395" t="str">
        <f t="shared" si="739"/>
        <v>-</v>
      </c>
      <c r="BA364" s="1395" t="str">
        <f t="shared" si="739"/>
        <v>-</v>
      </c>
      <c r="BB364" s="1395" t="str">
        <f t="shared" si="739"/>
        <v>-</v>
      </c>
      <c r="BC364" s="1395" t="str">
        <f t="shared" si="739"/>
        <v>-</v>
      </c>
      <c r="BD364" s="1395" t="str">
        <f t="shared" si="648"/>
        <v>-</v>
      </c>
      <c r="BE364" s="1395" t="str">
        <f t="shared" si="649"/>
        <v>-</v>
      </c>
      <c r="BF364" s="1395" t="str">
        <f t="shared" si="650"/>
        <v>-</v>
      </c>
      <c r="BG364" s="1396" t="str">
        <f t="shared" si="651"/>
        <v>-</v>
      </c>
      <c r="BH364" s="1395" t="str">
        <f t="shared" si="652"/>
        <v>-</v>
      </c>
      <c r="BI364" s="1395" t="str">
        <f t="shared" si="653"/>
        <v>-</v>
      </c>
      <c r="BJ364" s="1395" t="str">
        <f t="shared" si="654"/>
        <v>-</v>
      </c>
      <c r="BK364" s="1395" t="str">
        <f t="shared" si="655"/>
        <v>-</v>
      </c>
      <c r="BL364" s="1397" t="str">
        <f t="shared" si="656"/>
        <v>-</v>
      </c>
      <c r="BM364" s="1395" t="str">
        <f t="shared" si="657"/>
        <v>-</v>
      </c>
      <c r="BN364" s="1395" t="str">
        <f t="shared" si="658"/>
        <v>-</v>
      </c>
      <c r="BO364" s="1395" t="str">
        <f t="shared" si="659"/>
        <v>-</v>
      </c>
      <c r="BP364" s="1395" t="str">
        <f t="shared" si="660"/>
        <v>-</v>
      </c>
      <c r="BQ364" s="1398" t="str">
        <f t="shared" si="661"/>
        <v>-</v>
      </c>
      <c r="BR364" s="1378"/>
      <c r="BS364" s="1329"/>
      <c r="BT364" s="1399"/>
      <c r="BU364" s="1331"/>
      <c r="BV364" s="1400"/>
      <c r="BW364" s="1378"/>
      <c r="BX364" s="1392" t="str">
        <f t="shared" si="662"/>
        <v>Qty</v>
      </c>
      <c r="BY364" s="1393" t="str">
        <f t="shared" si="707"/>
        <v>[Service]</v>
      </c>
      <c r="BZ364" s="1394" t="str">
        <f t="shared" si="708"/>
        <v>[Price]</v>
      </c>
      <c r="CA364" s="1401" t="str">
        <f>IFERROR((S364/R364-1)*(R365/R$13),"-")</f>
        <v>-</v>
      </c>
      <c r="CB364" s="1395" t="str">
        <f>IFERROR((T364/S364-1)*(S365/S$13),"-")</f>
        <v>-</v>
      </c>
      <c r="CC364" s="1395" t="str">
        <f>IFERROR((U364/T364-1)*(T365/T$13),"-")</f>
        <v>-</v>
      </c>
      <c r="CD364" s="1395" t="str">
        <f>IFERROR((V364/U364-1)*(U365/U$13),"-")</f>
        <v>-</v>
      </c>
      <c r="CE364" s="1395" t="str">
        <f t="shared" ref="CE364:CR364" si="751">IFERROR((T364/S364-1)*(S365/S$13),"-")</f>
        <v>-</v>
      </c>
      <c r="CF364" s="1395" t="str">
        <f t="shared" si="751"/>
        <v>-</v>
      </c>
      <c r="CG364" s="1395" t="str">
        <f t="shared" si="751"/>
        <v>-</v>
      </c>
      <c r="CH364" s="1397" t="str">
        <f t="shared" si="751"/>
        <v>-</v>
      </c>
      <c r="CI364" s="1395" t="str">
        <f t="shared" si="751"/>
        <v>-</v>
      </c>
      <c r="CJ364" s="1395" t="str">
        <f t="shared" si="751"/>
        <v>-</v>
      </c>
      <c r="CK364" s="1395" t="str">
        <f t="shared" si="751"/>
        <v>-</v>
      </c>
      <c r="CL364" s="1395" t="str">
        <f t="shared" si="751"/>
        <v>-</v>
      </c>
      <c r="CM364" s="1397" t="str">
        <f t="shared" si="751"/>
        <v>-</v>
      </c>
      <c r="CN364" s="1395" t="str">
        <f t="shared" si="751"/>
        <v>-</v>
      </c>
      <c r="CO364" s="1395" t="str">
        <f t="shared" si="751"/>
        <v>-</v>
      </c>
      <c r="CP364" s="1395" t="str">
        <f t="shared" si="751"/>
        <v>-</v>
      </c>
      <c r="CQ364" s="1395" t="str">
        <f t="shared" si="751"/>
        <v>-</v>
      </c>
      <c r="CR364" s="1398" t="str">
        <f t="shared" si="751"/>
        <v>-</v>
      </c>
      <c r="CS364" s="1378"/>
      <c r="CT364" s="1392" t="str">
        <f t="shared" si="643"/>
        <v>Qty</v>
      </c>
      <c r="CU364" s="1393" t="str">
        <f t="shared" si="644"/>
        <v>[Service]</v>
      </c>
      <c r="CV364" s="1393" t="str">
        <f t="shared" si="645"/>
        <v>[Price]</v>
      </c>
      <c r="CW364" s="1401" t="str">
        <f t="shared" si="664"/>
        <v>-</v>
      </c>
      <c r="CX364" s="1395" t="str">
        <f t="shared" si="665"/>
        <v>-</v>
      </c>
      <c r="CY364" s="1395" t="str">
        <f t="shared" si="666"/>
        <v>-</v>
      </c>
      <c r="CZ364" s="1397" t="str">
        <f t="shared" si="667"/>
        <v>-</v>
      </c>
      <c r="DA364" s="1395" t="str">
        <f t="shared" si="668"/>
        <v>-</v>
      </c>
      <c r="DB364" s="1395" t="str">
        <f t="shared" si="669"/>
        <v>-</v>
      </c>
      <c r="DC364" s="1395" t="str">
        <f t="shared" si="670"/>
        <v>-</v>
      </c>
      <c r="DD364" s="1395" t="str">
        <f t="shared" si="671"/>
        <v>-</v>
      </c>
      <c r="DE364" s="1398" t="str">
        <f t="shared" si="672"/>
        <v>-</v>
      </c>
      <c r="DF364" s="1378"/>
      <c r="DG364" s="1392" t="str">
        <f t="shared" si="684"/>
        <v>Qty</v>
      </c>
      <c r="DH364" s="1393" t="str">
        <f t="shared" si="684"/>
        <v>[Service]</v>
      </c>
      <c r="DI364" s="1393" t="str">
        <f t="shared" si="684"/>
        <v>[Price]</v>
      </c>
      <c r="DJ364" s="1401" t="str">
        <f t="shared" si="673"/>
        <v>-</v>
      </c>
      <c r="DK364" s="1395" t="str">
        <f t="shared" si="674"/>
        <v>-</v>
      </c>
      <c r="DL364" s="1395" t="str">
        <f t="shared" si="675"/>
        <v>-</v>
      </c>
      <c r="DM364" s="1397" t="str">
        <f t="shared" si="676"/>
        <v>-</v>
      </c>
      <c r="DN364" s="1395" t="str">
        <f t="shared" si="677"/>
        <v>-</v>
      </c>
      <c r="DO364" s="1395" t="str">
        <f t="shared" si="678"/>
        <v>-</v>
      </c>
      <c r="DP364" s="1395" t="str">
        <f t="shared" si="679"/>
        <v>-</v>
      </c>
      <c r="DQ364" s="1398" t="str">
        <f t="shared" si="680"/>
        <v>-</v>
      </c>
    </row>
    <row r="365" spans="4:121" ht="12.75" thickBot="1">
      <c r="E365" s="743" t="s">
        <v>46</v>
      </c>
      <c r="F365" s="732" t="str">
        <f>+F363</f>
        <v>[Service]</v>
      </c>
      <c r="G365" s="733">
        <f>+G363</f>
        <v>0</v>
      </c>
      <c r="H365" s="733">
        <f>+H363</f>
        <v>0</v>
      </c>
      <c r="I365" s="734" t="str">
        <f>+I363</f>
        <v>[Price]</v>
      </c>
      <c r="J365" s="735" t="s">
        <v>344</v>
      </c>
      <c r="K365" s="736">
        <f t="shared" ref="K365:AG365" si="752">K363*K364/10^6</f>
        <v>0</v>
      </c>
      <c r="L365" s="737">
        <f t="shared" si="752"/>
        <v>0</v>
      </c>
      <c r="M365" s="737">
        <f t="shared" si="752"/>
        <v>0</v>
      </c>
      <c r="N365" s="738">
        <f t="shared" si="752"/>
        <v>0</v>
      </c>
      <c r="O365" s="737">
        <f t="shared" si="752"/>
        <v>0</v>
      </c>
      <c r="P365" s="738">
        <f t="shared" si="752"/>
        <v>0</v>
      </c>
      <c r="Q365" s="737">
        <f t="shared" si="752"/>
        <v>0</v>
      </c>
      <c r="R365" s="737">
        <f t="shared" si="752"/>
        <v>0</v>
      </c>
      <c r="S365" s="737">
        <f t="shared" si="752"/>
        <v>0</v>
      </c>
      <c r="T365" s="737">
        <f t="shared" si="752"/>
        <v>0</v>
      </c>
      <c r="U365" s="737">
        <f t="shared" si="752"/>
        <v>0</v>
      </c>
      <c r="V365" s="737">
        <f t="shared" si="752"/>
        <v>0</v>
      </c>
      <c r="W365" s="737">
        <f t="shared" si="752"/>
        <v>0</v>
      </c>
      <c r="X365" s="738">
        <f t="shared" si="752"/>
        <v>0</v>
      </c>
      <c r="Y365" s="737">
        <f t="shared" si="752"/>
        <v>0</v>
      </c>
      <c r="Z365" s="737">
        <f t="shared" si="752"/>
        <v>0</v>
      </c>
      <c r="AA365" s="737">
        <f t="shared" si="752"/>
        <v>0</v>
      </c>
      <c r="AB365" s="737">
        <f t="shared" si="752"/>
        <v>0</v>
      </c>
      <c r="AC365" s="738">
        <f t="shared" si="752"/>
        <v>0</v>
      </c>
      <c r="AD365" s="737">
        <f t="shared" si="752"/>
        <v>0</v>
      </c>
      <c r="AE365" s="737">
        <f t="shared" si="752"/>
        <v>0</v>
      </c>
      <c r="AF365" s="737">
        <f t="shared" si="752"/>
        <v>0</v>
      </c>
      <c r="AG365" s="739">
        <f t="shared" si="752"/>
        <v>0</v>
      </c>
      <c r="AH365" s="823"/>
      <c r="AI365" s="745"/>
      <c r="AJ365" s="741"/>
      <c r="AK365" s="729"/>
      <c r="AL365" s="729"/>
      <c r="AM365" s="729"/>
      <c r="AN365" s="729"/>
      <c r="AO365" s="730"/>
      <c r="AP365" s="74"/>
      <c r="AQ365" s="74"/>
      <c r="AR365" s="74"/>
      <c r="AS365" s="106"/>
      <c r="AW365" s="1428" t="str">
        <f t="shared" si="682"/>
        <v>Rev</v>
      </c>
      <c r="AX365" s="1429" t="str">
        <f t="shared" si="682"/>
        <v>[Service]</v>
      </c>
      <c r="AY365" s="1430" t="str">
        <f t="shared" si="646"/>
        <v>[Price]</v>
      </c>
      <c r="AZ365" s="1431" t="str">
        <f t="shared" si="739"/>
        <v>-</v>
      </c>
      <c r="BA365" s="1431" t="str">
        <f t="shared" si="739"/>
        <v>-</v>
      </c>
      <c r="BB365" s="1431" t="str">
        <f t="shared" si="739"/>
        <v>-</v>
      </c>
      <c r="BC365" s="1431" t="str">
        <f t="shared" si="739"/>
        <v>-</v>
      </c>
      <c r="BD365" s="1431" t="str">
        <f t="shared" si="648"/>
        <v>-</v>
      </c>
      <c r="BE365" s="1431" t="str">
        <f t="shared" si="649"/>
        <v>-</v>
      </c>
      <c r="BF365" s="1431" t="str">
        <f t="shared" si="650"/>
        <v>-</v>
      </c>
      <c r="BG365" s="1432" t="str">
        <f t="shared" si="651"/>
        <v>-</v>
      </c>
      <c r="BH365" s="1431" t="str">
        <f t="shared" si="652"/>
        <v>-</v>
      </c>
      <c r="BI365" s="1431" t="str">
        <f t="shared" si="653"/>
        <v>-</v>
      </c>
      <c r="BJ365" s="1431" t="str">
        <f t="shared" si="654"/>
        <v>-</v>
      </c>
      <c r="BK365" s="1431" t="str">
        <f t="shared" si="655"/>
        <v>-</v>
      </c>
      <c r="BL365" s="1433" t="str">
        <f t="shared" si="656"/>
        <v>-</v>
      </c>
      <c r="BM365" s="1431" t="str">
        <f t="shared" si="657"/>
        <v>-</v>
      </c>
      <c r="BN365" s="1431" t="str">
        <f t="shared" si="658"/>
        <v>-</v>
      </c>
      <c r="BO365" s="1431" t="str">
        <f t="shared" si="659"/>
        <v>-</v>
      </c>
      <c r="BP365" s="1431" t="str">
        <f t="shared" si="660"/>
        <v>-</v>
      </c>
      <c r="BQ365" s="1434" t="str">
        <f t="shared" si="661"/>
        <v>-</v>
      </c>
      <c r="BR365" s="1378"/>
      <c r="BS365" s="1407"/>
      <c r="BT365" s="1408"/>
      <c r="BU365" s="1409"/>
      <c r="BV365" s="1410"/>
      <c r="BW365" s="1378"/>
      <c r="BX365" s="1428" t="str">
        <f t="shared" si="662"/>
        <v>Rev</v>
      </c>
      <c r="BY365" s="1429" t="str">
        <f t="shared" si="707"/>
        <v>[Service]</v>
      </c>
      <c r="BZ365" s="1430" t="str">
        <f t="shared" si="708"/>
        <v>[Price]</v>
      </c>
      <c r="CA365" s="1435" t="str">
        <f>IFERROR((S365/R365-1)*(R365/R$13),"-")</f>
        <v>-</v>
      </c>
      <c r="CB365" s="1431" t="str">
        <f>IFERROR((T365/S365-1)*(S365/S$13),"-")</f>
        <v>-</v>
      </c>
      <c r="CC365" s="1431" t="str">
        <f>IFERROR((U365/T365-1)*(T365/T$13),"-")</f>
        <v>-</v>
      </c>
      <c r="CD365" s="1431" t="str">
        <f>IFERROR((V365/U365-1)*(U365/U$13),"-")</f>
        <v>-</v>
      </c>
      <c r="CE365" s="1431" t="str">
        <f t="shared" ref="CE365:CR365" si="753">IFERROR((T365/S365-1)*(S365/S$13),"-")</f>
        <v>-</v>
      </c>
      <c r="CF365" s="1431" t="str">
        <f t="shared" si="753"/>
        <v>-</v>
      </c>
      <c r="CG365" s="1431" t="str">
        <f t="shared" si="753"/>
        <v>-</v>
      </c>
      <c r="CH365" s="1433" t="str">
        <f t="shared" si="753"/>
        <v>-</v>
      </c>
      <c r="CI365" s="1431" t="str">
        <f t="shared" si="753"/>
        <v>-</v>
      </c>
      <c r="CJ365" s="1431" t="str">
        <f t="shared" si="753"/>
        <v>-</v>
      </c>
      <c r="CK365" s="1431" t="str">
        <f t="shared" si="753"/>
        <v>-</v>
      </c>
      <c r="CL365" s="1431" t="str">
        <f t="shared" si="753"/>
        <v>-</v>
      </c>
      <c r="CM365" s="1433" t="str">
        <f t="shared" si="753"/>
        <v>-</v>
      </c>
      <c r="CN365" s="1431" t="str">
        <f t="shared" si="753"/>
        <v>-</v>
      </c>
      <c r="CO365" s="1431" t="str">
        <f t="shared" si="753"/>
        <v>-</v>
      </c>
      <c r="CP365" s="1431" t="str">
        <f t="shared" si="753"/>
        <v>-</v>
      </c>
      <c r="CQ365" s="1431" t="str">
        <f t="shared" si="753"/>
        <v>-</v>
      </c>
      <c r="CR365" s="1434" t="str">
        <f t="shared" si="753"/>
        <v>-</v>
      </c>
      <c r="CS365" s="1378"/>
      <c r="CT365" s="1428" t="str">
        <f t="shared" si="643"/>
        <v>Rev</v>
      </c>
      <c r="CU365" s="1429" t="str">
        <f t="shared" si="644"/>
        <v>[Service]</v>
      </c>
      <c r="CV365" s="1429" t="str">
        <f t="shared" si="645"/>
        <v>[Price]</v>
      </c>
      <c r="CW365" s="1435" t="str">
        <f t="shared" si="664"/>
        <v>-</v>
      </c>
      <c r="CX365" s="1431" t="str">
        <f t="shared" si="665"/>
        <v>-</v>
      </c>
      <c r="CY365" s="1431" t="str">
        <f t="shared" si="666"/>
        <v>-</v>
      </c>
      <c r="CZ365" s="1433" t="str">
        <f t="shared" si="667"/>
        <v>-</v>
      </c>
      <c r="DA365" s="1431" t="str">
        <f t="shared" si="668"/>
        <v>-</v>
      </c>
      <c r="DB365" s="1431" t="str">
        <f t="shared" si="669"/>
        <v>-</v>
      </c>
      <c r="DC365" s="1431" t="str">
        <f t="shared" si="670"/>
        <v>-</v>
      </c>
      <c r="DD365" s="1431" t="str">
        <f t="shared" si="671"/>
        <v>-</v>
      </c>
      <c r="DE365" s="1434" t="str">
        <f t="shared" si="672"/>
        <v>-</v>
      </c>
      <c r="DF365" s="1378"/>
      <c r="DG365" s="1428" t="str">
        <f t="shared" si="684"/>
        <v>Rev</v>
      </c>
      <c r="DH365" s="1429" t="str">
        <f t="shared" si="684"/>
        <v>[Service]</v>
      </c>
      <c r="DI365" s="1429" t="str">
        <f t="shared" si="684"/>
        <v>[Price]</v>
      </c>
      <c r="DJ365" s="1435" t="str">
        <f t="shared" si="673"/>
        <v>-</v>
      </c>
      <c r="DK365" s="1431" t="str">
        <f t="shared" si="674"/>
        <v>-</v>
      </c>
      <c r="DL365" s="1431" t="str">
        <f t="shared" si="675"/>
        <v>-</v>
      </c>
      <c r="DM365" s="1433" t="str">
        <f t="shared" si="676"/>
        <v>-</v>
      </c>
      <c r="DN365" s="1431" t="str">
        <f t="shared" si="677"/>
        <v>-</v>
      </c>
      <c r="DO365" s="1431" t="str">
        <f t="shared" si="678"/>
        <v>-</v>
      </c>
      <c r="DP365" s="1431" t="str">
        <f t="shared" si="679"/>
        <v>-</v>
      </c>
      <c r="DQ365" s="1434" t="str">
        <f t="shared" si="680"/>
        <v>-</v>
      </c>
    </row>
    <row r="366" spans="4:121">
      <c r="D366" s="70">
        <f>D363+1</f>
        <v>100</v>
      </c>
      <c r="E366" s="713" t="s">
        <v>44</v>
      </c>
      <c r="F366" s="789" t="s">
        <v>27</v>
      </c>
      <c r="G366" s="789"/>
      <c r="H366" s="789"/>
      <c r="I366" s="781" t="s">
        <v>318</v>
      </c>
      <c r="J366" s="781" t="s">
        <v>345</v>
      </c>
      <c r="K366" s="714"/>
      <c r="L366" s="715"/>
      <c r="M366" s="715"/>
      <c r="N366" s="716"/>
      <c r="O366" s="783"/>
      <c r="P366" s="784"/>
      <c r="Q366" s="783"/>
      <c r="R366" s="783"/>
      <c r="S366" s="783"/>
      <c r="T366" s="783"/>
      <c r="U366" s="783"/>
      <c r="V366" s="783"/>
      <c r="W366" s="783"/>
      <c r="X366" s="784"/>
      <c r="Y366" s="783"/>
      <c r="Z366" s="783"/>
      <c r="AA366" s="783"/>
      <c r="AB366" s="783"/>
      <c r="AC366" s="784"/>
      <c r="AD366" s="783"/>
      <c r="AE366" s="783"/>
      <c r="AF366" s="783"/>
      <c r="AG366" s="785"/>
      <c r="AI366" s="745"/>
      <c r="AJ366" s="717" t="str">
        <f t="shared" ref="AJ366:AS366" si="754">IFERROR((X366-W366)/W366,"")</f>
        <v/>
      </c>
      <c r="AK366" s="718" t="str">
        <f t="shared" si="754"/>
        <v/>
      </c>
      <c r="AL366" s="718" t="str">
        <f t="shared" si="754"/>
        <v/>
      </c>
      <c r="AM366" s="718" t="str">
        <f t="shared" si="754"/>
        <v/>
      </c>
      <c r="AN366" s="718" t="str">
        <f t="shared" si="754"/>
        <v/>
      </c>
      <c r="AO366" s="719" t="str">
        <f t="shared" si="754"/>
        <v/>
      </c>
      <c r="AP366" s="494" t="str">
        <f t="shared" si="754"/>
        <v/>
      </c>
      <c r="AQ366" s="494" t="str">
        <f t="shared" si="754"/>
        <v/>
      </c>
      <c r="AR366" s="494" t="str">
        <f t="shared" si="754"/>
        <v/>
      </c>
      <c r="AS366" s="720" t="str">
        <f t="shared" si="754"/>
        <v/>
      </c>
      <c r="AU366" s="1369"/>
      <c r="AW366" s="1412" t="str">
        <f t="shared" si="682"/>
        <v>Price</v>
      </c>
      <c r="AX366" s="1413" t="str">
        <f t="shared" si="682"/>
        <v>[Service]</v>
      </c>
      <c r="AY366" s="1414" t="str">
        <f t="shared" si="646"/>
        <v>[Price]</v>
      </c>
      <c r="AZ366" s="1415" t="str">
        <f t="shared" si="739"/>
        <v>-</v>
      </c>
      <c r="BA366" s="1415" t="str">
        <f t="shared" si="739"/>
        <v>-</v>
      </c>
      <c r="BB366" s="1415" t="str">
        <f t="shared" si="739"/>
        <v>-</v>
      </c>
      <c r="BC366" s="1415" t="str">
        <f t="shared" si="739"/>
        <v>-</v>
      </c>
      <c r="BD366" s="1415" t="str">
        <f t="shared" si="648"/>
        <v>-</v>
      </c>
      <c r="BE366" s="1415" t="str">
        <f t="shared" si="649"/>
        <v>-</v>
      </c>
      <c r="BF366" s="1415" t="str">
        <f t="shared" si="650"/>
        <v>-</v>
      </c>
      <c r="BG366" s="1416" t="str">
        <f t="shared" si="651"/>
        <v>-</v>
      </c>
      <c r="BH366" s="1417" t="str">
        <f t="shared" si="652"/>
        <v>-</v>
      </c>
      <c r="BI366" s="1417" t="str">
        <f t="shared" si="653"/>
        <v>-</v>
      </c>
      <c r="BJ366" s="1417" t="str">
        <f t="shared" si="654"/>
        <v>-</v>
      </c>
      <c r="BK366" s="1417" t="str">
        <f t="shared" si="655"/>
        <v>-</v>
      </c>
      <c r="BL366" s="1418" t="str">
        <f t="shared" si="656"/>
        <v>-</v>
      </c>
      <c r="BM366" s="1417" t="str">
        <f t="shared" si="657"/>
        <v>-</v>
      </c>
      <c r="BN366" s="1417" t="str">
        <f t="shared" si="658"/>
        <v>-</v>
      </c>
      <c r="BO366" s="1417" t="str">
        <f t="shared" si="659"/>
        <v>-</v>
      </c>
      <c r="BP366" s="1417" t="str">
        <f t="shared" si="660"/>
        <v>-</v>
      </c>
      <c r="BQ366" s="1419" t="str">
        <f t="shared" si="661"/>
        <v>-</v>
      </c>
      <c r="BR366" s="1378"/>
      <c r="BS366" s="1420"/>
      <c r="BT366" s="1421"/>
      <c r="BU366" s="1422"/>
      <c r="BV366" s="1423"/>
      <c r="BW366" s="1378"/>
      <c r="BX366" s="1412" t="str">
        <f t="shared" si="662"/>
        <v>Price</v>
      </c>
      <c r="BY366" s="1413" t="str">
        <f t="shared" si="707"/>
        <v>[Service]</v>
      </c>
      <c r="BZ366" s="1414" t="str">
        <f t="shared" si="708"/>
        <v>[Price]</v>
      </c>
      <c r="CA366" s="1424" t="str">
        <f>IFERROR((S366/R366-1)*(R368/R$13),"-")</f>
        <v>-</v>
      </c>
      <c r="CB366" s="1415" t="str">
        <f>IFERROR((T366/S366-1)*(S368/S$13),"-")</f>
        <v>-</v>
      </c>
      <c r="CC366" s="1415" t="str">
        <f>IFERROR((U366/T366-1)*(T368/T$13),"-")</f>
        <v>-</v>
      </c>
      <c r="CD366" s="1415" t="str">
        <f>IFERROR((V366/U366-1)*(U368/U$13),"-")</f>
        <v>-</v>
      </c>
      <c r="CE366" s="1415" t="str">
        <f t="shared" ref="CE366:CR366" si="755">IFERROR((T366/S366-1)*(S368/S$13),"-")</f>
        <v>-</v>
      </c>
      <c r="CF366" s="1415" t="str">
        <f t="shared" si="755"/>
        <v>-</v>
      </c>
      <c r="CG366" s="1415" t="str">
        <f t="shared" si="755"/>
        <v>-</v>
      </c>
      <c r="CH366" s="1425" t="str">
        <f t="shared" si="755"/>
        <v>-</v>
      </c>
      <c r="CI366" s="1417" t="str">
        <f t="shared" si="755"/>
        <v>-</v>
      </c>
      <c r="CJ366" s="1417" t="str">
        <f t="shared" si="755"/>
        <v>-</v>
      </c>
      <c r="CK366" s="1417" t="str">
        <f t="shared" si="755"/>
        <v>-</v>
      </c>
      <c r="CL366" s="1417" t="str">
        <f t="shared" si="755"/>
        <v>-</v>
      </c>
      <c r="CM366" s="1418" t="str">
        <f t="shared" si="755"/>
        <v>-</v>
      </c>
      <c r="CN366" s="1417" t="str">
        <f t="shared" si="755"/>
        <v>-</v>
      </c>
      <c r="CO366" s="1417" t="str">
        <f t="shared" si="755"/>
        <v>-</v>
      </c>
      <c r="CP366" s="1417" t="str">
        <f t="shared" si="755"/>
        <v>-</v>
      </c>
      <c r="CQ366" s="1417" t="str">
        <f t="shared" si="755"/>
        <v>-</v>
      </c>
      <c r="CR366" s="1419" t="str">
        <f t="shared" si="755"/>
        <v>-</v>
      </c>
      <c r="CS366" s="1378"/>
      <c r="CT366" s="1412" t="str">
        <f t="shared" si="643"/>
        <v>Price</v>
      </c>
      <c r="CU366" s="1413" t="str">
        <f t="shared" si="644"/>
        <v>[Service]</v>
      </c>
      <c r="CV366" s="1426" t="str">
        <f t="shared" si="645"/>
        <v>[Price]</v>
      </c>
      <c r="CW366" s="1427" t="str">
        <f t="shared" si="664"/>
        <v>-</v>
      </c>
      <c r="CX366" s="1417" t="str">
        <f t="shared" si="665"/>
        <v>-</v>
      </c>
      <c r="CY366" s="1417" t="str">
        <f t="shared" si="666"/>
        <v>-</v>
      </c>
      <c r="CZ366" s="1418" t="str">
        <f t="shared" si="667"/>
        <v>-</v>
      </c>
      <c r="DA366" s="1417" t="str">
        <f t="shared" si="668"/>
        <v>-</v>
      </c>
      <c r="DB366" s="1417" t="str">
        <f t="shared" si="669"/>
        <v>-</v>
      </c>
      <c r="DC366" s="1417" t="str">
        <f t="shared" si="670"/>
        <v>-</v>
      </c>
      <c r="DD366" s="1417" t="str">
        <f t="shared" si="671"/>
        <v>-</v>
      </c>
      <c r="DE366" s="1419" t="str">
        <f t="shared" si="672"/>
        <v>-</v>
      </c>
      <c r="DF366" s="1378"/>
      <c r="DG366" s="1412" t="str">
        <f t="shared" si="684"/>
        <v>Price</v>
      </c>
      <c r="DH366" s="1413" t="str">
        <f t="shared" si="684"/>
        <v>[Service]</v>
      </c>
      <c r="DI366" s="1426" t="str">
        <f t="shared" si="684"/>
        <v>[Price]</v>
      </c>
      <c r="DJ366" s="1427" t="str">
        <f t="shared" si="673"/>
        <v>-</v>
      </c>
      <c r="DK366" s="1417" t="str">
        <f t="shared" si="674"/>
        <v>-</v>
      </c>
      <c r="DL366" s="1417" t="str">
        <f t="shared" si="675"/>
        <v>-</v>
      </c>
      <c r="DM366" s="1418" t="str">
        <f t="shared" si="676"/>
        <v>-</v>
      </c>
      <c r="DN366" s="1417" t="str">
        <f t="shared" si="677"/>
        <v>-</v>
      </c>
      <c r="DO366" s="1417" t="str">
        <f t="shared" si="678"/>
        <v>-</v>
      </c>
      <c r="DP366" s="1417" t="str">
        <f t="shared" si="679"/>
        <v>-</v>
      </c>
      <c r="DQ366" s="1419" t="str">
        <f t="shared" si="680"/>
        <v>-</v>
      </c>
    </row>
    <row r="367" spans="4:121">
      <c r="E367" s="742" t="s">
        <v>45</v>
      </c>
      <c r="F367" s="722" t="str">
        <f>+F366</f>
        <v>[Service]</v>
      </c>
      <c r="G367" s="723">
        <f>+G366</f>
        <v>0</v>
      </c>
      <c r="H367" s="723">
        <f>+H366</f>
        <v>0</v>
      </c>
      <c r="I367" s="724" t="str">
        <f>+I366</f>
        <v>[Price]</v>
      </c>
      <c r="J367" s="782" t="s">
        <v>322</v>
      </c>
      <c r="K367" s="725"/>
      <c r="L367" s="726"/>
      <c r="M367" s="726"/>
      <c r="N367" s="727"/>
      <c r="O367" s="786"/>
      <c r="P367" s="787"/>
      <c r="Q367" s="786"/>
      <c r="R367" s="786"/>
      <c r="S367" s="786"/>
      <c r="T367" s="786"/>
      <c r="U367" s="786"/>
      <c r="V367" s="786"/>
      <c r="W367" s="786"/>
      <c r="X367" s="787"/>
      <c r="Y367" s="786"/>
      <c r="Z367" s="786"/>
      <c r="AA367" s="786"/>
      <c r="AB367" s="786"/>
      <c r="AC367" s="787"/>
      <c r="AD367" s="786"/>
      <c r="AE367" s="786"/>
      <c r="AF367" s="786"/>
      <c r="AG367" s="788"/>
      <c r="AH367" s="823"/>
      <c r="AI367" s="745"/>
      <c r="AJ367" s="728"/>
      <c r="AK367" s="729"/>
      <c r="AL367" s="729"/>
      <c r="AM367" s="729"/>
      <c r="AN367" s="729"/>
      <c r="AO367" s="730"/>
      <c r="AP367" s="74"/>
      <c r="AQ367" s="74"/>
      <c r="AR367" s="74"/>
      <c r="AS367" s="106"/>
      <c r="AW367" s="1392" t="str">
        <f t="shared" si="682"/>
        <v>Qty</v>
      </c>
      <c r="AX367" s="1393" t="str">
        <f t="shared" si="682"/>
        <v>[Service]</v>
      </c>
      <c r="AY367" s="1394" t="str">
        <f t="shared" si="646"/>
        <v>[Price]</v>
      </c>
      <c r="AZ367" s="1395" t="str">
        <f t="shared" si="739"/>
        <v>-</v>
      </c>
      <c r="BA367" s="1395" t="str">
        <f t="shared" si="739"/>
        <v>-</v>
      </c>
      <c r="BB367" s="1395" t="str">
        <f t="shared" si="739"/>
        <v>-</v>
      </c>
      <c r="BC367" s="1395" t="str">
        <f t="shared" si="739"/>
        <v>-</v>
      </c>
      <c r="BD367" s="1395" t="str">
        <f t="shared" si="648"/>
        <v>-</v>
      </c>
      <c r="BE367" s="1395" t="str">
        <f t="shared" si="649"/>
        <v>-</v>
      </c>
      <c r="BF367" s="1395" t="str">
        <f t="shared" si="650"/>
        <v>-</v>
      </c>
      <c r="BG367" s="1396" t="str">
        <f t="shared" si="651"/>
        <v>-</v>
      </c>
      <c r="BH367" s="1395" t="str">
        <f t="shared" si="652"/>
        <v>-</v>
      </c>
      <c r="BI367" s="1395" t="str">
        <f t="shared" si="653"/>
        <v>-</v>
      </c>
      <c r="BJ367" s="1395" t="str">
        <f t="shared" si="654"/>
        <v>-</v>
      </c>
      <c r="BK367" s="1395" t="str">
        <f t="shared" si="655"/>
        <v>-</v>
      </c>
      <c r="BL367" s="1397" t="str">
        <f t="shared" si="656"/>
        <v>-</v>
      </c>
      <c r="BM367" s="1395" t="str">
        <f t="shared" si="657"/>
        <v>-</v>
      </c>
      <c r="BN367" s="1395" t="str">
        <f t="shared" si="658"/>
        <v>-</v>
      </c>
      <c r="BO367" s="1395" t="str">
        <f t="shared" si="659"/>
        <v>-</v>
      </c>
      <c r="BP367" s="1395" t="str">
        <f t="shared" si="660"/>
        <v>-</v>
      </c>
      <c r="BQ367" s="1398" t="str">
        <f t="shared" si="661"/>
        <v>-</v>
      </c>
      <c r="BR367" s="1378"/>
      <c r="BS367" s="1329"/>
      <c r="BT367" s="1399"/>
      <c r="BU367" s="1331"/>
      <c r="BV367" s="1400"/>
      <c r="BW367" s="1378"/>
      <c r="BX367" s="1392" t="str">
        <f t="shared" si="662"/>
        <v>Qty</v>
      </c>
      <c r="BY367" s="1393" t="str">
        <f t="shared" si="707"/>
        <v>[Service]</v>
      </c>
      <c r="BZ367" s="1394" t="str">
        <f t="shared" si="708"/>
        <v>[Price]</v>
      </c>
      <c r="CA367" s="1401" t="str">
        <f>IFERROR((S367/R367-1)*(R368/R$13),"-")</f>
        <v>-</v>
      </c>
      <c r="CB367" s="1395" t="str">
        <f>IFERROR((T367/S367-1)*(S368/S$13),"-")</f>
        <v>-</v>
      </c>
      <c r="CC367" s="1395" t="str">
        <f>IFERROR((U367/T367-1)*(T368/T$13),"-")</f>
        <v>-</v>
      </c>
      <c r="CD367" s="1395" t="str">
        <f>IFERROR((V367/U367-1)*(U368/U$13),"-")</f>
        <v>-</v>
      </c>
      <c r="CE367" s="1395" t="str">
        <f t="shared" ref="CE367:CR367" si="756">IFERROR((T367/S367-1)*(S368/S$13),"-")</f>
        <v>-</v>
      </c>
      <c r="CF367" s="1395" t="str">
        <f t="shared" si="756"/>
        <v>-</v>
      </c>
      <c r="CG367" s="1395" t="str">
        <f t="shared" si="756"/>
        <v>-</v>
      </c>
      <c r="CH367" s="1397" t="str">
        <f t="shared" si="756"/>
        <v>-</v>
      </c>
      <c r="CI367" s="1395" t="str">
        <f t="shared" si="756"/>
        <v>-</v>
      </c>
      <c r="CJ367" s="1395" t="str">
        <f t="shared" si="756"/>
        <v>-</v>
      </c>
      <c r="CK367" s="1395" t="str">
        <f t="shared" si="756"/>
        <v>-</v>
      </c>
      <c r="CL367" s="1395" t="str">
        <f t="shared" si="756"/>
        <v>-</v>
      </c>
      <c r="CM367" s="1397" t="str">
        <f t="shared" si="756"/>
        <v>-</v>
      </c>
      <c r="CN367" s="1395" t="str">
        <f t="shared" si="756"/>
        <v>-</v>
      </c>
      <c r="CO367" s="1395" t="str">
        <f t="shared" si="756"/>
        <v>-</v>
      </c>
      <c r="CP367" s="1395" t="str">
        <f t="shared" si="756"/>
        <v>-</v>
      </c>
      <c r="CQ367" s="1395" t="str">
        <f t="shared" si="756"/>
        <v>-</v>
      </c>
      <c r="CR367" s="1398" t="str">
        <f t="shared" si="756"/>
        <v>-</v>
      </c>
      <c r="CS367" s="1378"/>
      <c r="CT367" s="1392" t="str">
        <f t="shared" si="643"/>
        <v>Qty</v>
      </c>
      <c r="CU367" s="1393" t="str">
        <f t="shared" si="644"/>
        <v>[Service]</v>
      </c>
      <c r="CV367" s="1393" t="str">
        <f t="shared" si="645"/>
        <v>[Price]</v>
      </c>
      <c r="CW367" s="1401" t="str">
        <f t="shared" si="664"/>
        <v>-</v>
      </c>
      <c r="CX367" s="1395" t="str">
        <f t="shared" si="665"/>
        <v>-</v>
      </c>
      <c r="CY367" s="1395" t="str">
        <f t="shared" si="666"/>
        <v>-</v>
      </c>
      <c r="CZ367" s="1397" t="str">
        <f t="shared" si="667"/>
        <v>-</v>
      </c>
      <c r="DA367" s="1395" t="str">
        <f t="shared" si="668"/>
        <v>-</v>
      </c>
      <c r="DB367" s="1395" t="str">
        <f t="shared" si="669"/>
        <v>-</v>
      </c>
      <c r="DC367" s="1395" t="str">
        <f t="shared" si="670"/>
        <v>-</v>
      </c>
      <c r="DD367" s="1395" t="str">
        <f t="shared" si="671"/>
        <v>-</v>
      </c>
      <c r="DE367" s="1398" t="str">
        <f t="shared" si="672"/>
        <v>-</v>
      </c>
      <c r="DF367" s="1378"/>
      <c r="DG367" s="1392" t="str">
        <f t="shared" si="684"/>
        <v>Qty</v>
      </c>
      <c r="DH367" s="1393" t="str">
        <f t="shared" si="684"/>
        <v>[Service]</v>
      </c>
      <c r="DI367" s="1393" t="str">
        <f t="shared" si="684"/>
        <v>[Price]</v>
      </c>
      <c r="DJ367" s="1401" t="str">
        <f t="shared" si="673"/>
        <v>-</v>
      </c>
      <c r="DK367" s="1395" t="str">
        <f t="shared" si="674"/>
        <v>-</v>
      </c>
      <c r="DL367" s="1395" t="str">
        <f t="shared" si="675"/>
        <v>-</v>
      </c>
      <c r="DM367" s="1397" t="str">
        <f t="shared" si="676"/>
        <v>-</v>
      </c>
      <c r="DN367" s="1395" t="str">
        <f t="shared" si="677"/>
        <v>-</v>
      </c>
      <c r="DO367" s="1395" t="str">
        <f t="shared" si="678"/>
        <v>-</v>
      </c>
      <c r="DP367" s="1395" t="str">
        <f t="shared" si="679"/>
        <v>-</v>
      </c>
      <c r="DQ367" s="1398" t="str">
        <f t="shared" si="680"/>
        <v>-</v>
      </c>
    </row>
    <row r="368" spans="4:121" ht="12.75" thickBot="1">
      <c r="E368" s="743" t="s">
        <v>46</v>
      </c>
      <c r="F368" s="732" t="str">
        <f>+F366</f>
        <v>[Service]</v>
      </c>
      <c r="G368" s="733">
        <f>+G366</f>
        <v>0</v>
      </c>
      <c r="H368" s="733">
        <f>+H366</f>
        <v>0</v>
      </c>
      <c r="I368" s="734" t="str">
        <f>+I366</f>
        <v>[Price]</v>
      </c>
      <c r="J368" s="735" t="s">
        <v>344</v>
      </c>
      <c r="K368" s="736">
        <f t="shared" ref="K368:AG368" si="757">K366*K367/10^6</f>
        <v>0</v>
      </c>
      <c r="L368" s="737">
        <f t="shared" si="757"/>
        <v>0</v>
      </c>
      <c r="M368" s="737">
        <f t="shared" si="757"/>
        <v>0</v>
      </c>
      <c r="N368" s="738">
        <f t="shared" si="757"/>
        <v>0</v>
      </c>
      <c r="O368" s="737">
        <f t="shared" si="757"/>
        <v>0</v>
      </c>
      <c r="P368" s="738">
        <f t="shared" si="757"/>
        <v>0</v>
      </c>
      <c r="Q368" s="737">
        <f t="shared" si="757"/>
        <v>0</v>
      </c>
      <c r="R368" s="737">
        <f t="shared" si="757"/>
        <v>0</v>
      </c>
      <c r="S368" s="737">
        <f t="shared" si="757"/>
        <v>0</v>
      </c>
      <c r="T368" s="737">
        <f t="shared" si="757"/>
        <v>0</v>
      </c>
      <c r="U368" s="737">
        <f t="shared" si="757"/>
        <v>0</v>
      </c>
      <c r="V368" s="737">
        <f t="shared" si="757"/>
        <v>0</v>
      </c>
      <c r="W368" s="737">
        <f t="shared" si="757"/>
        <v>0</v>
      </c>
      <c r="X368" s="738">
        <f t="shared" si="757"/>
        <v>0</v>
      </c>
      <c r="Y368" s="737">
        <f t="shared" si="757"/>
        <v>0</v>
      </c>
      <c r="Z368" s="737">
        <f t="shared" si="757"/>
        <v>0</v>
      </c>
      <c r="AA368" s="737">
        <f t="shared" si="757"/>
        <v>0</v>
      </c>
      <c r="AB368" s="737">
        <f t="shared" si="757"/>
        <v>0</v>
      </c>
      <c r="AC368" s="738">
        <f t="shared" si="757"/>
        <v>0</v>
      </c>
      <c r="AD368" s="737">
        <f t="shared" si="757"/>
        <v>0</v>
      </c>
      <c r="AE368" s="737">
        <f t="shared" si="757"/>
        <v>0</v>
      </c>
      <c r="AF368" s="737">
        <f t="shared" si="757"/>
        <v>0</v>
      </c>
      <c r="AG368" s="739">
        <f t="shared" si="757"/>
        <v>0</v>
      </c>
      <c r="AH368" s="823"/>
      <c r="AI368" s="745"/>
      <c r="AJ368" s="741"/>
      <c r="AK368" s="729"/>
      <c r="AL368" s="729"/>
      <c r="AM368" s="729"/>
      <c r="AN368" s="729"/>
      <c r="AO368" s="730"/>
      <c r="AP368" s="74"/>
      <c r="AQ368" s="74"/>
      <c r="AR368" s="74"/>
      <c r="AS368" s="106"/>
      <c r="AW368" s="1428" t="str">
        <f t="shared" si="682"/>
        <v>Rev</v>
      </c>
      <c r="AX368" s="1429" t="str">
        <f t="shared" si="682"/>
        <v>[Service]</v>
      </c>
      <c r="AY368" s="1430" t="str">
        <f t="shared" si="646"/>
        <v>[Price]</v>
      </c>
      <c r="AZ368" s="1431" t="str">
        <f t="shared" si="739"/>
        <v>-</v>
      </c>
      <c r="BA368" s="1431" t="str">
        <f t="shared" si="739"/>
        <v>-</v>
      </c>
      <c r="BB368" s="1431" t="str">
        <f t="shared" si="739"/>
        <v>-</v>
      </c>
      <c r="BC368" s="1431" t="str">
        <f t="shared" si="739"/>
        <v>-</v>
      </c>
      <c r="BD368" s="1431" t="str">
        <f t="shared" si="648"/>
        <v>-</v>
      </c>
      <c r="BE368" s="1431" t="str">
        <f t="shared" si="649"/>
        <v>-</v>
      </c>
      <c r="BF368" s="1431" t="str">
        <f t="shared" si="650"/>
        <v>-</v>
      </c>
      <c r="BG368" s="1432" t="str">
        <f t="shared" si="651"/>
        <v>-</v>
      </c>
      <c r="BH368" s="1431" t="str">
        <f t="shared" si="652"/>
        <v>-</v>
      </c>
      <c r="BI368" s="1431" t="str">
        <f t="shared" si="653"/>
        <v>-</v>
      </c>
      <c r="BJ368" s="1431" t="str">
        <f t="shared" si="654"/>
        <v>-</v>
      </c>
      <c r="BK368" s="1431" t="str">
        <f t="shared" si="655"/>
        <v>-</v>
      </c>
      <c r="BL368" s="1433" t="str">
        <f t="shared" si="656"/>
        <v>-</v>
      </c>
      <c r="BM368" s="1431" t="str">
        <f t="shared" si="657"/>
        <v>-</v>
      </c>
      <c r="BN368" s="1431" t="str">
        <f t="shared" si="658"/>
        <v>-</v>
      </c>
      <c r="BO368" s="1431" t="str">
        <f t="shared" si="659"/>
        <v>-</v>
      </c>
      <c r="BP368" s="1431" t="str">
        <f t="shared" si="660"/>
        <v>-</v>
      </c>
      <c r="BQ368" s="1434" t="str">
        <f t="shared" si="661"/>
        <v>-</v>
      </c>
      <c r="BR368" s="1378"/>
      <c r="BS368" s="1407"/>
      <c r="BT368" s="1408"/>
      <c r="BU368" s="1409"/>
      <c r="BV368" s="1410"/>
      <c r="BW368" s="1378"/>
      <c r="BX368" s="1428" t="str">
        <f t="shared" si="662"/>
        <v>Rev</v>
      </c>
      <c r="BY368" s="1429" t="str">
        <f t="shared" si="707"/>
        <v>[Service]</v>
      </c>
      <c r="BZ368" s="1430" t="str">
        <f t="shared" si="708"/>
        <v>[Price]</v>
      </c>
      <c r="CA368" s="1435" t="str">
        <f>IFERROR((S368/R368-1)*(R368/R$13),"-")</f>
        <v>-</v>
      </c>
      <c r="CB368" s="1431" t="str">
        <f>IFERROR((T368/S368-1)*(S368/S$13),"-")</f>
        <v>-</v>
      </c>
      <c r="CC368" s="1431" t="str">
        <f>IFERROR((U368/T368-1)*(T368/T$13),"-")</f>
        <v>-</v>
      </c>
      <c r="CD368" s="1431" t="str">
        <f>IFERROR((V368/U368-1)*(U368/U$13),"-")</f>
        <v>-</v>
      </c>
      <c r="CE368" s="1431" t="str">
        <f t="shared" ref="CE368:CR368" si="758">IFERROR((T368/S368-1)*(S368/S$13),"-")</f>
        <v>-</v>
      </c>
      <c r="CF368" s="1431" t="str">
        <f t="shared" si="758"/>
        <v>-</v>
      </c>
      <c r="CG368" s="1431" t="str">
        <f t="shared" si="758"/>
        <v>-</v>
      </c>
      <c r="CH368" s="1433" t="str">
        <f t="shared" si="758"/>
        <v>-</v>
      </c>
      <c r="CI368" s="1431" t="str">
        <f t="shared" si="758"/>
        <v>-</v>
      </c>
      <c r="CJ368" s="1431" t="str">
        <f t="shared" si="758"/>
        <v>-</v>
      </c>
      <c r="CK368" s="1431" t="str">
        <f t="shared" si="758"/>
        <v>-</v>
      </c>
      <c r="CL368" s="1431" t="str">
        <f t="shared" si="758"/>
        <v>-</v>
      </c>
      <c r="CM368" s="1433" t="str">
        <f t="shared" si="758"/>
        <v>-</v>
      </c>
      <c r="CN368" s="1431" t="str">
        <f t="shared" si="758"/>
        <v>-</v>
      </c>
      <c r="CO368" s="1431" t="str">
        <f t="shared" si="758"/>
        <v>-</v>
      </c>
      <c r="CP368" s="1431" t="str">
        <f t="shared" si="758"/>
        <v>-</v>
      </c>
      <c r="CQ368" s="1431" t="str">
        <f t="shared" si="758"/>
        <v>-</v>
      </c>
      <c r="CR368" s="1434" t="str">
        <f t="shared" si="758"/>
        <v>-</v>
      </c>
      <c r="CS368" s="1378"/>
      <c r="CT368" s="1428" t="str">
        <f t="shared" si="643"/>
        <v>Rev</v>
      </c>
      <c r="CU368" s="1429" t="str">
        <f t="shared" si="644"/>
        <v>[Service]</v>
      </c>
      <c r="CV368" s="1429" t="str">
        <f t="shared" si="645"/>
        <v>[Price]</v>
      </c>
      <c r="CW368" s="1435" t="str">
        <f t="shared" si="664"/>
        <v>-</v>
      </c>
      <c r="CX368" s="1431" t="str">
        <f t="shared" si="665"/>
        <v>-</v>
      </c>
      <c r="CY368" s="1431" t="str">
        <f t="shared" si="666"/>
        <v>-</v>
      </c>
      <c r="CZ368" s="1433" t="str">
        <f t="shared" si="667"/>
        <v>-</v>
      </c>
      <c r="DA368" s="1431" t="str">
        <f t="shared" si="668"/>
        <v>-</v>
      </c>
      <c r="DB368" s="1431" t="str">
        <f t="shared" si="669"/>
        <v>-</v>
      </c>
      <c r="DC368" s="1431" t="str">
        <f t="shared" si="670"/>
        <v>-</v>
      </c>
      <c r="DD368" s="1431" t="str">
        <f t="shared" si="671"/>
        <v>-</v>
      </c>
      <c r="DE368" s="1434" t="str">
        <f t="shared" si="672"/>
        <v>-</v>
      </c>
      <c r="DF368" s="1378"/>
      <c r="DG368" s="1428" t="str">
        <f t="shared" si="684"/>
        <v>Rev</v>
      </c>
      <c r="DH368" s="1429" t="str">
        <f t="shared" si="684"/>
        <v>[Service]</v>
      </c>
      <c r="DI368" s="1429" t="str">
        <f t="shared" si="684"/>
        <v>[Price]</v>
      </c>
      <c r="DJ368" s="1435" t="str">
        <f t="shared" si="673"/>
        <v>-</v>
      </c>
      <c r="DK368" s="1431" t="str">
        <f t="shared" si="674"/>
        <v>-</v>
      </c>
      <c r="DL368" s="1431" t="str">
        <f t="shared" si="675"/>
        <v>-</v>
      </c>
      <c r="DM368" s="1433" t="str">
        <f t="shared" si="676"/>
        <v>-</v>
      </c>
      <c r="DN368" s="1431" t="str">
        <f t="shared" si="677"/>
        <v>-</v>
      </c>
      <c r="DO368" s="1431" t="str">
        <f t="shared" si="678"/>
        <v>-</v>
      </c>
      <c r="DP368" s="1431" t="str">
        <f t="shared" si="679"/>
        <v>-</v>
      </c>
      <c r="DQ368" s="1434" t="str">
        <f t="shared" si="680"/>
        <v>-</v>
      </c>
    </row>
    <row r="369" spans="4:121">
      <c r="D369" s="70">
        <f>D366+1</f>
        <v>101</v>
      </c>
      <c r="E369" s="713" t="s">
        <v>44</v>
      </c>
      <c r="F369" s="789" t="s">
        <v>27</v>
      </c>
      <c r="G369" s="789"/>
      <c r="H369" s="789"/>
      <c r="I369" s="781" t="s">
        <v>318</v>
      </c>
      <c r="J369" s="781" t="s">
        <v>345</v>
      </c>
      <c r="K369" s="714"/>
      <c r="L369" s="715"/>
      <c r="M369" s="715"/>
      <c r="N369" s="716"/>
      <c r="O369" s="783"/>
      <c r="P369" s="784"/>
      <c r="Q369" s="783"/>
      <c r="R369" s="783"/>
      <c r="S369" s="783"/>
      <c r="T369" s="783"/>
      <c r="U369" s="783"/>
      <c r="V369" s="783"/>
      <c r="W369" s="783"/>
      <c r="X369" s="784"/>
      <c r="Y369" s="783"/>
      <c r="Z369" s="783"/>
      <c r="AA369" s="783"/>
      <c r="AB369" s="783"/>
      <c r="AC369" s="784"/>
      <c r="AD369" s="783"/>
      <c r="AE369" s="783"/>
      <c r="AF369" s="783"/>
      <c r="AG369" s="785"/>
      <c r="AI369" s="745"/>
      <c r="AJ369" s="717" t="str">
        <f t="shared" ref="AJ369:AS369" si="759">IFERROR((X369-W369)/W369,"")</f>
        <v/>
      </c>
      <c r="AK369" s="718" t="str">
        <f t="shared" si="759"/>
        <v/>
      </c>
      <c r="AL369" s="718" t="str">
        <f t="shared" si="759"/>
        <v/>
      </c>
      <c r="AM369" s="718" t="str">
        <f t="shared" si="759"/>
        <v/>
      </c>
      <c r="AN369" s="718" t="str">
        <f t="shared" si="759"/>
        <v/>
      </c>
      <c r="AO369" s="719" t="str">
        <f t="shared" si="759"/>
        <v/>
      </c>
      <c r="AP369" s="494" t="str">
        <f t="shared" si="759"/>
        <v/>
      </c>
      <c r="AQ369" s="494" t="str">
        <f t="shared" si="759"/>
        <v/>
      </c>
      <c r="AR369" s="494" t="str">
        <f t="shared" si="759"/>
        <v/>
      </c>
      <c r="AS369" s="720" t="str">
        <f t="shared" si="759"/>
        <v/>
      </c>
      <c r="AU369" s="1369"/>
      <c r="AW369" s="1412" t="str">
        <f t="shared" si="682"/>
        <v>Price</v>
      </c>
      <c r="AX369" s="1413" t="str">
        <f t="shared" si="682"/>
        <v>[Service]</v>
      </c>
      <c r="AY369" s="1414" t="str">
        <f t="shared" si="646"/>
        <v>[Price]</v>
      </c>
      <c r="AZ369" s="1415" t="str">
        <f t="shared" si="739"/>
        <v>-</v>
      </c>
      <c r="BA369" s="1415" t="str">
        <f t="shared" si="739"/>
        <v>-</v>
      </c>
      <c r="BB369" s="1415" t="str">
        <f t="shared" si="739"/>
        <v>-</v>
      </c>
      <c r="BC369" s="1415" t="str">
        <f t="shared" si="739"/>
        <v>-</v>
      </c>
      <c r="BD369" s="1415" t="str">
        <f t="shared" si="648"/>
        <v>-</v>
      </c>
      <c r="BE369" s="1415" t="str">
        <f t="shared" si="649"/>
        <v>-</v>
      </c>
      <c r="BF369" s="1415" t="str">
        <f t="shared" si="650"/>
        <v>-</v>
      </c>
      <c r="BG369" s="1416" t="str">
        <f t="shared" si="651"/>
        <v>-</v>
      </c>
      <c r="BH369" s="1417" t="str">
        <f t="shared" si="652"/>
        <v>-</v>
      </c>
      <c r="BI369" s="1417" t="str">
        <f t="shared" si="653"/>
        <v>-</v>
      </c>
      <c r="BJ369" s="1417" t="str">
        <f t="shared" si="654"/>
        <v>-</v>
      </c>
      <c r="BK369" s="1417" t="str">
        <f t="shared" si="655"/>
        <v>-</v>
      </c>
      <c r="BL369" s="1418" t="str">
        <f t="shared" si="656"/>
        <v>-</v>
      </c>
      <c r="BM369" s="1417" t="str">
        <f t="shared" si="657"/>
        <v>-</v>
      </c>
      <c r="BN369" s="1417" t="str">
        <f t="shared" si="658"/>
        <v>-</v>
      </c>
      <c r="BO369" s="1417" t="str">
        <f t="shared" si="659"/>
        <v>-</v>
      </c>
      <c r="BP369" s="1417" t="str">
        <f t="shared" si="660"/>
        <v>-</v>
      </c>
      <c r="BQ369" s="1419" t="str">
        <f t="shared" si="661"/>
        <v>-</v>
      </c>
      <c r="BR369" s="1378"/>
      <c r="BS369" s="1420"/>
      <c r="BT369" s="1421"/>
      <c r="BU369" s="1422"/>
      <c r="BV369" s="1423"/>
      <c r="BW369" s="1378"/>
      <c r="BX369" s="1412" t="str">
        <f t="shared" si="662"/>
        <v>Price</v>
      </c>
      <c r="BY369" s="1413" t="str">
        <f t="shared" si="707"/>
        <v>[Service]</v>
      </c>
      <c r="BZ369" s="1414" t="str">
        <f t="shared" si="708"/>
        <v>[Price]</v>
      </c>
      <c r="CA369" s="1424" t="str">
        <f>IFERROR((S369/R369-1)*(R371/R$13),"-")</f>
        <v>-</v>
      </c>
      <c r="CB369" s="1415" t="str">
        <f>IFERROR((T369/S369-1)*(S371/S$13),"-")</f>
        <v>-</v>
      </c>
      <c r="CC369" s="1415" t="str">
        <f>IFERROR((U369/T369-1)*(T371/T$13),"-")</f>
        <v>-</v>
      </c>
      <c r="CD369" s="1415" t="str">
        <f>IFERROR((V369/U369-1)*(U371/U$13),"-")</f>
        <v>-</v>
      </c>
      <c r="CE369" s="1415" t="str">
        <f t="shared" ref="CE369:CR369" si="760">IFERROR((T369/S369-1)*(S371/S$13),"-")</f>
        <v>-</v>
      </c>
      <c r="CF369" s="1415" t="str">
        <f t="shared" si="760"/>
        <v>-</v>
      </c>
      <c r="CG369" s="1415" t="str">
        <f t="shared" si="760"/>
        <v>-</v>
      </c>
      <c r="CH369" s="1425" t="str">
        <f t="shared" si="760"/>
        <v>-</v>
      </c>
      <c r="CI369" s="1417" t="str">
        <f t="shared" si="760"/>
        <v>-</v>
      </c>
      <c r="CJ369" s="1417" t="str">
        <f t="shared" si="760"/>
        <v>-</v>
      </c>
      <c r="CK369" s="1417" t="str">
        <f t="shared" si="760"/>
        <v>-</v>
      </c>
      <c r="CL369" s="1417" t="str">
        <f t="shared" si="760"/>
        <v>-</v>
      </c>
      <c r="CM369" s="1418" t="str">
        <f t="shared" si="760"/>
        <v>-</v>
      </c>
      <c r="CN369" s="1417" t="str">
        <f t="shared" si="760"/>
        <v>-</v>
      </c>
      <c r="CO369" s="1417" t="str">
        <f t="shared" si="760"/>
        <v>-</v>
      </c>
      <c r="CP369" s="1417" t="str">
        <f t="shared" si="760"/>
        <v>-</v>
      </c>
      <c r="CQ369" s="1417" t="str">
        <f t="shared" si="760"/>
        <v>-</v>
      </c>
      <c r="CR369" s="1419" t="str">
        <f t="shared" si="760"/>
        <v>-</v>
      </c>
      <c r="CS369" s="1378"/>
      <c r="CT369" s="1412" t="str">
        <f t="shared" si="643"/>
        <v>Price</v>
      </c>
      <c r="CU369" s="1413" t="str">
        <f t="shared" si="644"/>
        <v>[Service]</v>
      </c>
      <c r="CV369" s="1426" t="str">
        <f t="shared" si="645"/>
        <v>[Price]</v>
      </c>
      <c r="CW369" s="1427" t="str">
        <f t="shared" si="664"/>
        <v>-</v>
      </c>
      <c r="CX369" s="1417" t="str">
        <f t="shared" si="665"/>
        <v>-</v>
      </c>
      <c r="CY369" s="1417" t="str">
        <f t="shared" si="666"/>
        <v>-</v>
      </c>
      <c r="CZ369" s="1418" t="str">
        <f t="shared" si="667"/>
        <v>-</v>
      </c>
      <c r="DA369" s="1417" t="str">
        <f t="shared" si="668"/>
        <v>-</v>
      </c>
      <c r="DB369" s="1417" t="str">
        <f t="shared" si="669"/>
        <v>-</v>
      </c>
      <c r="DC369" s="1417" t="str">
        <f t="shared" si="670"/>
        <v>-</v>
      </c>
      <c r="DD369" s="1417" t="str">
        <f t="shared" si="671"/>
        <v>-</v>
      </c>
      <c r="DE369" s="1419" t="str">
        <f t="shared" si="672"/>
        <v>-</v>
      </c>
      <c r="DF369" s="1378"/>
      <c r="DG369" s="1412" t="str">
        <f t="shared" si="684"/>
        <v>Price</v>
      </c>
      <c r="DH369" s="1413" t="str">
        <f t="shared" si="684"/>
        <v>[Service]</v>
      </c>
      <c r="DI369" s="1426" t="str">
        <f t="shared" si="684"/>
        <v>[Price]</v>
      </c>
      <c r="DJ369" s="1427" t="str">
        <f t="shared" si="673"/>
        <v>-</v>
      </c>
      <c r="DK369" s="1417" t="str">
        <f t="shared" si="674"/>
        <v>-</v>
      </c>
      <c r="DL369" s="1417" t="str">
        <f t="shared" si="675"/>
        <v>-</v>
      </c>
      <c r="DM369" s="1418" t="str">
        <f t="shared" si="676"/>
        <v>-</v>
      </c>
      <c r="DN369" s="1417" t="str">
        <f t="shared" si="677"/>
        <v>-</v>
      </c>
      <c r="DO369" s="1417" t="str">
        <f t="shared" si="678"/>
        <v>-</v>
      </c>
      <c r="DP369" s="1417" t="str">
        <f t="shared" si="679"/>
        <v>-</v>
      </c>
      <c r="DQ369" s="1419" t="str">
        <f t="shared" si="680"/>
        <v>-</v>
      </c>
    </row>
    <row r="370" spans="4:121">
      <c r="E370" s="742" t="s">
        <v>45</v>
      </c>
      <c r="F370" s="722" t="str">
        <f>+F369</f>
        <v>[Service]</v>
      </c>
      <c r="G370" s="723">
        <f>+G369</f>
        <v>0</v>
      </c>
      <c r="H370" s="723">
        <f>+H369</f>
        <v>0</v>
      </c>
      <c r="I370" s="724" t="str">
        <f>+I369</f>
        <v>[Price]</v>
      </c>
      <c r="J370" s="782" t="s">
        <v>322</v>
      </c>
      <c r="K370" s="725"/>
      <c r="L370" s="726"/>
      <c r="M370" s="726"/>
      <c r="N370" s="727"/>
      <c r="O370" s="786"/>
      <c r="P370" s="787"/>
      <c r="Q370" s="786"/>
      <c r="R370" s="786"/>
      <c r="S370" s="786"/>
      <c r="T370" s="786"/>
      <c r="U370" s="786"/>
      <c r="V370" s="786"/>
      <c r="W370" s="786"/>
      <c r="X370" s="787"/>
      <c r="Y370" s="786"/>
      <c r="Z370" s="786"/>
      <c r="AA370" s="786"/>
      <c r="AB370" s="786"/>
      <c r="AC370" s="787"/>
      <c r="AD370" s="786"/>
      <c r="AE370" s="786"/>
      <c r="AF370" s="786"/>
      <c r="AG370" s="788"/>
      <c r="AH370" s="823"/>
      <c r="AI370" s="745"/>
      <c r="AJ370" s="728"/>
      <c r="AK370" s="729"/>
      <c r="AL370" s="729"/>
      <c r="AM370" s="729"/>
      <c r="AN370" s="729"/>
      <c r="AO370" s="730"/>
      <c r="AP370" s="74"/>
      <c r="AQ370" s="74"/>
      <c r="AR370" s="74"/>
      <c r="AS370" s="106"/>
      <c r="AW370" s="1392" t="str">
        <f t="shared" si="682"/>
        <v>Qty</v>
      </c>
      <c r="AX370" s="1393" t="str">
        <f t="shared" si="682"/>
        <v>[Service]</v>
      </c>
      <c r="AY370" s="1394" t="str">
        <f t="shared" si="646"/>
        <v>[Price]</v>
      </c>
      <c r="AZ370" s="1395" t="str">
        <f t="shared" si="739"/>
        <v>-</v>
      </c>
      <c r="BA370" s="1395" t="str">
        <f t="shared" si="739"/>
        <v>-</v>
      </c>
      <c r="BB370" s="1395" t="str">
        <f t="shared" si="739"/>
        <v>-</v>
      </c>
      <c r="BC370" s="1395" t="str">
        <f t="shared" si="739"/>
        <v>-</v>
      </c>
      <c r="BD370" s="1395" t="str">
        <f t="shared" si="648"/>
        <v>-</v>
      </c>
      <c r="BE370" s="1395" t="str">
        <f t="shared" si="649"/>
        <v>-</v>
      </c>
      <c r="BF370" s="1395" t="str">
        <f t="shared" si="650"/>
        <v>-</v>
      </c>
      <c r="BG370" s="1396" t="str">
        <f t="shared" si="651"/>
        <v>-</v>
      </c>
      <c r="BH370" s="1395" t="str">
        <f t="shared" si="652"/>
        <v>-</v>
      </c>
      <c r="BI370" s="1395" t="str">
        <f t="shared" si="653"/>
        <v>-</v>
      </c>
      <c r="BJ370" s="1395" t="str">
        <f t="shared" si="654"/>
        <v>-</v>
      </c>
      <c r="BK370" s="1395" t="str">
        <f t="shared" si="655"/>
        <v>-</v>
      </c>
      <c r="BL370" s="1397" t="str">
        <f t="shared" si="656"/>
        <v>-</v>
      </c>
      <c r="BM370" s="1395" t="str">
        <f t="shared" si="657"/>
        <v>-</v>
      </c>
      <c r="BN370" s="1395" t="str">
        <f t="shared" si="658"/>
        <v>-</v>
      </c>
      <c r="BO370" s="1395" t="str">
        <f t="shared" si="659"/>
        <v>-</v>
      </c>
      <c r="BP370" s="1395" t="str">
        <f t="shared" si="660"/>
        <v>-</v>
      </c>
      <c r="BQ370" s="1398" t="str">
        <f t="shared" si="661"/>
        <v>-</v>
      </c>
      <c r="BR370" s="1378"/>
      <c r="BS370" s="1329"/>
      <c r="BT370" s="1399"/>
      <c r="BU370" s="1331"/>
      <c r="BV370" s="1400"/>
      <c r="BW370" s="1378"/>
      <c r="BX370" s="1392" t="str">
        <f t="shared" si="662"/>
        <v>Qty</v>
      </c>
      <c r="BY370" s="1393" t="str">
        <f t="shared" si="707"/>
        <v>[Service]</v>
      </c>
      <c r="BZ370" s="1394" t="str">
        <f t="shared" si="708"/>
        <v>[Price]</v>
      </c>
      <c r="CA370" s="1401" t="str">
        <f>IFERROR((S370/R370-1)*(R371/R$13),"-")</f>
        <v>-</v>
      </c>
      <c r="CB370" s="1395" t="str">
        <f>IFERROR((T370/S370-1)*(S371/S$13),"-")</f>
        <v>-</v>
      </c>
      <c r="CC370" s="1395" t="str">
        <f>IFERROR((U370/T370-1)*(T371/T$13),"-")</f>
        <v>-</v>
      </c>
      <c r="CD370" s="1395" t="str">
        <f>IFERROR((V370/U370-1)*(U371/U$13),"-")</f>
        <v>-</v>
      </c>
      <c r="CE370" s="1395" t="str">
        <f t="shared" ref="CE370:CR370" si="761">IFERROR((T370/S370-1)*(S371/S$13),"-")</f>
        <v>-</v>
      </c>
      <c r="CF370" s="1395" t="str">
        <f t="shared" si="761"/>
        <v>-</v>
      </c>
      <c r="CG370" s="1395" t="str">
        <f t="shared" si="761"/>
        <v>-</v>
      </c>
      <c r="CH370" s="1397" t="str">
        <f t="shared" si="761"/>
        <v>-</v>
      </c>
      <c r="CI370" s="1395" t="str">
        <f t="shared" si="761"/>
        <v>-</v>
      </c>
      <c r="CJ370" s="1395" t="str">
        <f t="shared" si="761"/>
        <v>-</v>
      </c>
      <c r="CK370" s="1395" t="str">
        <f t="shared" si="761"/>
        <v>-</v>
      </c>
      <c r="CL370" s="1395" t="str">
        <f t="shared" si="761"/>
        <v>-</v>
      </c>
      <c r="CM370" s="1397" t="str">
        <f t="shared" si="761"/>
        <v>-</v>
      </c>
      <c r="CN370" s="1395" t="str">
        <f t="shared" si="761"/>
        <v>-</v>
      </c>
      <c r="CO370" s="1395" t="str">
        <f t="shared" si="761"/>
        <v>-</v>
      </c>
      <c r="CP370" s="1395" t="str">
        <f t="shared" si="761"/>
        <v>-</v>
      </c>
      <c r="CQ370" s="1395" t="str">
        <f t="shared" si="761"/>
        <v>-</v>
      </c>
      <c r="CR370" s="1398" t="str">
        <f t="shared" si="761"/>
        <v>-</v>
      </c>
      <c r="CS370" s="1378"/>
      <c r="CT370" s="1392" t="str">
        <f t="shared" si="643"/>
        <v>Qty</v>
      </c>
      <c r="CU370" s="1393" t="str">
        <f t="shared" si="644"/>
        <v>[Service]</v>
      </c>
      <c r="CV370" s="1393" t="str">
        <f t="shared" si="645"/>
        <v>[Price]</v>
      </c>
      <c r="CW370" s="1401" t="str">
        <f t="shared" si="664"/>
        <v>-</v>
      </c>
      <c r="CX370" s="1395" t="str">
        <f t="shared" si="665"/>
        <v>-</v>
      </c>
      <c r="CY370" s="1395" t="str">
        <f t="shared" si="666"/>
        <v>-</v>
      </c>
      <c r="CZ370" s="1397" t="str">
        <f t="shared" si="667"/>
        <v>-</v>
      </c>
      <c r="DA370" s="1395" t="str">
        <f t="shared" si="668"/>
        <v>-</v>
      </c>
      <c r="DB370" s="1395" t="str">
        <f t="shared" si="669"/>
        <v>-</v>
      </c>
      <c r="DC370" s="1395" t="str">
        <f t="shared" si="670"/>
        <v>-</v>
      </c>
      <c r="DD370" s="1395" t="str">
        <f t="shared" si="671"/>
        <v>-</v>
      </c>
      <c r="DE370" s="1398" t="str">
        <f t="shared" si="672"/>
        <v>-</v>
      </c>
      <c r="DF370" s="1378"/>
      <c r="DG370" s="1392" t="str">
        <f t="shared" si="684"/>
        <v>Qty</v>
      </c>
      <c r="DH370" s="1393" t="str">
        <f t="shared" si="684"/>
        <v>[Service]</v>
      </c>
      <c r="DI370" s="1393" t="str">
        <f t="shared" si="684"/>
        <v>[Price]</v>
      </c>
      <c r="DJ370" s="1401" t="str">
        <f t="shared" si="673"/>
        <v>-</v>
      </c>
      <c r="DK370" s="1395" t="str">
        <f t="shared" si="674"/>
        <v>-</v>
      </c>
      <c r="DL370" s="1395" t="str">
        <f t="shared" si="675"/>
        <v>-</v>
      </c>
      <c r="DM370" s="1397" t="str">
        <f t="shared" si="676"/>
        <v>-</v>
      </c>
      <c r="DN370" s="1395" t="str">
        <f t="shared" si="677"/>
        <v>-</v>
      </c>
      <c r="DO370" s="1395" t="str">
        <f t="shared" si="678"/>
        <v>-</v>
      </c>
      <c r="DP370" s="1395" t="str">
        <f t="shared" si="679"/>
        <v>-</v>
      </c>
      <c r="DQ370" s="1398" t="str">
        <f t="shared" si="680"/>
        <v>-</v>
      </c>
    </row>
    <row r="371" spans="4:121" ht="12.75" thickBot="1">
      <c r="E371" s="743" t="s">
        <v>46</v>
      </c>
      <c r="F371" s="732" t="str">
        <f>+F369</f>
        <v>[Service]</v>
      </c>
      <c r="G371" s="733">
        <f>+G369</f>
        <v>0</v>
      </c>
      <c r="H371" s="733">
        <f>+H369</f>
        <v>0</v>
      </c>
      <c r="I371" s="734" t="str">
        <f>+I369</f>
        <v>[Price]</v>
      </c>
      <c r="J371" s="735" t="s">
        <v>344</v>
      </c>
      <c r="K371" s="736">
        <f t="shared" ref="K371:AG371" si="762">K369*K370/10^6</f>
        <v>0</v>
      </c>
      <c r="L371" s="737">
        <f t="shared" si="762"/>
        <v>0</v>
      </c>
      <c r="M371" s="737">
        <f t="shared" si="762"/>
        <v>0</v>
      </c>
      <c r="N371" s="738">
        <f t="shared" si="762"/>
        <v>0</v>
      </c>
      <c r="O371" s="737">
        <f t="shared" si="762"/>
        <v>0</v>
      </c>
      <c r="P371" s="738">
        <f t="shared" si="762"/>
        <v>0</v>
      </c>
      <c r="Q371" s="737">
        <f t="shared" si="762"/>
        <v>0</v>
      </c>
      <c r="R371" s="737">
        <f t="shared" si="762"/>
        <v>0</v>
      </c>
      <c r="S371" s="737">
        <f t="shared" si="762"/>
        <v>0</v>
      </c>
      <c r="T371" s="737">
        <f t="shared" si="762"/>
        <v>0</v>
      </c>
      <c r="U371" s="737">
        <f t="shared" si="762"/>
        <v>0</v>
      </c>
      <c r="V371" s="737">
        <f t="shared" si="762"/>
        <v>0</v>
      </c>
      <c r="W371" s="737">
        <f t="shared" si="762"/>
        <v>0</v>
      </c>
      <c r="X371" s="738">
        <f t="shared" si="762"/>
        <v>0</v>
      </c>
      <c r="Y371" s="737">
        <f t="shared" si="762"/>
        <v>0</v>
      </c>
      <c r="Z371" s="737">
        <f t="shared" si="762"/>
        <v>0</v>
      </c>
      <c r="AA371" s="737">
        <f t="shared" si="762"/>
        <v>0</v>
      </c>
      <c r="AB371" s="737">
        <f t="shared" si="762"/>
        <v>0</v>
      </c>
      <c r="AC371" s="738">
        <f t="shared" si="762"/>
        <v>0</v>
      </c>
      <c r="AD371" s="737">
        <f t="shared" si="762"/>
        <v>0</v>
      </c>
      <c r="AE371" s="737">
        <f t="shared" si="762"/>
        <v>0</v>
      </c>
      <c r="AF371" s="737">
        <f t="shared" si="762"/>
        <v>0</v>
      </c>
      <c r="AG371" s="739">
        <f t="shared" si="762"/>
        <v>0</v>
      </c>
      <c r="AH371" s="823"/>
      <c r="AI371" s="745"/>
      <c r="AJ371" s="741"/>
      <c r="AK371" s="729"/>
      <c r="AL371" s="729"/>
      <c r="AM371" s="729"/>
      <c r="AN371" s="729"/>
      <c r="AO371" s="730"/>
      <c r="AP371" s="74"/>
      <c r="AQ371" s="74"/>
      <c r="AR371" s="74"/>
      <c r="AS371" s="106"/>
      <c r="AW371" s="1428" t="str">
        <f t="shared" si="682"/>
        <v>Rev</v>
      </c>
      <c r="AX371" s="1429" t="str">
        <f t="shared" si="682"/>
        <v>[Service]</v>
      </c>
      <c r="AY371" s="1430" t="str">
        <f t="shared" si="646"/>
        <v>[Price]</v>
      </c>
      <c r="AZ371" s="1431" t="str">
        <f t="shared" si="739"/>
        <v>-</v>
      </c>
      <c r="BA371" s="1431" t="str">
        <f t="shared" si="739"/>
        <v>-</v>
      </c>
      <c r="BB371" s="1431" t="str">
        <f t="shared" si="739"/>
        <v>-</v>
      </c>
      <c r="BC371" s="1431" t="str">
        <f t="shared" si="739"/>
        <v>-</v>
      </c>
      <c r="BD371" s="1431" t="str">
        <f t="shared" si="648"/>
        <v>-</v>
      </c>
      <c r="BE371" s="1431" t="str">
        <f t="shared" si="649"/>
        <v>-</v>
      </c>
      <c r="BF371" s="1431" t="str">
        <f t="shared" si="650"/>
        <v>-</v>
      </c>
      <c r="BG371" s="1432" t="str">
        <f t="shared" si="651"/>
        <v>-</v>
      </c>
      <c r="BH371" s="1431" t="str">
        <f t="shared" si="652"/>
        <v>-</v>
      </c>
      <c r="BI371" s="1431" t="str">
        <f t="shared" si="653"/>
        <v>-</v>
      </c>
      <c r="BJ371" s="1431" t="str">
        <f t="shared" si="654"/>
        <v>-</v>
      </c>
      <c r="BK371" s="1431" t="str">
        <f t="shared" si="655"/>
        <v>-</v>
      </c>
      <c r="BL371" s="1433" t="str">
        <f t="shared" si="656"/>
        <v>-</v>
      </c>
      <c r="BM371" s="1431" t="str">
        <f t="shared" si="657"/>
        <v>-</v>
      </c>
      <c r="BN371" s="1431" t="str">
        <f t="shared" si="658"/>
        <v>-</v>
      </c>
      <c r="BO371" s="1431" t="str">
        <f t="shared" si="659"/>
        <v>-</v>
      </c>
      <c r="BP371" s="1431" t="str">
        <f t="shared" si="660"/>
        <v>-</v>
      </c>
      <c r="BQ371" s="1434" t="str">
        <f t="shared" si="661"/>
        <v>-</v>
      </c>
      <c r="BR371" s="1378"/>
      <c r="BS371" s="1407"/>
      <c r="BT371" s="1408"/>
      <c r="BU371" s="1409"/>
      <c r="BV371" s="1410"/>
      <c r="BW371" s="1378"/>
      <c r="BX371" s="1428" t="str">
        <f t="shared" si="662"/>
        <v>Rev</v>
      </c>
      <c r="BY371" s="1429" t="str">
        <f t="shared" si="707"/>
        <v>[Service]</v>
      </c>
      <c r="BZ371" s="1430" t="str">
        <f t="shared" si="708"/>
        <v>[Price]</v>
      </c>
      <c r="CA371" s="1435" t="str">
        <f>IFERROR((S371/R371-1)*(R371/R$13),"-")</f>
        <v>-</v>
      </c>
      <c r="CB371" s="1431" t="str">
        <f>IFERROR((T371/S371-1)*(S371/S$13),"-")</f>
        <v>-</v>
      </c>
      <c r="CC371" s="1431" t="str">
        <f>IFERROR((U371/T371-1)*(T371/T$13),"-")</f>
        <v>-</v>
      </c>
      <c r="CD371" s="1431" t="str">
        <f>IFERROR((V371/U371-1)*(U371/U$13),"-")</f>
        <v>-</v>
      </c>
      <c r="CE371" s="1431" t="str">
        <f t="shared" ref="CE371:CR371" si="763">IFERROR((T371/S371-1)*(S371/S$13),"-")</f>
        <v>-</v>
      </c>
      <c r="CF371" s="1431" t="str">
        <f t="shared" si="763"/>
        <v>-</v>
      </c>
      <c r="CG371" s="1431" t="str">
        <f t="shared" si="763"/>
        <v>-</v>
      </c>
      <c r="CH371" s="1433" t="str">
        <f t="shared" si="763"/>
        <v>-</v>
      </c>
      <c r="CI371" s="1431" t="str">
        <f t="shared" si="763"/>
        <v>-</v>
      </c>
      <c r="CJ371" s="1431" t="str">
        <f t="shared" si="763"/>
        <v>-</v>
      </c>
      <c r="CK371" s="1431" t="str">
        <f t="shared" si="763"/>
        <v>-</v>
      </c>
      <c r="CL371" s="1431" t="str">
        <f t="shared" si="763"/>
        <v>-</v>
      </c>
      <c r="CM371" s="1433" t="str">
        <f t="shared" si="763"/>
        <v>-</v>
      </c>
      <c r="CN371" s="1431" t="str">
        <f t="shared" si="763"/>
        <v>-</v>
      </c>
      <c r="CO371" s="1431" t="str">
        <f t="shared" si="763"/>
        <v>-</v>
      </c>
      <c r="CP371" s="1431" t="str">
        <f t="shared" si="763"/>
        <v>-</v>
      </c>
      <c r="CQ371" s="1431" t="str">
        <f t="shared" si="763"/>
        <v>-</v>
      </c>
      <c r="CR371" s="1434" t="str">
        <f t="shared" si="763"/>
        <v>-</v>
      </c>
      <c r="CS371" s="1378"/>
      <c r="CT371" s="1428" t="str">
        <f t="shared" si="643"/>
        <v>Rev</v>
      </c>
      <c r="CU371" s="1429" t="str">
        <f t="shared" si="644"/>
        <v>[Service]</v>
      </c>
      <c r="CV371" s="1429" t="str">
        <f t="shared" si="645"/>
        <v>[Price]</v>
      </c>
      <c r="CW371" s="1435" t="str">
        <f t="shared" si="664"/>
        <v>-</v>
      </c>
      <c r="CX371" s="1431" t="str">
        <f t="shared" si="665"/>
        <v>-</v>
      </c>
      <c r="CY371" s="1431" t="str">
        <f t="shared" si="666"/>
        <v>-</v>
      </c>
      <c r="CZ371" s="1433" t="str">
        <f t="shared" si="667"/>
        <v>-</v>
      </c>
      <c r="DA371" s="1431" t="str">
        <f t="shared" si="668"/>
        <v>-</v>
      </c>
      <c r="DB371" s="1431" t="str">
        <f t="shared" si="669"/>
        <v>-</v>
      </c>
      <c r="DC371" s="1431" t="str">
        <f t="shared" si="670"/>
        <v>-</v>
      </c>
      <c r="DD371" s="1431" t="str">
        <f t="shared" si="671"/>
        <v>-</v>
      </c>
      <c r="DE371" s="1434" t="str">
        <f t="shared" si="672"/>
        <v>-</v>
      </c>
      <c r="DF371" s="1378"/>
      <c r="DG371" s="1428" t="str">
        <f t="shared" si="684"/>
        <v>Rev</v>
      </c>
      <c r="DH371" s="1429" t="str">
        <f t="shared" si="684"/>
        <v>[Service]</v>
      </c>
      <c r="DI371" s="1429" t="str">
        <f t="shared" si="684"/>
        <v>[Price]</v>
      </c>
      <c r="DJ371" s="1435" t="str">
        <f t="shared" si="673"/>
        <v>-</v>
      </c>
      <c r="DK371" s="1431" t="str">
        <f t="shared" si="674"/>
        <v>-</v>
      </c>
      <c r="DL371" s="1431" t="str">
        <f t="shared" si="675"/>
        <v>-</v>
      </c>
      <c r="DM371" s="1433" t="str">
        <f t="shared" si="676"/>
        <v>-</v>
      </c>
      <c r="DN371" s="1431" t="str">
        <f t="shared" si="677"/>
        <v>-</v>
      </c>
      <c r="DO371" s="1431" t="str">
        <f t="shared" si="678"/>
        <v>-</v>
      </c>
      <c r="DP371" s="1431" t="str">
        <f t="shared" si="679"/>
        <v>-</v>
      </c>
      <c r="DQ371" s="1434" t="str">
        <f t="shared" si="680"/>
        <v>-</v>
      </c>
    </row>
    <row r="372" spans="4:121">
      <c r="D372" s="70">
        <f>D369+1</f>
        <v>102</v>
      </c>
      <c r="E372" s="713" t="s">
        <v>44</v>
      </c>
      <c r="F372" s="789" t="s">
        <v>27</v>
      </c>
      <c r="G372" s="789"/>
      <c r="H372" s="789"/>
      <c r="I372" s="781" t="s">
        <v>318</v>
      </c>
      <c r="J372" s="781" t="s">
        <v>345</v>
      </c>
      <c r="K372" s="714"/>
      <c r="L372" s="715"/>
      <c r="M372" s="715"/>
      <c r="N372" s="716"/>
      <c r="O372" s="783"/>
      <c r="P372" s="784"/>
      <c r="Q372" s="783"/>
      <c r="R372" s="783"/>
      <c r="S372" s="783"/>
      <c r="T372" s="783"/>
      <c r="U372" s="783"/>
      <c r="V372" s="783"/>
      <c r="W372" s="783"/>
      <c r="X372" s="784"/>
      <c r="Y372" s="783"/>
      <c r="Z372" s="783"/>
      <c r="AA372" s="783"/>
      <c r="AB372" s="783"/>
      <c r="AC372" s="784"/>
      <c r="AD372" s="783"/>
      <c r="AE372" s="783"/>
      <c r="AF372" s="783"/>
      <c r="AG372" s="785"/>
      <c r="AI372" s="745"/>
      <c r="AJ372" s="717" t="str">
        <f t="shared" ref="AJ372:AS372" si="764">IFERROR((X372-W372)/W372,"")</f>
        <v/>
      </c>
      <c r="AK372" s="718" t="str">
        <f t="shared" si="764"/>
        <v/>
      </c>
      <c r="AL372" s="718" t="str">
        <f t="shared" si="764"/>
        <v/>
      </c>
      <c r="AM372" s="718" t="str">
        <f t="shared" si="764"/>
        <v/>
      </c>
      <c r="AN372" s="718" t="str">
        <f t="shared" si="764"/>
        <v/>
      </c>
      <c r="AO372" s="719" t="str">
        <f t="shared" si="764"/>
        <v/>
      </c>
      <c r="AP372" s="494" t="str">
        <f t="shared" si="764"/>
        <v/>
      </c>
      <c r="AQ372" s="494" t="str">
        <f t="shared" si="764"/>
        <v/>
      </c>
      <c r="AR372" s="494" t="str">
        <f t="shared" si="764"/>
        <v/>
      </c>
      <c r="AS372" s="720" t="str">
        <f t="shared" si="764"/>
        <v/>
      </c>
      <c r="AU372" s="1369"/>
      <c r="AW372" s="1412" t="str">
        <f t="shared" si="682"/>
        <v>Price</v>
      </c>
      <c r="AX372" s="1413" t="str">
        <f t="shared" si="682"/>
        <v>[Service]</v>
      </c>
      <c r="AY372" s="1414" t="str">
        <f t="shared" si="646"/>
        <v>[Price]</v>
      </c>
      <c r="AZ372" s="1415" t="str">
        <f t="shared" si="739"/>
        <v>-</v>
      </c>
      <c r="BA372" s="1415" t="str">
        <f t="shared" si="739"/>
        <v>-</v>
      </c>
      <c r="BB372" s="1415" t="str">
        <f t="shared" si="739"/>
        <v>-</v>
      </c>
      <c r="BC372" s="1415" t="str">
        <f t="shared" si="739"/>
        <v>-</v>
      </c>
      <c r="BD372" s="1415" t="str">
        <f t="shared" si="648"/>
        <v>-</v>
      </c>
      <c r="BE372" s="1415" t="str">
        <f t="shared" si="649"/>
        <v>-</v>
      </c>
      <c r="BF372" s="1415" t="str">
        <f t="shared" si="650"/>
        <v>-</v>
      </c>
      <c r="BG372" s="1416" t="str">
        <f t="shared" si="651"/>
        <v>-</v>
      </c>
      <c r="BH372" s="1417" t="str">
        <f t="shared" si="652"/>
        <v>-</v>
      </c>
      <c r="BI372" s="1417" t="str">
        <f t="shared" si="653"/>
        <v>-</v>
      </c>
      <c r="BJ372" s="1417" t="str">
        <f t="shared" si="654"/>
        <v>-</v>
      </c>
      <c r="BK372" s="1417" t="str">
        <f t="shared" si="655"/>
        <v>-</v>
      </c>
      <c r="BL372" s="1418" t="str">
        <f t="shared" si="656"/>
        <v>-</v>
      </c>
      <c r="BM372" s="1417" t="str">
        <f t="shared" si="657"/>
        <v>-</v>
      </c>
      <c r="BN372" s="1417" t="str">
        <f t="shared" si="658"/>
        <v>-</v>
      </c>
      <c r="BO372" s="1417" t="str">
        <f t="shared" si="659"/>
        <v>-</v>
      </c>
      <c r="BP372" s="1417" t="str">
        <f t="shared" si="660"/>
        <v>-</v>
      </c>
      <c r="BQ372" s="1419" t="str">
        <f t="shared" si="661"/>
        <v>-</v>
      </c>
      <c r="BR372" s="1378"/>
      <c r="BS372" s="1420"/>
      <c r="BT372" s="1421"/>
      <c r="BU372" s="1422"/>
      <c r="BV372" s="1423"/>
      <c r="BW372" s="1378"/>
      <c r="BX372" s="1412" t="str">
        <f t="shared" si="662"/>
        <v>Price</v>
      </c>
      <c r="BY372" s="1413" t="str">
        <f t="shared" si="707"/>
        <v>[Service]</v>
      </c>
      <c r="BZ372" s="1414" t="str">
        <f t="shared" si="708"/>
        <v>[Price]</v>
      </c>
      <c r="CA372" s="1424" t="str">
        <f>IFERROR((S372/R372-1)*(R374/R$13),"-")</f>
        <v>-</v>
      </c>
      <c r="CB372" s="1415" t="str">
        <f>IFERROR((T372/S372-1)*(S374/S$13),"-")</f>
        <v>-</v>
      </c>
      <c r="CC372" s="1415" t="str">
        <f>IFERROR((U372/T372-1)*(T374/T$13),"-")</f>
        <v>-</v>
      </c>
      <c r="CD372" s="1415" t="str">
        <f>IFERROR((V372/U372-1)*(U374/U$13),"-")</f>
        <v>-</v>
      </c>
      <c r="CE372" s="1415" t="str">
        <f t="shared" ref="CE372:CR372" si="765">IFERROR((T372/S372-1)*(S374/S$13),"-")</f>
        <v>-</v>
      </c>
      <c r="CF372" s="1415" t="str">
        <f t="shared" si="765"/>
        <v>-</v>
      </c>
      <c r="CG372" s="1415" t="str">
        <f t="shared" si="765"/>
        <v>-</v>
      </c>
      <c r="CH372" s="1425" t="str">
        <f t="shared" si="765"/>
        <v>-</v>
      </c>
      <c r="CI372" s="1417" t="str">
        <f t="shared" si="765"/>
        <v>-</v>
      </c>
      <c r="CJ372" s="1417" t="str">
        <f t="shared" si="765"/>
        <v>-</v>
      </c>
      <c r="CK372" s="1417" t="str">
        <f t="shared" si="765"/>
        <v>-</v>
      </c>
      <c r="CL372" s="1417" t="str">
        <f t="shared" si="765"/>
        <v>-</v>
      </c>
      <c r="CM372" s="1418" t="str">
        <f t="shared" si="765"/>
        <v>-</v>
      </c>
      <c r="CN372" s="1417" t="str">
        <f t="shared" si="765"/>
        <v>-</v>
      </c>
      <c r="CO372" s="1417" t="str">
        <f t="shared" si="765"/>
        <v>-</v>
      </c>
      <c r="CP372" s="1417" t="str">
        <f t="shared" si="765"/>
        <v>-</v>
      </c>
      <c r="CQ372" s="1417" t="str">
        <f t="shared" si="765"/>
        <v>-</v>
      </c>
      <c r="CR372" s="1419" t="str">
        <f t="shared" si="765"/>
        <v>-</v>
      </c>
      <c r="CS372" s="1378"/>
      <c r="CT372" s="1412" t="str">
        <f t="shared" si="643"/>
        <v>Price</v>
      </c>
      <c r="CU372" s="1413" t="str">
        <f t="shared" si="644"/>
        <v>[Service]</v>
      </c>
      <c r="CV372" s="1426" t="str">
        <f t="shared" si="645"/>
        <v>[Price]</v>
      </c>
      <c r="CW372" s="1427" t="str">
        <f t="shared" si="664"/>
        <v>-</v>
      </c>
      <c r="CX372" s="1417" t="str">
        <f t="shared" si="665"/>
        <v>-</v>
      </c>
      <c r="CY372" s="1417" t="str">
        <f t="shared" si="666"/>
        <v>-</v>
      </c>
      <c r="CZ372" s="1418" t="str">
        <f t="shared" si="667"/>
        <v>-</v>
      </c>
      <c r="DA372" s="1417" t="str">
        <f t="shared" si="668"/>
        <v>-</v>
      </c>
      <c r="DB372" s="1417" t="str">
        <f t="shared" si="669"/>
        <v>-</v>
      </c>
      <c r="DC372" s="1417" t="str">
        <f t="shared" si="670"/>
        <v>-</v>
      </c>
      <c r="DD372" s="1417" t="str">
        <f t="shared" si="671"/>
        <v>-</v>
      </c>
      <c r="DE372" s="1419" t="str">
        <f t="shared" si="672"/>
        <v>-</v>
      </c>
      <c r="DF372" s="1378"/>
      <c r="DG372" s="1412" t="str">
        <f t="shared" si="684"/>
        <v>Price</v>
      </c>
      <c r="DH372" s="1413" t="str">
        <f t="shared" si="684"/>
        <v>[Service]</v>
      </c>
      <c r="DI372" s="1426" t="str">
        <f t="shared" si="684"/>
        <v>[Price]</v>
      </c>
      <c r="DJ372" s="1427" t="str">
        <f t="shared" si="673"/>
        <v>-</v>
      </c>
      <c r="DK372" s="1417" t="str">
        <f t="shared" si="674"/>
        <v>-</v>
      </c>
      <c r="DL372" s="1417" t="str">
        <f t="shared" si="675"/>
        <v>-</v>
      </c>
      <c r="DM372" s="1418" t="str">
        <f t="shared" si="676"/>
        <v>-</v>
      </c>
      <c r="DN372" s="1417" t="str">
        <f t="shared" si="677"/>
        <v>-</v>
      </c>
      <c r="DO372" s="1417" t="str">
        <f t="shared" si="678"/>
        <v>-</v>
      </c>
      <c r="DP372" s="1417" t="str">
        <f t="shared" si="679"/>
        <v>-</v>
      </c>
      <c r="DQ372" s="1419" t="str">
        <f t="shared" si="680"/>
        <v>-</v>
      </c>
    </row>
    <row r="373" spans="4:121">
      <c r="E373" s="742" t="s">
        <v>45</v>
      </c>
      <c r="F373" s="722" t="str">
        <f>+F372</f>
        <v>[Service]</v>
      </c>
      <c r="G373" s="723">
        <f>+G372</f>
        <v>0</v>
      </c>
      <c r="H373" s="723">
        <f>+H372</f>
        <v>0</v>
      </c>
      <c r="I373" s="724" t="str">
        <f>+I372</f>
        <v>[Price]</v>
      </c>
      <c r="J373" s="782" t="s">
        <v>322</v>
      </c>
      <c r="K373" s="725"/>
      <c r="L373" s="726"/>
      <c r="M373" s="726"/>
      <c r="N373" s="727"/>
      <c r="O373" s="786"/>
      <c r="P373" s="787"/>
      <c r="Q373" s="786"/>
      <c r="R373" s="786"/>
      <c r="S373" s="786"/>
      <c r="T373" s="786"/>
      <c r="U373" s="786"/>
      <c r="V373" s="786"/>
      <c r="W373" s="786"/>
      <c r="X373" s="787"/>
      <c r="Y373" s="786"/>
      <c r="Z373" s="786"/>
      <c r="AA373" s="786"/>
      <c r="AB373" s="786"/>
      <c r="AC373" s="787"/>
      <c r="AD373" s="786"/>
      <c r="AE373" s="786"/>
      <c r="AF373" s="786"/>
      <c r="AG373" s="788"/>
      <c r="AH373" s="823"/>
      <c r="AI373" s="745"/>
      <c r="AJ373" s="728"/>
      <c r="AK373" s="729"/>
      <c r="AL373" s="729"/>
      <c r="AM373" s="729"/>
      <c r="AN373" s="729"/>
      <c r="AO373" s="730"/>
      <c r="AP373" s="74"/>
      <c r="AQ373" s="74"/>
      <c r="AR373" s="74"/>
      <c r="AS373" s="106"/>
      <c r="AW373" s="1392" t="str">
        <f t="shared" si="682"/>
        <v>Qty</v>
      </c>
      <c r="AX373" s="1393" t="str">
        <f t="shared" si="682"/>
        <v>[Service]</v>
      </c>
      <c r="AY373" s="1394" t="str">
        <f t="shared" si="646"/>
        <v>[Price]</v>
      </c>
      <c r="AZ373" s="1395" t="str">
        <f t="shared" ref="AZ373:BC388" si="766">IFERROR(P373/O373-1,"-")</f>
        <v>-</v>
      </c>
      <c r="BA373" s="1395" t="str">
        <f t="shared" si="766"/>
        <v>-</v>
      </c>
      <c r="BB373" s="1395" t="str">
        <f t="shared" si="766"/>
        <v>-</v>
      </c>
      <c r="BC373" s="1395" t="str">
        <f t="shared" si="766"/>
        <v>-</v>
      </c>
      <c r="BD373" s="1395" t="str">
        <f t="shared" si="648"/>
        <v>-</v>
      </c>
      <c r="BE373" s="1395" t="str">
        <f t="shared" si="649"/>
        <v>-</v>
      </c>
      <c r="BF373" s="1395" t="str">
        <f t="shared" si="650"/>
        <v>-</v>
      </c>
      <c r="BG373" s="1396" t="str">
        <f t="shared" si="651"/>
        <v>-</v>
      </c>
      <c r="BH373" s="1395" t="str">
        <f t="shared" si="652"/>
        <v>-</v>
      </c>
      <c r="BI373" s="1395" t="str">
        <f t="shared" si="653"/>
        <v>-</v>
      </c>
      <c r="BJ373" s="1395" t="str">
        <f t="shared" si="654"/>
        <v>-</v>
      </c>
      <c r="BK373" s="1395" t="str">
        <f t="shared" si="655"/>
        <v>-</v>
      </c>
      <c r="BL373" s="1397" t="str">
        <f t="shared" si="656"/>
        <v>-</v>
      </c>
      <c r="BM373" s="1395" t="str">
        <f t="shared" si="657"/>
        <v>-</v>
      </c>
      <c r="BN373" s="1395" t="str">
        <f t="shared" si="658"/>
        <v>-</v>
      </c>
      <c r="BO373" s="1395" t="str">
        <f t="shared" si="659"/>
        <v>-</v>
      </c>
      <c r="BP373" s="1395" t="str">
        <f t="shared" si="660"/>
        <v>-</v>
      </c>
      <c r="BQ373" s="1398" t="str">
        <f t="shared" si="661"/>
        <v>-</v>
      </c>
      <c r="BR373" s="1378"/>
      <c r="BS373" s="1329"/>
      <c r="BT373" s="1399"/>
      <c r="BU373" s="1331"/>
      <c r="BV373" s="1400"/>
      <c r="BW373" s="1378"/>
      <c r="BX373" s="1392" t="str">
        <f t="shared" si="662"/>
        <v>Qty</v>
      </c>
      <c r="BY373" s="1393" t="str">
        <f t="shared" si="707"/>
        <v>[Service]</v>
      </c>
      <c r="BZ373" s="1394" t="str">
        <f t="shared" si="708"/>
        <v>[Price]</v>
      </c>
      <c r="CA373" s="1401" t="str">
        <f>IFERROR((S373/R373-1)*(R374/R$13),"-")</f>
        <v>-</v>
      </c>
      <c r="CB373" s="1395" t="str">
        <f>IFERROR((T373/S373-1)*(S374/S$13),"-")</f>
        <v>-</v>
      </c>
      <c r="CC373" s="1395" t="str">
        <f>IFERROR((U373/T373-1)*(T374/T$13),"-")</f>
        <v>-</v>
      </c>
      <c r="CD373" s="1395" t="str">
        <f>IFERROR((V373/U373-1)*(U374/U$13),"-")</f>
        <v>-</v>
      </c>
      <c r="CE373" s="1395" t="str">
        <f t="shared" ref="CE373:CR373" si="767">IFERROR((T373/S373-1)*(S374/S$13),"-")</f>
        <v>-</v>
      </c>
      <c r="CF373" s="1395" t="str">
        <f t="shared" si="767"/>
        <v>-</v>
      </c>
      <c r="CG373" s="1395" t="str">
        <f t="shared" si="767"/>
        <v>-</v>
      </c>
      <c r="CH373" s="1397" t="str">
        <f t="shared" si="767"/>
        <v>-</v>
      </c>
      <c r="CI373" s="1395" t="str">
        <f t="shared" si="767"/>
        <v>-</v>
      </c>
      <c r="CJ373" s="1395" t="str">
        <f t="shared" si="767"/>
        <v>-</v>
      </c>
      <c r="CK373" s="1395" t="str">
        <f t="shared" si="767"/>
        <v>-</v>
      </c>
      <c r="CL373" s="1395" t="str">
        <f t="shared" si="767"/>
        <v>-</v>
      </c>
      <c r="CM373" s="1397" t="str">
        <f t="shared" si="767"/>
        <v>-</v>
      </c>
      <c r="CN373" s="1395" t="str">
        <f t="shared" si="767"/>
        <v>-</v>
      </c>
      <c r="CO373" s="1395" t="str">
        <f t="shared" si="767"/>
        <v>-</v>
      </c>
      <c r="CP373" s="1395" t="str">
        <f t="shared" si="767"/>
        <v>-</v>
      </c>
      <c r="CQ373" s="1395" t="str">
        <f t="shared" si="767"/>
        <v>-</v>
      </c>
      <c r="CR373" s="1398" t="str">
        <f t="shared" si="767"/>
        <v>-</v>
      </c>
      <c r="CS373" s="1378"/>
      <c r="CT373" s="1392" t="str">
        <f t="shared" si="643"/>
        <v>Qty</v>
      </c>
      <c r="CU373" s="1393" t="str">
        <f t="shared" si="644"/>
        <v>[Service]</v>
      </c>
      <c r="CV373" s="1393" t="str">
        <f t="shared" si="645"/>
        <v>[Price]</v>
      </c>
      <c r="CW373" s="1401" t="str">
        <f t="shared" si="664"/>
        <v>-</v>
      </c>
      <c r="CX373" s="1395" t="str">
        <f t="shared" si="665"/>
        <v>-</v>
      </c>
      <c r="CY373" s="1395" t="str">
        <f t="shared" si="666"/>
        <v>-</v>
      </c>
      <c r="CZ373" s="1397" t="str">
        <f t="shared" si="667"/>
        <v>-</v>
      </c>
      <c r="DA373" s="1395" t="str">
        <f t="shared" si="668"/>
        <v>-</v>
      </c>
      <c r="DB373" s="1395" t="str">
        <f t="shared" si="669"/>
        <v>-</v>
      </c>
      <c r="DC373" s="1395" t="str">
        <f t="shared" si="670"/>
        <v>-</v>
      </c>
      <c r="DD373" s="1395" t="str">
        <f t="shared" si="671"/>
        <v>-</v>
      </c>
      <c r="DE373" s="1398" t="str">
        <f t="shared" si="672"/>
        <v>-</v>
      </c>
      <c r="DF373" s="1378"/>
      <c r="DG373" s="1392" t="str">
        <f t="shared" si="684"/>
        <v>Qty</v>
      </c>
      <c r="DH373" s="1393" t="str">
        <f t="shared" si="684"/>
        <v>[Service]</v>
      </c>
      <c r="DI373" s="1393" t="str">
        <f t="shared" si="684"/>
        <v>[Price]</v>
      </c>
      <c r="DJ373" s="1401" t="str">
        <f t="shared" si="673"/>
        <v>-</v>
      </c>
      <c r="DK373" s="1395" t="str">
        <f t="shared" si="674"/>
        <v>-</v>
      </c>
      <c r="DL373" s="1395" t="str">
        <f t="shared" si="675"/>
        <v>-</v>
      </c>
      <c r="DM373" s="1397" t="str">
        <f t="shared" si="676"/>
        <v>-</v>
      </c>
      <c r="DN373" s="1395" t="str">
        <f t="shared" si="677"/>
        <v>-</v>
      </c>
      <c r="DO373" s="1395" t="str">
        <f t="shared" si="678"/>
        <v>-</v>
      </c>
      <c r="DP373" s="1395" t="str">
        <f t="shared" si="679"/>
        <v>-</v>
      </c>
      <c r="DQ373" s="1398" t="str">
        <f t="shared" si="680"/>
        <v>-</v>
      </c>
    </row>
    <row r="374" spans="4:121" ht="12.75" thickBot="1">
      <c r="E374" s="743" t="s">
        <v>46</v>
      </c>
      <c r="F374" s="732" t="str">
        <f>+F372</f>
        <v>[Service]</v>
      </c>
      <c r="G374" s="733">
        <f>+G372</f>
        <v>0</v>
      </c>
      <c r="H374" s="733">
        <f>+H372</f>
        <v>0</v>
      </c>
      <c r="I374" s="734" t="str">
        <f>+I372</f>
        <v>[Price]</v>
      </c>
      <c r="J374" s="735" t="s">
        <v>344</v>
      </c>
      <c r="K374" s="736">
        <f t="shared" ref="K374:AG374" si="768">K372*K373/10^6</f>
        <v>0</v>
      </c>
      <c r="L374" s="737">
        <f t="shared" si="768"/>
        <v>0</v>
      </c>
      <c r="M374" s="737">
        <f t="shared" si="768"/>
        <v>0</v>
      </c>
      <c r="N374" s="738">
        <f t="shared" si="768"/>
        <v>0</v>
      </c>
      <c r="O374" s="737">
        <f t="shared" si="768"/>
        <v>0</v>
      </c>
      <c r="P374" s="738">
        <f t="shared" si="768"/>
        <v>0</v>
      </c>
      <c r="Q374" s="737">
        <f t="shared" si="768"/>
        <v>0</v>
      </c>
      <c r="R374" s="737">
        <f t="shared" si="768"/>
        <v>0</v>
      </c>
      <c r="S374" s="737">
        <f t="shared" si="768"/>
        <v>0</v>
      </c>
      <c r="T374" s="737">
        <f t="shared" si="768"/>
        <v>0</v>
      </c>
      <c r="U374" s="737">
        <f t="shared" si="768"/>
        <v>0</v>
      </c>
      <c r="V374" s="737">
        <f t="shared" si="768"/>
        <v>0</v>
      </c>
      <c r="W374" s="737">
        <f t="shared" si="768"/>
        <v>0</v>
      </c>
      <c r="X374" s="738">
        <f t="shared" si="768"/>
        <v>0</v>
      </c>
      <c r="Y374" s="737">
        <f t="shared" si="768"/>
        <v>0</v>
      </c>
      <c r="Z374" s="737">
        <f t="shared" si="768"/>
        <v>0</v>
      </c>
      <c r="AA374" s="737">
        <f t="shared" si="768"/>
        <v>0</v>
      </c>
      <c r="AB374" s="737">
        <f t="shared" si="768"/>
        <v>0</v>
      </c>
      <c r="AC374" s="738">
        <f t="shared" si="768"/>
        <v>0</v>
      </c>
      <c r="AD374" s="737">
        <f t="shared" si="768"/>
        <v>0</v>
      </c>
      <c r="AE374" s="737">
        <f t="shared" si="768"/>
        <v>0</v>
      </c>
      <c r="AF374" s="737">
        <f t="shared" si="768"/>
        <v>0</v>
      </c>
      <c r="AG374" s="739">
        <f t="shared" si="768"/>
        <v>0</v>
      </c>
      <c r="AH374" s="823"/>
      <c r="AI374" s="745"/>
      <c r="AJ374" s="741"/>
      <c r="AK374" s="729"/>
      <c r="AL374" s="729"/>
      <c r="AM374" s="729"/>
      <c r="AN374" s="729"/>
      <c r="AO374" s="730"/>
      <c r="AP374" s="74"/>
      <c r="AQ374" s="74"/>
      <c r="AR374" s="74"/>
      <c r="AS374" s="106"/>
      <c r="AW374" s="1428" t="str">
        <f t="shared" si="682"/>
        <v>Rev</v>
      </c>
      <c r="AX374" s="1429" t="str">
        <f t="shared" si="682"/>
        <v>[Service]</v>
      </c>
      <c r="AY374" s="1430" t="str">
        <f t="shared" si="646"/>
        <v>[Price]</v>
      </c>
      <c r="AZ374" s="1431" t="str">
        <f t="shared" si="766"/>
        <v>-</v>
      </c>
      <c r="BA374" s="1431" t="str">
        <f t="shared" si="766"/>
        <v>-</v>
      </c>
      <c r="BB374" s="1431" t="str">
        <f t="shared" si="766"/>
        <v>-</v>
      </c>
      <c r="BC374" s="1431" t="str">
        <f t="shared" si="766"/>
        <v>-</v>
      </c>
      <c r="BD374" s="1431" t="str">
        <f t="shared" si="648"/>
        <v>-</v>
      </c>
      <c r="BE374" s="1431" t="str">
        <f t="shared" si="649"/>
        <v>-</v>
      </c>
      <c r="BF374" s="1431" t="str">
        <f t="shared" si="650"/>
        <v>-</v>
      </c>
      <c r="BG374" s="1432" t="str">
        <f t="shared" si="651"/>
        <v>-</v>
      </c>
      <c r="BH374" s="1431" t="str">
        <f t="shared" si="652"/>
        <v>-</v>
      </c>
      <c r="BI374" s="1431" t="str">
        <f t="shared" si="653"/>
        <v>-</v>
      </c>
      <c r="BJ374" s="1431" t="str">
        <f t="shared" si="654"/>
        <v>-</v>
      </c>
      <c r="BK374" s="1431" t="str">
        <f t="shared" si="655"/>
        <v>-</v>
      </c>
      <c r="BL374" s="1433" t="str">
        <f t="shared" si="656"/>
        <v>-</v>
      </c>
      <c r="BM374" s="1431" t="str">
        <f t="shared" si="657"/>
        <v>-</v>
      </c>
      <c r="BN374" s="1431" t="str">
        <f t="shared" si="658"/>
        <v>-</v>
      </c>
      <c r="BO374" s="1431" t="str">
        <f t="shared" si="659"/>
        <v>-</v>
      </c>
      <c r="BP374" s="1431" t="str">
        <f t="shared" si="660"/>
        <v>-</v>
      </c>
      <c r="BQ374" s="1434" t="str">
        <f t="shared" si="661"/>
        <v>-</v>
      </c>
      <c r="BR374" s="1378"/>
      <c r="BS374" s="1407"/>
      <c r="BT374" s="1408"/>
      <c r="BU374" s="1409"/>
      <c r="BV374" s="1410"/>
      <c r="BW374" s="1378"/>
      <c r="BX374" s="1428" t="str">
        <f t="shared" si="662"/>
        <v>Rev</v>
      </c>
      <c r="BY374" s="1429" t="str">
        <f t="shared" si="707"/>
        <v>[Service]</v>
      </c>
      <c r="BZ374" s="1430" t="str">
        <f t="shared" si="708"/>
        <v>[Price]</v>
      </c>
      <c r="CA374" s="1435" t="str">
        <f>IFERROR((S374/R374-1)*(R374/R$13),"-")</f>
        <v>-</v>
      </c>
      <c r="CB374" s="1431" t="str">
        <f>IFERROR((T374/S374-1)*(S374/S$13),"-")</f>
        <v>-</v>
      </c>
      <c r="CC374" s="1431" t="str">
        <f>IFERROR((U374/T374-1)*(T374/T$13),"-")</f>
        <v>-</v>
      </c>
      <c r="CD374" s="1431" t="str">
        <f>IFERROR((V374/U374-1)*(U374/U$13),"-")</f>
        <v>-</v>
      </c>
      <c r="CE374" s="1431" t="str">
        <f t="shared" ref="CE374:CR374" si="769">IFERROR((T374/S374-1)*(S374/S$13),"-")</f>
        <v>-</v>
      </c>
      <c r="CF374" s="1431" t="str">
        <f t="shared" si="769"/>
        <v>-</v>
      </c>
      <c r="CG374" s="1431" t="str">
        <f t="shared" si="769"/>
        <v>-</v>
      </c>
      <c r="CH374" s="1433" t="str">
        <f t="shared" si="769"/>
        <v>-</v>
      </c>
      <c r="CI374" s="1431" t="str">
        <f t="shared" si="769"/>
        <v>-</v>
      </c>
      <c r="CJ374" s="1431" t="str">
        <f t="shared" si="769"/>
        <v>-</v>
      </c>
      <c r="CK374" s="1431" t="str">
        <f t="shared" si="769"/>
        <v>-</v>
      </c>
      <c r="CL374" s="1431" t="str">
        <f t="shared" si="769"/>
        <v>-</v>
      </c>
      <c r="CM374" s="1433" t="str">
        <f t="shared" si="769"/>
        <v>-</v>
      </c>
      <c r="CN374" s="1431" t="str">
        <f t="shared" si="769"/>
        <v>-</v>
      </c>
      <c r="CO374" s="1431" t="str">
        <f t="shared" si="769"/>
        <v>-</v>
      </c>
      <c r="CP374" s="1431" t="str">
        <f t="shared" si="769"/>
        <v>-</v>
      </c>
      <c r="CQ374" s="1431" t="str">
        <f t="shared" si="769"/>
        <v>-</v>
      </c>
      <c r="CR374" s="1434" t="str">
        <f t="shared" si="769"/>
        <v>-</v>
      </c>
      <c r="CS374" s="1378"/>
      <c r="CT374" s="1428" t="str">
        <f t="shared" si="643"/>
        <v>Rev</v>
      </c>
      <c r="CU374" s="1429" t="str">
        <f t="shared" si="644"/>
        <v>[Service]</v>
      </c>
      <c r="CV374" s="1429" t="str">
        <f t="shared" si="645"/>
        <v>[Price]</v>
      </c>
      <c r="CW374" s="1435" t="str">
        <f t="shared" si="664"/>
        <v>-</v>
      </c>
      <c r="CX374" s="1431" t="str">
        <f t="shared" si="665"/>
        <v>-</v>
      </c>
      <c r="CY374" s="1431" t="str">
        <f t="shared" si="666"/>
        <v>-</v>
      </c>
      <c r="CZ374" s="1433" t="str">
        <f t="shared" si="667"/>
        <v>-</v>
      </c>
      <c r="DA374" s="1431" t="str">
        <f t="shared" si="668"/>
        <v>-</v>
      </c>
      <c r="DB374" s="1431" t="str">
        <f t="shared" si="669"/>
        <v>-</v>
      </c>
      <c r="DC374" s="1431" t="str">
        <f t="shared" si="670"/>
        <v>-</v>
      </c>
      <c r="DD374" s="1431" t="str">
        <f t="shared" si="671"/>
        <v>-</v>
      </c>
      <c r="DE374" s="1434" t="str">
        <f t="shared" si="672"/>
        <v>-</v>
      </c>
      <c r="DF374" s="1378"/>
      <c r="DG374" s="1428" t="str">
        <f t="shared" si="684"/>
        <v>Rev</v>
      </c>
      <c r="DH374" s="1429" t="str">
        <f t="shared" si="684"/>
        <v>[Service]</v>
      </c>
      <c r="DI374" s="1429" t="str">
        <f t="shared" si="684"/>
        <v>[Price]</v>
      </c>
      <c r="DJ374" s="1435" t="str">
        <f t="shared" si="673"/>
        <v>-</v>
      </c>
      <c r="DK374" s="1431" t="str">
        <f t="shared" si="674"/>
        <v>-</v>
      </c>
      <c r="DL374" s="1431" t="str">
        <f t="shared" si="675"/>
        <v>-</v>
      </c>
      <c r="DM374" s="1433" t="str">
        <f t="shared" si="676"/>
        <v>-</v>
      </c>
      <c r="DN374" s="1431" t="str">
        <f t="shared" si="677"/>
        <v>-</v>
      </c>
      <c r="DO374" s="1431" t="str">
        <f t="shared" si="678"/>
        <v>-</v>
      </c>
      <c r="DP374" s="1431" t="str">
        <f t="shared" si="679"/>
        <v>-</v>
      </c>
      <c r="DQ374" s="1434" t="str">
        <f t="shared" si="680"/>
        <v>-</v>
      </c>
    </row>
    <row r="375" spans="4:121">
      <c r="D375" s="70">
        <f>D372+1</f>
        <v>103</v>
      </c>
      <c r="E375" s="713" t="s">
        <v>44</v>
      </c>
      <c r="F375" s="789" t="s">
        <v>27</v>
      </c>
      <c r="G375" s="789"/>
      <c r="H375" s="789"/>
      <c r="I375" s="781" t="s">
        <v>318</v>
      </c>
      <c r="J375" s="781" t="s">
        <v>345</v>
      </c>
      <c r="K375" s="714"/>
      <c r="L375" s="715"/>
      <c r="M375" s="715"/>
      <c r="N375" s="716"/>
      <c r="O375" s="783"/>
      <c r="P375" s="784"/>
      <c r="Q375" s="783"/>
      <c r="R375" s="783"/>
      <c r="S375" s="783"/>
      <c r="T375" s="783"/>
      <c r="U375" s="783"/>
      <c r="V375" s="783"/>
      <c r="W375" s="783"/>
      <c r="X375" s="784"/>
      <c r="Y375" s="783"/>
      <c r="Z375" s="783"/>
      <c r="AA375" s="783"/>
      <c r="AB375" s="783"/>
      <c r="AC375" s="784"/>
      <c r="AD375" s="783"/>
      <c r="AE375" s="783"/>
      <c r="AF375" s="783"/>
      <c r="AG375" s="785"/>
      <c r="AI375" s="745"/>
      <c r="AJ375" s="717" t="str">
        <f t="shared" ref="AJ375:AS375" si="770">IFERROR((X375-W375)/W375,"")</f>
        <v/>
      </c>
      <c r="AK375" s="718" t="str">
        <f t="shared" si="770"/>
        <v/>
      </c>
      <c r="AL375" s="718" t="str">
        <f t="shared" si="770"/>
        <v/>
      </c>
      <c r="AM375" s="718" t="str">
        <f t="shared" si="770"/>
        <v/>
      </c>
      <c r="AN375" s="718" t="str">
        <f t="shared" si="770"/>
        <v/>
      </c>
      <c r="AO375" s="719" t="str">
        <f t="shared" si="770"/>
        <v/>
      </c>
      <c r="AP375" s="494" t="str">
        <f t="shared" si="770"/>
        <v/>
      </c>
      <c r="AQ375" s="494" t="str">
        <f t="shared" si="770"/>
        <v/>
      </c>
      <c r="AR375" s="494" t="str">
        <f t="shared" si="770"/>
        <v/>
      </c>
      <c r="AS375" s="720" t="str">
        <f t="shared" si="770"/>
        <v/>
      </c>
      <c r="AU375" s="1369"/>
      <c r="AW375" s="1412" t="str">
        <f t="shared" si="682"/>
        <v>Price</v>
      </c>
      <c r="AX375" s="1413" t="str">
        <f t="shared" si="682"/>
        <v>[Service]</v>
      </c>
      <c r="AY375" s="1414" t="str">
        <f t="shared" si="646"/>
        <v>[Price]</v>
      </c>
      <c r="AZ375" s="1415" t="str">
        <f t="shared" si="766"/>
        <v>-</v>
      </c>
      <c r="BA375" s="1415" t="str">
        <f t="shared" si="766"/>
        <v>-</v>
      </c>
      <c r="BB375" s="1415" t="str">
        <f t="shared" si="766"/>
        <v>-</v>
      </c>
      <c r="BC375" s="1415" t="str">
        <f t="shared" si="766"/>
        <v>-</v>
      </c>
      <c r="BD375" s="1415" t="str">
        <f t="shared" si="648"/>
        <v>-</v>
      </c>
      <c r="BE375" s="1415" t="str">
        <f t="shared" si="649"/>
        <v>-</v>
      </c>
      <c r="BF375" s="1415" t="str">
        <f t="shared" si="650"/>
        <v>-</v>
      </c>
      <c r="BG375" s="1416" t="str">
        <f t="shared" si="651"/>
        <v>-</v>
      </c>
      <c r="BH375" s="1417" t="str">
        <f t="shared" si="652"/>
        <v>-</v>
      </c>
      <c r="BI375" s="1417" t="str">
        <f t="shared" si="653"/>
        <v>-</v>
      </c>
      <c r="BJ375" s="1417" t="str">
        <f t="shared" si="654"/>
        <v>-</v>
      </c>
      <c r="BK375" s="1417" t="str">
        <f t="shared" si="655"/>
        <v>-</v>
      </c>
      <c r="BL375" s="1418" t="str">
        <f t="shared" si="656"/>
        <v>-</v>
      </c>
      <c r="BM375" s="1417" t="str">
        <f t="shared" si="657"/>
        <v>-</v>
      </c>
      <c r="BN375" s="1417" t="str">
        <f t="shared" si="658"/>
        <v>-</v>
      </c>
      <c r="BO375" s="1417" t="str">
        <f t="shared" si="659"/>
        <v>-</v>
      </c>
      <c r="BP375" s="1417" t="str">
        <f t="shared" si="660"/>
        <v>-</v>
      </c>
      <c r="BQ375" s="1419" t="str">
        <f t="shared" si="661"/>
        <v>-</v>
      </c>
      <c r="BR375" s="1378"/>
      <c r="BS375" s="1420"/>
      <c r="BT375" s="1421"/>
      <c r="BU375" s="1422"/>
      <c r="BV375" s="1423"/>
      <c r="BW375" s="1378"/>
      <c r="BX375" s="1412" t="str">
        <f t="shared" si="662"/>
        <v>Price</v>
      </c>
      <c r="BY375" s="1413" t="str">
        <f t="shared" si="707"/>
        <v>[Service]</v>
      </c>
      <c r="BZ375" s="1414" t="str">
        <f t="shared" si="708"/>
        <v>[Price]</v>
      </c>
      <c r="CA375" s="1424" t="str">
        <f>IFERROR((S375/R375-1)*(R377/R$13),"-")</f>
        <v>-</v>
      </c>
      <c r="CB375" s="1415" t="str">
        <f>IFERROR((T375/S375-1)*(S377/S$13),"-")</f>
        <v>-</v>
      </c>
      <c r="CC375" s="1415" t="str">
        <f>IFERROR((U375/T375-1)*(T377/T$13),"-")</f>
        <v>-</v>
      </c>
      <c r="CD375" s="1415" t="str">
        <f>IFERROR((V375/U375-1)*(U377/U$13),"-")</f>
        <v>-</v>
      </c>
      <c r="CE375" s="1415" t="str">
        <f t="shared" ref="CE375:CR375" si="771">IFERROR((T375/S375-1)*(S377/S$13),"-")</f>
        <v>-</v>
      </c>
      <c r="CF375" s="1415" t="str">
        <f t="shared" si="771"/>
        <v>-</v>
      </c>
      <c r="CG375" s="1415" t="str">
        <f t="shared" si="771"/>
        <v>-</v>
      </c>
      <c r="CH375" s="1425" t="str">
        <f t="shared" si="771"/>
        <v>-</v>
      </c>
      <c r="CI375" s="1417" t="str">
        <f t="shared" si="771"/>
        <v>-</v>
      </c>
      <c r="CJ375" s="1417" t="str">
        <f t="shared" si="771"/>
        <v>-</v>
      </c>
      <c r="CK375" s="1417" t="str">
        <f t="shared" si="771"/>
        <v>-</v>
      </c>
      <c r="CL375" s="1417" t="str">
        <f t="shared" si="771"/>
        <v>-</v>
      </c>
      <c r="CM375" s="1418" t="str">
        <f t="shared" si="771"/>
        <v>-</v>
      </c>
      <c r="CN375" s="1417" t="str">
        <f t="shared" si="771"/>
        <v>-</v>
      </c>
      <c r="CO375" s="1417" t="str">
        <f t="shared" si="771"/>
        <v>-</v>
      </c>
      <c r="CP375" s="1417" t="str">
        <f t="shared" si="771"/>
        <v>-</v>
      </c>
      <c r="CQ375" s="1417" t="str">
        <f t="shared" si="771"/>
        <v>-</v>
      </c>
      <c r="CR375" s="1419" t="str">
        <f t="shared" si="771"/>
        <v>-</v>
      </c>
      <c r="CS375" s="1378"/>
      <c r="CT375" s="1412" t="str">
        <f t="shared" si="643"/>
        <v>Price</v>
      </c>
      <c r="CU375" s="1413" t="str">
        <f t="shared" si="644"/>
        <v>[Service]</v>
      </c>
      <c r="CV375" s="1426" t="str">
        <f t="shared" si="645"/>
        <v>[Price]</v>
      </c>
      <c r="CW375" s="1427" t="str">
        <f t="shared" si="664"/>
        <v>-</v>
      </c>
      <c r="CX375" s="1417" t="str">
        <f t="shared" si="665"/>
        <v>-</v>
      </c>
      <c r="CY375" s="1417" t="str">
        <f t="shared" si="666"/>
        <v>-</v>
      </c>
      <c r="CZ375" s="1418" t="str">
        <f t="shared" si="667"/>
        <v>-</v>
      </c>
      <c r="DA375" s="1417" t="str">
        <f t="shared" si="668"/>
        <v>-</v>
      </c>
      <c r="DB375" s="1417" t="str">
        <f t="shared" si="669"/>
        <v>-</v>
      </c>
      <c r="DC375" s="1417" t="str">
        <f t="shared" si="670"/>
        <v>-</v>
      </c>
      <c r="DD375" s="1417" t="str">
        <f t="shared" si="671"/>
        <v>-</v>
      </c>
      <c r="DE375" s="1419" t="str">
        <f t="shared" si="672"/>
        <v>-</v>
      </c>
      <c r="DF375" s="1378"/>
      <c r="DG375" s="1412" t="str">
        <f t="shared" si="684"/>
        <v>Price</v>
      </c>
      <c r="DH375" s="1413" t="str">
        <f t="shared" si="684"/>
        <v>[Service]</v>
      </c>
      <c r="DI375" s="1426" t="str">
        <f t="shared" si="684"/>
        <v>[Price]</v>
      </c>
      <c r="DJ375" s="1427" t="str">
        <f t="shared" si="673"/>
        <v>-</v>
      </c>
      <c r="DK375" s="1417" t="str">
        <f t="shared" si="674"/>
        <v>-</v>
      </c>
      <c r="DL375" s="1417" t="str">
        <f t="shared" si="675"/>
        <v>-</v>
      </c>
      <c r="DM375" s="1418" t="str">
        <f t="shared" si="676"/>
        <v>-</v>
      </c>
      <c r="DN375" s="1417" t="str">
        <f t="shared" si="677"/>
        <v>-</v>
      </c>
      <c r="DO375" s="1417" t="str">
        <f t="shared" si="678"/>
        <v>-</v>
      </c>
      <c r="DP375" s="1417" t="str">
        <f t="shared" si="679"/>
        <v>-</v>
      </c>
      <c r="DQ375" s="1419" t="str">
        <f t="shared" si="680"/>
        <v>-</v>
      </c>
    </row>
    <row r="376" spans="4:121">
      <c r="E376" s="742" t="s">
        <v>45</v>
      </c>
      <c r="F376" s="722" t="str">
        <f>+F375</f>
        <v>[Service]</v>
      </c>
      <c r="G376" s="723">
        <f>+G375</f>
        <v>0</v>
      </c>
      <c r="H376" s="723">
        <f>+H375</f>
        <v>0</v>
      </c>
      <c r="I376" s="724" t="str">
        <f>+I375</f>
        <v>[Price]</v>
      </c>
      <c r="J376" s="782" t="s">
        <v>322</v>
      </c>
      <c r="K376" s="725"/>
      <c r="L376" s="726"/>
      <c r="M376" s="726"/>
      <c r="N376" s="727"/>
      <c r="O376" s="786"/>
      <c r="P376" s="787"/>
      <c r="Q376" s="786"/>
      <c r="R376" s="786"/>
      <c r="S376" s="786"/>
      <c r="T376" s="786"/>
      <c r="U376" s="786"/>
      <c r="V376" s="786"/>
      <c r="W376" s="786"/>
      <c r="X376" s="787"/>
      <c r="Y376" s="786"/>
      <c r="Z376" s="786"/>
      <c r="AA376" s="786"/>
      <c r="AB376" s="786"/>
      <c r="AC376" s="787"/>
      <c r="AD376" s="786"/>
      <c r="AE376" s="786"/>
      <c r="AF376" s="786"/>
      <c r="AG376" s="788"/>
      <c r="AH376" s="823"/>
      <c r="AI376" s="745"/>
      <c r="AJ376" s="728"/>
      <c r="AK376" s="729"/>
      <c r="AL376" s="729"/>
      <c r="AM376" s="729"/>
      <c r="AN376" s="729"/>
      <c r="AO376" s="730"/>
      <c r="AP376" s="74"/>
      <c r="AQ376" s="74"/>
      <c r="AR376" s="74"/>
      <c r="AS376" s="106"/>
      <c r="AW376" s="1392" t="str">
        <f t="shared" si="682"/>
        <v>Qty</v>
      </c>
      <c r="AX376" s="1393" t="str">
        <f t="shared" si="682"/>
        <v>[Service]</v>
      </c>
      <c r="AY376" s="1394" t="str">
        <f t="shared" si="646"/>
        <v>[Price]</v>
      </c>
      <c r="AZ376" s="1395" t="str">
        <f t="shared" si="766"/>
        <v>-</v>
      </c>
      <c r="BA376" s="1395" t="str">
        <f t="shared" si="766"/>
        <v>-</v>
      </c>
      <c r="BB376" s="1395" t="str">
        <f t="shared" si="766"/>
        <v>-</v>
      </c>
      <c r="BC376" s="1395" t="str">
        <f t="shared" si="766"/>
        <v>-</v>
      </c>
      <c r="BD376" s="1395" t="str">
        <f t="shared" si="648"/>
        <v>-</v>
      </c>
      <c r="BE376" s="1395" t="str">
        <f t="shared" si="649"/>
        <v>-</v>
      </c>
      <c r="BF376" s="1395" t="str">
        <f t="shared" si="650"/>
        <v>-</v>
      </c>
      <c r="BG376" s="1396" t="str">
        <f t="shared" si="651"/>
        <v>-</v>
      </c>
      <c r="BH376" s="1395" t="str">
        <f t="shared" si="652"/>
        <v>-</v>
      </c>
      <c r="BI376" s="1395" t="str">
        <f t="shared" si="653"/>
        <v>-</v>
      </c>
      <c r="BJ376" s="1395" t="str">
        <f t="shared" si="654"/>
        <v>-</v>
      </c>
      <c r="BK376" s="1395" t="str">
        <f t="shared" si="655"/>
        <v>-</v>
      </c>
      <c r="BL376" s="1397" t="str">
        <f t="shared" si="656"/>
        <v>-</v>
      </c>
      <c r="BM376" s="1395" t="str">
        <f t="shared" si="657"/>
        <v>-</v>
      </c>
      <c r="BN376" s="1395" t="str">
        <f t="shared" si="658"/>
        <v>-</v>
      </c>
      <c r="BO376" s="1395" t="str">
        <f t="shared" si="659"/>
        <v>-</v>
      </c>
      <c r="BP376" s="1395" t="str">
        <f t="shared" si="660"/>
        <v>-</v>
      </c>
      <c r="BQ376" s="1398" t="str">
        <f t="shared" si="661"/>
        <v>-</v>
      </c>
      <c r="BR376" s="1378"/>
      <c r="BS376" s="1329"/>
      <c r="BT376" s="1399"/>
      <c r="BU376" s="1331"/>
      <c r="BV376" s="1400"/>
      <c r="BW376" s="1378"/>
      <c r="BX376" s="1392" t="str">
        <f t="shared" si="662"/>
        <v>Qty</v>
      </c>
      <c r="BY376" s="1393" t="str">
        <f t="shared" si="707"/>
        <v>[Service]</v>
      </c>
      <c r="BZ376" s="1394" t="str">
        <f t="shared" si="708"/>
        <v>[Price]</v>
      </c>
      <c r="CA376" s="1401" t="str">
        <f>IFERROR((S376/R376-1)*(R377/R$13),"-")</f>
        <v>-</v>
      </c>
      <c r="CB376" s="1395" t="str">
        <f>IFERROR((T376/S376-1)*(S377/S$13),"-")</f>
        <v>-</v>
      </c>
      <c r="CC376" s="1395" t="str">
        <f>IFERROR((U376/T376-1)*(T377/T$13),"-")</f>
        <v>-</v>
      </c>
      <c r="CD376" s="1395" t="str">
        <f>IFERROR((V376/U376-1)*(U377/U$13),"-")</f>
        <v>-</v>
      </c>
      <c r="CE376" s="1395" t="str">
        <f t="shared" ref="CE376:CR376" si="772">IFERROR((T376/S376-1)*(S377/S$13),"-")</f>
        <v>-</v>
      </c>
      <c r="CF376" s="1395" t="str">
        <f t="shared" si="772"/>
        <v>-</v>
      </c>
      <c r="CG376" s="1395" t="str">
        <f t="shared" si="772"/>
        <v>-</v>
      </c>
      <c r="CH376" s="1397" t="str">
        <f t="shared" si="772"/>
        <v>-</v>
      </c>
      <c r="CI376" s="1395" t="str">
        <f t="shared" si="772"/>
        <v>-</v>
      </c>
      <c r="CJ376" s="1395" t="str">
        <f t="shared" si="772"/>
        <v>-</v>
      </c>
      <c r="CK376" s="1395" t="str">
        <f t="shared" si="772"/>
        <v>-</v>
      </c>
      <c r="CL376" s="1395" t="str">
        <f t="shared" si="772"/>
        <v>-</v>
      </c>
      <c r="CM376" s="1397" t="str">
        <f t="shared" si="772"/>
        <v>-</v>
      </c>
      <c r="CN376" s="1395" t="str">
        <f t="shared" si="772"/>
        <v>-</v>
      </c>
      <c r="CO376" s="1395" t="str">
        <f t="shared" si="772"/>
        <v>-</v>
      </c>
      <c r="CP376" s="1395" t="str">
        <f t="shared" si="772"/>
        <v>-</v>
      </c>
      <c r="CQ376" s="1395" t="str">
        <f t="shared" si="772"/>
        <v>-</v>
      </c>
      <c r="CR376" s="1398" t="str">
        <f t="shared" si="772"/>
        <v>-</v>
      </c>
      <c r="CS376" s="1378"/>
      <c r="CT376" s="1392" t="str">
        <f t="shared" si="643"/>
        <v>Qty</v>
      </c>
      <c r="CU376" s="1393" t="str">
        <f t="shared" si="644"/>
        <v>[Service]</v>
      </c>
      <c r="CV376" s="1393" t="str">
        <f t="shared" si="645"/>
        <v>[Price]</v>
      </c>
      <c r="CW376" s="1401" t="str">
        <f t="shared" si="664"/>
        <v>-</v>
      </c>
      <c r="CX376" s="1395" t="str">
        <f t="shared" si="665"/>
        <v>-</v>
      </c>
      <c r="CY376" s="1395" t="str">
        <f t="shared" si="666"/>
        <v>-</v>
      </c>
      <c r="CZ376" s="1397" t="str">
        <f t="shared" si="667"/>
        <v>-</v>
      </c>
      <c r="DA376" s="1395" t="str">
        <f t="shared" si="668"/>
        <v>-</v>
      </c>
      <c r="DB376" s="1395" t="str">
        <f t="shared" si="669"/>
        <v>-</v>
      </c>
      <c r="DC376" s="1395" t="str">
        <f t="shared" si="670"/>
        <v>-</v>
      </c>
      <c r="DD376" s="1395" t="str">
        <f t="shared" si="671"/>
        <v>-</v>
      </c>
      <c r="DE376" s="1398" t="str">
        <f t="shared" si="672"/>
        <v>-</v>
      </c>
      <c r="DF376" s="1378"/>
      <c r="DG376" s="1392" t="str">
        <f t="shared" si="684"/>
        <v>Qty</v>
      </c>
      <c r="DH376" s="1393" t="str">
        <f t="shared" si="684"/>
        <v>[Service]</v>
      </c>
      <c r="DI376" s="1393" t="str">
        <f t="shared" si="684"/>
        <v>[Price]</v>
      </c>
      <c r="DJ376" s="1401" t="str">
        <f t="shared" si="673"/>
        <v>-</v>
      </c>
      <c r="DK376" s="1395" t="str">
        <f t="shared" si="674"/>
        <v>-</v>
      </c>
      <c r="DL376" s="1395" t="str">
        <f t="shared" si="675"/>
        <v>-</v>
      </c>
      <c r="DM376" s="1397" t="str">
        <f t="shared" si="676"/>
        <v>-</v>
      </c>
      <c r="DN376" s="1395" t="str">
        <f t="shared" si="677"/>
        <v>-</v>
      </c>
      <c r="DO376" s="1395" t="str">
        <f t="shared" si="678"/>
        <v>-</v>
      </c>
      <c r="DP376" s="1395" t="str">
        <f t="shared" si="679"/>
        <v>-</v>
      </c>
      <c r="DQ376" s="1398" t="str">
        <f t="shared" si="680"/>
        <v>-</v>
      </c>
    </row>
    <row r="377" spans="4:121" ht="12.75" thickBot="1">
      <c r="E377" s="743" t="s">
        <v>46</v>
      </c>
      <c r="F377" s="732" t="str">
        <f>+F375</f>
        <v>[Service]</v>
      </c>
      <c r="G377" s="733">
        <f>+G375</f>
        <v>0</v>
      </c>
      <c r="H377" s="733">
        <f>+H375</f>
        <v>0</v>
      </c>
      <c r="I377" s="734" t="str">
        <f>+I375</f>
        <v>[Price]</v>
      </c>
      <c r="J377" s="735" t="s">
        <v>344</v>
      </c>
      <c r="K377" s="736">
        <f t="shared" ref="K377:AG377" si="773">K375*K376/10^6</f>
        <v>0</v>
      </c>
      <c r="L377" s="737">
        <f t="shared" si="773"/>
        <v>0</v>
      </c>
      <c r="M377" s="737">
        <f t="shared" si="773"/>
        <v>0</v>
      </c>
      <c r="N377" s="738">
        <f t="shared" si="773"/>
        <v>0</v>
      </c>
      <c r="O377" s="737">
        <f t="shared" si="773"/>
        <v>0</v>
      </c>
      <c r="P377" s="738">
        <f t="shared" si="773"/>
        <v>0</v>
      </c>
      <c r="Q377" s="737">
        <f t="shared" si="773"/>
        <v>0</v>
      </c>
      <c r="R377" s="737">
        <f t="shared" si="773"/>
        <v>0</v>
      </c>
      <c r="S377" s="737">
        <f t="shared" si="773"/>
        <v>0</v>
      </c>
      <c r="T377" s="737">
        <f t="shared" si="773"/>
        <v>0</v>
      </c>
      <c r="U377" s="737">
        <f t="shared" si="773"/>
        <v>0</v>
      </c>
      <c r="V377" s="737">
        <f t="shared" si="773"/>
        <v>0</v>
      </c>
      <c r="W377" s="737">
        <f t="shared" si="773"/>
        <v>0</v>
      </c>
      <c r="X377" s="738">
        <f t="shared" si="773"/>
        <v>0</v>
      </c>
      <c r="Y377" s="737">
        <f t="shared" si="773"/>
        <v>0</v>
      </c>
      <c r="Z377" s="737">
        <f t="shared" si="773"/>
        <v>0</v>
      </c>
      <c r="AA377" s="737">
        <f t="shared" si="773"/>
        <v>0</v>
      </c>
      <c r="AB377" s="737">
        <f t="shared" si="773"/>
        <v>0</v>
      </c>
      <c r="AC377" s="738">
        <f t="shared" si="773"/>
        <v>0</v>
      </c>
      <c r="AD377" s="737">
        <f t="shared" si="773"/>
        <v>0</v>
      </c>
      <c r="AE377" s="737">
        <f t="shared" si="773"/>
        <v>0</v>
      </c>
      <c r="AF377" s="737">
        <f t="shared" si="773"/>
        <v>0</v>
      </c>
      <c r="AG377" s="739">
        <f t="shared" si="773"/>
        <v>0</v>
      </c>
      <c r="AH377" s="823"/>
      <c r="AI377" s="745"/>
      <c r="AJ377" s="741"/>
      <c r="AK377" s="729"/>
      <c r="AL377" s="729"/>
      <c r="AM377" s="729"/>
      <c r="AN377" s="729"/>
      <c r="AO377" s="730"/>
      <c r="AP377" s="74"/>
      <c r="AQ377" s="74"/>
      <c r="AR377" s="74"/>
      <c r="AS377" s="106"/>
      <c r="AW377" s="1428" t="str">
        <f t="shared" si="682"/>
        <v>Rev</v>
      </c>
      <c r="AX377" s="1429" t="str">
        <f t="shared" si="682"/>
        <v>[Service]</v>
      </c>
      <c r="AY377" s="1430" t="str">
        <f t="shared" si="646"/>
        <v>[Price]</v>
      </c>
      <c r="AZ377" s="1431" t="str">
        <f t="shared" si="766"/>
        <v>-</v>
      </c>
      <c r="BA377" s="1431" t="str">
        <f t="shared" si="766"/>
        <v>-</v>
      </c>
      <c r="BB377" s="1431" t="str">
        <f t="shared" si="766"/>
        <v>-</v>
      </c>
      <c r="BC377" s="1431" t="str">
        <f t="shared" si="766"/>
        <v>-</v>
      </c>
      <c r="BD377" s="1431" t="str">
        <f t="shared" si="648"/>
        <v>-</v>
      </c>
      <c r="BE377" s="1431" t="str">
        <f t="shared" si="649"/>
        <v>-</v>
      </c>
      <c r="BF377" s="1431" t="str">
        <f t="shared" si="650"/>
        <v>-</v>
      </c>
      <c r="BG377" s="1432" t="str">
        <f t="shared" si="651"/>
        <v>-</v>
      </c>
      <c r="BH377" s="1431" t="str">
        <f t="shared" si="652"/>
        <v>-</v>
      </c>
      <c r="BI377" s="1431" t="str">
        <f t="shared" si="653"/>
        <v>-</v>
      </c>
      <c r="BJ377" s="1431" t="str">
        <f t="shared" si="654"/>
        <v>-</v>
      </c>
      <c r="BK377" s="1431" t="str">
        <f t="shared" si="655"/>
        <v>-</v>
      </c>
      <c r="BL377" s="1433" t="str">
        <f t="shared" si="656"/>
        <v>-</v>
      </c>
      <c r="BM377" s="1431" t="str">
        <f t="shared" si="657"/>
        <v>-</v>
      </c>
      <c r="BN377" s="1431" t="str">
        <f t="shared" si="658"/>
        <v>-</v>
      </c>
      <c r="BO377" s="1431" t="str">
        <f t="shared" si="659"/>
        <v>-</v>
      </c>
      <c r="BP377" s="1431" t="str">
        <f t="shared" si="660"/>
        <v>-</v>
      </c>
      <c r="BQ377" s="1434" t="str">
        <f t="shared" si="661"/>
        <v>-</v>
      </c>
      <c r="BR377" s="1378"/>
      <c r="BS377" s="1407"/>
      <c r="BT377" s="1408"/>
      <c r="BU377" s="1409"/>
      <c r="BV377" s="1410"/>
      <c r="BW377" s="1378"/>
      <c r="BX377" s="1428" t="str">
        <f t="shared" si="662"/>
        <v>Rev</v>
      </c>
      <c r="BY377" s="1429" t="str">
        <f t="shared" si="707"/>
        <v>[Service]</v>
      </c>
      <c r="BZ377" s="1430" t="str">
        <f t="shared" si="708"/>
        <v>[Price]</v>
      </c>
      <c r="CA377" s="1435" t="str">
        <f>IFERROR((S377/R377-1)*(R377/R$13),"-")</f>
        <v>-</v>
      </c>
      <c r="CB377" s="1431" t="str">
        <f>IFERROR((T377/S377-1)*(S377/S$13),"-")</f>
        <v>-</v>
      </c>
      <c r="CC377" s="1431" t="str">
        <f>IFERROR((U377/T377-1)*(T377/T$13),"-")</f>
        <v>-</v>
      </c>
      <c r="CD377" s="1431" t="str">
        <f>IFERROR((V377/U377-1)*(U377/U$13),"-")</f>
        <v>-</v>
      </c>
      <c r="CE377" s="1431" t="str">
        <f t="shared" ref="CE377:CR377" si="774">IFERROR((T377/S377-1)*(S377/S$13),"-")</f>
        <v>-</v>
      </c>
      <c r="CF377" s="1431" t="str">
        <f t="shared" si="774"/>
        <v>-</v>
      </c>
      <c r="CG377" s="1431" t="str">
        <f t="shared" si="774"/>
        <v>-</v>
      </c>
      <c r="CH377" s="1433" t="str">
        <f t="shared" si="774"/>
        <v>-</v>
      </c>
      <c r="CI377" s="1431" t="str">
        <f t="shared" si="774"/>
        <v>-</v>
      </c>
      <c r="CJ377" s="1431" t="str">
        <f t="shared" si="774"/>
        <v>-</v>
      </c>
      <c r="CK377" s="1431" t="str">
        <f t="shared" si="774"/>
        <v>-</v>
      </c>
      <c r="CL377" s="1431" t="str">
        <f t="shared" si="774"/>
        <v>-</v>
      </c>
      <c r="CM377" s="1433" t="str">
        <f t="shared" si="774"/>
        <v>-</v>
      </c>
      <c r="CN377" s="1431" t="str">
        <f t="shared" si="774"/>
        <v>-</v>
      </c>
      <c r="CO377" s="1431" t="str">
        <f t="shared" si="774"/>
        <v>-</v>
      </c>
      <c r="CP377" s="1431" t="str">
        <f t="shared" si="774"/>
        <v>-</v>
      </c>
      <c r="CQ377" s="1431" t="str">
        <f t="shared" si="774"/>
        <v>-</v>
      </c>
      <c r="CR377" s="1434" t="str">
        <f t="shared" si="774"/>
        <v>-</v>
      </c>
      <c r="CS377" s="1378"/>
      <c r="CT377" s="1428" t="str">
        <f t="shared" si="643"/>
        <v>Rev</v>
      </c>
      <c r="CU377" s="1429" t="str">
        <f t="shared" si="644"/>
        <v>[Service]</v>
      </c>
      <c r="CV377" s="1429" t="str">
        <f t="shared" si="645"/>
        <v>[Price]</v>
      </c>
      <c r="CW377" s="1435" t="str">
        <f t="shared" si="664"/>
        <v>-</v>
      </c>
      <c r="CX377" s="1431" t="str">
        <f t="shared" si="665"/>
        <v>-</v>
      </c>
      <c r="CY377" s="1431" t="str">
        <f t="shared" si="666"/>
        <v>-</v>
      </c>
      <c r="CZ377" s="1433" t="str">
        <f t="shared" si="667"/>
        <v>-</v>
      </c>
      <c r="DA377" s="1431" t="str">
        <f t="shared" si="668"/>
        <v>-</v>
      </c>
      <c r="DB377" s="1431" t="str">
        <f t="shared" si="669"/>
        <v>-</v>
      </c>
      <c r="DC377" s="1431" t="str">
        <f t="shared" si="670"/>
        <v>-</v>
      </c>
      <c r="DD377" s="1431" t="str">
        <f t="shared" si="671"/>
        <v>-</v>
      </c>
      <c r="DE377" s="1434" t="str">
        <f t="shared" si="672"/>
        <v>-</v>
      </c>
      <c r="DF377" s="1378"/>
      <c r="DG377" s="1428" t="str">
        <f t="shared" si="684"/>
        <v>Rev</v>
      </c>
      <c r="DH377" s="1429" t="str">
        <f t="shared" si="684"/>
        <v>[Service]</v>
      </c>
      <c r="DI377" s="1429" t="str">
        <f t="shared" si="684"/>
        <v>[Price]</v>
      </c>
      <c r="DJ377" s="1435" t="str">
        <f t="shared" si="673"/>
        <v>-</v>
      </c>
      <c r="DK377" s="1431" t="str">
        <f t="shared" si="674"/>
        <v>-</v>
      </c>
      <c r="DL377" s="1431" t="str">
        <f t="shared" si="675"/>
        <v>-</v>
      </c>
      <c r="DM377" s="1433" t="str">
        <f t="shared" si="676"/>
        <v>-</v>
      </c>
      <c r="DN377" s="1431" t="str">
        <f t="shared" si="677"/>
        <v>-</v>
      </c>
      <c r="DO377" s="1431" t="str">
        <f t="shared" si="678"/>
        <v>-</v>
      </c>
      <c r="DP377" s="1431" t="str">
        <f t="shared" si="679"/>
        <v>-</v>
      </c>
      <c r="DQ377" s="1434" t="str">
        <f t="shared" si="680"/>
        <v>-</v>
      </c>
    </row>
    <row r="378" spans="4:121">
      <c r="D378" s="70">
        <f>D375+1</f>
        <v>104</v>
      </c>
      <c r="E378" s="713" t="s">
        <v>44</v>
      </c>
      <c r="F378" s="789" t="s">
        <v>27</v>
      </c>
      <c r="G378" s="789"/>
      <c r="H378" s="789"/>
      <c r="I378" s="781" t="s">
        <v>318</v>
      </c>
      <c r="J378" s="781" t="s">
        <v>345</v>
      </c>
      <c r="K378" s="714"/>
      <c r="L378" s="715"/>
      <c r="M378" s="715"/>
      <c r="N378" s="716"/>
      <c r="O378" s="783"/>
      <c r="P378" s="784"/>
      <c r="Q378" s="783"/>
      <c r="R378" s="783"/>
      <c r="S378" s="783"/>
      <c r="T378" s="783"/>
      <c r="U378" s="783"/>
      <c r="V378" s="783"/>
      <c r="W378" s="783"/>
      <c r="X378" s="784"/>
      <c r="Y378" s="783"/>
      <c r="Z378" s="783"/>
      <c r="AA378" s="783"/>
      <c r="AB378" s="783"/>
      <c r="AC378" s="784"/>
      <c r="AD378" s="783"/>
      <c r="AE378" s="783"/>
      <c r="AF378" s="783"/>
      <c r="AG378" s="785"/>
      <c r="AI378" s="745"/>
      <c r="AJ378" s="717" t="str">
        <f t="shared" ref="AJ378:AS378" si="775">IFERROR((X378-W378)/W378,"")</f>
        <v/>
      </c>
      <c r="AK378" s="718" t="str">
        <f t="shared" si="775"/>
        <v/>
      </c>
      <c r="AL378" s="718" t="str">
        <f t="shared" si="775"/>
        <v/>
      </c>
      <c r="AM378" s="718" t="str">
        <f t="shared" si="775"/>
        <v/>
      </c>
      <c r="AN378" s="718" t="str">
        <f t="shared" si="775"/>
        <v/>
      </c>
      <c r="AO378" s="719" t="str">
        <f t="shared" si="775"/>
        <v/>
      </c>
      <c r="AP378" s="494" t="str">
        <f t="shared" si="775"/>
        <v/>
      </c>
      <c r="AQ378" s="494" t="str">
        <f t="shared" si="775"/>
        <v/>
      </c>
      <c r="AR378" s="494" t="str">
        <f t="shared" si="775"/>
        <v/>
      </c>
      <c r="AS378" s="720" t="str">
        <f t="shared" si="775"/>
        <v/>
      </c>
      <c r="AU378" s="1369"/>
      <c r="AW378" s="1412" t="str">
        <f t="shared" si="682"/>
        <v>Price</v>
      </c>
      <c r="AX378" s="1413" t="str">
        <f t="shared" si="682"/>
        <v>[Service]</v>
      </c>
      <c r="AY378" s="1414" t="str">
        <f t="shared" si="646"/>
        <v>[Price]</v>
      </c>
      <c r="AZ378" s="1415" t="str">
        <f t="shared" si="766"/>
        <v>-</v>
      </c>
      <c r="BA378" s="1415" t="str">
        <f t="shared" si="766"/>
        <v>-</v>
      </c>
      <c r="BB378" s="1415" t="str">
        <f t="shared" si="766"/>
        <v>-</v>
      </c>
      <c r="BC378" s="1415" t="str">
        <f t="shared" si="766"/>
        <v>-</v>
      </c>
      <c r="BD378" s="1415" t="str">
        <f t="shared" si="648"/>
        <v>-</v>
      </c>
      <c r="BE378" s="1415" t="str">
        <f t="shared" si="649"/>
        <v>-</v>
      </c>
      <c r="BF378" s="1415" t="str">
        <f t="shared" si="650"/>
        <v>-</v>
      </c>
      <c r="BG378" s="1416" t="str">
        <f t="shared" si="651"/>
        <v>-</v>
      </c>
      <c r="BH378" s="1417" t="str">
        <f t="shared" si="652"/>
        <v>-</v>
      </c>
      <c r="BI378" s="1417" t="str">
        <f t="shared" si="653"/>
        <v>-</v>
      </c>
      <c r="BJ378" s="1417" t="str">
        <f t="shared" si="654"/>
        <v>-</v>
      </c>
      <c r="BK378" s="1417" t="str">
        <f t="shared" si="655"/>
        <v>-</v>
      </c>
      <c r="BL378" s="1418" t="str">
        <f t="shared" si="656"/>
        <v>-</v>
      </c>
      <c r="BM378" s="1417" t="str">
        <f t="shared" si="657"/>
        <v>-</v>
      </c>
      <c r="BN378" s="1417" t="str">
        <f t="shared" si="658"/>
        <v>-</v>
      </c>
      <c r="BO378" s="1417" t="str">
        <f t="shared" si="659"/>
        <v>-</v>
      </c>
      <c r="BP378" s="1417" t="str">
        <f t="shared" si="660"/>
        <v>-</v>
      </c>
      <c r="BQ378" s="1419" t="str">
        <f t="shared" si="661"/>
        <v>-</v>
      </c>
      <c r="BR378" s="1378"/>
      <c r="BS378" s="1420"/>
      <c r="BT378" s="1421"/>
      <c r="BU378" s="1422"/>
      <c r="BV378" s="1423"/>
      <c r="BW378" s="1378"/>
      <c r="BX378" s="1412" t="str">
        <f t="shared" si="662"/>
        <v>Price</v>
      </c>
      <c r="BY378" s="1413" t="str">
        <f t="shared" si="707"/>
        <v>[Service]</v>
      </c>
      <c r="BZ378" s="1414" t="str">
        <f t="shared" si="708"/>
        <v>[Price]</v>
      </c>
      <c r="CA378" s="1424" t="str">
        <f>IFERROR((S378/R378-1)*(R380/R$13),"-")</f>
        <v>-</v>
      </c>
      <c r="CB378" s="1415" t="str">
        <f>IFERROR((T378/S378-1)*(S380/S$13),"-")</f>
        <v>-</v>
      </c>
      <c r="CC378" s="1415" t="str">
        <f>IFERROR((U378/T378-1)*(T380/T$13),"-")</f>
        <v>-</v>
      </c>
      <c r="CD378" s="1415" t="str">
        <f>IFERROR((V378/U378-1)*(U380/U$13),"-")</f>
        <v>-</v>
      </c>
      <c r="CE378" s="1415" t="str">
        <f t="shared" ref="CE378:CR378" si="776">IFERROR((T378/S378-1)*(S380/S$13),"-")</f>
        <v>-</v>
      </c>
      <c r="CF378" s="1415" t="str">
        <f t="shared" si="776"/>
        <v>-</v>
      </c>
      <c r="CG378" s="1415" t="str">
        <f t="shared" si="776"/>
        <v>-</v>
      </c>
      <c r="CH378" s="1425" t="str">
        <f t="shared" si="776"/>
        <v>-</v>
      </c>
      <c r="CI378" s="1417" t="str">
        <f t="shared" si="776"/>
        <v>-</v>
      </c>
      <c r="CJ378" s="1417" t="str">
        <f t="shared" si="776"/>
        <v>-</v>
      </c>
      <c r="CK378" s="1417" t="str">
        <f t="shared" si="776"/>
        <v>-</v>
      </c>
      <c r="CL378" s="1417" t="str">
        <f t="shared" si="776"/>
        <v>-</v>
      </c>
      <c r="CM378" s="1418" t="str">
        <f t="shared" si="776"/>
        <v>-</v>
      </c>
      <c r="CN378" s="1417" t="str">
        <f t="shared" si="776"/>
        <v>-</v>
      </c>
      <c r="CO378" s="1417" t="str">
        <f t="shared" si="776"/>
        <v>-</v>
      </c>
      <c r="CP378" s="1417" t="str">
        <f t="shared" si="776"/>
        <v>-</v>
      </c>
      <c r="CQ378" s="1417" t="str">
        <f t="shared" si="776"/>
        <v>-</v>
      </c>
      <c r="CR378" s="1419" t="str">
        <f t="shared" si="776"/>
        <v>-</v>
      </c>
      <c r="CS378" s="1378"/>
      <c r="CT378" s="1412" t="str">
        <f t="shared" si="643"/>
        <v>Price</v>
      </c>
      <c r="CU378" s="1413" t="str">
        <f t="shared" si="644"/>
        <v>[Service]</v>
      </c>
      <c r="CV378" s="1426" t="str">
        <f t="shared" si="645"/>
        <v>[Price]</v>
      </c>
      <c r="CW378" s="1427" t="str">
        <f t="shared" si="664"/>
        <v>-</v>
      </c>
      <c r="CX378" s="1417" t="str">
        <f t="shared" si="665"/>
        <v>-</v>
      </c>
      <c r="CY378" s="1417" t="str">
        <f t="shared" si="666"/>
        <v>-</v>
      </c>
      <c r="CZ378" s="1418" t="str">
        <f t="shared" si="667"/>
        <v>-</v>
      </c>
      <c r="DA378" s="1417" t="str">
        <f t="shared" si="668"/>
        <v>-</v>
      </c>
      <c r="DB378" s="1417" t="str">
        <f t="shared" si="669"/>
        <v>-</v>
      </c>
      <c r="DC378" s="1417" t="str">
        <f t="shared" si="670"/>
        <v>-</v>
      </c>
      <c r="DD378" s="1417" t="str">
        <f t="shared" si="671"/>
        <v>-</v>
      </c>
      <c r="DE378" s="1419" t="str">
        <f t="shared" si="672"/>
        <v>-</v>
      </c>
      <c r="DF378" s="1378"/>
      <c r="DG378" s="1412" t="str">
        <f t="shared" si="684"/>
        <v>Price</v>
      </c>
      <c r="DH378" s="1413" t="str">
        <f t="shared" si="684"/>
        <v>[Service]</v>
      </c>
      <c r="DI378" s="1426" t="str">
        <f t="shared" si="684"/>
        <v>[Price]</v>
      </c>
      <c r="DJ378" s="1427" t="str">
        <f t="shared" si="673"/>
        <v>-</v>
      </c>
      <c r="DK378" s="1417" t="str">
        <f t="shared" si="674"/>
        <v>-</v>
      </c>
      <c r="DL378" s="1417" t="str">
        <f t="shared" si="675"/>
        <v>-</v>
      </c>
      <c r="DM378" s="1418" t="str">
        <f t="shared" si="676"/>
        <v>-</v>
      </c>
      <c r="DN378" s="1417" t="str">
        <f t="shared" si="677"/>
        <v>-</v>
      </c>
      <c r="DO378" s="1417" t="str">
        <f t="shared" si="678"/>
        <v>-</v>
      </c>
      <c r="DP378" s="1417" t="str">
        <f t="shared" si="679"/>
        <v>-</v>
      </c>
      <c r="DQ378" s="1419" t="str">
        <f t="shared" si="680"/>
        <v>-</v>
      </c>
    </row>
    <row r="379" spans="4:121">
      <c r="E379" s="742" t="s">
        <v>45</v>
      </c>
      <c r="F379" s="722" t="str">
        <f>+F378</f>
        <v>[Service]</v>
      </c>
      <c r="G379" s="723">
        <f>+G378</f>
        <v>0</v>
      </c>
      <c r="H379" s="723">
        <f>+H378</f>
        <v>0</v>
      </c>
      <c r="I379" s="724" t="str">
        <f>+I378</f>
        <v>[Price]</v>
      </c>
      <c r="J379" s="782" t="s">
        <v>322</v>
      </c>
      <c r="K379" s="725"/>
      <c r="L379" s="726"/>
      <c r="M379" s="726"/>
      <c r="N379" s="727"/>
      <c r="O379" s="786"/>
      <c r="P379" s="787"/>
      <c r="Q379" s="786"/>
      <c r="R379" s="786"/>
      <c r="S379" s="786"/>
      <c r="T379" s="786"/>
      <c r="U379" s="786"/>
      <c r="V379" s="786"/>
      <c r="W379" s="786"/>
      <c r="X379" s="787"/>
      <c r="Y379" s="786"/>
      <c r="Z379" s="786"/>
      <c r="AA379" s="786"/>
      <c r="AB379" s="786"/>
      <c r="AC379" s="787"/>
      <c r="AD379" s="786"/>
      <c r="AE379" s="786"/>
      <c r="AF379" s="786"/>
      <c r="AG379" s="788"/>
      <c r="AH379" s="823"/>
      <c r="AI379" s="745"/>
      <c r="AJ379" s="728"/>
      <c r="AK379" s="729"/>
      <c r="AL379" s="729"/>
      <c r="AM379" s="729"/>
      <c r="AN379" s="729"/>
      <c r="AO379" s="730"/>
      <c r="AP379" s="74"/>
      <c r="AQ379" s="74"/>
      <c r="AR379" s="74"/>
      <c r="AS379" s="106"/>
      <c r="AW379" s="1392" t="str">
        <f t="shared" si="682"/>
        <v>Qty</v>
      </c>
      <c r="AX379" s="1393" t="str">
        <f t="shared" si="682"/>
        <v>[Service]</v>
      </c>
      <c r="AY379" s="1394" t="str">
        <f t="shared" si="646"/>
        <v>[Price]</v>
      </c>
      <c r="AZ379" s="1395" t="str">
        <f t="shared" si="766"/>
        <v>-</v>
      </c>
      <c r="BA379" s="1395" t="str">
        <f t="shared" si="766"/>
        <v>-</v>
      </c>
      <c r="BB379" s="1395" t="str">
        <f t="shared" si="766"/>
        <v>-</v>
      </c>
      <c r="BC379" s="1395" t="str">
        <f t="shared" si="766"/>
        <v>-</v>
      </c>
      <c r="BD379" s="1395" t="str">
        <f t="shared" si="648"/>
        <v>-</v>
      </c>
      <c r="BE379" s="1395" t="str">
        <f t="shared" si="649"/>
        <v>-</v>
      </c>
      <c r="BF379" s="1395" t="str">
        <f t="shared" si="650"/>
        <v>-</v>
      </c>
      <c r="BG379" s="1396" t="str">
        <f t="shared" si="651"/>
        <v>-</v>
      </c>
      <c r="BH379" s="1395" t="str">
        <f t="shared" si="652"/>
        <v>-</v>
      </c>
      <c r="BI379" s="1395" t="str">
        <f t="shared" si="653"/>
        <v>-</v>
      </c>
      <c r="BJ379" s="1395" t="str">
        <f t="shared" si="654"/>
        <v>-</v>
      </c>
      <c r="BK379" s="1395" t="str">
        <f t="shared" si="655"/>
        <v>-</v>
      </c>
      <c r="BL379" s="1397" t="str">
        <f t="shared" si="656"/>
        <v>-</v>
      </c>
      <c r="BM379" s="1395" t="str">
        <f t="shared" si="657"/>
        <v>-</v>
      </c>
      <c r="BN379" s="1395" t="str">
        <f t="shared" si="658"/>
        <v>-</v>
      </c>
      <c r="BO379" s="1395" t="str">
        <f t="shared" si="659"/>
        <v>-</v>
      </c>
      <c r="BP379" s="1395" t="str">
        <f t="shared" si="660"/>
        <v>-</v>
      </c>
      <c r="BQ379" s="1398" t="str">
        <f t="shared" si="661"/>
        <v>-</v>
      </c>
      <c r="BR379" s="1378"/>
      <c r="BS379" s="1329"/>
      <c r="BT379" s="1399"/>
      <c r="BU379" s="1331"/>
      <c r="BV379" s="1400"/>
      <c r="BW379" s="1378"/>
      <c r="BX379" s="1392" t="str">
        <f t="shared" si="662"/>
        <v>Qty</v>
      </c>
      <c r="BY379" s="1393" t="str">
        <f t="shared" si="707"/>
        <v>[Service]</v>
      </c>
      <c r="BZ379" s="1394" t="str">
        <f t="shared" si="708"/>
        <v>[Price]</v>
      </c>
      <c r="CA379" s="1401" t="str">
        <f>IFERROR((S379/R379-1)*(R380/R$13),"-")</f>
        <v>-</v>
      </c>
      <c r="CB379" s="1395" t="str">
        <f>IFERROR((T379/S379-1)*(S380/S$13),"-")</f>
        <v>-</v>
      </c>
      <c r="CC379" s="1395" t="str">
        <f>IFERROR((U379/T379-1)*(T380/T$13),"-")</f>
        <v>-</v>
      </c>
      <c r="CD379" s="1395" t="str">
        <f>IFERROR((V379/U379-1)*(U380/U$13),"-")</f>
        <v>-</v>
      </c>
      <c r="CE379" s="1395" t="str">
        <f t="shared" ref="CE379:CR379" si="777">IFERROR((T379/S379-1)*(S380/S$13),"-")</f>
        <v>-</v>
      </c>
      <c r="CF379" s="1395" t="str">
        <f t="shared" si="777"/>
        <v>-</v>
      </c>
      <c r="CG379" s="1395" t="str">
        <f t="shared" si="777"/>
        <v>-</v>
      </c>
      <c r="CH379" s="1397" t="str">
        <f t="shared" si="777"/>
        <v>-</v>
      </c>
      <c r="CI379" s="1395" t="str">
        <f t="shared" si="777"/>
        <v>-</v>
      </c>
      <c r="CJ379" s="1395" t="str">
        <f t="shared" si="777"/>
        <v>-</v>
      </c>
      <c r="CK379" s="1395" t="str">
        <f t="shared" si="777"/>
        <v>-</v>
      </c>
      <c r="CL379" s="1395" t="str">
        <f t="shared" si="777"/>
        <v>-</v>
      </c>
      <c r="CM379" s="1397" t="str">
        <f t="shared" si="777"/>
        <v>-</v>
      </c>
      <c r="CN379" s="1395" t="str">
        <f t="shared" si="777"/>
        <v>-</v>
      </c>
      <c r="CO379" s="1395" t="str">
        <f t="shared" si="777"/>
        <v>-</v>
      </c>
      <c r="CP379" s="1395" t="str">
        <f t="shared" si="777"/>
        <v>-</v>
      </c>
      <c r="CQ379" s="1395" t="str">
        <f t="shared" si="777"/>
        <v>-</v>
      </c>
      <c r="CR379" s="1398" t="str">
        <f t="shared" si="777"/>
        <v>-</v>
      </c>
      <c r="CS379" s="1378"/>
      <c r="CT379" s="1392" t="str">
        <f t="shared" si="643"/>
        <v>Qty</v>
      </c>
      <c r="CU379" s="1393" t="str">
        <f t="shared" si="644"/>
        <v>[Service]</v>
      </c>
      <c r="CV379" s="1393" t="str">
        <f t="shared" si="645"/>
        <v>[Price]</v>
      </c>
      <c r="CW379" s="1401" t="str">
        <f t="shared" si="664"/>
        <v>-</v>
      </c>
      <c r="CX379" s="1395" t="str">
        <f t="shared" si="665"/>
        <v>-</v>
      </c>
      <c r="CY379" s="1395" t="str">
        <f t="shared" si="666"/>
        <v>-</v>
      </c>
      <c r="CZ379" s="1397" t="str">
        <f t="shared" si="667"/>
        <v>-</v>
      </c>
      <c r="DA379" s="1395" t="str">
        <f t="shared" si="668"/>
        <v>-</v>
      </c>
      <c r="DB379" s="1395" t="str">
        <f t="shared" si="669"/>
        <v>-</v>
      </c>
      <c r="DC379" s="1395" t="str">
        <f t="shared" si="670"/>
        <v>-</v>
      </c>
      <c r="DD379" s="1395" t="str">
        <f t="shared" si="671"/>
        <v>-</v>
      </c>
      <c r="DE379" s="1398" t="str">
        <f t="shared" si="672"/>
        <v>-</v>
      </c>
      <c r="DF379" s="1378"/>
      <c r="DG379" s="1392" t="str">
        <f t="shared" si="684"/>
        <v>Qty</v>
      </c>
      <c r="DH379" s="1393" t="str">
        <f t="shared" si="684"/>
        <v>[Service]</v>
      </c>
      <c r="DI379" s="1393" t="str">
        <f t="shared" si="684"/>
        <v>[Price]</v>
      </c>
      <c r="DJ379" s="1401" t="str">
        <f t="shared" si="673"/>
        <v>-</v>
      </c>
      <c r="DK379" s="1395" t="str">
        <f t="shared" si="674"/>
        <v>-</v>
      </c>
      <c r="DL379" s="1395" t="str">
        <f t="shared" si="675"/>
        <v>-</v>
      </c>
      <c r="DM379" s="1397" t="str">
        <f t="shared" si="676"/>
        <v>-</v>
      </c>
      <c r="DN379" s="1395" t="str">
        <f t="shared" si="677"/>
        <v>-</v>
      </c>
      <c r="DO379" s="1395" t="str">
        <f t="shared" si="678"/>
        <v>-</v>
      </c>
      <c r="DP379" s="1395" t="str">
        <f t="shared" si="679"/>
        <v>-</v>
      </c>
      <c r="DQ379" s="1398" t="str">
        <f t="shared" si="680"/>
        <v>-</v>
      </c>
    </row>
    <row r="380" spans="4:121" ht="12.75" thickBot="1">
      <c r="E380" s="743" t="s">
        <v>46</v>
      </c>
      <c r="F380" s="732" t="str">
        <f>+F378</f>
        <v>[Service]</v>
      </c>
      <c r="G380" s="733">
        <f>+G378</f>
        <v>0</v>
      </c>
      <c r="H380" s="733">
        <f>+H378</f>
        <v>0</v>
      </c>
      <c r="I380" s="734" t="str">
        <f>+I378</f>
        <v>[Price]</v>
      </c>
      <c r="J380" s="735" t="s">
        <v>344</v>
      </c>
      <c r="K380" s="736">
        <f t="shared" ref="K380:AG380" si="778">K378*K379/10^6</f>
        <v>0</v>
      </c>
      <c r="L380" s="737">
        <f t="shared" si="778"/>
        <v>0</v>
      </c>
      <c r="M380" s="737">
        <f t="shared" si="778"/>
        <v>0</v>
      </c>
      <c r="N380" s="738">
        <f t="shared" si="778"/>
        <v>0</v>
      </c>
      <c r="O380" s="737">
        <f t="shared" si="778"/>
        <v>0</v>
      </c>
      <c r="P380" s="738">
        <f t="shared" si="778"/>
        <v>0</v>
      </c>
      <c r="Q380" s="737">
        <f t="shared" si="778"/>
        <v>0</v>
      </c>
      <c r="R380" s="737">
        <f t="shared" si="778"/>
        <v>0</v>
      </c>
      <c r="S380" s="737">
        <f t="shared" si="778"/>
        <v>0</v>
      </c>
      <c r="T380" s="737">
        <f t="shared" si="778"/>
        <v>0</v>
      </c>
      <c r="U380" s="737">
        <f t="shared" si="778"/>
        <v>0</v>
      </c>
      <c r="V380" s="737">
        <f t="shared" si="778"/>
        <v>0</v>
      </c>
      <c r="W380" s="737">
        <f t="shared" si="778"/>
        <v>0</v>
      </c>
      <c r="X380" s="738">
        <f t="shared" si="778"/>
        <v>0</v>
      </c>
      <c r="Y380" s="737">
        <f t="shared" si="778"/>
        <v>0</v>
      </c>
      <c r="Z380" s="737">
        <f t="shared" si="778"/>
        <v>0</v>
      </c>
      <c r="AA380" s="737">
        <f t="shared" si="778"/>
        <v>0</v>
      </c>
      <c r="AB380" s="737">
        <f t="shared" si="778"/>
        <v>0</v>
      </c>
      <c r="AC380" s="738">
        <f t="shared" si="778"/>
        <v>0</v>
      </c>
      <c r="AD380" s="737">
        <f t="shared" si="778"/>
        <v>0</v>
      </c>
      <c r="AE380" s="737">
        <f t="shared" si="778"/>
        <v>0</v>
      </c>
      <c r="AF380" s="737">
        <f t="shared" si="778"/>
        <v>0</v>
      </c>
      <c r="AG380" s="739">
        <f t="shared" si="778"/>
        <v>0</v>
      </c>
      <c r="AH380" s="823"/>
      <c r="AI380" s="745"/>
      <c r="AJ380" s="741"/>
      <c r="AK380" s="729"/>
      <c r="AL380" s="729"/>
      <c r="AM380" s="729"/>
      <c r="AN380" s="729"/>
      <c r="AO380" s="730"/>
      <c r="AP380" s="74"/>
      <c r="AQ380" s="74"/>
      <c r="AR380" s="74"/>
      <c r="AS380" s="106"/>
      <c r="AW380" s="1428" t="str">
        <f t="shared" si="682"/>
        <v>Rev</v>
      </c>
      <c r="AX380" s="1429" t="str">
        <f t="shared" si="682"/>
        <v>[Service]</v>
      </c>
      <c r="AY380" s="1430" t="str">
        <f t="shared" si="646"/>
        <v>[Price]</v>
      </c>
      <c r="AZ380" s="1431" t="str">
        <f t="shared" si="766"/>
        <v>-</v>
      </c>
      <c r="BA380" s="1431" t="str">
        <f t="shared" si="766"/>
        <v>-</v>
      </c>
      <c r="BB380" s="1431" t="str">
        <f t="shared" si="766"/>
        <v>-</v>
      </c>
      <c r="BC380" s="1431" t="str">
        <f t="shared" si="766"/>
        <v>-</v>
      </c>
      <c r="BD380" s="1431" t="str">
        <f t="shared" si="648"/>
        <v>-</v>
      </c>
      <c r="BE380" s="1431" t="str">
        <f t="shared" si="649"/>
        <v>-</v>
      </c>
      <c r="BF380" s="1431" t="str">
        <f t="shared" si="650"/>
        <v>-</v>
      </c>
      <c r="BG380" s="1432" t="str">
        <f t="shared" si="651"/>
        <v>-</v>
      </c>
      <c r="BH380" s="1431" t="str">
        <f t="shared" si="652"/>
        <v>-</v>
      </c>
      <c r="BI380" s="1431" t="str">
        <f t="shared" si="653"/>
        <v>-</v>
      </c>
      <c r="BJ380" s="1431" t="str">
        <f t="shared" si="654"/>
        <v>-</v>
      </c>
      <c r="BK380" s="1431" t="str">
        <f t="shared" si="655"/>
        <v>-</v>
      </c>
      <c r="BL380" s="1433" t="str">
        <f t="shared" si="656"/>
        <v>-</v>
      </c>
      <c r="BM380" s="1431" t="str">
        <f t="shared" si="657"/>
        <v>-</v>
      </c>
      <c r="BN380" s="1431" t="str">
        <f t="shared" si="658"/>
        <v>-</v>
      </c>
      <c r="BO380" s="1431" t="str">
        <f t="shared" si="659"/>
        <v>-</v>
      </c>
      <c r="BP380" s="1431" t="str">
        <f t="shared" si="660"/>
        <v>-</v>
      </c>
      <c r="BQ380" s="1434" t="str">
        <f t="shared" si="661"/>
        <v>-</v>
      </c>
      <c r="BR380" s="1378"/>
      <c r="BS380" s="1407"/>
      <c r="BT380" s="1408"/>
      <c r="BU380" s="1409"/>
      <c r="BV380" s="1410"/>
      <c r="BW380" s="1378"/>
      <c r="BX380" s="1428" t="str">
        <f t="shared" si="662"/>
        <v>Rev</v>
      </c>
      <c r="BY380" s="1429" t="str">
        <f t="shared" si="707"/>
        <v>[Service]</v>
      </c>
      <c r="BZ380" s="1430" t="str">
        <f t="shared" si="708"/>
        <v>[Price]</v>
      </c>
      <c r="CA380" s="1435" t="str">
        <f>IFERROR((S380/R380-1)*(R380/R$13),"-")</f>
        <v>-</v>
      </c>
      <c r="CB380" s="1431" t="str">
        <f>IFERROR((T380/S380-1)*(S380/S$13),"-")</f>
        <v>-</v>
      </c>
      <c r="CC380" s="1431" t="str">
        <f>IFERROR((U380/T380-1)*(T380/T$13),"-")</f>
        <v>-</v>
      </c>
      <c r="CD380" s="1431" t="str">
        <f>IFERROR((V380/U380-1)*(U380/U$13),"-")</f>
        <v>-</v>
      </c>
      <c r="CE380" s="1431" t="str">
        <f t="shared" ref="CE380:CR380" si="779">IFERROR((T380/S380-1)*(S380/S$13),"-")</f>
        <v>-</v>
      </c>
      <c r="CF380" s="1431" t="str">
        <f t="shared" si="779"/>
        <v>-</v>
      </c>
      <c r="CG380" s="1431" t="str">
        <f t="shared" si="779"/>
        <v>-</v>
      </c>
      <c r="CH380" s="1433" t="str">
        <f t="shared" si="779"/>
        <v>-</v>
      </c>
      <c r="CI380" s="1431" t="str">
        <f t="shared" si="779"/>
        <v>-</v>
      </c>
      <c r="CJ380" s="1431" t="str">
        <f t="shared" si="779"/>
        <v>-</v>
      </c>
      <c r="CK380" s="1431" t="str">
        <f t="shared" si="779"/>
        <v>-</v>
      </c>
      <c r="CL380" s="1431" t="str">
        <f t="shared" si="779"/>
        <v>-</v>
      </c>
      <c r="CM380" s="1433" t="str">
        <f t="shared" si="779"/>
        <v>-</v>
      </c>
      <c r="CN380" s="1431" t="str">
        <f t="shared" si="779"/>
        <v>-</v>
      </c>
      <c r="CO380" s="1431" t="str">
        <f t="shared" si="779"/>
        <v>-</v>
      </c>
      <c r="CP380" s="1431" t="str">
        <f t="shared" si="779"/>
        <v>-</v>
      </c>
      <c r="CQ380" s="1431" t="str">
        <f t="shared" si="779"/>
        <v>-</v>
      </c>
      <c r="CR380" s="1434" t="str">
        <f t="shared" si="779"/>
        <v>-</v>
      </c>
      <c r="CS380" s="1378"/>
      <c r="CT380" s="1428" t="str">
        <f t="shared" si="643"/>
        <v>Rev</v>
      </c>
      <c r="CU380" s="1429" t="str">
        <f t="shared" si="644"/>
        <v>[Service]</v>
      </c>
      <c r="CV380" s="1429" t="str">
        <f t="shared" si="645"/>
        <v>[Price]</v>
      </c>
      <c r="CW380" s="1435" t="str">
        <f t="shared" si="664"/>
        <v>-</v>
      </c>
      <c r="CX380" s="1431" t="str">
        <f t="shared" si="665"/>
        <v>-</v>
      </c>
      <c r="CY380" s="1431" t="str">
        <f t="shared" si="666"/>
        <v>-</v>
      </c>
      <c r="CZ380" s="1433" t="str">
        <f t="shared" si="667"/>
        <v>-</v>
      </c>
      <c r="DA380" s="1431" t="str">
        <f t="shared" si="668"/>
        <v>-</v>
      </c>
      <c r="DB380" s="1431" t="str">
        <f t="shared" si="669"/>
        <v>-</v>
      </c>
      <c r="DC380" s="1431" t="str">
        <f t="shared" si="670"/>
        <v>-</v>
      </c>
      <c r="DD380" s="1431" t="str">
        <f t="shared" si="671"/>
        <v>-</v>
      </c>
      <c r="DE380" s="1434" t="str">
        <f t="shared" si="672"/>
        <v>-</v>
      </c>
      <c r="DF380" s="1378"/>
      <c r="DG380" s="1428" t="str">
        <f t="shared" si="684"/>
        <v>Rev</v>
      </c>
      <c r="DH380" s="1429" t="str">
        <f t="shared" si="684"/>
        <v>[Service]</v>
      </c>
      <c r="DI380" s="1429" t="str">
        <f t="shared" si="684"/>
        <v>[Price]</v>
      </c>
      <c r="DJ380" s="1435" t="str">
        <f t="shared" si="673"/>
        <v>-</v>
      </c>
      <c r="DK380" s="1431" t="str">
        <f t="shared" si="674"/>
        <v>-</v>
      </c>
      <c r="DL380" s="1431" t="str">
        <f t="shared" si="675"/>
        <v>-</v>
      </c>
      <c r="DM380" s="1433" t="str">
        <f t="shared" si="676"/>
        <v>-</v>
      </c>
      <c r="DN380" s="1431" t="str">
        <f t="shared" si="677"/>
        <v>-</v>
      </c>
      <c r="DO380" s="1431" t="str">
        <f t="shared" si="678"/>
        <v>-</v>
      </c>
      <c r="DP380" s="1431" t="str">
        <f t="shared" si="679"/>
        <v>-</v>
      </c>
      <c r="DQ380" s="1434" t="str">
        <f t="shared" si="680"/>
        <v>-</v>
      </c>
    </row>
    <row r="381" spans="4:121">
      <c r="D381" s="70">
        <f>D378+1</f>
        <v>105</v>
      </c>
      <c r="E381" s="713" t="s">
        <v>44</v>
      </c>
      <c r="F381" s="789" t="s">
        <v>27</v>
      </c>
      <c r="G381" s="789"/>
      <c r="H381" s="789"/>
      <c r="I381" s="781" t="s">
        <v>318</v>
      </c>
      <c r="J381" s="781" t="s">
        <v>345</v>
      </c>
      <c r="K381" s="714"/>
      <c r="L381" s="715"/>
      <c r="M381" s="715"/>
      <c r="N381" s="716"/>
      <c r="O381" s="783"/>
      <c r="P381" s="784"/>
      <c r="Q381" s="783"/>
      <c r="R381" s="783"/>
      <c r="S381" s="783"/>
      <c r="T381" s="783"/>
      <c r="U381" s="783"/>
      <c r="V381" s="783"/>
      <c r="W381" s="783"/>
      <c r="X381" s="784"/>
      <c r="Y381" s="783"/>
      <c r="Z381" s="783"/>
      <c r="AA381" s="783"/>
      <c r="AB381" s="783"/>
      <c r="AC381" s="784"/>
      <c r="AD381" s="783"/>
      <c r="AE381" s="783"/>
      <c r="AF381" s="783"/>
      <c r="AG381" s="785"/>
      <c r="AI381" s="745"/>
      <c r="AJ381" s="717" t="str">
        <f t="shared" ref="AJ381:AS381" si="780">IFERROR((X381-W381)/W381,"")</f>
        <v/>
      </c>
      <c r="AK381" s="718" t="str">
        <f t="shared" si="780"/>
        <v/>
      </c>
      <c r="AL381" s="718" t="str">
        <f t="shared" si="780"/>
        <v/>
      </c>
      <c r="AM381" s="718" t="str">
        <f t="shared" si="780"/>
        <v/>
      </c>
      <c r="AN381" s="718" t="str">
        <f t="shared" si="780"/>
        <v/>
      </c>
      <c r="AO381" s="719" t="str">
        <f t="shared" si="780"/>
        <v/>
      </c>
      <c r="AP381" s="494" t="str">
        <f t="shared" si="780"/>
        <v/>
      </c>
      <c r="AQ381" s="494" t="str">
        <f t="shared" si="780"/>
        <v/>
      </c>
      <c r="AR381" s="494" t="str">
        <f t="shared" si="780"/>
        <v/>
      </c>
      <c r="AS381" s="720" t="str">
        <f t="shared" si="780"/>
        <v/>
      </c>
      <c r="AU381" s="1369"/>
      <c r="AW381" s="1412" t="str">
        <f t="shared" si="682"/>
        <v>Price</v>
      </c>
      <c r="AX381" s="1413" t="str">
        <f t="shared" si="682"/>
        <v>[Service]</v>
      </c>
      <c r="AY381" s="1414" t="str">
        <f t="shared" si="646"/>
        <v>[Price]</v>
      </c>
      <c r="AZ381" s="1415" t="str">
        <f t="shared" si="766"/>
        <v>-</v>
      </c>
      <c r="BA381" s="1415" t="str">
        <f t="shared" si="766"/>
        <v>-</v>
      </c>
      <c r="BB381" s="1415" t="str">
        <f t="shared" si="766"/>
        <v>-</v>
      </c>
      <c r="BC381" s="1415" t="str">
        <f t="shared" si="766"/>
        <v>-</v>
      </c>
      <c r="BD381" s="1415" t="str">
        <f t="shared" si="648"/>
        <v>-</v>
      </c>
      <c r="BE381" s="1415" t="str">
        <f t="shared" si="649"/>
        <v>-</v>
      </c>
      <c r="BF381" s="1415" t="str">
        <f t="shared" si="650"/>
        <v>-</v>
      </c>
      <c r="BG381" s="1416" t="str">
        <f t="shared" si="651"/>
        <v>-</v>
      </c>
      <c r="BH381" s="1417" t="str">
        <f t="shared" si="652"/>
        <v>-</v>
      </c>
      <c r="BI381" s="1417" t="str">
        <f t="shared" si="653"/>
        <v>-</v>
      </c>
      <c r="BJ381" s="1417" t="str">
        <f t="shared" si="654"/>
        <v>-</v>
      </c>
      <c r="BK381" s="1417" t="str">
        <f t="shared" si="655"/>
        <v>-</v>
      </c>
      <c r="BL381" s="1418" t="str">
        <f t="shared" si="656"/>
        <v>-</v>
      </c>
      <c r="BM381" s="1417" t="str">
        <f t="shared" si="657"/>
        <v>-</v>
      </c>
      <c r="BN381" s="1417" t="str">
        <f t="shared" si="658"/>
        <v>-</v>
      </c>
      <c r="BO381" s="1417" t="str">
        <f t="shared" si="659"/>
        <v>-</v>
      </c>
      <c r="BP381" s="1417" t="str">
        <f t="shared" si="660"/>
        <v>-</v>
      </c>
      <c r="BQ381" s="1419" t="str">
        <f t="shared" si="661"/>
        <v>-</v>
      </c>
      <c r="BR381" s="1378"/>
      <c r="BS381" s="1420"/>
      <c r="BT381" s="1421"/>
      <c r="BU381" s="1422"/>
      <c r="BV381" s="1423"/>
      <c r="BW381" s="1378"/>
      <c r="BX381" s="1412" t="str">
        <f t="shared" si="662"/>
        <v>Price</v>
      </c>
      <c r="BY381" s="1413" t="str">
        <f t="shared" si="707"/>
        <v>[Service]</v>
      </c>
      <c r="BZ381" s="1414" t="str">
        <f t="shared" si="708"/>
        <v>[Price]</v>
      </c>
      <c r="CA381" s="1424" t="str">
        <f>IFERROR((S381/R381-1)*(R383/R$13),"-")</f>
        <v>-</v>
      </c>
      <c r="CB381" s="1415" t="str">
        <f>IFERROR((T381/S381-1)*(S383/S$13),"-")</f>
        <v>-</v>
      </c>
      <c r="CC381" s="1415" t="str">
        <f>IFERROR((U381/T381-1)*(T383/T$13),"-")</f>
        <v>-</v>
      </c>
      <c r="CD381" s="1415" t="str">
        <f>IFERROR((V381/U381-1)*(U383/U$13),"-")</f>
        <v>-</v>
      </c>
      <c r="CE381" s="1415" t="str">
        <f t="shared" ref="CE381:CR381" si="781">IFERROR((T381/S381-1)*(S383/S$13),"-")</f>
        <v>-</v>
      </c>
      <c r="CF381" s="1415" t="str">
        <f t="shared" si="781"/>
        <v>-</v>
      </c>
      <c r="CG381" s="1415" t="str">
        <f t="shared" si="781"/>
        <v>-</v>
      </c>
      <c r="CH381" s="1425" t="str">
        <f t="shared" si="781"/>
        <v>-</v>
      </c>
      <c r="CI381" s="1417" t="str">
        <f t="shared" si="781"/>
        <v>-</v>
      </c>
      <c r="CJ381" s="1417" t="str">
        <f t="shared" si="781"/>
        <v>-</v>
      </c>
      <c r="CK381" s="1417" t="str">
        <f t="shared" si="781"/>
        <v>-</v>
      </c>
      <c r="CL381" s="1417" t="str">
        <f t="shared" si="781"/>
        <v>-</v>
      </c>
      <c r="CM381" s="1418" t="str">
        <f t="shared" si="781"/>
        <v>-</v>
      </c>
      <c r="CN381" s="1417" t="str">
        <f t="shared" si="781"/>
        <v>-</v>
      </c>
      <c r="CO381" s="1417" t="str">
        <f t="shared" si="781"/>
        <v>-</v>
      </c>
      <c r="CP381" s="1417" t="str">
        <f t="shared" si="781"/>
        <v>-</v>
      </c>
      <c r="CQ381" s="1417" t="str">
        <f t="shared" si="781"/>
        <v>-</v>
      </c>
      <c r="CR381" s="1419" t="str">
        <f t="shared" si="781"/>
        <v>-</v>
      </c>
      <c r="CS381" s="1378"/>
      <c r="CT381" s="1412" t="str">
        <f t="shared" si="643"/>
        <v>Price</v>
      </c>
      <c r="CU381" s="1413" t="str">
        <f t="shared" si="644"/>
        <v>[Service]</v>
      </c>
      <c r="CV381" s="1426" t="str">
        <f t="shared" si="645"/>
        <v>[Price]</v>
      </c>
      <c r="CW381" s="1427" t="str">
        <f t="shared" si="664"/>
        <v>-</v>
      </c>
      <c r="CX381" s="1417" t="str">
        <f t="shared" si="665"/>
        <v>-</v>
      </c>
      <c r="CY381" s="1417" t="str">
        <f t="shared" si="666"/>
        <v>-</v>
      </c>
      <c r="CZ381" s="1418" t="str">
        <f t="shared" si="667"/>
        <v>-</v>
      </c>
      <c r="DA381" s="1417" t="str">
        <f t="shared" si="668"/>
        <v>-</v>
      </c>
      <c r="DB381" s="1417" t="str">
        <f t="shared" si="669"/>
        <v>-</v>
      </c>
      <c r="DC381" s="1417" t="str">
        <f t="shared" si="670"/>
        <v>-</v>
      </c>
      <c r="DD381" s="1417" t="str">
        <f t="shared" si="671"/>
        <v>-</v>
      </c>
      <c r="DE381" s="1419" t="str">
        <f t="shared" si="672"/>
        <v>-</v>
      </c>
      <c r="DF381" s="1378"/>
      <c r="DG381" s="1412" t="str">
        <f t="shared" si="684"/>
        <v>Price</v>
      </c>
      <c r="DH381" s="1413" t="str">
        <f t="shared" si="684"/>
        <v>[Service]</v>
      </c>
      <c r="DI381" s="1426" t="str">
        <f t="shared" si="684"/>
        <v>[Price]</v>
      </c>
      <c r="DJ381" s="1427" t="str">
        <f t="shared" si="673"/>
        <v>-</v>
      </c>
      <c r="DK381" s="1417" t="str">
        <f t="shared" si="674"/>
        <v>-</v>
      </c>
      <c r="DL381" s="1417" t="str">
        <f t="shared" si="675"/>
        <v>-</v>
      </c>
      <c r="DM381" s="1418" t="str">
        <f t="shared" si="676"/>
        <v>-</v>
      </c>
      <c r="DN381" s="1417" t="str">
        <f t="shared" si="677"/>
        <v>-</v>
      </c>
      <c r="DO381" s="1417" t="str">
        <f t="shared" si="678"/>
        <v>-</v>
      </c>
      <c r="DP381" s="1417" t="str">
        <f t="shared" si="679"/>
        <v>-</v>
      </c>
      <c r="DQ381" s="1419" t="str">
        <f t="shared" si="680"/>
        <v>-</v>
      </c>
    </row>
    <row r="382" spans="4:121">
      <c r="E382" s="742" t="s">
        <v>45</v>
      </c>
      <c r="F382" s="722" t="str">
        <f>+F381</f>
        <v>[Service]</v>
      </c>
      <c r="G382" s="723">
        <f>+G381</f>
        <v>0</v>
      </c>
      <c r="H382" s="723">
        <f>+H381</f>
        <v>0</v>
      </c>
      <c r="I382" s="724" t="str">
        <f>+I381</f>
        <v>[Price]</v>
      </c>
      <c r="J382" s="782" t="s">
        <v>322</v>
      </c>
      <c r="K382" s="725"/>
      <c r="L382" s="726"/>
      <c r="M382" s="726"/>
      <c r="N382" s="727"/>
      <c r="O382" s="786"/>
      <c r="P382" s="787"/>
      <c r="Q382" s="786"/>
      <c r="R382" s="786"/>
      <c r="S382" s="786"/>
      <c r="T382" s="786"/>
      <c r="U382" s="786"/>
      <c r="V382" s="786"/>
      <c r="W382" s="786"/>
      <c r="X382" s="787"/>
      <c r="Y382" s="786"/>
      <c r="Z382" s="786"/>
      <c r="AA382" s="786"/>
      <c r="AB382" s="786"/>
      <c r="AC382" s="787"/>
      <c r="AD382" s="786"/>
      <c r="AE382" s="786"/>
      <c r="AF382" s="786"/>
      <c r="AG382" s="788"/>
      <c r="AH382" s="823"/>
      <c r="AI382" s="745"/>
      <c r="AJ382" s="728"/>
      <c r="AK382" s="729"/>
      <c r="AL382" s="729"/>
      <c r="AM382" s="729"/>
      <c r="AN382" s="729"/>
      <c r="AO382" s="730"/>
      <c r="AP382" s="74"/>
      <c r="AQ382" s="74"/>
      <c r="AR382" s="74"/>
      <c r="AS382" s="106"/>
      <c r="AW382" s="1392" t="str">
        <f t="shared" si="682"/>
        <v>Qty</v>
      </c>
      <c r="AX382" s="1393" t="str">
        <f t="shared" si="682"/>
        <v>[Service]</v>
      </c>
      <c r="AY382" s="1394" t="str">
        <f t="shared" si="646"/>
        <v>[Price]</v>
      </c>
      <c r="AZ382" s="1395" t="str">
        <f t="shared" si="766"/>
        <v>-</v>
      </c>
      <c r="BA382" s="1395" t="str">
        <f t="shared" si="766"/>
        <v>-</v>
      </c>
      <c r="BB382" s="1395" t="str">
        <f t="shared" si="766"/>
        <v>-</v>
      </c>
      <c r="BC382" s="1395" t="str">
        <f t="shared" si="766"/>
        <v>-</v>
      </c>
      <c r="BD382" s="1395" t="str">
        <f t="shared" si="648"/>
        <v>-</v>
      </c>
      <c r="BE382" s="1395" t="str">
        <f t="shared" si="649"/>
        <v>-</v>
      </c>
      <c r="BF382" s="1395" t="str">
        <f t="shared" si="650"/>
        <v>-</v>
      </c>
      <c r="BG382" s="1396" t="str">
        <f t="shared" si="651"/>
        <v>-</v>
      </c>
      <c r="BH382" s="1395" t="str">
        <f t="shared" si="652"/>
        <v>-</v>
      </c>
      <c r="BI382" s="1395" t="str">
        <f t="shared" si="653"/>
        <v>-</v>
      </c>
      <c r="BJ382" s="1395" t="str">
        <f t="shared" si="654"/>
        <v>-</v>
      </c>
      <c r="BK382" s="1395" t="str">
        <f t="shared" si="655"/>
        <v>-</v>
      </c>
      <c r="BL382" s="1397" t="str">
        <f t="shared" si="656"/>
        <v>-</v>
      </c>
      <c r="BM382" s="1395" t="str">
        <f t="shared" si="657"/>
        <v>-</v>
      </c>
      <c r="BN382" s="1395" t="str">
        <f t="shared" si="658"/>
        <v>-</v>
      </c>
      <c r="BO382" s="1395" t="str">
        <f t="shared" si="659"/>
        <v>-</v>
      </c>
      <c r="BP382" s="1395" t="str">
        <f t="shared" si="660"/>
        <v>-</v>
      </c>
      <c r="BQ382" s="1398" t="str">
        <f t="shared" si="661"/>
        <v>-</v>
      </c>
      <c r="BR382" s="1378"/>
      <c r="BS382" s="1329"/>
      <c r="BT382" s="1399"/>
      <c r="BU382" s="1331"/>
      <c r="BV382" s="1400"/>
      <c r="BW382" s="1378"/>
      <c r="BX382" s="1392" t="str">
        <f t="shared" si="662"/>
        <v>Qty</v>
      </c>
      <c r="BY382" s="1393" t="str">
        <f t="shared" si="707"/>
        <v>[Service]</v>
      </c>
      <c r="BZ382" s="1394" t="str">
        <f t="shared" si="708"/>
        <v>[Price]</v>
      </c>
      <c r="CA382" s="1401" t="str">
        <f>IFERROR((S382/R382-1)*(R383/R$13),"-")</f>
        <v>-</v>
      </c>
      <c r="CB382" s="1395" t="str">
        <f>IFERROR((T382/S382-1)*(S383/S$13),"-")</f>
        <v>-</v>
      </c>
      <c r="CC382" s="1395" t="str">
        <f>IFERROR((U382/T382-1)*(T383/T$13),"-")</f>
        <v>-</v>
      </c>
      <c r="CD382" s="1395" t="str">
        <f>IFERROR((V382/U382-1)*(U383/U$13),"-")</f>
        <v>-</v>
      </c>
      <c r="CE382" s="1395" t="str">
        <f t="shared" ref="CE382:CR382" si="782">IFERROR((T382/S382-1)*(S383/S$13),"-")</f>
        <v>-</v>
      </c>
      <c r="CF382" s="1395" t="str">
        <f t="shared" si="782"/>
        <v>-</v>
      </c>
      <c r="CG382" s="1395" t="str">
        <f t="shared" si="782"/>
        <v>-</v>
      </c>
      <c r="CH382" s="1397" t="str">
        <f t="shared" si="782"/>
        <v>-</v>
      </c>
      <c r="CI382" s="1395" t="str">
        <f t="shared" si="782"/>
        <v>-</v>
      </c>
      <c r="CJ382" s="1395" t="str">
        <f t="shared" si="782"/>
        <v>-</v>
      </c>
      <c r="CK382" s="1395" t="str">
        <f t="shared" si="782"/>
        <v>-</v>
      </c>
      <c r="CL382" s="1395" t="str">
        <f t="shared" si="782"/>
        <v>-</v>
      </c>
      <c r="CM382" s="1397" t="str">
        <f t="shared" si="782"/>
        <v>-</v>
      </c>
      <c r="CN382" s="1395" t="str">
        <f t="shared" si="782"/>
        <v>-</v>
      </c>
      <c r="CO382" s="1395" t="str">
        <f t="shared" si="782"/>
        <v>-</v>
      </c>
      <c r="CP382" s="1395" t="str">
        <f t="shared" si="782"/>
        <v>-</v>
      </c>
      <c r="CQ382" s="1395" t="str">
        <f t="shared" si="782"/>
        <v>-</v>
      </c>
      <c r="CR382" s="1398" t="str">
        <f t="shared" si="782"/>
        <v>-</v>
      </c>
      <c r="CS382" s="1378"/>
      <c r="CT382" s="1392" t="str">
        <f t="shared" si="643"/>
        <v>Qty</v>
      </c>
      <c r="CU382" s="1393" t="str">
        <f t="shared" si="644"/>
        <v>[Service]</v>
      </c>
      <c r="CV382" s="1393" t="str">
        <f t="shared" si="645"/>
        <v>[Price]</v>
      </c>
      <c r="CW382" s="1401" t="str">
        <f t="shared" si="664"/>
        <v>-</v>
      </c>
      <c r="CX382" s="1395" t="str">
        <f t="shared" si="665"/>
        <v>-</v>
      </c>
      <c r="CY382" s="1395" t="str">
        <f t="shared" si="666"/>
        <v>-</v>
      </c>
      <c r="CZ382" s="1397" t="str">
        <f t="shared" si="667"/>
        <v>-</v>
      </c>
      <c r="DA382" s="1395" t="str">
        <f t="shared" si="668"/>
        <v>-</v>
      </c>
      <c r="DB382" s="1395" t="str">
        <f t="shared" si="669"/>
        <v>-</v>
      </c>
      <c r="DC382" s="1395" t="str">
        <f t="shared" si="670"/>
        <v>-</v>
      </c>
      <c r="DD382" s="1395" t="str">
        <f t="shared" si="671"/>
        <v>-</v>
      </c>
      <c r="DE382" s="1398" t="str">
        <f t="shared" si="672"/>
        <v>-</v>
      </c>
      <c r="DF382" s="1378"/>
      <c r="DG382" s="1392" t="str">
        <f t="shared" si="684"/>
        <v>Qty</v>
      </c>
      <c r="DH382" s="1393" t="str">
        <f t="shared" si="684"/>
        <v>[Service]</v>
      </c>
      <c r="DI382" s="1393" t="str">
        <f t="shared" si="684"/>
        <v>[Price]</v>
      </c>
      <c r="DJ382" s="1401" t="str">
        <f t="shared" si="673"/>
        <v>-</v>
      </c>
      <c r="DK382" s="1395" t="str">
        <f t="shared" si="674"/>
        <v>-</v>
      </c>
      <c r="DL382" s="1395" t="str">
        <f t="shared" si="675"/>
        <v>-</v>
      </c>
      <c r="DM382" s="1397" t="str">
        <f t="shared" si="676"/>
        <v>-</v>
      </c>
      <c r="DN382" s="1395" t="str">
        <f t="shared" si="677"/>
        <v>-</v>
      </c>
      <c r="DO382" s="1395" t="str">
        <f t="shared" si="678"/>
        <v>-</v>
      </c>
      <c r="DP382" s="1395" t="str">
        <f t="shared" si="679"/>
        <v>-</v>
      </c>
      <c r="DQ382" s="1398" t="str">
        <f t="shared" si="680"/>
        <v>-</v>
      </c>
    </row>
    <row r="383" spans="4:121" ht="12.75" thickBot="1">
      <c r="E383" s="743" t="s">
        <v>46</v>
      </c>
      <c r="F383" s="732" t="str">
        <f>+F381</f>
        <v>[Service]</v>
      </c>
      <c r="G383" s="733">
        <f>+G381</f>
        <v>0</v>
      </c>
      <c r="H383" s="733">
        <f>+H381</f>
        <v>0</v>
      </c>
      <c r="I383" s="734" t="str">
        <f>+I381</f>
        <v>[Price]</v>
      </c>
      <c r="J383" s="735" t="s">
        <v>344</v>
      </c>
      <c r="K383" s="736">
        <f t="shared" ref="K383:AG383" si="783">K381*K382/10^6</f>
        <v>0</v>
      </c>
      <c r="L383" s="737">
        <f t="shared" si="783"/>
        <v>0</v>
      </c>
      <c r="M383" s="737">
        <f t="shared" si="783"/>
        <v>0</v>
      </c>
      <c r="N383" s="738">
        <f t="shared" si="783"/>
        <v>0</v>
      </c>
      <c r="O383" s="737">
        <f t="shared" si="783"/>
        <v>0</v>
      </c>
      <c r="P383" s="738">
        <f t="shared" si="783"/>
        <v>0</v>
      </c>
      <c r="Q383" s="737">
        <f t="shared" si="783"/>
        <v>0</v>
      </c>
      <c r="R383" s="737">
        <f t="shared" si="783"/>
        <v>0</v>
      </c>
      <c r="S383" s="737">
        <f t="shared" si="783"/>
        <v>0</v>
      </c>
      <c r="T383" s="737">
        <f t="shared" si="783"/>
        <v>0</v>
      </c>
      <c r="U383" s="737">
        <f t="shared" si="783"/>
        <v>0</v>
      </c>
      <c r="V383" s="737">
        <f t="shared" si="783"/>
        <v>0</v>
      </c>
      <c r="W383" s="737">
        <f t="shared" si="783"/>
        <v>0</v>
      </c>
      <c r="X383" s="738">
        <f t="shared" si="783"/>
        <v>0</v>
      </c>
      <c r="Y383" s="737">
        <f t="shared" si="783"/>
        <v>0</v>
      </c>
      <c r="Z383" s="737">
        <f t="shared" si="783"/>
        <v>0</v>
      </c>
      <c r="AA383" s="737">
        <f t="shared" si="783"/>
        <v>0</v>
      </c>
      <c r="AB383" s="737">
        <f t="shared" si="783"/>
        <v>0</v>
      </c>
      <c r="AC383" s="738">
        <f t="shared" si="783"/>
        <v>0</v>
      </c>
      <c r="AD383" s="737">
        <f t="shared" si="783"/>
        <v>0</v>
      </c>
      <c r="AE383" s="737">
        <f t="shared" si="783"/>
        <v>0</v>
      </c>
      <c r="AF383" s="737">
        <f t="shared" si="783"/>
        <v>0</v>
      </c>
      <c r="AG383" s="739">
        <f t="shared" si="783"/>
        <v>0</v>
      </c>
      <c r="AH383" s="823"/>
      <c r="AI383" s="745"/>
      <c r="AJ383" s="741"/>
      <c r="AK383" s="729"/>
      <c r="AL383" s="729"/>
      <c r="AM383" s="729"/>
      <c r="AN383" s="729"/>
      <c r="AO383" s="730"/>
      <c r="AP383" s="74"/>
      <c r="AQ383" s="74"/>
      <c r="AR383" s="74"/>
      <c r="AS383" s="106"/>
      <c r="AW383" s="1428" t="str">
        <f t="shared" si="682"/>
        <v>Rev</v>
      </c>
      <c r="AX383" s="1429" t="str">
        <f t="shared" si="682"/>
        <v>[Service]</v>
      </c>
      <c r="AY383" s="1430" t="str">
        <f t="shared" si="646"/>
        <v>[Price]</v>
      </c>
      <c r="AZ383" s="1431" t="str">
        <f t="shared" si="766"/>
        <v>-</v>
      </c>
      <c r="BA383" s="1431" t="str">
        <f t="shared" si="766"/>
        <v>-</v>
      </c>
      <c r="BB383" s="1431" t="str">
        <f t="shared" si="766"/>
        <v>-</v>
      </c>
      <c r="BC383" s="1431" t="str">
        <f t="shared" si="766"/>
        <v>-</v>
      </c>
      <c r="BD383" s="1431" t="str">
        <f t="shared" si="648"/>
        <v>-</v>
      </c>
      <c r="BE383" s="1431" t="str">
        <f t="shared" si="649"/>
        <v>-</v>
      </c>
      <c r="BF383" s="1431" t="str">
        <f t="shared" si="650"/>
        <v>-</v>
      </c>
      <c r="BG383" s="1432" t="str">
        <f t="shared" si="651"/>
        <v>-</v>
      </c>
      <c r="BH383" s="1431" t="str">
        <f t="shared" si="652"/>
        <v>-</v>
      </c>
      <c r="BI383" s="1431" t="str">
        <f t="shared" si="653"/>
        <v>-</v>
      </c>
      <c r="BJ383" s="1431" t="str">
        <f t="shared" si="654"/>
        <v>-</v>
      </c>
      <c r="BK383" s="1431" t="str">
        <f t="shared" si="655"/>
        <v>-</v>
      </c>
      <c r="BL383" s="1433" t="str">
        <f t="shared" si="656"/>
        <v>-</v>
      </c>
      <c r="BM383" s="1431" t="str">
        <f t="shared" si="657"/>
        <v>-</v>
      </c>
      <c r="BN383" s="1431" t="str">
        <f t="shared" si="658"/>
        <v>-</v>
      </c>
      <c r="BO383" s="1431" t="str">
        <f t="shared" si="659"/>
        <v>-</v>
      </c>
      <c r="BP383" s="1431" t="str">
        <f t="shared" si="660"/>
        <v>-</v>
      </c>
      <c r="BQ383" s="1434" t="str">
        <f t="shared" si="661"/>
        <v>-</v>
      </c>
      <c r="BR383" s="1378"/>
      <c r="BS383" s="1407"/>
      <c r="BT383" s="1408"/>
      <c r="BU383" s="1409"/>
      <c r="BV383" s="1410"/>
      <c r="BW383" s="1378"/>
      <c r="BX383" s="1428" t="str">
        <f t="shared" si="662"/>
        <v>Rev</v>
      </c>
      <c r="BY383" s="1429" t="str">
        <f t="shared" si="707"/>
        <v>[Service]</v>
      </c>
      <c r="BZ383" s="1430" t="str">
        <f t="shared" si="708"/>
        <v>[Price]</v>
      </c>
      <c r="CA383" s="1435" t="str">
        <f>IFERROR((S383/R383-1)*(R383/R$13),"-")</f>
        <v>-</v>
      </c>
      <c r="CB383" s="1431" t="str">
        <f>IFERROR((T383/S383-1)*(S383/S$13),"-")</f>
        <v>-</v>
      </c>
      <c r="CC383" s="1431" t="str">
        <f>IFERROR((U383/T383-1)*(T383/T$13),"-")</f>
        <v>-</v>
      </c>
      <c r="CD383" s="1431" t="str">
        <f>IFERROR((V383/U383-1)*(U383/U$13),"-")</f>
        <v>-</v>
      </c>
      <c r="CE383" s="1431" t="str">
        <f t="shared" ref="CE383:CR383" si="784">IFERROR((T383/S383-1)*(S383/S$13),"-")</f>
        <v>-</v>
      </c>
      <c r="CF383" s="1431" t="str">
        <f t="shared" si="784"/>
        <v>-</v>
      </c>
      <c r="CG383" s="1431" t="str">
        <f t="shared" si="784"/>
        <v>-</v>
      </c>
      <c r="CH383" s="1433" t="str">
        <f t="shared" si="784"/>
        <v>-</v>
      </c>
      <c r="CI383" s="1431" t="str">
        <f t="shared" si="784"/>
        <v>-</v>
      </c>
      <c r="CJ383" s="1431" t="str">
        <f t="shared" si="784"/>
        <v>-</v>
      </c>
      <c r="CK383" s="1431" t="str">
        <f t="shared" si="784"/>
        <v>-</v>
      </c>
      <c r="CL383" s="1431" t="str">
        <f t="shared" si="784"/>
        <v>-</v>
      </c>
      <c r="CM383" s="1433" t="str">
        <f t="shared" si="784"/>
        <v>-</v>
      </c>
      <c r="CN383" s="1431" t="str">
        <f t="shared" si="784"/>
        <v>-</v>
      </c>
      <c r="CO383" s="1431" t="str">
        <f t="shared" si="784"/>
        <v>-</v>
      </c>
      <c r="CP383" s="1431" t="str">
        <f t="shared" si="784"/>
        <v>-</v>
      </c>
      <c r="CQ383" s="1431" t="str">
        <f t="shared" si="784"/>
        <v>-</v>
      </c>
      <c r="CR383" s="1434" t="str">
        <f t="shared" si="784"/>
        <v>-</v>
      </c>
      <c r="CS383" s="1378"/>
      <c r="CT383" s="1428" t="str">
        <f t="shared" si="643"/>
        <v>Rev</v>
      </c>
      <c r="CU383" s="1429" t="str">
        <f t="shared" si="644"/>
        <v>[Service]</v>
      </c>
      <c r="CV383" s="1429" t="str">
        <f t="shared" si="645"/>
        <v>[Price]</v>
      </c>
      <c r="CW383" s="1435" t="str">
        <f t="shared" si="664"/>
        <v>-</v>
      </c>
      <c r="CX383" s="1431" t="str">
        <f t="shared" si="665"/>
        <v>-</v>
      </c>
      <c r="CY383" s="1431" t="str">
        <f t="shared" si="666"/>
        <v>-</v>
      </c>
      <c r="CZ383" s="1433" t="str">
        <f t="shared" si="667"/>
        <v>-</v>
      </c>
      <c r="DA383" s="1431" t="str">
        <f t="shared" si="668"/>
        <v>-</v>
      </c>
      <c r="DB383" s="1431" t="str">
        <f t="shared" si="669"/>
        <v>-</v>
      </c>
      <c r="DC383" s="1431" t="str">
        <f t="shared" si="670"/>
        <v>-</v>
      </c>
      <c r="DD383" s="1431" t="str">
        <f t="shared" si="671"/>
        <v>-</v>
      </c>
      <c r="DE383" s="1434" t="str">
        <f t="shared" si="672"/>
        <v>-</v>
      </c>
      <c r="DF383" s="1378"/>
      <c r="DG383" s="1428" t="str">
        <f t="shared" si="684"/>
        <v>Rev</v>
      </c>
      <c r="DH383" s="1429" t="str">
        <f t="shared" si="684"/>
        <v>[Service]</v>
      </c>
      <c r="DI383" s="1429" t="str">
        <f t="shared" si="684"/>
        <v>[Price]</v>
      </c>
      <c r="DJ383" s="1435" t="str">
        <f t="shared" si="673"/>
        <v>-</v>
      </c>
      <c r="DK383" s="1431" t="str">
        <f t="shared" si="674"/>
        <v>-</v>
      </c>
      <c r="DL383" s="1431" t="str">
        <f t="shared" si="675"/>
        <v>-</v>
      </c>
      <c r="DM383" s="1433" t="str">
        <f t="shared" si="676"/>
        <v>-</v>
      </c>
      <c r="DN383" s="1431" t="str">
        <f t="shared" si="677"/>
        <v>-</v>
      </c>
      <c r="DO383" s="1431" t="str">
        <f t="shared" si="678"/>
        <v>-</v>
      </c>
      <c r="DP383" s="1431" t="str">
        <f t="shared" si="679"/>
        <v>-</v>
      </c>
      <c r="DQ383" s="1434" t="str">
        <f t="shared" si="680"/>
        <v>-</v>
      </c>
    </row>
    <row r="384" spans="4:121">
      <c r="D384" s="70">
        <f>D381+1</f>
        <v>106</v>
      </c>
      <c r="E384" s="713" t="s">
        <v>44</v>
      </c>
      <c r="F384" s="789" t="s">
        <v>27</v>
      </c>
      <c r="G384" s="789"/>
      <c r="H384" s="789"/>
      <c r="I384" s="781" t="s">
        <v>318</v>
      </c>
      <c r="J384" s="781" t="s">
        <v>345</v>
      </c>
      <c r="K384" s="714"/>
      <c r="L384" s="715"/>
      <c r="M384" s="715"/>
      <c r="N384" s="716"/>
      <c r="O384" s="783"/>
      <c r="P384" s="784"/>
      <c r="Q384" s="783"/>
      <c r="R384" s="783"/>
      <c r="S384" s="783"/>
      <c r="T384" s="783"/>
      <c r="U384" s="783"/>
      <c r="V384" s="783"/>
      <c r="W384" s="783"/>
      <c r="X384" s="784"/>
      <c r="Y384" s="783"/>
      <c r="Z384" s="783"/>
      <c r="AA384" s="783"/>
      <c r="AB384" s="783"/>
      <c r="AC384" s="784"/>
      <c r="AD384" s="783"/>
      <c r="AE384" s="783"/>
      <c r="AF384" s="783"/>
      <c r="AG384" s="785"/>
      <c r="AI384" s="745"/>
      <c r="AJ384" s="717" t="str">
        <f t="shared" ref="AJ384:AS384" si="785">IFERROR((X384-W384)/W384,"")</f>
        <v/>
      </c>
      <c r="AK384" s="718" t="str">
        <f t="shared" si="785"/>
        <v/>
      </c>
      <c r="AL384" s="718" t="str">
        <f t="shared" si="785"/>
        <v/>
      </c>
      <c r="AM384" s="718" t="str">
        <f t="shared" si="785"/>
        <v/>
      </c>
      <c r="AN384" s="718" t="str">
        <f t="shared" si="785"/>
        <v/>
      </c>
      <c r="AO384" s="719" t="str">
        <f t="shared" si="785"/>
        <v/>
      </c>
      <c r="AP384" s="494" t="str">
        <f t="shared" si="785"/>
        <v/>
      </c>
      <c r="AQ384" s="494" t="str">
        <f t="shared" si="785"/>
        <v/>
      </c>
      <c r="AR384" s="494" t="str">
        <f t="shared" si="785"/>
        <v/>
      </c>
      <c r="AS384" s="720" t="str">
        <f t="shared" si="785"/>
        <v/>
      </c>
      <c r="AU384" s="1369"/>
      <c r="AW384" s="1412" t="str">
        <f t="shared" si="682"/>
        <v>Price</v>
      </c>
      <c r="AX384" s="1413" t="str">
        <f t="shared" si="682"/>
        <v>[Service]</v>
      </c>
      <c r="AY384" s="1414" t="str">
        <f t="shared" si="646"/>
        <v>[Price]</v>
      </c>
      <c r="AZ384" s="1415" t="str">
        <f t="shared" si="766"/>
        <v>-</v>
      </c>
      <c r="BA384" s="1415" t="str">
        <f t="shared" si="766"/>
        <v>-</v>
      </c>
      <c r="BB384" s="1415" t="str">
        <f t="shared" si="766"/>
        <v>-</v>
      </c>
      <c r="BC384" s="1415" t="str">
        <f t="shared" si="766"/>
        <v>-</v>
      </c>
      <c r="BD384" s="1415" t="str">
        <f t="shared" si="648"/>
        <v>-</v>
      </c>
      <c r="BE384" s="1415" t="str">
        <f t="shared" si="649"/>
        <v>-</v>
      </c>
      <c r="BF384" s="1415" t="str">
        <f t="shared" si="650"/>
        <v>-</v>
      </c>
      <c r="BG384" s="1416" t="str">
        <f t="shared" si="651"/>
        <v>-</v>
      </c>
      <c r="BH384" s="1417" t="str">
        <f t="shared" si="652"/>
        <v>-</v>
      </c>
      <c r="BI384" s="1417" t="str">
        <f t="shared" si="653"/>
        <v>-</v>
      </c>
      <c r="BJ384" s="1417" t="str">
        <f t="shared" si="654"/>
        <v>-</v>
      </c>
      <c r="BK384" s="1417" t="str">
        <f t="shared" si="655"/>
        <v>-</v>
      </c>
      <c r="BL384" s="1418" t="str">
        <f t="shared" si="656"/>
        <v>-</v>
      </c>
      <c r="BM384" s="1417" t="str">
        <f t="shared" si="657"/>
        <v>-</v>
      </c>
      <c r="BN384" s="1417" t="str">
        <f t="shared" si="658"/>
        <v>-</v>
      </c>
      <c r="BO384" s="1417" t="str">
        <f t="shared" si="659"/>
        <v>-</v>
      </c>
      <c r="BP384" s="1417" t="str">
        <f t="shared" si="660"/>
        <v>-</v>
      </c>
      <c r="BQ384" s="1419" t="str">
        <f t="shared" si="661"/>
        <v>-</v>
      </c>
      <c r="BR384" s="1378"/>
      <c r="BS384" s="1420"/>
      <c r="BT384" s="1421"/>
      <c r="BU384" s="1422"/>
      <c r="BV384" s="1423"/>
      <c r="BW384" s="1378"/>
      <c r="BX384" s="1412" t="str">
        <f t="shared" si="662"/>
        <v>Price</v>
      </c>
      <c r="BY384" s="1413" t="str">
        <f t="shared" si="707"/>
        <v>[Service]</v>
      </c>
      <c r="BZ384" s="1414" t="str">
        <f t="shared" si="708"/>
        <v>[Price]</v>
      </c>
      <c r="CA384" s="1424" t="str">
        <f>IFERROR((S384/R384-1)*(R386/R$13),"-")</f>
        <v>-</v>
      </c>
      <c r="CB384" s="1415" t="str">
        <f>IFERROR((T384/S384-1)*(S386/S$13),"-")</f>
        <v>-</v>
      </c>
      <c r="CC384" s="1415" t="str">
        <f>IFERROR((U384/T384-1)*(T386/T$13),"-")</f>
        <v>-</v>
      </c>
      <c r="CD384" s="1415" t="str">
        <f>IFERROR((V384/U384-1)*(U386/U$13),"-")</f>
        <v>-</v>
      </c>
      <c r="CE384" s="1415" t="str">
        <f t="shared" ref="CE384:CR384" si="786">IFERROR((T384/S384-1)*(S386/S$13),"-")</f>
        <v>-</v>
      </c>
      <c r="CF384" s="1415" t="str">
        <f t="shared" si="786"/>
        <v>-</v>
      </c>
      <c r="CG384" s="1415" t="str">
        <f t="shared" si="786"/>
        <v>-</v>
      </c>
      <c r="CH384" s="1425" t="str">
        <f t="shared" si="786"/>
        <v>-</v>
      </c>
      <c r="CI384" s="1417" t="str">
        <f t="shared" si="786"/>
        <v>-</v>
      </c>
      <c r="CJ384" s="1417" t="str">
        <f t="shared" si="786"/>
        <v>-</v>
      </c>
      <c r="CK384" s="1417" t="str">
        <f t="shared" si="786"/>
        <v>-</v>
      </c>
      <c r="CL384" s="1417" t="str">
        <f t="shared" si="786"/>
        <v>-</v>
      </c>
      <c r="CM384" s="1418" t="str">
        <f t="shared" si="786"/>
        <v>-</v>
      </c>
      <c r="CN384" s="1417" t="str">
        <f t="shared" si="786"/>
        <v>-</v>
      </c>
      <c r="CO384" s="1417" t="str">
        <f t="shared" si="786"/>
        <v>-</v>
      </c>
      <c r="CP384" s="1417" t="str">
        <f t="shared" si="786"/>
        <v>-</v>
      </c>
      <c r="CQ384" s="1417" t="str">
        <f t="shared" si="786"/>
        <v>-</v>
      </c>
      <c r="CR384" s="1419" t="str">
        <f t="shared" si="786"/>
        <v>-</v>
      </c>
      <c r="CS384" s="1378"/>
      <c r="CT384" s="1412" t="str">
        <f t="shared" si="643"/>
        <v>Price</v>
      </c>
      <c r="CU384" s="1413" t="str">
        <f t="shared" si="644"/>
        <v>[Service]</v>
      </c>
      <c r="CV384" s="1426" t="str">
        <f t="shared" si="645"/>
        <v>[Price]</v>
      </c>
      <c r="CW384" s="1427" t="str">
        <f t="shared" si="664"/>
        <v>-</v>
      </c>
      <c r="CX384" s="1417" t="str">
        <f t="shared" si="665"/>
        <v>-</v>
      </c>
      <c r="CY384" s="1417" t="str">
        <f t="shared" si="666"/>
        <v>-</v>
      </c>
      <c r="CZ384" s="1418" t="str">
        <f t="shared" si="667"/>
        <v>-</v>
      </c>
      <c r="DA384" s="1417" t="str">
        <f t="shared" si="668"/>
        <v>-</v>
      </c>
      <c r="DB384" s="1417" t="str">
        <f t="shared" si="669"/>
        <v>-</v>
      </c>
      <c r="DC384" s="1417" t="str">
        <f t="shared" si="670"/>
        <v>-</v>
      </c>
      <c r="DD384" s="1417" t="str">
        <f t="shared" si="671"/>
        <v>-</v>
      </c>
      <c r="DE384" s="1419" t="str">
        <f t="shared" si="672"/>
        <v>-</v>
      </c>
      <c r="DF384" s="1378"/>
      <c r="DG384" s="1412" t="str">
        <f t="shared" si="684"/>
        <v>Price</v>
      </c>
      <c r="DH384" s="1413" t="str">
        <f t="shared" si="684"/>
        <v>[Service]</v>
      </c>
      <c r="DI384" s="1426" t="str">
        <f t="shared" si="684"/>
        <v>[Price]</v>
      </c>
      <c r="DJ384" s="1427" t="str">
        <f t="shared" si="673"/>
        <v>-</v>
      </c>
      <c r="DK384" s="1417" t="str">
        <f t="shared" si="674"/>
        <v>-</v>
      </c>
      <c r="DL384" s="1417" t="str">
        <f t="shared" si="675"/>
        <v>-</v>
      </c>
      <c r="DM384" s="1418" t="str">
        <f t="shared" si="676"/>
        <v>-</v>
      </c>
      <c r="DN384" s="1417" t="str">
        <f t="shared" si="677"/>
        <v>-</v>
      </c>
      <c r="DO384" s="1417" t="str">
        <f t="shared" si="678"/>
        <v>-</v>
      </c>
      <c r="DP384" s="1417" t="str">
        <f t="shared" si="679"/>
        <v>-</v>
      </c>
      <c r="DQ384" s="1419" t="str">
        <f t="shared" si="680"/>
        <v>-</v>
      </c>
    </row>
    <row r="385" spans="4:121">
      <c r="E385" s="742" t="s">
        <v>45</v>
      </c>
      <c r="F385" s="722" t="str">
        <f>+F384</f>
        <v>[Service]</v>
      </c>
      <c r="G385" s="723">
        <f>+G384</f>
        <v>0</v>
      </c>
      <c r="H385" s="723">
        <f>+H384</f>
        <v>0</v>
      </c>
      <c r="I385" s="724" t="str">
        <f>+I384</f>
        <v>[Price]</v>
      </c>
      <c r="J385" s="782" t="s">
        <v>322</v>
      </c>
      <c r="K385" s="725"/>
      <c r="L385" s="726"/>
      <c r="M385" s="726"/>
      <c r="N385" s="727"/>
      <c r="O385" s="786"/>
      <c r="P385" s="787"/>
      <c r="Q385" s="786"/>
      <c r="R385" s="786"/>
      <c r="S385" s="786"/>
      <c r="T385" s="786"/>
      <c r="U385" s="786"/>
      <c r="V385" s="786"/>
      <c r="W385" s="786"/>
      <c r="X385" s="787"/>
      <c r="Y385" s="786"/>
      <c r="Z385" s="786"/>
      <c r="AA385" s="786"/>
      <c r="AB385" s="786"/>
      <c r="AC385" s="787"/>
      <c r="AD385" s="786"/>
      <c r="AE385" s="786"/>
      <c r="AF385" s="786"/>
      <c r="AG385" s="788"/>
      <c r="AH385" s="823"/>
      <c r="AI385" s="745"/>
      <c r="AJ385" s="728"/>
      <c r="AK385" s="729"/>
      <c r="AL385" s="729"/>
      <c r="AM385" s="729"/>
      <c r="AN385" s="729"/>
      <c r="AO385" s="730"/>
      <c r="AP385" s="74"/>
      <c r="AQ385" s="74"/>
      <c r="AR385" s="74"/>
      <c r="AS385" s="106"/>
      <c r="AW385" s="1392" t="str">
        <f t="shared" si="682"/>
        <v>Qty</v>
      </c>
      <c r="AX385" s="1393" t="str">
        <f t="shared" si="682"/>
        <v>[Service]</v>
      </c>
      <c r="AY385" s="1394" t="str">
        <f t="shared" si="646"/>
        <v>[Price]</v>
      </c>
      <c r="AZ385" s="1395" t="str">
        <f t="shared" si="766"/>
        <v>-</v>
      </c>
      <c r="BA385" s="1395" t="str">
        <f t="shared" si="766"/>
        <v>-</v>
      </c>
      <c r="BB385" s="1395" t="str">
        <f t="shared" si="766"/>
        <v>-</v>
      </c>
      <c r="BC385" s="1395" t="str">
        <f t="shared" si="766"/>
        <v>-</v>
      </c>
      <c r="BD385" s="1395" t="str">
        <f t="shared" si="648"/>
        <v>-</v>
      </c>
      <c r="BE385" s="1395" t="str">
        <f t="shared" si="649"/>
        <v>-</v>
      </c>
      <c r="BF385" s="1395" t="str">
        <f t="shared" si="650"/>
        <v>-</v>
      </c>
      <c r="BG385" s="1396" t="str">
        <f t="shared" si="651"/>
        <v>-</v>
      </c>
      <c r="BH385" s="1395" t="str">
        <f t="shared" si="652"/>
        <v>-</v>
      </c>
      <c r="BI385" s="1395" t="str">
        <f t="shared" si="653"/>
        <v>-</v>
      </c>
      <c r="BJ385" s="1395" t="str">
        <f t="shared" si="654"/>
        <v>-</v>
      </c>
      <c r="BK385" s="1395" t="str">
        <f t="shared" si="655"/>
        <v>-</v>
      </c>
      <c r="BL385" s="1397" t="str">
        <f t="shared" si="656"/>
        <v>-</v>
      </c>
      <c r="BM385" s="1395" t="str">
        <f t="shared" si="657"/>
        <v>-</v>
      </c>
      <c r="BN385" s="1395" t="str">
        <f t="shared" si="658"/>
        <v>-</v>
      </c>
      <c r="BO385" s="1395" t="str">
        <f t="shared" si="659"/>
        <v>-</v>
      </c>
      <c r="BP385" s="1395" t="str">
        <f t="shared" si="660"/>
        <v>-</v>
      </c>
      <c r="BQ385" s="1398" t="str">
        <f t="shared" si="661"/>
        <v>-</v>
      </c>
      <c r="BR385" s="1378"/>
      <c r="BS385" s="1329"/>
      <c r="BT385" s="1399"/>
      <c r="BU385" s="1331"/>
      <c r="BV385" s="1400"/>
      <c r="BW385" s="1378"/>
      <c r="BX385" s="1392" t="str">
        <f t="shared" si="662"/>
        <v>Qty</v>
      </c>
      <c r="BY385" s="1393" t="str">
        <f t="shared" si="707"/>
        <v>[Service]</v>
      </c>
      <c r="BZ385" s="1394" t="str">
        <f t="shared" si="708"/>
        <v>[Price]</v>
      </c>
      <c r="CA385" s="1401" t="str">
        <f>IFERROR((S385/R385-1)*(R386/R$13),"-")</f>
        <v>-</v>
      </c>
      <c r="CB385" s="1395" t="str">
        <f>IFERROR((T385/S385-1)*(S386/S$13),"-")</f>
        <v>-</v>
      </c>
      <c r="CC385" s="1395" t="str">
        <f>IFERROR((U385/T385-1)*(T386/T$13),"-")</f>
        <v>-</v>
      </c>
      <c r="CD385" s="1395" t="str">
        <f>IFERROR((V385/U385-1)*(U386/U$13),"-")</f>
        <v>-</v>
      </c>
      <c r="CE385" s="1395" t="str">
        <f t="shared" ref="CE385:CR385" si="787">IFERROR((T385/S385-1)*(S386/S$13),"-")</f>
        <v>-</v>
      </c>
      <c r="CF385" s="1395" t="str">
        <f t="shared" si="787"/>
        <v>-</v>
      </c>
      <c r="CG385" s="1395" t="str">
        <f t="shared" si="787"/>
        <v>-</v>
      </c>
      <c r="CH385" s="1397" t="str">
        <f t="shared" si="787"/>
        <v>-</v>
      </c>
      <c r="CI385" s="1395" t="str">
        <f t="shared" si="787"/>
        <v>-</v>
      </c>
      <c r="CJ385" s="1395" t="str">
        <f t="shared" si="787"/>
        <v>-</v>
      </c>
      <c r="CK385" s="1395" t="str">
        <f t="shared" si="787"/>
        <v>-</v>
      </c>
      <c r="CL385" s="1395" t="str">
        <f t="shared" si="787"/>
        <v>-</v>
      </c>
      <c r="CM385" s="1397" t="str">
        <f t="shared" si="787"/>
        <v>-</v>
      </c>
      <c r="CN385" s="1395" t="str">
        <f t="shared" si="787"/>
        <v>-</v>
      </c>
      <c r="CO385" s="1395" t="str">
        <f t="shared" si="787"/>
        <v>-</v>
      </c>
      <c r="CP385" s="1395" t="str">
        <f t="shared" si="787"/>
        <v>-</v>
      </c>
      <c r="CQ385" s="1395" t="str">
        <f t="shared" si="787"/>
        <v>-</v>
      </c>
      <c r="CR385" s="1398" t="str">
        <f t="shared" si="787"/>
        <v>-</v>
      </c>
      <c r="CS385" s="1378"/>
      <c r="CT385" s="1392" t="str">
        <f t="shared" si="643"/>
        <v>Qty</v>
      </c>
      <c r="CU385" s="1393" t="str">
        <f t="shared" si="644"/>
        <v>[Service]</v>
      </c>
      <c r="CV385" s="1393" t="str">
        <f t="shared" si="645"/>
        <v>[Price]</v>
      </c>
      <c r="CW385" s="1401" t="str">
        <f t="shared" si="664"/>
        <v>-</v>
      </c>
      <c r="CX385" s="1395" t="str">
        <f t="shared" si="665"/>
        <v>-</v>
      </c>
      <c r="CY385" s="1395" t="str">
        <f t="shared" si="666"/>
        <v>-</v>
      </c>
      <c r="CZ385" s="1397" t="str">
        <f t="shared" si="667"/>
        <v>-</v>
      </c>
      <c r="DA385" s="1395" t="str">
        <f t="shared" si="668"/>
        <v>-</v>
      </c>
      <c r="DB385" s="1395" t="str">
        <f t="shared" si="669"/>
        <v>-</v>
      </c>
      <c r="DC385" s="1395" t="str">
        <f t="shared" si="670"/>
        <v>-</v>
      </c>
      <c r="DD385" s="1395" t="str">
        <f t="shared" si="671"/>
        <v>-</v>
      </c>
      <c r="DE385" s="1398" t="str">
        <f t="shared" si="672"/>
        <v>-</v>
      </c>
      <c r="DF385" s="1378"/>
      <c r="DG385" s="1392" t="str">
        <f t="shared" si="684"/>
        <v>Qty</v>
      </c>
      <c r="DH385" s="1393" t="str">
        <f t="shared" si="684"/>
        <v>[Service]</v>
      </c>
      <c r="DI385" s="1393" t="str">
        <f t="shared" si="684"/>
        <v>[Price]</v>
      </c>
      <c r="DJ385" s="1401" t="str">
        <f t="shared" si="673"/>
        <v>-</v>
      </c>
      <c r="DK385" s="1395" t="str">
        <f t="shared" si="674"/>
        <v>-</v>
      </c>
      <c r="DL385" s="1395" t="str">
        <f t="shared" si="675"/>
        <v>-</v>
      </c>
      <c r="DM385" s="1397" t="str">
        <f t="shared" si="676"/>
        <v>-</v>
      </c>
      <c r="DN385" s="1395" t="str">
        <f t="shared" si="677"/>
        <v>-</v>
      </c>
      <c r="DO385" s="1395" t="str">
        <f t="shared" si="678"/>
        <v>-</v>
      </c>
      <c r="DP385" s="1395" t="str">
        <f t="shared" si="679"/>
        <v>-</v>
      </c>
      <c r="DQ385" s="1398" t="str">
        <f t="shared" si="680"/>
        <v>-</v>
      </c>
    </row>
    <row r="386" spans="4:121" ht="12.75" thickBot="1">
      <c r="E386" s="743" t="s">
        <v>46</v>
      </c>
      <c r="F386" s="732" t="str">
        <f>+F384</f>
        <v>[Service]</v>
      </c>
      <c r="G386" s="733">
        <f>+G384</f>
        <v>0</v>
      </c>
      <c r="H386" s="733">
        <f>+H384</f>
        <v>0</v>
      </c>
      <c r="I386" s="734" t="str">
        <f>+I384</f>
        <v>[Price]</v>
      </c>
      <c r="J386" s="735" t="s">
        <v>344</v>
      </c>
      <c r="K386" s="736">
        <f t="shared" ref="K386:AG386" si="788">K384*K385/10^6</f>
        <v>0</v>
      </c>
      <c r="L386" s="737">
        <f t="shared" si="788"/>
        <v>0</v>
      </c>
      <c r="M386" s="737">
        <f t="shared" si="788"/>
        <v>0</v>
      </c>
      <c r="N386" s="738">
        <f t="shared" si="788"/>
        <v>0</v>
      </c>
      <c r="O386" s="737">
        <f t="shared" si="788"/>
        <v>0</v>
      </c>
      <c r="P386" s="738">
        <f t="shared" si="788"/>
        <v>0</v>
      </c>
      <c r="Q386" s="737">
        <f t="shared" si="788"/>
        <v>0</v>
      </c>
      <c r="R386" s="737">
        <f t="shared" si="788"/>
        <v>0</v>
      </c>
      <c r="S386" s="737">
        <f t="shared" si="788"/>
        <v>0</v>
      </c>
      <c r="T386" s="737">
        <f t="shared" si="788"/>
        <v>0</v>
      </c>
      <c r="U386" s="737">
        <f t="shared" si="788"/>
        <v>0</v>
      </c>
      <c r="V386" s="737">
        <f t="shared" si="788"/>
        <v>0</v>
      </c>
      <c r="W386" s="737">
        <f t="shared" si="788"/>
        <v>0</v>
      </c>
      <c r="X386" s="738">
        <f t="shared" si="788"/>
        <v>0</v>
      </c>
      <c r="Y386" s="737">
        <f t="shared" si="788"/>
        <v>0</v>
      </c>
      <c r="Z386" s="737">
        <f t="shared" si="788"/>
        <v>0</v>
      </c>
      <c r="AA386" s="737">
        <f t="shared" si="788"/>
        <v>0</v>
      </c>
      <c r="AB386" s="737">
        <f t="shared" si="788"/>
        <v>0</v>
      </c>
      <c r="AC386" s="738">
        <f t="shared" si="788"/>
        <v>0</v>
      </c>
      <c r="AD386" s="737">
        <f t="shared" si="788"/>
        <v>0</v>
      </c>
      <c r="AE386" s="737">
        <f t="shared" si="788"/>
        <v>0</v>
      </c>
      <c r="AF386" s="737">
        <f t="shared" si="788"/>
        <v>0</v>
      </c>
      <c r="AG386" s="739">
        <f t="shared" si="788"/>
        <v>0</v>
      </c>
      <c r="AH386" s="823"/>
      <c r="AI386" s="745"/>
      <c r="AJ386" s="741"/>
      <c r="AK386" s="729"/>
      <c r="AL386" s="729"/>
      <c r="AM386" s="729"/>
      <c r="AN386" s="729"/>
      <c r="AO386" s="730"/>
      <c r="AP386" s="74"/>
      <c r="AQ386" s="74"/>
      <c r="AR386" s="74"/>
      <c r="AS386" s="106"/>
      <c r="AW386" s="1428" t="str">
        <f t="shared" si="682"/>
        <v>Rev</v>
      </c>
      <c r="AX386" s="1429" t="str">
        <f t="shared" si="682"/>
        <v>[Service]</v>
      </c>
      <c r="AY386" s="1430" t="str">
        <f t="shared" si="646"/>
        <v>[Price]</v>
      </c>
      <c r="AZ386" s="1431" t="str">
        <f t="shared" si="766"/>
        <v>-</v>
      </c>
      <c r="BA386" s="1431" t="str">
        <f t="shared" si="766"/>
        <v>-</v>
      </c>
      <c r="BB386" s="1431" t="str">
        <f t="shared" si="766"/>
        <v>-</v>
      </c>
      <c r="BC386" s="1431" t="str">
        <f t="shared" si="766"/>
        <v>-</v>
      </c>
      <c r="BD386" s="1431" t="str">
        <f t="shared" si="648"/>
        <v>-</v>
      </c>
      <c r="BE386" s="1431" t="str">
        <f t="shared" si="649"/>
        <v>-</v>
      </c>
      <c r="BF386" s="1431" t="str">
        <f t="shared" si="650"/>
        <v>-</v>
      </c>
      <c r="BG386" s="1432" t="str">
        <f t="shared" si="651"/>
        <v>-</v>
      </c>
      <c r="BH386" s="1431" t="str">
        <f t="shared" si="652"/>
        <v>-</v>
      </c>
      <c r="BI386" s="1431" t="str">
        <f t="shared" si="653"/>
        <v>-</v>
      </c>
      <c r="BJ386" s="1431" t="str">
        <f t="shared" si="654"/>
        <v>-</v>
      </c>
      <c r="BK386" s="1431" t="str">
        <f t="shared" si="655"/>
        <v>-</v>
      </c>
      <c r="BL386" s="1433" t="str">
        <f t="shared" si="656"/>
        <v>-</v>
      </c>
      <c r="BM386" s="1431" t="str">
        <f t="shared" si="657"/>
        <v>-</v>
      </c>
      <c r="BN386" s="1431" t="str">
        <f t="shared" si="658"/>
        <v>-</v>
      </c>
      <c r="BO386" s="1431" t="str">
        <f t="shared" si="659"/>
        <v>-</v>
      </c>
      <c r="BP386" s="1431" t="str">
        <f t="shared" si="660"/>
        <v>-</v>
      </c>
      <c r="BQ386" s="1434" t="str">
        <f t="shared" si="661"/>
        <v>-</v>
      </c>
      <c r="BR386" s="1378"/>
      <c r="BS386" s="1407"/>
      <c r="BT386" s="1408"/>
      <c r="BU386" s="1409"/>
      <c r="BV386" s="1410"/>
      <c r="BW386" s="1378"/>
      <c r="BX386" s="1428" t="str">
        <f t="shared" si="662"/>
        <v>Rev</v>
      </c>
      <c r="BY386" s="1429" t="str">
        <f t="shared" si="707"/>
        <v>[Service]</v>
      </c>
      <c r="BZ386" s="1430" t="str">
        <f t="shared" si="708"/>
        <v>[Price]</v>
      </c>
      <c r="CA386" s="1435" t="str">
        <f>IFERROR((S386/R386-1)*(R386/R$13),"-")</f>
        <v>-</v>
      </c>
      <c r="CB386" s="1431" t="str">
        <f>IFERROR((T386/S386-1)*(S386/S$13),"-")</f>
        <v>-</v>
      </c>
      <c r="CC386" s="1431" t="str">
        <f>IFERROR((U386/T386-1)*(T386/T$13),"-")</f>
        <v>-</v>
      </c>
      <c r="CD386" s="1431" t="str">
        <f>IFERROR((V386/U386-1)*(U386/U$13),"-")</f>
        <v>-</v>
      </c>
      <c r="CE386" s="1431" t="str">
        <f t="shared" ref="CE386:CR386" si="789">IFERROR((T386/S386-1)*(S386/S$13),"-")</f>
        <v>-</v>
      </c>
      <c r="CF386" s="1431" t="str">
        <f t="shared" si="789"/>
        <v>-</v>
      </c>
      <c r="CG386" s="1431" t="str">
        <f t="shared" si="789"/>
        <v>-</v>
      </c>
      <c r="CH386" s="1433" t="str">
        <f t="shared" si="789"/>
        <v>-</v>
      </c>
      <c r="CI386" s="1431" t="str">
        <f t="shared" si="789"/>
        <v>-</v>
      </c>
      <c r="CJ386" s="1431" t="str">
        <f t="shared" si="789"/>
        <v>-</v>
      </c>
      <c r="CK386" s="1431" t="str">
        <f t="shared" si="789"/>
        <v>-</v>
      </c>
      <c r="CL386" s="1431" t="str">
        <f t="shared" si="789"/>
        <v>-</v>
      </c>
      <c r="CM386" s="1433" t="str">
        <f t="shared" si="789"/>
        <v>-</v>
      </c>
      <c r="CN386" s="1431" t="str">
        <f t="shared" si="789"/>
        <v>-</v>
      </c>
      <c r="CO386" s="1431" t="str">
        <f t="shared" si="789"/>
        <v>-</v>
      </c>
      <c r="CP386" s="1431" t="str">
        <f t="shared" si="789"/>
        <v>-</v>
      </c>
      <c r="CQ386" s="1431" t="str">
        <f t="shared" si="789"/>
        <v>-</v>
      </c>
      <c r="CR386" s="1434" t="str">
        <f t="shared" si="789"/>
        <v>-</v>
      </c>
      <c r="CS386" s="1378"/>
      <c r="CT386" s="1428" t="str">
        <f t="shared" si="643"/>
        <v>Rev</v>
      </c>
      <c r="CU386" s="1429" t="str">
        <f t="shared" si="644"/>
        <v>[Service]</v>
      </c>
      <c r="CV386" s="1429" t="str">
        <f t="shared" si="645"/>
        <v>[Price]</v>
      </c>
      <c r="CW386" s="1435" t="str">
        <f t="shared" si="664"/>
        <v>-</v>
      </c>
      <c r="CX386" s="1431" t="str">
        <f t="shared" si="665"/>
        <v>-</v>
      </c>
      <c r="CY386" s="1431" t="str">
        <f t="shared" si="666"/>
        <v>-</v>
      </c>
      <c r="CZ386" s="1433" t="str">
        <f t="shared" si="667"/>
        <v>-</v>
      </c>
      <c r="DA386" s="1431" t="str">
        <f t="shared" si="668"/>
        <v>-</v>
      </c>
      <c r="DB386" s="1431" t="str">
        <f t="shared" si="669"/>
        <v>-</v>
      </c>
      <c r="DC386" s="1431" t="str">
        <f t="shared" si="670"/>
        <v>-</v>
      </c>
      <c r="DD386" s="1431" t="str">
        <f t="shared" si="671"/>
        <v>-</v>
      </c>
      <c r="DE386" s="1434" t="str">
        <f t="shared" si="672"/>
        <v>-</v>
      </c>
      <c r="DF386" s="1378"/>
      <c r="DG386" s="1428" t="str">
        <f t="shared" si="684"/>
        <v>Rev</v>
      </c>
      <c r="DH386" s="1429" t="str">
        <f t="shared" si="684"/>
        <v>[Service]</v>
      </c>
      <c r="DI386" s="1429" t="str">
        <f t="shared" si="684"/>
        <v>[Price]</v>
      </c>
      <c r="DJ386" s="1435" t="str">
        <f t="shared" si="673"/>
        <v>-</v>
      </c>
      <c r="DK386" s="1431" t="str">
        <f t="shared" si="674"/>
        <v>-</v>
      </c>
      <c r="DL386" s="1431" t="str">
        <f t="shared" si="675"/>
        <v>-</v>
      </c>
      <c r="DM386" s="1433" t="str">
        <f t="shared" si="676"/>
        <v>-</v>
      </c>
      <c r="DN386" s="1431" t="str">
        <f t="shared" si="677"/>
        <v>-</v>
      </c>
      <c r="DO386" s="1431" t="str">
        <f t="shared" si="678"/>
        <v>-</v>
      </c>
      <c r="DP386" s="1431" t="str">
        <f t="shared" si="679"/>
        <v>-</v>
      </c>
      <c r="DQ386" s="1434" t="str">
        <f t="shared" si="680"/>
        <v>-</v>
      </c>
    </row>
    <row r="387" spans="4:121">
      <c r="D387" s="70">
        <f>D384+1</f>
        <v>107</v>
      </c>
      <c r="E387" s="713" t="s">
        <v>44</v>
      </c>
      <c r="F387" s="789" t="s">
        <v>27</v>
      </c>
      <c r="G387" s="789"/>
      <c r="H387" s="789"/>
      <c r="I387" s="781" t="s">
        <v>318</v>
      </c>
      <c r="J387" s="781" t="s">
        <v>345</v>
      </c>
      <c r="K387" s="714"/>
      <c r="L387" s="715"/>
      <c r="M387" s="715"/>
      <c r="N387" s="716"/>
      <c r="O387" s="783"/>
      <c r="P387" s="784"/>
      <c r="Q387" s="783"/>
      <c r="R387" s="783"/>
      <c r="S387" s="783"/>
      <c r="T387" s="783"/>
      <c r="U387" s="783"/>
      <c r="V387" s="783"/>
      <c r="W387" s="783"/>
      <c r="X387" s="784"/>
      <c r="Y387" s="783"/>
      <c r="Z387" s="783"/>
      <c r="AA387" s="783"/>
      <c r="AB387" s="783"/>
      <c r="AC387" s="784"/>
      <c r="AD387" s="783"/>
      <c r="AE387" s="783"/>
      <c r="AF387" s="783"/>
      <c r="AG387" s="785"/>
      <c r="AI387" s="745"/>
      <c r="AJ387" s="717" t="str">
        <f t="shared" ref="AJ387:AS387" si="790">IFERROR((X387-W387)/W387,"")</f>
        <v/>
      </c>
      <c r="AK387" s="718" t="str">
        <f t="shared" si="790"/>
        <v/>
      </c>
      <c r="AL387" s="718" t="str">
        <f t="shared" si="790"/>
        <v/>
      </c>
      <c r="AM387" s="718" t="str">
        <f t="shared" si="790"/>
        <v/>
      </c>
      <c r="AN387" s="718" t="str">
        <f t="shared" si="790"/>
        <v/>
      </c>
      <c r="AO387" s="719" t="str">
        <f t="shared" si="790"/>
        <v/>
      </c>
      <c r="AP387" s="494" t="str">
        <f t="shared" si="790"/>
        <v/>
      </c>
      <c r="AQ387" s="494" t="str">
        <f t="shared" si="790"/>
        <v/>
      </c>
      <c r="AR387" s="494" t="str">
        <f t="shared" si="790"/>
        <v/>
      </c>
      <c r="AS387" s="720" t="str">
        <f t="shared" si="790"/>
        <v/>
      </c>
      <c r="AU387" s="1369"/>
      <c r="AW387" s="1412" t="str">
        <f t="shared" si="682"/>
        <v>Price</v>
      </c>
      <c r="AX387" s="1413" t="str">
        <f t="shared" si="682"/>
        <v>[Service]</v>
      </c>
      <c r="AY387" s="1414" t="str">
        <f t="shared" si="646"/>
        <v>[Price]</v>
      </c>
      <c r="AZ387" s="1415" t="str">
        <f t="shared" si="766"/>
        <v>-</v>
      </c>
      <c r="BA387" s="1415" t="str">
        <f t="shared" si="766"/>
        <v>-</v>
      </c>
      <c r="BB387" s="1415" t="str">
        <f t="shared" si="766"/>
        <v>-</v>
      </c>
      <c r="BC387" s="1415" t="str">
        <f t="shared" si="766"/>
        <v>-</v>
      </c>
      <c r="BD387" s="1415" t="str">
        <f t="shared" si="648"/>
        <v>-</v>
      </c>
      <c r="BE387" s="1415" t="str">
        <f t="shared" si="649"/>
        <v>-</v>
      </c>
      <c r="BF387" s="1415" t="str">
        <f t="shared" si="650"/>
        <v>-</v>
      </c>
      <c r="BG387" s="1416" t="str">
        <f t="shared" si="651"/>
        <v>-</v>
      </c>
      <c r="BH387" s="1417" t="str">
        <f t="shared" si="652"/>
        <v>-</v>
      </c>
      <c r="BI387" s="1417" t="str">
        <f t="shared" si="653"/>
        <v>-</v>
      </c>
      <c r="BJ387" s="1417" t="str">
        <f t="shared" si="654"/>
        <v>-</v>
      </c>
      <c r="BK387" s="1417" t="str">
        <f t="shared" si="655"/>
        <v>-</v>
      </c>
      <c r="BL387" s="1418" t="str">
        <f t="shared" si="656"/>
        <v>-</v>
      </c>
      <c r="BM387" s="1417" t="str">
        <f t="shared" si="657"/>
        <v>-</v>
      </c>
      <c r="BN387" s="1417" t="str">
        <f t="shared" si="658"/>
        <v>-</v>
      </c>
      <c r="BO387" s="1417" t="str">
        <f t="shared" si="659"/>
        <v>-</v>
      </c>
      <c r="BP387" s="1417" t="str">
        <f t="shared" si="660"/>
        <v>-</v>
      </c>
      <c r="BQ387" s="1419" t="str">
        <f t="shared" si="661"/>
        <v>-</v>
      </c>
      <c r="BR387" s="1378"/>
      <c r="BS387" s="1420"/>
      <c r="BT387" s="1421"/>
      <c r="BU387" s="1422"/>
      <c r="BV387" s="1423"/>
      <c r="BW387" s="1378"/>
      <c r="BX387" s="1412" t="str">
        <f t="shared" si="662"/>
        <v>Price</v>
      </c>
      <c r="BY387" s="1413" t="str">
        <f t="shared" si="707"/>
        <v>[Service]</v>
      </c>
      <c r="BZ387" s="1414" t="str">
        <f t="shared" si="708"/>
        <v>[Price]</v>
      </c>
      <c r="CA387" s="1424" t="str">
        <f>IFERROR((S387/R387-1)*(R389/R$13),"-")</f>
        <v>-</v>
      </c>
      <c r="CB387" s="1415" t="str">
        <f>IFERROR((T387/S387-1)*(S389/S$13),"-")</f>
        <v>-</v>
      </c>
      <c r="CC387" s="1415" t="str">
        <f>IFERROR((U387/T387-1)*(T389/T$13),"-")</f>
        <v>-</v>
      </c>
      <c r="CD387" s="1415" t="str">
        <f>IFERROR((V387/U387-1)*(U389/U$13),"-")</f>
        <v>-</v>
      </c>
      <c r="CE387" s="1415" t="str">
        <f t="shared" ref="CE387:CR387" si="791">IFERROR((T387/S387-1)*(S389/S$13),"-")</f>
        <v>-</v>
      </c>
      <c r="CF387" s="1415" t="str">
        <f t="shared" si="791"/>
        <v>-</v>
      </c>
      <c r="CG387" s="1415" t="str">
        <f t="shared" si="791"/>
        <v>-</v>
      </c>
      <c r="CH387" s="1425" t="str">
        <f t="shared" si="791"/>
        <v>-</v>
      </c>
      <c r="CI387" s="1417" t="str">
        <f t="shared" si="791"/>
        <v>-</v>
      </c>
      <c r="CJ387" s="1417" t="str">
        <f t="shared" si="791"/>
        <v>-</v>
      </c>
      <c r="CK387" s="1417" t="str">
        <f t="shared" si="791"/>
        <v>-</v>
      </c>
      <c r="CL387" s="1417" t="str">
        <f t="shared" si="791"/>
        <v>-</v>
      </c>
      <c r="CM387" s="1418" t="str">
        <f t="shared" si="791"/>
        <v>-</v>
      </c>
      <c r="CN387" s="1417" t="str">
        <f t="shared" si="791"/>
        <v>-</v>
      </c>
      <c r="CO387" s="1417" t="str">
        <f t="shared" si="791"/>
        <v>-</v>
      </c>
      <c r="CP387" s="1417" t="str">
        <f t="shared" si="791"/>
        <v>-</v>
      </c>
      <c r="CQ387" s="1417" t="str">
        <f t="shared" si="791"/>
        <v>-</v>
      </c>
      <c r="CR387" s="1419" t="str">
        <f t="shared" si="791"/>
        <v>-</v>
      </c>
      <c r="CS387" s="1378"/>
      <c r="CT387" s="1412" t="str">
        <f t="shared" si="643"/>
        <v>Price</v>
      </c>
      <c r="CU387" s="1413" t="str">
        <f t="shared" si="644"/>
        <v>[Service]</v>
      </c>
      <c r="CV387" s="1426" t="str">
        <f t="shared" si="645"/>
        <v>[Price]</v>
      </c>
      <c r="CW387" s="1427" t="str">
        <f t="shared" si="664"/>
        <v>-</v>
      </c>
      <c r="CX387" s="1417" t="str">
        <f t="shared" si="665"/>
        <v>-</v>
      </c>
      <c r="CY387" s="1417" t="str">
        <f t="shared" si="666"/>
        <v>-</v>
      </c>
      <c r="CZ387" s="1418" t="str">
        <f t="shared" si="667"/>
        <v>-</v>
      </c>
      <c r="DA387" s="1417" t="str">
        <f t="shared" si="668"/>
        <v>-</v>
      </c>
      <c r="DB387" s="1417" t="str">
        <f t="shared" si="669"/>
        <v>-</v>
      </c>
      <c r="DC387" s="1417" t="str">
        <f t="shared" si="670"/>
        <v>-</v>
      </c>
      <c r="DD387" s="1417" t="str">
        <f t="shared" si="671"/>
        <v>-</v>
      </c>
      <c r="DE387" s="1419" t="str">
        <f t="shared" si="672"/>
        <v>-</v>
      </c>
      <c r="DF387" s="1378"/>
      <c r="DG387" s="1412" t="str">
        <f t="shared" si="684"/>
        <v>Price</v>
      </c>
      <c r="DH387" s="1413" t="str">
        <f t="shared" si="684"/>
        <v>[Service]</v>
      </c>
      <c r="DI387" s="1426" t="str">
        <f t="shared" si="684"/>
        <v>[Price]</v>
      </c>
      <c r="DJ387" s="1427" t="str">
        <f t="shared" si="673"/>
        <v>-</v>
      </c>
      <c r="DK387" s="1417" t="str">
        <f t="shared" si="674"/>
        <v>-</v>
      </c>
      <c r="DL387" s="1417" t="str">
        <f t="shared" si="675"/>
        <v>-</v>
      </c>
      <c r="DM387" s="1418" t="str">
        <f t="shared" si="676"/>
        <v>-</v>
      </c>
      <c r="DN387" s="1417" t="str">
        <f t="shared" si="677"/>
        <v>-</v>
      </c>
      <c r="DO387" s="1417" t="str">
        <f t="shared" si="678"/>
        <v>-</v>
      </c>
      <c r="DP387" s="1417" t="str">
        <f t="shared" si="679"/>
        <v>-</v>
      </c>
      <c r="DQ387" s="1419" t="str">
        <f t="shared" si="680"/>
        <v>-</v>
      </c>
    </row>
    <row r="388" spans="4:121">
      <c r="E388" s="742" t="s">
        <v>45</v>
      </c>
      <c r="F388" s="722" t="str">
        <f>+F387</f>
        <v>[Service]</v>
      </c>
      <c r="G388" s="723">
        <f>+G387</f>
        <v>0</v>
      </c>
      <c r="H388" s="723">
        <f>+H387</f>
        <v>0</v>
      </c>
      <c r="I388" s="724" t="str">
        <f>+I387</f>
        <v>[Price]</v>
      </c>
      <c r="J388" s="782" t="s">
        <v>322</v>
      </c>
      <c r="K388" s="725"/>
      <c r="L388" s="726"/>
      <c r="M388" s="726"/>
      <c r="N388" s="727"/>
      <c r="O388" s="786"/>
      <c r="P388" s="787"/>
      <c r="Q388" s="786"/>
      <c r="R388" s="786"/>
      <c r="S388" s="786"/>
      <c r="T388" s="786"/>
      <c r="U388" s="786"/>
      <c r="V388" s="786"/>
      <c r="W388" s="786"/>
      <c r="X388" s="787"/>
      <c r="Y388" s="786"/>
      <c r="Z388" s="786"/>
      <c r="AA388" s="786"/>
      <c r="AB388" s="786"/>
      <c r="AC388" s="787"/>
      <c r="AD388" s="786"/>
      <c r="AE388" s="786"/>
      <c r="AF388" s="786"/>
      <c r="AG388" s="788"/>
      <c r="AH388" s="823"/>
      <c r="AI388" s="745"/>
      <c r="AJ388" s="728"/>
      <c r="AK388" s="729"/>
      <c r="AL388" s="729"/>
      <c r="AM388" s="729"/>
      <c r="AN388" s="729"/>
      <c r="AO388" s="730"/>
      <c r="AP388" s="74"/>
      <c r="AQ388" s="74"/>
      <c r="AR388" s="74"/>
      <c r="AS388" s="106"/>
      <c r="AW388" s="1392" t="str">
        <f t="shared" si="682"/>
        <v>Qty</v>
      </c>
      <c r="AX388" s="1393" t="str">
        <f t="shared" si="682"/>
        <v>[Service]</v>
      </c>
      <c r="AY388" s="1394" t="str">
        <f t="shared" si="646"/>
        <v>[Price]</v>
      </c>
      <c r="AZ388" s="1395" t="str">
        <f t="shared" si="766"/>
        <v>-</v>
      </c>
      <c r="BA388" s="1395" t="str">
        <f t="shared" si="766"/>
        <v>-</v>
      </c>
      <c r="BB388" s="1395" t="str">
        <f t="shared" si="766"/>
        <v>-</v>
      </c>
      <c r="BC388" s="1395" t="str">
        <f t="shared" si="766"/>
        <v>-</v>
      </c>
      <c r="BD388" s="1395" t="str">
        <f t="shared" si="648"/>
        <v>-</v>
      </c>
      <c r="BE388" s="1395" t="str">
        <f t="shared" si="649"/>
        <v>-</v>
      </c>
      <c r="BF388" s="1395" t="str">
        <f t="shared" si="650"/>
        <v>-</v>
      </c>
      <c r="BG388" s="1396" t="str">
        <f t="shared" si="651"/>
        <v>-</v>
      </c>
      <c r="BH388" s="1395" t="str">
        <f t="shared" si="652"/>
        <v>-</v>
      </c>
      <c r="BI388" s="1395" t="str">
        <f t="shared" si="653"/>
        <v>-</v>
      </c>
      <c r="BJ388" s="1395" t="str">
        <f t="shared" si="654"/>
        <v>-</v>
      </c>
      <c r="BK388" s="1395" t="str">
        <f t="shared" si="655"/>
        <v>-</v>
      </c>
      <c r="BL388" s="1397" t="str">
        <f t="shared" si="656"/>
        <v>-</v>
      </c>
      <c r="BM388" s="1395" t="str">
        <f t="shared" si="657"/>
        <v>-</v>
      </c>
      <c r="BN388" s="1395" t="str">
        <f t="shared" si="658"/>
        <v>-</v>
      </c>
      <c r="BO388" s="1395" t="str">
        <f t="shared" si="659"/>
        <v>-</v>
      </c>
      <c r="BP388" s="1395" t="str">
        <f t="shared" si="660"/>
        <v>-</v>
      </c>
      <c r="BQ388" s="1398" t="str">
        <f t="shared" si="661"/>
        <v>-</v>
      </c>
      <c r="BR388" s="1378"/>
      <c r="BS388" s="1329"/>
      <c r="BT388" s="1399"/>
      <c r="BU388" s="1331"/>
      <c r="BV388" s="1400"/>
      <c r="BW388" s="1378"/>
      <c r="BX388" s="1392" t="str">
        <f t="shared" si="662"/>
        <v>Qty</v>
      </c>
      <c r="BY388" s="1393" t="str">
        <f t="shared" si="707"/>
        <v>[Service]</v>
      </c>
      <c r="BZ388" s="1394" t="str">
        <f t="shared" si="708"/>
        <v>[Price]</v>
      </c>
      <c r="CA388" s="1401" t="str">
        <f>IFERROR((S388/R388-1)*(R389/R$13),"-")</f>
        <v>-</v>
      </c>
      <c r="CB388" s="1395" t="str">
        <f>IFERROR((T388/S388-1)*(S389/S$13),"-")</f>
        <v>-</v>
      </c>
      <c r="CC388" s="1395" t="str">
        <f>IFERROR((U388/T388-1)*(T389/T$13),"-")</f>
        <v>-</v>
      </c>
      <c r="CD388" s="1395" t="str">
        <f>IFERROR((V388/U388-1)*(U389/U$13),"-")</f>
        <v>-</v>
      </c>
      <c r="CE388" s="1395" t="str">
        <f t="shared" ref="CE388:CR388" si="792">IFERROR((T388/S388-1)*(S389/S$13),"-")</f>
        <v>-</v>
      </c>
      <c r="CF388" s="1395" t="str">
        <f t="shared" si="792"/>
        <v>-</v>
      </c>
      <c r="CG388" s="1395" t="str">
        <f t="shared" si="792"/>
        <v>-</v>
      </c>
      <c r="CH388" s="1397" t="str">
        <f t="shared" si="792"/>
        <v>-</v>
      </c>
      <c r="CI388" s="1395" t="str">
        <f t="shared" si="792"/>
        <v>-</v>
      </c>
      <c r="CJ388" s="1395" t="str">
        <f t="shared" si="792"/>
        <v>-</v>
      </c>
      <c r="CK388" s="1395" t="str">
        <f t="shared" si="792"/>
        <v>-</v>
      </c>
      <c r="CL388" s="1395" t="str">
        <f t="shared" si="792"/>
        <v>-</v>
      </c>
      <c r="CM388" s="1397" t="str">
        <f t="shared" si="792"/>
        <v>-</v>
      </c>
      <c r="CN388" s="1395" t="str">
        <f t="shared" si="792"/>
        <v>-</v>
      </c>
      <c r="CO388" s="1395" t="str">
        <f t="shared" si="792"/>
        <v>-</v>
      </c>
      <c r="CP388" s="1395" t="str">
        <f t="shared" si="792"/>
        <v>-</v>
      </c>
      <c r="CQ388" s="1395" t="str">
        <f t="shared" si="792"/>
        <v>-</v>
      </c>
      <c r="CR388" s="1398" t="str">
        <f t="shared" si="792"/>
        <v>-</v>
      </c>
      <c r="CS388" s="1378"/>
      <c r="CT388" s="1392" t="str">
        <f t="shared" ref="CT388:CT443" si="793">AW388</f>
        <v>Qty</v>
      </c>
      <c r="CU388" s="1393" t="str">
        <f t="shared" ref="CU388:CU443" si="794">AX388</f>
        <v>[Service]</v>
      </c>
      <c r="CV388" s="1393" t="str">
        <f t="shared" ref="CV388:CV443" si="795">AY388</f>
        <v>[Price]</v>
      </c>
      <c r="CW388" s="1401" t="str">
        <f t="shared" si="664"/>
        <v>-</v>
      </c>
      <c r="CX388" s="1395" t="str">
        <f t="shared" si="665"/>
        <v>-</v>
      </c>
      <c r="CY388" s="1395" t="str">
        <f t="shared" si="666"/>
        <v>-</v>
      </c>
      <c r="CZ388" s="1397" t="str">
        <f t="shared" si="667"/>
        <v>-</v>
      </c>
      <c r="DA388" s="1395" t="str">
        <f t="shared" si="668"/>
        <v>-</v>
      </c>
      <c r="DB388" s="1395" t="str">
        <f t="shared" si="669"/>
        <v>-</v>
      </c>
      <c r="DC388" s="1395" t="str">
        <f t="shared" si="670"/>
        <v>-</v>
      </c>
      <c r="DD388" s="1395" t="str">
        <f t="shared" si="671"/>
        <v>-</v>
      </c>
      <c r="DE388" s="1398" t="str">
        <f t="shared" si="672"/>
        <v>-</v>
      </c>
      <c r="DF388" s="1378"/>
      <c r="DG388" s="1392" t="str">
        <f t="shared" si="684"/>
        <v>Qty</v>
      </c>
      <c r="DH388" s="1393" t="str">
        <f t="shared" si="684"/>
        <v>[Service]</v>
      </c>
      <c r="DI388" s="1393" t="str">
        <f t="shared" si="684"/>
        <v>[Price]</v>
      </c>
      <c r="DJ388" s="1401" t="str">
        <f t="shared" si="673"/>
        <v>-</v>
      </c>
      <c r="DK388" s="1395" t="str">
        <f t="shared" si="674"/>
        <v>-</v>
      </c>
      <c r="DL388" s="1395" t="str">
        <f t="shared" si="675"/>
        <v>-</v>
      </c>
      <c r="DM388" s="1397" t="str">
        <f t="shared" si="676"/>
        <v>-</v>
      </c>
      <c r="DN388" s="1395" t="str">
        <f t="shared" si="677"/>
        <v>-</v>
      </c>
      <c r="DO388" s="1395" t="str">
        <f t="shared" si="678"/>
        <v>-</v>
      </c>
      <c r="DP388" s="1395" t="str">
        <f t="shared" si="679"/>
        <v>-</v>
      </c>
      <c r="DQ388" s="1398" t="str">
        <f t="shared" si="680"/>
        <v>-</v>
      </c>
    </row>
    <row r="389" spans="4:121" ht="12.75" thickBot="1">
      <c r="E389" s="743" t="s">
        <v>46</v>
      </c>
      <c r="F389" s="732" t="str">
        <f>+F387</f>
        <v>[Service]</v>
      </c>
      <c r="G389" s="733">
        <f>+G387</f>
        <v>0</v>
      </c>
      <c r="H389" s="733">
        <f>+H387</f>
        <v>0</v>
      </c>
      <c r="I389" s="734" t="str">
        <f>+I387</f>
        <v>[Price]</v>
      </c>
      <c r="J389" s="735" t="s">
        <v>344</v>
      </c>
      <c r="K389" s="736">
        <f t="shared" ref="K389:AG389" si="796">K387*K388/10^6</f>
        <v>0</v>
      </c>
      <c r="L389" s="737">
        <f t="shared" si="796"/>
        <v>0</v>
      </c>
      <c r="M389" s="737">
        <f t="shared" si="796"/>
        <v>0</v>
      </c>
      <c r="N389" s="738">
        <f t="shared" si="796"/>
        <v>0</v>
      </c>
      <c r="O389" s="737">
        <f t="shared" si="796"/>
        <v>0</v>
      </c>
      <c r="P389" s="738">
        <f t="shared" si="796"/>
        <v>0</v>
      </c>
      <c r="Q389" s="737">
        <f t="shared" si="796"/>
        <v>0</v>
      </c>
      <c r="R389" s="737">
        <f t="shared" si="796"/>
        <v>0</v>
      </c>
      <c r="S389" s="737">
        <f t="shared" si="796"/>
        <v>0</v>
      </c>
      <c r="T389" s="737">
        <f t="shared" si="796"/>
        <v>0</v>
      </c>
      <c r="U389" s="737">
        <f t="shared" si="796"/>
        <v>0</v>
      </c>
      <c r="V389" s="737">
        <f t="shared" si="796"/>
        <v>0</v>
      </c>
      <c r="W389" s="737">
        <f t="shared" si="796"/>
        <v>0</v>
      </c>
      <c r="X389" s="738">
        <f t="shared" si="796"/>
        <v>0</v>
      </c>
      <c r="Y389" s="737">
        <f t="shared" si="796"/>
        <v>0</v>
      </c>
      <c r="Z389" s="737">
        <f t="shared" si="796"/>
        <v>0</v>
      </c>
      <c r="AA389" s="737">
        <f t="shared" si="796"/>
        <v>0</v>
      </c>
      <c r="AB389" s="737">
        <f t="shared" si="796"/>
        <v>0</v>
      </c>
      <c r="AC389" s="738">
        <f t="shared" si="796"/>
        <v>0</v>
      </c>
      <c r="AD389" s="737">
        <f t="shared" si="796"/>
        <v>0</v>
      </c>
      <c r="AE389" s="737">
        <f t="shared" si="796"/>
        <v>0</v>
      </c>
      <c r="AF389" s="737">
        <f t="shared" si="796"/>
        <v>0</v>
      </c>
      <c r="AG389" s="739">
        <f t="shared" si="796"/>
        <v>0</v>
      </c>
      <c r="AH389" s="823"/>
      <c r="AI389" s="745"/>
      <c r="AJ389" s="741"/>
      <c r="AK389" s="729"/>
      <c r="AL389" s="729"/>
      <c r="AM389" s="729"/>
      <c r="AN389" s="729"/>
      <c r="AO389" s="730"/>
      <c r="AP389" s="74"/>
      <c r="AQ389" s="74"/>
      <c r="AR389" s="74"/>
      <c r="AS389" s="106"/>
      <c r="AW389" s="1428" t="str">
        <f t="shared" si="682"/>
        <v>Rev</v>
      </c>
      <c r="AX389" s="1429" t="str">
        <f t="shared" si="682"/>
        <v>[Service]</v>
      </c>
      <c r="AY389" s="1430" t="str">
        <f t="shared" ref="AY389:AY443" si="797">I389</f>
        <v>[Price]</v>
      </c>
      <c r="AZ389" s="1431" t="str">
        <f t="shared" ref="AZ389:BC404" si="798">IFERROR(P389/O389-1,"-")</f>
        <v>-</v>
      </c>
      <c r="BA389" s="1431" t="str">
        <f t="shared" si="798"/>
        <v>-</v>
      </c>
      <c r="BB389" s="1431" t="str">
        <f t="shared" si="798"/>
        <v>-</v>
      </c>
      <c r="BC389" s="1431" t="str">
        <f t="shared" si="798"/>
        <v>-</v>
      </c>
      <c r="BD389" s="1431" t="str">
        <f t="shared" ref="BD389:BD443" si="799">IFERROR(T389/S389-1,"-")</f>
        <v>-</v>
      </c>
      <c r="BE389" s="1431" t="str">
        <f t="shared" ref="BE389:BE443" si="800">IFERROR(U389/T389-1,"-")</f>
        <v>-</v>
      </c>
      <c r="BF389" s="1431" t="str">
        <f t="shared" ref="BF389:BF443" si="801">IFERROR(V389/U389-1,"-")</f>
        <v>-</v>
      </c>
      <c r="BG389" s="1432" t="str">
        <f t="shared" ref="BG389:BG443" si="802">IFERROR(W389/V389-1,"-")</f>
        <v>-</v>
      </c>
      <c r="BH389" s="1431" t="str">
        <f t="shared" ref="BH389:BH443" si="803">IFERROR(X389/W389-1,"-")</f>
        <v>-</v>
      </c>
      <c r="BI389" s="1431" t="str">
        <f t="shared" ref="BI389:BI443" si="804">IFERROR(Y389/X389-1,"-")</f>
        <v>-</v>
      </c>
      <c r="BJ389" s="1431" t="str">
        <f t="shared" ref="BJ389:BJ443" si="805">IFERROR(Z389/Y389-1,"-")</f>
        <v>-</v>
      </c>
      <c r="BK389" s="1431" t="str">
        <f t="shared" ref="BK389:BK443" si="806">IFERROR(AA389/Z389-1,"-")</f>
        <v>-</v>
      </c>
      <c r="BL389" s="1433" t="str">
        <f t="shared" ref="BL389:BL443" si="807">IFERROR(AB389/AA389-1,"-")</f>
        <v>-</v>
      </c>
      <c r="BM389" s="1431" t="str">
        <f t="shared" ref="BM389:BM443" si="808">IFERROR(AC389/AB389-1,"-")</f>
        <v>-</v>
      </c>
      <c r="BN389" s="1431" t="str">
        <f t="shared" ref="BN389:BN443" si="809">IFERROR(AD389/AC389-1,"-")</f>
        <v>-</v>
      </c>
      <c r="BO389" s="1431" t="str">
        <f t="shared" ref="BO389:BO443" si="810">IFERROR(AE389/AD389-1,"-")</f>
        <v>-</v>
      </c>
      <c r="BP389" s="1431" t="str">
        <f t="shared" ref="BP389:BP443" si="811">IFERROR(AF389/AE389-1,"-")</f>
        <v>-</v>
      </c>
      <c r="BQ389" s="1434" t="str">
        <f t="shared" ref="BQ389:BQ443" si="812">IFERROR(AG389/AF389-1,"-")</f>
        <v>-</v>
      </c>
      <c r="BR389" s="1378"/>
      <c r="BS389" s="1407"/>
      <c r="BT389" s="1408"/>
      <c r="BU389" s="1409"/>
      <c r="BV389" s="1410"/>
      <c r="BW389" s="1378"/>
      <c r="BX389" s="1428" t="str">
        <f t="shared" ref="BX389:BX443" si="813">AW389</f>
        <v>Rev</v>
      </c>
      <c r="BY389" s="1429" t="str">
        <f t="shared" si="707"/>
        <v>[Service]</v>
      </c>
      <c r="BZ389" s="1430" t="str">
        <f t="shared" si="708"/>
        <v>[Price]</v>
      </c>
      <c r="CA389" s="1435" t="str">
        <f>IFERROR((S389/R389-1)*(R389/R$13),"-")</f>
        <v>-</v>
      </c>
      <c r="CB389" s="1431" t="str">
        <f>IFERROR((T389/S389-1)*(S389/S$13),"-")</f>
        <v>-</v>
      </c>
      <c r="CC389" s="1431" t="str">
        <f>IFERROR((U389/T389-1)*(T389/T$13),"-")</f>
        <v>-</v>
      </c>
      <c r="CD389" s="1431" t="str">
        <f>IFERROR((V389/U389-1)*(U389/U$13),"-")</f>
        <v>-</v>
      </c>
      <c r="CE389" s="1431" t="str">
        <f t="shared" ref="CE389:CR389" si="814">IFERROR((T389/S389-1)*(S389/S$13),"-")</f>
        <v>-</v>
      </c>
      <c r="CF389" s="1431" t="str">
        <f t="shared" si="814"/>
        <v>-</v>
      </c>
      <c r="CG389" s="1431" t="str">
        <f t="shared" si="814"/>
        <v>-</v>
      </c>
      <c r="CH389" s="1433" t="str">
        <f t="shared" si="814"/>
        <v>-</v>
      </c>
      <c r="CI389" s="1431" t="str">
        <f t="shared" si="814"/>
        <v>-</v>
      </c>
      <c r="CJ389" s="1431" t="str">
        <f t="shared" si="814"/>
        <v>-</v>
      </c>
      <c r="CK389" s="1431" t="str">
        <f t="shared" si="814"/>
        <v>-</v>
      </c>
      <c r="CL389" s="1431" t="str">
        <f t="shared" si="814"/>
        <v>-</v>
      </c>
      <c r="CM389" s="1433" t="str">
        <f t="shared" si="814"/>
        <v>-</v>
      </c>
      <c r="CN389" s="1431" t="str">
        <f t="shared" si="814"/>
        <v>-</v>
      </c>
      <c r="CO389" s="1431" t="str">
        <f t="shared" si="814"/>
        <v>-</v>
      </c>
      <c r="CP389" s="1431" t="str">
        <f t="shared" si="814"/>
        <v>-</v>
      </c>
      <c r="CQ389" s="1431" t="str">
        <f t="shared" si="814"/>
        <v>-</v>
      </c>
      <c r="CR389" s="1434" t="str">
        <f t="shared" si="814"/>
        <v>-</v>
      </c>
      <c r="CS389" s="1378"/>
      <c r="CT389" s="1428" t="str">
        <f t="shared" si="793"/>
        <v>Rev</v>
      </c>
      <c r="CU389" s="1429" t="str">
        <f t="shared" si="794"/>
        <v>[Service]</v>
      </c>
      <c r="CV389" s="1429" t="str">
        <f t="shared" si="795"/>
        <v>[Price]</v>
      </c>
      <c r="CW389" s="1435" t="str">
        <f t="shared" ref="CW389:CW443" si="815">IFERROR((Y389/$W389)^(1/CW$64)-1,"-")</f>
        <v>-</v>
      </c>
      <c r="CX389" s="1431" t="str">
        <f t="shared" ref="CX389:CX443" si="816">IFERROR((Z389/$W389)^(1/CX$64)-1,"-")</f>
        <v>-</v>
      </c>
      <c r="CY389" s="1431" t="str">
        <f t="shared" ref="CY389:CY443" si="817">IFERROR((AA389/$W389)^(1/CY$64)-1,"-")</f>
        <v>-</v>
      </c>
      <c r="CZ389" s="1433" t="str">
        <f t="shared" ref="CZ389:CZ443" si="818">IFERROR((AB389/$W389)^(1/CZ$64)-1,"-")</f>
        <v>-</v>
      </c>
      <c r="DA389" s="1431" t="str">
        <f t="shared" ref="DA389:DA443" si="819">IFERROR((AC389/$W389)^(1/DA$64)-1,"-")</f>
        <v>-</v>
      </c>
      <c r="DB389" s="1431" t="str">
        <f t="shared" ref="DB389:DB443" si="820">IFERROR((AD389/$W389)^(1/DB$64)-1,"-")</f>
        <v>-</v>
      </c>
      <c r="DC389" s="1431" t="str">
        <f t="shared" ref="DC389:DC443" si="821">IFERROR((AE389/$W389)^(1/DC$64)-1,"-")</f>
        <v>-</v>
      </c>
      <c r="DD389" s="1431" t="str">
        <f t="shared" ref="DD389:DD443" si="822">IFERROR((AF389/$W389)^(1/DD$64)-1,"-")</f>
        <v>-</v>
      </c>
      <c r="DE389" s="1434" t="str">
        <f t="shared" ref="DE389:DE443" si="823">IFERROR((AG389/$W389)^(1/DE$64)-1,"-")</f>
        <v>-</v>
      </c>
      <c r="DF389" s="1378"/>
      <c r="DG389" s="1428" t="str">
        <f t="shared" si="684"/>
        <v>Rev</v>
      </c>
      <c r="DH389" s="1429" t="str">
        <f t="shared" si="684"/>
        <v>[Service]</v>
      </c>
      <c r="DI389" s="1429" t="str">
        <f t="shared" si="684"/>
        <v>[Price]</v>
      </c>
      <c r="DJ389" s="1435" t="str">
        <f t="shared" ref="DJ389:DJ443" si="824">IFERROR((Z389/$X389)^(1/DJ$64)-1,"-")</f>
        <v>-</v>
      </c>
      <c r="DK389" s="1431" t="str">
        <f t="shared" ref="DK389:DK443" si="825">IFERROR((AA389/$X389)^(1/DK$64)-1,"-")</f>
        <v>-</v>
      </c>
      <c r="DL389" s="1431" t="str">
        <f t="shared" ref="DL389:DL443" si="826">IFERROR((AB389/$X389)^(1/DL$64)-1,"-")</f>
        <v>-</v>
      </c>
      <c r="DM389" s="1433" t="str">
        <f t="shared" ref="DM389:DM443" si="827">IFERROR((AC389/$X389)^(1/DM$64)-1,"-")</f>
        <v>-</v>
      </c>
      <c r="DN389" s="1431" t="str">
        <f t="shared" ref="DN389:DN443" si="828">IFERROR((AD389/$X389)^(1/DN$64)-1,"-")</f>
        <v>-</v>
      </c>
      <c r="DO389" s="1431" t="str">
        <f t="shared" ref="DO389:DO443" si="829">IFERROR((AE389/$X389)^(1/DO$64)-1,"-")</f>
        <v>-</v>
      </c>
      <c r="DP389" s="1431" t="str">
        <f t="shared" ref="DP389:DP443" si="830">IFERROR((AF389/$X389)^(1/DP$64)-1,"-")</f>
        <v>-</v>
      </c>
      <c r="DQ389" s="1434" t="str">
        <f t="shared" ref="DQ389:DQ443" si="831">IFERROR((AG389/$X389)^(1/DQ$64)-1,"-")</f>
        <v>-</v>
      </c>
    </row>
    <row r="390" spans="4:121">
      <c r="D390" s="70">
        <f>D387+1</f>
        <v>108</v>
      </c>
      <c r="E390" s="713" t="s">
        <v>44</v>
      </c>
      <c r="F390" s="789" t="s">
        <v>27</v>
      </c>
      <c r="G390" s="789"/>
      <c r="H390" s="789"/>
      <c r="I390" s="781" t="s">
        <v>318</v>
      </c>
      <c r="J390" s="781" t="s">
        <v>345</v>
      </c>
      <c r="K390" s="714"/>
      <c r="L390" s="715"/>
      <c r="M390" s="715"/>
      <c r="N390" s="716"/>
      <c r="O390" s="783"/>
      <c r="P390" s="784"/>
      <c r="Q390" s="783"/>
      <c r="R390" s="783"/>
      <c r="S390" s="783"/>
      <c r="T390" s="783"/>
      <c r="U390" s="783"/>
      <c r="V390" s="783"/>
      <c r="W390" s="783"/>
      <c r="X390" s="784"/>
      <c r="Y390" s="783"/>
      <c r="Z390" s="783"/>
      <c r="AA390" s="783"/>
      <c r="AB390" s="783"/>
      <c r="AC390" s="784"/>
      <c r="AD390" s="783"/>
      <c r="AE390" s="783"/>
      <c r="AF390" s="783"/>
      <c r="AG390" s="785"/>
      <c r="AI390" s="745"/>
      <c r="AJ390" s="717" t="str">
        <f t="shared" ref="AJ390:AS390" si="832">IFERROR((X390-W390)/W390,"")</f>
        <v/>
      </c>
      <c r="AK390" s="718" t="str">
        <f t="shared" si="832"/>
        <v/>
      </c>
      <c r="AL390" s="718" t="str">
        <f t="shared" si="832"/>
        <v/>
      </c>
      <c r="AM390" s="718" t="str">
        <f t="shared" si="832"/>
        <v/>
      </c>
      <c r="AN390" s="718" t="str">
        <f t="shared" si="832"/>
        <v/>
      </c>
      <c r="AO390" s="719" t="str">
        <f t="shared" si="832"/>
        <v/>
      </c>
      <c r="AP390" s="494" t="str">
        <f t="shared" si="832"/>
        <v/>
      </c>
      <c r="AQ390" s="494" t="str">
        <f t="shared" si="832"/>
        <v/>
      </c>
      <c r="AR390" s="494" t="str">
        <f t="shared" si="832"/>
        <v/>
      </c>
      <c r="AS390" s="720" t="str">
        <f t="shared" si="832"/>
        <v/>
      </c>
      <c r="AU390" s="1369"/>
      <c r="AW390" s="1412" t="str">
        <f t="shared" ref="AW390:AX443" si="833">E390</f>
        <v>Price</v>
      </c>
      <c r="AX390" s="1413" t="str">
        <f t="shared" si="833"/>
        <v>[Service]</v>
      </c>
      <c r="AY390" s="1414" t="str">
        <f t="shared" si="797"/>
        <v>[Price]</v>
      </c>
      <c r="AZ390" s="1415" t="str">
        <f t="shared" si="798"/>
        <v>-</v>
      </c>
      <c r="BA390" s="1415" t="str">
        <f t="shared" si="798"/>
        <v>-</v>
      </c>
      <c r="BB390" s="1415" t="str">
        <f t="shared" si="798"/>
        <v>-</v>
      </c>
      <c r="BC390" s="1415" t="str">
        <f t="shared" si="798"/>
        <v>-</v>
      </c>
      <c r="BD390" s="1415" t="str">
        <f t="shared" si="799"/>
        <v>-</v>
      </c>
      <c r="BE390" s="1415" t="str">
        <f t="shared" si="800"/>
        <v>-</v>
      </c>
      <c r="BF390" s="1415" t="str">
        <f t="shared" si="801"/>
        <v>-</v>
      </c>
      <c r="BG390" s="1416" t="str">
        <f t="shared" si="802"/>
        <v>-</v>
      </c>
      <c r="BH390" s="1417" t="str">
        <f t="shared" si="803"/>
        <v>-</v>
      </c>
      <c r="BI390" s="1417" t="str">
        <f t="shared" si="804"/>
        <v>-</v>
      </c>
      <c r="BJ390" s="1417" t="str">
        <f t="shared" si="805"/>
        <v>-</v>
      </c>
      <c r="BK390" s="1417" t="str">
        <f t="shared" si="806"/>
        <v>-</v>
      </c>
      <c r="BL390" s="1418" t="str">
        <f t="shared" si="807"/>
        <v>-</v>
      </c>
      <c r="BM390" s="1417" t="str">
        <f t="shared" si="808"/>
        <v>-</v>
      </c>
      <c r="BN390" s="1417" t="str">
        <f t="shared" si="809"/>
        <v>-</v>
      </c>
      <c r="BO390" s="1417" t="str">
        <f t="shared" si="810"/>
        <v>-</v>
      </c>
      <c r="BP390" s="1417" t="str">
        <f t="shared" si="811"/>
        <v>-</v>
      </c>
      <c r="BQ390" s="1419" t="str">
        <f t="shared" si="812"/>
        <v>-</v>
      </c>
      <c r="BR390" s="1378"/>
      <c r="BS390" s="1420"/>
      <c r="BT390" s="1421"/>
      <c r="BU390" s="1422"/>
      <c r="BV390" s="1423"/>
      <c r="BW390" s="1378"/>
      <c r="BX390" s="1412" t="str">
        <f t="shared" si="813"/>
        <v>Price</v>
      </c>
      <c r="BY390" s="1413" t="str">
        <f t="shared" si="707"/>
        <v>[Service]</v>
      </c>
      <c r="BZ390" s="1414" t="str">
        <f t="shared" si="708"/>
        <v>[Price]</v>
      </c>
      <c r="CA390" s="1424" t="str">
        <f>IFERROR((S390/R390-1)*(R392/R$13),"-")</f>
        <v>-</v>
      </c>
      <c r="CB390" s="1415" t="str">
        <f>IFERROR((T390/S390-1)*(S392/S$13),"-")</f>
        <v>-</v>
      </c>
      <c r="CC390" s="1415" t="str">
        <f>IFERROR((U390/T390-1)*(T392/T$13),"-")</f>
        <v>-</v>
      </c>
      <c r="CD390" s="1415" t="str">
        <f>IFERROR((V390/U390-1)*(U392/U$13),"-")</f>
        <v>-</v>
      </c>
      <c r="CE390" s="1415" t="str">
        <f t="shared" ref="CE390:CR390" si="834">IFERROR((T390/S390-1)*(S392/S$13),"-")</f>
        <v>-</v>
      </c>
      <c r="CF390" s="1415" t="str">
        <f t="shared" si="834"/>
        <v>-</v>
      </c>
      <c r="CG390" s="1415" t="str">
        <f t="shared" si="834"/>
        <v>-</v>
      </c>
      <c r="CH390" s="1425" t="str">
        <f t="shared" si="834"/>
        <v>-</v>
      </c>
      <c r="CI390" s="1417" t="str">
        <f t="shared" si="834"/>
        <v>-</v>
      </c>
      <c r="CJ390" s="1417" t="str">
        <f t="shared" si="834"/>
        <v>-</v>
      </c>
      <c r="CK390" s="1417" t="str">
        <f t="shared" si="834"/>
        <v>-</v>
      </c>
      <c r="CL390" s="1417" t="str">
        <f t="shared" si="834"/>
        <v>-</v>
      </c>
      <c r="CM390" s="1418" t="str">
        <f t="shared" si="834"/>
        <v>-</v>
      </c>
      <c r="CN390" s="1417" t="str">
        <f t="shared" si="834"/>
        <v>-</v>
      </c>
      <c r="CO390" s="1417" t="str">
        <f t="shared" si="834"/>
        <v>-</v>
      </c>
      <c r="CP390" s="1417" t="str">
        <f t="shared" si="834"/>
        <v>-</v>
      </c>
      <c r="CQ390" s="1417" t="str">
        <f t="shared" si="834"/>
        <v>-</v>
      </c>
      <c r="CR390" s="1419" t="str">
        <f t="shared" si="834"/>
        <v>-</v>
      </c>
      <c r="CS390" s="1378"/>
      <c r="CT390" s="1412" t="str">
        <f t="shared" si="793"/>
        <v>Price</v>
      </c>
      <c r="CU390" s="1413" t="str">
        <f t="shared" si="794"/>
        <v>[Service]</v>
      </c>
      <c r="CV390" s="1426" t="str">
        <f t="shared" si="795"/>
        <v>[Price]</v>
      </c>
      <c r="CW390" s="1427" t="str">
        <f t="shared" si="815"/>
        <v>-</v>
      </c>
      <c r="CX390" s="1417" t="str">
        <f t="shared" si="816"/>
        <v>-</v>
      </c>
      <c r="CY390" s="1417" t="str">
        <f t="shared" si="817"/>
        <v>-</v>
      </c>
      <c r="CZ390" s="1418" t="str">
        <f t="shared" si="818"/>
        <v>-</v>
      </c>
      <c r="DA390" s="1417" t="str">
        <f t="shared" si="819"/>
        <v>-</v>
      </c>
      <c r="DB390" s="1417" t="str">
        <f t="shared" si="820"/>
        <v>-</v>
      </c>
      <c r="DC390" s="1417" t="str">
        <f t="shared" si="821"/>
        <v>-</v>
      </c>
      <c r="DD390" s="1417" t="str">
        <f t="shared" si="822"/>
        <v>-</v>
      </c>
      <c r="DE390" s="1419" t="str">
        <f t="shared" si="823"/>
        <v>-</v>
      </c>
      <c r="DF390" s="1378"/>
      <c r="DG390" s="1412" t="str">
        <f t="shared" ref="DG390:DI443" si="835">CT390</f>
        <v>Price</v>
      </c>
      <c r="DH390" s="1413" t="str">
        <f t="shared" si="835"/>
        <v>[Service]</v>
      </c>
      <c r="DI390" s="1426" t="str">
        <f t="shared" si="835"/>
        <v>[Price]</v>
      </c>
      <c r="DJ390" s="1427" t="str">
        <f t="shared" si="824"/>
        <v>-</v>
      </c>
      <c r="DK390" s="1417" t="str">
        <f t="shared" si="825"/>
        <v>-</v>
      </c>
      <c r="DL390" s="1417" t="str">
        <f t="shared" si="826"/>
        <v>-</v>
      </c>
      <c r="DM390" s="1418" t="str">
        <f t="shared" si="827"/>
        <v>-</v>
      </c>
      <c r="DN390" s="1417" t="str">
        <f t="shared" si="828"/>
        <v>-</v>
      </c>
      <c r="DO390" s="1417" t="str">
        <f t="shared" si="829"/>
        <v>-</v>
      </c>
      <c r="DP390" s="1417" t="str">
        <f t="shared" si="830"/>
        <v>-</v>
      </c>
      <c r="DQ390" s="1419" t="str">
        <f t="shared" si="831"/>
        <v>-</v>
      </c>
    </row>
    <row r="391" spans="4:121">
      <c r="E391" s="742" t="s">
        <v>45</v>
      </c>
      <c r="F391" s="722" t="str">
        <f>+F390</f>
        <v>[Service]</v>
      </c>
      <c r="G391" s="723">
        <f>+G390</f>
        <v>0</v>
      </c>
      <c r="H391" s="723">
        <f>+H390</f>
        <v>0</v>
      </c>
      <c r="I391" s="724" t="str">
        <f>+I390</f>
        <v>[Price]</v>
      </c>
      <c r="J391" s="782" t="s">
        <v>322</v>
      </c>
      <c r="K391" s="725"/>
      <c r="L391" s="726"/>
      <c r="M391" s="726"/>
      <c r="N391" s="727"/>
      <c r="O391" s="786"/>
      <c r="P391" s="787"/>
      <c r="Q391" s="786"/>
      <c r="R391" s="786"/>
      <c r="S391" s="786"/>
      <c r="T391" s="786"/>
      <c r="U391" s="786"/>
      <c r="V391" s="786"/>
      <c r="W391" s="786"/>
      <c r="X391" s="787"/>
      <c r="Y391" s="786"/>
      <c r="Z391" s="786"/>
      <c r="AA391" s="786"/>
      <c r="AB391" s="786"/>
      <c r="AC391" s="787"/>
      <c r="AD391" s="786"/>
      <c r="AE391" s="786"/>
      <c r="AF391" s="786"/>
      <c r="AG391" s="788"/>
      <c r="AH391" s="823"/>
      <c r="AI391" s="745"/>
      <c r="AJ391" s="728"/>
      <c r="AK391" s="729"/>
      <c r="AL391" s="729"/>
      <c r="AM391" s="729"/>
      <c r="AN391" s="729"/>
      <c r="AO391" s="730"/>
      <c r="AP391" s="74"/>
      <c r="AQ391" s="74"/>
      <c r="AR391" s="74"/>
      <c r="AS391" s="106"/>
      <c r="AW391" s="1392" t="str">
        <f t="shared" si="833"/>
        <v>Qty</v>
      </c>
      <c r="AX391" s="1393" t="str">
        <f t="shared" si="833"/>
        <v>[Service]</v>
      </c>
      <c r="AY391" s="1394" t="str">
        <f t="shared" si="797"/>
        <v>[Price]</v>
      </c>
      <c r="AZ391" s="1395" t="str">
        <f t="shared" si="798"/>
        <v>-</v>
      </c>
      <c r="BA391" s="1395" t="str">
        <f t="shared" si="798"/>
        <v>-</v>
      </c>
      <c r="BB391" s="1395" t="str">
        <f t="shared" si="798"/>
        <v>-</v>
      </c>
      <c r="BC391" s="1395" t="str">
        <f t="shared" si="798"/>
        <v>-</v>
      </c>
      <c r="BD391" s="1395" t="str">
        <f t="shared" si="799"/>
        <v>-</v>
      </c>
      <c r="BE391" s="1395" t="str">
        <f t="shared" si="800"/>
        <v>-</v>
      </c>
      <c r="BF391" s="1395" t="str">
        <f t="shared" si="801"/>
        <v>-</v>
      </c>
      <c r="BG391" s="1396" t="str">
        <f t="shared" si="802"/>
        <v>-</v>
      </c>
      <c r="BH391" s="1395" t="str">
        <f t="shared" si="803"/>
        <v>-</v>
      </c>
      <c r="BI391" s="1395" t="str">
        <f t="shared" si="804"/>
        <v>-</v>
      </c>
      <c r="BJ391" s="1395" t="str">
        <f t="shared" si="805"/>
        <v>-</v>
      </c>
      <c r="BK391" s="1395" t="str">
        <f t="shared" si="806"/>
        <v>-</v>
      </c>
      <c r="BL391" s="1397" t="str">
        <f t="shared" si="807"/>
        <v>-</v>
      </c>
      <c r="BM391" s="1395" t="str">
        <f t="shared" si="808"/>
        <v>-</v>
      </c>
      <c r="BN391" s="1395" t="str">
        <f t="shared" si="809"/>
        <v>-</v>
      </c>
      <c r="BO391" s="1395" t="str">
        <f t="shared" si="810"/>
        <v>-</v>
      </c>
      <c r="BP391" s="1395" t="str">
        <f t="shared" si="811"/>
        <v>-</v>
      </c>
      <c r="BQ391" s="1398" t="str">
        <f t="shared" si="812"/>
        <v>-</v>
      </c>
      <c r="BR391" s="1378"/>
      <c r="BS391" s="1329"/>
      <c r="BT391" s="1399"/>
      <c r="BU391" s="1331"/>
      <c r="BV391" s="1400"/>
      <c r="BW391" s="1378"/>
      <c r="BX391" s="1392" t="str">
        <f t="shared" si="813"/>
        <v>Qty</v>
      </c>
      <c r="BY391" s="1393" t="str">
        <f t="shared" si="707"/>
        <v>[Service]</v>
      </c>
      <c r="BZ391" s="1394" t="str">
        <f t="shared" si="708"/>
        <v>[Price]</v>
      </c>
      <c r="CA391" s="1401" t="str">
        <f>IFERROR((S391/R391-1)*(R392/R$13),"-")</f>
        <v>-</v>
      </c>
      <c r="CB391" s="1395" t="str">
        <f>IFERROR((T391/S391-1)*(S392/S$13),"-")</f>
        <v>-</v>
      </c>
      <c r="CC391" s="1395" t="str">
        <f>IFERROR((U391/T391-1)*(T392/T$13),"-")</f>
        <v>-</v>
      </c>
      <c r="CD391" s="1395" t="str">
        <f>IFERROR((V391/U391-1)*(U392/U$13),"-")</f>
        <v>-</v>
      </c>
      <c r="CE391" s="1395" t="str">
        <f t="shared" ref="CE391:CR391" si="836">IFERROR((T391/S391-1)*(S392/S$13),"-")</f>
        <v>-</v>
      </c>
      <c r="CF391" s="1395" t="str">
        <f t="shared" si="836"/>
        <v>-</v>
      </c>
      <c r="CG391" s="1395" t="str">
        <f t="shared" si="836"/>
        <v>-</v>
      </c>
      <c r="CH391" s="1397" t="str">
        <f t="shared" si="836"/>
        <v>-</v>
      </c>
      <c r="CI391" s="1395" t="str">
        <f t="shared" si="836"/>
        <v>-</v>
      </c>
      <c r="CJ391" s="1395" t="str">
        <f t="shared" si="836"/>
        <v>-</v>
      </c>
      <c r="CK391" s="1395" t="str">
        <f t="shared" si="836"/>
        <v>-</v>
      </c>
      <c r="CL391" s="1395" t="str">
        <f t="shared" si="836"/>
        <v>-</v>
      </c>
      <c r="CM391" s="1397" t="str">
        <f t="shared" si="836"/>
        <v>-</v>
      </c>
      <c r="CN391" s="1395" t="str">
        <f t="shared" si="836"/>
        <v>-</v>
      </c>
      <c r="CO391" s="1395" t="str">
        <f t="shared" si="836"/>
        <v>-</v>
      </c>
      <c r="CP391" s="1395" t="str">
        <f t="shared" si="836"/>
        <v>-</v>
      </c>
      <c r="CQ391" s="1395" t="str">
        <f t="shared" si="836"/>
        <v>-</v>
      </c>
      <c r="CR391" s="1398" t="str">
        <f t="shared" si="836"/>
        <v>-</v>
      </c>
      <c r="CS391" s="1378"/>
      <c r="CT391" s="1392" t="str">
        <f t="shared" si="793"/>
        <v>Qty</v>
      </c>
      <c r="CU391" s="1393" t="str">
        <f t="shared" si="794"/>
        <v>[Service]</v>
      </c>
      <c r="CV391" s="1393" t="str">
        <f t="shared" si="795"/>
        <v>[Price]</v>
      </c>
      <c r="CW391" s="1401" t="str">
        <f t="shared" si="815"/>
        <v>-</v>
      </c>
      <c r="CX391" s="1395" t="str">
        <f t="shared" si="816"/>
        <v>-</v>
      </c>
      <c r="CY391" s="1395" t="str">
        <f t="shared" si="817"/>
        <v>-</v>
      </c>
      <c r="CZ391" s="1397" t="str">
        <f t="shared" si="818"/>
        <v>-</v>
      </c>
      <c r="DA391" s="1395" t="str">
        <f t="shared" si="819"/>
        <v>-</v>
      </c>
      <c r="DB391" s="1395" t="str">
        <f t="shared" si="820"/>
        <v>-</v>
      </c>
      <c r="DC391" s="1395" t="str">
        <f t="shared" si="821"/>
        <v>-</v>
      </c>
      <c r="DD391" s="1395" t="str">
        <f t="shared" si="822"/>
        <v>-</v>
      </c>
      <c r="DE391" s="1398" t="str">
        <f t="shared" si="823"/>
        <v>-</v>
      </c>
      <c r="DF391" s="1378"/>
      <c r="DG391" s="1392" t="str">
        <f t="shared" si="835"/>
        <v>Qty</v>
      </c>
      <c r="DH391" s="1393" t="str">
        <f t="shared" si="835"/>
        <v>[Service]</v>
      </c>
      <c r="DI391" s="1393" t="str">
        <f t="shared" si="835"/>
        <v>[Price]</v>
      </c>
      <c r="DJ391" s="1401" t="str">
        <f t="shared" si="824"/>
        <v>-</v>
      </c>
      <c r="DK391" s="1395" t="str">
        <f t="shared" si="825"/>
        <v>-</v>
      </c>
      <c r="DL391" s="1395" t="str">
        <f t="shared" si="826"/>
        <v>-</v>
      </c>
      <c r="DM391" s="1397" t="str">
        <f t="shared" si="827"/>
        <v>-</v>
      </c>
      <c r="DN391" s="1395" t="str">
        <f t="shared" si="828"/>
        <v>-</v>
      </c>
      <c r="DO391" s="1395" t="str">
        <f t="shared" si="829"/>
        <v>-</v>
      </c>
      <c r="DP391" s="1395" t="str">
        <f t="shared" si="830"/>
        <v>-</v>
      </c>
      <c r="DQ391" s="1398" t="str">
        <f t="shared" si="831"/>
        <v>-</v>
      </c>
    </row>
    <row r="392" spans="4:121" ht="12.75" thickBot="1">
      <c r="E392" s="743" t="s">
        <v>46</v>
      </c>
      <c r="F392" s="732" t="str">
        <f>+F390</f>
        <v>[Service]</v>
      </c>
      <c r="G392" s="733">
        <f>+G390</f>
        <v>0</v>
      </c>
      <c r="H392" s="733">
        <f>+H390</f>
        <v>0</v>
      </c>
      <c r="I392" s="734" t="str">
        <f>+I390</f>
        <v>[Price]</v>
      </c>
      <c r="J392" s="735" t="s">
        <v>344</v>
      </c>
      <c r="K392" s="736">
        <f t="shared" ref="K392:AG392" si="837">K390*K391/10^6</f>
        <v>0</v>
      </c>
      <c r="L392" s="737">
        <f t="shared" si="837"/>
        <v>0</v>
      </c>
      <c r="M392" s="737">
        <f t="shared" si="837"/>
        <v>0</v>
      </c>
      <c r="N392" s="738">
        <f t="shared" si="837"/>
        <v>0</v>
      </c>
      <c r="O392" s="737">
        <f t="shared" si="837"/>
        <v>0</v>
      </c>
      <c r="P392" s="738">
        <f t="shared" si="837"/>
        <v>0</v>
      </c>
      <c r="Q392" s="737">
        <f t="shared" si="837"/>
        <v>0</v>
      </c>
      <c r="R392" s="737">
        <f t="shared" si="837"/>
        <v>0</v>
      </c>
      <c r="S392" s="737">
        <f t="shared" si="837"/>
        <v>0</v>
      </c>
      <c r="T392" s="737">
        <f t="shared" si="837"/>
        <v>0</v>
      </c>
      <c r="U392" s="737">
        <f t="shared" si="837"/>
        <v>0</v>
      </c>
      <c r="V392" s="737">
        <f t="shared" si="837"/>
        <v>0</v>
      </c>
      <c r="W392" s="737">
        <f t="shared" si="837"/>
        <v>0</v>
      </c>
      <c r="X392" s="738">
        <f t="shared" si="837"/>
        <v>0</v>
      </c>
      <c r="Y392" s="737">
        <f t="shared" si="837"/>
        <v>0</v>
      </c>
      <c r="Z392" s="737">
        <f t="shared" si="837"/>
        <v>0</v>
      </c>
      <c r="AA392" s="737">
        <f t="shared" si="837"/>
        <v>0</v>
      </c>
      <c r="AB392" s="737">
        <f t="shared" si="837"/>
        <v>0</v>
      </c>
      <c r="AC392" s="738">
        <f t="shared" si="837"/>
        <v>0</v>
      </c>
      <c r="AD392" s="737">
        <f t="shared" si="837"/>
        <v>0</v>
      </c>
      <c r="AE392" s="737">
        <f t="shared" si="837"/>
        <v>0</v>
      </c>
      <c r="AF392" s="737">
        <f t="shared" si="837"/>
        <v>0</v>
      </c>
      <c r="AG392" s="739">
        <f t="shared" si="837"/>
        <v>0</v>
      </c>
      <c r="AH392" s="823"/>
      <c r="AI392" s="745"/>
      <c r="AJ392" s="741"/>
      <c r="AK392" s="729"/>
      <c r="AL392" s="729"/>
      <c r="AM392" s="729"/>
      <c r="AN392" s="729"/>
      <c r="AO392" s="730"/>
      <c r="AP392" s="74"/>
      <c r="AQ392" s="74"/>
      <c r="AR392" s="74"/>
      <c r="AS392" s="106"/>
      <c r="AW392" s="1428" t="str">
        <f t="shared" si="833"/>
        <v>Rev</v>
      </c>
      <c r="AX392" s="1429" t="str">
        <f t="shared" si="833"/>
        <v>[Service]</v>
      </c>
      <c r="AY392" s="1430" t="str">
        <f t="shared" si="797"/>
        <v>[Price]</v>
      </c>
      <c r="AZ392" s="1431" t="str">
        <f t="shared" si="798"/>
        <v>-</v>
      </c>
      <c r="BA392" s="1431" t="str">
        <f t="shared" si="798"/>
        <v>-</v>
      </c>
      <c r="BB392" s="1431" t="str">
        <f t="shared" si="798"/>
        <v>-</v>
      </c>
      <c r="BC392" s="1431" t="str">
        <f t="shared" si="798"/>
        <v>-</v>
      </c>
      <c r="BD392" s="1431" t="str">
        <f t="shared" si="799"/>
        <v>-</v>
      </c>
      <c r="BE392" s="1431" t="str">
        <f t="shared" si="800"/>
        <v>-</v>
      </c>
      <c r="BF392" s="1431" t="str">
        <f t="shared" si="801"/>
        <v>-</v>
      </c>
      <c r="BG392" s="1432" t="str">
        <f t="shared" si="802"/>
        <v>-</v>
      </c>
      <c r="BH392" s="1431" t="str">
        <f t="shared" si="803"/>
        <v>-</v>
      </c>
      <c r="BI392" s="1431" t="str">
        <f t="shared" si="804"/>
        <v>-</v>
      </c>
      <c r="BJ392" s="1431" t="str">
        <f t="shared" si="805"/>
        <v>-</v>
      </c>
      <c r="BK392" s="1431" t="str">
        <f t="shared" si="806"/>
        <v>-</v>
      </c>
      <c r="BL392" s="1433" t="str">
        <f t="shared" si="807"/>
        <v>-</v>
      </c>
      <c r="BM392" s="1431" t="str">
        <f t="shared" si="808"/>
        <v>-</v>
      </c>
      <c r="BN392" s="1431" t="str">
        <f t="shared" si="809"/>
        <v>-</v>
      </c>
      <c r="BO392" s="1431" t="str">
        <f t="shared" si="810"/>
        <v>-</v>
      </c>
      <c r="BP392" s="1431" t="str">
        <f t="shared" si="811"/>
        <v>-</v>
      </c>
      <c r="BQ392" s="1434" t="str">
        <f t="shared" si="812"/>
        <v>-</v>
      </c>
      <c r="BR392" s="1378"/>
      <c r="BS392" s="1407"/>
      <c r="BT392" s="1408"/>
      <c r="BU392" s="1409"/>
      <c r="BV392" s="1410"/>
      <c r="BW392" s="1378"/>
      <c r="BX392" s="1428" t="str">
        <f t="shared" si="813"/>
        <v>Rev</v>
      </c>
      <c r="BY392" s="1429" t="str">
        <f t="shared" si="707"/>
        <v>[Service]</v>
      </c>
      <c r="BZ392" s="1430" t="str">
        <f t="shared" si="708"/>
        <v>[Price]</v>
      </c>
      <c r="CA392" s="1435" t="str">
        <f>IFERROR((S392/R392-1)*(R392/R$13),"-")</f>
        <v>-</v>
      </c>
      <c r="CB392" s="1431" t="str">
        <f>IFERROR((T392/S392-1)*(S392/S$13),"-")</f>
        <v>-</v>
      </c>
      <c r="CC392" s="1431" t="str">
        <f>IFERROR((U392/T392-1)*(T392/T$13),"-")</f>
        <v>-</v>
      </c>
      <c r="CD392" s="1431" t="str">
        <f>IFERROR((V392/U392-1)*(U392/U$13),"-")</f>
        <v>-</v>
      </c>
      <c r="CE392" s="1431" t="str">
        <f t="shared" ref="CE392:CR392" si="838">IFERROR((T392/S392-1)*(S392/S$13),"-")</f>
        <v>-</v>
      </c>
      <c r="CF392" s="1431" t="str">
        <f t="shared" si="838"/>
        <v>-</v>
      </c>
      <c r="CG392" s="1431" t="str">
        <f t="shared" si="838"/>
        <v>-</v>
      </c>
      <c r="CH392" s="1433" t="str">
        <f t="shared" si="838"/>
        <v>-</v>
      </c>
      <c r="CI392" s="1431" t="str">
        <f t="shared" si="838"/>
        <v>-</v>
      </c>
      <c r="CJ392" s="1431" t="str">
        <f t="shared" si="838"/>
        <v>-</v>
      </c>
      <c r="CK392" s="1431" t="str">
        <f t="shared" si="838"/>
        <v>-</v>
      </c>
      <c r="CL392" s="1431" t="str">
        <f t="shared" si="838"/>
        <v>-</v>
      </c>
      <c r="CM392" s="1433" t="str">
        <f t="shared" si="838"/>
        <v>-</v>
      </c>
      <c r="CN392" s="1431" t="str">
        <f t="shared" si="838"/>
        <v>-</v>
      </c>
      <c r="CO392" s="1431" t="str">
        <f t="shared" si="838"/>
        <v>-</v>
      </c>
      <c r="CP392" s="1431" t="str">
        <f t="shared" si="838"/>
        <v>-</v>
      </c>
      <c r="CQ392" s="1431" t="str">
        <f t="shared" si="838"/>
        <v>-</v>
      </c>
      <c r="CR392" s="1434" t="str">
        <f t="shared" si="838"/>
        <v>-</v>
      </c>
      <c r="CS392" s="1378"/>
      <c r="CT392" s="1428" t="str">
        <f t="shared" si="793"/>
        <v>Rev</v>
      </c>
      <c r="CU392" s="1429" t="str">
        <f t="shared" si="794"/>
        <v>[Service]</v>
      </c>
      <c r="CV392" s="1429" t="str">
        <f t="shared" si="795"/>
        <v>[Price]</v>
      </c>
      <c r="CW392" s="1435" t="str">
        <f t="shared" si="815"/>
        <v>-</v>
      </c>
      <c r="CX392" s="1431" t="str">
        <f t="shared" si="816"/>
        <v>-</v>
      </c>
      <c r="CY392" s="1431" t="str">
        <f t="shared" si="817"/>
        <v>-</v>
      </c>
      <c r="CZ392" s="1433" t="str">
        <f t="shared" si="818"/>
        <v>-</v>
      </c>
      <c r="DA392" s="1431" t="str">
        <f t="shared" si="819"/>
        <v>-</v>
      </c>
      <c r="DB392" s="1431" t="str">
        <f t="shared" si="820"/>
        <v>-</v>
      </c>
      <c r="DC392" s="1431" t="str">
        <f t="shared" si="821"/>
        <v>-</v>
      </c>
      <c r="DD392" s="1431" t="str">
        <f t="shared" si="822"/>
        <v>-</v>
      </c>
      <c r="DE392" s="1434" t="str">
        <f t="shared" si="823"/>
        <v>-</v>
      </c>
      <c r="DF392" s="1378"/>
      <c r="DG392" s="1428" t="str">
        <f t="shared" si="835"/>
        <v>Rev</v>
      </c>
      <c r="DH392" s="1429" t="str">
        <f t="shared" si="835"/>
        <v>[Service]</v>
      </c>
      <c r="DI392" s="1429" t="str">
        <f t="shared" si="835"/>
        <v>[Price]</v>
      </c>
      <c r="DJ392" s="1435" t="str">
        <f t="shared" si="824"/>
        <v>-</v>
      </c>
      <c r="DK392" s="1431" t="str">
        <f t="shared" si="825"/>
        <v>-</v>
      </c>
      <c r="DL392" s="1431" t="str">
        <f t="shared" si="826"/>
        <v>-</v>
      </c>
      <c r="DM392" s="1433" t="str">
        <f t="shared" si="827"/>
        <v>-</v>
      </c>
      <c r="DN392" s="1431" t="str">
        <f t="shared" si="828"/>
        <v>-</v>
      </c>
      <c r="DO392" s="1431" t="str">
        <f t="shared" si="829"/>
        <v>-</v>
      </c>
      <c r="DP392" s="1431" t="str">
        <f t="shared" si="830"/>
        <v>-</v>
      </c>
      <c r="DQ392" s="1434" t="str">
        <f t="shared" si="831"/>
        <v>-</v>
      </c>
    </row>
    <row r="393" spans="4:121">
      <c r="D393" s="70">
        <f>D390+1</f>
        <v>109</v>
      </c>
      <c r="E393" s="713" t="s">
        <v>44</v>
      </c>
      <c r="F393" s="789" t="s">
        <v>27</v>
      </c>
      <c r="G393" s="789"/>
      <c r="H393" s="789"/>
      <c r="I393" s="781" t="s">
        <v>318</v>
      </c>
      <c r="J393" s="781" t="s">
        <v>345</v>
      </c>
      <c r="K393" s="714"/>
      <c r="L393" s="715"/>
      <c r="M393" s="715"/>
      <c r="N393" s="716"/>
      <c r="O393" s="783"/>
      <c r="P393" s="784"/>
      <c r="Q393" s="783"/>
      <c r="R393" s="783"/>
      <c r="S393" s="783"/>
      <c r="T393" s="783"/>
      <c r="U393" s="783"/>
      <c r="V393" s="783"/>
      <c r="W393" s="783"/>
      <c r="X393" s="784"/>
      <c r="Y393" s="783"/>
      <c r="Z393" s="783"/>
      <c r="AA393" s="783"/>
      <c r="AB393" s="783"/>
      <c r="AC393" s="784"/>
      <c r="AD393" s="783"/>
      <c r="AE393" s="783"/>
      <c r="AF393" s="783"/>
      <c r="AG393" s="785"/>
      <c r="AI393" s="745"/>
      <c r="AJ393" s="717" t="str">
        <f t="shared" ref="AJ393:AS393" si="839">IFERROR((X393-W393)/W393,"")</f>
        <v/>
      </c>
      <c r="AK393" s="718" t="str">
        <f t="shared" si="839"/>
        <v/>
      </c>
      <c r="AL393" s="718" t="str">
        <f t="shared" si="839"/>
        <v/>
      </c>
      <c r="AM393" s="718" t="str">
        <f t="shared" si="839"/>
        <v/>
      </c>
      <c r="AN393" s="718" t="str">
        <f t="shared" si="839"/>
        <v/>
      </c>
      <c r="AO393" s="719" t="str">
        <f t="shared" si="839"/>
        <v/>
      </c>
      <c r="AP393" s="494" t="str">
        <f t="shared" si="839"/>
        <v/>
      </c>
      <c r="AQ393" s="494" t="str">
        <f t="shared" si="839"/>
        <v/>
      </c>
      <c r="AR393" s="494" t="str">
        <f t="shared" si="839"/>
        <v/>
      </c>
      <c r="AS393" s="720" t="str">
        <f t="shared" si="839"/>
        <v/>
      </c>
      <c r="AU393" s="1369"/>
      <c r="AW393" s="1412" t="str">
        <f t="shared" si="833"/>
        <v>Price</v>
      </c>
      <c r="AX393" s="1413" t="str">
        <f t="shared" si="833"/>
        <v>[Service]</v>
      </c>
      <c r="AY393" s="1414" t="str">
        <f t="shared" si="797"/>
        <v>[Price]</v>
      </c>
      <c r="AZ393" s="1415" t="str">
        <f t="shared" si="798"/>
        <v>-</v>
      </c>
      <c r="BA393" s="1415" t="str">
        <f t="shared" si="798"/>
        <v>-</v>
      </c>
      <c r="BB393" s="1415" t="str">
        <f t="shared" si="798"/>
        <v>-</v>
      </c>
      <c r="BC393" s="1415" t="str">
        <f t="shared" si="798"/>
        <v>-</v>
      </c>
      <c r="BD393" s="1415" t="str">
        <f t="shared" si="799"/>
        <v>-</v>
      </c>
      <c r="BE393" s="1415" t="str">
        <f t="shared" si="800"/>
        <v>-</v>
      </c>
      <c r="BF393" s="1415" t="str">
        <f t="shared" si="801"/>
        <v>-</v>
      </c>
      <c r="BG393" s="1416" t="str">
        <f t="shared" si="802"/>
        <v>-</v>
      </c>
      <c r="BH393" s="1417" t="str">
        <f t="shared" si="803"/>
        <v>-</v>
      </c>
      <c r="BI393" s="1417" t="str">
        <f t="shared" si="804"/>
        <v>-</v>
      </c>
      <c r="BJ393" s="1417" t="str">
        <f t="shared" si="805"/>
        <v>-</v>
      </c>
      <c r="BK393" s="1417" t="str">
        <f t="shared" si="806"/>
        <v>-</v>
      </c>
      <c r="BL393" s="1418" t="str">
        <f t="shared" si="807"/>
        <v>-</v>
      </c>
      <c r="BM393" s="1417" t="str">
        <f t="shared" si="808"/>
        <v>-</v>
      </c>
      <c r="BN393" s="1417" t="str">
        <f t="shared" si="809"/>
        <v>-</v>
      </c>
      <c r="BO393" s="1417" t="str">
        <f t="shared" si="810"/>
        <v>-</v>
      </c>
      <c r="BP393" s="1417" t="str">
        <f t="shared" si="811"/>
        <v>-</v>
      </c>
      <c r="BQ393" s="1419" t="str">
        <f t="shared" si="812"/>
        <v>-</v>
      </c>
      <c r="BR393" s="1378"/>
      <c r="BS393" s="1420"/>
      <c r="BT393" s="1421"/>
      <c r="BU393" s="1422"/>
      <c r="BV393" s="1423"/>
      <c r="BW393" s="1378"/>
      <c r="BX393" s="1412" t="str">
        <f t="shared" si="813"/>
        <v>Price</v>
      </c>
      <c r="BY393" s="1413" t="str">
        <f t="shared" si="707"/>
        <v>[Service]</v>
      </c>
      <c r="BZ393" s="1414" t="str">
        <f t="shared" si="708"/>
        <v>[Price]</v>
      </c>
      <c r="CA393" s="1424" t="str">
        <f>IFERROR((S393/R393-1)*(R395/R$13),"-")</f>
        <v>-</v>
      </c>
      <c r="CB393" s="1415" t="str">
        <f>IFERROR((T393/S393-1)*(S395/S$13),"-")</f>
        <v>-</v>
      </c>
      <c r="CC393" s="1415" t="str">
        <f>IFERROR((U393/T393-1)*(T395/T$13),"-")</f>
        <v>-</v>
      </c>
      <c r="CD393" s="1415" t="str">
        <f>IFERROR((V393/U393-1)*(U395/U$13),"-")</f>
        <v>-</v>
      </c>
      <c r="CE393" s="1415" t="str">
        <f t="shared" ref="CE393:CR393" si="840">IFERROR((T393/S393-1)*(S395/S$13),"-")</f>
        <v>-</v>
      </c>
      <c r="CF393" s="1415" t="str">
        <f t="shared" si="840"/>
        <v>-</v>
      </c>
      <c r="CG393" s="1415" t="str">
        <f t="shared" si="840"/>
        <v>-</v>
      </c>
      <c r="CH393" s="1425" t="str">
        <f t="shared" si="840"/>
        <v>-</v>
      </c>
      <c r="CI393" s="1417" t="str">
        <f t="shared" si="840"/>
        <v>-</v>
      </c>
      <c r="CJ393" s="1417" t="str">
        <f t="shared" si="840"/>
        <v>-</v>
      </c>
      <c r="CK393" s="1417" t="str">
        <f t="shared" si="840"/>
        <v>-</v>
      </c>
      <c r="CL393" s="1417" t="str">
        <f t="shared" si="840"/>
        <v>-</v>
      </c>
      <c r="CM393" s="1418" t="str">
        <f t="shared" si="840"/>
        <v>-</v>
      </c>
      <c r="CN393" s="1417" t="str">
        <f t="shared" si="840"/>
        <v>-</v>
      </c>
      <c r="CO393" s="1417" t="str">
        <f t="shared" si="840"/>
        <v>-</v>
      </c>
      <c r="CP393" s="1417" t="str">
        <f t="shared" si="840"/>
        <v>-</v>
      </c>
      <c r="CQ393" s="1417" t="str">
        <f t="shared" si="840"/>
        <v>-</v>
      </c>
      <c r="CR393" s="1419" t="str">
        <f t="shared" si="840"/>
        <v>-</v>
      </c>
      <c r="CS393" s="1378"/>
      <c r="CT393" s="1412" t="str">
        <f t="shared" si="793"/>
        <v>Price</v>
      </c>
      <c r="CU393" s="1413" t="str">
        <f t="shared" si="794"/>
        <v>[Service]</v>
      </c>
      <c r="CV393" s="1426" t="str">
        <f t="shared" si="795"/>
        <v>[Price]</v>
      </c>
      <c r="CW393" s="1427" t="str">
        <f t="shared" si="815"/>
        <v>-</v>
      </c>
      <c r="CX393" s="1417" t="str">
        <f t="shared" si="816"/>
        <v>-</v>
      </c>
      <c r="CY393" s="1417" t="str">
        <f t="shared" si="817"/>
        <v>-</v>
      </c>
      <c r="CZ393" s="1418" t="str">
        <f t="shared" si="818"/>
        <v>-</v>
      </c>
      <c r="DA393" s="1417" t="str">
        <f t="shared" si="819"/>
        <v>-</v>
      </c>
      <c r="DB393" s="1417" t="str">
        <f t="shared" si="820"/>
        <v>-</v>
      </c>
      <c r="DC393" s="1417" t="str">
        <f t="shared" si="821"/>
        <v>-</v>
      </c>
      <c r="DD393" s="1417" t="str">
        <f t="shared" si="822"/>
        <v>-</v>
      </c>
      <c r="DE393" s="1419" t="str">
        <f t="shared" si="823"/>
        <v>-</v>
      </c>
      <c r="DF393" s="1378"/>
      <c r="DG393" s="1412" t="str">
        <f t="shared" si="835"/>
        <v>Price</v>
      </c>
      <c r="DH393" s="1413" t="str">
        <f t="shared" si="835"/>
        <v>[Service]</v>
      </c>
      <c r="DI393" s="1426" t="str">
        <f t="shared" si="835"/>
        <v>[Price]</v>
      </c>
      <c r="DJ393" s="1427" t="str">
        <f t="shared" si="824"/>
        <v>-</v>
      </c>
      <c r="DK393" s="1417" t="str">
        <f t="shared" si="825"/>
        <v>-</v>
      </c>
      <c r="DL393" s="1417" t="str">
        <f t="shared" si="826"/>
        <v>-</v>
      </c>
      <c r="DM393" s="1418" t="str">
        <f t="shared" si="827"/>
        <v>-</v>
      </c>
      <c r="DN393" s="1417" t="str">
        <f t="shared" si="828"/>
        <v>-</v>
      </c>
      <c r="DO393" s="1417" t="str">
        <f t="shared" si="829"/>
        <v>-</v>
      </c>
      <c r="DP393" s="1417" t="str">
        <f t="shared" si="830"/>
        <v>-</v>
      </c>
      <c r="DQ393" s="1419" t="str">
        <f t="shared" si="831"/>
        <v>-</v>
      </c>
    </row>
    <row r="394" spans="4:121">
      <c r="E394" s="742" t="s">
        <v>45</v>
      </c>
      <c r="F394" s="722" t="str">
        <f>+F393</f>
        <v>[Service]</v>
      </c>
      <c r="G394" s="723">
        <f>+G393</f>
        <v>0</v>
      </c>
      <c r="H394" s="723">
        <f>+H393</f>
        <v>0</v>
      </c>
      <c r="I394" s="724" t="str">
        <f>+I393</f>
        <v>[Price]</v>
      </c>
      <c r="J394" s="782" t="s">
        <v>322</v>
      </c>
      <c r="K394" s="725"/>
      <c r="L394" s="726"/>
      <c r="M394" s="726"/>
      <c r="N394" s="727"/>
      <c r="O394" s="786"/>
      <c r="P394" s="787"/>
      <c r="Q394" s="786"/>
      <c r="R394" s="786"/>
      <c r="S394" s="786"/>
      <c r="T394" s="786"/>
      <c r="U394" s="786"/>
      <c r="V394" s="786"/>
      <c r="W394" s="786"/>
      <c r="X394" s="787"/>
      <c r="Y394" s="786"/>
      <c r="Z394" s="786"/>
      <c r="AA394" s="786"/>
      <c r="AB394" s="786"/>
      <c r="AC394" s="787"/>
      <c r="AD394" s="786"/>
      <c r="AE394" s="786"/>
      <c r="AF394" s="786"/>
      <c r="AG394" s="788"/>
      <c r="AH394" s="823"/>
      <c r="AI394" s="745"/>
      <c r="AJ394" s="728"/>
      <c r="AK394" s="729"/>
      <c r="AL394" s="729"/>
      <c r="AM394" s="729"/>
      <c r="AN394" s="729"/>
      <c r="AO394" s="730"/>
      <c r="AP394" s="74"/>
      <c r="AQ394" s="74"/>
      <c r="AR394" s="74"/>
      <c r="AS394" s="106"/>
      <c r="AW394" s="1392" t="str">
        <f t="shared" si="833"/>
        <v>Qty</v>
      </c>
      <c r="AX394" s="1393" t="str">
        <f t="shared" si="833"/>
        <v>[Service]</v>
      </c>
      <c r="AY394" s="1394" t="str">
        <f t="shared" si="797"/>
        <v>[Price]</v>
      </c>
      <c r="AZ394" s="1395" t="str">
        <f t="shared" si="798"/>
        <v>-</v>
      </c>
      <c r="BA394" s="1395" t="str">
        <f t="shared" si="798"/>
        <v>-</v>
      </c>
      <c r="BB394" s="1395" t="str">
        <f t="shared" si="798"/>
        <v>-</v>
      </c>
      <c r="BC394" s="1395" t="str">
        <f t="shared" si="798"/>
        <v>-</v>
      </c>
      <c r="BD394" s="1395" t="str">
        <f t="shared" si="799"/>
        <v>-</v>
      </c>
      <c r="BE394" s="1395" t="str">
        <f t="shared" si="800"/>
        <v>-</v>
      </c>
      <c r="BF394" s="1395" t="str">
        <f t="shared" si="801"/>
        <v>-</v>
      </c>
      <c r="BG394" s="1396" t="str">
        <f t="shared" si="802"/>
        <v>-</v>
      </c>
      <c r="BH394" s="1395" t="str">
        <f t="shared" si="803"/>
        <v>-</v>
      </c>
      <c r="BI394" s="1395" t="str">
        <f t="shared" si="804"/>
        <v>-</v>
      </c>
      <c r="BJ394" s="1395" t="str">
        <f t="shared" si="805"/>
        <v>-</v>
      </c>
      <c r="BK394" s="1395" t="str">
        <f t="shared" si="806"/>
        <v>-</v>
      </c>
      <c r="BL394" s="1397" t="str">
        <f t="shared" si="807"/>
        <v>-</v>
      </c>
      <c r="BM394" s="1395" t="str">
        <f t="shared" si="808"/>
        <v>-</v>
      </c>
      <c r="BN394" s="1395" t="str">
        <f t="shared" si="809"/>
        <v>-</v>
      </c>
      <c r="BO394" s="1395" t="str">
        <f t="shared" si="810"/>
        <v>-</v>
      </c>
      <c r="BP394" s="1395" t="str">
        <f t="shared" si="811"/>
        <v>-</v>
      </c>
      <c r="BQ394" s="1398" t="str">
        <f t="shared" si="812"/>
        <v>-</v>
      </c>
      <c r="BR394" s="1378"/>
      <c r="BS394" s="1329"/>
      <c r="BT394" s="1399"/>
      <c r="BU394" s="1331"/>
      <c r="BV394" s="1400"/>
      <c r="BW394" s="1378"/>
      <c r="BX394" s="1392" t="str">
        <f t="shared" si="813"/>
        <v>Qty</v>
      </c>
      <c r="BY394" s="1393" t="str">
        <f t="shared" si="707"/>
        <v>[Service]</v>
      </c>
      <c r="BZ394" s="1394" t="str">
        <f t="shared" si="708"/>
        <v>[Price]</v>
      </c>
      <c r="CA394" s="1401" t="str">
        <f>IFERROR((S394/R394-1)*(R395/R$13),"-")</f>
        <v>-</v>
      </c>
      <c r="CB394" s="1395" t="str">
        <f>IFERROR((T394/S394-1)*(S395/S$13),"-")</f>
        <v>-</v>
      </c>
      <c r="CC394" s="1395" t="str">
        <f>IFERROR((U394/T394-1)*(T395/T$13),"-")</f>
        <v>-</v>
      </c>
      <c r="CD394" s="1395" t="str">
        <f>IFERROR((V394/U394-1)*(U395/U$13),"-")</f>
        <v>-</v>
      </c>
      <c r="CE394" s="1395" t="str">
        <f t="shared" ref="CE394:CR394" si="841">IFERROR((T394/S394-1)*(S395/S$13),"-")</f>
        <v>-</v>
      </c>
      <c r="CF394" s="1395" t="str">
        <f t="shared" si="841"/>
        <v>-</v>
      </c>
      <c r="CG394" s="1395" t="str">
        <f t="shared" si="841"/>
        <v>-</v>
      </c>
      <c r="CH394" s="1397" t="str">
        <f t="shared" si="841"/>
        <v>-</v>
      </c>
      <c r="CI394" s="1395" t="str">
        <f t="shared" si="841"/>
        <v>-</v>
      </c>
      <c r="CJ394" s="1395" t="str">
        <f t="shared" si="841"/>
        <v>-</v>
      </c>
      <c r="CK394" s="1395" t="str">
        <f t="shared" si="841"/>
        <v>-</v>
      </c>
      <c r="CL394" s="1395" t="str">
        <f t="shared" si="841"/>
        <v>-</v>
      </c>
      <c r="CM394" s="1397" t="str">
        <f t="shared" si="841"/>
        <v>-</v>
      </c>
      <c r="CN394" s="1395" t="str">
        <f t="shared" si="841"/>
        <v>-</v>
      </c>
      <c r="CO394" s="1395" t="str">
        <f t="shared" si="841"/>
        <v>-</v>
      </c>
      <c r="CP394" s="1395" t="str">
        <f t="shared" si="841"/>
        <v>-</v>
      </c>
      <c r="CQ394" s="1395" t="str">
        <f t="shared" si="841"/>
        <v>-</v>
      </c>
      <c r="CR394" s="1398" t="str">
        <f t="shared" si="841"/>
        <v>-</v>
      </c>
      <c r="CS394" s="1378"/>
      <c r="CT394" s="1392" t="str">
        <f t="shared" si="793"/>
        <v>Qty</v>
      </c>
      <c r="CU394" s="1393" t="str">
        <f t="shared" si="794"/>
        <v>[Service]</v>
      </c>
      <c r="CV394" s="1393" t="str">
        <f t="shared" si="795"/>
        <v>[Price]</v>
      </c>
      <c r="CW394" s="1401" t="str">
        <f t="shared" si="815"/>
        <v>-</v>
      </c>
      <c r="CX394" s="1395" t="str">
        <f t="shared" si="816"/>
        <v>-</v>
      </c>
      <c r="CY394" s="1395" t="str">
        <f t="shared" si="817"/>
        <v>-</v>
      </c>
      <c r="CZ394" s="1397" t="str">
        <f t="shared" si="818"/>
        <v>-</v>
      </c>
      <c r="DA394" s="1395" t="str">
        <f t="shared" si="819"/>
        <v>-</v>
      </c>
      <c r="DB394" s="1395" t="str">
        <f t="shared" si="820"/>
        <v>-</v>
      </c>
      <c r="DC394" s="1395" t="str">
        <f t="shared" si="821"/>
        <v>-</v>
      </c>
      <c r="DD394" s="1395" t="str">
        <f t="shared" si="822"/>
        <v>-</v>
      </c>
      <c r="DE394" s="1398" t="str">
        <f t="shared" si="823"/>
        <v>-</v>
      </c>
      <c r="DF394" s="1378"/>
      <c r="DG394" s="1392" t="str">
        <f t="shared" si="835"/>
        <v>Qty</v>
      </c>
      <c r="DH394" s="1393" t="str">
        <f t="shared" si="835"/>
        <v>[Service]</v>
      </c>
      <c r="DI394" s="1393" t="str">
        <f t="shared" si="835"/>
        <v>[Price]</v>
      </c>
      <c r="DJ394" s="1401" t="str">
        <f t="shared" si="824"/>
        <v>-</v>
      </c>
      <c r="DK394" s="1395" t="str">
        <f t="shared" si="825"/>
        <v>-</v>
      </c>
      <c r="DL394" s="1395" t="str">
        <f t="shared" si="826"/>
        <v>-</v>
      </c>
      <c r="DM394" s="1397" t="str">
        <f t="shared" si="827"/>
        <v>-</v>
      </c>
      <c r="DN394" s="1395" t="str">
        <f t="shared" si="828"/>
        <v>-</v>
      </c>
      <c r="DO394" s="1395" t="str">
        <f t="shared" si="829"/>
        <v>-</v>
      </c>
      <c r="DP394" s="1395" t="str">
        <f t="shared" si="830"/>
        <v>-</v>
      </c>
      <c r="DQ394" s="1398" t="str">
        <f t="shared" si="831"/>
        <v>-</v>
      </c>
    </row>
    <row r="395" spans="4:121" ht="12.75" thickBot="1">
      <c r="E395" s="743" t="s">
        <v>46</v>
      </c>
      <c r="F395" s="732" t="str">
        <f>+F393</f>
        <v>[Service]</v>
      </c>
      <c r="G395" s="733">
        <f>+G393</f>
        <v>0</v>
      </c>
      <c r="H395" s="733">
        <f>+H393</f>
        <v>0</v>
      </c>
      <c r="I395" s="734" t="str">
        <f>+I393</f>
        <v>[Price]</v>
      </c>
      <c r="J395" s="735" t="s">
        <v>344</v>
      </c>
      <c r="K395" s="736">
        <f t="shared" ref="K395:AG395" si="842">K393*K394/10^6</f>
        <v>0</v>
      </c>
      <c r="L395" s="737">
        <f t="shared" si="842"/>
        <v>0</v>
      </c>
      <c r="M395" s="737">
        <f t="shared" si="842"/>
        <v>0</v>
      </c>
      <c r="N395" s="738">
        <f t="shared" si="842"/>
        <v>0</v>
      </c>
      <c r="O395" s="737">
        <f t="shared" si="842"/>
        <v>0</v>
      </c>
      <c r="P395" s="738">
        <f t="shared" si="842"/>
        <v>0</v>
      </c>
      <c r="Q395" s="737">
        <f t="shared" si="842"/>
        <v>0</v>
      </c>
      <c r="R395" s="737">
        <f t="shared" si="842"/>
        <v>0</v>
      </c>
      <c r="S395" s="737">
        <f t="shared" si="842"/>
        <v>0</v>
      </c>
      <c r="T395" s="737">
        <f t="shared" si="842"/>
        <v>0</v>
      </c>
      <c r="U395" s="737">
        <f t="shared" si="842"/>
        <v>0</v>
      </c>
      <c r="V395" s="737">
        <f t="shared" si="842"/>
        <v>0</v>
      </c>
      <c r="W395" s="737">
        <f t="shared" si="842"/>
        <v>0</v>
      </c>
      <c r="X395" s="738">
        <f t="shared" si="842"/>
        <v>0</v>
      </c>
      <c r="Y395" s="737">
        <f t="shared" si="842"/>
        <v>0</v>
      </c>
      <c r="Z395" s="737">
        <f t="shared" si="842"/>
        <v>0</v>
      </c>
      <c r="AA395" s="737">
        <f t="shared" si="842"/>
        <v>0</v>
      </c>
      <c r="AB395" s="737">
        <f t="shared" si="842"/>
        <v>0</v>
      </c>
      <c r="AC395" s="738">
        <f t="shared" si="842"/>
        <v>0</v>
      </c>
      <c r="AD395" s="737">
        <f t="shared" si="842"/>
        <v>0</v>
      </c>
      <c r="AE395" s="737">
        <f t="shared" si="842"/>
        <v>0</v>
      </c>
      <c r="AF395" s="737">
        <f t="shared" si="842"/>
        <v>0</v>
      </c>
      <c r="AG395" s="739">
        <f t="shared" si="842"/>
        <v>0</v>
      </c>
      <c r="AH395" s="823"/>
      <c r="AI395" s="745"/>
      <c r="AJ395" s="741"/>
      <c r="AK395" s="729"/>
      <c r="AL395" s="729"/>
      <c r="AM395" s="729"/>
      <c r="AN395" s="729"/>
      <c r="AO395" s="730"/>
      <c r="AP395" s="74"/>
      <c r="AQ395" s="74"/>
      <c r="AR395" s="74"/>
      <c r="AS395" s="106"/>
      <c r="AW395" s="1428" t="str">
        <f t="shared" si="833"/>
        <v>Rev</v>
      </c>
      <c r="AX395" s="1429" t="str">
        <f t="shared" si="833"/>
        <v>[Service]</v>
      </c>
      <c r="AY395" s="1430" t="str">
        <f t="shared" si="797"/>
        <v>[Price]</v>
      </c>
      <c r="AZ395" s="1431" t="str">
        <f t="shared" si="798"/>
        <v>-</v>
      </c>
      <c r="BA395" s="1431" t="str">
        <f t="shared" si="798"/>
        <v>-</v>
      </c>
      <c r="BB395" s="1431" t="str">
        <f t="shared" si="798"/>
        <v>-</v>
      </c>
      <c r="BC395" s="1431" t="str">
        <f t="shared" si="798"/>
        <v>-</v>
      </c>
      <c r="BD395" s="1431" t="str">
        <f t="shared" si="799"/>
        <v>-</v>
      </c>
      <c r="BE395" s="1431" t="str">
        <f t="shared" si="800"/>
        <v>-</v>
      </c>
      <c r="BF395" s="1431" t="str">
        <f t="shared" si="801"/>
        <v>-</v>
      </c>
      <c r="BG395" s="1432" t="str">
        <f t="shared" si="802"/>
        <v>-</v>
      </c>
      <c r="BH395" s="1431" t="str">
        <f t="shared" si="803"/>
        <v>-</v>
      </c>
      <c r="BI395" s="1431" t="str">
        <f t="shared" si="804"/>
        <v>-</v>
      </c>
      <c r="BJ395" s="1431" t="str">
        <f t="shared" si="805"/>
        <v>-</v>
      </c>
      <c r="BK395" s="1431" t="str">
        <f t="shared" si="806"/>
        <v>-</v>
      </c>
      <c r="BL395" s="1433" t="str">
        <f t="shared" si="807"/>
        <v>-</v>
      </c>
      <c r="BM395" s="1431" t="str">
        <f t="shared" si="808"/>
        <v>-</v>
      </c>
      <c r="BN395" s="1431" t="str">
        <f t="shared" si="809"/>
        <v>-</v>
      </c>
      <c r="BO395" s="1431" t="str">
        <f t="shared" si="810"/>
        <v>-</v>
      </c>
      <c r="BP395" s="1431" t="str">
        <f t="shared" si="811"/>
        <v>-</v>
      </c>
      <c r="BQ395" s="1434" t="str">
        <f t="shared" si="812"/>
        <v>-</v>
      </c>
      <c r="BR395" s="1378"/>
      <c r="BS395" s="1407"/>
      <c r="BT395" s="1408"/>
      <c r="BU395" s="1409"/>
      <c r="BV395" s="1410"/>
      <c r="BW395" s="1378"/>
      <c r="BX395" s="1428" t="str">
        <f t="shared" si="813"/>
        <v>Rev</v>
      </c>
      <c r="BY395" s="1429" t="str">
        <f t="shared" si="707"/>
        <v>[Service]</v>
      </c>
      <c r="BZ395" s="1430" t="str">
        <f t="shared" si="708"/>
        <v>[Price]</v>
      </c>
      <c r="CA395" s="1435" t="str">
        <f>IFERROR((S395/R395-1)*(R395/R$13),"-")</f>
        <v>-</v>
      </c>
      <c r="CB395" s="1431" t="str">
        <f>IFERROR((T395/S395-1)*(S395/S$13),"-")</f>
        <v>-</v>
      </c>
      <c r="CC395" s="1431" t="str">
        <f>IFERROR((U395/T395-1)*(T395/T$13),"-")</f>
        <v>-</v>
      </c>
      <c r="CD395" s="1431" t="str">
        <f>IFERROR((V395/U395-1)*(U395/U$13),"-")</f>
        <v>-</v>
      </c>
      <c r="CE395" s="1431" t="str">
        <f t="shared" ref="CE395:CR395" si="843">IFERROR((T395/S395-1)*(S395/S$13),"-")</f>
        <v>-</v>
      </c>
      <c r="CF395" s="1431" t="str">
        <f t="shared" si="843"/>
        <v>-</v>
      </c>
      <c r="CG395" s="1431" t="str">
        <f t="shared" si="843"/>
        <v>-</v>
      </c>
      <c r="CH395" s="1433" t="str">
        <f t="shared" si="843"/>
        <v>-</v>
      </c>
      <c r="CI395" s="1431" t="str">
        <f t="shared" si="843"/>
        <v>-</v>
      </c>
      <c r="CJ395" s="1431" t="str">
        <f t="shared" si="843"/>
        <v>-</v>
      </c>
      <c r="CK395" s="1431" t="str">
        <f t="shared" si="843"/>
        <v>-</v>
      </c>
      <c r="CL395" s="1431" t="str">
        <f t="shared" si="843"/>
        <v>-</v>
      </c>
      <c r="CM395" s="1433" t="str">
        <f t="shared" si="843"/>
        <v>-</v>
      </c>
      <c r="CN395" s="1431" t="str">
        <f t="shared" si="843"/>
        <v>-</v>
      </c>
      <c r="CO395" s="1431" t="str">
        <f t="shared" si="843"/>
        <v>-</v>
      </c>
      <c r="CP395" s="1431" t="str">
        <f t="shared" si="843"/>
        <v>-</v>
      </c>
      <c r="CQ395" s="1431" t="str">
        <f t="shared" si="843"/>
        <v>-</v>
      </c>
      <c r="CR395" s="1434" t="str">
        <f t="shared" si="843"/>
        <v>-</v>
      </c>
      <c r="CS395" s="1378"/>
      <c r="CT395" s="1428" t="str">
        <f t="shared" si="793"/>
        <v>Rev</v>
      </c>
      <c r="CU395" s="1429" t="str">
        <f t="shared" si="794"/>
        <v>[Service]</v>
      </c>
      <c r="CV395" s="1429" t="str">
        <f t="shared" si="795"/>
        <v>[Price]</v>
      </c>
      <c r="CW395" s="1435" t="str">
        <f t="shared" si="815"/>
        <v>-</v>
      </c>
      <c r="CX395" s="1431" t="str">
        <f t="shared" si="816"/>
        <v>-</v>
      </c>
      <c r="CY395" s="1431" t="str">
        <f t="shared" si="817"/>
        <v>-</v>
      </c>
      <c r="CZ395" s="1433" t="str">
        <f t="shared" si="818"/>
        <v>-</v>
      </c>
      <c r="DA395" s="1431" t="str">
        <f t="shared" si="819"/>
        <v>-</v>
      </c>
      <c r="DB395" s="1431" t="str">
        <f t="shared" si="820"/>
        <v>-</v>
      </c>
      <c r="DC395" s="1431" t="str">
        <f t="shared" si="821"/>
        <v>-</v>
      </c>
      <c r="DD395" s="1431" t="str">
        <f t="shared" si="822"/>
        <v>-</v>
      </c>
      <c r="DE395" s="1434" t="str">
        <f t="shared" si="823"/>
        <v>-</v>
      </c>
      <c r="DF395" s="1378"/>
      <c r="DG395" s="1428" t="str">
        <f t="shared" si="835"/>
        <v>Rev</v>
      </c>
      <c r="DH395" s="1429" t="str">
        <f t="shared" si="835"/>
        <v>[Service]</v>
      </c>
      <c r="DI395" s="1429" t="str">
        <f t="shared" si="835"/>
        <v>[Price]</v>
      </c>
      <c r="DJ395" s="1435" t="str">
        <f t="shared" si="824"/>
        <v>-</v>
      </c>
      <c r="DK395" s="1431" t="str">
        <f t="shared" si="825"/>
        <v>-</v>
      </c>
      <c r="DL395" s="1431" t="str">
        <f t="shared" si="826"/>
        <v>-</v>
      </c>
      <c r="DM395" s="1433" t="str">
        <f t="shared" si="827"/>
        <v>-</v>
      </c>
      <c r="DN395" s="1431" t="str">
        <f t="shared" si="828"/>
        <v>-</v>
      </c>
      <c r="DO395" s="1431" t="str">
        <f t="shared" si="829"/>
        <v>-</v>
      </c>
      <c r="DP395" s="1431" t="str">
        <f t="shared" si="830"/>
        <v>-</v>
      </c>
      <c r="DQ395" s="1434" t="str">
        <f t="shared" si="831"/>
        <v>-</v>
      </c>
    </row>
    <row r="396" spans="4:121">
      <c r="D396" s="70">
        <f>D393+1</f>
        <v>110</v>
      </c>
      <c r="E396" s="713" t="s">
        <v>44</v>
      </c>
      <c r="F396" s="789" t="s">
        <v>27</v>
      </c>
      <c r="G396" s="789"/>
      <c r="H396" s="789"/>
      <c r="I396" s="781" t="s">
        <v>318</v>
      </c>
      <c r="J396" s="781" t="s">
        <v>345</v>
      </c>
      <c r="K396" s="714"/>
      <c r="L396" s="715"/>
      <c r="M396" s="715"/>
      <c r="N396" s="716"/>
      <c r="O396" s="783"/>
      <c r="P396" s="784"/>
      <c r="Q396" s="783"/>
      <c r="R396" s="783"/>
      <c r="S396" s="783"/>
      <c r="T396" s="783"/>
      <c r="U396" s="783"/>
      <c r="V396" s="783"/>
      <c r="W396" s="783"/>
      <c r="X396" s="784"/>
      <c r="Y396" s="783"/>
      <c r="Z396" s="783"/>
      <c r="AA396" s="783"/>
      <c r="AB396" s="783"/>
      <c r="AC396" s="784"/>
      <c r="AD396" s="783"/>
      <c r="AE396" s="783"/>
      <c r="AF396" s="783"/>
      <c r="AG396" s="785"/>
      <c r="AI396" s="745"/>
      <c r="AJ396" s="717" t="str">
        <f t="shared" ref="AJ396:AS396" si="844">IFERROR((X396-W396)/W396,"")</f>
        <v/>
      </c>
      <c r="AK396" s="718" t="str">
        <f t="shared" si="844"/>
        <v/>
      </c>
      <c r="AL396" s="718" t="str">
        <f t="shared" si="844"/>
        <v/>
      </c>
      <c r="AM396" s="718" t="str">
        <f t="shared" si="844"/>
        <v/>
      </c>
      <c r="AN396" s="718" t="str">
        <f t="shared" si="844"/>
        <v/>
      </c>
      <c r="AO396" s="719" t="str">
        <f t="shared" si="844"/>
        <v/>
      </c>
      <c r="AP396" s="494" t="str">
        <f t="shared" si="844"/>
        <v/>
      </c>
      <c r="AQ396" s="494" t="str">
        <f t="shared" si="844"/>
        <v/>
      </c>
      <c r="AR396" s="494" t="str">
        <f t="shared" si="844"/>
        <v/>
      </c>
      <c r="AS396" s="720" t="str">
        <f t="shared" si="844"/>
        <v/>
      </c>
      <c r="AU396" s="1369"/>
      <c r="AW396" s="1412" t="str">
        <f t="shared" si="833"/>
        <v>Price</v>
      </c>
      <c r="AX396" s="1413" t="str">
        <f t="shared" si="833"/>
        <v>[Service]</v>
      </c>
      <c r="AY396" s="1414" t="str">
        <f t="shared" si="797"/>
        <v>[Price]</v>
      </c>
      <c r="AZ396" s="1415" t="str">
        <f t="shared" si="798"/>
        <v>-</v>
      </c>
      <c r="BA396" s="1415" t="str">
        <f t="shared" si="798"/>
        <v>-</v>
      </c>
      <c r="BB396" s="1415" t="str">
        <f t="shared" si="798"/>
        <v>-</v>
      </c>
      <c r="BC396" s="1415" t="str">
        <f t="shared" si="798"/>
        <v>-</v>
      </c>
      <c r="BD396" s="1415" t="str">
        <f t="shared" si="799"/>
        <v>-</v>
      </c>
      <c r="BE396" s="1415" t="str">
        <f t="shared" si="800"/>
        <v>-</v>
      </c>
      <c r="BF396" s="1415" t="str">
        <f t="shared" si="801"/>
        <v>-</v>
      </c>
      <c r="BG396" s="1416" t="str">
        <f t="shared" si="802"/>
        <v>-</v>
      </c>
      <c r="BH396" s="1417" t="str">
        <f t="shared" si="803"/>
        <v>-</v>
      </c>
      <c r="BI396" s="1417" t="str">
        <f t="shared" si="804"/>
        <v>-</v>
      </c>
      <c r="BJ396" s="1417" t="str">
        <f t="shared" si="805"/>
        <v>-</v>
      </c>
      <c r="BK396" s="1417" t="str">
        <f t="shared" si="806"/>
        <v>-</v>
      </c>
      <c r="BL396" s="1418" t="str">
        <f t="shared" si="807"/>
        <v>-</v>
      </c>
      <c r="BM396" s="1417" t="str">
        <f t="shared" si="808"/>
        <v>-</v>
      </c>
      <c r="BN396" s="1417" t="str">
        <f t="shared" si="809"/>
        <v>-</v>
      </c>
      <c r="BO396" s="1417" t="str">
        <f t="shared" si="810"/>
        <v>-</v>
      </c>
      <c r="BP396" s="1417" t="str">
        <f t="shared" si="811"/>
        <v>-</v>
      </c>
      <c r="BQ396" s="1419" t="str">
        <f t="shared" si="812"/>
        <v>-</v>
      </c>
      <c r="BR396" s="1378"/>
      <c r="BS396" s="1420"/>
      <c r="BT396" s="1421"/>
      <c r="BU396" s="1422"/>
      <c r="BV396" s="1423"/>
      <c r="BW396" s="1378"/>
      <c r="BX396" s="1412" t="str">
        <f t="shared" si="813"/>
        <v>Price</v>
      </c>
      <c r="BY396" s="1413" t="str">
        <f t="shared" si="707"/>
        <v>[Service]</v>
      </c>
      <c r="BZ396" s="1414" t="str">
        <f t="shared" si="708"/>
        <v>[Price]</v>
      </c>
      <c r="CA396" s="1424" t="str">
        <f>IFERROR((S396/R396-1)*(R398/R$13),"-")</f>
        <v>-</v>
      </c>
      <c r="CB396" s="1415" t="str">
        <f>IFERROR((T396/S396-1)*(S398/S$13),"-")</f>
        <v>-</v>
      </c>
      <c r="CC396" s="1415" t="str">
        <f>IFERROR((U396/T396-1)*(T398/T$13),"-")</f>
        <v>-</v>
      </c>
      <c r="CD396" s="1415" t="str">
        <f>IFERROR((V396/U396-1)*(U398/U$13),"-")</f>
        <v>-</v>
      </c>
      <c r="CE396" s="1415" t="str">
        <f t="shared" ref="CE396:CR396" si="845">IFERROR((T396/S396-1)*(S398/S$13),"-")</f>
        <v>-</v>
      </c>
      <c r="CF396" s="1415" t="str">
        <f t="shared" si="845"/>
        <v>-</v>
      </c>
      <c r="CG396" s="1415" t="str">
        <f t="shared" si="845"/>
        <v>-</v>
      </c>
      <c r="CH396" s="1425" t="str">
        <f t="shared" si="845"/>
        <v>-</v>
      </c>
      <c r="CI396" s="1417" t="str">
        <f t="shared" si="845"/>
        <v>-</v>
      </c>
      <c r="CJ396" s="1417" t="str">
        <f t="shared" si="845"/>
        <v>-</v>
      </c>
      <c r="CK396" s="1417" t="str">
        <f t="shared" si="845"/>
        <v>-</v>
      </c>
      <c r="CL396" s="1417" t="str">
        <f t="shared" si="845"/>
        <v>-</v>
      </c>
      <c r="CM396" s="1418" t="str">
        <f t="shared" si="845"/>
        <v>-</v>
      </c>
      <c r="CN396" s="1417" t="str">
        <f t="shared" si="845"/>
        <v>-</v>
      </c>
      <c r="CO396" s="1417" t="str">
        <f t="shared" si="845"/>
        <v>-</v>
      </c>
      <c r="CP396" s="1417" t="str">
        <f t="shared" si="845"/>
        <v>-</v>
      </c>
      <c r="CQ396" s="1417" t="str">
        <f t="shared" si="845"/>
        <v>-</v>
      </c>
      <c r="CR396" s="1419" t="str">
        <f t="shared" si="845"/>
        <v>-</v>
      </c>
      <c r="CS396" s="1378"/>
      <c r="CT396" s="1412" t="str">
        <f t="shared" si="793"/>
        <v>Price</v>
      </c>
      <c r="CU396" s="1413" t="str">
        <f t="shared" si="794"/>
        <v>[Service]</v>
      </c>
      <c r="CV396" s="1426" t="str">
        <f t="shared" si="795"/>
        <v>[Price]</v>
      </c>
      <c r="CW396" s="1427" t="str">
        <f t="shared" si="815"/>
        <v>-</v>
      </c>
      <c r="CX396" s="1417" t="str">
        <f t="shared" si="816"/>
        <v>-</v>
      </c>
      <c r="CY396" s="1417" t="str">
        <f t="shared" si="817"/>
        <v>-</v>
      </c>
      <c r="CZ396" s="1418" t="str">
        <f t="shared" si="818"/>
        <v>-</v>
      </c>
      <c r="DA396" s="1417" t="str">
        <f t="shared" si="819"/>
        <v>-</v>
      </c>
      <c r="DB396" s="1417" t="str">
        <f t="shared" si="820"/>
        <v>-</v>
      </c>
      <c r="DC396" s="1417" t="str">
        <f t="shared" si="821"/>
        <v>-</v>
      </c>
      <c r="DD396" s="1417" t="str">
        <f t="shared" si="822"/>
        <v>-</v>
      </c>
      <c r="DE396" s="1419" t="str">
        <f t="shared" si="823"/>
        <v>-</v>
      </c>
      <c r="DF396" s="1378"/>
      <c r="DG396" s="1412" t="str">
        <f t="shared" si="835"/>
        <v>Price</v>
      </c>
      <c r="DH396" s="1413" t="str">
        <f t="shared" si="835"/>
        <v>[Service]</v>
      </c>
      <c r="DI396" s="1426" t="str">
        <f t="shared" si="835"/>
        <v>[Price]</v>
      </c>
      <c r="DJ396" s="1427" t="str">
        <f t="shared" si="824"/>
        <v>-</v>
      </c>
      <c r="DK396" s="1417" t="str">
        <f t="shared" si="825"/>
        <v>-</v>
      </c>
      <c r="DL396" s="1417" t="str">
        <f t="shared" si="826"/>
        <v>-</v>
      </c>
      <c r="DM396" s="1418" t="str">
        <f t="shared" si="827"/>
        <v>-</v>
      </c>
      <c r="DN396" s="1417" t="str">
        <f t="shared" si="828"/>
        <v>-</v>
      </c>
      <c r="DO396" s="1417" t="str">
        <f t="shared" si="829"/>
        <v>-</v>
      </c>
      <c r="DP396" s="1417" t="str">
        <f t="shared" si="830"/>
        <v>-</v>
      </c>
      <c r="DQ396" s="1419" t="str">
        <f t="shared" si="831"/>
        <v>-</v>
      </c>
    </row>
    <row r="397" spans="4:121">
      <c r="E397" s="742" t="s">
        <v>45</v>
      </c>
      <c r="F397" s="722" t="str">
        <f>+F396</f>
        <v>[Service]</v>
      </c>
      <c r="G397" s="723">
        <f>+G396</f>
        <v>0</v>
      </c>
      <c r="H397" s="723">
        <f>+H396</f>
        <v>0</v>
      </c>
      <c r="I397" s="724" t="str">
        <f>+I396</f>
        <v>[Price]</v>
      </c>
      <c r="J397" s="782" t="s">
        <v>322</v>
      </c>
      <c r="K397" s="725"/>
      <c r="L397" s="726"/>
      <c r="M397" s="726"/>
      <c r="N397" s="727"/>
      <c r="O397" s="786"/>
      <c r="P397" s="787"/>
      <c r="Q397" s="786"/>
      <c r="R397" s="786"/>
      <c r="S397" s="786"/>
      <c r="T397" s="786"/>
      <c r="U397" s="786"/>
      <c r="V397" s="786"/>
      <c r="W397" s="786"/>
      <c r="X397" s="787"/>
      <c r="Y397" s="786"/>
      <c r="Z397" s="786"/>
      <c r="AA397" s="786"/>
      <c r="AB397" s="786"/>
      <c r="AC397" s="787"/>
      <c r="AD397" s="786"/>
      <c r="AE397" s="786"/>
      <c r="AF397" s="786"/>
      <c r="AG397" s="788"/>
      <c r="AH397" s="823"/>
      <c r="AI397" s="745"/>
      <c r="AJ397" s="728"/>
      <c r="AK397" s="729"/>
      <c r="AL397" s="729"/>
      <c r="AM397" s="729"/>
      <c r="AN397" s="729"/>
      <c r="AO397" s="730"/>
      <c r="AP397" s="74"/>
      <c r="AQ397" s="74"/>
      <c r="AR397" s="74"/>
      <c r="AS397" s="106"/>
      <c r="AW397" s="1392" t="str">
        <f t="shared" si="833"/>
        <v>Qty</v>
      </c>
      <c r="AX397" s="1393" t="str">
        <f t="shared" si="833"/>
        <v>[Service]</v>
      </c>
      <c r="AY397" s="1394" t="str">
        <f t="shared" si="797"/>
        <v>[Price]</v>
      </c>
      <c r="AZ397" s="1395" t="str">
        <f t="shared" si="798"/>
        <v>-</v>
      </c>
      <c r="BA397" s="1395" t="str">
        <f t="shared" si="798"/>
        <v>-</v>
      </c>
      <c r="BB397" s="1395" t="str">
        <f t="shared" si="798"/>
        <v>-</v>
      </c>
      <c r="BC397" s="1395" t="str">
        <f t="shared" si="798"/>
        <v>-</v>
      </c>
      <c r="BD397" s="1395" t="str">
        <f t="shared" si="799"/>
        <v>-</v>
      </c>
      <c r="BE397" s="1395" t="str">
        <f t="shared" si="800"/>
        <v>-</v>
      </c>
      <c r="BF397" s="1395" t="str">
        <f t="shared" si="801"/>
        <v>-</v>
      </c>
      <c r="BG397" s="1396" t="str">
        <f t="shared" si="802"/>
        <v>-</v>
      </c>
      <c r="BH397" s="1395" t="str">
        <f t="shared" si="803"/>
        <v>-</v>
      </c>
      <c r="BI397" s="1395" t="str">
        <f t="shared" si="804"/>
        <v>-</v>
      </c>
      <c r="BJ397" s="1395" t="str">
        <f t="shared" si="805"/>
        <v>-</v>
      </c>
      <c r="BK397" s="1395" t="str">
        <f t="shared" si="806"/>
        <v>-</v>
      </c>
      <c r="BL397" s="1397" t="str">
        <f t="shared" si="807"/>
        <v>-</v>
      </c>
      <c r="BM397" s="1395" t="str">
        <f t="shared" si="808"/>
        <v>-</v>
      </c>
      <c r="BN397" s="1395" t="str">
        <f t="shared" si="809"/>
        <v>-</v>
      </c>
      <c r="BO397" s="1395" t="str">
        <f t="shared" si="810"/>
        <v>-</v>
      </c>
      <c r="BP397" s="1395" t="str">
        <f t="shared" si="811"/>
        <v>-</v>
      </c>
      <c r="BQ397" s="1398" t="str">
        <f t="shared" si="812"/>
        <v>-</v>
      </c>
      <c r="BR397" s="1378"/>
      <c r="BS397" s="1329"/>
      <c r="BT397" s="1399"/>
      <c r="BU397" s="1331"/>
      <c r="BV397" s="1400"/>
      <c r="BW397" s="1378"/>
      <c r="BX397" s="1392" t="str">
        <f t="shared" si="813"/>
        <v>Qty</v>
      </c>
      <c r="BY397" s="1393" t="str">
        <f t="shared" si="707"/>
        <v>[Service]</v>
      </c>
      <c r="BZ397" s="1394" t="str">
        <f t="shared" si="708"/>
        <v>[Price]</v>
      </c>
      <c r="CA397" s="1401" t="str">
        <f>IFERROR((S397/R397-1)*(R398/R$13),"-")</f>
        <v>-</v>
      </c>
      <c r="CB397" s="1395" t="str">
        <f>IFERROR((T397/S397-1)*(S398/S$13),"-")</f>
        <v>-</v>
      </c>
      <c r="CC397" s="1395" t="str">
        <f>IFERROR((U397/T397-1)*(T398/T$13),"-")</f>
        <v>-</v>
      </c>
      <c r="CD397" s="1395" t="str">
        <f>IFERROR((V397/U397-1)*(U398/U$13),"-")</f>
        <v>-</v>
      </c>
      <c r="CE397" s="1395" t="str">
        <f t="shared" ref="CE397:CR397" si="846">IFERROR((T397/S397-1)*(S398/S$13),"-")</f>
        <v>-</v>
      </c>
      <c r="CF397" s="1395" t="str">
        <f t="shared" si="846"/>
        <v>-</v>
      </c>
      <c r="CG397" s="1395" t="str">
        <f t="shared" si="846"/>
        <v>-</v>
      </c>
      <c r="CH397" s="1397" t="str">
        <f t="shared" si="846"/>
        <v>-</v>
      </c>
      <c r="CI397" s="1395" t="str">
        <f t="shared" si="846"/>
        <v>-</v>
      </c>
      <c r="CJ397" s="1395" t="str">
        <f t="shared" si="846"/>
        <v>-</v>
      </c>
      <c r="CK397" s="1395" t="str">
        <f t="shared" si="846"/>
        <v>-</v>
      </c>
      <c r="CL397" s="1395" t="str">
        <f t="shared" si="846"/>
        <v>-</v>
      </c>
      <c r="CM397" s="1397" t="str">
        <f t="shared" si="846"/>
        <v>-</v>
      </c>
      <c r="CN397" s="1395" t="str">
        <f t="shared" si="846"/>
        <v>-</v>
      </c>
      <c r="CO397" s="1395" t="str">
        <f t="shared" si="846"/>
        <v>-</v>
      </c>
      <c r="CP397" s="1395" t="str">
        <f t="shared" si="846"/>
        <v>-</v>
      </c>
      <c r="CQ397" s="1395" t="str">
        <f t="shared" si="846"/>
        <v>-</v>
      </c>
      <c r="CR397" s="1398" t="str">
        <f t="shared" si="846"/>
        <v>-</v>
      </c>
      <c r="CS397" s="1378"/>
      <c r="CT397" s="1392" t="str">
        <f t="shared" si="793"/>
        <v>Qty</v>
      </c>
      <c r="CU397" s="1393" t="str">
        <f t="shared" si="794"/>
        <v>[Service]</v>
      </c>
      <c r="CV397" s="1393" t="str">
        <f t="shared" si="795"/>
        <v>[Price]</v>
      </c>
      <c r="CW397" s="1401" t="str">
        <f t="shared" si="815"/>
        <v>-</v>
      </c>
      <c r="CX397" s="1395" t="str">
        <f t="shared" si="816"/>
        <v>-</v>
      </c>
      <c r="CY397" s="1395" t="str">
        <f t="shared" si="817"/>
        <v>-</v>
      </c>
      <c r="CZ397" s="1397" t="str">
        <f t="shared" si="818"/>
        <v>-</v>
      </c>
      <c r="DA397" s="1395" t="str">
        <f t="shared" si="819"/>
        <v>-</v>
      </c>
      <c r="DB397" s="1395" t="str">
        <f t="shared" si="820"/>
        <v>-</v>
      </c>
      <c r="DC397" s="1395" t="str">
        <f t="shared" si="821"/>
        <v>-</v>
      </c>
      <c r="DD397" s="1395" t="str">
        <f t="shared" si="822"/>
        <v>-</v>
      </c>
      <c r="DE397" s="1398" t="str">
        <f t="shared" si="823"/>
        <v>-</v>
      </c>
      <c r="DF397" s="1378"/>
      <c r="DG397" s="1392" t="str">
        <f t="shared" si="835"/>
        <v>Qty</v>
      </c>
      <c r="DH397" s="1393" t="str">
        <f t="shared" si="835"/>
        <v>[Service]</v>
      </c>
      <c r="DI397" s="1393" t="str">
        <f t="shared" si="835"/>
        <v>[Price]</v>
      </c>
      <c r="DJ397" s="1401" t="str">
        <f t="shared" si="824"/>
        <v>-</v>
      </c>
      <c r="DK397" s="1395" t="str">
        <f t="shared" si="825"/>
        <v>-</v>
      </c>
      <c r="DL397" s="1395" t="str">
        <f t="shared" si="826"/>
        <v>-</v>
      </c>
      <c r="DM397" s="1397" t="str">
        <f t="shared" si="827"/>
        <v>-</v>
      </c>
      <c r="DN397" s="1395" t="str">
        <f t="shared" si="828"/>
        <v>-</v>
      </c>
      <c r="DO397" s="1395" t="str">
        <f t="shared" si="829"/>
        <v>-</v>
      </c>
      <c r="DP397" s="1395" t="str">
        <f t="shared" si="830"/>
        <v>-</v>
      </c>
      <c r="DQ397" s="1398" t="str">
        <f t="shared" si="831"/>
        <v>-</v>
      </c>
    </row>
    <row r="398" spans="4:121" ht="12.75" thickBot="1">
      <c r="E398" s="743" t="s">
        <v>46</v>
      </c>
      <c r="F398" s="732" t="str">
        <f>+F396</f>
        <v>[Service]</v>
      </c>
      <c r="G398" s="733">
        <f>+G396</f>
        <v>0</v>
      </c>
      <c r="H398" s="733">
        <f>+H396</f>
        <v>0</v>
      </c>
      <c r="I398" s="734" t="str">
        <f>+I396</f>
        <v>[Price]</v>
      </c>
      <c r="J398" s="735" t="s">
        <v>344</v>
      </c>
      <c r="K398" s="736">
        <f t="shared" ref="K398:AG398" si="847">K396*K397/10^6</f>
        <v>0</v>
      </c>
      <c r="L398" s="737">
        <f t="shared" si="847"/>
        <v>0</v>
      </c>
      <c r="M398" s="737">
        <f t="shared" si="847"/>
        <v>0</v>
      </c>
      <c r="N398" s="738">
        <f t="shared" si="847"/>
        <v>0</v>
      </c>
      <c r="O398" s="737">
        <f t="shared" si="847"/>
        <v>0</v>
      </c>
      <c r="P398" s="738">
        <f t="shared" si="847"/>
        <v>0</v>
      </c>
      <c r="Q398" s="737">
        <f t="shared" si="847"/>
        <v>0</v>
      </c>
      <c r="R398" s="737">
        <f t="shared" si="847"/>
        <v>0</v>
      </c>
      <c r="S398" s="737">
        <f t="shared" si="847"/>
        <v>0</v>
      </c>
      <c r="T398" s="737">
        <f t="shared" si="847"/>
        <v>0</v>
      </c>
      <c r="U398" s="737">
        <f t="shared" si="847"/>
        <v>0</v>
      </c>
      <c r="V398" s="737">
        <f t="shared" si="847"/>
        <v>0</v>
      </c>
      <c r="W398" s="737">
        <f t="shared" si="847"/>
        <v>0</v>
      </c>
      <c r="X398" s="738">
        <f t="shared" si="847"/>
        <v>0</v>
      </c>
      <c r="Y398" s="737">
        <f t="shared" si="847"/>
        <v>0</v>
      </c>
      <c r="Z398" s="737">
        <f t="shared" si="847"/>
        <v>0</v>
      </c>
      <c r="AA398" s="737">
        <f t="shared" si="847"/>
        <v>0</v>
      </c>
      <c r="AB398" s="737">
        <f t="shared" si="847"/>
        <v>0</v>
      </c>
      <c r="AC398" s="738">
        <f t="shared" si="847"/>
        <v>0</v>
      </c>
      <c r="AD398" s="737">
        <f t="shared" si="847"/>
        <v>0</v>
      </c>
      <c r="AE398" s="737">
        <f t="shared" si="847"/>
        <v>0</v>
      </c>
      <c r="AF398" s="737">
        <f t="shared" si="847"/>
        <v>0</v>
      </c>
      <c r="AG398" s="739">
        <f t="shared" si="847"/>
        <v>0</v>
      </c>
      <c r="AH398" s="823"/>
      <c r="AI398" s="745"/>
      <c r="AJ398" s="741"/>
      <c r="AK398" s="729"/>
      <c r="AL398" s="729"/>
      <c r="AM398" s="729"/>
      <c r="AN398" s="729"/>
      <c r="AO398" s="730"/>
      <c r="AP398" s="74"/>
      <c r="AQ398" s="74"/>
      <c r="AR398" s="74"/>
      <c r="AS398" s="106"/>
      <c r="AW398" s="1428" t="str">
        <f t="shared" si="833"/>
        <v>Rev</v>
      </c>
      <c r="AX398" s="1429" t="str">
        <f t="shared" si="833"/>
        <v>[Service]</v>
      </c>
      <c r="AY398" s="1430" t="str">
        <f t="shared" si="797"/>
        <v>[Price]</v>
      </c>
      <c r="AZ398" s="1431" t="str">
        <f t="shared" si="798"/>
        <v>-</v>
      </c>
      <c r="BA398" s="1431" t="str">
        <f t="shared" si="798"/>
        <v>-</v>
      </c>
      <c r="BB398" s="1431" t="str">
        <f t="shared" si="798"/>
        <v>-</v>
      </c>
      <c r="BC398" s="1431" t="str">
        <f t="shared" si="798"/>
        <v>-</v>
      </c>
      <c r="BD398" s="1431" t="str">
        <f t="shared" si="799"/>
        <v>-</v>
      </c>
      <c r="BE398" s="1431" t="str">
        <f t="shared" si="800"/>
        <v>-</v>
      </c>
      <c r="BF398" s="1431" t="str">
        <f t="shared" si="801"/>
        <v>-</v>
      </c>
      <c r="BG398" s="1432" t="str">
        <f t="shared" si="802"/>
        <v>-</v>
      </c>
      <c r="BH398" s="1431" t="str">
        <f t="shared" si="803"/>
        <v>-</v>
      </c>
      <c r="BI398" s="1431" t="str">
        <f t="shared" si="804"/>
        <v>-</v>
      </c>
      <c r="BJ398" s="1431" t="str">
        <f t="shared" si="805"/>
        <v>-</v>
      </c>
      <c r="BK398" s="1431" t="str">
        <f t="shared" si="806"/>
        <v>-</v>
      </c>
      <c r="BL398" s="1433" t="str">
        <f t="shared" si="807"/>
        <v>-</v>
      </c>
      <c r="BM398" s="1431" t="str">
        <f t="shared" si="808"/>
        <v>-</v>
      </c>
      <c r="BN398" s="1431" t="str">
        <f t="shared" si="809"/>
        <v>-</v>
      </c>
      <c r="BO398" s="1431" t="str">
        <f t="shared" si="810"/>
        <v>-</v>
      </c>
      <c r="BP398" s="1431" t="str">
        <f t="shared" si="811"/>
        <v>-</v>
      </c>
      <c r="BQ398" s="1434" t="str">
        <f t="shared" si="812"/>
        <v>-</v>
      </c>
      <c r="BR398" s="1378"/>
      <c r="BS398" s="1407"/>
      <c r="BT398" s="1408"/>
      <c r="BU398" s="1409"/>
      <c r="BV398" s="1410"/>
      <c r="BW398" s="1378"/>
      <c r="BX398" s="1428" t="str">
        <f t="shared" si="813"/>
        <v>Rev</v>
      </c>
      <c r="BY398" s="1429" t="str">
        <f t="shared" si="707"/>
        <v>[Service]</v>
      </c>
      <c r="BZ398" s="1430" t="str">
        <f t="shared" si="708"/>
        <v>[Price]</v>
      </c>
      <c r="CA398" s="1435" t="str">
        <f>IFERROR((S398/R398-1)*(R398/R$13),"-")</f>
        <v>-</v>
      </c>
      <c r="CB398" s="1431" t="str">
        <f>IFERROR((T398/S398-1)*(S398/S$13),"-")</f>
        <v>-</v>
      </c>
      <c r="CC398" s="1431" t="str">
        <f>IFERROR((U398/T398-1)*(T398/T$13),"-")</f>
        <v>-</v>
      </c>
      <c r="CD398" s="1431" t="str">
        <f>IFERROR((V398/U398-1)*(U398/U$13),"-")</f>
        <v>-</v>
      </c>
      <c r="CE398" s="1431" t="str">
        <f t="shared" ref="CE398:CR398" si="848">IFERROR((T398/S398-1)*(S398/S$13),"-")</f>
        <v>-</v>
      </c>
      <c r="CF398" s="1431" t="str">
        <f t="shared" si="848"/>
        <v>-</v>
      </c>
      <c r="CG398" s="1431" t="str">
        <f t="shared" si="848"/>
        <v>-</v>
      </c>
      <c r="CH398" s="1433" t="str">
        <f t="shared" si="848"/>
        <v>-</v>
      </c>
      <c r="CI398" s="1431" t="str">
        <f t="shared" si="848"/>
        <v>-</v>
      </c>
      <c r="CJ398" s="1431" t="str">
        <f t="shared" si="848"/>
        <v>-</v>
      </c>
      <c r="CK398" s="1431" t="str">
        <f t="shared" si="848"/>
        <v>-</v>
      </c>
      <c r="CL398" s="1431" t="str">
        <f t="shared" si="848"/>
        <v>-</v>
      </c>
      <c r="CM398" s="1433" t="str">
        <f t="shared" si="848"/>
        <v>-</v>
      </c>
      <c r="CN398" s="1431" t="str">
        <f t="shared" si="848"/>
        <v>-</v>
      </c>
      <c r="CO398" s="1431" t="str">
        <f t="shared" si="848"/>
        <v>-</v>
      </c>
      <c r="CP398" s="1431" t="str">
        <f t="shared" si="848"/>
        <v>-</v>
      </c>
      <c r="CQ398" s="1431" t="str">
        <f t="shared" si="848"/>
        <v>-</v>
      </c>
      <c r="CR398" s="1434" t="str">
        <f t="shared" si="848"/>
        <v>-</v>
      </c>
      <c r="CS398" s="1378"/>
      <c r="CT398" s="1428" t="str">
        <f t="shared" si="793"/>
        <v>Rev</v>
      </c>
      <c r="CU398" s="1429" t="str">
        <f t="shared" si="794"/>
        <v>[Service]</v>
      </c>
      <c r="CV398" s="1429" t="str">
        <f t="shared" si="795"/>
        <v>[Price]</v>
      </c>
      <c r="CW398" s="1435" t="str">
        <f t="shared" si="815"/>
        <v>-</v>
      </c>
      <c r="CX398" s="1431" t="str">
        <f t="shared" si="816"/>
        <v>-</v>
      </c>
      <c r="CY398" s="1431" t="str">
        <f t="shared" si="817"/>
        <v>-</v>
      </c>
      <c r="CZ398" s="1433" t="str">
        <f t="shared" si="818"/>
        <v>-</v>
      </c>
      <c r="DA398" s="1431" t="str">
        <f t="shared" si="819"/>
        <v>-</v>
      </c>
      <c r="DB398" s="1431" t="str">
        <f t="shared" si="820"/>
        <v>-</v>
      </c>
      <c r="DC398" s="1431" t="str">
        <f t="shared" si="821"/>
        <v>-</v>
      </c>
      <c r="DD398" s="1431" t="str">
        <f t="shared" si="822"/>
        <v>-</v>
      </c>
      <c r="DE398" s="1434" t="str">
        <f t="shared" si="823"/>
        <v>-</v>
      </c>
      <c r="DF398" s="1378"/>
      <c r="DG398" s="1428" t="str">
        <f t="shared" si="835"/>
        <v>Rev</v>
      </c>
      <c r="DH398" s="1429" t="str">
        <f t="shared" si="835"/>
        <v>[Service]</v>
      </c>
      <c r="DI398" s="1429" t="str">
        <f t="shared" si="835"/>
        <v>[Price]</v>
      </c>
      <c r="DJ398" s="1435" t="str">
        <f t="shared" si="824"/>
        <v>-</v>
      </c>
      <c r="DK398" s="1431" t="str">
        <f t="shared" si="825"/>
        <v>-</v>
      </c>
      <c r="DL398" s="1431" t="str">
        <f t="shared" si="826"/>
        <v>-</v>
      </c>
      <c r="DM398" s="1433" t="str">
        <f t="shared" si="827"/>
        <v>-</v>
      </c>
      <c r="DN398" s="1431" t="str">
        <f t="shared" si="828"/>
        <v>-</v>
      </c>
      <c r="DO398" s="1431" t="str">
        <f t="shared" si="829"/>
        <v>-</v>
      </c>
      <c r="DP398" s="1431" t="str">
        <f t="shared" si="830"/>
        <v>-</v>
      </c>
      <c r="DQ398" s="1434" t="str">
        <f t="shared" si="831"/>
        <v>-</v>
      </c>
    </row>
    <row r="399" spans="4:121">
      <c r="D399" s="70">
        <f>D396+1</f>
        <v>111</v>
      </c>
      <c r="E399" s="713" t="s">
        <v>44</v>
      </c>
      <c r="F399" s="789" t="s">
        <v>27</v>
      </c>
      <c r="G399" s="789"/>
      <c r="H399" s="789"/>
      <c r="I399" s="781" t="s">
        <v>318</v>
      </c>
      <c r="J399" s="781" t="s">
        <v>345</v>
      </c>
      <c r="K399" s="714"/>
      <c r="L399" s="715"/>
      <c r="M399" s="715"/>
      <c r="N399" s="716"/>
      <c r="O399" s="783"/>
      <c r="P399" s="784"/>
      <c r="Q399" s="783"/>
      <c r="R399" s="783"/>
      <c r="S399" s="783"/>
      <c r="T399" s="783"/>
      <c r="U399" s="783"/>
      <c r="V399" s="783"/>
      <c r="W399" s="783"/>
      <c r="X399" s="784"/>
      <c r="Y399" s="783"/>
      <c r="Z399" s="783"/>
      <c r="AA399" s="783"/>
      <c r="AB399" s="783"/>
      <c r="AC399" s="784"/>
      <c r="AD399" s="783"/>
      <c r="AE399" s="783"/>
      <c r="AF399" s="783"/>
      <c r="AG399" s="785"/>
      <c r="AI399" s="745"/>
      <c r="AJ399" s="717" t="str">
        <f t="shared" ref="AJ399:AS399" si="849">IFERROR((X399-W399)/W399,"")</f>
        <v/>
      </c>
      <c r="AK399" s="718" t="str">
        <f t="shared" si="849"/>
        <v/>
      </c>
      <c r="AL399" s="718" t="str">
        <f t="shared" si="849"/>
        <v/>
      </c>
      <c r="AM399" s="718" t="str">
        <f t="shared" si="849"/>
        <v/>
      </c>
      <c r="AN399" s="718" t="str">
        <f t="shared" si="849"/>
        <v/>
      </c>
      <c r="AO399" s="719" t="str">
        <f t="shared" si="849"/>
        <v/>
      </c>
      <c r="AP399" s="494" t="str">
        <f t="shared" si="849"/>
        <v/>
      </c>
      <c r="AQ399" s="494" t="str">
        <f t="shared" si="849"/>
        <v/>
      </c>
      <c r="AR399" s="494" t="str">
        <f t="shared" si="849"/>
        <v/>
      </c>
      <c r="AS399" s="720" t="str">
        <f t="shared" si="849"/>
        <v/>
      </c>
      <c r="AU399" s="1369"/>
      <c r="AW399" s="1412" t="str">
        <f t="shared" si="833"/>
        <v>Price</v>
      </c>
      <c r="AX399" s="1413" t="str">
        <f t="shared" si="833"/>
        <v>[Service]</v>
      </c>
      <c r="AY399" s="1414" t="str">
        <f t="shared" si="797"/>
        <v>[Price]</v>
      </c>
      <c r="AZ399" s="1415" t="str">
        <f t="shared" si="798"/>
        <v>-</v>
      </c>
      <c r="BA399" s="1415" t="str">
        <f t="shared" si="798"/>
        <v>-</v>
      </c>
      <c r="BB399" s="1415" t="str">
        <f t="shared" si="798"/>
        <v>-</v>
      </c>
      <c r="BC399" s="1415" t="str">
        <f t="shared" si="798"/>
        <v>-</v>
      </c>
      <c r="BD399" s="1415" t="str">
        <f t="shared" si="799"/>
        <v>-</v>
      </c>
      <c r="BE399" s="1415" t="str">
        <f t="shared" si="800"/>
        <v>-</v>
      </c>
      <c r="BF399" s="1415" t="str">
        <f t="shared" si="801"/>
        <v>-</v>
      </c>
      <c r="BG399" s="1416" t="str">
        <f t="shared" si="802"/>
        <v>-</v>
      </c>
      <c r="BH399" s="1417" t="str">
        <f t="shared" si="803"/>
        <v>-</v>
      </c>
      <c r="BI399" s="1417" t="str">
        <f t="shared" si="804"/>
        <v>-</v>
      </c>
      <c r="BJ399" s="1417" t="str">
        <f t="shared" si="805"/>
        <v>-</v>
      </c>
      <c r="BK399" s="1417" t="str">
        <f t="shared" si="806"/>
        <v>-</v>
      </c>
      <c r="BL399" s="1418" t="str">
        <f t="shared" si="807"/>
        <v>-</v>
      </c>
      <c r="BM399" s="1417" t="str">
        <f t="shared" si="808"/>
        <v>-</v>
      </c>
      <c r="BN399" s="1417" t="str">
        <f t="shared" si="809"/>
        <v>-</v>
      </c>
      <c r="BO399" s="1417" t="str">
        <f t="shared" si="810"/>
        <v>-</v>
      </c>
      <c r="BP399" s="1417" t="str">
        <f t="shared" si="811"/>
        <v>-</v>
      </c>
      <c r="BQ399" s="1419" t="str">
        <f t="shared" si="812"/>
        <v>-</v>
      </c>
      <c r="BR399" s="1378"/>
      <c r="BS399" s="1420"/>
      <c r="BT399" s="1421"/>
      <c r="BU399" s="1422"/>
      <c r="BV399" s="1423"/>
      <c r="BW399" s="1378"/>
      <c r="BX399" s="1412" t="str">
        <f t="shared" si="813"/>
        <v>Price</v>
      </c>
      <c r="BY399" s="1413" t="str">
        <f t="shared" si="707"/>
        <v>[Service]</v>
      </c>
      <c r="BZ399" s="1414" t="str">
        <f t="shared" si="708"/>
        <v>[Price]</v>
      </c>
      <c r="CA399" s="1424" t="str">
        <f>IFERROR((S399/R399-1)*(R401/R$13),"-")</f>
        <v>-</v>
      </c>
      <c r="CB399" s="1415" t="str">
        <f>IFERROR((T399/S399-1)*(S401/S$13),"-")</f>
        <v>-</v>
      </c>
      <c r="CC399" s="1415" t="str">
        <f>IFERROR((U399/T399-1)*(T401/T$13),"-")</f>
        <v>-</v>
      </c>
      <c r="CD399" s="1415" t="str">
        <f>IFERROR((V399/U399-1)*(U401/U$13),"-")</f>
        <v>-</v>
      </c>
      <c r="CE399" s="1415" t="str">
        <f t="shared" ref="CE399:CR399" si="850">IFERROR((T399/S399-1)*(S401/S$13),"-")</f>
        <v>-</v>
      </c>
      <c r="CF399" s="1415" t="str">
        <f t="shared" si="850"/>
        <v>-</v>
      </c>
      <c r="CG399" s="1415" t="str">
        <f t="shared" si="850"/>
        <v>-</v>
      </c>
      <c r="CH399" s="1425" t="str">
        <f t="shared" si="850"/>
        <v>-</v>
      </c>
      <c r="CI399" s="1417" t="str">
        <f t="shared" si="850"/>
        <v>-</v>
      </c>
      <c r="CJ399" s="1417" t="str">
        <f t="shared" si="850"/>
        <v>-</v>
      </c>
      <c r="CK399" s="1417" t="str">
        <f t="shared" si="850"/>
        <v>-</v>
      </c>
      <c r="CL399" s="1417" t="str">
        <f t="shared" si="850"/>
        <v>-</v>
      </c>
      <c r="CM399" s="1418" t="str">
        <f t="shared" si="850"/>
        <v>-</v>
      </c>
      <c r="CN399" s="1417" t="str">
        <f t="shared" si="850"/>
        <v>-</v>
      </c>
      <c r="CO399" s="1417" t="str">
        <f t="shared" si="850"/>
        <v>-</v>
      </c>
      <c r="CP399" s="1417" t="str">
        <f t="shared" si="850"/>
        <v>-</v>
      </c>
      <c r="CQ399" s="1417" t="str">
        <f t="shared" si="850"/>
        <v>-</v>
      </c>
      <c r="CR399" s="1419" t="str">
        <f t="shared" si="850"/>
        <v>-</v>
      </c>
      <c r="CS399" s="1378"/>
      <c r="CT399" s="1412" t="str">
        <f t="shared" si="793"/>
        <v>Price</v>
      </c>
      <c r="CU399" s="1413" t="str">
        <f t="shared" si="794"/>
        <v>[Service]</v>
      </c>
      <c r="CV399" s="1426" t="str">
        <f t="shared" si="795"/>
        <v>[Price]</v>
      </c>
      <c r="CW399" s="1427" t="str">
        <f t="shared" si="815"/>
        <v>-</v>
      </c>
      <c r="CX399" s="1417" t="str">
        <f t="shared" si="816"/>
        <v>-</v>
      </c>
      <c r="CY399" s="1417" t="str">
        <f t="shared" si="817"/>
        <v>-</v>
      </c>
      <c r="CZ399" s="1418" t="str">
        <f t="shared" si="818"/>
        <v>-</v>
      </c>
      <c r="DA399" s="1417" t="str">
        <f t="shared" si="819"/>
        <v>-</v>
      </c>
      <c r="DB399" s="1417" t="str">
        <f t="shared" si="820"/>
        <v>-</v>
      </c>
      <c r="DC399" s="1417" t="str">
        <f t="shared" si="821"/>
        <v>-</v>
      </c>
      <c r="DD399" s="1417" t="str">
        <f t="shared" si="822"/>
        <v>-</v>
      </c>
      <c r="DE399" s="1419" t="str">
        <f t="shared" si="823"/>
        <v>-</v>
      </c>
      <c r="DF399" s="1378"/>
      <c r="DG399" s="1412" t="str">
        <f t="shared" si="835"/>
        <v>Price</v>
      </c>
      <c r="DH399" s="1413" t="str">
        <f t="shared" si="835"/>
        <v>[Service]</v>
      </c>
      <c r="DI399" s="1426" t="str">
        <f t="shared" si="835"/>
        <v>[Price]</v>
      </c>
      <c r="DJ399" s="1427" t="str">
        <f t="shared" si="824"/>
        <v>-</v>
      </c>
      <c r="DK399" s="1417" t="str">
        <f t="shared" si="825"/>
        <v>-</v>
      </c>
      <c r="DL399" s="1417" t="str">
        <f t="shared" si="826"/>
        <v>-</v>
      </c>
      <c r="DM399" s="1418" t="str">
        <f t="shared" si="827"/>
        <v>-</v>
      </c>
      <c r="DN399" s="1417" t="str">
        <f t="shared" si="828"/>
        <v>-</v>
      </c>
      <c r="DO399" s="1417" t="str">
        <f t="shared" si="829"/>
        <v>-</v>
      </c>
      <c r="DP399" s="1417" t="str">
        <f t="shared" si="830"/>
        <v>-</v>
      </c>
      <c r="DQ399" s="1419" t="str">
        <f t="shared" si="831"/>
        <v>-</v>
      </c>
    </row>
    <row r="400" spans="4:121">
      <c r="E400" s="742" t="s">
        <v>45</v>
      </c>
      <c r="F400" s="722" t="str">
        <f>+F399</f>
        <v>[Service]</v>
      </c>
      <c r="G400" s="723">
        <f>+G399</f>
        <v>0</v>
      </c>
      <c r="H400" s="723">
        <f>+H399</f>
        <v>0</v>
      </c>
      <c r="I400" s="724" t="str">
        <f>+I399</f>
        <v>[Price]</v>
      </c>
      <c r="J400" s="782" t="s">
        <v>322</v>
      </c>
      <c r="K400" s="725"/>
      <c r="L400" s="726"/>
      <c r="M400" s="726"/>
      <c r="N400" s="727"/>
      <c r="O400" s="786"/>
      <c r="P400" s="787"/>
      <c r="Q400" s="786"/>
      <c r="R400" s="786"/>
      <c r="S400" s="786"/>
      <c r="T400" s="786"/>
      <c r="U400" s="786"/>
      <c r="V400" s="786"/>
      <c r="W400" s="786"/>
      <c r="X400" s="787"/>
      <c r="Y400" s="786"/>
      <c r="Z400" s="786"/>
      <c r="AA400" s="786"/>
      <c r="AB400" s="786"/>
      <c r="AC400" s="787"/>
      <c r="AD400" s="786"/>
      <c r="AE400" s="786"/>
      <c r="AF400" s="786"/>
      <c r="AG400" s="788"/>
      <c r="AH400" s="823"/>
      <c r="AI400" s="745"/>
      <c r="AJ400" s="728"/>
      <c r="AK400" s="729"/>
      <c r="AL400" s="729"/>
      <c r="AM400" s="729"/>
      <c r="AN400" s="729"/>
      <c r="AO400" s="730"/>
      <c r="AP400" s="74"/>
      <c r="AQ400" s="74"/>
      <c r="AR400" s="74"/>
      <c r="AS400" s="106"/>
      <c r="AW400" s="1392" t="str">
        <f t="shared" si="833"/>
        <v>Qty</v>
      </c>
      <c r="AX400" s="1393" t="str">
        <f t="shared" si="833"/>
        <v>[Service]</v>
      </c>
      <c r="AY400" s="1394" t="str">
        <f t="shared" si="797"/>
        <v>[Price]</v>
      </c>
      <c r="AZ400" s="1395" t="str">
        <f t="shared" si="798"/>
        <v>-</v>
      </c>
      <c r="BA400" s="1395" t="str">
        <f t="shared" si="798"/>
        <v>-</v>
      </c>
      <c r="BB400" s="1395" t="str">
        <f t="shared" si="798"/>
        <v>-</v>
      </c>
      <c r="BC400" s="1395" t="str">
        <f t="shared" si="798"/>
        <v>-</v>
      </c>
      <c r="BD400" s="1395" t="str">
        <f t="shared" si="799"/>
        <v>-</v>
      </c>
      <c r="BE400" s="1395" t="str">
        <f t="shared" si="800"/>
        <v>-</v>
      </c>
      <c r="BF400" s="1395" t="str">
        <f t="shared" si="801"/>
        <v>-</v>
      </c>
      <c r="BG400" s="1396" t="str">
        <f t="shared" si="802"/>
        <v>-</v>
      </c>
      <c r="BH400" s="1395" t="str">
        <f t="shared" si="803"/>
        <v>-</v>
      </c>
      <c r="BI400" s="1395" t="str">
        <f t="shared" si="804"/>
        <v>-</v>
      </c>
      <c r="BJ400" s="1395" t="str">
        <f t="shared" si="805"/>
        <v>-</v>
      </c>
      <c r="BK400" s="1395" t="str">
        <f t="shared" si="806"/>
        <v>-</v>
      </c>
      <c r="BL400" s="1397" t="str">
        <f t="shared" si="807"/>
        <v>-</v>
      </c>
      <c r="BM400" s="1395" t="str">
        <f t="shared" si="808"/>
        <v>-</v>
      </c>
      <c r="BN400" s="1395" t="str">
        <f t="shared" si="809"/>
        <v>-</v>
      </c>
      <c r="BO400" s="1395" t="str">
        <f t="shared" si="810"/>
        <v>-</v>
      </c>
      <c r="BP400" s="1395" t="str">
        <f t="shared" si="811"/>
        <v>-</v>
      </c>
      <c r="BQ400" s="1398" t="str">
        <f t="shared" si="812"/>
        <v>-</v>
      </c>
      <c r="BR400" s="1378"/>
      <c r="BS400" s="1329"/>
      <c r="BT400" s="1399"/>
      <c r="BU400" s="1331"/>
      <c r="BV400" s="1400"/>
      <c r="BW400" s="1378"/>
      <c r="BX400" s="1392" t="str">
        <f t="shared" si="813"/>
        <v>Qty</v>
      </c>
      <c r="BY400" s="1393" t="str">
        <f t="shared" si="707"/>
        <v>[Service]</v>
      </c>
      <c r="BZ400" s="1394" t="str">
        <f t="shared" si="708"/>
        <v>[Price]</v>
      </c>
      <c r="CA400" s="1401" t="str">
        <f>IFERROR((S400/R400-1)*(R401/R$13),"-")</f>
        <v>-</v>
      </c>
      <c r="CB400" s="1395" t="str">
        <f>IFERROR((T400/S400-1)*(S401/S$13),"-")</f>
        <v>-</v>
      </c>
      <c r="CC400" s="1395" t="str">
        <f>IFERROR((U400/T400-1)*(T401/T$13),"-")</f>
        <v>-</v>
      </c>
      <c r="CD400" s="1395" t="str">
        <f>IFERROR((V400/U400-1)*(U401/U$13),"-")</f>
        <v>-</v>
      </c>
      <c r="CE400" s="1395" t="str">
        <f t="shared" ref="CE400:CR400" si="851">IFERROR((T400/S400-1)*(S401/S$13),"-")</f>
        <v>-</v>
      </c>
      <c r="CF400" s="1395" t="str">
        <f t="shared" si="851"/>
        <v>-</v>
      </c>
      <c r="CG400" s="1395" t="str">
        <f t="shared" si="851"/>
        <v>-</v>
      </c>
      <c r="CH400" s="1397" t="str">
        <f t="shared" si="851"/>
        <v>-</v>
      </c>
      <c r="CI400" s="1395" t="str">
        <f t="shared" si="851"/>
        <v>-</v>
      </c>
      <c r="CJ400" s="1395" t="str">
        <f t="shared" si="851"/>
        <v>-</v>
      </c>
      <c r="CK400" s="1395" t="str">
        <f t="shared" si="851"/>
        <v>-</v>
      </c>
      <c r="CL400" s="1395" t="str">
        <f t="shared" si="851"/>
        <v>-</v>
      </c>
      <c r="CM400" s="1397" t="str">
        <f t="shared" si="851"/>
        <v>-</v>
      </c>
      <c r="CN400" s="1395" t="str">
        <f t="shared" si="851"/>
        <v>-</v>
      </c>
      <c r="CO400" s="1395" t="str">
        <f t="shared" si="851"/>
        <v>-</v>
      </c>
      <c r="CP400" s="1395" t="str">
        <f t="shared" si="851"/>
        <v>-</v>
      </c>
      <c r="CQ400" s="1395" t="str">
        <f t="shared" si="851"/>
        <v>-</v>
      </c>
      <c r="CR400" s="1398" t="str">
        <f t="shared" si="851"/>
        <v>-</v>
      </c>
      <c r="CS400" s="1378"/>
      <c r="CT400" s="1392" t="str">
        <f t="shared" si="793"/>
        <v>Qty</v>
      </c>
      <c r="CU400" s="1393" t="str">
        <f t="shared" si="794"/>
        <v>[Service]</v>
      </c>
      <c r="CV400" s="1393" t="str">
        <f t="shared" si="795"/>
        <v>[Price]</v>
      </c>
      <c r="CW400" s="1401" t="str">
        <f t="shared" si="815"/>
        <v>-</v>
      </c>
      <c r="CX400" s="1395" t="str">
        <f t="shared" si="816"/>
        <v>-</v>
      </c>
      <c r="CY400" s="1395" t="str">
        <f t="shared" si="817"/>
        <v>-</v>
      </c>
      <c r="CZ400" s="1397" t="str">
        <f t="shared" si="818"/>
        <v>-</v>
      </c>
      <c r="DA400" s="1395" t="str">
        <f t="shared" si="819"/>
        <v>-</v>
      </c>
      <c r="DB400" s="1395" t="str">
        <f t="shared" si="820"/>
        <v>-</v>
      </c>
      <c r="DC400" s="1395" t="str">
        <f t="shared" si="821"/>
        <v>-</v>
      </c>
      <c r="DD400" s="1395" t="str">
        <f t="shared" si="822"/>
        <v>-</v>
      </c>
      <c r="DE400" s="1398" t="str">
        <f t="shared" si="823"/>
        <v>-</v>
      </c>
      <c r="DF400" s="1378"/>
      <c r="DG400" s="1392" t="str">
        <f t="shared" si="835"/>
        <v>Qty</v>
      </c>
      <c r="DH400" s="1393" t="str">
        <f t="shared" si="835"/>
        <v>[Service]</v>
      </c>
      <c r="DI400" s="1393" t="str">
        <f t="shared" si="835"/>
        <v>[Price]</v>
      </c>
      <c r="DJ400" s="1401" t="str">
        <f t="shared" si="824"/>
        <v>-</v>
      </c>
      <c r="DK400" s="1395" t="str">
        <f t="shared" si="825"/>
        <v>-</v>
      </c>
      <c r="DL400" s="1395" t="str">
        <f t="shared" si="826"/>
        <v>-</v>
      </c>
      <c r="DM400" s="1397" t="str">
        <f t="shared" si="827"/>
        <v>-</v>
      </c>
      <c r="DN400" s="1395" t="str">
        <f t="shared" si="828"/>
        <v>-</v>
      </c>
      <c r="DO400" s="1395" t="str">
        <f t="shared" si="829"/>
        <v>-</v>
      </c>
      <c r="DP400" s="1395" t="str">
        <f t="shared" si="830"/>
        <v>-</v>
      </c>
      <c r="DQ400" s="1398" t="str">
        <f t="shared" si="831"/>
        <v>-</v>
      </c>
    </row>
    <row r="401" spans="4:121" ht="12.75" thickBot="1">
      <c r="E401" s="743" t="s">
        <v>46</v>
      </c>
      <c r="F401" s="732" t="str">
        <f>+F399</f>
        <v>[Service]</v>
      </c>
      <c r="G401" s="733">
        <f>+G399</f>
        <v>0</v>
      </c>
      <c r="H401" s="733">
        <f>+H399</f>
        <v>0</v>
      </c>
      <c r="I401" s="734" t="str">
        <f>+I399</f>
        <v>[Price]</v>
      </c>
      <c r="J401" s="735" t="s">
        <v>344</v>
      </c>
      <c r="K401" s="736">
        <f t="shared" ref="K401:AG401" si="852">K399*K400/10^6</f>
        <v>0</v>
      </c>
      <c r="L401" s="737">
        <f t="shared" si="852"/>
        <v>0</v>
      </c>
      <c r="M401" s="737">
        <f t="shared" si="852"/>
        <v>0</v>
      </c>
      <c r="N401" s="738">
        <f t="shared" si="852"/>
        <v>0</v>
      </c>
      <c r="O401" s="737">
        <f t="shared" si="852"/>
        <v>0</v>
      </c>
      <c r="P401" s="738">
        <f t="shared" si="852"/>
        <v>0</v>
      </c>
      <c r="Q401" s="737">
        <f t="shared" si="852"/>
        <v>0</v>
      </c>
      <c r="R401" s="737">
        <f t="shared" si="852"/>
        <v>0</v>
      </c>
      <c r="S401" s="737">
        <f t="shared" si="852"/>
        <v>0</v>
      </c>
      <c r="T401" s="737">
        <f t="shared" si="852"/>
        <v>0</v>
      </c>
      <c r="U401" s="737">
        <f t="shared" si="852"/>
        <v>0</v>
      </c>
      <c r="V401" s="737">
        <f t="shared" si="852"/>
        <v>0</v>
      </c>
      <c r="W401" s="737">
        <f t="shared" si="852"/>
        <v>0</v>
      </c>
      <c r="X401" s="738">
        <f t="shared" si="852"/>
        <v>0</v>
      </c>
      <c r="Y401" s="737">
        <f t="shared" si="852"/>
        <v>0</v>
      </c>
      <c r="Z401" s="737">
        <f t="shared" si="852"/>
        <v>0</v>
      </c>
      <c r="AA401" s="737">
        <f t="shared" si="852"/>
        <v>0</v>
      </c>
      <c r="AB401" s="737">
        <f t="shared" si="852"/>
        <v>0</v>
      </c>
      <c r="AC401" s="738">
        <f t="shared" si="852"/>
        <v>0</v>
      </c>
      <c r="AD401" s="737">
        <f t="shared" si="852"/>
        <v>0</v>
      </c>
      <c r="AE401" s="737">
        <f t="shared" si="852"/>
        <v>0</v>
      </c>
      <c r="AF401" s="737">
        <f t="shared" si="852"/>
        <v>0</v>
      </c>
      <c r="AG401" s="739">
        <f t="shared" si="852"/>
        <v>0</v>
      </c>
      <c r="AH401" s="823"/>
      <c r="AI401" s="745"/>
      <c r="AJ401" s="741"/>
      <c r="AK401" s="729"/>
      <c r="AL401" s="729"/>
      <c r="AM401" s="729"/>
      <c r="AN401" s="729"/>
      <c r="AO401" s="730"/>
      <c r="AP401" s="74"/>
      <c r="AQ401" s="74"/>
      <c r="AR401" s="74"/>
      <c r="AS401" s="106"/>
      <c r="AW401" s="1428" t="str">
        <f t="shared" si="833"/>
        <v>Rev</v>
      </c>
      <c r="AX401" s="1429" t="str">
        <f t="shared" si="833"/>
        <v>[Service]</v>
      </c>
      <c r="AY401" s="1430" t="str">
        <f t="shared" si="797"/>
        <v>[Price]</v>
      </c>
      <c r="AZ401" s="1431" t="str">
        <f t="shared" si="798"/>
        <v>-</v>
      </c>
      <c r="BA401" s="1431" t="str">
        <f t="shared" si="798"/>
        <v>-</v>
      </c>
      <c r="BB401" s="1431" t="str">
        <f t="shared" si="798"/>
        <v>-</v>
      </c>
      <c r="BC401" s="1431" t="str">
        <f t="shared" si="798"/>
        <v>-</v>
      </c>
      <c r="BD401" s="1431" t="str">
        <f t="shared" si="799"/>
        <v>-</v>
      </c>
      <c r="BE401" s="1431" t="str">
        <f t="shared" si="800"/>
        <v>-</v>
      </c>
      <c r="BF401" s="1431" t="str">
        <f t="shared" si="801"/>
        <v>-</v>
      </c>
      <c r="BG401" s="1432" t="str">
        <f t="shared" si="802"/>
        <v>-</v>
      </c>
      <c r="BH401" s="1431" t="str">
        <f t="shared" si="803"/>
        <v>-</v>
      </c>
      <c r="BI401" s="1431" t="str">
        <f t="shared" si="804"/>
        <v>-</v>
      </c>
      <c r="BJ401" s="1431" t="str">
        <f t="shared" si="805"/>
        <v>-</v>
      </c>
      <c r="BK401" s="1431" t="str">
        <f t="shared" si="806"/>
        <v>-</v>
      </c>
      <c r="BL401" s="1433" t="str">
        <f t="shared" si="807"/>
        <v>-</v>
      </c>
      <c r="BM401" s="1431" t="str">
        <f t="shared" si="808"/>
        <v>-</v>
      </c>
      <c r="BN401" s="1431" t="str">
        <f t="shared" si="809"/>
        <v>-</v>
      </c>
      <c r="BO401" s="1431" t="str">
        <f t="shared" si="810"/>
        <v>-</v>
      </c>
      <c r="BP401" s="1431" t="str">
        <f t="shared" si="811"/>
        <v>-</v>
      </c>
      <c r="BQ401" s="1434" t="str">
        <f t="shared" si="812"/>
        <v>-</v>
      </c>
      <c r="BR401" s="1378"/>
      <c r="BS401" s="1407"/>
      <c r="BT401" s="1408"/>
      <c r="BU401" s="1409"/>
      <c r="BV401" s="1410"/>
      <c r="BW401" s="1378"/>
      <c r="BX401" s="1428" t="str">
        <f t="shared" si="813"/>
        <v>Rev</v>
      </c>
      <c r="BY401" s="1429" t="str">
        <f t="shared" si="707"/>
        <v>[Service]</v>
      </c>
      <c r="BZ401" s="1430" t="str">
        <f t="shared" si="708"/>
        <v>[Price]</v>
      </c>
      <c r="CA401" s="1435" t="str">
        <f>IFERROR((S401/R401-1)*(R401/R$13),"-")</f>
        <v>-</v>
      </c>
      <c r="CB401" s="1431" t="str">
        <f>IFERROR((T401/S401-1)*(S401/S$13),"-")</f>
        <v>-</v>
      </c>
      <c r="CC401" s="1431" t="str">
        <f>IFERROR((U401/T401-1)*(T401/T$13),"-")</f>
        <v>-</v>
      </c>
      <c r="CD401" s="1431" t="str">
        <f>IFERROR((V401/U401-1)*(U401/U$13),"-")</f>
        <v>-</v>
      </c>
      <c r="CE401" s="1431" t="str">
        <f t="shared" ref="CE401:CR401" si="853">IFERROR((T401/S401-1)*(S401/S$13),"-")</f>
        <v>-</v>
      </c>
      <c r="CF401" s="1431" t="str">
        <f t="shared" si="853"/>
        <v>-</v>
      </c>
      <c r="CG401" s="1431" t="str">
        <f t="shared" si="853"/>
        <v>-</v>
      </c>
      <c r="CH401" s="1433" t="str">
        <f t="shared" si="853"/>
        <v>-</v>
      </c>
      <c r="CI401" s="1431" t="str">
        <f t="shared" si="853"/>
        <v>-</v>
      </c>
      <c r="CJ401" s="1431" t="str">
        <f t="shared" si="853"/>
        <v>-</v>
      </c>
      <c r="CK401" s="1431" t="str">
        <f t="shared" si="853"/>
        <v>-</v>
      </c>
      <c r="CL401" s="1431" t="str">
        <f t="shared" si="853"/>
        <v>-</v>
      </c>
      <c r="CM401" s="1433" t="str">
        <f t="shared" si="853"/>
        <v>-</v>
      </c>
      <c r="CN401" s="1431" t="str">
        <f t="shared" si="853"/>
        <v>-</v>
      </c>
      <c r="CO401" s="1431" t="str">
        <f t="shared" si="853"/>
        <v>-</v>
      </c>
      <c r="CP401" s="1431" t="str">
        <f t="shared" si="853"/>
        <v>-</v>
      </c>
      <c r="CQ401" s="1431" t="str">
        <f t="shared" si="853"/>
        <v>-</v>
      </c>
      <c r="CR401" s="1434" t="str">
        <f t="shared" si="853"/>
        <v>-</v>
      </c>
      <c r="CS401" s="1378"/>
      <c r="CT401" s="1428" t="str">
        <f t="shared" si="793"/>
        <v>Rev</v>
      </c>
      <c r="CU401" s="1429" t="str">
        <f t="shared" si="794"/>
        <v>[Service]</v>
      </c>
      <c r="CV401" s="1429" t="str">
        <f t="shared" si="795"/>
        <v>[Price]</v>
      </c>
      <c r="CW401" s="1435" t="str">
        <f t="shared" si="815"/>
        <v>-</v>
      </c>
      <c r="CX401" s="1431" t="str">
        <f t="shared" si="816"/>
        <v>-</v>
      </c>
      <c r="CY401" s="1431" t="str">
        <f t="shared" si="817"/>
        <v>-</v>
      </c>
      <c r="CZ401" s="1433" t="str">
        <f t="shared" si="818"/>
        <v>-</v>
      </c>
      <c r="DA401" s="1431" t="str">
        <f t="shared" si="819"/>
        <v>-</v>
      </c>
      <c r="DB401" s="1431" t="str">
        <f t="shared" si="820"/>
        <v>-</v>
      </c>
      <c r="DC401" s="1431" t="str">
        <f t="shared" si="821"/>
        <v>-</v>
      </c>
      <c r="DD401" s="1431" t="str">
        <f t="shared" si="822"/>
        <v>-</v>
      </c>
      <c r="DE401" s="1434" t="str">
        <f t="shared" si="823"/>
        <v>-</v>
      </c>
      <c r="DF401" s="1378"/>
      <c r="DG401" s="1428" t="str">
        <f t="shared" si="835"/>
        <v>Rev</v>
      </c>
      <c r="DH401" s="1429" t="str">
        <f t="shared" si="835"/>
        <v>[Service]</v>
      </c>
      <c r="DI401" s="1429" t="str">
        <f t="shared" si="835"/>
        <v>[Price]</v>
      </c>
      <c r="DJ401" s="1435" t="str">
        <f t="shared" si="824"/>
        <v>-</v>
      </c>
      <c r="DK401" s="1431" t="str">
        <f t="shared" si="825"/>
        <v>-</v>
      </c>
      <c r="DL401" s="1431" t="str">
        <f t="shared" si="826"/>
        <v>-</v>
      </c>
      <c r="DM401" s="1433" t="str">
        <f t="shared" si="827"/>
        <v>-</v>
      </c>
      <c r="DN401" s="1431" t="str">
        <f t="shared" si="828"/>
        <v>-</v>
      </c>
      <c r="DO401" s="1431" t="str">
        <f t="shared" si="829"/>
        <v>-</v>
      </c>
      <c r="DP401" s="1431" t="str">
        <f t="shared" si="830"/>
        <v>-</v>
      </c>
      <c r="DQ401" s="1434" t="str">
        <f t="shared" si="831"/>
        <v>-</v>
      </c>
    </row>
    <row r="402" spans="4:121">
      <c r="D402" s="70">
        <f>D399+1</f>
        <v>112</v>
      </c>
      <c r="E402" s="713" t="s">
        <v>44</v>
      </c>
      <c r="F402" s="789" t="s">
        <v>27</v>
      </c>
      <c r="G402" s="789"/>
      <c r="H402" s="789"/>
      <c r="I402" s="781" t="s">
        <v>318</v>
      </c>
      <c r="J402" s="781" t="s">
        <v>345</v>
      </c>
      <c r="K402" s="714"/>
      <c r="L402" s="715"/>
      <c r="M402" s="715"/>
      <c r="N402" s="716"/>
      <c r="O402" s="783"/>
      <c r="P402" s="784"/>
      <c r="Q402" s="783"/>
      <c r="R402" s="783"/>
      <c r="S402" s="783"/>
      <c r="T402" s="783"/>
      <c r="U402" s="783"/>
      <c r="V402" s="783"/>
      <c r="W402" s="783"/>
      <c r="X402" s="784"/>
      <c r="Y402" s="783"/>
      <c r="Z402" s="783"/>
      <c r="AA402" s="783"/>
      <c r="AB402" s="783"/>
      <c r="AC402" s="784"/>
      <c r="AD402" s="783"/>
      <c r="AE402" s="783"/>
      <c r="AF402" s="783"/>
      <c r="AG402" s="785"/>
      <c r="AI402" s="745"/>
      <c r="AJ402" s="717" t="str">
        <f t="shared" ref="AJ402:AS402" si="854">IFERROR((X402-W402)/W402,"")</f>
        <v/>
      </c>
      <c r="AK402" s="718" t="str">
        <f t="shared" si="854"/>
        <v/>
      </c>
      <c r="AL402" s="718" t="str">
        <f t="shared" si="854"/>
        <v/>
      </c>
      <c r="AM402" s="718" t="str">
        <f t="shared" si="854"/>
        <v/>
      </c>
      <c r="AN402" s="718" t="str">
        <f t="shared" si="854"/>
        <v/>
      </c>
      <c r="AO402" s="719" t="str">
        <f t="shared" si="854"/>
        <v/>
      </c>
      <c r="AP402" s="494" t="str">
        <f t="shared" si="854"/>
        <v/>
      </c>
      <c r="AQ402" s="494" t="str">
        <f t="shared" si="854"/>
        <v/>
      </c>
      <c r="AR402" s="494" t="str">
        <f t="shared" si="854"/>
        <v/>
      </c>
      <c r="AS402" s="720" t="str">
        <f t="shared" si="854"/>
        <v/>
      </c>
      <c r="AU402" s="1369"/>
      <c r="AW402" s="1412" t="str">
        <f t="shared" si="833"/>
        <v>Price</v>
      </c>
      <c r="AX402" s="1413" t="str">
        <f t="shared" si="833"/>
        <v>[Service]</v>
      </c>
      <c r="AY402" s="1414" t="str">
        <f t="shared" si="797"/>
        <v>[Price]</v>
      </c>
      <c r="AZ402" s="1415" t="str">
        <f t="shared" si="798"/>
        <v>-</v>
      </c>
      <c r="BA402" s="1415" t="str">
        <f t="shared" si="798"/>
        <v>-</v>
      </c>
      <c r="BB402" s="1415" t="str">
        <f t="shared" si="798"/>
        <v>-</v>
      </c>
      <c r="BC402" s="1415" t="str">
        <f t="shared" si="798"/>
        <v>-</v>
      </c>
      <c r="BD402" s="1415" t="str">
        <f t="shared" si="799"/>
        <v>-</v>
      </c>
      <c r="BE402" s="1415" t="str">
        <f t="shared" si="800"/>
        <v>-</v>
      </c>
      <c r="BF402" s="1415" t="str">
        <f t="shared" si="801"/>
        <v>-</v>
      </c>
      <c r="BG402" s="1416" t="str">
        <f t="shared" si="802"/>
        <v>-</v>
      </c>
      <c r="BH402" s="1417" t="str">
        <f t="shared" si="803"/>
        <v>-</v>
      </c>
      <c r="BI402" s="1417" t="str">
        <f t="shared" si="804"/>
        <v>-</v>
      </c>
      <c r="BJ402" s="1417" t="str">
        <f t="shared" si="805"/>
        <v>-</v>
      </c>
      <c r="BK402" s="1417" t="str">
        <f t="shared" si="806"/>
        <v>-</v>
      </c>
      <c r="BL402" s="1418" t="str">
        <f t="shared" si="807"/>
        <v>-</v>
      </c>
      <c r="BM402" s="1417" t="str">
        <f t="shared" si="808"/>
        <v>-</v>
      </c>
      <c r="BN402" s="1417" t="str">
        <f t="shared" si="809"/>
        <v>-</v>
      </c>
      <c r="BO402" s="1417" t="str">
        <f t="shared" si="810"/>
        <v>-</v>
      </c>
      <c r="BP402" s="1417" t="str">
        <f t="shared" si="811"/>
        <v>-</v>
      </c>
      <c r="BQ402" s="1419" t="str">
        <f t="shared" si="812"/>
        <v>-</v>
      </c>
      <c r="BR402" s="1378"/>
      <c r="BS402" s="1420"/>
      <c r="BT402" s="1421"/>
      <c r="BU402" s="1422"/>
      <c r="BV402" s="1423"/>
      <c r="BW402" s="1378"/>
      <c r="BX402" s="1412" t="str">
        <f t="shared" si="813"/>
        <v>Price</v>
      </c>
      <c r="BY402" s="1413" t="str">
        <f t="shared" si="707"/>
        <v>[Service]</v>
      </c>
      <c r="BZ402" s="1414" t="str">
        <f t="shared" si="708"/>
        <v>[Price]</v>
      </c>
      <c r="CA402" s="1424" t="str">
        <f>IFERROR((S402/R402-1)*(R404/R$13),"-")</f>
        <v>-</v>
      </c>
      <c r="CB402" s="1415" t="str">
        <f>IFERROR((T402/S402-1)*(S404/S$13),"-")</f>
        <v>-</v>
      </c>
      <c r="CC402" s="1415" t="str">
        <f>IFERROR((U402/T402-1)*(T404/T$13),"-")</f>
        <v>-</v>
      </c>
      <c r="CD402" s="1415" t="str">
        <f>IFERROR((V402/U402-1)*(U404/U$13),"-")</f>
        <v>-</v>
      </c>
      <c r="CE402" s="1415" t="str">
        <f t="shared" ref="CE402:CR402" si="855">IFERROR((T402/S402-1)*(S404/S$13),"-")</f>
        <v>-</v>
      </c>
      <c r="CF402" s="1415" t="str">
        <f t="shared" si="855"/>
        <v>-</v>
      </c>
      <c r="CG402" s="1415" t="str">
        <f t="shared" si="855"/>
        <v>-</v>
      </c>
      <c r="CH402" s="1425" t="str">
        <f t="shared" si="855"/>
        <v>-</v>
      </c>
      <c r="CI402" s="1417" t="str">
        <f t="shared" si="855"/>
        <v>-</v>
      </c>
      <c r="CJ402" s="1417" t="str">
        <f t="shared" si="855"/>
        <v>-</v>
      </c>
      <c r="CK402" s="1417" t="str">
        <f t="shared" si="855"/>
        <v>-</v>
      </c>
      <c r="CL402" s="1417" t="str">
        <f t="shared" si="855"/>
        <v>-</v>
      </c>
      <c r="CM402" s="1418" t="str">
        <f t="shared" si="855"/>
        <v>-</v>
      </c>
      <c r="CN402" s="1417" t="str">
        <f t="shared" si="855"/>
        <v>-</v>
      </c>
      <c r="CO402" s="1417" t="str">
        <f t="shared" si="855"/>
        <v>-</v>
      </c>
      <c r="CP402" s="1417" t="str">
        <f t="shared" si="855"/>
        <v>-</v>
      </c>
      <c r="CQ402" s="1417" t="str">
        <f t="shared" si="855"/>
        <v>-</v>
      </c>
      <c r="CR402" s="1419" t="str">
        <f t="shared" si="855"/>
        <v>-</v>
      </c>
      <c r="CS402" s="1378"/>
      <c r="CT402" s="1412" t="str">
        <f t="shared" si="793"/>
        <v>Price</v>
      </c>
      <c r="CU402" s="1413" t="str">
        <f t="shared" si="794"/>
        <v>[Service]</v>
      </c>
      <c r="CV402" s="1426" t="str">
        <f t="shared" si="795"/>
        <v>[Price]</v>
      </c>
      <c r="CW402" s="1427" t="str">
        <f t="shared" si="815"/>
        <v>-</v>
      </c>
      <c r="CX402" s="1417" t="str">
        <f t="shared" si="816"/>
        <v>-</v>
      </c>
      <c r="CY402" s="1417" t="str">
        <f t="shared" si="817"/>
        <v>-</v>
      </c>
      <c r="CZ402" s="1418" t="str">
        <f t="shared" si="818"/>
        <v>-</v>
      </c>
      <c r="DA402" s="1417" t="str">
        <f t="shared" si="819"/>
        <v>-</v>
      </c>
      <c r="DB402" s="1417" t="str">
        <f t="shared" si="820"/>
        <v>-</v>
      </c>
      <c r="DC402" s="1417" t="str">
        <f t="shared" si="821"/>
        <v>-</v>
      </c>
      <c r="DD402" s="1417" t="str">
        <f t="shared" si="822"/>
        <v>-</v>
      </c>
      <c r="DE402" s="1419" t="str">
        <f t="shared" si="823"/>
        <v>-</v>
      </c>
      <c r="DF402" s="1378"/>
      <c r="DG402" s="1412" t="str">
        <f t="shared" si="835"/>
        <v>Price</v>
      </c>
      <c r="DH402" s="1413" t="str">
        <f t="shared" si="835"/>
        <v>[Service]</v>
      </c>
      <c r="DI402" s="1426" t="str">
        <f t="shared" si="835"/>
        <v>[Price]</v>
      </c>
      <c r="DJ402" s="1427" t="str">
        <f t="shared" si="824"/>
        <v>-</v>
      </c>
      <c r="DK402" s="1417" t="str">
        <f t="shared" si="825"/>
        <v>-</v>
      </c>
      <c r="DL402" s="1417" t="str">
        <f t="shared" si="826"/>
        <v>-</v>
      </c>
      <c r="DM402" s="1418" t="str">
        <f t="shared" si="827"/>
        <v>-</v>
      </c>
      <c r="DN402" s="1417" t="str">
        <f t="shared" si="828"/>
        <v>-</v>
      </c>
      <c r="DO402" s="1417" t="str">
        <f t="shared" si="829"/>
        <v>-</v>
      </c>
      <c r="DP402" s="1417" t="str">
        <f t="shared" si="830"/>
        <v>-</v>
      </c>
      <c r="DQ402" s="1419" t="str">
        <f t="shared" si="831"/>
        <v>-</v>
      </c>
    </row>
    <row r="403" spans="4:121">
      <c r="E403" s="742" t="s">
        <v>45</v>
      </c>
      <c r="F403" s="722" t="str">
        <f>+F402</f>
        <v>[Service]</v>
      </c>
      <c r="G403" s="723">
        <f>+G402</f>
        <v>0</v>
      </c>
      <c r="H403" s="723">
        <f>+H402</f>
        <v>0</v>
      </c>
      <c r="I403" s="724" t="str">
        <f>+I402</f>
        <v>[Price]</v>
      </c>
      <c r="J403" s="782" t="s">
        <v>322</v>
      </c>
      <c r="K403" s="725"/>
      <c r="L403" s="726"/>
      <c r="M403" s="726"/>
      <c r="N403" s="727"/>
      <c r="O403" s="786"/>
      <c r="P403" s="787"/>
      <c r="Q403" s="786"/>
      <c r="R403" s="786"/>
      <c r="S403" s="786"/>
      <c r="T403" s="786"/>
      <c r="U403" s="786"/>
      <c r="V403" s="786"/>
      <c r="W403" s="786"/>
      <c r="X403" s="787"/>
      <c r="Y403" s="786"/>
      <c r="Z403" s="786"/>
      <c r="AA403" s="786"/>
      <c r="AB403" s="786"/>
      <c r="AC403" s="787"/>
      <c r="AD403" s="786"/>
      <c r="AE403" s="786"/>
      <c r="AF403" s="786"/>
      <c r="AG403" s="788"/>
      <c r="AH403" s="823"/>
      <c r="AI403" s="745"/>
      <c r="AJ403" s="728"/>
      <c r="AK403" s="729"/>
      <c r="AL403" s="729"/>
      <c r="AM403" s="729"/>
      <c r="AN403" s="729"/>
      <c r="AO403" s="730"/>
      <c r="AP403" s="74"/>
      <c r="AQ403" s="74"/>
      <c r="AR403" s="74"/>
      <c r="AS403" s="106"/>
      <c r="AW403" s="1392" t="str">
        <f t="shared" si="833"/>
        <v>Qty</v>
      </c>
      <c r="AX403" s="1393" t="str">
        <f t="shared" si="833"/>
        <v>[Service]</v>
      </c>
      <c r="AY403" s="1394" t="str">
        <f t="shared" si="797"/>
        <v>[Price]</v>
      </c>
      <c r="AZ403" s="1395" t="str">
        <f t="shared" si="798"/>
        <v>-</v>
      </c>
      <c r="BA403" s="1395" t="str">
        <f t="shared" si="798"/>
        <v>-</v>
      </c>
      <c r="BB403" s="1395" t="str">
        <f t="shared" si="798"/>
        <v>-</v>
      </c>
      <c r="BC403" s="1395" t="str">
        <f t="shared" si="798"/>
        <v>-</v>
      </c>
      <c r="BD403" s="1395" t="str">
        <f t="shared" si="799"/>
        <v>-</v>
      </c>
      <c r="BE403" s="1395" t="str">
        <f t="shared" si="800"/>
        <v>-</v>
      </c>
      <c r="BF403" s="1395" t="str">
        <f t="shared" si="801"/>
        <v>-</v>
      </c>
      <c r="BG403" s="1396" t="str">
        <f t="shared" si="802"/>
        <v>-</v>
      </c>
      <c r="BH403" s="1395" t="str">
        <f t="shared" si="803"/>
        <v>-</v>
      </c>
      <c r="BI403" s="1395" t="str">
        <f t="shared" si="804"/>
        <v>-</v>
      </c>
      <c r="BJ403" s="1395" t="str">
        <f t="shared" si="805"/>
        <v>-</v>
      </c>
      <c r="BK403" s="1395" t="str">
        <f t="shared" si="806"/>
        <v>-</v>
      </c>
      <c r="BL403" s="1397" t="str">
        <f t="shared" si="807"/>
        <v>-</v>
      </c>
      <c r="BM403" s="1395" t="str">
        <f t="shared" si="808"/>
        <v>-</v>
      </c>
      <c r="BN403" s="1395" t="str">
        <f t="shared" si="809"/>
        <v>-</v>
      </c>
      <c r="BO403" s="1395" t="str">
        <f t="shared" si="810"/>
        <v>-</v>
      </c>
      <c r="BP403" s="1395" t="str">
        <f t="shared" si="811"/>
        <v>-</v>
      </c>
      <c r="BQ403" s="1398" t="str">
        <f t="shared" si="812"/>
        <v>-</v>
      </c>
      <c r="BR403" s="1378"/>
      <c r="BS403" s="1329"/>
      <c r="BT403" s="1399"/>
      <c r="BU403" s="1331"/>
      <c r="BV403" s="1400"/>
      <c r="BW403" s="1378"/>
      <c r="BX403" s="1392" t="str">
        <f t="shared" si="813"/>
        <v>Qty</v>
      </c>
      <c r="BY403" s="1393" t="str">
        <f t="shared" si="707"/>
        <v>[Service]</v>
      </c>
      <c r="BZ403" s="1394" t="str">
        <f t="shared" si="708"/>
        <v>[Price]</v>
      </c>
      <c r="CA403" s="1401" t="str">
        <f>IFERROR((S403/R403-1)*(R404/R$13),"-")</f>
        <v>-</v>
      </c>
      <c r="CB403" s="1395" t="str">
        <f>IFERROR((T403/S403-1)*(S404/S$13),"-")</f>
        <v>-</v>
      </c>
      <c r="CC403" s="1395" t="str">
        <f>IFERROR((U403/T403-1)*(T404/T$13),"-")</f>
        <v>-</v>
      </c>
      <c r="CD403" s="1395" t="str">
        <f>IFERROR((V403/U403-1)*(U404/U$13),"-")</f>
        <v>-</v>
      </c>
      <c r="CE403" s="1395" t="str">
        <f t="shared" ref="CE403:CR403" si="856">IFERROR((T403/S403-1)*(S404/S$13),"-")</f>
        <v>-</v>
      </c>
      <c r="CF403" s="1395" t="str">
        <f t="shared" si="856"/>
        <v>-</v>
      </c>
      <c r="CG403" s="1395" t="str">
        <f t="shared" si="856"/>
        <v>-</v>
      </c>
      <c r="CH403" s="1397" t="str">
        <f t="shared" si="856"/>
        <v>-</v>
      </c>
      <c r="CI403" s="1395" t="str">
        <f t="shared" si="856"/>
        <v>-</v>
      </c>
      <c r="CJ403" s="1395" t="str">
        <f t="shared" si="856"/>
        <v>-</v>
      </c>
      <c r="CK403" s="1395" t="str">
        <f t="shared" si="856"/>
        <v>-</v>
      </c>
      <c r="CL403" s="1395" t="str">
        <f t="shared" si="856"/>
        <v>-</v>
      </c>
      <c r="CM403" s="1397" t="str">
        <f t="shared" si="856"/>
        <v>-</v>
      </c>
      <c r="CN403" s="1395" t="str">
        <f t="shared" si="856"/>
        <v>-</v>
      </c>
      <c r="CO403" s="1395" t="str">
        <f t="shared" si="856"/>
        <v>-</v>
      </c>
      <c r="CP403" s="1395" t="str">
        <f t="shared" si="856"/>
        <v>-</v>
      </c>
      <c r="CQ403" s="1395" t="str">
        <f t="shared" si="856"/>
        <v>-</v>
      </c>
      <c r="CR403" s="1398" t="str">
        <f t="shared" si="856"/>
        <v>-</v>
      </c>
      <c r="CS403" s="1378"/>
      <c r="CT403" s="1392" t="str">
        <f t="shared" si="793"/>
        <v>Qty</v>
      </c>
      <c r="CU403" s="1393" t="str">
        <f t="shared" si="794"/>
        <v>[Service]</v>
      </c>
      <c r="CV403" s="1393" t="str">
        <f t="shared" si="795"/>
        <v>[Price]</v>
      </c>
      <c r="CW403" s="1401" t="str">
        <f t="shared" si="815"/>
        <v>-</v>
      </c>
      <c r="CX403" s="1395" t="str">
        <f t="shared" si="816"/>
        <v>-</v>
      </c>
      <c r="CY403" s="1395" t="str">
        <f t="shared" si="817"/>
        <v>-</v>
      </c>
      <c r="CZ403" s="1397" t="str">
        <f t="shared" si="818"/>
        <v>-</v>
      </c>
      <c r="DA403" s="1395" t="str">
        <f t="shared" si="819"/>
        <v>-</v>
      </c>
      <c r="DB403" s="1395" t="str">
        <f t="shared" si="820"/>
        <v>-</v>
      </c>
      <c r="DC403" s="1395" t="str">
        <f t="shared" si="821"/>
        <v>-</v>
      </c>
      <c r="DD403" s="1395" t="str">
        <f t="shared" si="822"/>
        <v>-</v>
      </c>
      <c r="DE403" s="1398" t="str">
        <f t="shared" si="823"/>
        <v>-</v>
      </c>
      <c r="DF403" s="1378"/>
      <c r="DG403" s="1392" t="str">
        <f t="shared" si="835"/>
        <v>Qty</v>
      </c>
      <c r="DH403" s="1393" t="str">
        <f t="shared" si="835"/>
        <v>[Service]</v>
      </c>
      <c r="DI403" s="1393" t="str">
        <f t="shared" si="835"/>
        <v>[Price]</v>
      </c>
      <c r="DJ403" s="1401" t="str">
        <f t="shared" si="824"/>
        <v>-</v>
      </c>
      <c r="DK403" s="1395" t="str">
        <f t="shared" si="825"/>
        <v>-</v>
      </c>
      <c r="DL403" s="1395" t="str">
        <f t="shared" si="826"/>
        <v>-</v>
      </c>
      <c r="DM403" s="1397" t="str">
        <f t="shared" si="827"/>
        <v>-</v>
      </c>
      <c r="DN403" s="1395" t="str">
        <f t="shared" si="828"/>
        <v>-</v>
      </c>
      <c r="DO403" s="1395" t="str">
        <f t="shared" si="829"/>
        <v>-</v>
      </c>
      <c r="DP403" s="1395" t="str">
        <f t="shared" si="830"/>
        <v>-</v>
      </c>
      <c r="DQ403" s="1398" t="str">
        <f t="shared" si="831"/>
        <v>-</v>
      </c>
    </row>
    <row r="404" spans="4:121" ht="12.75" thickBot="1">
      <c r="E404" s="743" t="s">
        <v>46</v>
      </c>
      <c r="F404" s="732" t="str">
        <f>+F402</f>
        <v>[Service]</v>
      </c>
      <c r="G404" s="733">
        <f>+G402</f>
        <v>0</v>
      </c>
      <c r="H404" s="733">
        <f>+H402</f>
        <v>0</v>
      </c>
      <c r="I404" s="734" t="str">
        <f>+I402</f>
        <v>[Price]</v>
      </c>
      <c r="J404" s="735" t="s">
        <v>344</v>
      </c>
      <c r="K404" s="736">
        <f t="shared" ref="K404:AG404" si="857">K402*K403/10^6</f>
        <v>0</v>
      </c>
      <c r="L404" s="737">
        <f t="shared" si="857"/>
        <v>0</v>
      </c>
      <c r="M404" s="737">
        <f t="shared" si="857"/>
        <v>0</v>
      </c>
      <c r="N404" s="738">
        <f t="shared" si="857"/>
        <v>0</v>
      </c>
      <c r="O404" s="737">
        <f t="shared" si="857"/>
        <v>0</v>
      </c>
      <c r="P404" s="738">
        <f t="shared" si="857"/>
        <v>0</v>
      </c>
      <c r="Q404" s="737">
        <f t="shared" si="857"/>
        <v>0</v>
      </c>
      <c r="R404" s="737">
        <f t="shared" si="857"/>
        <v>0</v>
      </c>
      <c r="S404" s="737">
        <f t="shared" si="857"/>
        <v>0</v>
      </c>
      <c r="T404" s="737">
        <f t="shared" si="857"/>
        <v>0</v>
      </c>
      <c r="U404" s="737">
        <f t="shared" si="857"/>
        <v>0</v>
      </c>
      <c r="V404" s="737">
        <f t="shared" si="857"/>
        <v>0</v>
      </c>
      <c r="W404" s="737">
        <f t="shared" si="857"/>
        <v>0</v>
      </c>
      <c r="X404" s="738">
        <f t="shared" si="857"/>
        <v>0</v>
      </c>
      <c r="Y404" s="737">
        <f t="shared" si="857"/>
        <v>0</v>
      </c>
      <c r="Z404" s="737">
        <f t="shared" si="857"/>
        <v>0</v>
      </c>
      <c r="AA404" s="737">
        <f t="shared" si="857"/>
        <v>0</v>
      </c>
      <c r="AB404" s="737">
        <f t="shared" si="857"/>
        <v>0</v>
      </c>
      <c r="AC404" s="738">
        <f t="shared" si="857"/>
        <v>0</v>
      </c>
      <c r="AD404" s="737">
        <f t="shared" si="857"/>
        <v>0</v>
      </c>
      <c r="AE404" s="737">
        <f t="shared" si="857"/>
        <v>0</v>
      </c>
      <c r="AF404" s="737">
        <f t="shared" si="857"/>
        <v>0</v>
      </c>
      <c r="AG404" s="739">
        <f t="shared" si="857"/>
        <v>0</v>
      </c>
      <c r="AH404" s="823"/>
      <c r="AI404" s="745"/>
      <c r="AJ404" s="741"/>
      <c r="AK404" s="729"/>
      <c r="AL404" s="729"/>
      <c r="AM404" s="729"/>
      <c r="AN404" s="729"/>
      <c r="AO404" s="730"/>
      <c r="AP404" s="74"/>
      <c r="AQ404" s="74"/>
      <c r="AR404" s="74"/>
      <c r="AS404" s="106"/>
      <c r="AW404" s="1428" t="str">
        <f t="shared" si="833"/>
        <v>Rev</v>
      </c>
      <c r="AX404" s="1429" t="str">
        <f t="shared" si="833"/>
        <v>[Service]</v>
      </c>
      <c r="AY404" s="1430" t="str">
        <f t="shared" si="797"/>
        <v>[Price]</v>
      </c>
      <c r="AZ404" s="1431" t="str">
        <f t="shared" si="798"/>
        <v>-</v>
      </c>
      <c r="BA404" s="1431" t="str">
        <f t="shared" si="798"/>
        <v>-</v>
      </c>
      <c r="BB404" s="1431" t="str">
        <f t="shared" si="798"/>
        <v>-</v>
      </c>
      <c r="BC404" s="1431" t="str">
        <f t="shared" si="798"/>
        <v>-</v>
      </c>
      <c r="BD404" s="1431" t="str">
        <f t="shared" si="799"/>
        <v>-</v>
      </c>
      <c r="BE404" s="1431" t="str">
        <f t="shared" si="800"/>
        <v>-</v>
      </c>
      <c r="BF404" s="1431" t="str">
        <f t="shared" si="801"/>
        <v>-</v>
      </c>
      <c r="BG404" s="1432" t="str">
        <f t="shared" si="802"/>
        <v>-</v>
      </c>
      <c r="BH404" s="1431" t="str">
        <f t="shared" si="803"/>
        <v>-</v>
      </c>
      <c r="BI404" s="1431" t="str">
        <f t="shared" si="804"/>
        <v>-</v>
      </c>
      <c r="BJ404" s="1431" t="str">
        <f t="shared" si="805"/>
        <v>-</v>
      </c>
      <c r="BK404" s="1431" t="str">
        <f t="shared" si="806"/>
        <v>-</v>
      </c>
      <c r="BL404" s="1433" t="str">
        <f t="shared" si="807"/>
        <v>-</v>
      </c>
      <c r="BM404" s="1431" t="str">
        <f t="shared" si="808"/>
        <v>-</v>
      </c>
      <c r="BN404" s="1431" t="str">
        <f t="shared" si="809"/>
        <v>-</v>
      </c>
      <c r="BO404" s="1431" t="str">
        <f t="shared" si="810"/>
        <v>-</v>
      </c>
      <c r="BP404" s="1431" t="str">
        <f t="shared" si="811"/>
        <v>-</v>
      </c>
      <c r="BQ404" s="1434" t="str">
        <f t="shared" si="812"/>
        <v>-</v>
      </c>
      <c r="BR404" s="1378"/>
      <c r="BS404" s="1407"/>
      <c r="BT404" s="1408"/>
      <c r="BU404" s="1409"/>
      <c r="BV404" s="1410"/>
      <c r="BW404" s="1378"/>
      <c r="BX404" s="1428" t="str">
        <f t="shared" si="813"/>
        <v>Rev</v>
      </c>
      <c r="BY404" s="1429" t="str">
        <f t="shared" ref="BY404:BY443" si="858">AX404</f>
        <v>[Service]</v>
      </c>
      <c r="BZ404" s="1430" t="str">
        <f t="shared" ref="BZ404:BZ443" si="859">AY404</f>
        <v>[Price]</v>
      </c>
      <c r="CA404" s="1435" t="str">
        <f>IFERROR((S404/R404-1)*(R404/R$13),"-")</f>
        <v>-</v>
      </c>
      <c r="CB404" s="1431" t="str">
        <f>IFERROR((T404/S404-1)*(S404/S$13),"-")</f>
        <v>-</v>
      </c>
      <c r="CC404" s="1431" t="str">
        <f>IFERROR((U404/T404-1)*(T404/T$13),"-")</f>
        <v>-</v>
      </c>
      <c r="CD404" s="1431" t="str">
        <f>IFERROR((V404/U404-1)*(U404/U$13),"-")</f>
        <v>-</v>
      </c>
      <c r="CE404" s="1431" t="str">
        <f t="shared" ref="CE404:CR404" si="860">IFERROR((T404/S404-1)*(S404/S$13),"-")</f>
        <v>-</v>
      </c>
      <c r="CF404" s="1431" t="str">
        <f t="shared" si="860"/>
        <v>-</v>
      </c>
      <c r="CG404" s="1431" t="str">
        <f t="shared" si="860"/>
        <v>-</v>
      </c>
      <c r="CH404" s="1433" t="str">
        <f t="shared" si="860"/>
        <v>-</v>
      </c>
      <c r="CI404" s="1431" t="str">
        <f t="shared" si="860"/>
        <v>-</v>
      </c>
      <c r="CJ404" s="1431" t="str">
        <f t="shared" si="860"/>
        <v>-</v>
      </c>
      <c r="CK404" s="1431" t="str">
        <f t="shared" si="860"/>
        <v>-</v>
      </c>
      <c r="CL404" s="1431" t="str">
        <f t="shared" si="860"/>
        <v>-</v>
      </c>
      <c r="CM404" s="1433" t="str">
        <f t="shared" si="860"/>
        <v>-</v>
      </c>
      <c r="CN404" s="1431" t="str">
        <f t="shared" si="860"/>
        <v>-</v>
      </c>
      <c r="CO404" s="1431" t="str">
        <f t="shared" si="860"/>
        <v>-</v>
      </c>
      <c r="CP404" s="1431" t="str">
        <f t="shared" si="860"/>
        <v>-</v>
      </c>
      <c r="CQ404" s="1431" t="str">
        <f t="shared" si="860"/>
        <v>-</v>
      </c>
      <c r="CR404" s="1434" t="str">
        <f t="shared" si="860"/>
        <v>-</v>
      </c>
      <c r="CS404" s="1378"/>
      <c r="CT404" s="1428" t="str">
        <f t="shared" si="793"/>
        <v>Rev</v>
      </c>
      <c r="CU404" s="1429" t="str">
        <f t="shared" si="794"/>
        <v>[Service]</v>
      </c>
      <c r="CV404" s="1429" t="str">
        <f t="shared" si="795"/>
        <v>[Price]</v>
      </c>
      <c r="CW404" s="1435" t="str">
        <f t="shared" si="815"/>
        <v>-</v>
      </c>
      <c r="CX404" s="1431" t="str">
        <f t="shared" si="816"/>
        <v>-</v>
      </c>
      <c r="CY404" s="1431" t="str">
        <f t="shared" si="817"/>
        <v>-</v>
      </c>
      <c r="CZ404" s="1433" t="str">
        <f t="shared" si="818"/>
        <v>-</v>
      </c>
      <c r="DA404" s="1431" t="str">
        <f t="shared" si="819"/>
        <v>-</v>
      </c>
      <c r="DB404" s="1431" t="str">
        <f t="shared" si="820"/>
        <v>-</v>
      </c>
      <c r="DC404" s="1431" t="str">
        <f t="shared" si="821"/>
        <v>-</v>
      </c>
      <c r="DD404" s="1431" t="str">
        <f t="shared" si="822"/>
        <v>-</v>
      </c>
      <c r="DE404" s="1434" t="str">
        <f t="shared" si="823"/>
        <v>-</v>
      </c>
      <c r="DF404" s="1378"/>
      <c r="DG404" s="1428" t="str">
        <f t="shared" si="835"/>
        <v>Rev</v>
      </c>
      <c r="DH404" s="1429" t="str">
        <f t="shared" si="835"/>
        <v>[Service]</v>
      </c>
      <c r="DI404" s="1429" t="str">
        <f t="shared" si="835"/>
        <v>[Price]</v>
      </c>
      <c r="DJ404" s="1435" t="str">
        <f t="shared" si="824"/>
        <v>-</v>
      </c>
      <c r="DK404" s="1431" t="str">
        <f t="shared" si="825"/>
        <v>-</v>
      </c>
      <c r="DL404" s="1431" t="str">
        <f t="shared" si="826"/>
        <v>-</v>
      </c>
      <c r="DM404" s="1433" t="str">
        <f t="shared" si="827"/>
        <v>-</v>
      </c>
      <c r="DN404" s="1431" t="str">
        <f t="shared" si="828"/>
        <v>-</v>
      </c>
      <c r="DO404" s="1431" t="str">
        <f t="shared" si="829"/>
        <v>-</v>
      </c>
      <c r="DP404" s="1431" t="str">
        <f t="shared" si="830"/>
        <v>-</v>
      </c>
      <c r="DQ404" s="1434" t="str">
        <f t="shared" si="831"/>
        <v>-</v>
      </c>
    </row>
    <row r="405" spans="4:121">
      <c r="D405" s="70">
        <f>D402+1</f>
        <v>113</v>
      </c>
      <c r="E405" s="713" t="s">
        <v>44</v>
      </c>
      <c r="F405" s="789" t="s">
        <v>27</v>
      </c>
      <c r="G405" s="789"/>
      <c r="H405" s="789"/>
      <c r="I405" s="781" t="s">
        <v>318</v>
      </c>
      <c r="J405" s="781" t="s">
        <v>345</v>
      </c>
      <c r="K405" s="714"/>
      <c r="L405" s="715"/>
      <c r="M405" s="715"/>
      <c r="N405" s="716"/>
      <c r="O405" s="783"/>
      <c r="P405" s="784"/>
      <c r="Q405" s="783"/>
      <c r="R405" s="783"/>
      <c r="S405" s="783"/>
      <c r="T405" s="783"/>
      <c r="U405" s="783"/>
      <c r="V405" s="783"/>
      <c r="W405" s="783"/>
      <c r="X405" s="784"/>
      <c r="Y405" s="783"/>
      <c r="Z405" s="783"/>
      <c r="AA405" s="783"/>
      <c r="AB405" s="783"/>
      <c r="AC405" s="784"/>
      <c r="AD405" s="783"/>
      <c r="AE405" s="783"/>
      <c r="AF405" s="783"/>
      <c r="AG405" s="785"/>
      <c r="AI405" s="745"/>
      <c r="AJ405" s="717" t="str">
        <f t="shared" ref="AJ405:AS405" si="861">IFERROR((X405-W405)/W405,"")</f>
        <v/>
      </c>
      <c r="AK405" s="718" t="str">
        <f t="shared" si="861"/>
        <v/>
      </c>
      <c r="AL405" s="718" t="str">
        <f t="shared" si="861"/>
        <v/>
      </c>
      <c r="AM405" s="718" t="str">
        <f t="shared" si="861"/>
        <v/>
      </c>
      <c r="AN405" s="718" t="str">
        <f t="shared" si="861"/>
        <v/>
      </c>
      <c r="AO405" s="719" t="str">
        <f t="shared" si="861"/>
        <v/>
      </c>
      <c r="AP405" s="494" t="str">
        <f t="shared" si="861"/>
        <v/>
      </c>
      <c r="AQ405" s="494" t="str">
        <f t="shared" si="861"/>
        <v/>
      </c>
      <c r="AR405" s="494" t="str">
        <f t="shared" si="861"/>
        <v/>
      </c>
      <c r="AS405" s="720" t="str">
        <f t="shared" si="861"/>
        <v/>
      </c>
      <c r="AU405" s="1369"/>
      <c r="AW405" s="1412" t="str">
        <f t="shared" si="833"/>
        <v>Price</v>
      </c>
      <c r="AX405" s="1413" t="str">
        <f t="shared" si="833"/>
        <v>[Service]</v>
      </c>
      <c r="AY405" s="1414" t="str">
        <f t="shared" si="797"/>
        <v>[Price]</v>
      </c>
      <c r="AZ405" s="1415" t="str">
        <f t="shared" ref="AZ405:BC420" si="862">IFERROR(P405/O405-1,"-")</f>
        <v>-</v>
      </c>
      <c r="BA405" s="1415" t="str">
        <f t="shared" si="862"/>
        <v>-</v>
      </c>
      <c r="BB405" s="1415" t="str">
        <f t="shared" si="862"/>
        <v>-</v>
      </c>
      <c r="BC405" s="1415" t="str">
        <f t="shared" si="862"/>
        <v>-</v>
      </c>
      <c r="BD405" s="1415" t="str">
        <f t="shared" si="799"/>
        <v>-</v>
      </c>
      <c r="BE405" s="1415" t="str">
        <f t="shared" si="800"/>
        <v>-</v>
      </c>
      <c r="BF405" s="1415" t="str">
        <f t="shared" si="801"/>
        <v>-</v>
      </c>
      <c r="BG405" s="1416" t="str">
        <f t="shared" si="802"/>
        <v>-</v>
      </c>
      <c r="BH405" s="1417" t="str">
        <f t="shared" si="803"/>
        <v>-</v>
      </c>
      <c r="BI405" s="1417" t="str">
        <f t="shared" si="804"/>
        <v>-</v>
      </c>
      <c r="BJ405" s="1417" t="str">
        <f t="shared" si="805"/>
        <v>-</v>
      </c>
      <c r="BK405" s="1417" t="str">
        <f t="shared" si="806"/>
        <v>-</v>
      </c>
      <c r="BL405" s="1418" t="str">
        <f t="shared" si="807"/>
        <v>-</v>
      </c>
      <c r="BM405" s="1417" t="str">
        <f t="shared" si="808"/>
        <v>-</v>
      </c>
      <c r="BN405" s="1417" t="str">
        <f t="shared" si="809"/>
        <v>-</v>
      </c>
      <c r="BO405" s="1417" t="str">
        <f t="shared" si="810"/>
        <v>-</v>
      </c>
      <c r="BP405" s="1417" t="str">
        <f t="shared" si="811"/>
        <v>-</v>
      </c>
      <c r="BQ405" s="1419" t="str">
        <f t="shared" si="812"/>
        <v>-</v>
      </c>
      <c r="BR405" s="1378"/>
      <c r="BS405" s="1420"/>
      <c r="BT405" s="1421"/>
      <c r="BU405" s="1422"/>
      <c r="BV405" s="1423"/>
      <c r="BW405" s="1378"/>
      <c r="BX405" s="1412" t="str">
        <f t="shared" si="813"/>
        <v>Price</v>
      </c>
      <c r="BY405" s="1413" t="str">
        <f t="shared" si="858"/>
        <v>[Service]</v>
      </c>
      <c r="BZ405" s="1414" t="str">
        <f t="shared" si="859"/>
        <v>[Price]</v>
      </c>
      <c r="CA405" s="1424" t="str">
        <f>IFERROR((S405/R405-1)*(R407/R$13),"-")</f>
        <v>-</v>
      </c>
      <c r="CB405" s="1415" t="str">
        <f>IFERROR((T405/S405-1)*(S407/S$13),"-")</f>
        <v>-</v>
      </c>
      <c r="CC405" s="1415" t="str">
        <f>IFERROR((U405/T405-1)*(T407/T$13),"-")</f>
        <v>-</v>
      </c>
      <c r="CD405" s="1415" t="str">
        <f>IFERROR((V405/U405-1)*(U407/U$13),"-")</f>
        <v>-</v>
      </c>
      <c r="CE405" s="1415" t="str">
        <f t="shared" ref="CE405:CR405" si="863">IFERROR((T405/S405-1)*(S407/S$13),"-")</f>
        <v>-</v>
      </c>
      <c r="CF405" s="1415" t="str">
        <f t="shared" si="863"/>
        <v>-</v>
      </c>
      <c r="CG405" s="1415" t="str">
        <f t="shared" si="863"/>
        <v>-</v>
      </c>
      <c r="CH405" s="1425" t="str">
        <f t="shared" si="863"/>
        <v>-</v>
      </c>
      <c r="CI405" s="1417" t="str">
        <f t="shared" si="863"/>
        <v>-</v>
      </c>
      <c r="CJ405" s="1417" t="str">
        <f t="shared" si="863"/>
        <v>-</v>
      </c>
      <c r="CK405" s="1417" t="str">
        <f t="shared" si="863"/>
        <v>-</v>
      </c>
      <c r="CL405" s="1417" t="str">
        <f t="shared" si="863"/>
        <v>-</v>
      </c>
      <c r="CM405" s="1418" t="str">
        <f t="shared" si="863"/>
        <v>-</v>
      </c>
      <c r="CN405" s="1417" t="str">
        <f t="shared" si="863"/>
        <v>-</v>
      </c>
      <c r="CO405" s="1417" t="str">
        <f t="shared" si="863"/>
        <v>-</v>
      </c>
      <c r="CP405" s="1417" t="str">
        <f t="shared" si="863"/>
        <v>-</v>
      </c>
      <c r="CQ405" s="1417" t="str">
        <f t="shared" si="863"/>
        <v>-</v>
      </c>
      <c r="CR405" s="1419" t="str">
        <f t="shared" si="863"/>
        <v>-</v>
      </c>
      <c r="CS405" s="1378"/>
      <c r="CT405" s="1412" t="str">
        <f t="shared" si="793"/>
        <v>Price</v>
      </c>
      <c r="CU405" s="1413" t="str">
        <f t="shared" si="794"/>
        <v>[Service]</v>
      </c>
      <c r="CV405" s="1426" t="str">
        <f t="shared" si="795"/>
        <v>[Price]</v>
      </c>
      <c r="CW405" s="1427" t="str">
        <f t="shared" si="815"/>
        <v>-</v>
      </c>
      <c r="CX405" s="1417" t="str">
        <f t="shared" si="816"/>
        <v>-</v>
      </c>
      <c r="CY405" s="1417" t="str">
        <f t="shared" si="817"/>
        <v>-</v>
      </c>
      <c r="CZ405" s="1418" t="str">
        <f t="shared" si="818"/>
        <v>-</v>
      </c>
      <c r="DA405" s="1417" t="str">
        <f t="shared" si="819"/>
        <v>-</v>
      </c>
      <c r="DB405" s="1417" t="str">
        <f t="shared" si="820"/>
        <v>-</v>
      </c>
      <c r="DC405" s="1417" t="str">
        <f t="shared" si="821"/>
        <v>-</v>
      </c>
      <c r="DD405" s="1417" t="str">
        <f t="shared" si="822"/>
        <v>-</v>
      </c>
      <c r="DE405" s="1419" t="str">
        <f t="shared" si="823"/>
        <v>-</v>
      </c>
      <c r="DF405" s="1378"/>
      <c r="DG405" s="1412" t="str">
        <f t="shared" si="835"/>
        <v>Price</v>
      </c>
      <c r="DH405" s="1413" t="str">
        <f t="shared" si="835"/>
        <v>[Service]</v>
      </c>
      <c r="DI405" s="1426" t="str">
        <f t="shared" si="835"/>
        <v>[Price]</v>
      </c>
      <c r="DJ405" s="1427" t="str">
        <f t="shared" si="824"/>
        <v>-</v>
      </c>
      <c r="DK405" s="1417" t="str">
        <f t="shared" si="825"/>
        <v>-</v>
      </c>
      <c r="DL405" s="1417" t="str">
        <f t="shared" si="826"/>
        <v>-</v>
      </c>
      <c r="DM405" s="1418" t="str">
        <f t="shared" si="827"/>
        <v>-</v>
      </c>
      <c r="DN405" s="1417" t="str">
        <f t="shared" si="828"/>
        <v>-</v>
      </c>
      <c r="DO405" s="1417" t="str">
        <f t="shared" si="829"/>
        <v>-</v>
      </c>
      <c r="DP405" s="1417" t="str">
        <f t="shared" si="830"/>
        <v>-</v>
      </c>
      <c r="DQ405" s="1419" t="str">
        <f t="shared" si="831"/>
        <v>-</v>
      </c>
    </row>
    <row r="406" spans="4:121">
      <c r="E406" s="742" t="s">
        <v>45</v>
      </c>
      <c r="F406" s="722" t="str">
        <f>+F405</f>
        <v>[Service]</v>
      </c>
      <c r="G406" s="723">
        <f>+G405</f>
        <v>0</v>
      </c>
      <c r="H406" s="723">
        <f>+H405</f>
        <v>0</v>
      </c>
      <c r="I406" s="724" t="str">
        <f>+I405</f>
        <v>[Price]</v>
      </c>
      <c r="J406" s="782" t="s">
        <v>322</v>
      </c>
      <c r="K406" s="725"/>
      <c r="L406" s="726"/>
      <c r="M406" s="726"/>
      <c r="N406" s="727"/>
      <c r="O406" s="786"/>
      <c r="P406" s="787"/>
      <c r="Q406" s="786"/>
      <c r="R406" s="786"/>
      <c r="S406" s="786"/>
      <c r="T406" s="786"/>
      <c r="U406" s="786"/>
      <c r="V406" s="786"/>
      <c r="W406" s="786"/>
      <c r="X406" s="787"/>
      <c r="Y406" s="786"/>
      <c r="Z406" s="786"/>
      <c r="AA406" s="786"/>
      <c r="AB406" s="786"/>
      <c r="AC406" s="787"/>
      <c r="AD406" s="786"/>
      <c r="AE406" s="786"/>
      <c r="AF406" s="786"/>
      <c r="AG406" s="788"/>
      <c r="AH406" s="823"/>
      <c r="AI406" s="745"/>
      <c r="AJ406" s="728"/>
      <c r="AK406" s="729"/>
      <c r="AL406" s="729"/>
      <c r="AM406" s="729"/>
      <c r="AN406" s="729"/>
      <c r="AO406" s="730"/>
      <c r="AP406" s="74"/>
      <c r="AQ406" s="74"/>
      <c r="AR406" s="74"/>
      <c r="AS406" s="106"/>
      <c r="AW406" s="1392" t="str">
        <f t="shared" si="833"/>
        <v>Qty</v>
      </c>
      <c r="AX406" s="1393" t="str">
        <f t="shared" si="833"/>
        <v>[Service]</v>
      </c>
      <c r="AY406" s="1394" t="str">
        <f t="shared" si="797"/>
        <v>[Price]</v>
      </c>
      <c r="AZ406" s="1395" t="str">
        <f t="shared" si="862"/>
        <v>-</v>
      </c>
      <c r="BA406" s="1395" t="str">
        <f t="shared" si="862"/>
        <v>-</v>
      </c>
      <c r="BB406" s="1395" t="str">
        <f t="shared" si="862"/>
        <v>-</v>
      </c>
      <c r="BC406" s="1395" t="str">
        <f t="shared" si="862"/>
        <v>-</v>
      </c>
      <c r="BD406" s="1395" t="str">
        <f t="shared" si="799"/>
        <v>-</v>
      </c>
      <c r="BE406" s="1395" t="str">
        <f t="shared" si="800"/>
        <v>-</v>
      </c>
      <c r="BF406" s="1395" t="str">
        <f t="shared" si="801"/>
        <v>-</v>
      </c>
      <c r="BG406" s="1396" t="str">
        <f t="shared" si="802"/>
        <v>-</v>
      </c>
      <c r="BH406" s="1395" t="str">
        <f t="shared" si="803"/>
        <v>-</v>
      </c>
      <c r="BI406" s="1395" t="str">
        <f t="shared" si="804"/>
        <v>-</v>
      </c>
      <c r="BJ406" s="1395" t="str">
        <f t="shared" si="805"/>
        <v>-</v>
      </c>
      <c r="BK406" s="1395" t="str">
        <f t="shared" si="806"/>
        <v>-</v>
      </c>
      <c r="BL406" s="1397" t="str">
        <f t="shared" si="807"/>
        <v>-</v>
      </c>
      <c r="BM406" s="1395" t="str">
        <f t="shared" si="808"/>
        <v>-</v>
      </c>
      <c r="BN406" s="1395" t="str">
        <f t="shared" si="809"/>
        <v>-</v>
      </c>
      <c r="BO406" s="1395" t="str">
        <f t="shared" si="810"/>
        <v>-</v>
      </c>
      <c r="BP406" s="1395" t="str">
        <f t="shared" si="811"/>
        <v>-</v>
      </c>
      <c r="BQ406" s="1398" t="str">
        <f t="shared" si="812"/>
        <v>-</v>
      </c>
      <c r="BR406" s="1378"/>
      <c r="BS406" s="1329"/>
      <c r="BT406" s="1399"/>
      <c r="BU406" s="1331"/>
      <c r="BV406" s="1400"/>
      <c r="BW406" s="1378"/>
      <c r="BX406" s="1392" t="str">
        <f t="shared" si="813"/>
        <v>Qty</v>
      </c>
      <c r="BY406" s="1393" t="str">
        <f t="shared" si="858"/>
        <v>[Service]</v>
      </c>
      <c r="BZ406" s="1394" t="str">
        <f t="shared" si="859"/>
        <v>[Price]</v>
      </c>
      <c r="CA406" s="1401" t="str">
        <f>IFERROR((S406/R406-1)*(R407/R$13),"-")</f>
        <v>-</v>
      </c>
      <c r="CB406" s="1395" t="str">
        <f>IFERROR((T406/S406-1)*(S407/S$13),"-")</f>
        <v>-</v>
      </c>
      <c r="CC406" s="1395" t="str">
        <f>IFERROR((U406/T406-1)*(T407/T$13),"-")</f>
        <v>-</v>
      </c>
      <c r="CD406" s="1395" t="str">
        <f>IFERROR((V406/U406-1)*(U407/U$13),"-")</f>
        <v>-</v>
      </c>
      <c r="CE406" s="1395" t="str">
        <f t="shared" ref="CE406:CR406" si="864">IFERROR((T406/S406-1)*(S407/S$13),"-")</f>
        <v>-</v>
      </c>
      <c r="CF406" s="1395" t="str">
        <f t="shared" si="864"/>
        <v>-</v>
      </c>
      <c r="CG406" s="1395" t="str">
        <f t="shared" si="864"/>
        <v>-</v>
      </c>
      <c r="CH406" s="1397" t="str">
        <f t="shared" si="864"/>
        <v>-</v>
      </c>
      <c r="CI406" s="1395" t="str">
        <f t="shared" si="864"/>
        <v>-</v>
      </c>
      <c r="CJ406" s="1395" t="str">
        <f t="shared" si="864"/>
        <v>-</v>
      </c>
      <c r="CK406" s="1395" t="str">
        <f t="shared" si="864"/>
        <v>-</v>
      </c>
      <c r="CL406" s="1395" t="str">
        <f t="shared" si="864"/>
        <v>-</v>
      </c>
      <c r="CM406" s="1397" t="str">
        <f t="shared" si="864"/>
        <v>-</v>
      </c>
      <c r="CN406" s="1395" t="str">
        <f t="shared" si="864"/>
        <v>-</v>
      </c>
      <c r="CO406" s="1395" t="str">
        <f t="shared" si="864"/>
        <v>-</v>
      </c>
      <c r="CP406" s="1395" t="str">
        <f t="shared" si="864"/>
        <v>-</v>
      </c>
      <c r="CQ406" s="1395" t="str">
        <f t="shared" si="864"/>
        <v>-</v>
      </c>
      <c r="CR406" s="1398" t="str">
        <f t="shared" si="864"/>
        <v>-</v>
      </c>
      <c r="CS406" s="1378"/>
      <c r="CT406" s="1392" t="str">
        <f t="shared" si="793"/>
        <v>Qty</v>
      </c>
      <c r="CU406" s="1393" t="str">
        <f t="shared" si="794"/>
        <v>[Service]</v>
      </c>
      <c r="CV406" s="1393" t="str">
        <f t="shared" si="795"/>
        <v>[Price]</v>
      </c>
      <c r="CW406" s="1401" t="str">
        <f t="shared" si="815"/>
        <v>-</v>
      </c>
      <c r="CX406" s="1395" t="str">
        <f t="shared" si="816"/>
        <v>-</v>
      </c>
      <c r="CY406" s="1395" t="str">
        <f t="shared" si="817"/>
        <v>-</v>
      </c>
      <c r="CZ406" s="1397" t="str">
        <f t="shared" si="818"/>
        <v>-</v>
      </c>
      <c r="DA406" s="1395" t="str">
        <f t="shared" si="819"/>
        <v>-</v>
      </c>
      <c r="DB406" s="1395" t="str">
        <f t="shared" si="820"/>
        <v>-</v>
      </c>
      <c r="DC406" s="1395" t="str">
        <f t="shared" si="821"/>
        <v>-</v>
      </c>
      <c r="DD406" s="1395" t="str">
        <f t="shared" si="822"/>
        <v>-</v>
      </c>
      <c r="DE406" s="1398" t="str">
        <f t="shared" si="823"/>
        <v>-</v>
      </c>
      <c r="DF406" s="1378"/>
      <c r="DG406" s="1392" t="str">
        <f t="shared" si="835"/>
        <v>Qty</v>
      </c>
      <c r="DH406" s="1393" t="str">
        <f t="shared" si="835"/>
        <v>[Service]</v>
      </c>
      <c r="DI406" s="1393" t="str">
        <f t="shared" si="835"/>
        <v>[Price]</v>
      </c>
      <c r="DJ406" s="1401" t="str">
        <f t="shared" si="824"/>
        <v>-</v>
      </c>
      <c r="DK406" s="1395" t="str">
        <f t="shared" si="825"/>
        <v>-</v>
      </c>
      <c r="DL406" s="1395" t="str">
        <f t="shared" si="826"/>
        <v>-</v>
      </c>
      <c r="DM406" s="1397" t="str">
        <f t="shared" si="827"/>
        <v>-</v>
      </c>
      <c r="DN406" s="1395" t="str">
        <f t="shared" si="828"/>
        <v>-</v>
      </c>
      <c r="DO406" s="1395" t="str">
        <f t="shared" si="829"/>
        <v>-</v>
      </c>
      <c r="DP406" s="1395" t="str">
        <f t="shared" si="830"/>
        <v>-</v>
      </c>
      <c r="DQ406" s="1398" t="str">
        <f t="shared" si="831"/>
        <v>-</v>
      </c>
    </row>
    <row r="407" spans="4:121" ht="12.75" thickBot="1">
      <c r="E407" s="743" t="s">
        <v>46</v>
      </c>
      <c r="F407" s="732" t="str">
        <f>+F405</f>
        <v>[Service]</v>
      </c>
      <c r="G407" s="733">
        <f>+G405</f>
        <v>0</v>
      </c>
      <c r="H407" s="733">
        <f>+H405</f>
        <v>0</v>
      </c>
      <c r="I407" s="734" t="str">
        <f>+I405</f>
        <v>[Price]</v>
      </c>
      <c r="J407" s="735" t="s">
        <v>344</v>
      </c>
      <c r="K407" s="736">
        <f t="shared" ref="K407:AG407" si="865">K405*K406/10^6</f>
        <v>0</v>
      </c>
      <c r="L407" s="737">
        <f t="shared" si="865"/>
        <v>0</v>
      </c>
      <c r="M407" s="737">
        <f t="shared" si="865"/>
        <v>0</v>
      </c>
      <c r="N407" s="738">
        <f t="shared" si="865"/>
        <v>0</v>
      </c>
      <c r="O407" s="737">
        <f t="shared" si="865"/>
        <v>0</v>
      </c>
      <c r="P407" s="738">
        <f t="shared" si="865"/>
        <v>0</v>
      </c>
      <c r="Q407" s="737">
        <f t="shared" si="865"/>
        <v>0</v>
      </c>
      <c r="R407" s="737">
        <f t="shared" si="865"/>
        <v>0</v>
      </c>
      <c r="S407" s="737">
        <f t="shared" si="865"/>
        <v>0</v>
      </c>
      <c r="T407" s="737">
        <f t="shared" si="865"/>
        <v>0</v>
      </c>
      <c r="U407" s="737">
        <f t="shared" si="865"/>
        <v>0</v>
      </c>
      <c r="V407" s="737">
        <f t="shared" si="865"/>
        <v>0</v>
      </c>
      <c r="W407" s="737">
        <f t="shared" si="865"/>
        <v>0</v>
      </c>
      <c r="X407" s="738">
        <f t="shared" si="865"/>
        <v>0</v>
      </c>
      <c r="Y407" s="737">
        <f t="shared" si="865"/>
        <v>0</v>
      </c>
      <c r="Z407" s="737">
        <f t="shared" si="865"/>
        <v>0</v>
      </c>
      <c r="AA407" s="737">
        <f t="shared" si="865"/>
        <v>0</v>
      </c>
      <c r="AB407" s="737">
        <f t="shared" si="865"/>
        <v>0</v>
      </c>
      <c r="AC407" s="738">
        <f t="shared" si="865"/>
        <v>0</v>
      </c>
      <c r="AD407" s="737">
        <f t="shared" si="865"/>
        <v>0</v>
      </c>
      <c r="AE407" s="737">
        <f t="shared" si="865"/>
        <v>0</v>
      </c>
      <c r="AF407" s="737">
        <f t="shared" si="865"/>
        <v>0</v>
      </c>
      <c r="AG407" s="739">
        <f t="shared" si="865"/>
        <v>0</v>
      </c>
      <c r="AH407" s="823"/>
      <c r="AI407" s="745"/>
      <c r="AJ407" s="741"/>
      <c r="AK407" s="729"/>
      <c r="AL407" s="729"/>
      <c r="AM407" s="729"/>
      <c r="AN407" s="729"/>
      <c r="AO407" s="730"/>
      <c r="AP407" s="74"/>
      <c r="AQ407" s="74"/>
      <c r="AR407" s="74"/>
      <c r="AS407" s="106"/>
      <c r="AW407" s="1428" t="str">
        <f t="shared" si="833"/>
        <v>Rev</v>
      </c>
      <c r="AX407" s="1429" t="str">
        <f t="shared" si="833"/>
        <v>[Service]</v>
      </c>
      <c r="AY407" s="1430" t="str">
        <f t="shared" si="797"/>
        <v>[Price]</v>
      </c>
      <c r="AZ407" s="1431" t="str">
        <f t="shared" si="862"/>
        <v>-</v>
      </c>
      <c r="BA407" s="1431" t="str">
        <f t="shared" si="862"/>
        <v>-</v>
      </c>
      <c r="BB407" s="1431" t="str">
        <f t="shared" si="862"/>
        <v>-</v>
      </c>
      <c r="BC407" s="1431" t="str">
        <f t="shared" si="862"/>
        <v>-</v>
      </c>
      <c r="BD407" s="1431" t="str">
        <f t="shared" si="799"/>
        <v>-</v>
      </c>
      <c r="BE407" s="1431" t="str">
        <f t="shared" si="800"/>
        <v>-</v>
      </c>
      <c r="BF407" s="1431" t="str">
        <f t="shared" si="801"/>
        <v>-</v>
      </c>
      <c r="BG407" s="1432" t="str">
        <f t="shared" si="802"/>
        <v>-</v>
      </c>
      <c r="BH407" s="1431" t="str">
        <f t="shared" si="803"/>
        <v>-</v>
      </c>
      <c r="BI407" s="1431" t="str">
        <f t="shared" si="804"/>
        <v>-</v>
      </c>
      <c r="BJ407" s="1431" t="str">
        <f t="shared" si="805"/>
        <v>-</v>
      </c>
      <c r="BK407" s="1431" t="str">
        <f t="shared" si="806"/>
        <v>-</v>
      </c>
      <c r="BL407" s="1433" t="str">
        <f t="shared" si="807"/>
        <v>-</v>
      </c>
      <c r="BM407" s="1431" t="str">
        <f t="shared" si="808"/>
        <v>-</v>
      </c>
      <c r="BN407" s="1431" t="str">
        <f t="shared" si="809"/>
        <v>-</v>
      </c>
      <c r="BO407" s="1431" t="str">
        <f t="shared" si="810"/>
        <v>-</v>
      </c>
      <c r="BP407" s="1431" t="str">
        <f t="shared" si="811"/>
        <v>-</v>
      </c>
      <c r="BQ407" s="1434" t="str">
        <f t="shared" si="812"/>
        <v>-</v>
      </c>
      <c r="BR407" s="1378"/>
      <c r="BS407" s="1407"/>
      <c r="BT407" s="1408"/>
      <c r="BU407" s="1409"/>
      <c r="BV407" s="1410"/>
      <c r="BW407" s="1378"/>
      <c r="BX407" s="1428" t="str">
        <f t="shared" si="813"/>
        <v>Rev</v>
      </c>
      <c r="BY407" s="1429" t="str">
        <f t="shared" si="858"/>
        <v>[Service]</v>
      </c>
      <c r="BZ407" s="1430" t="str">
        <f t="shared" si="859"/>
        <v>[Price]</v>
      </c>
      <c r="CA407" s="1435" t="str">
        <f>IFERROR((S407/R407-1)*(R407/R$13),"-")</f>
        <v>-</v>
      </c>
      <c r="CB407" s="1431" t="str">
        <f>IFERROR((T407/S407-1)*(S407/S$13),"-")</f>
        <v>-</v>
      </c>
      <c r="CC407" s="1431" t="str">
        <f>IFERROR((U407/T407-1)*(T407/T$13),"-")</f>
        <v>-</v>
      </c>
      <c r="CD407" s="1431" t="str">
        <f>IFERROR((V407/U407-1)*(U407/U$13),"-")</f>
        <v>-</v>
      </c>
      <c r="CE407" s="1431" t="str">
        <f t="shared" ref="CE407:CR407" si="866">IFERROR((T407/S407-1)*(S407/S$13),"-")</f>
        <v>-</v>
      </c>
      <c r="CF407" s="1431" t="str">
        <f t="shared" si="866"/>
        <v>-</v>
      </c>
      <c r="CG407" s="1431" t="str">
        <f t="shared" si="866"/>
        <v>-</v>
      </c>
      <c r="CH407" s="1433" t="str">
        <f t="shared" si="866"/>
        <v>-</v>
      </c>
      <c r="CI407" s="1431" t="str">
        <f t="shared" si="866"/>
        <v>-</v>
      </c>
      <c r="CJ407" s="1431" t="str">
        <f t="shared" si="866"/>
        <v>-</v>
      </c>
      <c r="CK407" s="1431" t="str">
        <f t="shared" si="866"/>
        <v>-</v>
      </c>
      <c r="CL407" s="1431" t="str">
        <f t="shared" si="866"/>
        <v>-</v>
      </c>
      <c r="CM407" s="1433" t="str">
        <f t="shared" si="866"/>
        <v>-</v>
      </c>
      <c r="CN407" s="1431" t="str">
        <f t="shared" si="866"/>
        <v>-</v>
      </c>
      <c r="CO407" s="1431" t="str">
        <f t="shared" si="866"/>
        <v>-</v>
      </c>
      <c r="CP407" s="1431" t="str">
        <f t="shared" si="866"/>
        <v>-</v>
      </c>
      <c r="CQ407" s="1431" t="str">
        <f t="shared" si="866"/>
        <v>-</v>
      </c>
      <c r="CR407" s="1434" t="str">
        <f t="shared" si="866"/>
        <v>-</v>
      </c>
      <c r="CS407" s="1378"/>
      <c r="CT407" s="1428" t="str">
        <f t="shared" si="793"/>
        <v>Rev</v>
      </c>
      <c r="CU407" s="1429" t="str">
        <f t="shared" si="794"/>
        <v>[Service]</v>
      </c>
      <c r="CV407" s="1429" t="str">
        <f t="shared" si="795"/>
        <v>[Price]</v>
      </c>
      <c r="CW407" s="1435" t="str">
        <f t="shared" si="815"/>
        <v>-</v>
      </c>
      <c r="CX407" s="1431" t="str">
        <f t="shared" si="816"/>
        <v>-</v>
      </c>
      <c r="CY407" s="1431" t="str">
        <f t="shared" si="817"/>
        <v>-</v>
      </c>
      <c r="CZ407" s="1433" t="str">
        <f t="shared" si="818"/>
        <v>-</v>
      </c>
      <c r="DA407" s="1431" t="str">
        <f t="shared" si="819"/>
        <v>-</v>
      </c>
      <c r="DB407" s="1431" t="str">
        <f t="shared" si="820"/>
        <v>-</v>
      </c>
      <c r="DC407" s="1431" t="str">
        <f t="shared" si="821"/>
        <v>-</v>
      </c>
      <c r="DD407" s="1431" t="str">
        <f t="shared" si="822"/>
        <v>-</v>
      </c>
      <c r="DE407" s="1434" t="str">
        <f t="shared" si="823"/>
        <v>-</v>
      </c>
      <c r="DF407" s="1378"/>
      <c r="DG407" s="1428" t="str">
        <f t="shared" si="835"/>
        <v>Rev</v>
      </c>
      <c r="DH407" s="1429" t="str">
        <f t="shared" si="835"/>
        <v>[Service]</v>
      </c>
      <c r="DI407" s="1429" t="str">
        <f t="shared" si="835"/>
        <v>[Price]</v>
      </c>
      <c r="DJ407" s="1435" t="str">
        <f t="shared" si="824"/>
        <v>-</v>
      </c>
      <c r="DK407" s="1431" t="str">
        <f t="shared" si="825"/>
        <v>-</v>
      </c>
      <c r="DL407" s="1431" t="str">
        <f t="shared" si="826"/>
        <v>-</v>
      </c>
      <c r="DM407" s="1433" t="str">
        <f t="shared" si="827"/>
        <v>-</v>
      </c>
      <c r="DN407" s="1431" t="str">
        <f t="shared" si="828"/>
        <v>-</v>
      </c>
      <c r="DO407" s="1431" t="str">
        <f t="shared" si="829"/>
        <v>-</v>
      </c>
      <c r="DP407" s="1431" t="str">
        <f t="shared" si="830"/>
        <v>-</v>
      </c>
      <c r="DQ407" s="1434" t="str">
        <f t="shared" si="831"/>
        <v>-</v>
      </c>
    </row>
    <row r="408" spans="4:121">
      <c r="D408" s="70">
        <f>D405+1</f>
        <v>114</v>
      </c>
      <c r="E408" s="713" t="s">
        <v>44</v>
      </c>
      <c r="F408" s="789" t="s">
        <v>27</v>
      </c>
      <c r="G408" s="789"/>
      <c r="H408" s="789"/>
      <c r="I408" s="781" t="s">
        <v>318</v>
      </c>
      <c r="J408" s="781" t="s">
        <v>345</v>
      </c>
      <c r="K408" s="714"/>
      <c r="L408" s="715"/>
      <c r="M408" s="715"/>
      <c r="N408" s="716"/>
      <c r="O408" s="783"/>
      <c r="P408" s="784"/>
      <c r="Q408" s="783"/>
      <c r="R408" s="783"/>
      <c r="S408" s="783"/>
      <c r="T408" s="783"/>
      <c r="U408" s="783"/>
      <c r="V408" s="783"/>
      <c r="W408" s="783"/>
      <c r="X408" s="784"/>
      <c r="Y408" s="783"/>
      <c r="Z408" s="783"/>
      <c r="AA408" s="783"/>
      <c r="AB408" s="783"/>
      <c r="AC408" s="784"/>
      <c r="AD408" s="783"/>
      <c r="AE408" s="783"/>
      <c r="AF408" s="783"/>
      <c r="AG408" s="785"/>
      <c r="AI408" s="745"/>
      <c r="AJ408" s="717" t="str">
        <f t="shared" ref="AJ408:AS408" si="867">IFERROR((X408-W408)/W408,"")</f>
        <v/>
      </c>
      <c r="AK408" s="718" t="str">
        <f t="shared" si="867"/>
        <v/>
      </c>
      <c r="AL408" s="718" t="str">
        <f t="shared" si="867"/>
        <v/>
      </c>
      <c r="AM408" s="718" t="str">
        <f t="shared" si="867"/>
        <v/>
      </c>
      <c r="AN408" s="718" t="str">
        <f t="shared" si="867"/>
        <v/>
      </c>
      <c r="AO408" s="719" t="str">
        <f t="shared" si="867"/>
        <v/>
      </c>
      <c r="AP408" s="494" t="str">
        <f t="shared" si="867"/>
        <v/>
      </c>
      <c r="AQ408" s="494" t="str">
        <f t="shared" si="867"/>
        <v/>
      </c>
      <c r="AR408" s="494" t="str">
        <f t="shared" si="867"/>
        <v/>
      </c>
      <c r="AS408" s="720" t="str">
        <f t="shared" si="867"/>
        <v/>
      </c>
      <c r="AU408" s="1369"/>
      <c r="AW408" s="1412" t="str">
        <f t="shared" si="833"/>
        <v>Price</v>
      </c>
      <c r="AX408" s="1413" t="str">
        <f t="shared" si="833"/>
        <v>[Service]</v>
      </c>
      <c r="AY408" s="1414" t="str">
        <f t="shared" si="797"/>
        <v>[Price]</v>
      </c>
      <c r="AZ408" s="1415" t="str">
        <f t="shared" si="862"/>
        <v>-</v>
      </c>
      <c r="BA408" s="1415" t="str">
        <f t="shared" si="862"/>
        <v>-</v>
      </c>
      <c r="BB408" s="1415" t="str">
        <f t="shared" si="862"/>
        <v>-</v>
      </c>
      <c r="BC408" s="1415" t="str">
        <f t="shared" si="862"/>
        <v>-</v>
      </c>
      <c r="BD408" s="1415" t="str">
        <f t="shared" si="799"/>
        <v>-</v>
      </c>
      <c r="BE408" s="1415" t="str">
        <f t="shared" si="800"/>
        <v>-</v>
      </c>
      <c r="BF408" s="1415" t="str">
        <f t="shared" si="801"/>
        <v>-</v>
      </c>
      <c r="BG408" s="1416" t="str">
        <f t="shared" si="802"/>
        <v>-</v>
      </c>
      <c r="BH408" s="1417" t="str">
        <f t="shared" si="803"/>
        <v>-</v>
      </c>
      <c r="BI408" s="1417" t="str">
        <f t="shared" si="804"/>
        <v>-</v>
      </c>
      <c r="BJ408" s="1417" t="str">
        <f t="shared" si="805"/>
        <v>-</v>
      </c>
      <c r="BK408" s="1417" t="str">
        <f t="shared" si="806"/>
        <v>-</v>
      </c>
      <c r="BL408" s="1418" t="str">
        <f t="shared" si="807"/>
        <v>-</v>
      </c>
      <c r="BM408" s="1417" t="str">
        <f t="shared" si="808"/>
        <v>-</v>
      </c>
      <c r="BN408" s="1417" t="str">
        <f t="shared" si="809"/>
        <v>-</v>
      </c>
      <c r="BO408" s="1417" t="str">
        <f t="shared" si="810"/>
        <v>-</v>
      </c>
      <c r="BP408" s="1417" t="str">
        <f t="shared" si="811"/>
        <v>-</v>
      </c>
      <c r="BQ408" s="1419" t="str">
        <f t="shared" si="812"/>
        <v>-</v>
      </c>
      <c r="BR408" s="1378"/>
      <c r="BS408" s="1420"/>
      <c r="BT408" s="1421"/>
      <c r="BU408" s="1422"/>
      <c r="BV408" s="1423"/>
      <c r="BW408" s="1378"/>
      <c r="BX408" s="1412" t="str">
        <f t="shared" si="813"/>
        <v>Price</v>
      </c>
      <c r="BY408" s="1413" t="str">
        <f t="shared" si="858"/>
        <v>[Service]</v>
      </c>
      <c r="BZ408" s="1414" t="str">
        <f t="shared" si="859"/>
        <v>[Price]</v>
      </c>
      <c r="CA408" s="1424" t="str">
        <f>IFERROR((S408/R408-1)*(R410/R$13),"-")</f>
        <v>-</v>
      </c>
      <c r="CB408" s="1415" t="str">
        <f>IFERROR((T408/S408-1)*(S410/S$13),"-")</f>
        <v>-</v>
      </c>
      <c r="CC408" s="1415" t="str">
        <f>IFERROR((U408/T408-1)*(T410/T$13),"-")</f>
        <v>-</v>
      </c>
      <c r="CD408" s="1415" t="str">
        <f>IFERROR((V408/U408-1)*(U410/U$13),"-")</f>
        <v>-</v>
      </c>
      <c r="CE408" s="1415" t="str">
        <f t="shared" ref="CE408:CR408" si="868">IFERROR((T408/S408-1)*(S410/S$13),"-")</f>
        <v>-</v>
      </c>
      <c r="CF408" s="1415" t="str">
        <f t="shared" si="868"/>
        <v>-</v>
      </c>
      <c r="CG408" s="1415" t="str">
        <f t="shared" si="868"/>
        <v>-</v>
      </c>
      <c r="CH408" s="1425" t="str">
        <f t="shared" si="868"/>
        <v>-</v>
      </c>
      <c r="CI408" s="1417" t="str">
        <f t="shared" si="868"/>
        <v>-</v>
      </c>
      <c r="CJ408" s="1417" t="str">
        <f t="shared" si="868"/>
        <v>-</v>
      </c>
      <c r="CK408" s="1417" t="str">
        <f t="shared" si="868"/>
        <v>-</v>
      </c>
      <c r="CL408" s="1417" t="str">
        <f t="shared" si="868"/>
        <v>-</v>
      </c>
      <c r="CM408" s="1418" t="str">
        <f t="shared" si="868"/>
        <v>-</v>
      </c>
      <c r="CN408" s="1417" t="str">
        <f t="shared" si="868"/>
        <v>-</v>
      </c>
      <c r="CO408" s="1417" t="str">
        <f t="shared" si="868"/>
        <v>-</v>
      </c>
      <c r="CP408" s="1417" t="str">
        <f t="shared" si="868"/>
        <v>-</v>
      </c>
      <c r="CQ408" s="1417" t="str">
        <f t="shared" si="868"/>
        <v>-</v>
      </c>
      <c r="CR408" s="1419" t="str">
        <f t="shared" si="868"/>
        <v>-</v>
      </c>
      <c r="CS408" s="1378"/>
      <c r="CT408" s="1412" t="str">
        <f t="shared" si="793"/>
        <v>Price</v>
      </c>
      <c r="CU408" s="1413" t="str">
        <f t="shared" si="794"/>
        <v>[Service]</v>
      </c>
      <c r="CV408" s="1426" t="str">
        <f t="shared" si="795"/>
        <v>[Price]</v>
      </c>
      <c r="CW408" s="1427" t="str">
        <f t="shared" si="815"/>
        <v>-</v>
      </c>
      <c r="CX408" s="1417" t="str">
        <f t="shared" si="816"/>
        <v>-</v>
      </c>
      <c r="CY408" s="1417" t="str">
        <f t="shared" si="817"/>
        <v>-</v>
      </c>
      <c r="CZ408" s="1418" t="str">
        <f t="shared" si="818"/>
        <v>-</v>
      </c>
      <c r="DA408" s="1417" t="str">
        <f t="shared" si="819"/>
        <v>-</v>
      </c>
      <c r="DB408" s="1417" t="str">
        <f t="shared" si="820"/>
        <v>-</v>
      </c>
      <c r="DC408" s="1417" t="str">
        <f t="shared" si="821"/>
        <v>-</v>
      </c>
      <c r="DD408" s="1417" t="str">
        <f t="shared" si="822"/>
        <v>-</v>
      </c>
      <c r="DE408" s="1419" t="str">
        <f t="shared" si="823"/>
        <v>-</v>
      </c>
      <c r="DF408" s="1378"/>
      <c r="DG408" s="1412" t="str">
        <f t="shared" si="835"/>
        <v>Price</v>
      </c>
      <c r="DH408" s="1413" t="str">
        <f t="shared" si="835"/>
        <v>[Service]</v>
      </c>
      <c r="DI408" s="1426" t="str">
        <f t="shared" si="835"/>
        <v>[Price]</v>
      </c>
      <c r="DJ408" s="1427" t="str">
        <f t="shared" si="824"/>
        <v>-</v>
      </c>
      <c r="DK408" s="1417" t="str">
        <f t="shared" si="825"/>
        <v>-</v>
      </c>
      <c r="DL408" s="1417" t="str">
        <f t="shared" si="826"/>
        <v>-</v>
      </c>
      <c r="DM408" s="1418" t="str">
        <f t="shared" si="827"/>
        <v>-</v>
      </c>
      <c r="DN408" s="1417" t="str">
        <f t="shared" si="828"/>
        <v>-</v>
      </c>
      <c r="DO408" s="1417" t="str">
        <f t="shared" si="829"/>
        <v>-</v>
      </c>
      <c r="DP408" s="1417" t="str">
        <f t="shared" si="830"/>
        <v>-</v>
      </c>
      <c r="DQ408" s="1419" t="str">
        <f t="shared" si="831"/>
        <v>-</v>
      </c>
    </row>
    <row r="409" spans="4:121">
      <c r="E409" s="742" t="s">
        <v>45</v>
      </c>
      <c r="F409" s="722" t="str">
        <f>+F408</f>
        <v>[Service]</v>
      </c>
      <c r="G409" s="723">
        <f>+G408</f>
        <v>0</v>
      </c>
      <c r="H409" s="723">
        <f>+H408</f>
        <v>0</v>
      </c>
      <c r="I409" s="724" t="str">
        <f>+I408</f>
        <v>[Price]</v>
      </c>
      <c r="J409" s="782" t="s">
        <v>322</v>
      </c>
      <c r="K409" s="725"/>
      <c r="L409" s="726"/>
      <c r="M409" s="726"/>
      <c r="N409" s="727"/>
      <c r="O409" s="786"/>
      <c r="P409" s="787"/>
      <c r="Q409" s="786"/>
      <c r="R409" s="786"/>
      <c r="S409" s="786"/>
      <c r="T409" s="786"/>
      <c r="U409" s="786"/>
      <c r="V409" s="786"/>
      <c r="W409" s="786"/>
      <c r="X409" s="787"/>
      <c r="Y409" s="786"/>
      <c r="Z409" s="786"/>
      <c r="AA409" s="786"/>
      <c r="AB409" s="786"/>
      <c r="AC409" s="787"/>
      <c r="AD409" s="786"/>
      <c r="AE409" s="786"/>
      <c r="AF409" s="786"/>
      <c r="AG409" s="788"/>
      <c r="AH409" s="823"/>
      <c r="AI409" s="745"/>
      <c r="AJ409" s="728"/>
      <c r="AK409" s="729"/>
      <c r="AL409" s="729"/>
      <c r="AM409" s="729"/>
      <c r="AN409" s="729"/>
      <c r="AO409" s="730"/>
      <c r="AP409" s="74"/>
      <c r="AQ409" s="74"/>
      <c r="AR409" s="74"/>
      <c r="AS409" s="106"/>
      <c r="AW409" s="1392" t="str">
        <f t="shared" si="833"/>
        <v>Qty</v>
      </c>
      <c r="AX409" s="1393" t="str">
        <f t="shared" si="833"/>
        <v>[Service]</v>
      </c>
      <c r="AY409" s="1394" t="str">
        <f t="shared" si="797"/>
        <v>[Price]</v>
      </c>
      <c r="AZ409" s="1395" t="str">
        <f t="shared" si="862"/>
        <v>-</v>
      </c>
      <c r="BA409" s="1395" t="str">
        <f t="shared" si="862"/>
        <v>-</v>
      </c>
      <c r="BB409" s="1395" t="str">
        <f t="shared" si="862"/>
        <v>-</v>
      </c>
      <c r="BC409" s="1395" t="str">
        <f t="shared" si="862"/>
        <v>-</v>
      </c>
      <c r="BD409" s="1395" t="str">
        <f t="shared" si="799"/>
        <v>-</v>
      </c>
      <c r="BE409" s="1395" t="str">
        <f t="shared" si="800"/>
        <v>-</v>
      </c>
      <c r="BF409" s="1395" t="str">
        <f t="shared" si="801"/>
        <v>-</v>
      </c>
      <c r="BG409" s="1396" t="str">
        <f t="shared" si="802"/>
        <v>-</v>
      </c>
      <c r="BH409" s="1395" t="str">
        <f t="shared" si="803"/>
        <v>-</v>
      </c>
      <c r="BI409" s="1395" t="str">
        <f t="shared" si="804"/>
        <v>-</v>
      </c>
      <c r="BJ409" s="1395" t="str">
        <f t="shared" si="805"/>
        <v>-</v>
      </c>
      <c r="BK409" s="1395" t="str">
        <f t="shared" si="806"/>
        <v>-</v>
      </c>
      <c r="BL409" s="1397" t="str">
        <f t="shared" si="807"/>
        <v>-</v>
      </c>
      <c r="BM409" s="1395" t="str">
        <f t="shared" si="808"/>
        <v>-</v>
      </c>
      <c r="BN409" s="1395" t="str">
        <f t="shared" si="809"/>
        <v>-</v>
      </c>
      <c r="BO409" s="1395" t="str">
        <f t="shared" si="810"/>
        <v>-</v>
      </c>
      <c r="BP409" s="1395" t="str">
        <f t="shared" si="811"/>
        <v>-</v>
      </c>
      <c r="BQ409" s="1398" t="str">
        <f t="shared" si="812"/>
        <v>-</v>
      </c>
      <c r="BR409" s="1378"/>
      <c r="BS409" s="1329"/>
      <c r="BT409" s="1399"/>
      <c r="BU409" s="1331"/>
      <c r="BV409" s="1400"/>
      <c r="BW409" s="1378"/>
      <c r="BX409" s="1392" t="str">
        <f t="shared" si="813"/>
        <v>Qty</v>
      </c>
      <c r="BY409" s="1393" t="str">
        <f t="shared" si="858"/>
        <v>[Service]</v>
      </c>
      <c r="BZ409" s="1394" t="str">
        <f t="shared" si="859"/>
        <v>[Price]</v>
      </c>
      <c r="CA409" s="1401" t="str">
        <f>IFERROR((S409/R409-1)*(R410/R$13),"-")</f>
        <v>-</v>
      </c>
      <c r="CB409" s="1395" t="str">
        <f>IFERROR((T409/S409-1)*(S410/S$13),"-")</f>
        <v>-</v>
      </c>
      <c r="CC409" s="1395" t="str">
        <f>IFERROR((U409/T409-1)*(T410/T$13),"-")</f>
        <v>-</v>
      </c>
      <c r="CD409" s="1395" t="str">
        <f>IFERROR((V409/U409-1)*(U410/U$13),"-")</f>
        <v>-</v>
      </c>
      <c r="CE409" s="1395" t="str">
        <f t="shared" ref="CE409:CR409" si="869">IFERROR((T409/S409-1)*(S410/S$13),"-")</f>
        <v>-</v>
      </c>
      <c r="CF409" s="1395" t="str">
        <f t="shared" si="869"/>
        <v>-</v>
      </c>
      <c r="CG409" s="1395" t="str">
        <f t="shared" si="869"/>
        <v>-</v>
      </c>
      <c r="CH409" s="1397" t="str">
        <f t="shared" si="869"/>
        <v>-</v>
      </c>
      <c r="CI409" s="1395" t="str">
        <f t="shared" si="869"/>
        <v>-</v>
      </c>
      <c r="CJ409" s="1395" t="str">
        <f t="shared" si="869"/>
        <v>-</v>
      </c>
      <c r="CK409" s="1395" t="str">
        <f t="shared" si="869"/>
        <v>-</v>
      </c>
      <c r="CL409" s="1395" t="str">
        <f t="shared" si="869"/>
        <v>-</v>
      </c>
      <c r="CM409" s="1397" t="str">
        <f t="shared" si="869"/>
        <v>-</v>
      </c>
      <c r="CN409" s="1395" t="str">
        <f t="shared" si="869"/>
        <v>-</v>
      </c>
      <c r="CO409" s="1395" t="str">
        <f t="shared" si="869"/>
        <v>-</v>
      </c>
      <c r="CP409" s="1395" t="str">
        <f t="shared" si="869"/>
        <v>-</v>
      </c>
      <c r="CQ409" s="1395" t="str">
        <f t="shared" si="869"/>
        <v>-</v>
      </c>
      <c r="CR409" s="1398" t="str">
        <f t="shared" si="869"/>
        <v>-</v>
      </c>
      <c r="CS409" s="1378"/>
      <c r="CT409" s="1392" t="str">
        <f t="shared" si="793"/>
        <v>Qty</v>
      </c>
      <c r="CU409" s="1393" t="str">
        <f t="shared" si="794"/>
        <v>[Service]</v>
      </c>
      <c r="CV409" s="1393" t="str">
        <f t="shared" si="795"/>
        <v>[Price]</v>
      </c>
      <c r="CW409" s="1401" t="str">
        <f t="shared" si="815"/>
        <v>-</v>
      </c>
      <c r="CX409" s="1395" t="str">
        <f t="shared" si="816"/>
        <v>-</v>
      </c>
      <c r="CY409" s="1395" t="str">
        <f t="shared" si="817"/>
        <v>-</v>
      </c>
      <c r="CZ409" s="1397" t="str">
        <f t="shared" si="818"/>
        <v>-</v>
      </c>
      <c r="DA409" s="1395" t="str">
        <f t="shared" si="819"/>
        <v>-</v>
      </c>
      <c r="DB409" s="1395" t="str">
        <f t="shared" si="820"/>
        <v>-</v>
      </c>
      <c r="DC409" s="1395" t="str">
        <f t="shared" si="821"/>
        <v>-</v>
      </c>
      <c r="DD409" s="1395" t="str">
        <f t="shared" si="822"/>
        <v>-</v>
      </c>
      <c r="DE409" s="1398" t="str">
        <f t="shared" si="823"/>
        <v>-</v>
      </c>
      <c r="DF409" s="1378"/>
      <c r="DG409" s="1392" t="str">
        <f t="shared" si="835"/>
        <v>Qty</v>
      </c>
      <c r="DH409" s="1393" t="str">
        <f t="shared" si="835"/>
        <v>[Service]</v>
      </c>
      <c r="DI409" s="1393" t="str">
        <f t="shared" si="835"/>
        <v>[Price]</v>
      </c>
      <c r="DJ409" s="1401" t="str">
        <f t="shared" si="824"/>
        <v>-</v>
      </c>
      <c r="DK409" s="1395" t="str">
        <f t="shared" si="825"/>
        <v>-</v>
      </c>
      <c r="DL409" s="1395" t="str">
        <f t="shared" si="826"/>
        <v>-</v>
      </c>
      <c r="DM409" s="1397" t="str">
        <f t="shared" si="827"/>
        <v>-</v>
      </c>
      <c r="DN409" s="1395" t="str">
        <f t="shared" si="828"/>
        <v>-</v>
      </c>
      <c r="DO409" s="1395" t="str">
        <f t="shared" si="829"/>
        <v>-</v>
      </c>
      <c r="DP409" s="1395" t="str">
        <f t="shared" si="830"/>
        <v>-</v>
      </c>
      <c r="DQ409" s="1398" t="str">
        <f t="shared" si="831"/>
        <v>-</v>
      </c>
    </row>
    <row r="410" spans="4:121" ht="12.75" thickBot="1">
      <c r="E410" s="743" t="s">
        <v>46</v>
      </c>
      <c r="F410" s="732" t="str">
        <f>+F408</f>
        <v>[Service]</v>
      </c>
      <c r="G410" s="733">
        <f>+G408</f>
        <v>0</v>
      </c>
      <c r="H410" s="733">
        <f>+H408</f>
        <v>0</v>
      </c>
      <c r="I410" s="734" t="str">
        <f>+I408</f>
        <v>[Price]</v>
      </c>
      <c r="J410" s="735" t="s">
        <v>344</v>
      </c>
      <c r="K410" s="736">
        <f t="shared" ref="K410:AG410" si="870">K408*K409/10^6</f>
        <v>0</v>
      </c>
      <c r="L410" s="737">
        <f t="shared" si="870"/>
        <v>0</v>
      </c>
      <c r="M410" s="737">
        <f t="shared" si="870"/>
        <v>0</v>
      </c>
      <c r="N410" s="738">
        <f t="shared" si="870"/>
        <v>0</v>
      </c>
      <c r="O410" s="737">
        <f t="shared" si="870"/>
        <v>0</v>
      </c>
      <c r="P410" s="738">
        <f t="shared" si="870"/>
        <v>0</v>
      </c>
      <c r="Q410" s="737">
        <f t="shared" si="870"/>
        <v>0</v>
      </c>
      <c r="R410" s="737">
        <f t="shared" si="870"/>
        <v>0</v>
      </c>
      <c r="S410" s="737">
        <f t="shared" si="870"/>
        <v>0</v>
      </c>
      <c r="T410" s="737">
        <f t="shared" si="870"/>
        <v>0</v>
      </c>
      <c r="U410" s="737">
        <f t="shared" si="870"/>
        <v>0</v>
      </c>
      <c r="V410" s="737">
        <f t="shared" si="870"/>
        <v>0</v>
      </c>
      <c r="W410" s="737">
        <f t="shared" si="870"/>
        <v>0</v>
      </c>
      <c r="X410" s="738">
        <f t="shared" si="870"/>
        <v>0</v>
      </c>
      <c r="Y410" s="737">
        <f t="shared" si="870"/>
        <v>0</v>
      </c>
      <c r="Z410" s="737">
        <f t="shared" si="870"/>
        <v>0</v>
      </c>
      <c r="AA410" s="737">
        <f t="shared" si="870"/>
        <v>0</v>
      </c>
      <c r="AB410" s="737">
        <f t="shared" si="870"/>
        <v>0</v>
      </c>
      <c r="AC410" s="738">
        <f t="shared" si="870"/>
        <v>0</v>
      </c>
      <c r="AD410" s="737">
        <f t="shared" si="870"/>
        <v>0</v>
      </c>
      <c r="AE410" s="737">
        <f t="shared" si="870"/>
        <v>0</v>
      </c>
      <c r="AF410" s="737">
        <f t="shared" si="870"/>
        <v>0</v>
      </c>
      <c r="AG410" s="739">
        <f t="shared" si="870"/>
        <v>0</v>
      </c>
      <c r="AH410" s="823"/>
      <c r="AI410" s="745"/>
      <c r="AJ410" s="741"/>
      <c r="AK410" s="729"/>
      <c r="AL410" s="729"/>
      <c r="AM410" s="729"/>
      <c r="AN410" s="729"/>
      <c r="AO410" s="730"/>
      <c r="AP410" s="74"/>
      <c r="AQ410" s="74"/>
      <c r="AR410" s="74"/>
      <c r="AS410" s="106"/>
      <c r="AW410" s="1428" t="str">
        <f t="shared" si="833"/>
        <v>Rev</v>
      </c>
      <c r="AX410" s="1429" t="str">
        <f t="shared" si="833"/>
        <v>[Service]</v>
      </c>
      <c r="AY410" s="1430" t="str">
        <f t="shared" si="797"/>
        <v>[Price]</v>
      </c>
      <c r="AZ410" s="1431" t="str">
        <f t="shared" si="862"/>
        <v>-</v>
      </c>
      <c r="BA410" s="1431" t="str">
        <f t="shared" si="862"/>
        <v>-</v>
      </c>
      <c r="BB410" s="1431" t="str">
        <f t="shared" si="862"/>
        <v>-</v>
      </c>
      <c r="BC410" s="1431" t="str">
        <f t="shared" si="862"/>
        <v>-</v>
      </c>
      <c r="BD410" s="1431" t="str">
        <f t="shared" si="799"/>
        <v>-</v>
      </c>
      <c r="BE410" s="1431" t="str">
        <f t="shared" si="800"/>
        <v>-</v>
      </c>
      <c r="BF410" s="1431" t="str">
        <f t="shared" si="801"/>
        <v>-</v>
      </c>
      <c r="BG410" s="1432" t="str">
        <f t="shared" si="802"/>
        <v>-</v>
      </c>
      <c r="BH410" s="1431" t="str">
        <f t="shared" si="803"/>
        <v>-</v>
      </c>
      <c r="BI410" s="1431" t="str">
        <f t="shared" si="804"/>
        <v>-</v>
      </c>
      <c r="BJ410" s="1431" t="str">
        <f t="shared" si="805"/>
        <v>-</v>
      </c>
      <c r="BK410" s="1431" t="str">
        <f t="shared" si="806"/>
        <v>-</v>
      </c>
      <c r="BL410" s="1433" t="str">
        <f t="shared" si="807"/>
        <v>-</v>
      </c>
      <c r="BM410" s="1431" t="str">
        <f t="shared" si="808"/>
        <v>-</v>
      </c>
      <c r="BN410" s="1431" t="str">
        <f t="shared" si="809"/>
        <v>-</v>
      </c>
      <c r="BO410" s="1431" t="str">
        <f t="shared" si="810"/>
        <v>-</v>
      </c>
      <c r="BP410" s="1431" t="str">
        <f t="shared" si="811"/>
        <v>-</v>
      </c>
      <c r="BQ410" s="1434" t="str">
        <f t="shared" si="812"/>
        <v>-</v>
      </c>
      <c r="BR410" s="1378"/>
      <c r="BS410" s="1407"/>
      <c r="BT410" s="1408"/>
      <c r="BU410" s="1409"/>
      <c r="BV410" s="1410"/>
      <c r="BW410" s="1378"/>
      <c r="BX410" s="1428" t="str">
        <f t="shared" si="813"/>
        <v>Rev</v>
      </c>
      <c r="BY410" s="1429" t="str">
        <f t="shared" si="858"/>
        <v>[Service]</v>
      </c>
      <c r="BZ410" s="1430" t="str">
        <f t="shared" si="859"/>
        <v>[Price]</v>
      </c>
      <c r="CA410" s="1435" t="str">
        <f>IFERROR((S410/R410-1)*(R410/R$13),"-")</f>
        <v>-</v>
      </c>
      <c r="CB410" s="1431" t="str">
        <f>IFERROR((T410/S410-1)*(S410/S$13),"-")</f>
        <v>-</v>
      </c>
      <c r="CC410" s="1431" t="str">
        <f>IFERROR((U410/T410-1)*(T410/T$13),"-")</f>
        <v>-</v>
      </c>
      <c r="CD410" s="1431" t="str">
        <f>IFERROR((V410/U410-1)*(U410/U$13),"-")</f>
        <v>-</v>
      </c>
      <c r="CE410" s="1431" t="str">
        <f t="shared" ref="CE410:CR410" si="871">IFERROR((T410/S410-1)*(S410/S$13),"-")</f>
        <v>-</v>
      </c>
      <c r="CF410" s="1431" t="str">
        <f t="shared" si="871"/>
        <v>-</v>
      </c>
      <c r="CG410" s="1431" t="str">
        <f t="shared" si="871"/>
        <v>-</v>
      </c>
      <c r="CH410" s="1433" t="str">
        <f t="shared" si="871"/>
        <v>-</v>
      </c>
      <c r="CI410" s="1431" t="str">
        <f t="shared" si="871"/>
        <v>-</v>
      </c>
      <c r="CJ410" s="1431" t="str">
        <f t="shared" si="871"/>
        <v>-</v>
      </c>
      <c r="CK410" s="1431" t="str">
        <f t="shared" si="871"/>
        <v>-</v>
      </c>
      <c r="CL410" s="1431" t="str">
        <f t="shared" si="871"/>
        <v>-</v>
      </c>
      <c r="CM410" s="1433" t="str">
        <f t="shared" si="871"/>
        <v>-</v>
      </c>
      <c r="CN410" s="1431" t="str">
        <f t="shared" si="871"/>
        <v>-</v>
      </c>
      <c r="CO410" s="1431" t="str">
        <f t="shared" si="871"/>
        <v>-</v>
      </c>
      <c r="CP410" s="1431" t="str">
        <f t="shared" si="871"/>
        <v>-</v>
      </c>
      <c r="CQ410" s="1431" t="str">
        <f t="shared" si="871"/>
        <v>-</v>
      </c>
      <c r="CR410" s="1434" t="str">
        <f t="shared" si="871"/>
        <v>-</v>
      </c>
      <c r="CS410" s="1378"/>
      <c r="CT410" s="1428" t="str">
        <f t="shared" si="793"/>
        <v>Rev</v>
      </c>
      <c r="CU410" s="1429" t="str">
        <f t="shared" si="794"/>
        <v>[Service]</v>
      </c>
      <c r="CV410" s="1429" t="str">
        <f t="shared" si="795"/>
        <v>[Price]</v>
      </c>
      <c r="CW410" s="1435" t="str">
        <f t="shared" si="815"/>
        <v>-</v>
      </c>
      <c r="CX410" s="1431" t="str">
        <f t="shared" si="816"/>
        <v>-</v>
      </c>
      <c r="CY410" s="1431" t="str">
        <f t="shared" si="817"/>
        <v>-</v>
      </c>
      <c r="CZ410" s="1433" t="str">
        <f t="shared" si="818"/>
        <v>-</v>
      </c>
      <c r="DA410" s="1431" t="str">
        <f t="shared" si="819"/>
        <v>-</v>
      </c>
      <c r="DB410" s="1431" t="str">
        <f t="shared" si="820"/>
        <v>-</v>
      </c>
      <c r="DC410" s="1431" t="str">
        <f t="shared" si="821"/>
        <v>-</v>
      </c>
      <c r="DD410" s="1431" t="str">
        <f t="shared" si="822"/>
        <v>-</v>
      </c>
      <c r="DE410" s="1434" t="str">
        <f t="shared" si="823"/>
        <v>-</v>
      </c>
      <c r="DF410" s="1378"/>
      <c r="DG410" s="1428" t="str">
        <f t="shared" si="835"/>
        <v>Rev</v>
      </c>
      <c r="DH410" s="1429" t="str">
        <f t="shared" si="835"/>
        <v>[Service]</v>
      </c>
      <c r="DI410" s="1429" t="str">
        <f t="shared" si="835"/>
        <v>[Price]</v>
      </c>
      <c r="DJ410" s="1435" t="str">
        <f t="shared" si="824"/>
        <v>-</v>
      </c>
      <c r="DK410" s="1431" t="str">
        <f t="shared" si="825"/>
        <v>-</v>
      </c>
      <c r="DL410" s="1431" t="str">
        <f t="shared" si="826"/>
        <v>-</v>
      </c>
      <c r="DM410" s="1433" t="str">
        <f t="shared" si="827"/>
        <v>-</v>
      </c>
      <c r="DN410" s="1431" t="str">
        <f t="shared" si="828"/>
        <v>-</v>
      </c>
      <c r="DO410" s="1431" t="str">
        <f t="shared" si="829"/>
        <v>-</v>
      </c>
      <c r="DP410" s="1431" t="str">
        <f t="shared" si="830"/>
        <v>-</v>
      </c>
      <c r="DQ410" s="1434" t="str">
        <f t="shared" si="831"/>
        <v>-</v>
      </c>
    </row>
    <row r="411" spans="4:121">
      <c r="D411" s="70">
        <f>D408+1</f>
        <v>115</v>
      </c>
      <c r="E411" s="713" t="s">
        <v>44</v>
      </c>
      <c r="F411" s="789" t="s">
        <v>27</v>
      </c>
      <c r="G411" s="789"/>
      <c r="H411" s="789"/>
      <c r="I411" s="781" t="s">
        <v>318</v>
      </c>
      <c r="J411" s="781" t="s">
        <v>345</v>
      </c>
      <c r="K411" s="714"/>
      <c r="L411" s="715"/>
      <c r="M411" s="715"/>
      <c r="N411" s="716"/>
      <c r="O411" s="783"/>
      <c r="P411" s="784"/>
      <c r="Q411" s="783"/>
      <c r="R411" s="783"/>
      <c r="S411" s="783"/>
      <c r="T411" s="783"/>
      <c r="U411" s="783"/>
      <c r="V411" s="783"/>
      <c r="W411" s="783"/>
      <c r="X411" s="784"/>
      <c r="Y411" s="783"/>
      <c r="Z411" s="783"/>
      <c r="AA411" s="783"/>
      <c r="AB411" s="783"/>
      <c r="AC411" s="784"/>
      <c r="AD411" s="783"/>
      <c r="AE411" s="783"/>
      <c r="AF411" s="783"/>
      <c r="AG411" s="785"/>
      <c r="AI411" s="745"/>
      <c r="AJ411" s="717" t="str">
        <f t="shared" ref="AJ411:AS411" si="872">IFERROR((X411-W411)/W411,"")</f>
        <v/>
      </c>
      <c r="AK411" s="718" t="str">
        <f t="shared" si="872"/>
        <v/>
      </c>
      <c r="AL411" s="718" t="str">
        <f t="shared" si="872"/>
        <v/>
      </c>
      <c r="AM411" s="718" t="str">
        <f t="shared" si="872"/>
        <v/>
      </c>
      <c r="AN411" s="718" t="str">
        <f t="shared" si="872"/>
        <v/>
      </c>
      <c r="AO411" s="719" t="str">
        <f t="shared" si="872"/>
        <v/>
      </c>
      <c r="AP411" s="494" t="str">
        <f t="shared" si="872"/>
        <v/>
      </c>
      <c r="AQ411" s="494" t="str">
        <f t="shared" si="872"/>
        <v/>
      </c>
      <c r="AR411" s="494" t="str">
        <f t="shared" si="872"/>
        <v/>
      </c>
      <c r="AS411" s="720" t="str">
        <f t="shared" si="872"/>
        <v/>
      </c>
      <c r="AU411" s="1369"/>
      <c r="AW411" s="1412" t="str">
        <f t="shared" si="833"/>
        <v>Price</v>
      </c>
      <c r="AX411" s="1413" t="str">
        <f t="shared" si="833"/>
        <v>[Service]</v>
      </c>
      <c r="AY411" s="1414" t="str">
        <f t="shared" si="797"/>
        <v>[Price]</v>
      </c>
      <c r="AZ411" s="1415" t="str">
        <f t="shared" si="862"/>
        <v>-</v>
      </c>
      <c r="BA411" s="1415" t="str">
        <f t="shared" si="862"/>
        <v>-</v>
      </c>
      <c r="BB411" s="1415" t="str">
        <f t="shared" si="862"/>
        <v>-</v>
      </c>
      <c r="BC411" s="1415" t="str">
        <f t="shared" si="862"/>
        <v>-</v>
      </c>
      <c r="BD411" s="1415" t="str">
        <f t="shared" si="799"/>
        <v>-</v>
      </c>
      <c r="BE411" s="1415" t="str">
        <f t="shared" si="800"/>
        <v>-</v>
      </c>
      <c r="BF411" s="1415" t="str">
        <f t="shared" si="801"/>
        <v>-</v>
      </c>
      <c r="BG411" s="1416" t="str">
        <f t="shared" si="802"/>
        <v>-</v>
      </c>
      <c r="BH411" s="1417" t="str">
        <f t="shared" si="803"/>
        <v>-</v>
      </c>
      <c r="BI411" s="1417" t="str">
        <f t="shared" si="804"/>
        <v>-</v>
      </c>
      <c r="BJ411" s="1417" t="str">
        <f t="shared" si="805"/>
        <v>-</v>
      </c>
      <c r="BK411" s="1417" t="str">
        <f t="shared" si="806"/>
        <v>-</v>
      </c>
      <c r="BL411" s="1418" t="str">
        <f t="shared" si="807"/>
        <v>-</v>
      </c>
      <c r="BM411" s="1417" t="str">
        <f t="shared" si="808"/>
        <v>-</v>
      </c>
      <c r="BN411" s="1417" t="str">
        <f t="shared" si="809"/>
        <v>-</v>
      </c>
      <c r="BO411" s="1417" t="str">
        <f t="shared" si="810"/>
        <v>-</v>
      </c>
      <c r="BP411" s="1417" t="str">
        <f t="shared" si="811"/>
        <v>-</v>
      </c>
      <c r="BQ411" s="1419" t="str">
        <f t="shared" si="812"/>
        <v>-</v>
      </c>
      <c r="BR411" s="1378"/>
      <c r="BS411" s="1420"/>
      <c r="BT411" s="1421"/>
      <c r="BU411" s="1422"/>
      <c r="BV411" s="1423"/>
      <c r="BW411" s="1378"/>
      <c r="BX411" s="1412" t="str">
        <f t="shared" si="813"/>
        <v>Price</v>
      </c>
      <c r="BY411" s="1413" t="str">
        <f t="shared" si="858"/>
        <v>[Service]</v>
      </c>
      <c r="BZ411" s="1414" t="str">
        <f t="shared" si="859"/>
        <v>[Price]</v>
      </c>
      <c r="CA411" s="1424" t="str">
        <f>IFERROR((S411/R411-1)*(R413/R$13),"-")</f>
        <v>-</v>
      </c>
      <c r="CB411" s="1415" t="str">
        <f>IFERROR((T411/S411-1)*(S413/S$13),"-")</f>
        <v>-</v>
      </c>
      <c r="CC411" s="1415" t="str">
        <f>IFERROR((U411/T411-1)*(T413/T$13),"-")</f>
        <v>-</v>
      </c>
      <c r="CD411" s="1415" t="str">
        <f>IFERROR((V411/U411-1)*(U413/U$13),"-")</f>
        <v>-</v>
      </c>
      <c r="CE411" s="1415" t="str">
        <f t="shared" ref="CE411:CR411" si="873">IFERROR((T411/S411-1)*(S413/S$13),"-")</f>
        <v>-</v>
      </c>
      <c r="CF411" s="1415" t="str">
        <f t="shared" si="873"/>
        <v>-</v>
      </c>
      <c r="CG411" s="1415" t="str">
        <f t="shared" si="873"/>
        <v>-</v>
      </c>
      <c r="CH411" s="1425" t="str">
        <f t="shared" si="873"/>
        <v>-</v>
      </c>
      <c r="CI411" s="1417" t="str">
        <f t="shared" si="873"/>
        <v>-</v>
      </c>
      <c r="CJ411" s="1417" t="str">
        <f t="shared" si="873"/>
        <v>-</v>
      </c>
      <c r="CK411" s="1417" t="str">
        <f t="shared" si="873"/>
        <v>-</v>
      </c>
      <c r="CL411" s="1417" t="str">
        <f t="shared" si="873"/>
        <v>-</v>
      </c>
      <c r="CM411" s="1418" t="str">
        <f t="shared" si="873"/>
        <v>-</v>
      </c>
      <c r="CN411" s="1417" t="str">
        <f t="shared" si="873"/>
        <v>-</v>
      </c>
      <c r="CO411" s="1417" t="str">
        <f t="shared" si="873"/>
        <v>-</v>
      </c>
      <c r="CP411" s="1417" t="str">
        <f t="shared" si="873"/>
        <v>-</v>
      </c>
      <c r="CQ411" s="1417" t="str">
        <f t="shared" si="873"/>
        <v>-</v>
      </c>
      <c r="CR411" s="1419" t="str">
        <f t="shared" si="873"/>
        <v>-</v>
      </c>
      <c r="CS411" s="1378"/>
      <c r="CT411" s="1412" t="str">
        <f t="shared" si="793"/>
        <v>Price</v>
      </c>
      <c r="CU411" s="1413" t="str">
        <f t="shared" si="794"/>
        <v>[Service]</v>
      </c>
      <c r="CV411" s="1426" t="str">
        <f t="shared" si="795"/>
        <v>[Price]</v>
      </c>
      <c r="CW411" s="1427" t="str">
        <f t="shared" si="815"/>
        <v>-</v>
      </c>
      <c r="CX411" s="1417" t="str">
        <f t="shared" si="816"/>
        <v>-</v>
      </c>
      <c r="CY411" s="1417" t="str">
        <f t="shared" si="817"/>
        <v>-</v>
      </c>
      <c r="CZ411" s="1418" t="str">
        <f t="shared" si="818"/>
        <v>-</v>
      </c>
      <c r="DA411" s="1417" t="str">
        <f t="shared" si="819"/>
        <v>-</v>
      </c>
      <c r="DB411" s="1417" t="str">
        <f t="shared" si="820"/>
        <v>-</v>
      </c>
      <c r="DC411" s="1417" t="str">
        <f t="shared" si="821"/>
        <v>-</v>
      </c>
      <c r="DD411" s="1417" t="str">
        <f t="shared" si="822"/>
        <v>-</v>
      </c>
      <c r="DE411" s="1419" t="str">
        <f t="shared" si="823"/>
        <v>-</v>
      </c>
      <c r="DF411" s="1378"/>
      <c r="DG411" s="1412" t="str">
        <f t="shared" si="835"/>
        <v>Price</v>
      </c>
      <c r="DH411" s="1413" t="str">
        <f t="shared" si="835"/>
        <v>[Service]</v>
      </c>
      <c r="DI411" s="1426" t="str">
        <f t="shared" si="835"/>
        <v>[Price]</v>
      </c>
      <c r="DJ411" s="1427" t="str">
        <f t="shared" si="824"/>
        <v>-</v>
      </c>
      <c r="DK411" s="1417" t="str">
        <f t="shared" si="825"/>
        <v>-</v>
      </c>
      <c r="DL411" s="1417" t="str">
        <f t="shared" si="826"/>
        <v>-</v>
      </c>
      <c r="DM411" s="1418" t="str">
        <f t="shared" si="827"/>
        <v>-</v>
      </c>
      <c r="DN411" s="1417" t="str">
        <f t="shared" si="828"/>
        <v>-</v>
      </c>
      <c r="DO411" s="1417" t="str">
        <f t="shared" si="829"/>
        <v>-</v>
      </c>
      <c r="DP411" s="1417" t="str">
        <f t="shared" si="830"/>
        <v>-</v>
      </c>
      <c r="DQ411" s="1419" t="str">
        <f t="shared" si="831"/>
        <v>-</v>
      </c>
    </row>
    <row r="412" spans="4:121">
      <c r="E412" s="742" t="s">
        <v>45</v>
      </c>
      <c r="F412" s="722" t="str">
        <f>+F411</f>
        <v>[Service]</v>
      </c>
      <c r="G412" s="723">
        <f>+G411</f>
        <v>0</v>
      </c>
      <c r="H412" s="723">
        <f>+H411</f>
        <v>0</v>
      </c>
      <c r="I412" s="724" t="str">
        <f>+I411</f>
        <v>[Price]</v>
      </c>
      <c r="J412" s="782" t="s">
        <v>322</v>
      </c>
      <c r="K412" s="725"/>
      <c r="L412" s="726"/>
      <c r="M412" s="726"/>
      <c r="N412" s="727"/>
      <c r="O412" s="786"/>
      <c r="P412" s="787"/>
      <c r="Q412" s="786"/>
      <c r="R412" s="786"/>
      <c r="S412" s="786"/>
      <c r="T412" s="786"/>
      <c r="U412" s="786"/>
      <c r="V412" s="786"/>
      <c r="W412" s="786"/>
      <c r="X412" s="787"/>
      <c r="Y412" s="786"/>
      <c r="Z412" s="786"/>
      <c r="AA412" s="786"/>
      <c r="AB412" s="786"/>
      <c r="AC412" s="787"/>
      <c r="AD412" s="786"/>
      <c r="AE412" s="786"/>
      <c r="AF412" s="786"/>
      <c r="AG412" s="788"/>
      <c r="AH412" s="823"/>
      <c r="AI412" s="745"/>
      <c r="AJ412" s="728"/>
      <c r="AK412" s="729"/>
      <c r="AL412" s="729"/>
      <c r="AM412" s="729"/>
      <c r="AN412" s="729"/>
      <c r="AO412" s="730"/>
      <c r="AP412" s="74"/>
      <c r="AQ412" s="74"/>
      <c r="AR412" s="74"/>
      <c r="AS412" s="106"/>
      <c r="AW412" s="1392" t="str">
        <f t="shared" si="833"/>
        <v>Qty</v>
      </c>
      <c r="AX412" s="1393" t="str">
        <f t="shared" si="833"/>
        <v>[Service]</v>
      </c>
      <c r="AY412" s="1394" t="str">
        <f t="shared" si="797"/>
        <v>[Price]</v>
      </c>
      <c r="AZ412" s="1395" t="str">
        <f t="shared" si="862"/>
        <v>-</v>
      </c>
      <c r="BA412" s="1395" t="str">
        <f t="shared" si="862"/>
        <v>-</v>
      </c>
      <c r="BB412" s="1395" t="str">
        <f t="shared" si="862"/>
        <v>-</v>
      </c>
      <c r="BC412" s="1395" t="str">
        <f t="shared" si="862"/>
        <v>-</v>
      </c>
      <c r="BD412" s="1395" t="str">
        <f t="shared" si="799"/>
        <v>-</v>
      </c>
      <c r="BE412" s="1395" t="str">
        <f t="shared" si="800"/>
        <v>-</v>
      </c>
      <c r="BF412" s="1395" t="str">
        <f t="shared" si="801"/>
        <v>-</v>
      </c>
      <c r="BG412" s="1396" t="str">
        <f t="shared" si="802"/>
        <v>-</v>
      </c>
      <c r="BH412" s="1395" t="str">
        <f t="shared" si="803"/>
        <v>-</v>
      </c>
      <c r="BI412" s="1395" t="str">
        <f t="shared" si="804"/>
        <v>-</v>
      </c>
      <c r="BJ412" s="1395" t="str">
        <f t="shared" si="805"/>
        <v>-</v>
      </c>
      <c r="BK412" s="1395" t="str">
        <f t="shared" si="806"/>
        <v>-</v>
      </c>
      <c r="BL412" s="1397" t="str">
        <f t="shared" si="807"/>
        <v>-</v>
      </c>
      <c r="BM412" s="1395" t="str">
        <f t="shared" si="808"/>
        <v>-</v>
      </c>
      <c r="BN412" s="1395" t="str">
        <f t="shared" si="809"/>
        <v>-</v>
      </c>
      <c r="BO412" s="1395" t="str">
        <f t="shared" si="810"/>
        <v>-</v>
      </c>
      <c r="BP412" s="1395" t="str">
        <f t="shared" si="811"/>
        <v>-</v>
      </c>
      <c r="BQ412" s="1398" t="str">
        <f t="shared" si="812"/>
        <v>-</v>
      </c>
      <c r="BR412" s="1378"/>
      <c r="BS412" s="1329"/>
      <c r="BT412" s="1399"/>
      <c r="BU412" s="1331"/>
      <c r="BV412" s="1400"/>
      <c r="BW412" s="1378"/>
      <c r="BX412" s="1392" t="str">
        <f t="shared" si="813"/>
        <v>Qty</v>
      </c>
      <c r="BY412" s="1393" t="str">
        <f t="shared" si="858"/>
        <v>[Service]</v>
      </c>
      <c r="BZ412" s="1394" t="str">
        <f t="shared" si="859"/>
        <v>[Price]</v>
      </c>
      <c r="CA412" s="1401" t="str">
        <f>IFERROR((S412/R412-1)*(R413/R$13),"-")</f>
        <v>-</v>
      </c>
      <c r="CB412" s="1395" t="str">
        <f>IFERROR((T412/S412-1)*(S413/S$13),"-")</f>
        <v>-</v>
      </c>
      <c r="CC412" s="1395" t="str">
        <f>IFERROR((U412/T412-1)*(T413/T$13),"-")</f>
        <v>-</v>
      </c>
      <c r="CD412" s="1395" t="str">
        <f>IFERROR((V412/U412-1)*(U413/U$13),"-")</f>
        <v>-</v>
      </c>
      <c r="CE412" s="1395" t="str">
        <f t="shared" ref="CE412:CR412" si="874">IFERROR((T412/S412-1)*(S413/S$13),"-")</f>
        <v>-</v>
      </c>
      <c r="CF412" s="1395" t="str">
        <f t="shared" si="874"/>
        <v>-</v>
      </c>
      <c r="CG412" s="1395" t="str">
        <f t="shared" si="874"/>
        <v>-</v>
      </c>
      <c r="CH412" s="1397" t="str">
        <f t="shared" si="874"/>
        <v>-</v>
      </c>
      <c r="CI412" s="1395" t="str">
        <f t="shared" si="874"/>
        <v>-</v>
      </c>
      <c r="CJ412" s="1395" t="str">
        <f t="shared" si="874"/>
        <v>-</v>
      </c>
      <c r="CK412" s="1395" t="str">
        <f t="shared" si="874"/>
        <v>-</v>
      </c>
      <c r="CL412" s="1395" t="str">
        <f t="shared" si="874"/>
        <v>-</v>
      </c>
      <c r="CM412" s="1397" t="str">
        <f t="shared" si="874"/>
        <v>-</v>
      </c>
      <c r="CN412" s="1395" t="str">
        <f t="shared" si="874"/>
        <v>-</v>
      </c>
      <c r="CO412" s="1395" t="str">
        <f t="shared" si="874"/>
        <v>-</v>
      </c>
      <c r="CP412" s="1395" t="str">
        <f t="shared" si="874"/>
        <v>-</v>
      </c>
      <c r="CQ412" s="1395" t="str">
        <f t="shared" si="874"/>
        <v>-</v>
      </c>
      <c r="CR412" s="1398" t="str">
        <f t="shared" si="874"/>
        <v>-</v>
      </c>
      <c r="CS412" s="1378"/>
      <c r="CT412" s="1392" t="str">
        <f t="shared" si="793"/>
        <v>Qty</v>
      </c>
      <c r="CU412" s="1393" t="str">
        <f t="shared" si="794"/>
        <v>[Service]</v>
      </c>
      <c r="CV412" s="1393" t="str">
        <f t="shared" si="795"/>
        <v>[Price]</v>
      </c>
      <c r="CW412" s="1401" t="str">
        <f t="shared" si="815"/>
        <v>-</v>
      </c>
      <c r="CX412" s="1395" t="str">
        <f t="shared" si="816"/>
        <v>-</v>
      </c>
      <c r="CY412" s="1395" t="str">
        <f t="shared" si="817"/>
        <v>-</v>
      </c>
      <c r="CZ412" s="1397" t="str">
        <f t="shared" si="818"/>
        <v>-</v>
      </c>
      <c r="DA412" s="1395" t="str">
        <f t="shared" si="819"/>
        <v>-</v>
      </c>
      <c r="DB412" s="1395" t="str">
        <f t="shared" si="820"/>
        <v>-</v>
      </c>
      <c r="DC412" s="1395" t="str">
        <f t="shared" si="821"/>
        <v>-</v>
      </c>
      <c r="DD412" s="1395" t="str">
        <f t="shared" si="822"/>
        <v>-</v>
      </c>
      <c r="DE412" s="1398" t="str">
        <f t="shared" si="823"/>
        <v>-</v>
      </c>
      <c r="DF412" s="1378"/>
      <c r="DG412" s="1392" t="str">
        <f t="shared" si="835"/>
        <v>Qty</v>
      </c>
      <c r="DH412" s="1393" t="str">
        <f t="shared" si="835"/>
        <v>[Service]</v>
      </c>
      <c r="DI412" s="1393" t="str">
        <f t="shared" si="835"/>
        <v>[Price]</v>
      </c>
      <c r="DJ412" s="1401" t="str">
        <f t="shared" si="824"/>
        <v>-</v>
      </c>
      <c r="DK412" s="1395" t="str">
        <f t="shared" si="825"/>
        <v>-</v>
      </c>
      <c r="DL412" s="1395" t="str">
        <f t="shared" si="826"/>
        <v>-</v>
      </c>
      <c r="DM412" s="1397" t="str">
        <f t="shared" si="827"/>
        <v>-</v>
      </c>
      <c r="DN412" s="1395" t="str">
        <f t="shared" si="828"/>
        <v>-</v>
      </c>
      <c r="DO412" s="1395" t="str">
        <f t="shared" si="829"/>
        <v>-</v>
      </c>
      <c r="DP412" s="1395" t="str">
        <f t="shared" si="830"/>
        <v>-</v>
      </c>
      <c r="DQ412" s="1398" t="str">
        <f t="shared" si="831"/>
        <v>-</v>
      </c>
    </row>
    <row r="413" spans="4:121" ht="12.75" thickBot="1">
      <c r="E413" s="743" t="s">
        <v>46</v>
      </c>
      <c r="F413" s="732" t="str">
        <f>+F411</f>
        <v>[Service]</v>
      </c>
      <c r="G413" s="733">
        <f>+G411</f>
        <v>0</v>
      </c>
      <c r="H413" s="733">
        <f>+H411</f>
        <v>0</v>
      </c>
      <c r="I413" s="734" t="str">
        <f>+I411</f>
        <v>[Price]</v>
      </c>
      <c r="J413" s="735" t="s">
        <v>344</v>
      </c>
      <c r="K413" s="736">
        <f t="shared" ref="K413:AG413" si="875">K411*K412/10^6</f>
        <v>0</v>
      </c>
      <c r="L413" s="737">
        <f t="shared" si="875"/>
        <v>0</v>
      </c>
      <c r="M413" s="737">
        <f t="shared" si="875"/>
        <v>0</v>
      </c>
      <c r="N413" s="738">
        <f t="shared" si="875"/>
        <v>0</v>
      </c>
      <c r="O413" s="737">
        <f t="shared" si="875"/>
        <v>0</v>
      </c>
      <c r="P413" s="738">
        <f t="shared" si="875"/>
        <v>0</v>
      </c>
      <c r="Q413" s="737">
        <f t="shared" si="875"/>
        <v>0</v>
      </c>
      <c r="R413" s="737">
        <f t="shared" si="875"/>
        <v>0</v>
      </c>
      <c r="S413" s="737">
        <f t="shared" si="875"/>
        <v>0</v>
      </c>
      <c r="T413" s="737">
        <f t="shared" si="875"/>
        <v>0</v>
      </c>
      <c r="U413" s="737">
        <f t="shared" si="875"/>
        <v>0</v>
      </c>
      <c r="V413" s="737">
        <f t="shared" si="875"/>
        <v>0</v>
      </c>
      <c r="W413" s="737">
        <f t="shared" si="875"/>
        <v>0</v>
      </c>
      <c r="X413" s="738">
        <f t="shared" si="875"/>
        <v>0</v>
      </c>
      <c r="Y413" s="737">
        <f t="shared" si="875"/>
        <v>0</v>
      </c>
      <c r="Z413" s="737">
        <f t="shared" si="875"/>
        <v>0</v>
      </c>
      <c r="AA413" s="737">
        <f t="shared" si="875"/>
        <v>0</v>
      </c>
      <c r="AB413" s="737">
        <f t="shared" si="875"/>
        <v>0</v>
      </c>
      <c r="AC413" s="738">
        <f t="shared" si="875"/>
        <v>0</v>
      </c>
      <c r="AD413" s="737">
        <f t="shared" si="875"/>
        <v>0</v>
      </c>
      <c r="AE413" s="737">
        <f t="shared" si="875"/>
        <v>0</v>
      </c>
      <c r="AF413" s="737">
        <f t="shared" si="875"/>
        <v>0</v>
      </c>
      <c r="AG413" s="739">
        <f t="shared" si="875"/>
        <v>0</v>
      </c>
      <c r="AH413" s="823"/>
      <c r="AI413" s="745"/>
      <c r="AJ413" s="741"/>
      <c r="AK413" s="729"/>
      <c r="AL413" s="729"/>
      <c r="AM413" s="729"/>
      <c r="AN413" s="729"/>
      <c r="AO413" s="730"/>
      <c r="AP413" s="74"/>
      <c r="AQ413" s="74"/>
      <c r="AR413" s="74"/>
      <c r="AS413" s="106"/>
      <c r="AW413" s="1428" t="str">
        <f t="shared" si="833"/>
        <v>Rev</v>
      </c>
      <c r="AX413" s="1429" t="str">
        <f t="shared" si="833"/>
        <v>[Service]</v>
      </c>
      <c r="AY413" s="1430" t="str">
        <f t="shared" si="797"/>
        <v>[Price]</v>
      </c>
      <c r="AZ413" s="1431" t="str">
        <f t="shared" si="862"/>
        <v>-</v>
      </c>
      <c r="BA413" s="1431" t="str">
        <f t="shared" si="862"/>
        <v>-</v>
      </c>
      <c r="BB413" s="1431" t="str">
        <f t="shared" si="862"/>
        <v>-</v>
      </c>
      <c r="BC413" s="1431" t="str">
        <f t="shared" si="862"/>
        <v>-</v>
      </c>
      <c r="BD413" s="1431" t="str">
        <f t="shared" si="799"/>
        <v>-</v>
      </c>
      <c r="BE413" s="1431" t="str">
        <f t="shared" si="800"/>
        <v>-</v>
      </c>
      <c r="BF413" s="1431" t="str">
        <f t="shared" si="801"/>
        <v>-</v>
      </c>
      <c r="BG413" s="1432" t="str">
        <f t="shared" si="802"/>
        <v>-</v>
      </c>
      <c r="BH413" s="1431" t="str">
        <f t="shared" si="803"/>
        <v>-</v>
      </c>
      <c r="BI413" s="1431" t="str">
        <f t="shared" si="804"/>
        <v>-</v>
      </c>
      <c r="BJ413" s="1431" t="str">
        <f t="shared" si="805"/>
        <v>-</v>
      </c>
      <c r="BK413" s="1431" t="str">
        <f t="shared" si="806"/>
        <v>-</v>
      </c>
      <c r="BL413" s="1433" t="str">
        <f t="shared" si="807"/>
        <v>-</v>
      </c>
      <c r="BM413" s="1431" t="str">
        <f t="shared" si="808"/>
        <v>-</v>
      </c>
      <c r="BN413" s="1431" t="str">
        <f t="shared" si="809"/>
        <v>-</v>
      </c>
      <c r="BO413" s="1431" t="str">
        <f t="shared" si="810"/>
        <v>-</v>
      </c>
      <c r="BP413" s="1431" t="str">
        <f t="shared" si="811"/>
        <v>-</v>
      </c>
      <c r="BQ413" s="1434" t="str">
        <f t="shared" si="812"/>
        <v>-</v>
      </c>
      <c r="BR413" s="1378"/>
      <c r="BS413" s="1407"/>
      <c r="BT413" s="1408"/>
      <c r="BU413" s="1409"/>
      <c r="BV413" s="1410"/>
      <c r="BW413" s="1378"/>
      <c r="BX413" s="1428" t="str">
        <f t="shared" si="813"/>
        <v>Rev</v>
      </c>
      <c r="BY413" s="1429" t="str">
        <f t="shared" si="858"/>
        <v>[Service]</v>
      </c>
      <c r="BZ413" s="1430" t="str">
        <f t="shared" si="859"/>
        <v>[Price]</v>
      </c>
      <c r="CA413" s="1435" t="str">
        <f>IFERROR((S413/R413-1)*(R413/R$13),"-")</f>
        <v>-</v>
      </c>
      <c r="CB413" s="1431" t="str">
        <f>IFERROR((T413/S413-1)*(S413/S$13),"-")</f>
        <v>-</v>
      </c>
      <c r="CC413" s="1431" t="str">
        <f>IFERROR((U413/T413-1)*(T413/T$13),"-")</f>
        <v>-</v>
      </c>
      <c r="CD413" s="1431" t="str">
        <f>IFERROR((V413/U413-1)*(U413/U$13),"-")</f>
        <v>-</v>
      </c>
      <c r="CE413" s="1431" t="str">
        <f t="shared" ref="CE413:CR413" si="876">IFERROR((T413/S413-1)*(S413/S$13),"-")</f>
        <v>-</v>
      </c>
      <c r="CF413" s="1431" t="str">
        <f t="shared" si="876"/>
        <v>-</v>
      </c>
      <c r="CG413" s="1431" t="str">
        <f t="shared" si="876"/>
        <v>-</v>
      </c>
      <c r="CH413" s="1433" t="str">
        <f t="shared" si="876"/>
        <v>-</v>
      </c>
      <c r="CI413" s="1431" t="str">
        <f t="shared" si="876"/>
        <v>-</v>
      </c>
      <c r="CJ413" s="1431" t="str">
        <f t="shared" si="876"/>
        <v>-</v>
      </c>
      <c r="CK413" s="1431" t="str">
        <f t="shared" si="876"/>
        <v>-</v>
      </c>
      <c r="CL413" s="1431" t="str">
        <f t="shared" si="876"/>
        <v>-</v>
      </c>
      <c r="CM413" s="1433" t="str">
        <f t="shared" si="876"/>
        <v>-</v>
      </c>
      <c r="CN413" s="1431" t="str">
        <f t="shared" si="876"/>
        <v>-</v>
      </c>
      <c r="CO413" s="1431" t="str">
        <f t="shared" si="876"/>
        <v>-</v>
      </c>
      <c r="CP413" s="1431" t="str">
        <f t="shared" si="876"/>
        <v>-</v>
      </c>
      <c r="CQ413" s="1431" t="str">
        <f t="shared" si="876"/>
        <v>-</v>
      </c>
      <c r="CR413" s="1434" t="str">
        <f t="shared" si="876"/>
        <v>-</v>
      </c>
      <c r="CS413" s="1378"/>
      <c r="CT413" s="1428" t="str">
        <f t="shared" si="793"/>
        <v>Rev</v>
      </c>
      <c r="CU413" s="1429" t="str">
        <f t="shared" si="794"/>
        <v>[Service]</v>
      </c>
      <c r="CV413" s="1429" t="str">
        <f t="shared" si="795"/>
        <v>[Price]</v>
      </c>
      <c r="CW413" s="1435" t="str">
        <f t="shared" si="815"/>
        <v>-</v>
      </c>
      <c r="CX413" s="1431" t="str">
        <f t="shared" si="816"/>
        <v>-</v>
      </c>
      <c r="CY413" s="1431" t="str">
        <f t="shared" si="817"/>
        <v>-</v>
      </c>
      <c r="CZ413" s="1433" t="str">
        <f t="shared" si="818"/>
        <v>-</v>
      </c>
      <c r="DA413" s="1431" t="str">
        <f t="shared" si="819"/>
        <v>-</v>
      </c>
      <c r="DB413" s="1431" t="str">
        <f t="shared" si="820"/>
        <v>-</v>
      </c>
      <c r="DC413" s="1431" t="str">
        <f t="shared" si="821"/>
        <v>-</v>
      </c>
      <c r="DD413" s="1431" t="str">
        <f t="shared" si="822"/>
        <v>-</v>
      </c>
      <c r="DE413" s="1434" t="str">
        <f t="shared" si="823"/>
        <v>-</v>
      </c>
      <c r="DF413" s="1378"/>
      <c r="DG413" s="1428" t="str">
        <f t="shared" si="835"/>
        <v>Rev</v>
      </c>
      <c r="DH413" s="1429" t="str">
        <f t="shared" si="835"/>
        <v>[Service]</v>
      </c>
      <c r="DI413" s="1429" t="str">
        <f t="shared" si="835"/>
        <v>[Price]</v>
      </c>
      <c r="DJ413" s="1435" t="str">
        <f t="shared" si="824"/>
        <v>-</v>
      </c>
      <c r="DK413" s="1431" t="str">
        <f t="shared" si="825"/>
        <v>-</v>
      </c>
      <c r="DL413" s="1431" t="str">
        <f t="shared" si="826"/>
        <v>-</v>
      </c>
      <c r="DM413" s="1433" t="str">
        <f t="shared" si="827"/>
        <v>-</v>
      </c>
      <c r="DN413" s="1431" t="str">
        <f t="shared" si="828"/>
        <v>-</v>
      </c>
      <c r="DO413" s="1431" t="str">
        <f t="shared" si="829"/>
        <v>-</v>
      </c>
      <c r="DP413" s="1431" t="str">
        <f t="shared" si="830"/>
        <v>-</v>
      </c>
      <c r="DQ413" s="1434" t="str">
        <f t="shared" si="831"/>
        <v>-</v>
      </c>
    </row>
    <row r="414" spans="4:121">
      <c r="D414" s="70">
        <f>D411+1</f>
        <v>116</v>
      </c>
      <c r="E414" s="713" t="s">
        <v>44</v>
      </c>
      <c r="F414" s="789" t="s">
        <v>27</v>
      </c>
      <c r="G414" s="789"/>
      <c r="H414" s="789"/>
      <c r="I414" s="781" t="s">
        <v>318</v>
      </c>
      <c r="J414" s="781" t="s">
        <v>345</v>
      </c>
      <c r="K414" s="714"/>
      <c r="L414" s="715"/>
      <c r="M414" s="715"/>
      <c r="N414" s="716"/>
      <c r="O414" s="783"/>
      <c r="P414" s="784"/>
      <c r="Q414" s="783"/>
      <c r="R414" s="783"/>
      <c r="S414" s="783"/>
      <c r="T414" s="783"/>
      <c r="U414" s="783"/>
      <c r="V414" s="783"/>
      <c r="W414" s="783"/>
      <c r="X414" s="784"/>
      <c r="Y414" s="783"/>
      <c r="Z414" s="783"/>
      <c r="AA414" s="783"/>
      <c r="AB414" s="783"/>
      <c r="AC414" s="784"/>
      <c r="AD414" s="783"/>
      <c r="AE414" s="783"/>
      <c r="AF414" s="783"/>
      <c r="AG414" s="785"/>
      <c r="AI414" s="745"/>
      <c r="AJ414" s="717" t="str">
        <f t="shared" ref="AJ414:AS414" si="877">IFERROR((X414-W414)/W414,"")</f>
        <v/>
      </c>
      <c r="AK414" s="718" t="str">
        <f t="shared" si="877"/>
        <v/>
      </c>
      <c r="AL414" s="718" t="str">
        <f t="shared" si="877"/>
        <v/>
      </c>
      <c r="AM414" s="718" t="str">
        <f t="shared" si="877"/>
        <v/>
      </c>
      <c r="AN414" s="718" t="str">
        <f t="shared" si="877"/>
        <v/>
      </c>
      <c r="AO414" s="719" t="str">
        <f t="shared" si="877"/>
        <v/>
      </c>
      <c r="AP414" s="494" t="str">
        <f t="shared" si="877"/>
        <v/>
      </c>
      <c r="AQ414" s="494" t="str">
        <f t="shared" si="877"/>
        <v/>
      </c>
      <c r="AR414" s="494" t="str">
        <f t="shared" si="877"/>
        <v/>
      </c>
      <c r="AS414" s="720" t="str">
        <f t="shared" si="877"/>
        <v/>
      </c>
      <c r="AU414" s="1369"/>
      <c r="AW414" s="1412" t="str">
        <f t="shared" si="833"/>
        <v>Price</v>
      </c>
      <c r="AX414" s="1413" t="str">
        <f t="shared" si="833"/>
        <v>[Service]</v>
      </c>
      <c r="AY414" s="1414" t="str">
        <f t="shared" si="797"/>
        <v>[Price]</v>
      </c>
      <c r="AZ414" s="1415" t="str">
        <f t="shared" si="862"/>
        <v>-</v>
      </c>
      <c r="BA414" s="1415" t="str">
        <f t="shared" si="862"/>
        <v>-</v>
      </c>
      <c r="BB414" s="1415" t="str">
        <f t="shared" si="862"/>
        <v>-</v>
      </c>
      <c r="BC414" s="1415" t="str">
        <f t="shared" si="862"/>
        <v>-</v>
      </c>
      <c r="BD414" s="1415" t="str">
        <f t="shared" si="799"/>
        <v>-</v>
      </c>
      <c r="BE414" s="1415" t="str">
        <f t="shared" si="800"/>
        <v>-</v>
      </c>
      <c r="BF414" s="1415" t="str">
        <f t="shared" si="801"/>
        <v>-</v>
      </c>
      <c r="BG414" s="1416" t="str">
        <f t="shared" si="802"/>
        <v>-</v>
      </c>
      <c r="BH414" s="1417" t="str">
        <f t="shared" si="803"/>
        <v>-</v>
      </c>
      <c r="BI414" s="1417" t="str">
        <f t="shared" si="804"/>
        <v>-</v>
      </c>
      <c r="BJ414" s="1417" t="str">
        <f t="shared" si="805"/>
        <v>-</v>
      </c>
      <c r="BK414" s="1417" t="str">
        <f t="shared" si="806"/>
        <v>-</v>
      </c>
      <c r="BL414" s="1418" t="str">
        <f t="shared" si="807"/>
        <v>-</v>
      </c>
      <c r="BM414" s="1417" t="str">
        <f t="shared" si="808"/>
        <v>-</v>
      </c>
      <c r="BN414" s="1417" t="str">
        <f t="shared" si="809"/>
        <v>-</v>
      </c>
      <c r="BO414" s="1417" t="str">
        <f t="shared" si="810"/>
        <v>-</v>
      </c>
      <c r="BP414" s="1417" t="str">
        <f t="shared" si="811"/>
        <v>-</v>
      </c>
      <c r="BQ414" s="1419" t="str">
        <f t="shared" si="812"/>
        <v>-</v>
      </c>
      <c r="BR414" s="1378"/>
      <c r="BS414" s="1420"/>
      <c r="BT414" s="1421"/>
      <c r="BU414" s="1422"/>
      <c r="BV414" s="1423"/>
      <c r="BW414" s="1378"/>
      <c r="BX414" s="1412" t="str">
        <f t="shared" si="813"/>
        <v>Price</v>
      </c>
      <c r="BY414" s="1413" t="str">
        <f t="shared" si="858"/>
        <v>[Service]</v>
      </c>
      <c r="BZ414" s="1414" t="str">
        <f t="shared" si="859"/>
        <v>[Price]</v>
      </c>
      <c r="CA414" s="1424" t="str">
        <f>IFERROR((S414/R414-1)*(R416/R$13),"-")</f>
        <v>-</v>
      </c>
      <c r="CB414" s="1415" t="str">
        <f>IFERROR((T414/S414-1)*(S416/S$13),"-")</f>
        <v>-</v>
      </c>
      <c r="CC414" s="1415" t="str">
        <f>IFERROR((U414/T414-1)*(T416/T$13),"-")</f>
        <v>-</v>
      </c>
      <c r="CD414" s="1415" t="str">
        <f>IFERROR((V414/U414-1)*(U416/U$13),"-")</f>
        <v>-</v>
      </c>
      <c r="CE414" s="1415" t="str">
        <f t="shared" ref="CE414:CR414" si="878">IFERROR((T414/S414-1)*(S416/S$13),"-")</f>
        <v>-</v>
      </c>
      <c r="CF414" s="1415" t="str">
        <f t="shared" si="878"/>
        <v>-</v>
      </c>
      <c r="CG414" s="1415" t="str">
        <f t="shared" si="878"/>
        <v>-</v>
      </c>
      <c r="CH414" s="1425" t="str">
        <f t="shared" si="878"/>
        <v>-</v>
      </c>
      <c r="CI414" s="1417" t="str">
        <f t="shared" si="878"/>
        <v>-</v>
      </c>
      <c r="CJ414" s="1417" t="str">
        <f t="shared" si="878"/>
        <v>-</v>
      </c>
      <c r="CK414" s="1417" t="str">
        <f t="shared" si="878"/>
        <v>-</v>
      </c>
      <c r="CL414" s="1417" t="str">
        <f t="shared" si="878"/>
        <v>-</v>
      </c>
      <c r="CM414" s="1418" t="str">
        <f t="shared" si="878"/>
        <v>-</v>
      </c>
      <c r="CN414" s="1417" t="str">
        <f t="shared" si="878"/>
        <v>-</v>
      </c>
      <c r="CO414" s="1417" t="str">
        <f t="shared" si="878"/>
        <v>-</v>
      </c>
      <c r="CP414" s="1417" t="str">
        <f t="shared" si="878"/>
        <v>-</v>
      </c>
      <c r="CQ414" s="1417" t="str">
        <f t="shared" si="878"/>
        <v>-</v>
      </c>
      <c r="CR414" s="1419" t="str">
        <f t="shared" si="878"/>
        <v>-</v>
      </c>
      <c r="CS414" s="1378"/>
      <c r="CT414" s="1412" t="str">
        <f t="shared" si="793"/>
        <v>Price</v>
      </c>
      <c r="CU414" s="1413" t="str">
        <f t="shared" si="794"/>
        <v>[Service]</v>
      </c>
      <c r="CV414" s="1426" t="str">
        <f t="shared" si="795"/>
        <v>[Price]</v>
      </c>
      <c r="CW414" s="1427" t="str">
        <f t="shared" si="815"/>
        <v>-</v>
      </c>
      <c r="CX414" s="1417" t="str">
        <f t="shared" si="816"/>
        <v>-</v>
      </c>
      <c r="CY414" s="1417" t="str">
        <f t="shared" si="817"/>
        <v>-</v>
      </c>
      <c r="CZ414" s="1418" t="str">
        <f t="shared" si="818"/>
        <v>-</v>
      </c>
      <c r="DA414" s="1417" t="str">
        <f t="shared" si="819"/>
        <v>-</v>
      </c>
      <c r="DB414" s="1417" t="str">
        <f t="shared" si="820"/>
        <v>-</v>
      </c>
      <c r="DC414" s="1417" t="str">
        <f t="shared" si="821"/>
        <v>-</v>
      </c>
      <c r="DD414" s="1417" t="str">
        <f t="shared" si="822"/>
        <v>-</v>
      </c>
      <c r="DE414" s="1419" t="str">
        <f t="shared" si="823"/>
        <v>-</v>
      </c>
      <c r="DF414" s="1378"/>
      <c r="DG414" s="1412" t="str">
        <f t="shared" si="835"/>
        <v>Price</v>
      </c>
      <c r="DH414" s="1413" t="str">
        <f t="shared" si="835"/>
        <v>[Service]</v>
      </c>
      <c r="DI414" s="1426" t="str">
        <f t="shared" si="835"/>
        <v>[Price]</v>
      </c>
      <c r="DJ414" s="1427" t="str">
        <f t="shared" si="824"/>
        <v>-</v>
      </c>
      <c r="DK414" s="1417" t="str">
        <f t="shared" si="825"/>
        <v>-</v>
      </c>
      <c r="DL414" s="1417" t="str">
        <f t="shared" si="826"/>
        <v>-</v>
      </c>
      <c r="DM414" s="1418" t="str">
        <f t="shared" si="827"/>
        <v>-</v>
      </c>
      <c r="DN414" s="1417" t="str">
        <f t="shared" si="828"/>
        <v>-</v>
      </c>
      <c r="DO414" s="1417" t="str">
        <f t="shared" si="829"/>
        <v>-</v>
      </c>
      <c r="DP414" s="1417" t="str">
        <f t="shared" si="830"/>
        <v>-</v>
      </c>
      <c r="DQ414" s="1419" t="str">
        <f t="shared" si="831"/>
        <v>-</v>
      </c>
    </row>
    <row r="415" spans="4:121">
      <c r="E415" s="742" t="s">
        <v>45</v>
      </c>
      <c r="F415" s="722" t="str">
        <f>+F414</f>
        <v>[Service]</v>
      </c>
      <c r="G415" s="723">
        <f>+G414</f>
        <v>0</v>
      </c>
      <c r="H415" s="723">
        <f>+H414</f>
        <v>0</v>
      </c>
      <c r="I415" s="724" t="str">
        <f>+I414</f>
        <v>[Price]</v>
      </c>
      <c r="J415" s="782" t="s">
        <v>322</v>
      </c>
      <c r="K415" s="725"/>
      <c r="L415" s="726"/>
      <c r="M415" s="726"/>
      <c r="N415" s="727"/>
      <c r="O415" s="786"/>
      <c r="P415" s="787"/>
      <c r="Q415" s="786"/>
      <c r="R415" s="786"/>
      <c r="S415" s="786"/>
      <c r="T415" s="786"/>
      <c r="U415" s="786"/>
      <c r="V415" s="786"/>
      <c r="W415" s="786"/>
      <c r="X415" s="787"/>
      <c r="Y415" s="786"/>
      <c r="Z415" s="786"/>
      <c r="AA415" s="786"/>
      <c r="AB415" s="786"/>
      <c r="AC415" s="787"/>
      <c r="AD415" s="786"/>
      <c r="AE415" s="786"/>
      <c r="AF415" s="786"/>
      <c r="AG415" s="788"/>
      <c r="AH415" s="823"/>
      <c r="AI415" s="745"/>
      <c r="AJ415" s="728"/>
      <c r="AK415" s="729"/>
      <c r="AL415" s="729"/>
      <c r="AM415" s="729"/>
      <c r="AN415" s="729"/>
      <c r="AO415" s="730"/>
      <c r="AP415" s="74"/>
      <c r="AQ415" s="74"/>
      <c r="AR415" s="74"/>
      <c r="AS415" s="106"/>
      <c r="AW415" s="1392" t="str">
        <f t="shared" si="833"/>
        <v>Qty</v>
      </c>
      <c r="AX415" s="1393" t="str">
        <f t="shared" si="833"/>
        <v>[Service]</v>
      </c>
      <c r="AY415" s="1394" t="str">
        <f t="shared" si="797"/>
        <v>[Price]</v>
      </c>
      <c r="AZ415" s="1395" t="str">
        <f t="shared" si="862"/>
        <v>-</v>
      </c>
      <c r="BA415" s="1395" t="str">
        <f t="shared" si="862"/>
        <v>-</v>
      </c>
      <c r="BB415" s="1395" t="str">
        <f t="shared" si="862"/>
        <v>-</v>
      </c>
      <c r="BC415" s="1395" t="str">
        <f t="shared" si="862"/>
        <v>-</v>
      </c>
      <c r="BD415" s="1395" t="str">
        <f t="shared" si="799"/>
        <v>-</v>
      </c>
      <c r="BE415" s="1395" t="str">
        <f t="shared" si="800"/>
        <v>-</v>
      </c>
      <c r="BF415" s="1395" t="str">
        <f t="shared" si="801"/>
        <v>-</v>
      </c>
      <c r="BG415" s="1396" t="str">
        <f t="shared" si="802"/>
        <v>-</v>
      </c>
      <c r="BH415" s="1395" t="str">
        <f t="shared" si="803"/>
        <v>-</v>
      </c>
      <c r="BI415" s="1395" t="str">
        <f t="shared" si="804"/>
        <v>-</v>
      </c>
      <c r="BJ415" s="1395" t="str">
        <f t="shared" si="805"/>
        <v>-</v>
      </c>
      <c r="BK415" s="1395" t="str">
        <f t="shared" si="806"/>
        <v>-</v>
      </c>
      <c r="BL415" s="1397" t="str">
        <f t="shared" si="807"/>
        <v>-</v>
      </c>
      <c r="BM415" s="1395" t="str">
        <f t="shared" si="808"/>
        <v>-</v>
      </c>
      <c r="BN415" s="1395" t="str">
        <f t="shared" si="809"/>
        <v>-</v>
      </c>
      <c r="BO415" s="1395" t="str">
        <f t="shared" si="810"/>
        <v>-</v>
      </c>
      <c r="BP415" s="1395" t="str">
        <f t="shared" si="811"/>
        <v>-</v>
      </c>
      <c r="BQ415" s="1398" t="str">
        <f t="shared" si="812"/>
        <v>-</v>
      </c>
      <c r="BR415" s="1378"/>
      <c r="BS415" s="1329"/>
      <c r="BT415" s="1399"/>
      <c r="BU415" s="1331"/>
      <c r="BV415" s="1400"/>
      <c r="BW415" s="1378"/>
      <c r="BX415" s="1392" t="str">
        <f t="shared" si="813"/>
        <v>Qty</v>
      </c>
      <c r="BY415" s="1393" t="str">
        <f t="shared" si="858"/>
        <v>[Service]</v>
      </c>
      <c r="BZ415" s="1394" t="str">
        <f t="shared" si="859"/>
        <v>[Price]</v>
      </c>
      <c r="CA415" s="1401" t="str">
        <f>IFERROR((S415/R415-1)*(R416/R$13),"-")</f>
        <v>-</v>
      </c>
      <c r="CB415" s="1395" t="str">
        <f>IFERROR((T415/S415-1)*(S416/S$13),"-")</f>
        <v>-</v>
      </c>
      <c r="CC415" s="1395" t="str">
        <f>IFERROR((U415/T415-1)*(T416/T$13),"-")</f>
        <v>-</v>
      </c>
      <c r="CD415" s="1395" t="str">
        <f>IFERROR((V415/U415-1)*(U416/U$13),"-")</f>
        <v>-</v>
      </c>
      <c r="CE415" s="1395" t="str">
        <f t="shared" ref="CE415:CR415" si="879">IFERROR((T415/S415-1)*(S416/S$13),"-")</f>
        <v>-</v>
      </c>
      <c r="CF415" s="1395" t="str">
        <f t="shared" si="879"/>
        <v>-</v>
      </c>
      <c r="CG415" s="1395" t="str">
        <f t="shared" si="879"/>
        <v>-</v>
      </c>
      <c r="CH415" s="1397" t="str">
        <f t="shared" si="879"/>
        <v>-</v>
      </c>
      <c r="CI415" s="1395" t="str">
        <f t="shared" si="879"/>
        <v>-</v>
      </c>
      <c r="CJ415" s="1395" t="str">
        <f t="shared" si="879"/>
        <v>-</v>
      </c>
      <c r="CK415" s="1395" t="str">
        <f t="shared" si="879"/>
        <v>-</v>
      </c>
      <c r="CL415" s="1395" t="str">
        <f t="shared" si="879"/>
        <v>-</v>
      </c>
      <c r="CM415" s="1397" t="str">
        <f t="shared" si="879"/>
        <v>-</v>
      </c>
      <c r="CN415" s="1395" t="str">
        <f t="shared" si="879"/>
        <v>-</v>
      </c>
      <c r="CO415" s="1395" t="str">
        <f t="shared" si="879"/>
        <v>-</v>
      </c>
      <c r="CP415" s="1395" t="str">
        <f t="shared" si="879"/>
        <v>-</v>
      </c>
      <c r="CQ415" s="1395" t="str">
        <f t="shared" si="879"/>
        <v>-</v>
      </c>
      <c r="CR415" s="1398" t="str">
        <f t="shared" si="879"/>
        <v>-</v>
      </c>
      <c r="CS415" s="1378"/>
      <c r="CT415" s="1392" t="str">
        <f t="shared" si="793"/>
        <v>Qty</v>
      </c>
      <c r="CU415" s="1393" t="str">
        <f t="shared" si="794"/>
        <v>[Service]</v>
      </c>
      <c r="CV415" s="1393" t="str">
        <f t="shared" si="795"/>
        <v>[Price]</v>
      </c>
      <c r="CW415" s="1401" t="str">
        <f t="shared" si="815"/>
        <v>-</v>
      </c>
      <c r="CX415" s="1395" t="str">
        <f t="shared" si="816"/>
        <v>-</v>
      </c>
      <c r="CY415" s="1395" t="str">
        <f t="shared" si="817"/>
        <v>-</v>
      </c>
      <c r="CZ415" s="1397" t="str">
        <f t="shared" si="818"/>
        <v>-</v>
      </c>
      <c r="DA415" s="1395" t="str">
        <f t="shared" si="819"/>
        <v>-</v>
      </c>
      <c r="DB415" s="1395" t="str">
        <f t="shared" si="820"/>
        <v>-</v>
      </c>
      <c r="DC415" s="1395" t="str">
        <f t="shared" si="821"/>
        <v>-</v>
      </c>
      <c r="DD415" s="1395" t="str">
        <f t="shared" si="822"/>
        <v>-</v>
      </c>
      <c r="DE415" s="1398" t="str">
        <f t="shared" si="823"/>
        <v>-</v>
      </c>
      <c r="DF415" s="1378"/>
      <c r="DG415" s="1392" t="str">
        <f t="shared" si="835"/>
        <v>Qty</v>
      </c>
      <c r="DH415" s="1393" t="str">
        <f t="shared" si="835"/>
        <v>[Service]</v>
      </c>
      <c r="DI415" s="1393" t="str">
        <f t="shared" si="835"/>
        <v>[Price]</v>
      </c>
      <c r="DJ415" s="1401" t="str">
        <f t="shared" si="824"/>
        <v>-</v>
      </c>
      <c r="DK415" s="1395" t="str">
        <f t="shared" si="825"/>
        <v>-</v>
      </c>
      <c r="DL415" s="1395" t="str">
        <f t="shared" si="826"/>
        <v>-</v>
      </c>
      <c r="DM415" s="1397" t="str">
        <f t="shared" si="827"/>
        <v>-</v>
      </c>
      <c r="DN415" s="1395" t="str">
        <f t="shared" si="828"/>
        <v>-</v>
      </c>
      <c r="DO415" s="1395" t="str">
        <f t="shared" si="829"/>
        <v>-</v>
      </c>
      <c r="DP415" s="1395" t="str">
        <f t="shared" si="830"/>
        <v>-</v>
      </c>
      <c r="DQ415" s="1398" t="str">
        <f t="shared" si="831"/>
        <v>-</v>
      </c>
    </row>
    <row r="416" spans="4:121" ht="12.75" thickBot="1">
      <c r="E416" s="743" t="s">
        <v>46</v>
      </c>
      <c r="F416" s="732" t="str">
        <f>+F414</f>
        <v>[Service]</v>
      </c>
      <c r="G416" s="733">
        <f>+G414</f>
        <v>0</v>
      </c>
      <c r="H416" s="733">
        <f>+H414</f>
        <v>0</v>
      </c>
      <c r="I416" s="734" t="str">
        <f>+I414</f>
        <v>[Price]</v>
      </c>
      <c r="J416" s="735" t="s">
        <v>344</v>
      </c>
      <c r="K416" s="736">
        <f t="shared" ref="K416:AG416" si="880">K414*K415/10^6</f>
        <v>0</v>
      </c>
      <c r="L416" s="737">
        <f t="shared" si="880"/>
        <v>0</v>
      </c>
      <c r="M416" s="737">
        <f t="shared" si="880"/>
        <v>0</v>
      </c>
      <c r="N416" s="738">
        <f t="shared" si="880"/>
        <v>0</v>
      </c>
      <c r="O416" s="737">
        <f t="shared" si="880"/>
        <v>0</v>
      </c>
      <c r="P416" s="738">
        <f t="shared" si="880"/>
        <v>0</v>
      </c>
      <c r="Q416" s="737">
        <f t="shared" si="880"/>
        <v>0</v>
      </c>
      <c r="R416" s="737">
        <f t="shared" si="880"/>
        <v>0</v>
      </c>
      <c r="S416" s="737">
        <f t="shared" si="880"/>
        <v>0</v>
      </c>
      <c r="T416" s="737">
        <f t="shared" si="880"/>
        <v>0</v>
      </c>
      <c r="U416" s="737">
        <f t="shared" si="880"/>
        <v>0</v>
      </c>
      <c r="V416" s="737">
        <f t="shared" si="880"/>
        <v>0</v>
      </c>
      <c r="W416" s="737">
        <f t="shared" si="880"/>
        <v>0</v>
      </c>
      <c r="X416" s="738">
        <f t="shared" si="880"/>
        <v>0</v>
      </c>
      <c r="Y416" s="737">
        <f t="shared" si="880"/>
        <v>0</v>
      </c>
      <c r="Z416" s="737">
        <f t="shared" si="880"/>
        <v>0</v>
      </c>
      <c r="AA416" s="737">
        <f t="shared" si="880"/>
        <v>0</v>
      </c>
      <c r="AB416" s="737">
        <f t="shared" si="880"/>
        <v>0</v>
      </c>
      <c r="AC416" s="738">
        <f t="shared" si="880"/>
        <v>0</v>
      </c>
      <c r="AD416" s="737">
        <f t="shared" si="880"/>
        <v>0</v>
      </c>
      <c r="AE416" s="737">
        <f t="shared" si="880"/>
        <v>0</v>
      </c>
      <c r="AF416" s="737">
        <f t="shared" si="880"/>
        <v>0</v>
      </c>
      <c r="AG416" s="739">
        <f t="shared" si="880"/>
        <v>0</v>
      </c>
      <c r="AH416" s="823"/>
      <c r="AI416" s="745"/>
      <c r="AJ416" s="741"/>
      <c r="AK416" s="729"/>
      <c r="AL416" s="729"/>
      <c r="AM416" s="729"/>
      <c r="AN416" s="729"/>
      <c r="AO416" s="730"/>
      <c r="AP416" s="74"/>
      <c r="AQ416" s="74"/>
      <c r="AR416" s="74"/>
      <c r="AS416" s="106"/>
      <c r="AW416" s="1428" t="str">
        <f t="shared" si="833"/>
        <v>Rev</v>
      </c>
      <c r="AX416" s="1429" t="str">
        <f t="shared" si="833"/>
        <v>[Service]</v>
      </c>
      <c r="AY416" s="1430" t="str">
        <f t="shared" si="797"/>
        <v>[Price]</v>
      </c>
      <c r="AZ416" s="1431" t="str">
        <f t="shared" si="862"/>
        <v>-</v>
      </c>
      <c r="BA416" s="1431" t="str">
        <f t="shared" si="862"/>
        <v>-</v>
      </c>
      <c r="BB416" s="1431" t="str">
        <f t="shared" si="862"/>
        <v>-</v>
      </c>
      <c r="BC416" s="1431" t="str">
        <f t="shared" si="862"/>
        <v>-</v>
      </c>
      <c r="BD416" s="1431" t="str">
        <f t="shared" si="799"/>
        <v>-</v>
      </c>
      <c r="BE416" s="1431" t="str">
        <f t="shared" si="800"/>
        <v>-</v>
      </c>
      <c r="BF416" s="1431" t="str">
        <f t="shared" si="801"/>
        <v>-</v>
      </c>
      <c r="BG416" s="1432" t="str">
        <f t="shared" si="802"/>
        <v>-</v>
      </c>
      <c r="BH416" s="1431" t="str">
        <f t="shared" si="803"/>
        <v>-</v>
      </c>
      <c r="BI416" s="1431" t="str">
        <f t="shared" si="804"/>
        <v>-</v>
      </c>
      <c r="BJ416" s="1431" t="str">
        <f t="shared" si="805"/>
        <v>-</v>
      </c>
      <c r="BK416" s="1431" t="str">
        <f t="shared" si="806"/>
        <v>-</v>
      </c>
      <c r="BL416" s="1433" t="str">
        <f t="shared" si="807"/>
        <v>-</v>
      </c>
      <c r="BM416" s="1431" t="str">
        <f t="shared" si="808"/>
        <v>-</v>
      </c>
      <c r="BN416" s="1431" t="str">
        <f t="shared" si="809"/>
        <v>-</v>
      </c>
      <c r="BO416" s="1431" t="str">
        <f t="shared" si="810"/>
        <v>-</v>
      </c>
      <c r="BP416" s="1431" t="str">
        <f t="shared" si="811"/>
        <v>-</v>
      </c>
      <c r="BQ416" s="1434" t="str">
        <f t="shared" si="812"/>
        <v>-</v>
      </c>
      <c r="BR416" s="1378"/>
      <c r="BS416" s="1407"/>
      <c r="BT416" s="1408"/>
      <c r="BU416" s="1409"/>
      <c r="BV416" s="1410"/>
      <c r="BW416" s="1378"/>
      <c r="BX416" s="1428" t="str">
        <f t="shared" si="813"/>
        <v>Rev</v>
      </c>
      <c r="BY416" s="1429" t="str">
        <f t="shared" si="858"/>
        <v>[Service]</v>
      </c>
      <c r="BZ416" s="1430" t="str">
        <f t="shared" si="859"/>
        <v>[Price]</v>
      </c>
      <c r="CA416" s="1435" t="str">
        <f>IFERROR((S416/R416-1)*(R416/R$13),"-")</f>
        <v>-</v>
      </c>
      <c r="CB416" s="1431" t="str">
        <f>IFERROR((T416/S416-1)*(S416/S$13),"-")</f>
        <v>-</v>
      </c>
      <c r="CC416" s="1431" t="str">
        <f>IFERROR((U416/T416-1)*(T416/T$13),"-")</f>
        <v>-</v>
      </c>
      <c r="CD416" s="1431" t="str">
        <f>IFERROR((V416/U416-1)*(U416/U$13),"-")</f>
        <v>-</v>
      </c>
      <c r="CE416" s="1431" t="str">
        <f t="shared" ref="CE416:CR416" si="881">IFERROR((T416/S416-1)*(S416/S$13),"-")</f>
        <v>-</v>
      </c>
      <c r="CF416" s="1431" t="str">
        <f t="shared" si="881"/>
        <v>-</v>
      </c>
      <c r="CG416" s="1431" t="str">
        <f t="shared" si="881"/>
        <v>-</v>
      </c>
      <c r="CH416" s="1433" t="str">
        <f t="shared" si="881"/>
        <v>-</v>
      </c>
      <c r="CI416" s="1431" t="str">
        <f t="shared" si="881"/>
        <v>-</v>
      </c>
      <c r="CJ416" s="1431" t="str">
        <f t="shared" si="881"/>
        <v>-</v>
      </c>
      <c r="CK416" s="1431" t="str">
        <f t="shared" si="881"/>
        <v>-</v>
      </c>
      <c r="CL416" s="1431" t="str">
        <f t="shared" si="881"/>
        <v>-</v>
      </c>
      <c r="CM416" s="1433" t="str">
        <f t="shared" si="881"/>
        <v>-</v>
      </c>
      <c r="CN416" s="1431" t="str">
        <f t="shared" si="881"/>
        <v>-</v>
      </c>
      <c r="CO416" s="1431" t="str">
        <f t="shared" si="881"/>
        <v>-</v>
      </c>
      <c r="CP416" s="1431" t="str">
        <f t="shared" si="881"/>
        <v>-</v>
      </c>
      <c r="CQ416" s="1431" t="str">
        <f t="shared" si="881"/>
        <v>-</v>
      </c>
      <c r="CR416" s="1434" t="str">
        <f t="shared" si="881"/>
        <v>-</v>
      </c>
      <c r="CS416" s="1378"/>
      <c r="CT416" s="1428" t="str">
        <f t="shared" si="793"/>
        <v>Rev</v>
      </c>
      <c r="CU416" s="1429" t="str">
        <f t="shared" si="794"/>
        <v>[Service]</v>
      </c>
      <c r="CV416" s="1429" t="str">
        <f t="shared" si="795"/>
        <v>[Price]</v>
      </c>
      <c r="CW416" s="1435" t="str">
        <f t="shared" si="815"/>
        <v>-</v>
      </c>
      <c r="CX416" s="1431" t="str">
        <f t="shared" si="816"/>
        <v>-</v>
      </c>
      <c r="CY416" s="1431" t="str">
        <f t="shared" si="817"/>
        <v>-</v>
      </c>
      <c r="CZ416" s="1433" t="str">
        <f t="shared" si="818"/>
        <v>-</v>
      </c>
      <c r="DA416" s="1431" t="str">
        <f t="shared" si="819"/>
        <v>-</v>
      </c>
      <c r="DB416" s="1431" t="str">
        <f t="shared" si="820"/>
        <v>-</v>
      </c>
      <c r="DC416" s="1431" t="str">
        <f t="shared" si="821"/>
        <v>-</v>
      </c>
      <c r="DD416" s="1431" t="str">
        <f t="shared" si="822"/>
        <v>-</v>
      </c>
      <c r="DE416" s="1434" t="str">
        <f t="shared" si="823"/>
        <v>-</v>
      </c>
      <c r="DF416" s="1378"/>
      <c r="DG416" s="1428" t="str">
        <f t="shared" si="835"/>
        <v>Rev</v>
      </c>
      <c r="DH416" s="1429" t="str">
        <f t="shared" si="835"/>
        <v>[Service]</v>
      </c>
      <c r="DI416" s="1429" t="str">
        <f t="shared" si="835"/>
        <v>[Price]</v>
      </c>
      <c r="DJ416" s="1435" t="str">
        <f t="shared" si="824"/>
        <v>-</v>
      </c>
      <c r="DK416" s="1431" t="str">
        <f t="shared" si="825"/>
        <v>-</v>
      </c>
      <c r="DL416" s="1431" t="str">
        <f t="shared" si="826"/>
        <v>-</v>
      </c>
      <c r="DM416" s="1433" t="str">
        <f t="shared" si="827"/>
        <v>-</v>
      </c>
      <c r="DN416" s="1431" t="str">
        <f t="shared" si="828"/>
        <v>-</v>
      </c>
      <c r="DO416" s="1431" t="str">
        <f t="shared" si="829"/>
        <v>-</v>
      </c>
      <c r="DP416" s="1431" t="str">
        <f t="shared" si="830"/>
        <v>-</v>
      </c>
      <c r="DQ416" s="1434" t="str">
        <f t="shared" si="831"/>
        <v>-</v>
      </c>
    </row>
    <row r="417" spans="4:121">
      <c r="D417" s="70">
        <f>D414+1</f>
        <v>117</v>
      </c>
      <c r="E417" s="713" t="s">
        <v>44</v>
      </c>
      <c r="F417" s="789" t="s">
        <v>27</v>
      </c>
      <c r="G417" s="789"/>
      <c r="H417" s="789"/>
      <c r="I417" s="781" t="s">
        <v>318</v>
      </c>
      <c r="J417" s="781" t="s">
        <v>345</v>
      </c>
      <c r="K417" s="714"/>
      <c r="L417" s="715"/>
      <c r="M417" s="715"/>
      <c r="N417" s="716"/>
      <c r="O417" s="783"/>
      <c r="P417" s="784"/>
      <c r="Q417" s="783"/>
      <c r="R417" s="783"/>
      <c r="S417" s="783"/>
      <c r="T417" s="783"/>
      <c r="U417" s="783"/>
      <c r="V417" s="783"/>
      <c r="W417" s="783"/>
      <c r="X417" s="784"/>
      <c r="Y417" s="783"/>
      <c r="Z417" s="783"/>
      <c r="AA417" s="783"/>
      <c r="AB417" s="783"/>
      <c r="AC417" s="784"/>
      <c r="AD417" s="783"/>
      <c r="AE417" s="783"/>
      <c r="AF417" s="783"/>
      <c r="AG417" s="785"/>
      <c r="AI417" s="745"/>
      <c r="AJ417" s="717" t="str">
        <f t="shared" ref="AJ417:AS417" si="882">IFERROR((X417-W417)/W417,"")</f>
        <v/>
      </c>
      <c r="AK417" s="718" t="str">
        <f t="shared" si="882"/>
        <v/>
      </c>
      <c r="AL417" s="718" t="str">
        <f t="shared" si="882"/>
        <v/>
      </c>
      <c r="AM417" s="718" t="str">
        <f t="shared" si="882"/>
        <v/>
      </c>
      <c r="AN417" s="718" t="str">
        <f t="shared" si="882"/>
        <v/>
      </c>
      <c r="AO417" s="719" t="str">
        <f t="shared" si="882"/>
        <v/>
      </c>
      <c r="AP417" s="494" t="str">
        <f t="shared" si="882"/>
        <v/>
      </c>
      <c r="AQ417" s="494" t="str">
        <f t="shared" si="882"/>
        <v/>
      </c>
      <c r="AR417" s="494" t="str">
        <f t="shared" si="882"/>
        <v/>
      </c>
      <c r="AS417" s="720" t="str">
        <f t="shared" si="882"/>
        <v/>
      </c>
      <c r="AU417" s="1369"/>
      <c r="AW417" s="1412" t="str">
        <f t="shared" si="833"/>
        <v>Price</v>
      </c>
      <c r="AX417" s="1413" t="str">
        <f t="shared" si="833"/>
        <v>[Service]</v>
      </c>
      <c r="AY417" s="1414" t="str">
        <f t="shared" si="797"/>
        <v>[Price]</v>
      </c>
      <c r="AZ417" s="1415" t="str">
        <f t="shared" si="862"/>
        <v>-</v>
      </c>
      <c r="BA417" s="1415" t="str">
        <f t="shared" si="862"/>
        <v>-</v>
      </c>
      <c r="BB417" s="1415" t="str">
        <f t="shared" si="862"/>
        <v>-</v>
      </c>
      <c r="BC417" s="1415" t="str">
        <f t="shared" si="862"/>
        <v>-</v>
      </c>
      <c r="BD417" s="1415" t="str">
        <f t="shared" si="799"/>
        <v>-</v>
      </c>
      <c r="BE417" s="1415" t="str">
        <f t="shared" si="800"/>
        <v>-</v>
      </c>
      <c r="BF417" s="1415" t="str">
        <f t="shared" si="801"/>
        <v>-</v>
      </c>
      <c r="BG417" s="1416" t="str">
        <f t="shared" si="802"/>
        <v>-</v>
      </c>
      <c r="BH417" s="1417" t="str">
        <f t="shared" si="803"/>
        <v>-</v>
      </c>
      <c r="BI417" s="1417" t="str">
        <f t="shared" si="804"/>
        <v>-</v>
      </c>
      <c r="BJ417" s="1417" t="str">
        <f t="shared" si="805"/>
        <v>-</v>
      </c>
      <c r="BK417" s="1417" t="str">
        <f t="shared" si="806"/>
        <v>-</v>
      </c>
      <c r="BL417" s="1418" t="str">
        <f t="shared" si="807"/>
        <v>-</v>
      </c>
      <c r="BM417" s="1417" t="str">
        <f t="shared" si="808"/>
        <v>-</v>
      </c>
      <c r="BN417" s="1417" t="str">
        <f t="shared" si="809"/>
        <v>-</v>
      </c>
      <c r="BO417" s="1417" t="str">
        <f t="shared" si="810"/>
        <v>-</v>
      </c>
      <c r="BP417" s="1417" t="str">
        <f t="shared" si="811"/>
        <v>-</v>
      </c>
      <c r="BQ417" s="1419" t="str">
        <f t="shared" si="812"/>
        <v>-</v>
      </c>
      <c r="BR417" s="1378"/>
      <c r="BS417" s="1420"/>
      <c r="BT417" s="1421"/>
      <c r="BU417" s="1422"/>
      <c r="BV417" s="1423"/>
      <c r="BW417" s="1378"/>
      <c r="BX417" s="1412" t="str">
        <f t="shared" si="813"/>
        <v>Price</v>
      </c>
      <c r="BY417" s="1413" t="str">
        <f t="shared" si="858"/>
        <v>[Service]</v>
      </c>
      <c r="BZ417" s="1414" t="str">
        <f t="shared" si="859"/>
        <v>[Price]</v>
      </c>
      <c r="CA417" s="1424" t="str">
        <f>IFERROR((S417/R417-1)*(R419/R$13),"-")</f>
        <v>-</v>
      </c>
      <c r="CB417" s="1415" t="str">
        <f>IFERROR((T417/S417-1)*(S419/S$13),"-")</f>
        <v>-</v>
      </c>
      <c r="CC417" s="1415" t="str">
        <f>IFERROR((U417/T417-1)*(T419/T$13),"-")</f>
        <v>-</v>
      </c>
      <c r="CD417" s="1415" t="str">
        <f>IFERROR((V417/U417-1)*(U419/U$13),"-")</f>
        <v>-</v>
      </c>
      <c r="CE417" s="1415" t="str">
        <f t="shared" ref="CE417:CR417" si="883">IFERROR((T417/S417-1)*(S419/S$13),"-")</f>
        <v>-</v>
      </c>
      <c r="CF417" s="1415" t="str">
        <f t="shared" si="883"/>
        <v>-</v>
      </c>
      <c r="CG417" s="1415" t="str">
        <f t="shared" si="883"/>
        <v>-</v>
      </c>
      <c r="CH417" s="1425" t="str">
        <f t="shared" si="883"/>
        <v>-</v>
      </c>
      <c r="CI417" s="1417" t="str">
        <f t="shared" si="883"/>
        <v>-</v>
      </c>
      <c r="CJ417" s="1417" t="str">
        <f t="shared" si="883"/>
        <v>-</v>
      </c>
      <c r="CK417" s="1417" t="str">
        <f t="shared" si="883"/>
        <v>-</v>
      </c>
      <c r="CL417" s="1417" t="str">
        <f t="shared" si="883"/>
        <v>-</v>
      </c>
      <c r="CM417" s="1418" t="str">
        <f t="shared" si="883"/>
        <v>-</v>
      </c>
      <c r="CN417" s="1417" t="str">
        <f t="shared" si="883"/>
        <v>-</v>
      </c>
      <c r="CO417" s="1417" t="str">
        <f t="shared" si="883"/>
        <v>-</v>
      </c>
      <c r="CP417" s="1417" t="str">
        <f t="shared" si="883"/>
        <v>-</v>
      </c>
      <c r="CQ417" s="1417" t="str">
        <f t="shared" si="883"/>
        <v>-</v>
      </c>
      <c r="CR417" s="1419" t="str">
        <f t="shared" si="883"/>
        <v>-</v>
      </c>
      <c r="CS417" s="1378"/>
      <c r="CT417" s="1412" t="str">
        <f t="shared" si="793"/>
        <v>Price</v>
      </c>
      <c r="CU417" s="1413" t="str">
        <f t="shared" si="794"/>
        <v>[Service]</v>
      </c>
      <c r="CV417" s="1426" t="str">
        <f t="shared" si="795"/>
        <v>[Price]</v>
      </c>
      <c r="CW417" s="1427" t="str">
        <f t="shared" si="815"/>
        <v>-</v>
      </c>
      <c r="CX417" s="1417" t="str">
        <f t="shared" si="816"/>
        <v>-</v>
      </c>
      <c r="CY417" s="1417" t="str">
        <f t="shared" si="817"/>
        <v>-</v>
      </c>
      <c r="CZ417" s="1418" t="str">
        <f t="shared" si="818"/>
        <v>-</v>
      </c>
      <c r="DA417" s="1417" t="str">
        <f t="shared" si="819"/>
        <v>-</v>
      </c>
      <c r="DB417" s="1417" t="str">
        <f t="shared" si="820"/>
        <v>-</v>
      </c>
      <c r="DC417" s="1417" t="str">
        <f t="shared" si="821"/>
        <v>-</v>
      </c>
      <c r="DD417" s="1417" t="str">
        <f t="shared" si="822"/>
        <v>-</v>
      </c>
      <c r="DE417" s="1419" t="str">
        <f t="shared" si="823"/>
        <v>-</v>
      </c>
      <c r="DF417" s="1378"/>
      <c r="DG417" s="1412" t="str">
        <f t="shared" si="835"/>
        <v>Price</v>
      </c>
      <c r="DH417" s="1413" t="str">
        <f t="shared" si="835"/>
        <v>[Service]</v>
      </c>
      <c r="DI417" s="1426" t="str">
        <f t="shared" si="835"/>
        <v>[Price]</v>
      </c>
      <c r="DJ417" s="1427" t="str">
        <f t="shared" si="824"/>
        <v>-</v>
      </c>
      <c r="DK417" s="1417" t="str">
        <f t="shared" si="825"/>
        <v>-</v>
      </c>
      <c r="DL417" s="1417" t="str">
        <f t="shared" si="826"/>
        <v>-</v>
      </c>
      <c r="DM417" s="1418" t="str">
        <f t="shared" si="827"/>
        <v>-</v>
      </c>
      <c r="DN417" s="1417" t="str">
        <f t="shared" si="828"/>
        <v>-</v>
      </c>
      <c r="DO417" s="1417" t="str">
        <f t="shared" si="829"/>
        <v>-</v>
      </c>
      <c r="DP417" s="1417" t="str">
        <f t="shared" si="830"/>
        <v>-</v>
      </c>
      <c r="DQ417" s="1419" t="str">
        <f t="shared" si="831"/>
        <v>-</v>
      </c>
    </row>
    <row r="418" spans="4:121">
      <c r="E418" s="742" t="s">
        <v>45</v>
      </c>
      <c r="F418" s="722" t="str">
        <f>+F417</f>
        <v>[Service]</v>
      </c>
      <c r="G418" s="723">
        <f>+G417</f>
        <v>0</v>
      </c>
      <c r="H418" s="723">
        <f>+H417</f>
        <v>0</v>
      </c>
      <c r="I418" s="724" t="str">
        <f>+I417</f>
        <v>[Price]</v>
      </c>
      <c r="J418" s="782" t="s">
        <v>322</v>
      </c>
      <c r="K418" s="725"/>
      <c r="L418" s="726"/>
      <c r="M418" s="726"/>
      <c r="N418" s="727"/>
      <c r="O418" s="786"/>
      <c r="P418" s="787"/>
      <c r="Q418" s="786"/>
      <c r="R418" s="786"/>
      <c r="S418" s="786"/>
      <c r="T418" s="786"/>
      <c r="U418" s="786"/>
      <c r="V418" s="786"/>
      <c r="W418" s="786"/>
      <c r="X418" s="787"/>
      <c r="Y418" s="786"/>
      <c r="Z418" s="786"/>
      <c r="AA418" s="786"/>
      <c r="AB418" s="786"/>
      <c r="AC418" s="787"/>
      <c r="AD418" s="786"/>
      <c r="AE418" s="786"/>
      <c r="AF418" s="786"/>
      <c r="AG418" s="788"/>
      <c r="AH418" s="823"/>
      <c r="AI418" s="745"/>
      <c r="AJ418" s="728"/>
      <c r="AK418" s="729"/>
      <c r="AL418" s="729"/>
      <c r="AM418" s="729"/>
      <c r="AN418" s="729"/>
      <c r="AO418" s="730"/>
      <c r="AP418" s="74"/>
      <c r="AQ418" s="74"/>
      <c r="AR418" s="74"/>
      <c r="AS418" s="106"/>
      <c r="AW418" s="1392" t="str">
        <f t="shared" si="833"/>
        <v>Qty</v>
      </c>
      <c r="AX418" s="1393" t="str">
        <f t="shared" si="833"/>
        <v>[Service]</v>
      </c>
      <c r="AY418" s="1394" t="str">
        <f t="shared" si="797"/>
        <v>[Price]</v>
      </c>
      <c r="AZ418" s="1395" t="str">
        <f t="shared" si="862"/>
        <v>-</v>
      </c>
      <c r="BA418" s="1395" t="str">
        <f t="shared" si="862"/>
        <v>-</v>
      </c>
      <c r="BB418" s="1395" t="str">
        <f t="shared" si="862"/>
        <v>-</v>
      </c>
      <c r="BC418" s="1395" t="str">
        <f t="shared" si="862"/>
        <v>-</v>
      </c>
      <c r="BD418" s="1395" t="str">
        <f t="shared" si="799"/>
        <v>-</v>
      </c>
      <c r="BE418" s="1395" t="str">
        <f t="shared" si="800"/>
        <v>-</v>
      </c>
      <c r="BF418" s="1395" t="str">
        <f t="shared" si="801"/>
        <v>-</v>
      </c>
      <c r="BG418" s="1396" t="str">
        <f t="shared" si="802"/>
        <v>-</v>
      </c>
      <c r="BH418" s="1395" t="str">
        <f t="shared" si="803"/>
        <v>-</v>
      </c>
      <c r="BI418" s="1395" t="str">
        <f t="shared" si="804"/>
        <v>-</v>
      </c>
      <c r="BJ418" s="1395" t="str">
        <f t="shared" si="805"/>
        <v>-</v>
      </c>
      <c r="BK418" s="1395" t="str">
        <f t="shared" si="806"/>
        <v>-</v>
      </c>
      <c r="BL418" s="1397" t="str">
        <f t="shared" si="807"/>
        <v>-</v>
      </c>
      <c r="BM418" s="1395" t="str">
        <f t="shared" si="808"/>
        <v>-</v>
      </c>
      <c r="BN418" s="1395" t="str">
        <f t="shared" si="809"/>
        <v>-</v>
      </c>
      <c r="BO418" s="1395" t="str">
        <f t="shared" si="810"/>
        <v>-</v>
      </c>
      <c r="BP418" s="1395" t="str">
        <f t="shared" si="811"/>
        <v>-</v>
      </c>
      <c r="BQ418" s="1398" t="str">
        <f t="shared" si="812"/>
        <v>-</v>
      </c>
      <c r="BR418" s="1378"/>
      <c r="BS418" s="1329"/>
      <c r="BT418" s="1399"/>
      <c r="BU418" s="1331"/>
      <c r="BV418" s="1400"/>
      <c r="BW418" s="1378"/>
      <c r="BX418" s="1392" t="str">
        <f t="shared" si="813"/>
        <v>Qty</v>
      </c>
      <c r="BY418" s="1393" t="str">
        <f t="shared" si="858"/>
        <v>[Service]</v>
      </c>
      <c r="BZ418" s="1394" t="str">
        <f t="shared" si="859"/>
        <v>[Price]</v>
      </c>
      <c r="CA418" s="1401" t="str">
        <f>IFERROR((S418/R418-1)*(R419/R$13),"-")</f>
        <v>-</v>
      </c>
      <c r="CB418" s="1395" t="str">
        <f>IFERROR((T418/S418-1)*(S419/S$13),"-")</f>
        <v>-</v>
      </c>
      <c r="CC418" s="1395" t="str">
        <f>IFERROR((U418/T418-1)*(T419/T$13),"-")</f>
        <v>-</v>
      </c>
      <c r="CD418" s="1395" t="str">
        <f>IFERROR((V418/U418-1)*(U419/U$13),"-")</f>
        <v>-</v>
      </c>
      <c r="CE418" s="1395" t="str">
        <f t="shared" ref="CE418:CR418" si="884">IFERROR((T418/S418-1)*(S419/S$13),"-")</f>
        <v>-</v>
      </c>
      <c r="CF418" s="1395" t="str">
        <f t="shared" si="884"/>
        <v>-</v>
      </c>
      <c r="CG418" s="1395" t="str">
        <f t="shared" si="884"/>
        <v>-</v>
      </c>
      <c r="CH418" s="1397" t="str">
        <f t="shared" si="884"/>
        <v>-</v>
      </c>
      <c r="CI418" s="1395" t="str">
        <f t="shared" si="884"/>
        <v>-</v>
      </c>
      <c r="CJ418" s="1395" t="str">
        <f t="shared" si="884"/>
        <v>-</v>
      </c>
      <c r="CK418" s="1395" t="str">
        <f t="shared" si="884"/>
        <v>-</v>
      </c>
      <c r="CL418" s="1395" t="str">
        <f t="shared" si="884"/>
        <v>-</v>
      </c>
      <c r="CM418" s="1397" t="str">
        <f t="shared" si="884"/>
        <v>-</v>
      </c>
      <c r="CN418" s="1395" t="str">
        <f t="shared" si="884"/>
        <v>-</v>
      </c>
      <c r="CO418" s="1395" t="str">
        <f t="shared" si="884"/>
        <v>-</v>
      </c>
      <c r="CP418" s="1395" t="str">
        <f t="shared" si="884"/>
        <v>-</v>
      </c>
      <c r="CQ418" s="1395" t="str">
        <f t="shared" si="884"/>
        <v>-</v>
      </c>
      <c r="CR418" s="1398" t="str">
        <f t="shared" si="884"/>
        <v>-</v>
      </c>
      <c r="CS418" s="1378"/>
      <c r="CT418" s="1392" t="str">
        <f t="shared" si="793"/>
        <v>Qty</v>
      </c>
      <c r="CU418" s="1393" t="str">
        <f t="shared" si="794"/>
        <v>[Service]</v>
      </c>
      <c r="CV418" s="1393" t="str">
        <f t="shared" si="795"/>
        <v>[Price]</v>
      </c>
      <c r="CW418" s="1401" t="str">
        <f t="shared" si="815"/>
        <v>-</v>
      </c>
      <c r="CX418" s="1395" t="str">
        <f t="shared" si="816"/>
        <v>-</v>
      </c>
      <c r="CY418" s="1395" t="str">
        <f t="shared" si="817"/>
        <v>-</v>
      </c>
      <c r="CZ418" s="1397" t="str">
        <f t="shared" si="818"/>
        <v>-</v>
      </c>
      <c r="DA418" s="1395" t="str">
        <f t="shared" si="819"/>
        <v>-</v>
      </c>
      <c r="DB418" s="1395" t="str">
        <f t="shared" si="820"/>
        <v>-</v>
      </c>
      <c r="DC418" s="1395" t="str">
        <f t="shared" si="821"/>
        <v>-</v>
      </c>
      <c r="DD418" s="1395" t="str">
        <f t="shared" si="822"/>
        <v>-</v>
      </c>
      <c r="DE418" s="1398" t="str">
        <f t="shared" si="823"/>
        <v>-</v>
      </c>
      <c r="DF418" s="1378"/>
      <c r="DG418" s="1392" t="str">
        <f t="shared" si="835"/>
        <v>Qty</v>
      </c>
      <c r="DH418" s="1393" t="str">
        <f t="shared" si="835"/>
        <v>[Service]</v>
      </c>
      <c r="DI418" s="1393" t="str">
        <f t="shared" si="835"/>
        <v>[Price]</v>
      </c>
      <c r="DJ418" s="1401" t="str">
        <f t="shared" si="824"/>
        <v>-</v>
      </c>
      <c r="DK418" s="1395" t="str">
        <f t="shared" si="825"/>
        <v>-</v>
      </c>
      <c r="DL418" s="1395" t="str">
        <f t="shared" si="826"/>
        <v>-</v>
      </c>
      <c r="DM418" s="1397" t="str">
        <f t="shared" si="827"/>
        <v>-</v>
      </c>
      <c r="DN418" s="1395" t="str">
        <f t="shared" si="828"/>
        <v>-</v>
      </c>
      <c r="DO418" s="1395" t="str">
        <f t="shared" si="829"/>
        <v>-</v>
      </c>
      <c r="DP418" s="1395" t="str">
        <f t="shared" si="830"/>
        <v>-</v>
      </c>
      <c r="DQ418" s="1398" t="str">
        <f t="shared" si="831"/>
        <v>-</v>
      </c>
    </row>
    <row r="419" spans="4:121" ht="12.75" thickBot="1">
      <c r="E419" s="743" t="s">
        <v>46</v>
      </c>
      <c r="F419" s="732" t="str">
        <f>+F417</f>
        <v>[Service]</v>
      </c>
      <c r="G419" s="733">
        <f>+G417</f>
        <v>0</v>
      </c>
      <c r="H419" s="733">
        <f>+H417</f>
        <v>0</v>
      </c>
      <c r="I419" s="734" t="str">
        <f>+I417</f>
        <v>[Price]</v>
      </c>
      <c r="J419" s="735" t="s">
        <v>344</v>
      </c>
      <c r="K419" s="736">
        <f t="shared" ref="K419:AG419" si="885">K417*K418/10^6</f>
        <v>0</v>
      </c>
      <c r="L419" s="737">
        <f t="shared" si="885"/>
        <v>0</v>
      </c>
      <c r="M419" s="737">
        <f t="shared" si="885"/>
        <v>0</v>
      </c>
      <c r="N419" s="738">
        <f t="shared" si="885"/>
        <v>0</v>
      </c>
      <c r="O419" s="737">
        <f t="shared" si="885"/>
        <v>0</v>
      </c>
      <c r="P419" s="738">
        <f t="shared" si="885"/>
        <v>0</v>
      </c>
      <c r="Q419" s="737">
        <f t="shared" si="885"/>
        <v>0</v>
      </c>
      <c r="R419" s="737">
        <f t="shared" si="885"/>
        <v>0</v>
      </c>
      <c r="S419" s="737">
        <f t="shared" si="885"/>
        <v>0</v>
      </c>
      <c r="T419" s="737">
        <f t="shared" si="885"/>
        <v>0</v>
      </c>
      <c r="U419" s="737">
        <f t="shared" si="885"/>
        <v>0</v>
      </c>
      <c r="V419" s="737">
        <f t="shared" si="885"/>
        <v>0</v>
      </c>
      <c r="W419" s="737">
        <f t="shared" si="885"/>
        <v>0</v>
      </c>
      <c r="X419" s="738">
        <f t="shared" si="885"/>
        <v>0</v>
      </c>
      <c r="Y419" s="737">
        <f t="shared" si="885"/>
        <v>0</v>
      </c>
      <c r="Z419" s="737">
        <f t="shared" si="885"/>
        <v>0</v>
      </c>
      <c r="AA419" s="737">
        <f t="shared" si="885"/>
        <v>0</v>
      </c>
      <c r="AB419" s="737">
        <f t="shared" si="885"/>
        <v>0</v>
      </c>
      <c r="AC419" s="738">
        <f t="shared" si="885"/>
        <v>0</v>
      </c>
      <c r="AD419" s="737">
        <f t="shared" si="885"/>
        <v>0</v>
      </c>
      <c r="AE419" s="737">
        <f t="shared" si="885"/>
        <v>0</v>
      </c>
      <c r="AF419" s="737">
        <f t="shared" si="885"/>
        <v>0</v>
      </c>
      <c r="AG419" s="739">
        <f t="shared" si="885"/>
        <v>0</v>
      </c>
      <c r="AH419" s="823"/>
      <c r="AI419" s="745"/>
      <c r="AJ419" s="741"/>
      <c r="AK419" s="729"/>
      <c r="AL419" s="729"/>
      <c r="AM419" s="729"/>
      <c r="AN419" s="729"/>
      <c r="AO419" s="730"/>
      <c r="AP419" s="74"/>
      <c r="AQ419" s="74"/>
      <c r="AR419" s="74"/>
      <c r="AS419" s="106"/>
      <c r="AW419" s="1428" t="str">
        <f t="shared" si="833"/>
        <v>Rev</v>
      </c>
      <c r="AX419" s="1429" t="str">
        <f t="shared" si="833"/>
        <v>[Service]</v>
      </c>
      <c r="AY419" s="1430" t="str">
        <f t="shared" si="797"/>
        <v>[Price]</v>
      </c>
      <c r="AZ419" s="1431" t="str">
        <f t="shared" si="862"/>
        <v>-</v>
      </c>
      <c r="BA419" s="1431" t="str">
        <f t="shared" si="862"/>
        <v>-</v>
      </c>
      <c r="BB419" s="1431" t="str">
        <f t="shared" si="862"/>
        <v>-</v>
      </c>
      <c r="BC419" s="1431" t="str">
        <f t="shared" si="862"/>
        <v>-</v>
      </c>
      <c r="BD419" s="1431" t="str">
        <f t="shared" si="799"/>
        <v>-</v>
      </c>
      <c r="BE419" s="1431" t="str">
        <f t="shared" si="800"/>
        <v>-</v>
      </c>
      <c r="BF419" s="1431" t="str">
        <f t="shared" si="801"/>
        <v>-</v>
      </c>
      <c r="BG419" s="1432" t="str">
        <f t="shared" si="802"/>
        <v>-</v>
      </c>
      <c r="BH419" s="1431" t="str">
        <f t="shared" si="803"/>
        <v>-</v>
      </c>
      <c r="BI419" s="1431" t="str">
        <f t="shared" si="804"/>
        <v>-</v>
      </c>
      <c r="BJ419" s="1431" t="str">
        <f t="shared" si="805"/>
        <v>-</v>
      </c>
      <c r="BK419" s="1431" t="str">
        <f t="shared" si="806"/>
        <v>-</v>
      </c>
      <c r="BL419" s="1433" t="str">
        <f t="shared" si="807"/>
        <v>-</v>
      </c>
      <c r="BM419" s="1431" t="str">
        <f t="shared" si="808"/>
        <v>-</v>
      </c>
      <c r="BN419" s="1431" t="str">
        <f t="shared" si="809"/>
        <v>-</v>
      </c>
      <c r="BO419" s="1431" t="str">
        <f t="shared" si="810"/>
        <v>-</v>
      </c>
      <c r="BP419" s="1431" t="str">
        <f t="shared" si="811"/>
        <v>-</v>
      </c>
      <c r="BQ419" s="1434" t="str">
        <f t="shared" si="812"/>
        <v>-</v>
      </c>
      <c r="BR419" s="1378"/>
      <c r="BS419" s="1407"/>
      <c r="BT419" s="1408"/>
      <c r="BU419" s="1409"/>
      <c r="BV419" s="1410"/>
      <c r="BW419" s="1378"/>
      <c r="BX419" s="1428" t="str">
        <f t="shared" si="813"/>
        <v>Rev</v>
      </c>
      <c r="BY419" s="1429" t="str">
        <f t="shared" si="858"/>
        <v>[Service]</v>
      </c>
      <c r="BZ419" s="1430" t="str">
        <f t="shared" si="859"/>
        <v>[Price]</v>
      </c>
      <c r="CA419" s="1435" t="str">
        <f>IFERROR((S419/R419-1)*(R419/R$13),"-")</f>
        <v>-</v>
      </c>
      <c r="CB419" s="1431" t="str">
        <f>IFERROR((T419/S419-1)*(S419/S$13),"-")</f>
        <v>-</v>
      </c>
      <c r="CC419" s="1431" t="str">
        <f>IFERROR((U419/T419-1)*(T419/T$13),"-")</f>
        <v>-</v>
      </c>
      <c r="CD419" s="1431" t="str">
        <f>IFERROR((V419/U419-1)*(U419/U$13),"-")</f>
        <v>-</v>
      </c>
      <c r="CE419" s="1431" t="str">
        <f t="shared" ref="CE419:CR419" si="886">IFERROR((T419/S419-1)*(S419/S$13),"-")</f>
        <v>-</v>
      </c>
      <c r="CF419" s="1431" t="str">
        <f t="shared" si="886"/>
        <v>-</v>
      </c>
      <c r="CG419" s="1431" t="str">
        <f t="shared" si="886"/>
        <v>-</v>
      </c>
      <c r="CH419" s="1433" t="str">
        <f t="shared" si="886"/>
        <v>-</v>
      </c>
      <c r="CI419" s="1431" t="str">
        <f t="shared" si="886"/>
        <v>-</v>
      </c>
      <c r="CJ419" s="1431" t="str">
        <f t="shared" si="886"/>
        <v>-</v>
      </c>
      <c r="CK419" s="1431" t="str">
        <f t="shared" si="886"/>
        <v>-</v>
      </c>
      <c r="CL419" s="1431" t="str">
        <f t="shared" si="886"/>
        <v>-</v>
      </c>
      <c r="CM419" s="1433" t="str">
        <f t="shared" si="886"/>
        <v>-</v>
      </c>
      <c r="CN419" s="1431" t="str">
        <f t="shared" si="886"/>
        <v>-</v>
      </c>
      <c r="CO419" s="1431" t="str">
        <f t="shared" si="886"/>
        <v>-</v>
      </c>
      <c r="CP419" s="1431" t="str">
        <f t="shared" si="886"/>
        <v>-</v>
      </c>
      <c r="CQ419" s="1431" t="str">
        <f t="shared" si="886"/>
        <v>-</v>
      </c>
      <c r="CR419" s="1434" t="str">
        <f t="shared" si="886"/>
        <v>-</v>
      </c>
      <c r="CS419" s="1378"/>
      <c r="CT419" s="1428" t="str">
        <f t="shared" si="793"/>
        <v>Rev</v>
      </c>
      <c r="CU419" s="1429" t="str">
        <f t="shared" si="794"/>
        <v>[Service]</v>
      </c>
      <c r="CV419" s="1429" t="str">
        <f t="shared" si="795"/>
        <v>[Price]</v>
      </c>
      <c r="CW419" s="1435" t="str">
        <f t="shared" si="815"/>
        <v>-</v>
      </c>
      <c r="CX419" s="1431" t="str">
        <f t="shared" si="816"/>
        <v>-</v>
      </c>
      <c r="CY419" s="1431" t="str">
        <f t="shared" si="817"/>
        <v>-</v>
      </c>
      <c r="CZ419" s="1433" t="str">
        <f t="shared" si="818"/>
        <v>-</v>
      </c>
      <c r="DA419" s="1431" t="str">
        <f t="shared" si="819"/>
        <v>-</v>
      </c>
      <c r="DB419" s="1431" t="str">
        <f t="shared" si="820"/>
        <v>-</v>
      </c>
      <c r="DC419" s="1431" t="str">
        <f t="shared" si="821"/>
        <v>-</v>
      </c>
      <c r="DD419" s="1431" t="str">
        <f t="shared" si="822"/>
        <v>-</v>
      </c>
      <c r="DE419" s="1434" t="str">
        <f t="shared" si="823"/>
        <v>-</v>
      </c>
      <c r="DF419" s="1378"/>
      <c r="DG419" s="1428" t="str">
        <f t="shared" si="835"/>
        <v>Rev</v>
      </c>
      <c r="DH419" s="1429" t="str">
        <f t="shared" si="835"/>
        <v>[Service]</v>
      </c>
      <c r="DI419" s="1429" t="str">
        <f t="shared" si="835"/>
        <v>[Price]</v>
      </c>
      <c r="DJ419" s="1435" t="str">
        <f t="shared" si="824"/>
        <v>-</v>
      </c>
      <c r="DK419" s="1431" t="str">
        <f t="shared" si="825"/>
        <v>-</v>
      </c>
      <c r="DL419" s="1431" t="str">
        <f t="shared" si="826"/>
        <v>-</v>
      </c>
      <c r="DM419" s="1433" t="str">
        <f t="shared" si="827"/>
        <v>-</v>
      </c>
      <c r="DN419" s="1431" t="str">
        <f t="shared" si="828"/>
        <v>-</v>
      </c>
      <c r="DO419" s="1431" t="str">
        <f t="shared" si="829"/>
        <v>-</v>
      </c>
      <c r="DP419" s="1431" t="str">
        <f t="shared" si="830"/>
        <v>-</v>
      </c>
      <c r="DQ419" s="1434" t="str">
        <f t="shared" si="831"/>
        <v>-</v>
      </c>
    </row>
    <row r="420" spans="4:121">
      <c r="D420" s="70">
        <f>D417+1</f>
        <v>118</v>
      </c>
      <c r="E420" s="713" t="s">
        <v>44</v>
      </c>
      <c r="F420" s="789" t="s">
        <v>27</v>
      </c>
      <c r="G420" s="789"/>
      <c r="H420" s="789"/>
      <c r="I420" s="781" t="s">
        <v>318</v>
      </c>
      <c r="J420" s="781" t="s">
        <v>345</v>
      </c>
      <c r="K420" s="714"/>
      <c r="L420" s="715"/>
      <c r="M420" s="715"/>
      <c r="N420" s="716"/>
      <c r="O420" s="783"/>
      <c r="P420" s="784"/>
      <c r="Q420" s="783"/>
      <c r="R420" s="783"/>
      <c r="S420" s="783"/>
      <c r="T420" s="783"/>
      <c r="U420" s="783"/>
      <c r="V420" s="783"/>
      <c r="W420" s="783"/>
      <c r="X420" s="784"/>
      <c r="Y420" s="783"/>
      <c r="Z420" s="783"/>
      <c r="AA420" s="783"/>
      <c r="AB420" s="783"/>
      <c r="AC420" s="784"/>
      <c r="AD420" s="783"/>
      <c r="AE420" s="783"/>
      <c r="AF420" s="783"/>
      <c r="AG420" s="785"/>
      <c r="AI420" s="745"/>
      <c r="AJ420" s="717" t="str">
        <f t="shared" ref="AJ420:AS420" si="887">IFERROR((X420-W420)/W420,"")</f>
        <v/>
      </c>
      <c r="AK420" s="718" t="str">
        <f t="shared" si="887"/>
        <v/>
      </c>
      <c r="AL420" s="718" t="str">
        <f t="shared" si="887"/>
        <v/>
      </c>
      <c r="AM420" s="718" t="str">
        <f t="shared" si="887"/>
        <v/>
      </c>
      <c r="AN420" s="718" t="str">
        <f t="shared" si="887"/>
        <v/>
      </c>
      <c r="AO420" s="719" t="str">
        <f t="shared" si="887"/>
        <v/>
      </c>
      <c r="AP420" s="494" t="str">
        <f t="shared" si="887"/>
        <v/>
      </c>
      <c r="AQ420" s="494" t="str">
        <f t="shared" si="887"/>
        <v/>
      </c>
      <c r="AR420" s="494" t="str">
        <f t="shared" si="887"/>
        <v/>
      </c>
      <c r="AS420" s="720" t="str">
        <f t="shared" si="887"/>
        <v/>
      </c>
      <c r="AU420" s="1369"/>
      <c r="AW420" s="1412" t="str">
        <f t="shared" si="833"/>
        <v>Price</v>
      </c>
      <c r="AX420" s="1413" t="str">
        <f t="shared" si="833"/>
        <v>[Service]</v>
      </c>
      <c r="AY420" s="1414" t="str">
        <f t="shared" si="797"/>
        <v>[Price]</v>
      </c>
      <c r="AZ420" s="1415" t="str">
        <f t="shared" si="862"/>
        <v>-</v>
      </c>
      <c r="BA420" s="1415" t="str">
        <f t="shared" si="862"/>
        <v>-</v>
      </c>
      <c r="BB420" s="1415" t="str">
        <f t="shared" si="862"/>
        <v>-</v>
      </c>
      <c r="BC420" s="1415" t="str">
        <f t="shared" si="862"/>
        <v>-</v>
      </c>
      <c r="BD420" s="1415" t="str">
        <f t="shared" si="799"/>
        <v>-</v>
      </c>
      <c r="BE420" s="1415" t="str">
        <f t="shared" si="800"/>
        <v>-</v>
      </c>
      <c r="BF420" s="1415" t="str">
        <f t="shared" si="801"/>
        <v>-</v>
      </c>
      <c r="BG420" s="1416" t="str">
        <f t="shared" si="802"/>
        <v>-</v>
      </c>
      <c r="BH420" s="1417" t="str">
        <f t="shared" si="803"/>
        <v>-</v>
      </c>
      <c r="BI420" s="1417" t="str">
        <f t="shared" si="804"/>
        <v>-</v>
      </c>
      <c r="BJ420" s="1417" t="str">
        <f t="shared" si="805"/>
        <v>-</v>
      </c>
      <c r="BK420" s="1417" t="str">
        <f t="shared" si="806"/>
        <v>-</v>
      </c>
      <c r="BL420" s="1418" t="str">
        <f t="shared" si="807"/>
        <v>-</v>
      </c>
      <c r="BM420" s="1417" t="str">
        <f t="shared" si="808"/>
        <v>-</v>
      </c>
      <c r="BN420" s="1417" t="str">
        <f t="shared" si="809"/>
        <v>-</v>
      </c>
      <c r="BO420" s="1417" t="str">
        <f t="shared" si="810"/>
        <v>-</v>
      </c>
      <c r="BP420" s="1417" t="str">
        <f t="shared" si="811"/>
        <v>-</v>
      </c>
      <c r="BQ420" s="1419" t="str">
        <f t="shared" si="812"/>
        <v>-</v>
      </c>
      <c r="BR420" s="1378"/>
      <c r="BS420" s="1420"/>
      <c r="BT420" s="1421"/>
      <c r="BU420" s="1422"/>
      <c r="BV420" s="1423"/>
      <c r="BW420" s="1378"/>
      <c r="BX420" s="1412" t="str">
        <f t="shared" si="813"/>
        <v>Price</v>
      </c>
      <c r="BY420" s="1413" t="str">
        <f t="shared" si="858"/>
        <v>[Service]</v>
      </c>
      <c r="BZ420" s="1414" t="str">
        <f t="shared" si="859"/>
        <v>[Price]</v>
      </c>
      <c r="CA420" s="1424" t="str">
        <f>IFERROR((S420/R420-1)*(R422/R$13),"-")</f>
        <v>-</v>
      </c>
      <c r="CB420" s="1415" t="str">
        <f>IFERROR((T420/S420-1)*(S422/S$13),"-")</f>
        <v>-</v>
      </c>
      <c r="CC420" s="1415" t="str">
        <f>IFERROR((U420/T420-1)*(T422/T$13),"-")</f>
        <v>-</v>
      </c>
      <c r="CD420" s="1415" t="str">
        <f>IFERROR((V420/U420-1)*(U422/U$13),"-")</f>
        <v>-</v>
      </c>
      <c r="CE420" s="1415" t="str">
        <f t="shared" ref="CE420:CR420" si="888">IFERROR((T420/S420-1)*(S422/S$13),"-")</f>
        <v>-</v>
      </c>
      <c r="CF420" s="1415" t="str">
        <f t="shared" si="888"/>
        <v>-</v>
      </c>
      <c r="CG420" s="1415" t="str">
        <f t="shared" si="888"/>
        <v>-</v>
      </c>
      <c r="CH420" s="1425" t="str">
        <f t="shared" si="888"/>
        <v>-</v>
      </c>
      <c r="CI420" s="1417" t="str">
        <f t="shared" si="888"/>
        <v>-</v>
      </c>
      <c r="CJ420" s="1417" t="str">
        <f t="shared" si="888"/>
        <v>-</v>
      </c>
      <c r="CK420" s="1417" t="str">
        <f t="shared" si="888"/>
        <v>-</v>
      </c>
      <c r="CL420" s="1417" t="str">
        <f t="shared" si="888"/>
        <v>-</v>
      </c>
      <c r="CM420" s="1418" t="str">
        <f t="shared" si="888"/>
        <v>-</v>
      </c>
      <c r="CN420" s="1417" t="str">
        <f t="shared" si="888"/>
        <v>-</v>
      </c>
      <c r="CO420" s="1417" t="str">
        <f t="shared" si="888"/>
        <v>-</v>
      </c>
      <c r="CP420" s="1417" t="str">
        <f t="shared" si="888"/>
        <v>-</v>
      </c>
      <c r="CQ420" s="1417" t="str">
        <f t="shared" si="888"/>
        <v>-</v>
      </c>
      <c r="CR420" s="1419" t="str">
        <f t="shared" si="888"/>
        <v>-</v>
      </c>
      <c r="CS420" s="1378"/>
      <c r="CT420" s="1412" t="str">
        <f t="shared" si="793"/>
        <v>Price</v>
      </c>
      <c r="CU420" s="1413" t="str">
        <f t="shared" si="794"/>
        <v>[Service]</v>
      </c>
      <c r="CV420" s="1426" t="str">
        <f t="shared" si="795"/>
        <v>[Price]</v>
      </c>
      <c r="CW420" s="1427" t="str">
        <f t="shared" si="815"/>
        <v>-</v>
      </c>
      <c r="CX420" s="1417" t="str">
        <f t="shared" si="816"/>
        <v>-</v>
      </c>
      <c r="CY420" s="1417" t="str">
        <f t="shared" si="817"/>
        <v>-</v>
      </c>
      <c r="CZ420" s="1418" t="str">
        <f t="shared" si="818"/>
        <v>-</v>
      </c>
      <c r="DA420" s="1417" t="str">
        <f t="shared" si="819"/>
        <v>-</v>
      </c>
      <c r="DB420" s="1417" t="str">
        <f t="shared" si="820"/>
        <v>-</v>
      </c>
      <c r="DC420" s="1417" t="str">
        <f t="shared" si="821"/>
        <v>-</v>
      </c>
      <c r="DD420" s="1417" t="str">
        <f t="shared" si="822"/>
        <v>-</v>
      </c>
      <c r="DE420" s="1419" t="str">
        <f t="shared" si="823"/>
        <v>-</v>
      </c>
      <c r="DF420" s="1378"/>
      <c r="DG420" s="1412" t="str">
        <f t="shared" si="835"/>
        <v>Price</v>
      </c>
      <c r="DH420" s="1413" t="str">
        <f t="shared" si="835"/>
        <v>[Service]</v>
      </c>
      <c r="DI420" s="1426" t="str">
        <f t="shared" si="835"/>
        <v>[Price]</v>
      </c>
      <c r="DJ420" s="1427" t="str">
        <f t="shared" si="824"/>
        <v>-</v>
      </c>
      <c r="DK420" s="1417" t="str">
        <f t="shared" si="825"/>
        <v>-</v>
      </c>
      <c r="DL420" s="1417" t="str">
        <f t="shared" si="826"/>
        <v>-</v>
      </c>
      <c r="DM420" s="1418" t="str">
        <f t="shared" si="827"/>
        <v>-</v>
      </c>
      <c r="DN420" s="1417" t="str">
        <f t="shared" si="828"/>
        <v>-</v>
      </c>
      <c r="DO420" s="1417" t="str">
        <f t="shared" si="829"/>
        <v>-</v>
      </c>
      <c r="DP420" s="1417" t="str">
        <f t="shared" si="830"/>
        <v>-</v>
      </c>
      <c r="DQ420" s="1419" t="str">
        <f t="shared" si="831"/>
        <v>-</v>
      </c>
    </row>
    <row r="421" spans="4:121">
      <c r="E421" s="742" t="s">
        <v>45</v>
      </c>
      <c r="F421" s="722" t="str">
        <f>+F420</f>
        <v>[Service]</v>
      </c>
      <c r="G421" s="723">
        <f>+G420</f>
        <v>0</v>
      </c>
      <c r="H421" s="723">
        <f>+H420</f>
        <v>0</v>
      </c>
      <c r="I421" s="724" t="str">
        <f>+I420</f>
        <v>[Price]</v>
      </c>
      <c r="J421" s="782" t="s">
        <v>322</v>
      </c>
      <c r="K421" s="725"/>
      <c r="L421" s="726"/>
      <c r="M421" s="726"/>
      <c r="N421" s="727"/>
      <c r="O421" s="786"/>
      <c r="P421" s="787"/>
      <c r="Q421" s="786"/>
      <c r="R421" s="786"/>
      <c r="S421" s="786"/>
      <c r="T421" s="786"/>
      <c r="U421" s="786"/>
      <c r="V421" s="786"/>
      <c r="W421" s="786"/>
      <c r="X421" s="787"/>
      <c r="Y421" s="786"/>
      <c r="Z421" s="786"/>
      <c r="AA421" s="786"/>
      <c r="AB421" s="786"/>
      <c r="AC421" s="787"/>
      <c r="AD421" s="786"/>
      <c r="AE421" s="786"/>
      <c r="AF421" s="786"/>
      <c r="AG421" s="788"/>
      <c r="AH421" s="823"/>
      <c r="AI421" s="745"/>
      <c r="AJ421" s="728"/>
      <c r="AK421" s="729"/>
      <c r="AL421" s="729"/>
      <c r="AM421" s="729"/>
      <c r="AN421" s="729"/>
      <c r="AO421" s="730"/>
      <c r="AP421" s="74"/>
      <c r="AQ421" s="74"/>
      <c r="AR421" s="74"/>
      <c r="AS421" s="106"/>
      <c r="AW421" s="1392" t="str">
        <f t="shared" si="833"/>
        <v>Qty</v>
      </c>
      <c r="AX421" s="1393" t="str">
        <f t="shared" si="833"/>
        <v>[Service]</v>
      </c>
      <c r="AY421" s="1394" t="str">
        <f t="shared" si="797"/>
        <v>[Price]</v>
      </c>
      <c r="AZ421" s="1395" t="str">
        <f t="shared" ref="AZ421:BC436" si="889">IFERROR(P421/O421-1,"-")</f>
        <v>-</v>
      </c>
      <c r="BA421" s="1395" t="str">
        <f t="shared" si="889"/>
        <v>-</v>
      </c>
      <c r="BB421" s="1395" t="str">
        <f t="shared" si="889"/>
        <v>-</v>
      </c>
      <c r="BC421" s="1395" t="str">
        <f t="shared" si="889"/>
        <v>-</v>
      </c>
      <c r="BD421" s="1395" t="str">
        <f t="shared" si="799"/>
        <v>-</v>
      </c>
      <c r="BE421" s="1395" t="str">
        <f t="shared" si="800"/>
        <v>-</v>
      </c>
      <c r="BF421" s="1395" t="str">
        <f t="shared" si="801"/>
        <v>-</v>
      </c>
      <c r="BG421" s="1396" t="str">
        <f t="shared" si="802"/>
        <v>-</v>
      </c>
      <c r="BH421" s="1395" t="str">
        <f t="shared" si="803"/>
        <v>-</v>
      </c>
      <c r="BI421" s="1395" t="str">
        <f t="shared" si="804"/>
        <v>-</v>
      </c>
      <c r="BJ421" s="1395" t="str">
        <f t="shared" si="805"/>
        <v>-</v>
      </c>
      <c r="BK421" s="1395" t="str">
        <f t="shared" si="806"/>
        <v>-</v>
      </c>
      <c r="BL421" s="1397" t="str">
        <f t="shared" si="807"/>
        <v>-</v>
      </c>
      <c r="BM421" s="1395" t="str">
        <f t="shared" si="808"/>
        <v>-</v>
      </c>
      <c r="BN421" s="1395" t="str">
        <f t="shared" si="809"/>
        <v>-</v>
      </c>
      <c r="BO421" s="1395" t="str">
        <f t="shared" si="810"/>
        <v>-</v>
      </c>
      <c r="BP421" s="1395" t="str">
        <f t="shared" si="811"/>
        <v>-</v>
      </c>
      <c r="BQ421" s="1398" t="str">
        <f t="shared" si="812"/>
        <v>-</v>
      </c>
      <c r="BR421" s="1378"/>
      <c r="BS421" s="1329"/>
      <c r="BT421" s="1399"/>
      <c r="BU421" s="1331"/>
      <c r="BV421" s="1400"/>
      <c r="BW421" s="1378"/>
      <c r="BX421" s="1392" t="str">
        <f t="shared" si="813"/>
        <v>Qty</v>
      </c>
      <c r="BY421" s="1393" t="str">
        <f t="shared" si="858"/>
        <v>[Service]</v>
      </c>
      <c r="BZ421" s="1394" t="str">
        <f t="shared" si="859"/>
        <v>[Price]</v>
      </c>
      <c r="CA421" s="1401" t="str">
        <f>IFERROR((S421/R421-1)*(R422/R$13),"-")</f>
        <v>-</v>
      </c>
      <c r="CB421" s="1395" t="str">
        <f>IFERROR((T421/S421-1)*(S422/S$13),"-")</f>
        <v>-</v>
      </c>
      <c r="CC421" s="1395" t="str">
        <f>IFERROR((U421/T421-1)*(T422/T$13),"-")</f>
        <v>-</v>
      </c>
      <c r="CD421" s="1395" t="str">
        <f>IFERROR((V421/U421-1)*(U422/U$13),"-")</f>
        <v>-</v>
      </c>
      <c r="CE421" s="1395" t="str">
        <f t="shared" ref="CE421:CR421" si="890">IFERROR((T421/S421-1)*(S422/S$13),"-")</f>
        <v>-</v>
      </c>
      <c r="CF421" s="1395" t="str">
        <f t="shared" si="890"/>
        <v>-</v>
      </c>
      <c r="CG421" s="1395" t="str">
        <f t="shared" si="890"/>
        <v>-</v>
      </c>
      <c r="CH421" s="1397" t="str">
        <f t="shared" si="890"/>
        <v>-</v>
      </c>
      <c r="CI421" s="1395" t="str">
        <f t="shared" si="890"/>
        <v>-</v>
      </c>
      <c r="CJ421" s="1395" t="str">
        <f t="shared" si="890"/>
        <v>-</v>
      </c>
      <c r="CK421" s="1395" t="str">
        <f t="shared" si="890"/>
        <v>-</v>
      </c>
      <c r="CL421" s="1395" t="str">
        <f t="shared" si="890"/>
        <v>-</v>
      </c>
      <c r="CM421" s="1397" t="str">
        <f t="shared" si="890"/>
        <v>-</v>
      </c>
      <c r="CN421" s="1395" t="str">
        <f t="shared" si="890"/>
        <v>-</v>
      </c>
      <c r="CO421" s="1395" t="str">
        <f t="shared" si="890"/>
        <v>-</v>
      </c>
      <c r="CP421" s="1395" t="str">
        <f t="shared" si="890"/>
        <v>-</v>
      </c>
      <c r="CQ421" s="1395" t="str">
        <f t="shared" si="890"/>
        <v>-</v>
      </c>
      <c r="CR421" s="1398" t="str">
        <f t="shared" si="890"/>
        <v>-</v>
      </c>
      <c r="CS421" s="1378"/>
      <c r="CT421" s="1392" t="str">
        <f t="shared" si="793"/>
        <v>Qty</v>
      </c>
      <c r="CU421" s="1393" t="str">
        <f t="shared" si="794"/>
        <v>[Service]</v>
      </c>
      <c r="CV421" s="1393" t="str">
        <f t="shared" si="795"/>
        <v>[Price]</v>
      </c>
      <c r="CW421" s="1401" t="str">
        <f t="shared" si="815"/>
        <v>-</v>
      </c>
      <c r="CX421" s="1395" t="str">
        <f t="shared" si="816"/>
        <v>-</v>
      </c>
      <c r="CY421" s="1395" t="str">
        <f t="shared" si="817"/>
        <v>-</v>
      </c>
      <c r="CZ421" s="1397" t="str">
        <f t="shared" si="818"/>
        <v>-</v>
      </c>
      <c r="DA421" s="1395" t="str">
        <f t="shared" si="819"/>
        <v>-</v>
      </c>
      <c r="DB421" s="1395" t="str">
        <f t="shared" si="820"/>
        <v>-</v>
      </c>
      <c r="DC421" s="1395" t="str">
        <f t="shared" si="821"/>
        <v>-</v>
      </c>
      <c r="DD421" s="1395" t="str">
        <f t="shared" si="822"/>
        <v>-</v>
      </c>
      <c r="DE421" s="1398" t="str">
        <f t="shared" si="823"/>
        <v>-</v>
      </c>
      <c r="DF421" s="1378"/>
      <c r="DG421" s="1392" t="str">
        <f t="shared" si="835"/>
        <v>Qty</v>
      </c>
      <c r="DH421" s="1393" t="str">
        <f t="shared" si="835"/>
        <v>[Service]</v>
      </c>
      <c r="DI421" s="1393" t="str">
        <f t="shared" si="835"/>
        <v>[Price]</v>
      </c>
      <c r="DJ421" s="1401" t="str">
        <f t="shared" si="824"/>
        <v>-</v>
      </c>
      <c r="DK421" s="1395" t="str">
        <f t="shared" si="825"/>
        <v>-</v>
      </c>
      <c r="DL421" s="1395" t="str">
        <f t="shared" si="826"/>
        <v>-</v>
      </c>
      <c r="DM421" s="1397" t="str">
        <f t="shared" si="827"/>
        <v>-</v>
      </c>
      <c r="DN421" s="1395" t="str">
        <f t="shared" si="828"/>
        <v>-</v>
      </c>
      <c r="DO421" s="1395" t="str">
        <f t="shared" si="829"/>
        <v>-</v>
      </c>
      <c r="DP421" s="1395" t="str">
        <f t="shared" si="830"/>
        <v>-</v>
      </c>
      <c r="DQ421" s="1398" t="str">
        <f t="shared" si="831"/>
        <v>-</v>
      </c>
    </row>
    <row r="422" spans="4:121" ht="12.75" thickBot="1">
      <c r="E422" s="743" t="s">
        <v>46</v>
      </c>
      <c r="F422" s="732" t="str">
        <f>+F420</f>
        <v>[Service]</v>
      </c>
      <c r="G422" s="733">
        <f>+G420</f>
        <v>0</v>
      </c>
      <c r="H422" s="733">
        <f>+H420</f>
        <v>0</v>
      </c>
      <c r="I422" s="734" t="str">
        <f>+I420</f>
        <v>[Price]</v>
      </c>
      <c r="J422" s="735" t="s">
        <v>344</v>
      </c>
      <c r="K422" s="736">
        <f t="shared" ref="K422:AG422" si="891">K420*K421/10^6</f>
        <v>0</v>
      </c>
      <c r="L422" s="737">
        <f t="shared" si="891"/>
        <v>0</v>
      </c>
      <c r="M422" s="737">
        <f t="shared" si="891"/>
        <v>0</v>
      </c>
      <c r="N422" s="738">
        <f t="shared" si="891"/>
        <v>0</v>
      </c>
      <c r="O422" s="737">
        <f t="shared" si="891"/>
        <v>0</v>
      </c>
      <c r="P422" s="738">
        <f t="shared" si="891"/>
        <v>0</v>
      </c>
      <c r="Q422" s="737">
        <f t="shared" si="891"/>
        <v>0</v>
      </c>
      <c r="R422" s="737">
        <f t="shared" si="891"/>
        <v>0</v>
      </c>
      <c r="S422" s="737">
        <f t="shared" si="891"/>
        <v>0</v>
      </c>
      <c r="T422" s="737">
        <f t="shared" si="891"/>
        <v>0</v>
      </c>
      <c r="U422" s="737">
        <f t="shared" si="891"/>
        <v>0</v>
      </c>
      <c r="V422" s="737">
        <f t="shared" si="891"/>
        <v>0</v>
      </c>
      <c r="W422" s="737">
        <f t="shared" si="891"/>
        <v>0</v>
      </c>
      <c r="X422" s="738">
        <f t="shared" si="891"/>
        <v>0</v>
      </c>
      <c r="Y422" s="737">
        <f t="shared" si="891"/>
        <v>0</v>
      </c>
      <c r="Z422" s="737">
        <f t="shared" si="891"/>
        <v>0</v>
      </c>
      <c r="AA422" s="737">
        <f t="shared" si="891"/>
        <v>0</v>
      </c>
      <c r="AB422" s="737">
        <f t="shared" si="891"/>
        <v>0</v>
      </c>
      <c r="AC422" s="738">
        <f t="shared" si="891"/>
        <v>0</v>
      </c>
      <c r="AD422" s="737">
        <f t="shared" si="891"/>
        <v>0</v>
      </c>
      <c r="AE422" s="737">
        <f t="shared" si="891"/>
        <v>0</v>
      </c>
      <c r="AF422" s="737">
        <f t="shared" si="891"/>
        <v>0</v>
      </c>
      <c r="AG422" s="739">
        <f t="shared" si="891"/>
        <v>0</v>
      </c>
      <c r="AH422" s="823"/>
      <c r="AI422" s="745"/>
      <c r="AJ422" s="741"/>
      <c r="AK422" s="729"/>
      <c r="AL422" s="729"/>
      <c r="AM422" s="729"/>
      <c r="AN422" s="729"/>
      <c r="AO422" s="730"/>
      <c r="AP422" s="74"/>
      <c r="AQ422" s="74"/>
      <c r="AR422" s="74"/>
      <c r="AS422" s="106"/>
      <c r="AW422" s="1428" t="str">
        <f t="shared" si="833"/>
        <v>Rev</v>
      </c>
      <c r="AX422" s="1429" t="str">
        <f t="shared" si="833"/>
        <v>[Service]</v>
      </c>
      <c r="AY422" s="1430" t="str">
        <f t="shared" si="797"/>
        <v>[Price]</v>
      </c>
      <c r="AZ422" s="1431" t="str">
        <f t="shared" si="889"/>
        <v>-</v>
      </c>
      <c r="BA422" s="1431" t="str">
        <f t="shared" si="889"/>
        <v>-</v>
      </c>
      <c r="BB422" s="1431" t="str">
        <f t="shared" si="889"/>
        <v>-</v>
      </c>
      <c r="BC422" s="1431" t="str">
        <f t="shared" si="889"/>
        <v>-</v>
      </c>
      <c r="BD422" s="1431" t="str">
        <f t="shared" si="799"/>
        <v>-</v>
      </c>
      <c r="BE422" s="1431" t="str">
        <f t="shared" si="800"/>
        <v>-</v>
      </c>
      <c r="BF422" s="1431" t="str">
        <f t="shared" si="801"/>
        <v>-</v>
      </c>
      <c r="BG422" s="1432" t="str">
        <f t="shared" si="802"/>
        <v>-</v>
      </c>
      <c r="BH422" s="1431" t="str">
        <f t="shared" si="803"/>
        <v>-</v>
      </c>
      <c r="BI422" s="1431" t="str">
        <f t="shared" si="804"/>
        <v>-</v>
      </c>
      <c r="BJ422" s="1431" t="str">
        <f t="shared" si="805"/>
        <v>-</v>
      </c>
      <c r="BK422" s="1431" t="str">
        <f t="shared" si="806"/>
        <v>-</v>
      </c>
      <c r="BL422" s="1433" t="str">
        <f t="shared" si="807"/>
        <v>-</v>
      </c>
      <c r="BM422" s="1431" t="str">
        <f t="shared" si="808"/>
        <v>-</v>
      </c>
      <c r="BN422" s="1431" t="str">
        <f t="shared" si="809"/>
        <v>-</v>
      </c>
      <c r="BO422" s="1431" t="str">
        <f t="shared" si="810"/>
        <v>-</v>
      </c>
      <c r="BP422" s="1431" t="str">
        <f t="shared" si="811"/>
        <v>-</v>
      </c>
      <c r="BQ422" s="1434" t="str">
        <f t="shared" si="812"/>
        <v>-</v>
      </c>
      <c r="BR422" s="1378"/>
      <c r="BS422" s="1407"/>
      <c r="BT422" s="1408"/>
      <c r="BU422" s="1409"/>
      <c r="BV422" s="1410"/>
      <c r="BW422" s="1378"/>
      <c r="BX422" s="1428" t="str">
        <f t="shared" si="813"/>
        <v>Rev</v>
      </c>
      <c r="BY422" s="1429" t="str">
        <f t="shared" si="858"/>
        <v>[Service]</v>
      </c>
      <c r="BZ422" s="1430" t="str">
        <f t="shared" si="859"/>
        <v>[Price]</v>
      </c>
      <c r="CA422" s="1435" t="str">
        <f>IFERROR((S422/R422-1)*(R422/R$13),"-")</f>
        <v>-</v>
      </c>
      <c r="CB422" s="1431" t="str">
        <f>IFERROR((T422/S422-1)*(S422/S$13),"-")</f>
        <v>-</v>
      </c>
      <c r="CC422" s="1431" t="str">
        <f>IFERROR((U422/T422-1)*(T422/T$13),"-")</f>
        <v>-</v>
      </c>
      <c r="CD422" s="1431" t="str">
        <f>IFERROR((V422/U422-1)*(U422/U$13),"-")</f>
        <v>-</v>
      </c>
      <c r="CE422" s="1431" t="str">
        <f t="shared" ref="CE422:CR422" si="892">IFERROR((T422/S422-1)*(S422/S$13),"-")</f>
        <v>-</v>
      </c>
      <c r="CF422" s="1431" t="str">
        <f t="shared" si="892"/>
        <v>-</v>
      </c>
      <c r="CG422" s="1431" t="str">
        <f t="shared" si="892"/>
        <v>-</v>
      </c>
      <c r="CH422" s="1433" t="str">
        <f t="shared" si="892"/>
        <v>-</v>
      </c>
      <c r="CI422" s="1431" t="str">
        <f t="shared" si="892"/>
        <v>-</v>
      </c>
      <c r="CJ422" s="1431" t="str">
        <f t="shared" si="892"/>
        <v>-</v>
      </c>
      <c r="CK422" s="1431" t="str">
        <f t="shared" si="892"/>
        <v>-</v>
      </c>
      <c r="CL422" s="1431" t="str">
        <f t="shared" si="892"/>
        <v>-</v>
      </c>
      <c r="CM422" s="1433" t="str">
        <f t="shared" si="892"/>
        <v>-</v>
      </c>
      <c r="CN422" s="1431" t="str">
        <f t="shared" si="892"/>
        <v>-</v>
      </c>
      <c r="CO422" s="1431" t="str">
        <f t="shared" si="892"/>
        <v>-</v>
      </c>
      <c r="CP422" s="1431" t="str">
        <f t="shared" si="892"/>
        <v>-</v>
      </c>
      <c r="CQ422" s="1431" t="str">
        <f t="shared" si="892"/>
        <v>-</v>
      </c>
      <c r="CR422" s="1434" t="str">
        <f t="shared" si="892"/>
        <v>-</v>
      </c>
      <c r="CS422" s="1378"/>
      <c r="CT422" s="1428" t="str">
        <f t="shared" si="793"/>
        <v>Rev</v>
      </c>
      <c r="CU422" s="1429" t="str">
        <f t="shared" si="794"/>
        <v>[Service]</v>
      </c>
      <c r="CV422" s="1429" t="str">
        <f t="shared" si="795"/>
        <v>[Price]</v>
      </c>
      <c r="CW422" s="1435" t="str">
        <f t="shared" si="815"/>
        <v>-</v>
      </c>
      <c r="CX422" s="1431" t="str">
        <f t="shared" si="816"/>
        <v>-</v>
      </c>
      <c r="CY422" s="1431" t="str">
        <f t="shared" si="817"/>
        <v>-</v>
      </c>
      <c r="CZ422" s="1433" t="str">
        <f t="shared" si="818"/>
        <v>-</v>
      </c>
      <c r="DA422" s="1431" t="str">
        <f t="shared" si="819"/>
        <v>-</v>
      </c>
      <c r="DB422" s="1431" t="str">
        <f t="shared" si="820"/>
        <v>-</v>
      </c>
      <c r="DC422" s="1431" t="str">
        <f t="shared" si="821"/>
        <v>-</v>
      </c>
      <c r="DD422" s="1431" t="str">
        <f t="shared" si="822"/>
        <v>-</v>
      </c>
      <c r="DE422" s="1434" t="str">
        <f t="shared" si="823"/>
        <v>-</v>
      </c>
      <c r="DF422" s="1378"/>
      <c r="DG422" s="1428" t="str">
        <f t="shared" si="835"/>
        <v>Rev</v>
      </c>
      <c r="DH422" s="1429" t="str">
        <f t="shared" si="835"/>
        <v>[Service]</v>
      </c>
      <c r="DI422" s="1429" t="str">
        <f t="shared" si="835"/>
        <v>[Price]</v>
      </c>
      <c r="DJ422" s="1435" t="str">
        <f t="shared" si="824"/>
        <v>-</v>
      </c>
      <c r="DK422" s="1431" t="str">
        <f t="shared" si="825"/>
        <v>-</v>
      </c>
      <c r="DL422" s="1431" t="str">
        <f t="shared" si="826"/>
        <v>-</v>
      </c>
      <c r="DM422" s="1433" t="str">
        <f t="shared" si="827"/>
        <v>-</v>
      </c>
      <c r="DN422" s="1431" t="str">
        <f t="shared" si="828"/>
        <v>-</v>
      </c>
      <c r="DO422" s="1431" t="str">
        <f t="shared" si="829"/>
        <v>-</v>
      </c>
      <c r="DP422" s="1431" t="str">
        <f t="shared" si="830"/>
        <v>-</v>
      </c>
      <c r="DQ422" s="1434" t="str">
        <f t="shared" si="831"/>
        <v>-</v>
      </c>
    </row>
    <row r="423" spans="4:121">
      <c r="D423" s="70">
        <f>D420+1</f>
        <v>119</v>
      </c>
      <c r="E423" s="713" t="s">
        <v>44</v>
      </c>
      <c r="F423" s="789" t="s">
        <v>27</v>
      </c>
      <c r="G423" s="789"/>
      <c r="H423" s="789"/>
      <c r="I423" s="781" t="s">
        <v>318</v>
      </c>
      <c r="J423" s="781" t="s">
        <v>345</v>
      </c>
      <c r="K423" s="714"/>
      <c r="L423" s="715"/>
      <c r="M423" s="715"/>
      <c r="N423" s="716"/>
      <c r="O423" s="783"/>
      <c r="P423" s="784"/>
      <c r="Q423" s="783"/>
      <c r="R423" s="783"/>
      <c r="S423" s="783"/>
      <c r="T423" s="783"/>
      <c r="U423" s="783"/>
      <c r="V423" s="783"/>
      <c r="W423" s="783"/>
      <c r="X423" s="784"/>
      <c r="Y423" s="783"/>
      <c r="Z423" s="783"/>
      <c r="AA423" s="783"/>
      <c r="AB423" s="783"/>
      <c r="AC423" s="784"/>
      <c r="AD423" s="783"/>
      <c r="AE423" s="783"/>
      <c r="AF423" s="783"/>
      <c r="AG423" s="785"/>
      <c r="AI423" s="745"/>
      <c r="AJ423" s="717" t="str">
        <f t="shared" ref="AJ423:AS423" si="893">IFERROR((X423-W423)/W423,"")</f>
        <v/>
      </c>
      <c r="AK423" s="718" t="str">
        <f t="shared" si="893"/>
        <v/>
      </c>
      <c r="AL423" s="718" t="str">
        <f t="shared" si="893"/>
        <v/>
      </c>
      <c r="AM423" s="718" t="str">
        <f t="shared" si="893"/>
        <v/>
      </c>
      <c r="AN423" s="718" t="str">
        <f t="shared" si="893"/>
        <v/>
      </c>
      <c r="AO423" s="719" t="str">
        <f t="shared" si="893"/>
        <v/>
      </c>
      <c r="AP423" s="494" t="str">
        <f t="shared" si="893"/>
        <v/>
      </c>
      <c r="AQ423" s="494" t="str">
        <f t="shared" si="893"/>
        <v/>
      </c>
      <c r="AR423" s="494" t="str">
        <f t="shared" si="893"/>
        <v/>
      </c>
      <c r="AS423" s="720" t="str">
        <f t="shared" si="893"/>
        <v/>
      </c>
      <c r="AU423" s="1369"/>
      <c r="AW423" s="1412" t="str">
        <f t="shared" si="833"/>
        <v>Price</v>
      </c>
      <c r="AX423" s="1413" t="str">
        <f t="shared" si="833"/>
        <v>[Service]</v>
      </c>
      <c r="AY423" s="1414" t="str">
        <f t="shared" si="797"/>
        <v>[Price]</v>
      </c>
      <c r="AZ423" s="1415" t="str">
        <f t="shared" si="889"/>
        <v>-</v>
      </c>
      <c r="BA423" s="1415" t="str">
        <f t="shared" si="889"/>
        <v>-</v>
      </c>
      <c r="BB423" s="1415" t="str">
        <f t="shared" si="889"/>
        <v>-</v>
      </c>
      <c r="BC423" s="1415" t="str">
        <f t="shared" si="889"/>
        <v>-</v>
      </c>
      <c r="BD423" s="1415" t="str">
        <f t="shared" si="799"/>
        <v>-</v>
      </c>
      <c r="BE423" s="1415" t="str">
        <f t="shared" si="800"/>
        <v>-</v>
      </c>
      <c r="BF423" s="1415" t="str">
        <f t="shared" si="801"/>
        <v>-</v>
      </c>
      <c r="BG423" s="1416" t="str">
        <f t="shared" si="802"/>
        <v>-</v>
      </c>
      <c r="BH423" s="1417" t="str">
        <f t="shared" si="803"/>
        <v>-</v>
      </c>
      <c r="BI423" s="1417" t="str">
        <f t="shared" si="804"/>
        <v>-</v>
      </c>
      <c r="BJ423" s="1417" t="str">
        <f t="shared" si="805"/>
        <v>-</v>
      </c>
      <c r="BK423" s="1417" t="str">
        <f t="shared" si="806"/>
        <v>-</v>
      </c>
      <c r="BL423" s="1418" t="str">
        <f t="shared" si="807"/>
        <v>-</v>
      </c>
      <c r="BM423" s="1417" t="str">
        <f t="shared" si="808"/>
        <v>-</v>
      </c>
      <c r="BN423" s="1417" t="str">
        <f t="shared" si="809"/>
        <v>-</v>
      </c>
      <c r="BO423" s="1417" t="str">
        <f t="shared" si="810"/>
        <v>-</v>
      </c>
      <c r="BP423" s="1417" t="str">
        <f t="shared" si="811"/>
        <v>-</v>
      </c>
      <c r="BQ423" s="1419" t="str">
        <f t="shared" si="812"/>
        <v>-</v>
      </c>
      <c r="BR423" s="1378"/>
      <c r="BS423" s="1420"/>
      <c r="BT423" s="1421"/>
      <c r="BU423" s="1422"/>
      <c r="BV423" s="1423"/>
      <c r="BW423" s="1378"/>
      <c r="BX423" s="1412" t="str">
        <f t="shared" si="813"/>
        <v>Price</v>
      </c>
      <c r="BY423" s="1413" t="str">
        <f t="shared" si="858"/>
        <v>[Service]</v>
      </c>
      <c r="BZ423" s="1414" t="str">
        <f t="shared" si="859"/>
        <v>[Price]</v>
      </c>
      <c r="CA423" s="1424" t="str">
        <f>IFERROR((S423/R423-1)*(R425/R$13),"-")</f>
        <v>-</v>
      </c>
      <c r="CB423" s="1415" t="str">
        <f>IFERROR((T423/S423-1)*(S425/S$13),"-")</f>
        <v>-</v>
      </c>
      <c r="CC423" s="1415" t="str">
        <f>IFERROR((U423/T423-1)*(T425/T$13),"-")</f>
        <v>-</v>
      </c>
      <c r="CD423" s="1415" t="str">
        <f>IFERROR((V423/U423-1)*(U425/U$13),"-")</f>
        <v>-</v>
      </c>
      <c r="CE423" s="1415" t="str">
        <f t="shared" ref="CE423:CR423" si="894">IFERROR((T423/S423-1)*(S425/S$13),"-")</f>
        <v>-</v>
      </c>
      <c r="CF423" s="1415" t="str">
        <f t="shared" si="894"/>
        <v>-</v>
      </c>
      <c r="CG423" s="1415" t="str">
        <f t="shared" si="894"/>
        <v>-</v>
      </c>
      <c r="CH423" s="1425" t="str">
        <f t="shared" si="894"/>
        <v>-</v>
      </c>
      <c r="CI423" s="1417" t="str">
        <f t="shared" si="894"/>
        <v>-</v>
      </c>
      <c r="CJ423" s="1417" t="str">
        <f t="shared" si="894"/>
        <v>-</v>
      </c>
      <c r="CK423" s="1417" t="str">
        <f t="shared" si="894"/>
        <v>-</v>
      </c>
      <c r="CL423" s="1417" t="str">
        <f t="shared" si="894"/>
        <v>-</v>
      </c>
      <c r="CM423" s="1418" t="str">
        <f t="shared" si="894"/>
        <v>-</v>
      </c>
      <c r="CN423" s="1417" t="str">
        <f t="shared" si="894"/>
        <v>-</v>
      </c>
      <c r="CO423" s="1417" t="str">
        <f t="shared" si="894"/>
        <v>-</v>
      </c>
      <c r="CP423" s="1417" t="str">
        <f t="shared" si="894"/>
        <v>-</v>
      </c>
      <c r="CQ423" s="1417" t="str">
        <f t="shared" si="894"/>
        <v>-</v>
      </c>
      <c r="CR423" s="1419" t="str">
        <f t="shared" si="894"/>
        <v>-</v>
      </c>
      <c r="CS423" s="1378"/>
      <c r="CT423" s="1412" t="str">
        <f t="shared" si="793"/>
        <v>Price</v>
      </c>
      <c r="CU423" s="1413" t="str">
        <f t="shared" si="794"/>
        <v>[Service]</v>
      </c>
      <c r="CV423" s="1426" t="str">
        <f t="shared" si="795"/>
        <v>[Price]</v>
      </c>
      <c r="CW423" s="1427" t="str">
        <f t="shared" si="815"/>
        <v>-</v>
      </c>
      <c r="CX423" s="1417" t="str">
        <f t="shared" si="816"/>
        <v>-</v>
      </c>
      <c r="CY423" s="1417" t="str">
        <f t="shared" si="817"/>
        <v>-</v>
      </c>
      <c r="CZ423" s="1418" t="str">
        <f t="shared" si="818"/>
        <v>-</v>
      </c>
      <c r="DA423" s="1417" t="str">
        <f t="shared" si="819"/>
        <v>-</v>
      </c>
      <c r="DB423" s="1417" t="str">
        <f t="shared" si="820"/>
        <v>-</v>
      </c>
      <c r="DC423" s="1417" t="str">
        <f t="shared" si="821"/>
        <v>-</v>
      </c>
      <c r="DD423" s="1417" t="str">
        <f t="shared" si="822"/>
        <v>-</v>
      </c>
      <c r="DE423" s="1419" t="str">
        <f t="shared" si="823"/>
        <v>-</v>
      </c>
      <c r="DF423" s="1378"/>
      <c r="DG423" s="1412" t="str">
        <f t="shared" si="835"/>
        <v>Price</v>
      </c>
      <c r="DH423" s="1413" t="str">
        <f t="shared" si="835"/>
        <v>[Service]</v>
      </c>
      <c r="DI423" s="1426" t="str">
        <f t="shared" si="835"/>
        <v>[Price]</v>
      </c>
      <c r="DJ423" s="1427" t="str">
        <f t="shared" si="824"/>
        <v>-</v>
      </c>
      <c r="DK423" s="1417" t="str">
        <f t="shared" si="825"/>
        <v>-</v>
      </c>
      <c r="DL423" s="1417" t="str">
        <f t="shared" si="826"/>
        <v>-</v>
      </c>
      <c r="DM423" s="1418" t="str">
        <f t="shared" si="827"/>
        <v>-</v>
      </c>
      <c r="DN423" s="1417" t="str">
        <f t="shared" si="828"/>
        <v>-</v>
      </c>
      <c r="DO423" s="1417" t="str">
        <f t="shared" si="829"/>
        <v>-</v>
      </c>
      <c r="DP423" s="1417" t="str">
        <f t="shared" si="830"/>
        <v>-</v>
      </c>
      <c r="DQ423" s="1419" t="str">
        <f t="shared" si="831"/>
        <v>-</v>
      </c>
    </row>
    <row r="424" spans="4:121">
      <c r="E424" s="742" t="s">
        <v>45</v>
      </c>
      <c r="F424" s="722" t="str">
        <f>+F423</f>
        <v>[Service]</v>
      </c>
      <c r="G424" s="723">
        <f>+G423</f>
        <v>0</v>
      </c>
      <c r="H424" s="723">
        <f>+H423</f>
        <v>0</v>
      </c>
      <c r="I424" s="724" t="str">
        <f>+I423</f>
        <v>[Price]</v>
      </c>
      <c r="J424" s="782" t="s">
        <v>322</v>
      </c>
      <c r="K424" s="725"/>
      <c r="L424" s="726"/>
      <c r="M424" s="726"/>
      <c r="N424" s="727"/>
      <c r="O424" s="786"/>
      <c r="P424" s="787"/>
      <c r="Q424" s="786"/>
      <c r="R424" s="786"/>
      <c r="S424" s="786"/>
      <c r="T424" s="786"/>
      <c r="U424" s="786"/>
      <c r="V424" s="786"/>
      <c r="W424" s="786"/>
      <c r="X424" s="787"/>
      <c r="Y424" s="786"/>
      <c r="Z424" s="786"/>
      <c r="AA424" s="786"/>
      <c r="AB424" s="786"/>
      <c r="AC424" s="787"/>
      <c r="AD424" s="786"/>
      <c r="AE424" s="786"/>
      <c r="AF424" s="786"/>
      <c r="AG424" s="788"/>
      <c r="AH424" s="823"/>
      <c r="AI424" s="745"/>
      <c r="AJ424" s="728"/>
      <c r="AK424" s="729"/>
      <c r="AL424" s="729"/>
      <c r="AM424" s="729"/>
      <c r="AN424" s="729"/>
      <c r="AO424" s="730"/>
      <c r="AP424" s="74"/>
      <c r="AQ424" s="74"/>
      <c r="AR424" s="74"/>
      <c r="AS424" s="106"/>
      <c r="AW424" s="1392" t="str">
        <f t="shared" si="833"/>
        <v>Qty</v>
      </c>
      <c r="AX424" s="1393" t="str">
        <f t="shared" si="833"/>
        <v>[Service]</v>
      </c>
      <c r="AY424" s="1394" t="str">
        <f t="shared" si="797"/>
        <v>[Price]</v>
      </c>
      <c r="AZ424" s="1395" t="str">
        <f t="shared" si="889"/>
        <v>-</v>
      </c>
      <c r="BA424" s="1395" t="str">
        <f t="shared" si="889"/>
        <v>-</v>
      </c>
      <c r="BB424" s="1395" t="str">
        <f t="shared" si="889"/>
        <v>-</v>
      </c>
      <c r="BC424" s="1395" t="str">
        <f t="shared" si="889"/>
        <v>-</v>
      </c>
      <c r="BD424" s="1395" t="str">
        <f t="shared" si="799"/>
        <v>-</v>
      </c>
      <c r="BE424" s="1395" t="str">
        <f t="shared" si="800"/>
        <v>-</v>
      </c>
      <c r="BF424" s="1395" t="str">
        <f t="shared" si="801"/>
        <v>-</v>
      </c>
      <c r="BG424" s="1396" t="str">
        <f t="shared" si="802"/>
        <v>-</v>
      </c>
      <c r="BH424" s="1395" t="str">
        <f t="shared" si="803"/>
        <v>-</v>
      </c>
      <c r="BI424" s="1395" t="str">
        <f t="shared" si="804"/>
        <v>-</v>
      </c>
      <c r="BJ424" s="1395" t="str">
        <f t="shared" si="805"/>
        <v>-</v>
      </c>
      <c r="BK424" s="1395" t="str">
        <f t="shared" si="806"/>
        <v>-</v>
      </c>
      <c r="BL424" s="1397" t="str">
        <f t="shared" si="807"/>
        <v>-</v>
      </c>
      <c r="BM424" s="1395" t="str">
        <f t="shared" si="808"/>
        <v>-</v>
      </c>
      <c r="BN424" s="1395" t="str">
        <f t="shared" si="809"/>
        <v>-</v>
      </c>
      <c r="BO424" s="1395" t="str">
        <f t="shared" si="810"/>
        <v>-</v>
      </c>
      <c r="BP424" s="1395" t="str">
        <f t="shared" si="811"/>
        <v>-</v>
      </c>
      <c r="BQ424" s="1398" t="str">
        <f t="shared" si="812"/>
        <v>-</v>
      </c>
      <c r="BR424" s="1378"/>
      <c r="BS424" s="1329"/>
      <c r="BT424" s="1399"/>
      <c r="BU424" s="1331"/>
      <c r="BV424" s="1400"/>
      <c r="BW424" s="1378"/>
      <c r="BX424" s="1392" t="str">
        <f t="shared" si="813"/>
        <v>Qty</v>
      </c>
      <c r="BY424" s="1393" t="str">
        <f t="shared" si="858"/>
        <v>[Service]</v>
      </c>
      <c r="BZ424" s="1394" t="str">
        <f t="shared" si="859"/>
        <v>[Price]</v>
      </c>
      <c r="CA424" s="1401" t="str">
        <f>IFERROR((S424/R424-1)*(R425/R$13),"-")</f>
        <v>-</v>
      </c>
      <c r="CB424" s="1395" t="str">
        <f>IFERROR((T424/S424-1)*(S425/S$13),"-")</f>
        <v>-</v>
      </c>
      <c r="CC424" s="1395" t="str">
        <f>IFERROR((U424/T424-1)*(T425/T$13),"-")</f>
        <v>-</v>
      </c>
      <c r="CD424" s="1395" t="str">
        <f>IFERROR((V424/U424-1)*(U425/U$13),"-")</f>
        <v>-</v>
      </c>
      <c r="CE424" s="1395" t="str">
        <f t="shared" ref="CE424:CR424" si="895">IFERROR((T424/S424-1)*(S425/S$13),"-")</f>
        <v>-</v>
      </c>
      <c r="CF424" s="1395" t="str">
        <f t="shared" si="895"/>
        <v>-</v>
      </c>
      <c r="CG424" s="1395" t="str">
        <f t="shared" si="895"/>
        <v>-</v>
      </c>
      <c r="CH424" s="1397" t="str">
        <f t="shared" si="895"/>
        <v>-</v>
      </c>
      <c r="CI424" s="1395" t="str">
        <f t="shared" si="895"/>
        <v>-</v>
      </c>
      <c r="CJ424" s="1395" t="str">
        <f t="shared" si="895"/>
        <v>-</v>
      </c>
      <c r="CK424" s="1395" t="str">
        <f t="shared" si="895"/>
        <v>-</v>
      </c>
      <c r="CL424" s="1395" t="str">
        <f t="shared" si="895"/>
        <v>-</v>
      </c>
      <c r="CM424" s="1397" t="str">
        <f t="shared" si="895"/>
        <v>-</v>
      </c>
      <c r="CN424" s="1395" t="str">
        <f t="shared" si="895"/>
        <v>-</v>
      </c>
      <c r="CO424" s="1395" t="str">
        <f t="shared" si="895"/>
        <v>-</v>
      </c>
      <c r="CP424" s="1395" t="str">
        <f t="shared" si="895"/>
        <v>-</v>
      </c>
      <c r="CQ424" s="1395" t="str">
        <f t="shared" si="895"/>
        <v>-</v>
      </c>
      <c r="CR424" s="1398" t="str">
        <f t="shared" si="895"/>
        <v>-</v>
      </c>
      <c r="CS424" s="1378"/>
      <c r="CT424" s="1392" t="str">
        <f t="shared" si="793"/>
        <v>Qty</v>
      </c>
      <c r="CU424" s="1393" t="str">
        <f t="shared" si="794"/>
        <v>[Service]</v>
      </c>
      <c r="CV424" s="1393" t="str">
        <f t="shared" si="795"/>
        <v>[Price]</v>
      </c>
      <c r="CW424" s="1401" t="str">
        <f t="shared" si="815"/>
        <v>-</v>
      </c>
      <c r="CX424" s="1395" t="str">
        <f t="shared" si="816"/>
        <v>-</v>
      </c>
      <c r="CY424" s="1395" t="str">
        <f t="shared" si="817"/>
        <v>-</v>
      </c>
      <c r="CZ424" s="1397" t="str">
        <f t="shared" si="818"/>
        <v>-</v>
      </c>
      <c r="DA424" s="1395" t="str">
        <f t="shared" si="819"/>
        <v>-</v>
      </c>
      <c r="DB424" s="1395" t="str">
        <f t="shared" si="820"/>
        <v>-</v>
      </c>
      <c r="DC424" s="1395" t="str">
        <f t="shared" si="821"/>
        <v>-</v>
      </c>
      <c r="DD424" s="1395" t="str">
        <f t="shared" si="822"/>
        <v>-</v>
      </c>
      <c r="DE424" s="1398" t="str">
        <f t="shared" si="823"/>
        <v>-</v>
      </c>
      <c r="DF424" s="1378"/>
      <c r="DG424" s="1392" t="str">
        <f t="shared" si="835"/>
        <v>Qty</v>
      </c>
      <c r="DH424" s="1393" t="str">
        <f t="shared" si="835"/>
        <v>[Service]</v>
      </c>
      <c r="DI424" s="1393" t="str">
        <f t="shared" si="835"/>
        <v>[Price]</v>
      </c>
      <c r="DJ424" s="1401" t="str">
        <f t="shared" si="824"/>
        <v>-</v>
      </c>
      <c r="DK424" s="1395" t="str">
        <f t="shared" si="825"/>
        <v>-</v>
      </c>
      <c r="DL424" s="1395" t="str">
        <f t="shared" si="826"/>
        <v>-</v>
      </c>
      <c r="DM424" s="1397" t="str">
        <f t="shared" si="827"/>
        <v>-</v>
      </c>
      <c r="DN424" s="1395" t="str">
        <f t="shared" si="828"/>
        <v>-</v>
      </c>
      <c r="DO424" s="1395" t="str">
        <f t="shared" si="829"/>
        <v>-</v>
      </c>
      <c r="DP424" s="1395" t="str">
        <f t="shared" si="830"/>
        <v>-</v>
      </c>
      <c r="DQ424" s="1398" t="str">
        <f t="shared" si="831"/>
        <v>-</v>
      </c>
    </row>
    <row r="425" spans="4:121" ht="12.75" thickBot="1">
      <c r="E425" s="743" t="s">
        <v>46</v>
      </c>
      <c r="F425" s="732" t="str">
        <f>+F423</f>
        <v>[Service]</v>
      </c>
      <c r="G425" s="733">
        <f>+G423</f>
        <v>0</v>
      </c>
      <c r="H425" s="733">
        <f>+H423</f>
        <v>0</v>
      </c>
      <c r="I425" s="734" t="str">
        <f>+I423</f>
        <v>[Price]</v>
      </c>
      <c r="J425" s="735" t="s">
        <v>344</v>
      </c>
      <c r="K425" s="736">
        <f t="shared" ref="K425:AG425" si="896">K423*K424/10^6</f>
        <v>0</v>
      </c>
      <c r="L425" s="737">
        <f t="shared" si="896"/>
        <v>0</v>
      </c>
      <c r="M425" s="737">
        <f t="shared" si="896"/>
        <v>0</v>
      </c>
      <c r="N425" s="738">
        <f t="shared" si="896"/>
        <v>0</v>
      </c>
      <c r="O425" s="737">
        <f t="shared" si="896"/>
        <v>0</v>
      </c>
      <c r="P425" s="738">
        <f t="shared" si="896"/>
        <v>0</v>
      </c>
      <c r="Q425" s="737">
        <f t="shared" si="896"/>
        <v>0</v>
      </c>
      <c r="R425" s="737">
        <f t="shared" si="896"/>
        <v>0</v>
      </c>
      <c r="S425" s="737">
        <f t="shared" si="896"/>
        <v>0</v>
      </c>
      <c r="T425" s="737">
        <f t="shared" si="896"/>
        <v>0</v>
      </c>
      <c r="U425" s="737">
        <f t="shared" si="896"/>
        <v>0</v>
      </c>
      <c r="V425" s="737">
        <f t="shared" si="896"/>
        <v>0</v>
      </c>
      <c r="W425" s="737">
        <f t="shared" si="896"/>
        <v>0</v>
      </c>
      <c r="X425" s="738">
        <f t="shared" si="896"/>
        <v>0</v>
      </c>
      <c r="Y425" s="737">
        <f t="shared" si="896"/>
        <v>0</v>
      </c>
      <c r="Z425" s="737">
        <f t="shared" si="896"/>
        <v>0</v>
      </c>
      <c r="AA425" s="737">
        <f t="shared" si="896"/>
        <v>0</v>
      </c>
      <c r="AB425" s="737">
        <f t="shared" si="896"/>
        <v>0</v>
      </c>
      <c r="AC425" s="738">
        <f t="shared" si="896"/>
        <v>0</v>
      </c>
      <c r="AD425" s="737">
        <f t="shared" si="896"/>
        <v>0</v>
      </c>
      <c r="AE425" s="737">
        <f t="shared" si="896"/>
        <v>0</v>
      </c>
      <c r="AF425" s="737">
        <f t="shared" si="896"/>
        <v>0</v>
      </c>
      <c r="AG425" s="739">
        <f t="shared" si="896"/>
        <v>0</v>
      </c>
      <c r="AH425" s="823"/>
      <c r="AI425" s="745"/>
      <c r="AJ425" s="741"/>
      <c r="AK425" s="729"/>
      <c r="AL425" s="729"/>
      <c r="AM425" s="729"/>
      <c r="AN425" s="729"/>
      <c r="AO425" s="730"/>
      <c r="AP425" s="74"/>
      <c r="AQ425" s="74"/>
      <c r="AR425" s="74"/>
      <c r="AS425" s="106"/>
      <c r="AW425" s="1428" t="str">
        <f t="shared" si="833"/>
        <v>Rev</v>
      </c>
      <c r="AX425" s="1429" t="str">
        <f t="shared" si="833"/>
        <v>[Service]</v>
      </c>
      <c r="AY425" s="1430" t="str">
        <f t="shared" si="797"/>
        <v>[Price]</v>
      </c>
      <c r="AZ425" s="1431" t="str">
        <f t="shared" si="889"/>
        <v>-</v>
      </c>
      <c r="BA425" s="1431" t="str">
        <f t="shared" si="889"/>
        <v>-</v>
      </c>
      <c r="BB425" s="1431" t="str">
        <f t="shared" si="889"/>
        <v>-</v>
      </c>
      <c r="BC425" s="1431" t="str">
        <f t="shared" si="889"/>
        <v>-</v>
      </c>
      <c r="BD425" s="1431" t="str">
        <f t="shared" si="799"/>
        <v>-</v>
      </c>
      <c r="BE425" s="1431" t="str">
        <f t="shared" si="800"/>
        <v>-</v>
      </c>
      <c r="BF425" s="1431" t="str">
        <f t="shared" si="801"/>
        <v>-</v>
      </c>
      <c r="BG425" s="1432" t="str">
        <f t="shared" si="802"/>
        <v>-</v>
      </c>
      <c r="BH425" s="1431" t="str">
        <f t="shared" si="803"/>
        <v>-</v>
      </c>
      <c r="BI425" s="1431" t="str">
        <f t="shared" si="804"/>
        <v>-</v>
      </c>
      <c r="BJ425" s="1431" t="str">
        <f t="shared" si="805"/>
        <v>-</v>
      </c>
      <c r="BK425" s="1431" t="str">
        <f t="shared" si="806"/>
        <v>-</v>
      </c>
      <c r="BL425" s="1433" t="str">
        <f t="shared" si="807"/>
        <v>-</v>
      </c>
      <c r="BM425" s="1431" t="str">
        <f t="shared" si="808"/>
        <v>-</v>
      </c>
      <c r="BN425" s="1431" t="str">
        <f t="shared" si="809"/>
        <v>-</v>
      </c>
      <c r="BO425" s="1431" t="str">
        <f t="shared" si="810"/>
        <v>-</v>
      </c>
      <c r="BP425" s="1431" t="str">
        <f t="shared" si="811"/>
        <v>-</v>
      </c>
      <c r="BQ425" s="1434" t="str">
        <f t="shared" si="812"/>
        <v>-</v>
      </c>
      <c r="BR425" s="1378"/>
      <c r="BS425" s="1407"/>
      <c r="BT425" s="1408"/>
      <c r="BU425" s="1409"/>
      <c r="BV425" s="1410"/>
      <c r="BW425" s="1378"/>
      <c r="BX425" s="1428" t="str">
        <f t="shared" si="813"/>
        <v>Rev</v>
      </c>
      <c r="BY425" s="1429" t="str">
        <f t="shared" si="858"/>
        <v>[Service]</v>
      </c>
      <c r="BZ425" s="1430" t="str">
        <f t="shared" si="859"/>
        <v>[Price]</v>
      </c>
      <c r="CA425" s="1435" t="str">
        <f>IFERROR((S425/R425-1)*(R425/R$13),"-")</f>
        <v>-</v>
      </c>
      <c r="CB425" s="1431" t="str">
        <f>IFERROR((T425/S425-1)*(S425/S$13),"-")</f>
        <v>-</v>
      </c>
      <c r="CC425" s="1431" t="str">
        <f>IFERROR((U425/T425-1)*(T425/T$13),"-")</f>
        <v>-</v>
      </c>
      <c r="CD425" s="1431" t="str">
        <f>IFERROR((V425/U425-1)*(U425/U$13),"-")</f>
        <v>-</v>
      </c>
      <c r="CE425" s="1431" t="str">
        <f t="shared" ref="CE425:CR425" si="897">IFERROR((T425/S425-1)*(S425/S$13),"-")</f>
        <v>-</v>
      </c>
      <c r="CF425" s="1431" t="str">
        <f t="shared" si="897"/>
        <v>-</v>
      </c>
      <c r="CG425" s="1431" t="str">
        <f t="shared" si="897"/>
        <v>-</v>
      </c>
      <c r="CH425" s="1433" t="str">
        <f t="shared" si="897"/>
        <v>-</v>
      </c>
      <c r="CI425" s="1431" t="str">
        <f t="shared" si="897"/>
        <v>-</v>
      </c>
      <c r="CJ425" s="1431" t="str">
        <f t="shared" si="897"/>
        <v>-</v>
      </c>
      <c r="CK425" s="1431" t="str">
        <f t="shared" si="897"/>
        <v>-</v>
      </c>
      <c r="CL425" s="1431" t="str">
        <f t="shared" si="897"/>
        <v>-</v>
      </c>
      <c r="CM425" s="1433" t="str">
        <f t="shared" si="897"/>
        <v>-</v>
      </c>
      <c r="CN425" s="1431" t="str">
        <f t="shared" si="897"/>
        <v>-</v>
      </c>
      <c r="CO425" s="1431" t="str">
        <f t="shared" si="897"/>
        <v>-</v>
      </c>
      <c r="CP425" s="1431" t="str">
        <f t="shared" si="897"/>
        <v>-</v>
      </c>
      <c r="CQ425" s="1431" t="str">
        <f t="shared" si="897"/>
        <v>-</v>
      </c>
      <c r="CR425" s="1434" t="str">
        <f t="shared" si="897"/>
        <v>-</v>
      </c>
      <c r="CS425" s="1378"/>
      <c r="CT425" s="1428" t="str">
        <f t="shared" si="793"/>
        <v>Rev</v>
      </c>
      <c r="CU425" s="1429" t="str">
        <f t="shared" si="794"/>
        <v>[Service]</v>
      </c>
      <c r="CV425" s="1429" t="str">
        <f t="shared" si="795"/>
        <v>[Price]</v>
      </c>
      <c r="CW425" s="1435" t="str">
        <f t="shared" si="815"/>
        <v>-</v>
      </c>
      <c r="CX425" s="1431" t="str">
        <f t="shared" si="816"/>
        <v>-</v>
      </c>
      <c r="CY425" s="1431" t="str">
        <f t="shared" si="817"/>
        <v>-</v>
      </c>
      <c r="CZ425" s="1433" t="str">
        <f t="shared" si="818"/>
        <v>-</v>
      </c>
      <c r="DA425" s="1431" t="str">
        <f t="shared" si="819"/>
        <v>-</v>
      </c>
      <c r="DB425" s="1431" t="str">
        <f t="shared" si="820"/>
        <v>-</v>
      </c>
      <c r="DC425" s="1431" t="str">
        <f t="shared" si="821"/>
        <v>-</v>
      </c>
      <c r="DD425" s="1431" t="str">
        <f t="shared" si="822"/>
        <v>-</v>
      </c>
      <c r="DE425" s="1434" t="str">
        <f t="shared" si="823"/>
        <v>-</v>
      </c>
      <c r="DF425" s="1378"/>
      <c r="DG425" s="1428" t="str">
        <f t="shared" si="835"/>
        <v>Rev</v>
      </c>
      <c r="DH425" s="1429" t="str">
        <f t="shared" si="835"/>
        <v>[Service]</v>
      </c>
      <c r="DI425" s="1429" t="str">
        <f t="shared" si="835"/>
        <v>[Price]</v>
      </c>
      <c r="DJ425" s="1435" t="str">
        <f t="shared" si="824"/>
        <v>-</v>
      </c>
      <c r="DK425" s="1431" t="str">
        <f t="shared" si="825"/>
        <v>-</v>
      </c>
      <c r="DL425" s="1431" t="str">
        <f t="shared" si="826"/>
        <v>-</v>
      </c>
      <c r="DM425" s="1433" t="str">
        <f t="shared" si="827"/>
        <v>-</v>
      </c>
      <c r="DN425" s="1431" t="str">
        <f t="shared" si="828"/>
        <v>-</v>
      </c>
      <c r="DO425" s="1431" t="str">
        <f t="shared" si="829"/>
        <v>-</v>
      </c>
      <c r="DP425" s="1431" t="str">
        <f t="shared" si="830"/>
        <v>-</v>
      </c>
      <c r="DQ425" s="1434" t="str">
        <f t="shared" si="831"/>
        <v>-</v>
      </c>
    </row>
    <row r="426" spans="4:121">
      <c r="D426" s="70">
        <f>D423+1</f>
        <v>120</v>
      </c>
      <c r="E426" s="713" t="s">
        <v>44</v>
      </c>
      <c r="F426" s="789" t="s">
        <v>27</v>
      </c>
      <c r="G426" s="789"/>
      <c r="H426" s="789"/>
      <c r="I426" s="781" t="s">
        <v>318</v>
      </c>
      <c r="J426" s="781" t="s">
        <v>345</v>
      </c>
      <c r="K426" s="714"/>
      <c r="L426" s="715"/>
      <c r="M426" s="715"/>
      <c r="N426" s="716"/>
      <c r="O426" s="783"/>
      <c r="P426" s="784"/>
      <c r="Q426" s="783"/>
      <c r="R426" s="783"/>
      <c r="S426" s="783"/>
      <c r="T426" s="783"/>
      <c r="U426" s="783"/>
      <c r="V426" s="783"/>
      <c r="W426" s="783"/>
      <c r="X426" s="784"/>
      <c r="Y426" s="783"/>
      <c r="Z426" s="783"/>
      <c r="AA426" s="783"/>
      <c r="AB426" s="783"/>
      <c r="AC426" s="784"/>
      <c r="AD426" s="783"/>
      <c r="AE426" s="783"/>
      <c r="AF426" s="783"/>
      <c r="AG426" s="785"/>
      <c r="AI426" s="745"/>
      <c r="AJ426" s="717" t="str">
        <f t="shared" ref="AJ426:AS426" si="898">IFERROR((X426-W426)/W426,"")</f>
        <v/>
      </c>
      <c r="AK426" s="718" t="str">
        <f t="shared" si="898"/>
        <v/>
      </c>
      <c r="AL426" s="718" t="str">
        <f t="shared" si="898"/>
        <v/>
      </c>
      <c r="AM426" s="718" t="str">
        <f t="shared" si="898"/>
        <v/>
      </c>
      <c r="AN426" s="718" t="str">
        <f t="shared" si="898"/>
        <v/>
      </c>
      <c r="AO426" s="719" t="str">
        <f t="shared" si="898"/>
        <v/>
      </c>
      <c r="AP426" s="494" t="str">
        <f t="shared" si="898"/>
        <v/>
      </c>
      <c r="AQ426" s="494" t="str">
        <f t="shared" si="898"/>
        <v/>
      </c>
      <c r="AR426" s="494" t="str">
        <f t="shared" si="898"/>
        <v/>
      </c>
      <c r="AS426" s="720" t="str">
        <f t="shared" si="898"/>
        <v/>
      </c>
      <c r="AU426" s="1369"/>
      <c r="AW426" s="1412" t="str">
        <f t="shared" si="833"/>
        <v>Price</v>
      </c>
      <c r="AX426" s="1413" t="str">
        <f t="shared" si="833"/>
        <v>[Service]</v>
      </c>
      <c r="AY426" s="1414" t="str">
        <f t="shared" si="797"/>
        <v>[Price]</v>
      </c>
      <c r="AZ426" s="1415" t="str">
        <f t="shared" si="889"/>
        <v>-</v>
      </c>
      <c r="BA426" s="1415" t="str">
        <f t="shared" si="889"/>
        <v>-</v>
      </c>
      <c r="BB426" s="1415" t="str">
        <f t="shared" si="889"/>
        <v>-</v>
      </c>
      <c r="BC426" s="1415" t="str">
        <f t="shared" si="889"/>
        <v>-</v>
      </c>
      <c r="BD426" s="1415" t="str">
        <f t="shared" si="799"/>
        <v>-</v>
      </c>
      <c r="BE426" s="1415" t="str">
        <f t="shared" si="800"/>
        <v>-</v>
      </c>
      <c r="BF426" s="1415" t="str">
        <f t="shared" si="801"/>
        <v>-</v>
      </c>
      <c r="BG426" s="1416" t="str">
        <f t="shared" si="802"/>
        <v>-</v>
      </c>
      <c r="BH426" s="1417" t="str">
        <f t="shared" si="803"/>
        <v>-</v>
      </c>
      <c r="BI426" s="1417" t="str">
        <f t="shared" si="804"/>
        <v>-</v>
      </c>
      <c r="BJ426" s="1417" t="str">
        <f t="shared" si="805"/>
        <v>-</v>
      </c>
      <c r="BK426" s="1417" t="str">
        <f t="shared" si="806"/>
        <v>-</v>
      </c>
      <c r="BL426" s="1418" t="str">
        <f t="shared" si="807"/>
        <v>-</v>
      </c>
      <c r="BM426" s="1417" t="str">
        <f t="shared" si="808"/>
        <v>-</v>
      </c>
      <c r="BN426" s="1417" t="str">
        <f t="shared" si="809"/>
        <v>-</v>
      </c>
      <c r="BO426" s="1417" t="str">
        <f t="shared" si="810"/>
        <v>-</v>
      </c>
      <c r="BP426" s="1417" t="str">
        <f t="shared" si="811"/>
        <v>-</v>
      </c>
      <c r="BQ426" s="1419" t="str">
        <f t="shared" si="812"/>
        <v>-</v>
      </c>
      <c r="BR426" s="1378"/>
      <c r="BS426" s="1420"/>
      <c r="BT426" s="1421"/>
      <c r="BU426" s="1422"/>
      <c r="BV426" s="1423"/>
      <c r="BW426" s="1378"/>
      <c r="BX426" s="1412" t="str">
        <f t="shared" si="813"/>
        <v>Price</v>
      </c>
      <c r="BY426" s="1413" t="str">
        <f t="shared" si="858"/>
        <v>[Service]</v>
      </c>
      <c r="BZ426" s="1414" t="str">
        <f t="shared" si="859"/>
        <v>[Price]</v>
      </c>
      <c r="CA426" s="1424" t="str">
        <f>IFERROR((S426/R426-1)*(R428/R$13),"-")</f>
        <v>-</v>
      </c>
      <c r="CB426" s="1415" t="str">
        <f>IFERROR((T426/S426-1)*(S428/S$13),"-")</f>
        <v>-</v>
      </c>
      <c r="CC426" s="1415" t="str">
        <f>IFERROR((U426/T426-1)*(T428/T$13),"-")</f>
        <v>-</v>
      </c>
      <c r="CD426" s="1415" t="str">
        <f>IFERROR((V426/U426-1)*(U428/U$13),"-")</f>
        <v>-</v>
      </c>
      <c r="CE426" s="1415" t="str">
        <f t="shared" ref="CE426:CR426" si="899">IFERROR((T426/S426-1)*(S428/S$13),"-")</f>
        <v>-</v>
      </c>
      <c r="CF426" s="1415" t="str">
        <f t="shared" si="899"/>
        <v>-</v>
      </c>
      <c r="CG426" s="1415" t="str">
        <f t="shared" si="899"/>
        <v>-</v>
      </c>
      <c r="CH426" s="1425" t="str">
        <f t="shared" si="899"/>
        <v>-</v>
      </c>
      <c r="CI426" s="1417" t="str">
        <f t="shared" si="899"/>
        <v>-</v>
      </c>
      <c r="CJ426" s="1417" t="str">
        <f t="shared" si="899"/>
        <v>-</v>
      </c>
      <c r="CK426" s="1417" t="str">
        <f t="shared" si="899"/>
        <v>-</v>
      </c>
      <c r="CL426" s="1417" t="str">
        <f t="shared" si="899"/>
        <v>-</v>
      </c>
      <c r="CM426" s="1418" t="str">
        <f t="shared" si="899"/>
        <v>-</v>
      </c>
      <c r="CN426" s="1417" t="str">
        <f t="shared" si="899"/>
        <v>-</v>
      </c>
      <c r="CO426" s="1417" t="str">
        <f t="shared" si="899"/>
        <v>-</v>
      </c>
      <c r="CP426" s="1417" t="str">
        <f t="shared" si="899"/>
        <v>-</v>
      </c>
      <c r="CQ426" s="1417" t="str">
        <f t="shared" si="899"/>
        <v>-</v>
      </c>
      <c r="CR426" s="1419" t="str">
        <f t="shared" si="899"/>
        <v>-</v>
      </c>
      <c r="CS426" s="1378"/>
      <c r="CT426" s="1412" t="str">
        <f t="shared" si="793"/>
        <v>Price</v>
      </c>
      <c r="CU426" s="1413" t="str">
        <f t="shared" si="794"/>
        <v>[Service]</v>
      </c>
      <c r="CV426" s="1426" t="str">
        <f t="shared" si="795"/>
        <v>[Price]</v>
      </c>
      <c r="CW426" s="1427" t="str">
        <f t="shared" si="815"/>
        <v>-</v>
      </c>
      <c r="CX426" s="1417" t="str">
        <f t="shared" si="816"/>
        <v>-</v>
      </c>
      <c r="CY426" s="1417" t="str">
        <f t="shared" si="817"/>
        <v>-</v>
      </c>
      <c r="CZ426" s="1418" t="str">
        <f t="shared" si="818"/>
        <v>-</v>
      </c>
      <c r="DA426" s="1417" t="str">
        <f t="shared" si="819"/>
        <v>-</v>
      </c>
      <c r="DB426" s="1417" t="str">
        <f t="shared" si="820"/>
        <v>-</v>
      </c>
      <c r="DC426" s="1417" t="str">
        <f t="shared" si="821"/>
        <v>-</v>
      </c>
      <c r="DD426" s="1417" t="str">
        <f t="shared" si="822"/>
        <v>-</v>
      </c>
      <c r="DE426" s="1419" t="str">
        <f t="shared" si="823"/>
        <v>-</v>
      </c>
      <c r="DF426" s="1378"/>
      <c r="DG426" s="1412" t="str">
        <f t="shared" si="835"/>
        <v>Price</v>
      </c>
      <c r="DH426" s="1413" t="str">
        <f t="shared" si="835"/>
        <v>[Service]</v>
      </c>
      <c r="DI426" s="1426" t="str">
        <f t="shared" si="835"/>
        <v>[Price]</v>
      </c>
      <c r="DJ426" s="1427" t="str">
        <f t="shared" si="824"/>
        <v>-</v>
      </c>
      <c r="DK426" s="1417" t="str">
        <f t="shared" si="825"/>
        <v>-</v>
      </c>
      <c r="DL426" s="1417" t="str">
        <f t="shared" si="826"/>
        <v>-</v>
      </c>
      <c r="DM426" s="1418" t="str">
        <f t="shared" si="827"/>
        <v>-</v>
      </c>
      <c r="DN426" s="1417" t="str">
        <f t="shared" si="828"/>
        <v>-</v>
      </c>
      <c r="DO426" s="1417" t="str">
        <f t="shared" si="829"/>
        <v>-</v>
      </c>
      <c r="DP426" s="1417" t="str">
        <f t="shared" si="830"/>
        <v>-</v>
      </c>
      <c r="DQ426" s="1419" t="str">
        <f t="shared" si="831"/>
        <v>-</v>
      </c>
    </row>
    <row r="427" spans="4:121">
      <c r="E427" s="742" t="s">
        <v>45</v>
      </c>
      <c r="F427" s="722" t="str">
        <f>+F426</f>
        <v>[Service]</v>
      </c>
      <c r="G427" s="723">
        <f>+G426</f>
        <v>0</v>
      </c>
      <c r="H427" s="723">
        <f>+H426</f>
        <v>0</v>
      </c>
      <c r="I427" s="724" t="str">
        <f>+I426</f>
        <v>[Price]</v>
      </c>
      <c r="J427" s="782" t="s">
        <v>322</v>
      </c>
      <c r="K427" s="725"/>
      <c r="L427" s="726"/>
      <c r="M427" s="726"/>
      <c r="N427" s="727"/>
      <c r="O427" s="786"/>
      <c r="P427" s="787"/>
      <c r="Q427" s="786"/>
      <c r="R427" s="786"/>
      <c r="S427" s="786"/>
      <c r="T427" s="786"/>
      <c r="U427" s="786"/>
      <c r="V427" s="786"/>
      <c r="W427" s="786"/>
      <c r="X427" s="787"/>
      <c r="Y427" s="786"/>
      <c r="Z427" s="786"/>
      <c r="AA427" s="786"/>
      <c r="AB427" s="786"/>
      <c r="AC427" s="787"/>
      <c r="AD427" s="786"/>
      <c r="AE427" s="786"/>
      <c r="AF427" s="786"/>
      <c r="AG427" s="788"/>
      <c r="AH427" s="823"/>
      <c r="AI427" s="745"/>
      <c r="AJ427" s="728"/>
      <c r="AK427" s="729"/>
      <c r="AL427" s="729"/>
      <c r="AM427" s="729"/>
      <c r="AN427" s="729"/>
      <c r="AO427" s="730"/>
      <c r="AP427" s="74"/>
      <c r="AQ427" s="74"/>
      <c r="AR427" s="74"/>
      <c r="AS427" s="106"/>
      <c r="AW427" s="1392" t="str">
        <f t="shared" si="833"/>
        <v>Qty</v>
      </c>
      <c r="AX427" s="1393" t="str">
        <f t="shared" si="833"/>
        <v>[Service]</v>
      </c>
      <c r="AY427" s="1394" t="str">
        <f t="shared" si="797"/>
        <v>[Price]</v>
      </c>
      <c r="AZ427" s="1395" t="str">
        <f t="shared" si="889"/>
        <v>-</v>
      </c>
      <c r="BA427" s="1395" t="str">
        <f t="shared" si="889"/>
        <v>-</v>
      </c>
      <c r="BB427" s="1395" t="str">
        <f t="shared" si="889"/>
        <v>-</v>
      </c>
      <c r="BC427" s="1395" t="str">
        <f t="shared" si="889"/>
        <v>-</v>
      </c>
      <c r="BD427" s="1395" t="str">
        <f t="shared" si="799"/>
        <v>-</v>
      </c>
      <c r="BE427" s="1395" t="str">
        <f t="shared" si="800"/>
        <v>-</v>
      </c>
      <c r="BF427" s="1395" t="str">
        <f t="shared" si="801"/>
        <v>-</v>
      </c>
      <c r="BG427" s="1396" t="str">
        <f t="shared" si="802"/>
        <v>-</v>
      </c>
      <c r="BH427" s="1395" t="str">
        <f t="shared" si="803"/>
        <v>-</v>
      </c>
      <c r="BI427" s="1395" t="str">
        <f t="shared" si="804"/>
        <v>-</v>
      </c>
      <c r="BJ427" s="1395" t="str">
        <f t="shared" si="805"/>
        <v>-</v>
      </c>
      <c r="BK427" s="1395" t="str">
        <f t="shared" si="806"/>
        <v>-</v>
      </c>
      <c r="BL427" s="1397" t="str">
        <f t="shared" si="807"/>
        <v>-</v>
      </c>
      <c r="BM427" s="1395" t="str">
        <f t="shared" si="808"/>
        <v>-</v>
      </c>
      <c r="BN427" s="1395" t="str">
        <f t="shared" si="809"/>
        <v>-</v>
      </c>
      <c r="BO427" s="1395" t="str">
        <f t="shared" si="810"/>
        <v>-</v>
      </c>
      <c r="BP427" s="1395" t="str">
        <f t="shared" si="811"/>
        <v>-</v>
      </c>
      <c r="BQ427" s="1398" t="str">
        <f t="shared" si="812"/>
        <v>-</v>
      </c>
      <c r="BR427" s="1378"/>
      <c r="BS427" s="1329"/>
      <c r="BT427" s="1399"/>
      <c r="BU427" s="1331"/>
      <c r="BV427" s="1400"/>
      <c r="BW427" s="1378"/>
      <c r="BX427" s="1392" t="str">
        <f t="shared" si="813"/>
        <v>Qty</v>
      </c>
      <c r="BY427" s="1393" t="str">
        <f t="shared" si="858"/>
        <v>[Service]</v>
      </c>
      <c r="BZ427" s="1394" t="str">
        <f t="shared" si="859"/>
        <v>[Price]</v>
      </c>
      <c r="CA427" s="1401" t="str">
        <f>IFERROR((S427/R427-1)*(R428/R$13),"-")</f>
        <v>-</v>
      </c>
      <c r="CB427" s="1395" t="str">
        <f>IFERROR((T427/S427-1)*(S428/S$13),"-")</f>
        <v>-</v>
      </c>
      <c r="CC427" s="1395" t="str">
        <f>IFERROR((U427/T427-1)*(T428/T$13),"-")</f>
        <v>-</v>
      </c>
      <c r="CD427" s="1395" t="str">
        <f>IFERROR((V427/U427-1)*(U428/U$13),"-")</f>
        <v>-</v>
      </c>
      <c r="CE427" s="1395" t="str">
        <f t="shared" ref="CE427:CR427" si="900">IFERROR((T427/S427-1)*(S428/S$13),"-")</f>
        <v>-</v>
      </c>
      <c r="CF427" s="1395" t="str">
        <f t="shared" si="900"/>
        <v>-</v>
      </c>
      <c r="CG427" s="1395" t="str">
        <f t="shared" si="900"/>
        <v>-</v>
      </c>
      <c r="CH427" s="1397" t="str">
        <f t="shared" si="900"/>
        <v>-</v>
      </c>
      <c r="CI427" s="1395" t="str">
        <f t="shared" si="900"/>
        <v>-</v>
      </c>
      <c r="CJ427" s="1395" t="str">
        <f t="shared" si="900"/>
        <v>-</v>
      </c>
      <c r="CK427" s="1395" t="str">
        <f t="shared" si="900"/>
        <v>-</v>
      </c>
      <c r="CL427" s="1395" t="str">
        <f t="shared" si="900"/>
        <v>-</v>
      </c>
      <c r="CM427" s="1397" t="str">
        <f t="shared" si="900"/>
        <v>-</v>
      </c>
      <c r="CN427" s="1395" t="str">
        <f t="shared" si="900"/>
        <v>-</v>
      </c>
      <c r="CO427" s="1395" t="str">
        <f t="shared" si="900"/>
        <v>-</v>
      </c>
      <c r="CP427" s="1395" t="str">
        <f t="shared" si="900"/>
        <v>-</v>
      </c>
      <c r="CQ427" s="1395" t="str">
        <f t="shared" si="900"/>
        <v>-</v>
      </c>
      <c r="CR427" s="1398" t="str">
        <f t="shared" si="900"/>
        <v>-</v>
      </c>
      <c r="CS427" s="1378"/>
      <c r="CT427" s="1392" t="str">
        <f t="shared" si="793"/>
        <v>Qty</v>
      </c>
      <c r="CU427" s="1393" t="str">
        <f t="shared" si="794"/>
        <v>[Service]</v>
      </c>
      <c r="CV427" s="1393" t="str">
        <f t="shared" si="795"/>
        <v>[Price]</v>
      </c>
      <c r="CW427" s="1401" t="str">
        <f t="shared" si="815"/>
        <v>-</v>
      </c>
      <c r="CX427" s="1395" t="str">
        <f t="shared" si="816"/>
        <v>-</v>
      </c>
      <c r="CY427" s="1395" t="str">
        <f t="shared" si="817"/>
        <v>-</v>
      </c>
      <c r="CZ427" s="1397" t="str">
        <f t="shared" si="818"/>
        <v>-</v>
      </c>
      <c r="DA427" s="1395" t="str">
        <f t="shared" si="819"/>
        <v>-</v>
      </c>
      <c r="DB427" s="1395" t="str">
        <f t="shared" si="820"/>
        <v>-</v>
      </c>
      <c r="DC427" s="1395" t="str">
        <f t="shared" si="821"/>
        <v>-</v>
      </c>
      <c r="DD427" s="1395" t="str">
        <f t="shared" si="822"/>
        <v>-</v>
      </c>
      <c r="DE427" s="1398" t="str">
        <f t="shared" si="823"/>
        <v>-</v>
      </c>
      <c r="DF427" s="1378"/>
      <c r="DG427" s="1392" t="str">
        <f t="shared" si="835"/>
        <v>Qty</v>
      </c>
      <c r="DH427" s="1393" t="str">
        <f t="shared" si="835"/>
        <v>[Service]</v>
      </c>
      <c r="DI427" s="1393" t="str">
        <f t="shared" si="835"/>
        <v>[Price]</v>
      </c>
      <c r="DJ427" s="1401" t="str">
        <f t="shared" si="824"/>
        <v>-</v>
      </c>
      <c r="DK427" s="1395" t="str">
        <f t="shared" si="825"/>
        <v>-</v>
      </c>
      <c r="DL427" s="1395" t="str">
        <f t="shared" si="826"/>
        <v>-</v>
      </c>
      <c r="DM427" s="1397" t="str">
        <f t="shared" si="827"/>
        <v>-</v>
      </c>
      <c r="DN427" s="1395" t="str">
        <f t="shared" si="828"/>
        <v>-</v>
      </c>
      <c r="DO427" s="1395" t="str">
        <f t="shared" si="829"/>
        <v>-</v>
      </c>
      <c r="DP427" s="1395" t="str">
        <f t="shared" si="830"/>
        <v>-</v>
      </c>
      <c r="DQ427" s="1398" t="str">
        <f t="shared" si="831"/>
        <v>-</v>
      </c>
    </row>
    <row r="428" spans="4:121" ht="12.75" thickBot="1">
      <c r="E428" s="743" t="s">
        <v>46</v>
      </c>
      <c r="F428" s="732" t="str">
        <f>+F426</f>
        <v>[Service]</v>
      </c>
      <c r="G428" s="733">
        <f>+G426</f>
        <v>0</v>
      </c>
      <c r="H428" s="733">
        <f>+H426</f>
        <v>0</v>
      </c>
      <c r="I428" s="734" t="str">
        <f>+I426</f>
        <v>[Price]</v>
      </c>
      <c r="J428" s="735" t="s">
        <v>344</v>
      </c>
      <c r="K428" s="736">
        <f t="shared" ref="K428:AG428" si="901">K426*K427/10^6</f>
        <v>0</v>
      </c>
      <c r="L428" s="737">
        <f t="shared" si="901"/>
        <v>0</v>
      </c>
      <c r="M428" s="737">
        <f t="shared" si="901"/>
        <v>0</v>
      </c>
      <c r="N428" s="738">
        <f t="shared" si="901"/>
        <v>0</v>
      </c>
      <c r="O428" s="737">
        <f t="shared" si="901"/>
        <v>0</v>
      </c>
      <c r="P428" s="738">
        <f t="shared" si="901"/>
        <v>0</v>
      </c>
      <c r="Q428" s="737">
        <f t="shared" si="901"/>
        <v>0</v>
      </c>
      <c r="R428" s="737">
        <f t="shared" si="901"/>
        <v>0</v>
      </c>
      <c r="S428" s="737">
        <f t="shared" si="901"/>
        <v>0</v>
      </c>
      <c r="T428" s="737">
        <f t="shared" si="901"/>
        <v>0</v>
      </c>
      <c r="U428" s="737">
        <f t="shared" si="901"/>
        <v>0</v>
      </c>
      <c r="V428" s="737">
        <f t="shared" si="901"/>
        <v>0</v>
      </c>
      <c r="W428" s="737">
        <f t="shared" si="901"/>
        <v>0</v>
      </c>
      <c r="X428" s="738">
        <f t="shared" si="901"/>
        <v>0</v>
      </c>
      <c r="Y428" s="737">
        <f t="shared" si="901"/>
        <v>0</v>
      </c>
      <c r="Z428" s="737">
        <f t="shared" si="901"/>
        <v>0</v>
      </c>
      <c r="AA428" s="737">
        <f t="shared" si="901"/>
        <v>0</v>
      </c>
      <c r="AB428" s="737">
        <f t="shared" si="901"/>
        <v>0</v>
      </c>
      <c r="AC428" s="738">
        <f t="shared" si="901"/>
        <v>0</v>
      </c>
      <c r="AD428" s="737">
        <f t="shared" si="901"/>
        <v>0</v>
      </c>
      <c r="AE428" s="737">
        <f t="shared" si="901"/>
        <v>0</v>
      </c>
      <c r="AF428" s="737">
        <f t="shared" si="901"/>
        <v>0</v>
      </c>
      <c r="AG428" s="739">
        <f t="shared" si="901"/>
        <v>0</v>
      </c>
      <c r="AH428" s="823"/>
      <c r="AI428" s="745"/>
      <c r="AJ428" s="741"/>
      <c r="AK428" s="729"/>
      <c r="AL428" s="729"/>
      <c r="AM428" s="729"/>
      <c r="AN428" s="729"/>
      <c r="AO428" s="730"/>
      <c r="AP428" s="74"/>
      <c r="AQ428" s="74"/>
      <c r="AR428" s="74"/>
      <c r="AS428" s="106"/>
      <c r="AW428" s="1428" t="str">
        <f t="shared" si="833"/>
        <v>Rev</v>
      </c>
      <c r="AX428" s="1429" t="str">
        <f t="shared" si="833"/>
        <v>[Service]</v>
      </c>
      <c r="AY428" s="1430" t="str">
        <f t="shared" si="797"/>
        <v>[Price]</v>
      </c>
      <c r="AZ428" s="1431" t="str">
        <f t="shared" si="889"/>
        <v>-</v>
      </c>
      <c r="BA428" s="1431" t="str">
        <f t="shared" si="889"/>
        <v>-</v>
      </c>
      <c r="BB428" s="1431" t="str">
        <f t="shared" si="889"/>
        <v>-</v>
      </c>
      <c r="BC428" s="1431" t="str">
        <f t="shared" si="889"/>
        <v>-</v>
      </c>
      <c r="BD428" s="1431" t="str">
        <f t="shared" si="799"/>
        <v>-</v>
      </c>
      <c r="BE428" s="1431" t="str">
        <f t="shared" si="800"/>
        <v>-</v>
      </c>
      <c r="BF428" s="1431" t="str">
        <f t="shared" si="801"/>
        <v>-</v>
      </c>
      <c r="BG428" s="1432" t="str">
        <f t="shared" si="802"/>
        <v>-</v>
      </c>
      <c r="BH428" s="1431" t="str">
        <f t="shared" si="803"/>
        <v>-</v>
      </c>
      <c r="BI428" s="1431" t="str">
        <f t="shared" si="804"/>
        <v>-</v>
      </c>
      <c r="BJ428" s="1431" t="str">
        <f t="shared" si="805"/>
        <v>-</v>
      </c>
      <c r="BK428" s="1431" t="str">
        <f t="shared" si="806"/>
        <v>-</v>
      </c>
      <c r="BL428" s="1433" t="str">
        <f t="shared" si="807"/>
        <v>-</v>
      </c>
      <c r="BM428" s="1431" t="str">
        <f t="shared" si="808"/>
        <v>-</v>
      </c>
      <c r="BN428" s="1431" t="str">
        <f t="shared" si="809"/>
        <v>-</v>
      </c>
      <c r="BO428" s="1431" t="str">
        <f t="shared" si="810"/>
        <v>-</v>
      </c>
      <c r="BP428" s="1431" t="str">
        <f t="shared" si="811"/>
        <v>-</v>
      </c>
      <c r="BQ428" s="1434" t="str">
        <f t="shared" si="812"/>
        <v>-</v>
      </c>
      <c r="BR428" s="1378"/>
      <c r="BS428" s="1407"/>
      <c r="BT428" s="1408"/>
      <c r="BU428" s="1409"/>
      <c r="BV428" s="1410"/>
      <c r="BW428" s="1378"/>
      <c r="BX428" s="1428" t="str">
        <f t="shared" si="813"/>
        <v>Rev</v>
      </c>
      <c r="BY428" s="1429" t="str">
        <f t="shared" si="858"/>
        <v>[Service]</v>
      </c>
      <c r="BZ428" s="1430" t="str">
        <f t="shared" si="859"/>
        <v>[Price]</v>
      </c>
      <c r="CA428" s="1435" t="str">
        <f>IFERROR((S428/R428-1)*(R428/R$13),"-")</f>
        <v>-</v>
      </c>
      <c r="CB428" s="1431" t="str">
        <f>IFERROR((T428/S428-1)*(S428/S$13),"-")</f>
        <v>-</v>
      </c>
      <c r="CC428" s="1431" t="str">
        <f>IFERROR((U428/T428-1)*(T428/T$13),"-")</f>
        <v>-</v>
      </c>
      <c r="CD428" s="1431" t="str">
        <f>IFERROR((V428/U428-1)*(U428/U$13),"-")</f>
        <v>-</v>
      </c>
      <c r="CE428" s="1431" t="str">
        <f t="shared" ref="CE428:CR428" si="902">IFERROR((T428/S428-1)*(S428/S$13),"-")</f>
        <v>-</v>
      </c>
      <c r="CF428" s="1431" t="str">
        <f t="shared" si="902"/>
        <v>-</v>
      </c>
      <c r="CG428" s="1431" t="str">
        <f t="shared" si="902"/>
        <v>-</v>
      </c>
      <c r="CH428" s="1433" t="str">
        <f t="shared" si="902"/>
        <v>-</v>
      </c>
      <c r="CI428" s="1431" t="str">
        <f t="shared" si="902"/>
        <v>-</v>
      </c>
      <c r="CJ428" s="1431" t="str">
        <f t="shared" si="902"/>
        <v>-</v>
      </c>
      <c r="CK428" s="1431" t="str">
        <f t="shared" si="902"/>
        <v>-</v>
      </c>
      <c r="CL428" s="1431" t="str">
        <f t="shared" si="902"/>
        <v>-</v>
      </c>
      <c r="CM428" s="1433" t="str">
        <f t="shared" si="902"/>
        <v>-</v>
      </c>
      <c r="CN428" s="1431" t="str">
        <f t="shared" si="902"/>
        <v>-</v>
      </c>
      <c r="CO428" s="1431" t="str">
        <f t="shared" si="902"/>
        <v>-</v>
      </c>
      <c r="CP428" s="1431" t="str">
        <f t="shared" si="902"/>
        <v>-</v>
      </c>
      <c r="CQ428" s="1431" t="str">
        <f t="shared" si="902"/>
        <v>-</v>
      </c>
      <c r="CR428" s="1434" t="str">
        <f t="shared" si="902"/>
        <v>-</v>
      </c>
      <c r="CS428" s="1378"/>
      <c r="CT428" s="1428" t="str">
        <f t="shared" si="793"/>
        <v>Rev</v>
      </c>
      <c r="CU428" s="1429" t="str">
        <f t="shared" si="794"/>
        <v>[Service]</v>
      </c>
      <c r="CV428" s="1429" t="str">
        <f t="shared" si="795"/>
        <v>[Price]</v>
      </c>
      <c r="CW428" s="1435" t="str">
        <f t="shared" si="815"/>
        <v>-</v>
      </c>
      <c r="CX428" s="1431" t="str">
        <f t="shared" si="816"/>
        <v>-</v>
      </c>
      <c r="CY428" s="1431" t="str">
        <f t="shared" si="817"/>
        <v>-</v>
      </c>
      <c r="CZ428" s="1433" t="str">
        <f t="shared" si="818"/>
        <v>-</v>
      </c>
      <c r="DA428" s="1431" t="str">
        <f t="shared" si="819"/>
        <v>-</v>
      </c>
      <c r="DB428" s="1431" t="str">
        <f t="shared" si="820"/>
        <v>-</v>
      </c>
      <c r="DC428" s="1431" t="str">
        <f t="shared" si="821"/>
        <v>-</v>
      </c>
      <c r="DD428" s="1431" t="str">
        <f t="shared" si="822"/>
        <v>-</v>
      </c>
      <c r="DE428" s="1434" t="str">
        <f t="shared" si="823"/>
        <v>-</v>
      </c>
      <c r="DF428" s="1378"/>
      <c r="DG428" s="1428" t="str">
        <f t="shared" si="835"/>
        <v>Rev</v>
      </c>
      <c r="DH428" s="1429" t="str">
        <f t="shared" si="835"/>
        <v>[Service]</v>
      </c>
      <c r="DI428" s="1429" t="str">
        <f t="shared" si="835"/>
        <v>[Price]</v>
      </c>
      <c r="DJ428" s="1435" t="str">
        <f t="shared" si="824"/>
        <v>-</v>
      </c>
      <c r="DK428" s="1431" t="str">
        <f t="shared" si="825"/>
        <v>-</v>
      </c>
      <c r="DL428" s="1431" t="str">
        <f t="shared" si="826"/>
        <v>-</v>
      </c>
      <c r="DM428" s="1433" t="str">
        <f t="shared" si="827"/>
        <v>-</v>
      </c>
      <c r="DN428" s="1431" t="str">
        <f t="shared" si="828"/>
        <v>-</v>
      </c>
      <c r="DO428" s="1431" t="str">
        <f t="shared" si="829"/>
        <v>-</v>
      </c>
      <c r="DP428" s="1431" t="str">
        <f t="shared" si="830"/>
        <v>-</v>
      </c>
      <c r="DQ428" s="1434" t="str">
        <f t="shared" si="831"/>
        <v>-</v>
      </c>
    </row>
    <row r="429" spans="4:121">
      <c r="D429" s="70">
        <f>D426+1</f>
        <v>121</v>
      </c>
      <c r="E429" s="713" t="s">
        <v>44</v>
      </c>
      <c r="F429" s="789" t="s">
        <v>27</v>
      </c>
      <c r="G429" s="789"/>
      <c r="H429" s="789"/>
      <c r="I429" s="781" t="s">
        <v>318</v>
      </c>
      <c r="J429" s="781" t="s">
        <v>345</v>
      </c>
      <c r="K429" s="714"/>
      <c r="L429" s="715"/>
      <c r="M429" s="715"/>
      <c r="N429" s="716"/>
      <c r="O429" s="783"/>
      <c r="P429" s="784"/>
      <c r="Q429" s="783"/>
      <c r="R429" s="783"/>
      <c r="S429" s="783"/>
      <c r="T429" s="783"/>
      <c r="U429" s="783"/>
      <c r="V429" s="783"/>
      <c r="W429" s="783"/>
      <c r="X429" s="784"/>
      <c r="Y429" s="783"/>
      <c r="Z429" s="783"/>
      <c r="AA429" s="783"/>
      <c r="AB429" s="783"/>
      <c r="AC429" s="784"/>
      <c r="AD429" s="783"/>
      <c r="AE429" s="783"/>
      <c r="AF429" s="783"/>
      <c r="AG429" s="785"/>
      <c r="AI429" s="745"/>
      <c r="AJ429" s="717" t="str">
        <f t="shared" ref="AJ429:AS429" si="903">IFERROR((X429-W429)/W429,"")</f>
        <v/>
      </c>
      <c r="AK429" s="718" t="str">
        <f t="shared" si="903"/>
        <v/>
      </c>
      <c r="AL429" s="718" t="str">
        <f t="shared" si="903"/>
        <v/>
      </c>
      <c r="AM429" s="718" t="str">
        <f t="shared" si="903"/>
        <v/>
      </c>
      <c r="AN429" s="718" t="str">
        <f t="shared" si="903"/>
        <v/>
      </c>
      <c r="AO429" s="719" t="str">
        <f t="shared" si="903"/>
        <v/>
      </c>
      <c r="AP429" s="494" t="str">
        <f t="shared" si="903"/>
        <v/>
      </c>
      <c r="AQ429" s="494" t="str">
        <f t="shared" si="903"/>
        <v/>
      </c>
      <c r="AR429" s="494" t="str">
        <f t="shared" si="903"/>
        <v/>
      </c>
      <c r="AS429" s="720" t="str">
        <f t="shared" si="903"/>
        <v/>
      </c>
      <c r="AU429" s="1369"/>
      <c r="AW429" s="1412" t="str">
        <f t="shared" si="833"/>
        <v>Price</v>
      </c>
      <c r="AX429" s="1413" t="str">
        <f t="shared" si="833"/>
        <v>[Service]</v>
      </c>
      <c r="AY429" s="1414" t="str">
        <f t="shared" si="797"/>
        <v>[Price]</v>
      </c>
      <c r="AZ429" s="1415" t="str">
        <f t="shared" si="889"/>
        <v>-</v>
      </c>
      <c r="BA429" s="1415" t="str">
        <f t="shared" si="889"/>
        <v>-</v>
      </c>
      <c r="BB429" s="1415" t="str">
        <f t="shared" si="889"/>
        <v>-</v>
      </c>
      <c r="BC429" s="1415" t="str">
        <f t="shared" si="889"/>
        <v>-</v>
      </c>
      <c r="BD429" s="1415" t="str">
        <f t="shared" si="799"/>
        <v>-</v>
      </c>
      <c r="BE429" s="1415" t="str">
        <f t="shared" si="800"/>
        <v>-</v>
      </c>
      <c r="BF429" s="1415" t="str">
        <f t="shared" si="801"/>
        <v>-</v>
      </c>
      <c r="BG429" s="1416" t="str">
        <f t="shared" si="802"/>
        <v>-</v>
      </c>
      <c r="BH429" s="1417" t="str">
        <f t="shared" si="803"/>
        <v>-</v>
      </c>
      <c r="BI429" s="1417" t="str">
        <f t="shared" si="804"/>
        <v>-</v>
      </c>
      <c r="BJ429" s="1417" t="str">
        <f t="shared" si="805"/>
        <v>-</v>
      </c>
      <c r="BK429" s="1417" t="str">
        <f t="shared" si="806"/>
        <v>-</v>
      </c>
      <c r="BL429" s="1418" t="str">
        <f t="shared" si="807"/>
        <v>-</v>
      </c>
      <c r="BM429" s="1417" t="str">
        <f t="shared" si="808"/>
        <v>-</v>
      </c>
      <c r="BN429" s="1417" t="str">
        <f t="shared" si="809"/>
        <v>-</v>
      </c>
      <c r="BO429" s="1417" t="str">
        <f t="shared" si="810"/>
        <v>-</v>
      </c>
      <c r="BP429" s="1417" t="str">
        <f t="shared" si="811"/>
        <v>-</v>
      </c>
      <c r="BQ429" s="1419" t="str">
        <f t="shared" si="812"/>
        <v>-</v>
      </c>
      <c r="BR429" s="1378"/>
      <c r="BS429" s="1420"/>
      <c r="BT429" s="1421"/>
      <c r="BU429" s="1422"/>
      <c r="BV429" s="1423"/>
      <c r="BW429" s="1378"/>
      <c r="BX429" s="1412" t="str">
        <f t="shared" si="813"/>
        <v>Price</v>
      </c>
      <c r="BY429" s="1413" t="str">
        <f t="shared" si="858"/>
        <v>[Service]</v>
      </c>
      <c r="BZ429" s="1414" t="str">
        <f t="shared" si="859"/>
        <v>[Price]</v>
      </c>
      <c r="CA429" s="1424" t="str">
        <f>IFERROR((S429/R429-1)*(R431/R$13),"-")</f>
        <v>-</v>
      </c>
      <c r="CB429" s="1415" t="str">
        <f>IFERROR((T429/S429-1)*(S431/S$13),"-")</f>
        <v>-</v>
      </c>
      <c r="CC429" s="1415" t="str">
        <f>IFERROR((U429/T429-1)*(T431/T$13),"-")</f>
        <v>-</v>
      </c>
      <c r="CD429" s="1415" t="str">
        <f>IFERROR((V429/U429-1)*(U431/U$13),"-")</f>
        <v>-</v>
      </c>
      <c r="CE429" s="1415" t="str">
        <f t="shared" ref="CE429:CR429" si="904">IFERROR((T429/S429-1)*(S431/S$13),"-")</f>
        <v>-</v>
      </c>
      <c r="CF429" s="1415" t="str">
        <f t="shared" si="904"/>
        <v>-</v>
      </c>
      <c r="CG429" s="1415" t="str">
        <f t="shared" si="904"/>
        <v>-</v>
      </c>
      <c r="CH429" s="1425" t="str">
        <f t="shared" si="904"/>
        <v>-</v>
      </c>
      <c r="CI429" s="1417" t="str">
        <f t="shared" si="904"/>
        <v>-</v>
      </c>
      <c r="CJ429" s="1417" t="str">
        <f t="shared" si="904"/>
        <v>-</v>
      </c>
      <c r="CK429" s="1417" t="str">
        <f t="shared" si="904"/>
        <v>-</v>
      </c>
      <c r="CL429" s="1417" t="str">
        <f t="shared" si="904"/>
        <v>-</v>
      </c>
      <c r="CM429" s="1418" t="str">
        <f t="shared" si="904"/>
        <v>-</v>
      </c>
      <c r="CN429" s="1417" t="str">
        <f t="shared" si="904"/>
        <v>-</v>
      </c>
      <c r="CO429" s="1417" t="str">
        <f t="shared" si="904"/>
        <v>-</v>
      </c>
      <c r="CP429" s="1417" t="str">
        <f t="shared" si="904"/>
        <v>-</v>
      </c>
      <c r="CQ429" s="1417" t="str">
        <f t="shared" si="904"/>
        <v>-</v>
      </c>
      <c r="CR429" s="1419" t="str">
        <f t="shared" si="904"/>
        <v>-</v>
      </c>
      <c r="CS429" s="1378"/>
      <c r="CT429" s="1412" t="str">
        <f t="shared" si="793"/>
        <v>Price</v>
      </c>
      <c r="CU429" s="1413" t="str">
        <f t="shared" si="794"/>
        <v>[Service]</v>
      </c>
      <c r="CV429" s="1426" t="str">
        <f t="shared" si="795"/>
        <v>[Price]</v>
      </c>
      <c r="CW429" s="1427" t="str">
        <f t="shared" si="815"/>
        <v>-</v>
      </c>
      <c r="CX429" s="1417" t="str">
        <f t="shared" si="816"/>
        <v>-</v>
      </c>
      <c r="CY429" s="1417" t="str">
        <f t="shared" si="817"/>
        <v>-</v>
      </c>
      <c r="CZ429" s="1418" t="str">
        <f t="shared" si="818"/>
        <v>-</v>
      </c>
      <c r="DA429" s="1417" t="str">
        <f t="shared" si="819"/>
        <v>-</v>
      </c>
      <c r="DB429" s="1417" t="str">
        <f t="shared" si="820"/>
        <v>-</v>
      </c>
      <c r="DC429" s="1417" t="str">
        <f t="shared" si="821"/>
        <v>-</v>
      </c>
      <c r="DD429" s="1417" t="str">
        <f t="shared" si="822"/>
        <v>-</v>
      </c>
      <c r="DE429" s="1419" t="str">
        <f t="shared" si="823"/>
        <v>-</v>
      </c>
      <c r="DF429" s="1378"/>
      <c r="DG429" s="1412" t="str">
        <f t="shared" si="835"/>
        <v>Price</v>
      </c>
      <c r="DH429" s="1413" t="str">
        <f t="shared" si="835"/>
        <v>[Service]</v>
      </c>
      <c r="DI429" s="1426" t="str">
        <f t="shared" si="835"/>
        <v>[Price]</v>
      </c>
      <c r="DJ429" s="1427" t="str">
        <f t="shared" si="824"/>
        <v>-</v>
      </c>
      <c r="DK429" s="1417" t="str">
        <f t="shared" si="825"/>
        <v>-</v>
      </c>
      <c r="DL429" s="1417" t="str">
        <f t="shared" si="826"/>
        <v>-</v>
      </c>
      <c r="DM429" s="1418" t="str">
        <f t="shared" si="827"/>
        <v>-</v>
      </c>
      <c r="DN429" s="1417" t="str">
        <f t="shared" si="828"/>
        <v>-</v>
      </c>
      <c r="DO429" s="1417" t="str">
        <f t="shared" si="829"/>
        <v>-</v>
      </c>
      <c r="DP429" s="1417" t="str">
        <f t="shared" si="830"/>
        <v>-</v>
      </c>
      <c r="DQ429" s="1419" t="str">
        <f t="shared" si="831"/>
        <v>-</v>
      </c>
    </row>
    <row r="430" spans="4:121">
      <c r="E430" s="742" t="s">
        <v>45</v>
      </c>
      <c r="F430" s="722" t="str">
        <f>+F429</f>
        <v>[Service]</v>
      </c>
      <c r="G430" s="723">
        <f>+G429</f>
        <v>0</v>
      </c>
      <c r="H430" s="723">
        <f>+H429</f>
        <v>0</v>
      </c>
      <c r="I430" s="724" t="str">
        <f>+I429</f>
        <v>[Price]</v>
      </c>
      <c r="J430" s="782" t="s">
        <v>322</v>
      </c>
      <c r="K430" s="725"/>
      <c r="L430" s="726"/>
      <c r="M430" s="726"/>
      <c r="N430" s="727"/>
      <c r="O430" s="786"/>
      <c r="P430" s="787"/>
      <c r="Q430" s="786"/>
      <c r="R430" s="786"/>
      <c r="S430" s="786"/>
      <c r="T430" s="786"/>
      <c r="U430" s="786"/>
      <c r="V430" s="786"/>
      <c r="W430" s="786"/>
      <c r="X430" s="787"/>
      <c r="Y430" s="786"/>
      <c r="Z430" s="786"/>
      <c r="AA430" s="786"/>
      <c r="AB430" s="786"/>
      <c r="AC430" s="787"/>
      <c r="AD430" s="786"/>
      <c r="AE430" s="786"/>
      <c r="AF430" s="786"/>
      <c r="AG430" s="788"/>
      <c r="AH430" s="823"/>
      <c r="AI430" s="745"/>
      <c r="AJ430" s="728"/>
      <c r="AK430" s="729"/>
      <c r="AL430" s="729"/>
      <c r="AM430" s="729"/>
      <c r="AN430" s="729"/>
      <c r="AO430" s="730"/>
      <c r="AP430" s="74"/>
      <c r="AQ430" s="74"/>
      <c r="AR430" s="74"/>
      <c r="AS430" s="106"/>
      <c r="AW430" s="1392" t="str">
        <f t="shared" si="833"/>
        <v>Qty</v>
      </c>
      <c r="AX430" s="1393" t="str">
        <f t="shared" si="833"/>
        <v>[Service]</v>
      </c>
      <c r="AY430" s="1394" t="str">
        <f t="shared" si="797"/>
        <v>[Price]</v>
      </c>
      <c r="AZ430" s="1395" t="str">
        <f t="shared" si="889"/>
        <v>-</v>
      </c>
      <c r="BA430" s="1395" t="str">
        <f t="shared" si="889"/>
        <v>-</v>
      </c>
      <c r="BB430" s="1395" t="str">
        <f t="shared" si="889"/>
        <v>-</v>
      </c>
      <c r="BC430" s="1395" t="str">
        <f t="shared" si="889"/>
        <v>-</v>
      </c>
      <c r="BD430" s="1395" t="str">
        <f t="shared" si="799"/>
        <v>-</v>
      </c>
      <c r="BE430" s="1395" t="str">
        <f t="shared" si="800"/>
        <v>-</v>
      </c>
      <c r="BF430" s="1395" t="str">
        <f t="shared" si="801"/>
        <v>-</v>
      </c>
      <c r="BG430" s="1396" t="str">
        <f t="shared" si="802"/>
        <v>-</v>
      </c>
      <c r="BH430" s="1395" t="str">
        <f t="shared" si="803"/>
        <v>-</v>
      </c>
      <c r="BI430" s="1395" t="str">
        <f t="shared" si="804"/>
        <v>-</v>
      </c>
      <c r="BJ430" s="1395" t="str">
        <f t="shared" si="805"/>
        <v>-</v>
      </c>
      <c r="BK430" s="1395" t="str">
        <f t="shared" si="806"/>
        <v>-</v>
      </c>
      <c r="BL430" s="1397" t="str">
        <f t="shared" si="807"/>
        <v>-</v>
      </c>
      <c r="BM430" s="1395" t="str">
        <f t="shared" si="808"/>
        <v>-</v>
      </c>
      <c r="BN430" s="1395" t="str">
        <f t="shared" si="809"/>
        <v>-</v>
      </c>
      <c r="BO430" s="1395" t="str">
        <f t="shared" si="810"/>
        <v>-</v>
      </c>
      <c r="BP430" s="1395" t="str">
        <f t="shared" si="811"/>
        <v>-</v>
      </c>
      <c r="BQ430" s="1398" t="str">
        <f t="shared" si="812"/>
        <v>-</v>
      </c>
      <c r="BR430" s="1378"/>
      <c r="BS430" s="1329"/>
      <c r="BT430" s="1399"/>
      <c r="BU430" s="1331"/>
      <c r="BV430" s="1400"/>
      <c r="BW430" s="1378"/>
      <c r="BX430" s="1392" t="str">
        <f t="shared" si="813"/>
        <v>Qty</v>
      </c>
      <c r="BY430" s="1393" t="str">
        <f t="shared" si="858"/>
        <v>[Service]</v>
      </c>
      <c r="BZ430" s="1394" t="str">
        <f t="shared" si="859"/>
        <v>[Price]</v>
      </c>
      <c r="CA430" s="1401" t="str">
        <f>IFERROR((S430/R430-1)*(R431/R$13),"-")</f>
        <v>-</v>
      </c>
      <c r="CB430" s="1395" t="str">
        <f>IFERROR((T430/S430-1)*(S431/S$13),"-")</f>
        <v>-</v>
      </c>
      <c r="CC430" s="1395" t="str">
        <f>IFERROR((U430/T430-1)*(T431/T$13),"-")</f>
        <v>-</v>
      </c>
      <c r="CD430" s="1395" t="str">
        <f>IFERROR((V430/U430-1)*(U431/U$13),"-")</f>
        <v>-</v>
      </c>
      <c r="CE430" s="1395" t="str">
        <f t="shared" ref="CE430:CR430" si="905">IFERROR((T430/S430-1)*(S431/S$13),"-")</f>
        <v>-</v>
      </c>
      <c r="CF430" s="1395" t="str">
        <f t="shared" si="905"/>
        <v>-</v>
      </c>
      <c r="CG430" s="1395" t="str">
        <f t="shared" si="905"/>
        <v>-</v>
      </c>
      <c r="CH430" s="1397" t="str">
        <f t="shared" si="905"/>
        <v>-</v>
      </c>
      <c r="CI430" s="1395" t="str">
        <f t="shared" si="905"/>
        <v>-</v>
      </c>
      <c r="CJ430" s="1395" t="str">
        <f t="shared" si="905"/>
        <v>-</v>
      </c>
      <c r="CK430" s="1395" t="str">
        <f t="shared" si="905"/>
        <v>-</v>
      </c>
      <c r="CL430" s="1395" t="str">
        <f t="shared" si="905"/>
        <v>-</v>
      </c>
      <c r="CM430" s="1397" t="str">
        <f t="shared" si="905"/>
        <v>-</v>
      </c>
      <c r="CN430" s="1395" t="str">
        <f t="shared" si="905"/>
        <v>-</v>
      </c>
      <c r="CO430" s="1395" t="str">
        <f t="shared" si="905"/>
        <v>-</v>
      </c>
      <c r="CP430" s="1395" t="str">
        <f t="shared" si="905"/>
        <v>-</v>
      </c>
      <c r="CQ430" s="1395" t="str">
        <f t="shared" si="905"/>
        <v>-</v>
      </c>
      <c r="CR430" s="1398" t="str">
        <f t="shared" si="905"/>
        <v>-</v>
      </c>
      <c r="CS430" s="1378"/>
      <c r="CT430" s="1392" t="str">
        <f t="shared" si="793"/>
        <v>Qty</v>
      </c>
      <c r="CU430" s="1393" t="str">
        <f t="shared" si="794"/>
        <v>[Service]</v>
      </c>
      <c r="CV430" s="1393" t="str">
        <f t="shared" si="795"/>
        <v>[Price]</v>
      </c>
      <c r="CW430" s="1401" t="str">
        <f t="shared" si="815"/>
        <v>-</v>
      </c>
      <c r="CX430" s="1395" t="str">
        <f t="shared" si="816"/>
        <v>-</v>
      </c>
      <c r="CY430" s="1395" t="str">
        <f t="shared" si="817"/>
        <v>-</v>
      </c>
      <c r="CZ430" s="1397" t="str">
        <f t="shared" si="818"/>
        <v>-</v>
      </c>
      <c r="DA430" s="1395" t="str">
        <f t="shared" si="819"/>
        <v>-</v>
      </c>
      <c r="DB430" s="1395" t="str">
        <f t="shared" si="820"/>
        <v>-</v>
      </c>
      <c r="DC430" s="1395" t="str">
        <f t="shared" si="821"/>
        <v>-</v>
      </c>
      <c r="DD430" s="1395" t="str">
        <f t="shared" si="822"/>
        <v>-</v>
      </c>
      <c r="DE430" s="1398" t="str">
        <f t="shared" si="823"/>
        <v>-</v>
      </c>
      <c r="DF430" s="1378"/>
      <c r="DG430" s="1392" t="str">
        <f t="shared" si="835"/>
        <v>Qty</v>
      </c>
      <c r="DH430" s="1393" t="str">
        <f t="shared" si="835"/>
        <v>[Service]</v>
      </c>
      <c r="DI430" s="1393" t="str">
        <f t="shared" si="835"/>
        <v>[Price]</v>
      </c>
      <c r="DJ430" s="1401" t="str">
        <f t="shared" si="824"/>
        <v>-</v>
      </c>
      <c r="DK430" s="1395" t="str">
        <f t="shared" si="825"/>
        <v>-</v>
      </c>
      <c r="DL430" s="1395" t="str">
        <f t="shared" si="826"/>
        <v>-</v>
      </c>
      <c r="DM430" s="1397" t="str">
        <f t="shared" si="827"/>
        <v>-</v>
      </c>
      <c r="DN430" s="1395" t="str">
        <f t="shared" si="828"/>
        <v>-</v>
      </c>
      <c r="DO430" s="1395" t="str">
        <f t="shared" si="829"/>
        <v>-</v>
      </c>
      <c r="DP430" s="1395" t="str">
        <f t="shared" si="830"/>
        <v>-</v>
      </c>
      <c r="DQ430" s="1398" t="str">
        <f t="shared" si="831"/>
        <v>-</v>
      </c>
    </row>
    <row r="431" spans="4:121" ht="12.75" thickBot="1">
      <c r="E431" s="743" t="s">
        <v>46</v>
      </c>
      <c r="F431" s="732" t="str">
        <f>+F429</f>
        <v>[Service]</v>
      </c>
      <c r="G431" s="733">
        <f>+G429</f>
        <v>0</v>
      </c>
      <c r="H431" s="733">
        <f>+H429</f>
        <v>0</v>
      </c>
      <c r="I431" s="734" t="str">
        <f>+I429</f>
        <v>[Price]</v>
      </c>
      <c r="J431" s="735" t="s">
        <v>344</v>
      </c>
      <c r="K431" s="736">
        <f t="shared" ref="K431:AG431" si="906">K429*K430/10^6</f>
        <v>0</v>
      </c>
      <c r="L431" s="737">
        <f t="shared" si="906"/>
        <v>0</v>
      </c>
      <c r="M431" s="737">
        <f t="shared" si="906"/>
        <v>0</v>
      </c>
      <c r="N431" s="738">
        <f t="shared" si="906"/>
        <v>0</v>
      </c>
      <c r="O431" s="737">
        <f t="shared" si="906"/>
        <v>0</v>
      </c>
      <c r="P431" s="738">
        <f t="shared" si="906"/>
        <v>0</v>
      </c>
      <c r="Q431" s="737">
        <f t="shared" si="906"/>
        <v>0</v>
      </c>
      <c r="R431" s="737">
        <f t="shared" si="906"/>
        <v>0</v>
      </c>
      <c r="S431" s="737">
        <f t="shared" si="906"/>
        <v>0</v>
      </c>
      <c r="T431" s="737">
        <f t="shared" si="906"/>
        <v>0</v>
      </c>
      <c r="U431" s="737">
        <f t="shared" si="906"/>
        <v>0</v>
      </c>
      <c r="V431" s="737">
        <f t="shared" si="906"/>
        <v>0</v>
      </c>
      <c r="W431" s="737">
        <f t="shared" si="906"/>
        <v>0</v>
      </c>
      <c r="X431" s="738">
        <f t="shared" si="906"/>
        <v>0</v>
      </c>
      <c r="Y431" s="737">
        <f t="shared" si="906"/>
        <v>0</v>
      </c>
      <c r="Z431" s="737">
        <f t="shared" si="906"/>
        <v>0</v>
      </c>
      <c r="AA431" s="737">
        <f t="shared" si="906"/>
        <v>0</v>
      </c>
      <c r="AB431" s="737">
        <f t="shared" si="906"/>
        <v>0</v>
      </c>
      <c r="AC431" s="738">
        <f t="shared" si="906"/>
        <v>0</v>
      </c>
      <c r="AD431" s="737">
        <f t="shared" si="906"/>
        <v>0</v>
      </c>
      <c r="AE431" s="737">
        <f t="shared" si="906"/>
        <v>0</v>
      </c>
      <c r="AF431" s="737">
        <f t="shared" si="906"/>
        <v>0</v>
      </c>
      <c r="AG431" s="739">
        <f t="shared" si="906"/>
        <v>0</v>
      </c>
      <c r="AH431" s="823"/>
      <c r="AI431" s="745"/>
      <c r="AJ431" s="741"/>
      <c r="AK431" s="729"/>
      <c r="AL431" s="729"/>
      <c r="AM431" s="729"/>
      <c r="AN431" s="729"/>
      <c r="AO431" s="730"/>
      <c r="AP431" s="74"/>
      <c r="AQ431" s="74"/>
      <c r="AR431" s="74"/>
      <c r="AS431" s="106"/>
      <c r="AW431" s="1428" t="str">
        <f t="shared" si="833"/>
        <v>Rev</v>
      </c>
      <c r="AX431" s="1429" t="str">
        <f t="shared" si="833"/>
        <v>[Service]</v>
      </c>
      <c r="AY431" s="1430" t="str">
        <f t="shared" si="797"/>
        <v>[Price]</v>
      </c>
      <c r="AZ431" s="1431" t="str">
        <f t="shared" si="889"/>
        <v>-</v>
      </c>
      <c r="BA431" s="1431" t="str">
        <f t="shared" si="889"/>
        <v>-</v>
      </c>
      <c r="BB431" s="1431" t="str">
        <f t="shared" si="889"/>
        <v>-</v>
      </c>
      <c r="BC431" s="1431" t="str">
        <f t="shared" si="889"/>
        <v>-</v>
      </c>
      <c r="BD431" s="1431" t="str">
        <f t="shared" si="799"/>
        <v>-</v>
      </c>
      <c r="BE431" s="1431" t="str">
        <f t="shared" si="800"/>
        <v>-</v>
      </c>
      <c r="BF431" s="1431" t="str">
        <f t="shared" si="801"/>
        <v>-</v>
      </c>
      <c r="BG431" s="1432" t="str">
        <f t="shared" si="802"/>
        <v>-</v>
      </c>
      <c r="BH431" s="1431" t="str">
        <f t="shared" si="803"/>
        <v>-</v>
      </c>
      <c r="BI431" s="1431" t="str">
        <f t="shared" si="804"/>
        <v>-</v>
      </c>
      <c r="BJ431" s="1431" t="str">
        <f t="shared" si="805"/>
        <v>-</v>
      </c>
      <c r="BK431" s="1431" t="str">
        <f t="shared" si="806"/>
        <v>-</v>
      </c>
      <c r="BL431" s="1433" t="str">
        <f t="shared" si="807"/>
        <v>-</v>
      </c>
      <c r="BM431" s="1431" t="str">
        <f t="shared" si="808"/>
        <v>-</v>
      </c>
      <c r="BN431" s="1431" t="str">
        <f t="shared" si="809"/>
        <v>-</v>
      </c>
      <c r="BO431" s="1431" t="str">
        <f t="shared" si="810"/>
        <v>-</v>
      </c>
      <c r="BP431" s="1431" t="str">
        <f t="shared" si="811"/>
        <v>-</v>
      </c>
      <c r="BQ431" s="1434" t="str">
        <f t="shared" si="812"/>
        <v>-</v>
      </c>
      <c r="BR431" s="1378"/>
      <c r="BS431" s="1407"/>
      <c r="BT431" s="1408"/>
      <c r="BU431" s="1409"/>
      <c r="BV431" s="1410"/>
      <c r="BW431" s="1378"/>
      <c r="BX431" s="1428" t="str">
        <f t="shared" si="813"/>
        <v>Rev</v>
      </c>
      <c r="BY431" s="1429" t="str">
        <f t="shared" si="858"/>
        <v>[Service]</v>
      </c>
      <c r="BZ431" s="1430" t="str">
        <f t="shared" si="859"/>
        <v>[Price]</v>
      </c>
      <c r="CA431" s="1435" t="str">
        <f>IFERROR((S431/R431-1)*(R431/R$13),"-")</f>
        <v>-</v>
      </c>
      <c r="CB431" s="1431" t="str">
        <f>IFERROR((T431/S431-1)*(S431/S$13),"-")</f>
        <v>-</v>
      </c>
      <c r="CC431" s="1431" t="str">
        <f>IFERROR((U431/T431-1)*(T431/T$13),"-")</f>
        <v>-</v>
      </c>
      <c r="CD431" s="1431" t="str">
        <f>IFERROR((V431/U431-1)*(U431/U$13),"-")</f>
        <v>-</v>
      </c>
      <c r="CE431" s="1431" t="str">
        <f t="shared" ref="CE431:CR431" si="907">IFERROR((T431/S431-1)*(S431/S$13),"-")</f>
        <v>-</v>
      </c>
      <c r="CF431" s="1431" t="str">
        <f t="shared" si="907"/>
        <v>-</v>
      </c>
      <c r="CG431" s="1431" t="str">
        <f t="shared" si="907"/>
        <v>-</v>
      </c>
      <c r="CH431" s="1433" t="str">
        <f t="shared" si="907"/>
        <v>-</v>
      </c>
      <c r="CI431" s="1431" t="str">
        <f t="shared" si="907"/>
        <v>-</v>
      </c>
      <c r="CJ431" s="1431" t="str">
        <f t="shared" si="907"/>
        <v>-</v>
      </c>
      <c r="CK431" s="1431" t="str">
        <f t="shared" si="907"/>
        <v>-</v>
      </c>
      <c r="CL431" s="1431" t="str">
        <f t="shared" si="907"/>
        <v>-</v>
      </c>
      <c r="CM431" s="1433" t="str">
        <f t="shared" si="907"/>
        <v>-</v>
      </c>
      <c r="CN431" s="1431" t="str">
        <f t="shared" si="907"/>
        <v>-</v>
      </c>
      <c r="CO431" s="1431" t="str">
        <f t="shared" si="907"/>
        <v>-</v>
      </c>
      <c r="CP431" s="1431" t="str">
        <f t="shared" si="907"/>
        <v>-</v>
      </c>
      <c r="CQ431" s="1431" t="str">
        <f t="shared" si="907"/>
        <v>-</v>
      </c>
      <c r="CR431" s="1434" t="str">
        <f t="shared" si="907"/>
        <v>-</v>
      </c>
      <c r="CS431" s="1378"/>
      <c r="CT431" s="1428" t="str">
        <f t="shared" si="793"/>
        <v>Rev</v>
      </c>
      <c r="CU431" s="1429" t="str">
        <f t="shared" si="794"/>
        <v>[Service]</v>
      </c>
      <c r="CV431" s="1429" t="str">
        <f t="shared" si="795"/>
        <v>[Price]</v>
      </c>
      <c r="CW431" s="1435" t="str">
        <f t="shared" si="815"/>
        <v>-</v>
      </c>
      <c r="CX431" s="1431" t="str">
        <f t="shared" si="816"/>
        <v>-</v>
      </c>
      <c r="CY431" s="1431" t="str">
        <f t="shared" si="817"/>
        <v>-</v>
      </c>
      <c r="CZ431" s="1433" t="str">
        <f t="shared" si="818"/>
        <v>-</v>
      </c>
      <c r="DA431" s="1431" t="str">
        <f t="shared" si="819"/>
        <v>-</v>
      </c>
      <c r="DB431" s="1431" t="str">
        <f t="shared" si="820"/>
        <v>-</v>
      </c>
      <c r="DC431" s="1431" t="str">
        <f t="shared" si="821"/>
        <v>-</v>
      </c>
      <c r="DD431" s="1431" t="str">
        <f t="shared" si="822"/>
        <v>-</v>
      </c>
      <c r="DE431" s="1434" t="str">
        <f t="shared" si="823"/>
        <v>-</v>
      </c>
      <c r="DF431" s="1378"/>
      <c r="DG431" s="1428" t="str">
        <f t="shared" si="835"/>
        <v>Rev</v>
      </c>
      <c r="DH431" s="1429" t="str">
        <f t="shared" si="835"/>
        <v>[Service]</v>
      </c>
      <c r="DI431" s="1429" t="str">
        <f t="shared" si="835"/>
        <v>[Price]</v>
      </c>
      <c r="DJ431" s="1435" t="str">
        <f t="shared" si="824"/>
        <v>-</v>
      </c>
      <c r="DK431" s="1431" t="str">
        <f t="shared" si="825"/>
        <v>-</v>
      </c>
      <c r="DL431" s="1431" t="str">
        <f t="shared" si="826"/>
        <v>-</v>
      </c>
      <c r="DM431" s="1433" t="str">
        <f t="shared" si="827"/>
        <v>-</v>
      </c>
      <c r="DN431" s="1431" t="str">
        <f t="shared" si="828"/>
        <v>-</v>
      </c>
      <c r="DO431" s="1431" t="str">
        <f t="shared" si="829"/>
        <v>-</v>
      </c>
      <c r="DP431" s="1431" t="str">
        <f t="shared" si="830"/>
        <v>-</v>
      </c>
      <c r="DQ431" s="1434" t="str">
        <f t="shared" si="831"/>
        <v>-</v>
      </c>
    </row>
    <row r="432" spans="4:121">
      <c r="D432" s="70">
        <f>D429+1</f>
        <v>122</v>
      </c>
      <c r="E432" s="713" t="s">
        <v>44</v>
      </c>
      <c r="F432" s="789" t="s">
        <v>27</v>
      </c>
      <c r="G432" s="789"/>
      <c r="H432" s="789"/>
      <c r="I432" s="781" t="s">
        <v>318</v>
      </c>
      <c r="J432" s="781" t="s">
        <v>345</v>
      </c>
      <c r="K432" s="714"/>
      <c r="L432" s="715"/>
      <c r="M432" s="715"/>
      <c r="N432" s="716"/>
      <c r="O432" s="783"/>
      <c r="P432" s="784"/>
      <c r="Q432" s="783"/>
      <c r="R432" s="783"/>
      <c r="S432" s="783"/>
      <c r="T432" s="783"/>
      <c r="U432" s="783"/>
      <c r="V432" s="783"/>
      <c r="W432" s="783"/>
      <c r="X432" s="784"/>
      <c r="Y432" s="783"/>
      <c r="Z432" s="783"/>
      <c r="AA432" s="783"/>
      <c r="AB432" s="783"/>
      <c r="AC432" s="784"/>
      <c r="AD432" s="783"/>
      <c r="AE432" s="783"/>
      <c r="AF432" s="783"/>
      <c r="AG432" s="785"/>
      <c r="AI432" s="745"/>
      <c r="AJ432" s="717" t="str">
        <f t="shared" ref="AJ432:AS432" si="908">IFERROR((X432-W432)/W432,"")</f>
        <v/>
      </c>
      <c r="AK432" s="718" t="str">
        <f t="shared" si="908"/>
        <v/>
      </c>
      <c r="AL432" s="718" t="str">
        <f t="shared" si="908"/>
        <v/>
      </c>
      <c r="AM432" s="718" t="str">
        <f t="shared" si="908"/>
        <v/>
      </c>
      <c r="AN432" s="718" t="str">
        <f t="shared" si="908"/>
        <v/>
      </c>
      <c r="AO432" s="719" t="str">
        <f t="shared" si="908"/>
        <v/>
      </c>
      <c r="AP432" s="494" t="str">
        <f t="shared" si="908"/>
        <v/>
      </c>
      <c r="AQ432" s="494" t="str">
        <f t="shared" si="908"/>
        <v/>
      </c>
      <c r="AR432" s="494" t="str">
        <f t="shared" si="908"/>
        <v/>
      </c>
      <c r="AS432" s="720" t="str">
        <f t="shared" si="908"/>
        <v/>
      </c>
      <c r="AU432" s="1369"/>
      <c r="AW432" s="1412" t="str">
        <f t="shared" si="833"/>
        <v>Price</v>
      </c>
      <c r="AX432" s="1413" t="str">
        <f t="shared" si="833"/>
        <v>[Service]</v>
      </c>
      <c r="AY432" s="1414" t="str">
        <f t="shared" si="797"/>
        <v>[Price]</v>
      </c>
      <c r="AZ432" s="1415" t="str">
        <f t="shared" si="889"/>
        <v>-</v>
      </c>
      <c r="BA432" s="1415" t="str">
        <f t="shared" si="889"/>
        <v>-</v>
      </c>
      <c r="BB432" s="1415" t="str">
        <f t="shared" si="889"/>
        <v>-</v>
      </c>
      <c r="BC432" s="1415" t="str">
        <f t="shared" si="889"/>
        <v>-</v>
      </c>
      <c r="BD432" s="1415" t="str">
        <f t="shared" si="799"/>
        <v>-</v>
      </c>
      <c r="BE432" s="1415" t="str">
        <f t="shared" si="800"/>
        <v>-</v>
      </c>
      <c r="BF432" s="1415" t="str">
        <f t="shared" si="801"/>
        <v>-</v>
      </c>
      <c r="BG432" s="1416" t="str">
        <f t="shared" si="802"/>
        <v>-</v>
      </c>
      <c r="BH432" s="1417" t="str">
        <f t="shared" si="803"/>
        <v>-</v>
      </c>
      <c r="BI432" s="1417" t="str">
        <f t="shared" si="804"/>
        <v>-</v>
      </c>
      <c r="BJ432" s="1417" t="str">
        <f t="shared" si="805"/>
        <v>-</v>
      </c>
      <c r="BK432" s="1417" t="str">
        <f t="shared" si="806"/>
        <v>-</v>
      </c>
      <c r="BL432" s="1418" t="str">
        <f t="shared" si="807"/>
        <v>-</v>
      </c>
      <c r="BM432" s="1417" t="str">
        <f t="shared" si="808"/>
        <v>-</v>
      </c>
      <c r="BN432" s="1417" t="str">
        <f t="shared" si="809"/>
        <v>-</v>
      </c>
      <c r="BO432" s="1417" t="str">
        <f t="shared" si="810"/>
        <v>-</v>
      </c>
      <c r="BP432" s="1417" t="str">
        <f t="shared" si="811"/>
        <v>-</v>
      </c>
      <c r="BQ432" s="1419" t="str">
        <f t="shared" si="812"/>
        <v>-</v>
      </c>
      <c r="BR432" s="1378"/>
      <c r="BS432" s="1420"/>
      <c r="BT432" s="1421"/>
      <c r="BU432" s="1422"/>
      <c r="BV432" s="1423"/>
      <c r="BW432" s="1378"/>
      <c r="BX432" s="1412" t="str">
        <f t="shared" si="813"/>
        <v>Price</v>
      </c>
      <c r="BY432" s="1413" t="str">
        <f t="shared" si="858"/>
        <v>[Service]</v>
      </c>
      <c r="BZ432" s="1414" t="str">
        <f t="shared" si="859"/>
        <v>[Price]</v>
      </c>
      <c r="CA432" s="1424" t="str">
        <f>IFERROR((S432/R432-1)*(R434/R$13),"-")</f>
        <v>-</v>
      </c>
      <c r="CB432" s="1415" t="str">
        <f>IFERROR((T432/S432-1)*(S434/S$13),"-")</f>
        <v>-</v>
      </c>
      <c r="CC432" s="1415" t="str">
        <f>IFERROR((U432/T432-1)*(T434/T$13),"-")</f>
        <v>-</v>
      </c>
      <c r="CD432" s="1415" t="str">
        <f>IFERROR((V432/U432-1)*(U434/U$13),"-")</f>
        <v>-</v>
      </c>
      <c r="CE432" s="1415" t="str">
        <f t="shared" ref="CE432:CR432" si="909">IFERROR((T432/S432-1)*(S434/S$13),"-")</f>
        <v>-</v>
      </c>
      <c r="CF432" s="1415" t="str">
        <f t="shared" si="909"/>
        <v>-</v>
      </c>
      <c r="CG432" s="1415" t="str">
        <f t="shared" si="909"/>
        <v>-</v>
      </c>
      <c r="CH432" s="1425" t="str">
        <f t="shared" si="909"/>
        <v>-</v>
      </c>
      <c r="CI432" s="1417" t="str">
        <f t="shared" si="909"/>
        <v>-</v>
      </c>
      <c r="CJ432" s="1417" t="str">
        <f t="shared" si="909"/>
        <v>-</v>
      </c>
      <c r="CK432" s="1417" t="str">
        <f t="shared" si="909"/>
        <v>-</v>
      </c>
      <c r="CL432" s="1417" t="str">
        <f t="shared" si="909"/>
        <v>-</v>
      </c>
      <c r="CM432" s="1418" t="str">
        <f t="shared" si="909"/>
        <v>-</v>
      </c>
      <c r="CN432" s="1417" t="str">
        <f t="shared" si="909"/>
        <v>-</v>
      </c>
      <c r="CO432" s="1417" t="str">
        <f t="shared" si="909"/>
        <v>-</v>
      </c>
      <c r="CP432" s="1417" t="str">
        <f t="shared" si="909"/>
        <v>-</v>
      </c>
      <c r="CQ432" s="1417" t="str">
        <f t="shared" si="909"/>
        <v>-</v>
      </c>
      <c r="CR432" s="1419" t="str">
        <f t="shared" si="909"/>
        <v>-</v>
      </c>
      <c r="CS432" s="1378"/>
      <c r="CT432" s="1412" t="str">
        <f t="shared" si="793"/>
        <v>Price</v>
      </c>
      <c r="CU432" s="1413" t="str">
        <f t="shared" si="794"/>
        <v>[Service]</v>
      </c>
      <c r="CV432" s="1426" t="str">
        <f t="shared" si="795"/>
        <v>[Price]</v>
      </c>
      <c r="CW432" s="1427" t="str">
        <f t="shared" si="815"/>
        <v>-</v>
      </c>
      <c r="CX432" s="1417" t="str">
        <f t="shared" si="816"/>
        <v>-</v>
      </c>
      <c r="CY432" s="1417" t="str">
        <f t="shared" si="817"/>
        <v>-</v>
      </c>
      <c r="CZ432" s="1418" t="str">
        <f t="shared" si="818"/>
        <v>-</v>
      </c>
      <c r="DA432" s="1417" t="str">
        <f t="shared" si="819"/>
        <v>-</v>
      </c>
      <c r="DB432" s="1417" t="str">
        <f t="shared" si="820"/>
        <v>-</v>
      </c>
      <c r="DC432" s="1417" t="str">
        <f t="shared" si="821"/>
        <v>-</v>
      </c>
      <c r="DD432" s="1417" t="str">
        <f t="shared" si="822"/>
        <v>-</v>
      </c>
      <c r="DE432" s="1419" t="str">
        <f t="shared" si="823"/>
        <v>-</v>
      </c>
      <c r="DF432" s="1378"/>
      <c r="DG432" s="1412" t="str">
        <f t="shared" si="835"/>
        <v>Price</v>
      </c>
      <c r="DH432" s="1413" t="str">
        <f t="shared" si="835"/>
        <v>[Service]</v>
      </c>
      <c r="DI432" s="1426" t="str">
        <f t="shared" si="835"/>
        <v>[Price]</v>
      </c>
      <c r="DJ432" s="1427" t="str">
        <f t="shared" si="824"/>
        <v>-</v>
      </c>
      <c r="DK432" s="1417" t="str">
        <f t="shared" si="825"/>
        <v>-</v>
      </c>
      <c r="DL432" s="1417" t="str">
        <f t="shared" si="826"/>
        <v>-</v>
      </c>
      <c r="DM432" s="1418" t="str">
        <f t="shared" si="827"/>
        <v>-</v>
      </c>
      <c r="DN432" s="1417" t="str">
        <f t="shared" si="828"/>
        <v>-</v>
      </c>
      <c r="DO432" s="1417" t="str">
        <f t="shared" si="829"/>
        <v>-</v>
      </c>
      <c r="DP432" s="1417" t="str">
        <f t="shared" si="830"/>
        <v>-</v>
      </c>
      <c r="DQ432" s="1419" t="str">
        <f t="shared" si="831"/>
        <v>-</v>
      </c>
    </row>
    <row r="433" spans="4:121">
      <c r="E433" s="742" t="s">
        <v>45</v>
      </c>
      <c r="F433" s="722" t="str">
        <f>+F432</f>
        <v>[Service]</v>
      </c>
      <c r="G433" s="723">
        <f>+G432</f>
        <v>0</v>
      </c>
      <c r="H433" s="723">
        <f>+H432</f>
        <v>0</v>
      </c>
      <c r="I433" s="724" t="str">
        <f>+I432</f>
        <v>[Price]</v>
      </c>
      <c r="J433" s="782" t="s">
        <v>322</v>
      </c>
      <c r="K433" s="725"/>
      <c r="L433" s="726"/>
      <c r="M433" s="726"/>
      <c r="N433" s="727"/>
      <c r="O433" s="786"/>
      <c r="P433" s="787"/>
      <c r="Q433" s="786"/>
      <c r="R433" s="786"/>
      <c r="S433" s="786"/>
      <c r="T433" s="786"/>
      <c r="U433" s="786"/>
      <c r="V433" s="786"/>
      <c r="W433" s="786"/>
      <c r="X433" s="787"/>
      <c r="Y433" s="786"/>
      <c r="Z433" s="786"/>
      <c r="AA433" s="786"/>
      <c r="AB433" s="786"/>
      <c r="AC433" s="787"/>
      <c r="AD433" s="786"/>
      <c r="AE433" s="786"/>
      <c r="AF433" s="786"/>
      <c r="AG433" s="788"/>
      <c r="AH433" s="823"/>
      <c r="AI433" s="745"/>
      <c r="AJ433" s="728"/>
      <c r="AK433" s="729"/>
      <c r="AL433" s="729"/>
      <c r="AM433" s="729"/>
      <c r="AN433" s="729"/>
      <c r="AO433" s="730"/>
      <c r="AP433" s="74"/>
      <c r="AQ433" s="74"/>
      <c r="AR433" s="74"/>
      <c r="AS433" s="106"/>
      <c r="AW433" s="1392" t="str">
        <f t="shared" si="833"/>
        <v>Qty</v>
      </c>
      <c r="AX433" s="1393" t="str">
        <f t="shared" si="833"/>
        <v>[Service]</v>
      </c>
      <c r="AY433" s="1394" t="str">
        <f t="shared" si="797"/>
        <v>[Price]</v>
      </c>
      <c r="AZ433" s="1395" t="str">
        <f t="shared" si="889"/>
        <v>-</v>
      </c>
      <c r="BA433" s="1395" t="str">
        <f t="shared" si="889"/>
        <v>-</v>
      </c>
      <c r="BB433" s="1395" t="str">
        <f t="shared" si="889"/>
        <v>-</v>
      </c>
      <c r="BC433" s="1395" t="str">
        <f t="shared" si="889"/>
        <v>-</v>
      </c>
      <c r="BD433" s="1395" t="str">
        <f t="shared" si="799"/>
        <v>-</v>
      </c>
      <c r="BE433" s="1395" t="str">
        <f t="shared" si="800"/>
        <v>-</v>
      </c>
      <c r="BF433" s="1395" t="str">
        <f t="shared" si="801"/>
        <v>-</v>
      </c>
      <c r="BG433" s="1396" t="str">
        <f t="shared" si="802"/>
        <v>-</v>
      </c>
      <c r="BH433" s="1395" t="str">
        <f t="shared" si="803"/>
        <v>-</v>
      </c>
      <c r="BI433" s="1395" t="str">
        <f t="shared" si="804"/>
        <v>-</v>
      </c>
      <c r="BJ433" s="1395" t="str">
        <f t="shared" si="805"/>
        <v>-</v>
      </c>
      <c r="BK433" s="1395" t="str">
        <f t="shared" si="806"/>
        <v>-</v>
      </c>
      <c r="BL433" s="1397" t="str">
        <f t="shared" si="807"/>
        <v>-</v>
      </c>
      <c r="BM433" s="1395" t="str">
        <f t="shared" si="808"/>
        <v>-</v>
      </c>
      <c r="BN433" s="1395" t="str">
        <f t="shared" si="809"/>
        <v>-</v>
      </c>
      <c r="BO433" s="1395" t="str">
        <f t="shared" si="810"/>
        <v>-</v>
      </c>
      <c r="BP433" s="1395" t="str">
        <f t="shared" si="811"/>
        <v>-</v>
      </c>
      <c r="BQ433" s="1398" t="str">
        <f t="shared" si="812"/>
        <v>-</v>
      </c>
      <c r="BR433" s="1378"/>
      <c r="BS433" s="1329"/>
      <c r="BT433" s="1399"/>
      <c r="BU433" s="1331"/>
      <c r="BV433" s="1400"/>
      <c r="BW433" s="1378"/>
      <c r="BX433" s="1392" t="str">
        <f t="shared" si="813"/>
        <v>Qty</v>
      </c>
      <c r="BY433" s="1393" t="str">
        <f t="shared" si="858"/>
        <v>[Service]</v>
      </c>
      <c r="BZ433" s="1394" t="str">
        <f t="shared" si="859"/>
        <v>[Price]</v>
      </c>
      <c r="CA433" s="1401" t="str">
        <f>IFERROR((S433/R433-1)*(R434/R$13),"-")</f>
        <v>-</v>
      </c>
      <c r="CB433" s="1395" t="str">
        <f>IFERROR((T433/S433-1)*(S434/S$13),"-")</f>
        <v>-</v>
      </c>
      <c r="CC433" s="1395" t="str">
        <f>IFERROR((U433/T433-1)*(T434/T$13),"-")</f>
        <v>-</v>
      </c>
      <c r="CD433" s="1395" t="str">
        <f>IFERROR((V433/U433-1)*(U434/U$13),"-")</f>
        <v>-</v>
      </c>
      <c r="CE433" s="1395" t="str">
        <f t="shared" ref="CE433:CR433" si="910">IFERROR((T433/S433-1)*(S434/S$13),"-")</f>
        <v>-</v>
      </c>
      <c r="CF433" s="1395" t="str">
        <f t="shared" si="910"/>
        <v>-</v>
      </c>
      <c r="CG433" s="1395" t="str">
        <f t="shared" si="910"/>
        <v>-</v>
      </c>
      <c r="CH433" s="1397" t="str">
        <f t="shared" si="910"/>
        <v>-</v>
      </c>
      <c r="CI433" s="1395" t="str">
        <f t="shared" si="910"/>
        <v>-</v>
      </c>
      <c r="CJ433" s="1395" t="str">
        <f t="shared" si="910"/>
        <v>-</v>
      </c>
      <c r="CK433" s="1395" t="str">
        <f t="shared" si="910"/>
        <v>-</v>
      </c>
      <c r="CL433" s="1395" t="str">
        <f t="shared" si="910"/>
        <v>-</v>
      </c>
      <c r="CM433" s="1397" t="str">
        <f t="shared" si="910"/>
        <v>-</v>
      </c>
      <c r="CN433" s="1395" t="str">
        <f t="shared" si="910"/>
        <v>-</v>
      </c>
      <c r="CO433" s="1395" t="str">
        <f t="shared" si="910"/>
        <v>-</v>
      </c>
      <c r="CP433" s="1395" t="str">
        <f t="shared" si="910"/>
        <v>-</v>
      </c>
      <c r="CQ433" s="1395" t="str">
        <f t="shared" si="910"/>
        <v>-</v>
      </c>
      <c r="CR433" s="1398" t="str">
        <f t="shared" si="910"/>
        <v>-</v>
      </c>
      <c r="CS433" s="1378"/>
      <c r="CT433" s="1392" t="str">
        <f t="shared" si="793"/>
        <v>Qty</v>
      </c>
      <c r="CU433" s="1393" t="str">
        <f t="shared" si="794"/>
        <v>[Service]</v>
      </c>
      <c r="CV433" s="1393" t="str">
        <f t="shared" si="795"/>
        <v>[Price]</v>
      </c>
      <c r="CW433" s="1401" t="str">
        <f t="shared" si="815"/>
        <v>-</v>
      </c>
      <c r="CX433" s="1395" t="str">
        <f t="shared" si="816"/>
        <v>-</v>
      </c>
      <c r="CY433" s="1395" t="str">
        <f t="shared" si="817"/>
        <v>-</v>
      </c>
      <c r="CZ433" s="1397" t="str">
        <f t="shared" si="818"/>
        <v>-</v>
      </c>
      <c r="DA433" s="1395" t="str">
        <f t="shared" si="819"/>
        <v>-</v>
      </c>
      <c r="DB433" s="1395" t="str">
        <f t="shared" si="820"/>
        <v>-</v>
      </c>
      <c r="DC433" s="1395" t="str">
        <f t="shared" si="821"/>
        <v>-</v>
      </c>
      <c r="DD433" s="1395" t="str">
        <f t="shared" si="822"/>
        <v>-</v>
      </c>
      <c r="DE433" s="1398" t="str">
        <f t="shared" si="823"/>
        <v>-</v>
      </c>
      <c r="DF433" s="1378"/>
      <c r="DG433" s="1392" t="str">
        <f t="shared" si="835"/>
        <v>Qty</v>
      </c>
      <c r="DH433" s="1393" t="str">
        <f t="shared" si="835"/>
        <v>[Service]</v>
      </c>
      <c r="DI433" s="1393" t="str">
        <f t="shared" si="835"/>
        <v>[Price]</v>
      </c>
      <c r="DJ433" s="1401" t="str">
        <f t="shared" si="824"/>
        <v>-</v>
      </c>
      <c r="DK433" s="1395" t="str">
        <f t="shared" si="825"/>
        <v>-</v>
      </c>
      <c r="DL433" s="1395" t="str">
        <f t="shared" si="826"/>
        <v>-</v>
      </c>
      <c r="DM433" s="1397" t="str">
        <f t="shared" si="827"/>
        <v>-</v>
      </c>
      <c r="DN433" s="1395" t="str">
        <f t="shared" si="828"/>
        <v>-</v>
      </c>
      <c r="DO433" s="1395" t="str">
        <f t="shared" si="829"/>
        <v>-</v>
      </c>
      <c r="DP433" s="1395" t="str">
        <f t="shared" si="830"/>
        <v>-</v>
      </c>
      <c r="DQ433" s="1398" t="str">
        <f t="shared" si="831"/>
        <v>-</v>
      </c>
    </row>
    <row r="434" spans="4:121" ht="12.75" thickBot="1">
      <c r="E434" s="743" t="s">
        <v>46</v>
      </c>
      <c r="F434" s="732" t="str">
        <f>+F432</f>
        <v>[Service]</v>
      </c>
      <c r="G434" s="733">
        <f>+G432</f>
        <v>0</v>
      </c>
      <c r="H434" s="733">
        <f>+H432</f>
        <v>0</v>
      </c>
      <c r="I434" s="734" t="str">
        <f>+I432</f>
        <v>[Price]</v>
      </c>
      <c r="J434" s="735" t="s">
        <v>344</v>
      </c>
      <c r="K434" s="736">
        <f t="shared" ref="K434:AG434" si="911">K432*K433/10^6</f>
        <v>0</v>
      </c>
      <c r="L434" s="737">
        <f t="shared" si="911"/>
        <v>0</v>
      </c>
      <c r="M434" s="737">
        <f t="shared" si="911"/>
        <v>0</v>
      </c>
      <c r="N434" s="738">
        <f t="shared" si="911"/>
        <v>0</v>
      </c>
      <c r="O434" s="737">
        <f t="shared" si="911"/>
        <v>0</v>
      </c>
      <c r="P434" s="738">
        <f t="shared" si="911"/>
        <v>0</v>
      </c>
      <c r="Q434" s="737">
        <f t="shared" si="911"/>
        <v>0</v>
      </c>
      <c r="R434" s="737">
        <f t="shared" si="911"/>
        <v>0</v>
      </c>
      <c r="S434" s="737">
        <f t="shared" si="911"/>
        <v>0</v>
      </c>
      <c r="T434" s="737">
        <f t="shared" si="911"/>
        <v>0</v>
      </c>
      <c r="U434" s="737">
        <f t="shared" si="911"/>
        <v>0</v>
      </c>
      <c r="V434" s="737">
        <f t="shared" si="911"/>
        <v>0</v>
      </c>
      <c r="W434" s="737">
        <f t="shared" si="911"/>
        <v>0</v>
      </c>
      <c r="X434" s="738">
        <f t="shared" si="911"/>
        <v>0</v>
      </c>
      <c r="Y434" s="737">
        <f t="shared" si="911"/>
        <v>0</v>
      </c>
      <c r="Z434" s="737">
        <f t="shared" si="911"/>
        <v>0</v>
      </c>
      <c r="AA434" s="737">
        <f t="shared" si="911"/>
        <v>0</v>
      </c>
      <c r="AB434" s="737">
        <f t="shared" si="911"/>
        <v>0</v>
      </c>
      <c r="AC434" s="738">
        <f t="shared" si="911"/>
        <v>0</v>
      </c>
      <c r="AD434" s="737">
        <f t="shared" si="911"/>
        <v>0</v>
      </c>
      <c r="AE434" s="737">
        <f t="shared" si="911"/>
        <v>0</v>
      </c>
      <c r="AF434" s="737">
        <f t="shared" si="911"/>
        <v>0</v>
      </c>
      <c r="AG434" s="739">
        <f t="shared" si="911"/>
        <v>0</v>
      </c>
      <c r="AH434" s="823"/>
      <c r="AI434" s="745"/>
      <c r="AJ434" s="741"/>
      <c r="AK434" s="729"/>
      <c r="AL434" s="729"/>
      <c r="AM434" s="729"/>
      <c r="AN434" s="729"/>
      <c r="AO434" s="730"/>
      <c r="AP434" s="74"/>
      <c r="AQ434" s="74"/>
      <c r="AR434" s="74"/>
      <c r="AS434" s="106"/>
      <c r="AW434" s="1428" t="str">
        <f t="shared" si="833"/>
        <v>Rev</v>
      </c>
      <c r="AX434" s="1429" t="str">
        <f t="shared" si="833"/>
        <v>[Service]</v>
      </c>
      <c r="AY434" s="1430" t="str">
        <f t="shared" si="797"/>
        <v>[Price]</v>
      </c>
      <c r="AZ434" s="1431" t="str">
        <f t="shared" si="889"/>
        <v>-</v>
      </c>
      <c r="BA434" s="1431" t="str">
        <f t="shared" si="889"/>
        <v>-</v>
      </c>
      <c r="BB434" s="1431" t="str">
        <f t="shared" si="889"/>
        <v>-</v>
      </c>
      <c r="BC434" s="1431" t="str">
        <f t="shared" si="889"/>
        <v>-</v>
      </c>
      <c r="BD434" s="1431" t="str">
        <f t="shared" si="799"/>
        <v>-</v>
      </c>
      <c r="BE434" s="1431" t="str">
        <f t="shared" si="800"/>
        <v>-</v>
      </c>
      <c r="BF434" s="1431" t="str">
        <f t="shared" si="801"/>
        <v>-</v>
      </c>
      <c r="BG434" s="1432" t="str">
        <f t="shared" si="802"/>
        <v>-</v>
      </c>
      <c r="BH434" s="1431" t="str">
        <f t="shared" si="803"/>
        <v>-</v>
      </c>
      <c r="BI434" s="1431" t="str">
        <f t="shared" si="804"/>
        <v>-</v>
      </c>
      <c r="BJ434" s="1431" t="str">
        <f t="shared" si="805"/>
        <v>-</v>
      </c>
      <c r="BK434" s="1431" t="str">
        <f t="shared" si="806"/>
        <v>-</v>
      </c>
      <c r="BL434" s="1433" t="str">
        <f t="shared" si="807"/>
        <v>-</v>
      </c>
      <c r="BM434" s="1431" t="str">
        <f t="shared" si="808"/>
        <v>-</v>
      </c>
      <c r="BN434" s="1431" t="str">
        <f t="shared" si="809"/>
        <v>-</v>
      </c>
      <c r="BO434" s="1431" t="str">
        <f t="shared" si="810"/>
        <v>-</v>
      </c>
      <c r="BP434" s="1431" t="str">
        <f t="shared" si="811"/>
        <v>-</v>
      </c>
      <c r="BQ434" s="1434" t="str">
        <f t="shared" si="812"/>
        <v>-</v>
      </c>
      <c r="BR434" s="1378"/>
      <c r="BS434" s="1407"/>
      <c r="BT434" s="1408"/>
      <c r="BU434" s="1409"/>
      <c r="BV434" s="1410"/>
      <c r="BW434" s="1378"/>
      <c r="BX434" s="1428" t="str">
        <f t="shared" si="813"/>
        <v>Rev</v>
      </c>
      <c r="BY434" s="1429" t="str">
        <f t="shared" si="858"/>
        <v>[Service]</v>
      </c>
      <c r="BZ434" s="1430" t="str">
        <f t="shared" si="859"/>
        <v>[Price]</v>
      </c>
      <c r="CA434" s="1435" t="str">
        <f>IFERROR((S434/R434-1)*(R434/R$13),"-")</f>
        <v>-</v>
      </c>
      <c r="CB434" s="1431" t="str">
        <f>IFERROR((T434/S434-1)*(S434/S$13),"-")</f>
        <v>-</v>
      </c>
      <c r="CC434" s="1431" t="str">
        <f>IFERROR((U434/T434-1)*(T434/T$13),"-")</f>
        <v>-</v>
      </c>
      <c r="CD434" s="1431" t="str">
        <f>IFERROR((V434/U434-1)*(U434/U$13),"-")</f>
        <v>-</v>
      </c>
      <c r="CE434" s="1431" t="str">
        <f t="shared" ref="CE434:CR434" si="912">IFERROR((T434/S434-1)*(S434/S$13),"-")</f>
        <v>-</v>
      </c>
      <c r="CF434" s="1431" t="str">
        <f t="shared" si="912"/>
        <v>-</v>
      </c>
      <c r="CG434" s="1431" t="str">
        <f t="shared" si="912"/>
        <v>-</v>
      </c>
      <c r="CH434" s="1433" t="str">
        <f t="shared" si="912"/>
        <v>-</v>
      </c>
      <c r="CI434" s="1431" t="str">
        <f t="shared" si="912"/>
        <v>-</v>
      </c>
      <c r="CJ434" s="1431" t="str">
        <f t="shared" si="912"/>
        <v>-</v>
      </c>
      <c r="CK434" s="1431" t="str">
        <f t="shared" si="912"/>
        <v>-</v>
      </c>
      <c r="CL434" s="1431" t="str">
        <f t="shared" si="912"/>
        <v>-</v>
      </c>
      <c r="CM434" s="1433" t="str">
        <f t="shared" si="912"/>
        <v>-</v>
      </c>
      <c r="CN434" s="1431" t="str">
        <f t="shared" si="912"/>
        <v>-</v>
      </c>
      <c r="CO434" s="1431" t="str">
        <f t="shared" si="912"/>
        <v>-</v>
      </c>
      <c r="CP434" s="1431" t="str">
        <f t="shared" si="912"/>
        <v>-</v>
      </c>
      <c r="CQ434" s="1431" t="str">
        <f t="shared" si="912"/>
        <v>-</v>
      </c>
      <c r="CR434" s="1434" t="str">
        <f t="shared" si="912"/>
        <v>-</v>
      </c>
      <c r="CS434" s="1378"/>
      <c r="CT434" s="1428" t="str">
        <f t="shared" si="793"/>
        <v>Rev</v>
      </c>
      <c r="CU434" s="1429" t="str">
        <f t="shared" si="794"/>
        <v>[Service]</v>
      </c>
      <c r="CV434" s="1429" t="str">
        <f t="shared" si="795"/>
        <v>[Price]</v>
      </c>
      <c r="CW434" s="1435" t="str">
        <f t="shared" si="815"/>
        <v>-</v>
      </c>
      <c r="CX434" s="1431" t="str">
        <f t="shared" si="816"/>
        <v>-</v>
      </c>
      <c r="CY434" s="1431" t="str">
        <f t="shared" si="817"/>
        <v>-</v>
      </c>
      <c r="CZ434" s="1433" t="str">
        <f t="shared" si="818"/>
        <v>-</v>
      </c>
      <c r="DA434" s="1431" t="str">
        <f t="shared" si="819"/>
        <v>-</v>
      </c>
      <c r="DB434" s="1431" t="str">
        <f t="shared" si="820"/>
        <v>-</v>
      </c>
      <c r="DC434" s="1431" t="str">
        <f t="shared" si="821"/>
        <v>-</v>
      </c>
      <c r="DD434" s="1431" t="str">
        <f t="shared" si="822"/>
        <v>-</v>
      </c>
      <c r="DE434" s="1434" t="str">
        <f t="shared" si="823"/>
        <v>-</v>
      </c>
      <c r="DF434" s="1378"/>
      <c r="DG434" s="1428" t="str">
        <f t="shared" si="835"/>
        <v>Rev</v>
      </c>
      <c r="DH434" s="1429" t="str">
        <f t="shared" si="835"/>
        <v>[Service]</v>
      </c>
      <c r="DI434" s="1429" t="str">
        <f t="shared" si="835"/>
        <v>[Price]</v>
      </c>
      <c r="DJ434" s="1435" t="str">
        <f t="shared" si="824"/>
        <v>-</v>
      </c>
      <c r="DK434" s="1431" t="str">
        <f t="shared" si="825"/>
        <v>-</v>
      </c>
      <c r="DL434" s="1431" t="str">
        <f t="shared" si="826"/>
        <v>-</v>
      </c>
      <c r="DM434" s="1433" t="str">
        <f t="shared" si="827"/>
        <v>-</v>
      </c>
      <c r="DN434" s="1431" t="str">
        <f t="shared" si="828"/>
        <v>-</v>
      </c>
      <c r="DO434" s="1431" t="str">
        <f t="shared" si="829"/>
        <v>-</v>
      </c>
      <c r="DP434" s="1431" t="str">
        <f t="shared" si="830"/>
        <v>-</v>
      </c>
      <c r="DQ434" s="1434" t="str">
        <f t="shared" si="831"/>
        <v>-</v>
      </c>
    </row>
    <row r="435" spans="4:121">
      <c r="D435" s="70">
        <f>D432+1</f>
        <v>123</v>
      </c>
      <c r="E435" s="713" t="s">
        <v>44</v>
      </c>
      <c r="F435" s="789" t="s">
        <v>27</v>
      </c>
      <c r="G435" s="789"/>
      <c r="H435" s="789"/>
      <c r="I435" s="781" t="s">
        <v>318</v>
      </c>
      <c r="J435" s="781" t="s">
        <v>345</v>
      </c>
      <c r="K435" s="714"/>
      <c r="L435" s="715"/>
      <c r="M435" s="715"/>
      <c r="N435" s="716"/>
      <c r="O435" s="783"/>
      <c r="P435" s="784"/>
      <c r="Q435" s="783"/>
      <c r="R435" s="783"/>
      <c r="S435" s="783"/>
      <c r="T435" s="783"/>
      <c r="U435" s="783"/>
      <c r="V435" s="783"/>
      <c r="W435" s="783"/>
      <c r="X435" s="784"/>
      <c r="Y435" s="783"/>
      <c r="Z435" s="783"/>
      <c r="AA435" s="783"/>
      <c r="AB435" s="783"/>
      <c r="AC435" s="784"/>
      <c r="AD435" s="783"/>
      <c r="AE435" s="783"/>
      <c r="AF435" s="783"/>
      <c r="AG435" s="785"/>
      <c r="AI435" s="745"/>
      <c r="AJ435" s="717" t="str">
        <f t="shared" ref="AJ435:AS435" si="913">IFERROR((X435-W435)/W435,"")</f>
        <v/>
      </c>
      <c r="AK435" s="718" t="str">
        <f t="shared" si="913"/>
        <v/>
      </c>
      <c r="AL435" s="718" t="str">
        <f t="shared" si="913"/>
        <v/>
      </c>
      <c r="AM435" s="718" t="str">
        <f t="shared" si="913"/>
        <v/>
      </c>
      <c r="AN435" s="718" t="str">
        <f t="shared" si="913"/>
        <v/>
      </c>
      <c r="AO435" s="719" t="str">
        <f t="shared" si="913"/>
        <v/>
      </c>
      <c r="AP435" s="494" t="str">
        <f t="shared" si="913"/>
        <v/>
      </c>
      <c r="AQ435" s="494" t="str">
        <f t="shared" si="913"/>
        <v/>
      </c>
      <c r="AR435" s="494" t="str">
        <f t="shared" si="913"/>
        <v/>
      </c>
      <c r="AS435" s="720" t="str">
        <f t="shared" si="913"/>
        <v/>
      </c>
      <c r="AU435" s="1369"/>
      <c r="AW435" s="1412" t="str">
        <f t="shared" si="833"/>
        <v>Price</v>
      </c>
      <c r="AX435" s="1413" t="str">
        <f t="shared" si="833"/>
        <v>[Service]</v>
      </c>
      <c r="AY435" s="1414" t="str">
        <f t="shared" si="797"/>
        <v>[Price]</v>
      </c>
      <c r="AZ435" s="1415" t="str">
        <f t="shared" si="889"/>
        <v>-</v>
      </c>
      <c r="BA435" s="1415" t="str">
        <f t="shared" si="889"/>
        <v>-</v>
      </c>
      <c r="BB435" s="1415" t="str">
        <f t="shared" si="889"/>
        <v>-</v>
      </c>
      <c r="BC435" s="1415" t="str">
        <f t="shared" si="889"/>
        <v>-</v>
      </c>
      <c r="BD435" s="1415" t="str">
        <f t="shared" si="799"/>
        <v>-</v>
      </c>
      <c r="BE435" s="1415" t="str">
        <f t="shared" si="800"/>
        <v>-</v>
      </c>
      <c r="BF435" s="1415" t="str">
        <f t="shared" si="801"/>
        <v>-</v>
      </c>
      <c r="BG435" s="1416" t="str">
        <f t="shared" si="802"/>
        <v>-</v>
      </c>
      <c r="BH435" s="1417" t="str">
        <f t="shared" si="803"/>
        <v>-</v>
      </c>
      <c r="BI435" s="1417" t="str">
        <f t="shared" si="804"/>
        <v>-</v>
      </c>
      <c r="BJ435" s="1417" t="str">
        <f t="shared" si="805"/>
        <v>-</v>
      </c>
      <c r="BK435" s="1417" t="str">
        <f t="shared" si="806"/>
        <v>-</v>
      </c>
      <c r="BL435" s="1418" t="str">
        <f t="shared" si="807"/>
        <v>-</v>
      </c>
      <c r="BM435" s="1417" t="str">
        <f t="shared" si="808"/>
        <v>-</v>
      </c>
      <c r="BN435" s="1417" t="str">
        <f t="shared" si="809"/>
        <v>-</v>
      </c>
      <c r="BO435" s="1417" t="str">
        <f t="shared" si="810"/>
        <v>-</v>
      </c>
      <c r="BP435" s="1417" t="str">
        <f t="shared" si="811"/>
        <v>-</v>
      </c>
      <c r="BQ435" s="1419" t="str">
        <f t="shared" si="812"/>
        <v>-</v>
      </c>
      <c r="BR435" s="1378"/>
      <c r="BS435" s="1420"/>
      <c r="BT435" s="1421"/>
      <c r="BU435" s="1422"/>
      <c r="BV435" s="1423"/>
      <c r="BW435" s="1378"/>
      <c r="BX435" s="1412" t="str">
        <f t="shared" si="813"/>
        <v>Price</v>
      </c>
      <c r="BY435" s="1413" t="str">
        <f t="shared" si="858"/>
        <v>[Service]</v>
      </c>
      <c r="BZ435" s="1414" t="str">
        <f t="shared" si="859"/>
        <v>[Price]</v>
      </c>
      <c r="CA435" s="1424" t="str">
        <f>IFERROR((S435/R435-1)*(R437/R$13),"-")</f>
        <v>-</v>
      </c>
      <c r="CB435" s="1415" t="str">
        <f>IFERROR((T435/S435-1)*(S437/S$13),"-")</f>
        <v>-</v>
      </c>
      <c r="CC435" s="1415" t="str">
        <f>IFERROR((U435/T435-1)*(T437/T$13),"-")</f>
        <v>-</v>
      </c>
      <c r="CD435" s="1415" t="str">
        <f>IFERROR((V435/U435-1)*(U437/U$13),"-")</f>
        <v>-</v>
      </c>
      <c r="CE435" s="1415" t="str">
        <f t="shared" ref="CE435:CR435" si="914">IFERROR((T435/S435-1)*(S437/S$13),"-")</f>
        <v>-</v>
      </c>
      <c r="CF435" s="1415" t="str">
        <f t="shared" si="914"/>
        <v>-</v>
      </c>
      <c r="CG435" s="1415" t="str">
        <f t="shared" si="914"/>
        <v>-</v>
      </c>
      <c r="CH435" s="1425" t="str">
        <f t="shared" si="914"/>
        <v>-</v>
      </c>
      <c r="CI435" s="1417" t="str">
        <f t="shared" si="914"/>
        <v>-</v>
      </c>
      <c r="CJ435" s="1417" t="str">
        <f t="shared" si="914"/>
        <v>-</v>
      </c>
      <c r="CK435" s="1417" t="str">
        <f t="shared" si="914"/>
        <v>-</v>
      </c>
      <c r="CL435" s="1417" t="str">
        <f t="shared" si="914"/>
        <v>-</v>
      </c>
      <c r="CM435" s="1418" t="str">
        <f t="shared" si="914"/>
        <v>-</v>
      </c>
      <c r="CN435" s="1417" t="str">
        <f t="shared" si="914"/>
        <v>-</v>
      </c>
      <c r="CO435" s="1417" t="str">
        <f t="shared" si="914"/>
        <v>-</v>
      </c>
      <c r="CP435" s="1417" t="str">
        <f t="shared" si="914"/>
        <v>-</v>
      </c>
      <c r="CQ435" s="1417" t="str">
        <f t="shared" si="914"/>
        <v>-</v>
      </c>
      <c r="CR435" s="1419" t="str">
        <f t="shared" si="914"/>
        <v>-</v>
      </c>
      <c r="CS435" s="1378"/>
      <c r="CT435" s="1412" t="str">
        <f t="shared" si="793"/>
        <v>Price</v>
      </c>
      <c r="CU435" s="1413" t="str">
        <f t="shared" si="794"/>
        <v>[Service]</v>
      </c>
      <c r="CV435" s="1426" t="str">
        <f t="shared" si="795"/>
        <v>[Price]</v>
      </c>
      <c r="CW435" s="1427" t="str">
        <f t="shared" si="815"/>
        <v>-</v>
      </c>
      <c r="CX435" s="1417" t="str">
        <f t="shared" si="816"/>
        <v>-</v>
      </c>
      <c r="CY435" s="1417" t="str">
        <f t="shared" si="817"/>
        <v>-</v>
      </c>
      <c r="CZ435" s="1418" t="str">
        <f t="shared" si="818"/>
        <v>-</v>
      </c>
      <c r="DA435" s="1417" t="str">
        <f t="shared" si="819"/>
        <v>-</v>
      </c>
      <c r="DB435" s="1417" t="str">
        <f t="shared" si="820"/>
        <v>-</v>
      </c>
      <c r="DC435" s="1417" t="str">
        <f t="shared" si="821"/>
        <v>-</v>
      </c>
      <c r="DD435" s="1417" t="str">
        <f t="shared" si="822"/>
        <v>-</v>
      </c>
      <c r="DE435" s="1419" t="str">
        <f t="shared" si="823"/>
        <v>-</v>
      </c>
      <c r="DF435" s="1378"/>
      <c r="DG435" s="1412" t="str">
        <f t="shared" si="835"/>
        <v>Price</v>
      </c>
      <c r="DH435" s="1413" t="str">
        <f t="shared" si="835"/>
        <v>[Service]</v>
      </c>
      <c r="DI435" s="1426" t="str">
        <f t="shared" si="835"/>
        <v>[Price]</v>
      </c>
      <c r="DJ435" s="1427" t="str">
        <f t="shared" si="824"/>
        <v>-</v>
      </c>
      <c r="DK435" s="1417" t="str">
        <f t="shared" si="825"/>
        <v>-</v>
      </c>
      <c r="DL435" s="1417" t="str">
        <f t="shared" si="826"/>
        <v>-</v>
      </c>
      <c r="DM435" s="1418" t="str">
        <f t="shared" si="827"/>
        <v>-</v>
      </c>
      <c r="DN435" s="1417" t="str">
        <f t="shared" si="828"/>
        <v>-</v>
      </c>
      <c r="DO435" s="1417" t="str">
        <f t="shared" si="829"/>
        <v>-</v>
      </c>
      <c r="DP435" s="1417" t="str">
        <f t="shared" si="830"/>
        <v>-</v>
      </c>
      <c r="DQ435" s="1419" t="str">
        <f t="shared" si="831"/>
        <v>-</v>
      </c>
    </row>
    <row r="436" spans="4:121">
      <c r="E436" s="742" t="s">
        <v>45</v>
      </c>
      <c r="F436" s="722" t="str">
        <f>+F435</f>
        <v>[Service]</v>
      </c>
      <c r="G436" s="723">
        <f>+G435</f>
        <v>0</v>
      </c>
      <c r="H436" s="723">
        <f>+H435</f>
        <v>0</v>
      </c>
      <c r="I436" s="724" t="str">
        <f>+I435</f>
        <v>[Price]</v>
      </c>
      <c r="J436" s="782" t="s">
        <v>322</v>
      </c>
      <c r="K436" s="725"/>
      <c r="L436" s="726"/>
      <c r="M436" s="726"/>
      <c r="N436" s="727"/>
      <c r="O436" s="786"/>
      <c r="P436" s="787"/>
      <c r="Q436" s="786"/>
      <c r="R436" s="786"/>
      <c r="S436" s="786"/>
      <c r="T436" s="786"/>
      <c r="U436" s="786"/>
      <c r="V436" s="786"/>
      <c r="W436" s="786"/>
      <c r="X436" s="787"/>
      <c r="Y436" s="786"/>
      <c r="Z436" s="786"/>
      <c r="AA436" s="786"/>
      <c r="AB436" s="786"/>
      <c r="AC436" s="787"/>
      <c r="AD436" s="786"/>
      <c r="AE436" s="786"/>
      <c r="AF436" s="786"/>
      <c r="AG436" s="788"/>
      <c r="AH436" s="823"/>
      <c r="AI436" s="745"/>
      <c r="AJ436" s="728"/>
      <c r="AK436" s="729"/>
      <c r="AL436" s="729"/>
      <c r="AM436" s="729"/>
      <c r="AN436" s="729"/>
      <c r="AO436" s="730"/>
      <c r="AP436" s="74"/>
      <c r="AQ436" s="74"/>
      <c r="AR436" s="74"/>
      <c r="AS436" s="106"/>
      <c r="AW436" s="1392" t="str">
        <f t="shared" si="833"/>
        <v>Qty</v>
      </c>
      <c r="AX436" s="1393" t="str">
        <f t="shared" si="833"/>
        <v>[Service]</v>
      </c>
      <c r="AY436" s="1394" t="str">
        <f t="shared" si="797"/>
        <v>[Price]</v>
      </c>
      <c r="AZ436" s="1395" t="str">
        <f t="shared" si="889"/>
        <v>-</v>
      </c>
      <c r="BA436" s="1395" t="str">
        <f t="shared" si="889"/>
        <v>-</v>
      </c>
      <c r="BB436" s="1395" t="str">
        <f t="shared" si="889"/>
        <v>-</v>
      </c>
      <c r="BC436" s="1395" t="str">
        <f t="shared" si="889"/>
        <v>-</v>
      </c>
      <c r="BD436" s="1395" t="str">
        <f t="shared" si="799"/>
        <v>-</v>
      </c>
      <c r="BE436" s="1395" t="str">
        <f t="shared" si="800"/>
        <v>-</v>
      </c>
      <c r="BF436" s="1395" t="str">
        <f t="shared" si="801"/>
        <v>-</v>
      </c>
      <c r="BG436" s="1396" t="str">
        <f t="shared" si="802"/>
        <v>-</v>
      </c>
      <c r="BH436" s="1395" t="str">
        <f t="shared" si="803"/>
        <v>-</v>
      </c>
      <c r="BI436" s="1395" t="str">
        <f t="shared" si="804"/>
        <v>-</v>
      </c>
      <c r="BJ436" s="1395" t="str">
        <f t="shared" si="805"/>
        <v>-</v>
      </c>
      <c r="BK436" s="1395" t="str">
        <f t="shared" si="806"/>
        <v>-</v>
      </c>
      <c r="BL436" s="1397" t="str">
        <f t="shared" si="807"/>
        <v>-</v>
      </c>
      <c r="BM436" s="1395" t="str">
        <f t="shared" si="808"/>
        <v>-</v>
      </c>
      <c r="BN436" s="1395" t="str">
        <f t="shared" si="809"/>
        <v>-</v>
      </c>
      <c r="BO436" s="1395" t="str">
        <f t="shared" si="810"/>
        <v>-</v>
      </c>
      <c r="BP436" s="1395" t="str">
        <f t="shared" si="811"/>
        <v>-</v>
      </c>
      <c r="BQ436" s="1398" t="str">
        <f t="shared" si="812"/>
        <v>-</v>
      </c>
      <c r="BR436" s="1378"/>
      <c r="BS436" s="1329"/>
      <c r="BT436" s="1399"/>
      <c r="BU436" s="1331"/>
      <c r="BV436" s="1400"/>
      <c r="BW436" s="1378"/>
      <c r="BX436" s="1392" t="str">
        <f t="shared" si="813"/>
        <v>Qty</v>
      </c>
      <c r="BY436" s="1393" t="str">
        <f t="shared" si="858"/>
        <v>[Service]</v>
      </c>
      <c r="BZ436" s="1394" t="str">
        <f t="shared" si="859"/>
        <v>[Price]</v>
      </c>
      <c r="CA436" s="1401" t="str">
        <f>IFERROR((S436/R436-1)*(R437/R$13),"-")</f>
        <v>-</v>
      </c>
      <c r="CB436" s="1395" t="str">
        <f>IFERROR((T436/S436-1)*(S437/S$13),"-")</f>
        <v>-</v>
      </c>
      <c r="CC436" s="1395" t="str">
        <f>IFERROR((U436/T436-1)*(T437/T$13),"-")</f>
        <v>-</v>
      </c>
      <c r="CD436" s="1395" t="str">
        <f>IFERROR((V436/U436-1)*(U437/U$13),"-")</f>
        <v>-</v>
      </c>
      <c r="CE436" s="1395" t="str">
        <f t="shared" ref="CE436:CR436" si="915">IFERROR((T436/S436-1)*(S437/S$13),"-")</f>
        <v>-</v>
      </c>
      <c r="CF436" s="1395" t="str">
        <f t="shared" si="915"/>
        <v>-</v>
      </c>
      <c r="CG436" s="1395" t="str">
        <f t="shared" si="915"/>
        <v>-</v>
      </c>
      <c r="CH436" s="1397" t="str">
        <f t="shared" si="915"/>
        <v>-</v>
      </c>
      <c r="CI436" s="1395" t="str">
        <f t="shared" si="915"/>
        <v>-</v>
      </c>
      <c r="CJ436" s="1395" t="str">
        <f t="shared" si="915"/>
        <v>-</v>
      </c>
      <c r="CK436" s="1395" t="str">
        <f t="shared" si="915"/>
        <v>-</v>
      </c>
      <c r="CL436" s="1395" t="str">
        <f t="shared" si="915"/>
        <v>-</v>
      </c>
      <c r="CM436" s="1397" t="str">
        <f t="shared" si="915"/>
        <v>-</v>
      </c>
      <c r="CN436" s="1395" t="str">
        <f t="shared" si="915"/>
        <v>-</v>
      </c>
      <c r="CO436" s="1395" t="str">
        <f t="shared" si="915"/>
        <v>-</v>
      </c>
      <c r="CP436" s="1395" t="str">
        <f t="shared" si="915"/>
        <v>-</v>
      </c>
      <c r="CQ436" s="1395" t="str">
        <f t="shared" si="915"/>
        <v>-</v>
      </c>
      <c r="CR436" s="1398" t="str">
        <f t="shared" si="915"/>
        <v>-</v>
      </c>
      <c r="CS436" s="1378"/>
      <c r="CT436" s="1392" t="str">
        <f t="shared" si="793"/>
        <v>Qty</v>
      </c>
      <c r="CU436" s="1393" t="str">
        <f t="shared" si="794"/>
        <v>[Service]</v>
      </c>
      <c r="CV436" s="1393" t="str">
        <f t="shared" si="795"/>
        <v>[Price]</v>
      </c>
      <c r="CW436" s="1401" t="str">
        <f t="shared" si="815"/>
        <v>-</v>
      </c>
      <c r="CX436" s="1395" t="str">
        <f t="shared" si="816"/>
        <v>-</v>
      </c>
      <c r="CY436" s="1395" t="str">
        <f t="shared" si="817"/>
        <v>-</v>
      </c>
      <c r="CZ436" s="1397" t="str">
        <f t="shared" si="818"/>
        <v>-</v>
      </c>
      <c r="DA436" s="1395" t="str">
        <f t="shared" si="819"/>
        <v>-</v>
      </c>
      <c r="DB436" s="1395" t="str">
        <f t="shared" si="820"/>
        <v>-</v>
      </c>
      <c r="DC436" s="1395" t="str">
        <f t="shared" si="821"/>
        <v>-</v>
      </c>
      <c r="DD436" s="1395" t="str">
        <f t="shared" si="822"/>
        <v>-</v>
      </c>
      <c r="DE436" s="1398" t="str">
        <f t="shared" si="823"/>
        <v>-</v>
      </c>
      <c r="DF436" s="1378"/>
      <c r="DG436" s="1392" t="str">
        <f t="shared" si="835"/>
        <v>Qty</v>
      </c>
      <c r="DH436" s="1393" t="str">
        <f t="shared" si="835"/>
        <v>[Service]</v>
      </c>
      <c r="DI436" s="1393" t="str">
        <f t="shared" si="835"/>
        <v>[Price]</v>
      </c>
      <c r="DJ436" s="1401" t="str">
        <f t="shared" si="824"/>
        <v>-</v>
      </c>
      <c r="DK436" s="1395" t="str">
        <f t="shared" si="825"/>
        <v>-</v>
      </c>
      <c r="DL436" s="1395" t="str">
        <f t="shared" si="826"/>
        <v>-</v>
      </c>
      <c r="DM436" s="1397" t="str">
        <f t="shared" si="827"/>
        <v>-</v>
      </c>
      <c r="DN436" s="1395" t="str">
        <f t="shared" si="828"/>
        <v>-</v>
      </c>
      <c r="DO436" s="1395" t="str">
        <f t="shared" si="829"/>
        <v>-</v>
      </c>
      <c r="DP436" s="1395" t="str">
        <f t="shared" si="830"/>
        <v>-</v>
      </c>
      <c r="DQ436" s="1398" t="str">
        <f t="shared" si="831"/>
        <v>-</v>
      </c>
    </row>
    <row r="437" spans="4:121" ht="12.75" thickBot="1">
      <c r="E437" s="743" t="s">
        <v>46</v>
      </c>
      <c r="F437" s="732" t="str">
        <f>+F435</f>
        <v>[Service]</v>
      </c>
      <c r="G437" s="733">
        <f>+G435</f>
        <v>0</v>
      </c>
      <c r="H437" s="733">
        <f>+H435</f>
        <v>0</v>
      </c>
      <c r="I437" s="734" t="str">
        <f>+I435</f>
        <v>[Price]</v>
      </c>
      <c r="J437" s="735" t="s">
        <v>344</v>
      </c>
      <c r="K437" s="736">
        <f t="shared" ref="K437:AG437" si="916">K435*K436/10^6</f>
        <v>0</v>
      </c>
      <c r="L437" s="737">
        <f t="shared" si="916"/>
        <v>0</v>
      </c>
      <c r="M437" s="737">
        <f t="shared" si="916"/>
        <v>0</v>
      </c>
      <c r="N437" s="738">
        <f t="shared" si="916"/>
        <v>0</v>
      </c>
      <c r="O437" s="737">
        <f t="shared" si="916"/>
        <v>0</v>
      </c>
      <c r="P437" s="738">
        <f t="shared" si="916"/>
        <v>0</v>
      </c>
      <c r="Q437" s="737">
        <f t="shared" si="916"/>
        <v>0</v>
      </c>
      <c r="R437" s="737">
        <f t="shared" si="916"/>
        <v>0</v>
      </c>
      <c r="S437" s="737">
        <f t="shared" si="916"/>
        <v>0</v>
      </c>
      <c r="T437" s="737">
        <f t="shared" si="916"/>
        <v>0</v>
      </c>
      <c r="U437" s="737">
        <f t="shared" si="916"/>
        <v>0</v>
      </c>
      <c r="V437" s="737">
        <f t="shared" si="916"/>
        <v>0</v>
      </c>
      <c r="W437" s="737">
        <f t="shared" si="916"/>
        <v>0</v>
      </c>
      <c r="X437" s="738">
        <f t="shared" si="916"/>
        <v>0</v>
      </c>
      <c r="Y437" s="737">
        <f t="shared" si="916"/>
        <v>0</v>
      </c>
      <c r="Z437" s="737">
        <f t="shared" si="916"/>
        <v>0</v>
      </c>
      <c r="AA437" s="737">
        <f t="shared" si="916"/>
        <v>0</v>
      </c>
      <c r="AB437" s="737">
        <f t="shared" si="916"/>
        <v>0</v>
      </c>
      <c r="AC437" s="738">
        <f t="shared" si="916"/>
        <v>0</v>
      </c>
      <c r="AD437" s="737">
        <f t="shared" si="916"/>
        <v>0</v>
      </c>
      <c r="AE437" s="737">
        <f t="shared" si="916"/>
        <v>0</v>
      </c>
      <c r="AF437" s="737">
        <f t="shared" si="916"/>
        <v>0</v>
      </c>
      <c r="AG437" s="739">
        <f t="shared" si="916"/>
        <v>0</v>
      </c>
      <c r="AH437" s="823"/>
      <c r="AI437" s="745"/>
      <c r="AJ437" s="741"/>
      <c r="AK437" s="729"/>
      <c r="AL437" s="729"/>
      <c r="AM437" s="729"/>
      <c r="AN437" s="729"/>
      <c r="AO437" s="730"/>
      <c r="AP437" s="74"/>
      <c r="AQ437" s="74"/>
      <c r="AR437" s="74"/>
      <c r="AS437" s="106"/>
      <c r="AW437" s="1428" t="str">
        <f t="shared" si="833"/>
        <v>Rev</v>
      </c>
      <c r="AX437" s="1429" t="str">
        <f t="shared" si="833"/>
        <v>[Service]</v>
      </c>
      <c r="AY437" s="1430" t="str">
        <f t="shared" si="797"/>
        <v>[Price]</v>
      </c>
      <c r="AZ437" s="1431" t="str">
        <f t="shared" ref="AZ437:BC443" si="917">IFERROR(P437/O437-1,"-")</f>
        <v>-</v>
      </c>
      <c r="BA437" s="1431" t="str">
        <f t="shared" si="917"/>
        <v>-</v>
      </c>
      <c r="BB437" s="1431" t="str">
        <f t="shared" si="917"/>
        <v>-</v>
      </c>
      <c r="BC437" s="1431" t="str">
        <f t="shared" si="917"/>
        <v>-</v>
      </c>
      <c r="BD437" s="1431" t="str">
        <f t="shared" si="799"/>
        <v>-</v>
      </c>
      <c r="BE437" s="1431" t="str">
        <f t="shared" si="800"/>
        <v>-</v>
      </c>
      <c r="BF437" s="1431" t="str">
        <f t="shared" si="801"/>
        <v>-</v>
      </c>
      <c r="BG437" s="1432" t="str">
        <f t="shared" si="802"/>
        <v>-</v>
      </c>
      <c r="BH437" s="1431" t="str">
        <f t="shared" si="803"/>
        <v>-</v>
      </c>
      <c r="BI437" s="1431" t="str">
        <f t="shared" si="804"/>
        <v>-</v>
      </c>
      <c r="BJ437" s="1431" t="str">
        <f t="shared" si="805"/>
        <v>-</v>
      </c>
      <c r="BK437" s="1431" t="str">
        <f t="shared" si="806"/>
        <v>-</v>
      </c>
      <c r="BL437" s="1433" t="str">
        <f t="shared" si="807"/>
        <v>-</v>
      </c>
      <c r="BM437" s="1431" t="str">
        <f t="shared" si="808"/>
        <v>-</v>
      </c>
      <c r="BN437" s="1431" t="str">
        <f t="shared" si="809"/>
        <v>-</v>
      </c>
      <c r="BO437" s="1431" t="str">
        <f t="shared" si="810"/>
        <v>-</v>
      </c>
      <c r="BP437" s="1431" t="str">
        <f t="shared" si="811"/>
        <v>-</v>
      </c>
      <c r="BQ437" s="1434" t="str">
        <f t="shared" si="812"/>
        <v>-</v>
      </c>
      <c r="BR437" s="1378"/>
      <c r="BS437" s="1407"/>
      <c r="BT437" s="1408"/>
      <c r="BU437" s="1409"/>
      <c r="BV437" s="1410"/>
      <c r="BW437" s="1378"/>
      <c r="BX437" s="1428" t="str">
        <f t="shared" si="813"/>
        <v>Rev</v>
      </c>
      <c r="BY437" s="1429" t="str">
        <f t="shared" si="858"/>
        <v>[Service]</v>
      </c>
      <c r="BZ437" s="1430" t="str">
        <f t="shared" si="859"/>
        <v>[Price]</v>
      </c>
      <c r="CA437" s="1435" t="str">
        <f>IFERROR((S437/R437-1)*(R437/R$13),"-")</f>
        <v>-</v>
      </c>
      <c r="CB437" s="1431" t="str">
        <f>IFERROR((T437/S437-1)*(S437/S$13),"-")</f>
        <v>-</v>
      </c>
      <c r="CC437" s="1431" t="str">
        <f>IFERROR((U437/T437-1)*(T437/T$13),"-")</f>
        <v>-</v>
      </c>
      <c r="CD437" s="1431" t="str">
        <f>IFERROR((V437/U437-1)*(U437/U$13),"-")</f>
        <v>-</v>
      </c>
      <c r="CE437" s="1431" t="str">
        <f t="shared" ref="CE437:CR437" si="918">IFERROR((T437/S437-1)*(S437/S$13),"-")</f>
        <v>-</v>
      </c>
      <c r="CF437" s="1431" t="str">
        <f t="shared" si="918"/>
        <v>-</v>
      </c>
      <c r="CG437" s="1431" t="str">
        <f t="shared" si="918"/>
        <v>-</v>
      </c>
      <c r="CH437" s="1433" t="str">
        <f t="shared" si="918"/>
        <v>-</v>
      </c>
      <c r="CI437" s="1431" t="str">
        <f t="shared" si="918"/>
        <v>-</v>
      </c>
      <c r="CJ437" s="1431" t="str">
        <f t="shared" si="918"/>
        <v>-</v>
      </c>
      <c r="CK437" s="1431" t="str">
        <f t="shared" si="918"/>
        <v>-</v>
      </c>
      <c r="CL437" s="1431" t="str">
        <f t="shared" si="918"/>
        <v>-</v>
      </c>
      <c r="CM437" s="1433" t="str">
        <f t="shared" si="918"/>
        <v>-</v>
      </c>
      <c r="CN437" s="1431" t="str">
        <f t="shared" si="918"/>
        <v>-</v>
      </c>
      <c r="CO437" s="1431" t="str">
        <f t="shared" si="918"/>
        <v>-</v>
      </c>
      <c r="CP437" s="1431" t="str">
        <f t="shared" si="918"/>
        <v>-</v>
      </c>
      <c r="CQ437" s="1431" t="str">
        <f t="shared" si="918"/>
        <v>-</v>
      </c>
      <c r="CR437" s="1434" t="str">
        <f t="shared" si="918"/>
        <v>-</v>
      </c>
      <c r="CS437" s="1378"/>
      <c r="CT437" s="1428" t="str">
        <f t="shared" si="793"/>
        <v>Rev</v>
      </c>
      <c r="CU437" s="1429" t="str">
        <f t="shared" si="794"/>
        <v>[Service]</v>
      </c>
      <c r="CV437" s="1429" t="str">
        <f t="shared" si="795"/>
        <v>[Price]</v>
      </c>
      <c r="CW437" s="1435" t="str">
        <f t="shared" si="815"/>
        <v>-</v>
      </c>
      <c r="CX437" s="1431" t="str">
        <f t="shared" si="816"/>
        <v>-</v>
      </c>
      <c r="CY437" s="1431" t="str">
        <f t="shared" si="817"/>
        <v>-</v>
      </c>
      <c r="CZ437" s="1433" t="str">
        <f t="shared" si="818"/>
        <v>-</v>
      </c>
      <c r="DA437" s="1431" t="str">
        <f t="shared" si="819"/>
        <v>-</v>
      </c>
      <c r="DB437" s="1431" t="str">
        <f t="shared" si="820"/>
        <v>-</v>
      </c>
      <c r="DC437" s="1431" t="str">
        <f t="shared" si="821"/>
        <v>-</v>
      </c>
      <c r="DD437" s="1431" t="str">
        <f t="shared" si="822"/>
        <v>-</v>
      </c>
      <c r="DE437" s="1434" t="str">
        <f t="shared" si="823"/>
        <v>-</v>
      </c>
      <c r="DF437" s="1378"/>
      <c r="DG437" s="1428" t="str">
        <f t="shared" si="835"/>
        <v>Rev</v>
      </c>
      <c r="DH437" s="1429" t="str">
        <f t="shared" si="835"/>
        <v>[Service]</v>
      </c>
      <c r="DI437" s="1429" t="str">
        <f t="shared" si="835"/>
        <v>[Price]</v>
      </c>
      <c r="DJ437" s="1435" t="str">
        <f t="shared" si="824"/>
        <v>-</v>
      </c>
      <c r="DK437" s="1431" t="str">
        <f t="shared" si="825"/>
        <v>-</v>
      </c>
      <c r="DL437" s="1431" t="str">
        <f t="shared" si="826"/>
        <v>-</v>
      </c>
      <c r="DM437" s="1433" t="str">
        <f t="shared" si="827"/>
        <v>-</v>
      </c>
      <c r="DN437" s="1431" t="str">
        <f t="shared" si="828"/>
        <v>-</v>
      </c>
      <c r="DO437" s="1431" t="str">
        <f t="shared" si="829"/>
        <v>-</v>
      </c>
      <c r="DP437" s="1431" t="str">
        <f t="shared" si="830"/>
        <v>-</v>
      </c>
      <c r="DQ437" s="1434" t="str">
        <f t="shared" si="831"/>
        <v>-</v>
      </c>
    </row>
    <row r="438" spans="4:121">
      <c r="D438" s="70">
        <f>D435+1</f>
        <v>124</v>
      </c>
      <c r="E438" s="713" t="s">
        <v>44</v>
      </c>
      <c r="F438" s="789" t="s">
        <v>27</v>
      </c>
      <c r="G438" s="789"/>
      <c r="H438" s="789"/>
      <c r="I438" s="781" t="s">
        <v>318</v>
      </c>
      <c r="J438" s="781" t="s">
        <v>345</v>
      </c>
      <c r="K438" s="714"/>
      <c r="L438" s="715"/>
      <c r="M438" s="715"/>
      <c r="N438" s="716"/>
      <c r="O438" s="783"/>
      <c r="P438" s="784"/>
      <c r="Q438" s="783"/>
      <c r="R438" s="783"/>
      <c r="S438" s="783"/>
      <c r="T438" s="783"/>
      <c r="U438" s="783"/>
      <c r="V438" s="783"/>
      <c r="W438" s="783"/>
      <c r="X438" s="784"/>
      <c r="Y438" s="783"/>
      <c r="Z438" s="783"/>
      <c r="AA438" s="783"/>
      <c r="AB438" s="783"/>
      <c r="AC438" s="784"/>
      <c r="AD438" s="783"/>
      <c r="AE438" s="783"/>
      <c r="AF438" s="783"/>
      <c r="AG438" s="785"/>
      <c r="AI438" s="745"/>
      <c r="AJ438" s="717" t="str">
        <f t="shared" ref="AJ438:AS438" si="919">IFERROR((X438-W438)/W438,"")</f>
        <v/>
      </c>
      <c r="AK438" s="718" t="str">
        <f t="shared" si="919"/>
        <v/>
      </c>
      <c r="AL438" s="718" t="str">
        <f t="shared" si="919"/>
        <v/>
      </c>
      <c r="AM438" s="718" t="str">
        <f t="shared" si="919"/>
        <v/>
      </c>
      <c r="AN438" s="718" t="str">
        <f t="shared" si="919"/>
        <v/>
      </c>
      <c r="AO438" s="719" t="str">
        <f t="shared" si="919"/>
        <v/>
      </c>
      <c r="AP438" s="494" t="str">
        <f t="shared" si="919"/>
        <v/>
      </c>
      <c r="AQ438" s="494" t="str">
        <f t="shared" si="919"/>
        <v/>
      </c>
      <c r="AR438" s="494" t="str">
        <f t="shared" si="919"/>
        <v/>
      </c>
      <c r="AS438" s="720" t="str">
        <f t="shared" si="919"/>
        <v/>
      </c>
      <c r="AU438" s="1369"/>
      <c r="AW438" s="1412" t="str">
        <f t="shared" si="833"/>
        <v>Price</v>
      </c>
      <c r="AX438" s="1413" t="str">
        <f t="shared" si="833"/>
        <v>[Service]</v>
      </c>
      <c r="AY438" s="1414" t="str">
        <f t="shared" si="797"/>
        <v>[Price]</v>
      </c>
      <c r="AZ438" s="1415" t="str">
        <f t="shared" si="917"/>
        <v>-</v>
      </c>
      <c r="BA438" s="1415" t="str">
        <f t="shared" si="917"/>
        <v>-</v>
      </c>
      <c r="BB438" s="1415" t="str">
        <f t="shared" si="917"/>
        <v>-</v>
      </c>
      <c r="BC438" s="1415" t="str">
        <f t="shared" si="917"/>
        <v>-</v>
      </c>
      <c r="BD438" s="1415" t="str">
        <f t="shared" si="799"/>
        <v>-</v>
      </c>
      <c r="BE438" s="1415" t="str">
        <f t="shared" si="800"/>
        <v>-</v>
      </c>
      <c r="BF438" s="1415" t="str">
        <f t="shared" si="801"/>
        <v>-</v>
      </c>
      <c r="BG438" s="1416" t="str">
        <f t="shared" si="802"/>
        <v>-</v>
      </c>
      <c r="BH438" s="1417" t="str">
        <f t="shared" si="803"/>
        <v>-</v>
      </c>
      <c r="BI438" s="1417" t="str">
        <f t="shared" si="804"/>
        <v>-</v>
      </c>
      <c r="BJ438" s="1417" t="str">
        <f t="shared" si="805"/>
        <v>-</v>
      </c>
      <c r="BK438" s="1417" t="str">
        <f t="shared" si="806"/>
        <v>-</v>
      </c>
      <c r="BL438" s="1418" t="str">
        <f t="shared" si="807"/>
        <v>-</v>
      </c>
      <c r="BM438" s="1417" t="str">
        <f t="shared" si="808"/>
        <v>-</v>
      </c>
      <c r="BN438" s="1417" t="str">
        <f t="shared" si="809"/>
        <v>-</v>
      </c>
      <c r="BO438" s="1417" t="str">
        <f t="shared" si="810"/>
        <v>-</v>
      </c>
      <c r="BP438" s="1417" t="str">
        <f t="shared" si="811"/>
        <v>-</v>
      </c>
      <c r="BQ438" s="1419" t="str">
        <f t="shared" si="812"/>
        <v>-</v>
      </c>
      <c r="BR438" s="1378"/>
      <c r="BS438" s="1420"/>
      <c r="BT438" s="1421"/>
      <c r="BU438" s="1422"/>
      <c r="BV438" s="1423"/>
      <c r="BW438" s="1378"/>
      <c r="BX438" s="1412" t="str">
        <f t="shared" si="813"/>
        <v>Price</v>
      </c>
      <c r="BY438" s="1413" t="str">
        <f t="shared" si="858"/>
        <v>[Service]</v>
      </c>
      <c r="BZ438" s="1414" t="str">
        <f t="shared" si="859"/>
        <v>[Price]</v>
      </c>
      <c r="CA438" s="1424" t="str">
        <f>IFERROR((S438/R438-1)*(R440/R$13),"-")</f>
        <v>-</v>
      </c>
      <c r="CB438" s="1415" t="str">
        <f>IFERROR((T438/S438-1)*(S440/S$13),"-")</f>
        <v>-</v>
      </c>
      <c r="CC438" s="1415" t="str">
        <f>IFERROR((U438/T438-1)*(T440/T$13),"-")</f>
        <v>-</v>
      </c>
      <c r="CD438" s="1415" t="str">
        <f>IFERROR((V438/U438-1)*(U440/U$13),"-")</f>
        <v>-</v>
      </c>
      <c r="CE438" s="1415" t="str">
        <f t="shared" ref="CE438:CR438" si="920">IFERROR((T438/S438-1)*(S440/S$13),"-")</f>
        <v>-</v>
      </c>
      <c r="CF438" s="1415" t="str">
        <f t="shared" si="920"/>
        <v>-</v>
      </c>
      <c r="CG438" s="1415" t="str">
        <f t="shared" si="920"/>
        <v>-</v>
      </c>
      <c r="CH438" s="1425" t="str">
        <f t="shared" si="920"/>
        <v>-</v>
      </c>
      <c r="CI438" s="1417" t="str">
        <f t="shared" si="920"/>
        <v>-</v>
      </c>
      <c r="CJ438" s="1417" t="str">
        <f t="shared" si="920"/>
        <v>-</v>
      </c>
      <c r="CK438" s="1417" t="str">
        <f t="shared" si="920"/>
        <v>-</v>
      </c>
      <c r="CL438" s="1417" t="str">
        <f t="shared" si="920"/>
        <v>-</v>
      </c>
      <c r="CM438" s="1418" t="str">
        <f t="shared" si="920"/>
        <v>-</v>
      </c>
      <c r="CN438" s="1417" t="str">
        <f t="shared" si="920"/>
        <v>-</v>
      </c>
      <c r="CO438" s="1417" t="str">
        <f t="shared" si="920"/>
        <v>-</v>
      </c>
      <c r="CP438" s="1417" t="str">
        <f t="shared" si="920"/>
        <v>-</v>
      </c>
      <c r="CQ438" s="1417" t="str">
        <f t="shared" si="920"/>
        <v>-</v>
      </c>
      <c r="CR438" s="1419" t="str">
        <f t="shared" si="920"/>
        <v>-</v>
      </c>
      <c r="CS438" s="1378"/>
      <c r="CT438" s="1412" t="str">
        <f t="shared" si="793"/>
        <v>Price</v>
      </c>
      <c r="CU438" s="1413" t="str">
        <f t="shared" si="794"/>
        <v>[Service]</v>
      </c>
      <c r="CV438" s="1426" t="str">
        <f t="shared" si="795"/>
        <v>[Price]</v>
      </c>
      <c r="CW438" s="1427" t="str">
        <f t="shared" si="815"/>
        <v>-</v>
      </c>
      <c r="CX438" s="1417" t="str">
        <f t="shared" si="816"/>
        <v>-</v>
      </c>
      <c r="CY438" s="1417" t="str">
        <f t="shared" si="817"/>
        <v>-</v>
      </c>
      <c r="CZ438" s="1418" t="str">
        <f t="shared" si="818"/>
        <v>-</v>
      </c>
      <c r="DA438" s="1417" t="str">
        <f t="shared" si="819"/>
        <v>-</v>
      </c>
      <c r="DB438" s="1417" t="str">
        <f t="shared" si="820"/>
        <v>-</v>
      </c>
      <c r="DC438" s="1417" t="str">
        <f t="shared" si="821"/>
        <v>-</v>
      </c>
      <c r="DD438" s="1417" t="str">
        <f t="shared" si="822"/>
        <v>-</v>
      </c>
      <c r="DE438" s="1419" t="str">
        <f t="shared" si="823"/>
        <v>-</v>
      </c>
      <c r="DF438" s="1378"/>
      <c r="DG438" s="1412" t="str">
        <f t="shared" si="835"/>
        <v>Price</v>
      </c>
      <c r="DH438" s="1413" t="str">
        <f t="shared" si="835"/>
        <v>[Service]</v>
      </c>
      <c r="DI438" s="1426" t="str">
        <f t="shared" si="835"/>
        <v>[Price]</v>
      </c>
      <c r="DJ438" s="1427" t="str">
        <f t="shared" si="824"/>
        <v>-</v>
      </c>
      <c r="DK438" s="1417" t="str">
        <f t="shared" si="825"/>
        <v>-</v>
      </c>
      <c r="DL438" s="1417" t="str">
        <f t="shared" si="826"/>
        <v>-</v>
      </c>
      <c r="DM438" s="1418" t="str">
        <f t="shared" si="827"/>
        <v>-</v>
      </c>
      <c r="DN438" s="1417" t="str">
        <f t="shared" si="828"/>
        <v>-</v>
      </c>
      <c r="DO438" s="1417" t="str">
        <f t="shared" si="829"/>
        <v>-</v>
      </c>
      <c r="DP438" s="1417" t="str">
        <f t="shared" si="830"/>
        <v>-</v>
      </c>
      <c r="DQ438" s="1419" t="str">
        <f t="shared" si="831"/>
        <v>-</v>
      </c>
    </row>
    <row r="439" spans="4:121">
      <c r="E439" s="742" t="s">
        <v>45</v>
      </c>
      <c r="F439" s="722" t="str">
        <f>+F438</f>
        <v>[Service]</v>
      </c>
      <c r="G439" s="723">
        <f>+G438</f>
        <v>0</v>
      </c>
      <c r="H439" s="723">
        <f>+H438</f>
        <v>0</v>
      </c>
      <c r="I439" s="724" t="str">
        <f>+I438</f>
        <v>[Price]</v>
      </c>
      <c r="J439" s="782" t="s">
        <v>322</v>
      </c>
      <c r="K439" s="725"/>
      <c r="L439" s="726"/>
      <c r="M439" s="726"/>
      <c r="N439" s="727"/>
      <c r="O439" s="786"/>
      <c r="P439" s="787"/>
      <c r="Q439" s="786"/>
      <c r="R439" s="786"/>
      <c r="S439" s="786"/>
      <c r="T439" s="786"/>
      <c r="U439" s="786"/>
      <c r="V439" s="786"/>
      <c r="W439" s="786"/>
      <c r="X439" s="787"/>
      <c r="Y439" s="786"/>
      <c r="Z439" s="786"/>
      <c r="AA439" s="786"/>
      <c r="AB439" s="786"/>
      <c r="AC439" s="787"/>
      <c r="AD439" s="786"/>
      <c r="AE439" s="786"/>
      <c r="AF439" s="786"/>
      <c r="AG439" s="788"/>
      <c r="AH439" s="823"/>
      <c r="AI439" s="745"/>
      <c r="AJ439" s="728"/>
      <c r="AK439" s="729"/>
      <c r="AL439" s="729"/>
      <c r="AM439" s="729"/>
      <c r="AN439" s="729"/>
      <c r="AO439" s="730"/>
      <c r="AP439" s="74"/>
      <c r="AQ439" s="74"/>
      <c r="AR439" s="74"/>
      <c r="AS439" s="106"/>
      <c r="AW439" s="1392" t="str">
        <f t="shared" si="833"/>
        <v>Qty</v>
      </c>
      <c r="AX439" s="1393" t="str">
        <f t="shared" si="833"/>
        <v>[Service]</v>
      </c>
      <c r="AY439" s="1394" t="str">
        <f t="shared" si="797"/>
        <v>[Price]</v>
      </c>
      <c r="AZ439" s="1395" t="str">
        <f t="shared" si="917"/>
        <v>-</v>
      </c>
      <c r="BA439" s="1395" t="str">
        <f t="shared" si="917"/>
        <v>-</v>
      </c>
      <c r="BB439" s="1395" t="str">
        <f t="shared" si="917"/>
        <v>-</v>
      </c>
      <c r="BC439" s="1395" t="str">
        <f t="shared" si="917"/>
        <v>-</v>
      </c>
      <c r="BD439" s="1395" t="str">
        <f t="shared" si="799"/>
        <v>-</v>
      </c>
      <c r="BE439" s="1395" t="str">
        <f t="shared" si="800"/>
        <v>-</v>
      </c>
      <c r="BF439" s="1395" t="str">
        <f t="shared" si="801"/>
        <v>-</v>
      </c>
      <c r="BG439" s="1396" t="str">
        <f t="shared" si="802"/>
        <v>-</v>
      </c>
      <c r="BH439" s="1395" t="str">
        <f t="shared" si="803"/>
        <v>-</v>
      </c>
      <c r="BI439" s="1395" t="str">
        <f t="shared" si="804"/>
        <v>-</v>
      </c>
      <c r="BJ439" s="1395" t="str">
        <f t="shared" si="805"/>
        <v>-</v>
      </c>
      <c r="BK439" s="1395" t="str">
        <f t="shared" si="806"/>
        <v>-</v>
      </c>
      <c r="BL439" s="1397" t="str">
        <f t="shared" si="807"/>
        <v>-</v>
      </c>
      <c r="BM439" s="1395" t="str">
        <f t="shared" si="808"/>
        <v>-</v>
      </c>
      <c r="BN439" s="1395" t="str">
        <f t="shared" si="809"/>
        <v>-</v>
      </c>
      <c r="BO439" s="1395" t="str">
        <f t="shared" si="810"/>
        <v>-</v>
      </c>
      <c r="BP439" s="1395" t="str">
        <f t="shared" si="811"/>
        <v>-</v>
      </c>
      <c r="BQ439" s="1398" t="str">
        <f t="shared" si="812"/>
        <v>-</v>
      </c>
      <c r="BR439" s="1378"/>
      <c r="BS439" s="1329"/>
      <c r="BT439" s="1399"/>
      <c r="BU439" s="1331"/>
      <c r="BV439" s="1400"/>
      <c r="BW439" s="1378"/>
      <c r="BX439" s="1392" t="str">
        <f t="shared" si="813"/>
        <v>Qty</v>
      </c>
      <c r="BY439" s="1393" t="str">
        <f t="shared" si="858"/>
        <v>[Service]</v>
      </c>
      <c r="BZ439" s="1394" t="str">
        <f t="shared" si="859"/>
        <v>[Price]</v>
      </c>
      <c r="CA439" s="1401" t="str">
        <f>IFERROR((S439/R439-1)*(R440/R$13),"-")</f>
        <v>-</v>
      </c>
      <c r="CB439" s="1395" t="str">
        <f>IFERROR((T439/S439-1)*(S440/S$13),"-")</f>
        <v>-</v>
      </c>
      <c r="CC439" s="1395" t="str">
        <f>IFERROR((U439/T439-1)*(T440/T$13),"-")</f>
        <v>-</v>
      </c>
      <c r="CD439" s="1395" t="str">
        <f>IFERROR((V439/U439-1)*(U440/U$13),"-")</f>
        <v>-</v>
      </c>
      <c r="CE439" s="1395" t="str">
        <f t="shared" ref="CE439:CR439" si="921">IFERROR((T439/S439-1)*(S440/S$13),"-")</f>
        <v>-</v>
      </c>
      <c r="CF439" s="1395" t="str">
        <f t="shared" si="921"/>
        <v>-</v>
      </c>
      <c r="CG439" s="1395" t="str">
        <f t="shared" si="921"/>
        <v>-</v>
      </c>
      <c r="CH439" s="1397" t="str">
        <f t="shared" si="921"/>
        <v>-</v>
      </c>
      <c r="CI439" s="1395" t="str">
        <f t="shared" si="921"/>
        <v>-</v>
      </c>
      <c r="CJ439" s="1395" t="str">
        <f t="shared" si="921"/>
        <v>-</v>
      </c>
      <c r="CK439" s="1395" t="str">
        <f t="shared" si="921"/>
        <v>-</v>
      </c>
      <c r="CL439" s="1395" t="str">
        <f t="shared" si="921"/>
        <v>-</v>
      </c>
      <c r="CM439" s="1397" t="str">
        <f t="shared" si="921"/>
        <v>-</v>
      </c>
      <c r="CN439" s="1395" t="str">
        <f t="shared" si="921"/>
        <v>-</v>
      </c>
      <c r="CO439" s="1395" t="str">
        <f t="shared" si="921"/>
        <v>-</v>
      </c>
      <c r="CP439" s="1395" t="str">
        <f t="shared" si="921"/>
        <v>-</v>
      </c>
      <c r="CQ439" s="1395" t="str">
        <f t="shared" si="921"/>
        <v>-</v>
      </c>
      <c r="CR439" s="1398" t="str">
        <f t="shared" si="921"/>
        <v>-</v>
      </c>
      <c r="CS439" s="1378"/>
      <c r="CT439" s="1392" t="str">
        <f t="shared" si="793"/>
        <v>Qty</v>
      </c>
      <c r="CU439" s="1393" t="str">
        <f t="shared" si="794"/>
        <v>[Service]</v>
      </c>
      <c r="CV439" s="1393" t="str">
        <f t="shared" si="795"/>
        <v>[Price]</v>
      </c>
      <c r="CW439" s="1401" t="str">
        <f t="shared" si="815"/>
        <v>-</v>
      </c>
      <c r="CX439" s="1395" t="str">
        <f t="shared" si="816"/>
        <v>-</v>
      </c>
      <c r="CY439" s="1395" t="str">
        <f t="shared" si="817"/>
        <v>-</v>
      </c>
      <c r="CZ439" s="1397" t="str">
        <f t="shared" si="818"/>
        <v>-</v>
      </c>
      <c r="DA439" s="1395" t="str">
        <f t="shared" si="819"/>
        <v>-</v>
      </c>
      <c r="DB439" s="1395" t="str">
        <f t="shared" si="820"/>
        <v>-</v>
      </c>
      <c r="DC439" s="1395" t="str">
        <f t="shared" si="821"/>
        <v>-</v>
      </c>
      <c r="DD439" s="1395" t="str">
        <f t="shared" si="822"/>
        <v>-</v>
      </c>
      <c r="DE439" s="1398" t="str">
        <f t="shared" si="823"/>
        <v>-</v>
      </c>
      <c r="DF439" s="1378"/>
      <c r="DG439" s="1392" t="str">
        <f t="shared" si="835"/>
        <v>Qty</v>
      </c>
      <c r="DH439" s="1393" t="str">
        <f t="shared" si="835"/>
        <v>[Service]</v>
      </c>
      <c r="DI439" s="1393" t="str">
        <f t="shared" si="835"/>
        <v>[Price]</v>
      </c>
      <c r="DJ439" s="1401" t="str">
        <f t="shared" si="824"/>
        <v>-</v>
      </c>
      <c r="DK439" s="1395" t="str">
        <f t="shared" si="825"/>
        <v>-</v>
      </c>
      <c r="DL439" s="1395" t="str">
        <f t="shared" si="826"/>
        <v>-</v>
      </c>
      <c r="DM439" s="1397" t="str">
        <f t="shared" si="827"/>
        <v>-</v>
      </c>
      <c r="DN439" s="1395" t="str">
        <f t="shared" si="828"/>
        <v>-</v>
      </c>
      <c r="DO439" s="1395" t="str">
        <f t="shared" si="829"/>
        <v>-</v>
      </c>
      <c r="DP439" s="1395" t="str">
        <f t="shared" si="830"/>
        <v>-</v>
      </c>
      <c r="DQ439" s="1398" t="str">
        <f t="shared" si="831"/>
        <v>-</v>
      </c>
    </row>
    <row r="440" spans="4:121" ht="12.75" thickBot="1">
      <c r="E440" s="743" t="s">
        <v>46</v>
      </c>
      <c r="F440" s="732" t="str">
        <f>+F438</f>
        <v>[Service]</v>
      </c>
      <c r="G440" s="733">
        <f>+G438</f>
        <v>0</v>
      </c>
      <c r="H440" s="733">
        <f>+H438</f>
        <v>0</v>
      </c>
      <c r="I440" s="734" t="str">
        <f>+I438</f>
        <v>[Price]</v>
      </c>
      <c r="J440" s="735" t="s">
        <v>344</v>
      </c>
      <c r="K440" s="736">
        <f t="shared" ref="K440:AG440" si="922">K438*K439/10^6</f>
        <v>0</v>
      </c>
      <c r="L440" s="737">
        <f t="shared" si="922"/>
        <v>0</v>
      </c>
      <c r="M440" s="737">
        <f t="shared" si="922"/>
        <v>0</v>
      </c>
      <c r="N440" s="738">
        <f t="shared" si="922"/>
        <v>0</v>
      </c>
      <c r="O440" s="737">
        <f t="shared" si="922"/>
        <v>0</v>
      </c>
      <c r="P440" s="738">
        <f t="shared" si="922"/>
        <v>0</v>
      </c>
      <c r="Q440" s="737">
        <f t="shared" si="922"/>
        <v>0</v>
      </c>
      <c r="R440" s="737">
        <f t="shared" si="922"/>
        <v>0</v>
      </c>
      <c r="S440" s="737">
        <f t="shared" si="922"/>
        <v>0</v>
      </c>
      <c r="T440" s="737">
        <f t="shared" si="922"/>
        <v>0</v>
      </c>
      <c r="U440" s="737">
        <f t="shared" si="922"/>
        <v>0</v>
      </c>
      <c r="V440" s="737">
        <f t="shared" si="922"/>
        <v>0</v>
      </c>
      <c r="W440" s="737">
        <f t="shared" si="922"/>
        <v>0</v>
      </c>
      <c r="X440" s="738">
        <f t="shared" si="922"/>
        <v>0</v>
      </c>
      <c r="Y440" s="737">
        <f t="shared" si="922"/>
        <v>0</v>
      </c>
      <c r="Z440" s="737">
        <f t="shared" si="922"/>
        <v>0</v>
      </c>
      <c r="AA440" s="737">
        <f t="shared" si="922"/>
        <v>0</v>
      </c>
      <c r="AB440" s="737">
        <f t="shared" si="922"/>
        <v>0</v>
      </c>
      <c r="AC440" s="738">
        <f t="shared" si="922"/>
        <v>0</v>
      </c>
      <c r="AD440" s="737">
        <f t="shared" si="922"/>
        <v>0</v>
      </c>
      <c r="AE440" s="737">
        <f t="shared" si="922"/>
        <v>0</v>
      </c>
      <c r="AF440" s="737">
        <f t="shared" si="922"/>
        <v>0</v>
      </c>
      <c r="AG440" s="739">
        <f t="shared" si="922"/>
        <v>0</v>
      </c>
      <c r="AH440" s="823"/>
      <c r="AI440" s="745"/>
      <c r="AJ440" s="741"/>
      <c r="AK440" s="729"/>
      <c r="AL440" s="729"/>
      <c r="AM440" s="729"/>
      <c r="AN440" s="729"/>
      <c r="AO440" s="730"/>
      <c r="AP440" s="74"/>
      <c r="AQ440" s="74"/>
      <c r="AR440" s="74"/>
      <c r="AS440" s="106"/>
      <c r="AW440" s="1428" t="str">
        <f t="shared" si="833"/>
        <v>Rev</v>
      </c>
      <c r="AX440" s="1429" t="str">
        <f t="shared" si="833"/>
        <v>[Service]</v>
      </c>
      <c r="AY440" s="1430" t="str">
        <f t="shared" si="797"/>
        <v>[Price]</v>
      </c>
      <c r="AZ440" s="1431" t="str">
        <f t="shared" si="917"/>
        <v>-</v>
      </c>
      <c r="BA440" s="1431" t="str">
        <f t="shared" si="917"/>
        <v>-</v>
      </c>
      <c r="BB440" s="1431" t="str">
        <f t="shared" si="917"/>
        <v>-</v>
      </c>
      <c r="BC440" s="1431" t="str">
        <f t="shared" si="917"/>
        <v>-</v>
      </c>
      <c r="BD440" s="1431" t="str">
        <f t="shared" si="799"/>
        <v>-</v>
      </c>
      <c r="BE440" s="1431" t="str">
        <f t="shared" si="800"/>
        <v>-</v>
      </c>
      <c r="BF440" s="1431" t="str">
        <f t="shared" si="801"/>
        <v>-</v>
      </c>
      <c r="BG440" s="1432" t="str">
        <f t="shared" si="802"/>
        <v>-</v>
      </c>
      <c r="BH440" s="1431" t="str">
        <f t="shared" si="803"/>
        <v>-</v>
      </c>
      <c r="BI440" s="1431" t="str">
        <f t="shared" si="804"/>
        <v>-</v>
      </c>
      <c r="BJ440" s="1431" t="str">
        <f t="shared" si="805"/>
        <v>-</v>
      </c>
      <c r="BK440" s="1431" t="str">
        <f t="shared" si="806"/>
        <v>-</v>
      </c>
      <c r="BL440" s="1433" t="str">
        <f t="shared" si="807"/>
        <v>-</v>
      </c>
      <c r="BM440" s="1431" t="str">
        <f t="shared" si="808"/>
        <v>-</v>
      </c>
      <c r="BN440" s="1431" t="str">
        <f t="shared" si="809"/>
        <v>-</v>
      </c>
      <c r="BO440" s="1431" t="str">
        <f t="shared" si="810"/>
        <v>-</v>
      </c>
      <c r="BP440" s="1431" t="str">
        <f t="shared" si="811"/>
        <v>-</v>
      </c>
      <c r="BQ440" s="1434" t="str">
        <f t="shared" si="812"/>
        <v>-</v>
      </c>
      <c r="BR440" s="1378"/>
      <c r="BS440" s="1407"/>
      <c r="BT440" s="1408"/>
      <c r="BU440" s="1409"/>
      <c r="BV440" s="1410"/>
      <c r="BW440" s="1378"/>
      <c r="BX440" s="1428" t="str">
        <f t="shared" si="813"/>
        <v>Rev</v>
      </c>
      <c r="BY440" s="1429" t="str">
        <f t="shared" si="858"/>
        <v>[Service]</v>
      </c>
      <c r="BZ440" s="1430" t="str">
        <f t="shared" si="859"/>
        <v>[Price]</v>
      </c>
      <c r="CA440" s="1435" t="str">
        <f>IFERROR((S440/R440-1)*(R440/R$13),"-")</f>
        <v>-</v>
      </c>
      <c r="CB440" s="1431" t="str">
        <f>IFERROR((T440/S440-1)*(S440/S$13),"-")</f>
        <v>-</v>
      </c>
      <c r="CC440" s="1431" t="str">
        <f>IFERROR((U440/T440-1)*(T440/T$13),"-")</f>
        <v>-</v>
      </c>
      <c r="CD440" s="1431" t="str">
        <f>IFERROR((V440/U440-1)*(U440/U$13),"-")</f>
        <v>-</v>
      </c>
      <c r="CE440" s="1431" t="str">
        <f t="shared" ref="CE440:CR440" si="923">IFERROR((T440/S440-1)*(S440/S$13),"-")</f>
        <v>-</v>
      </c>
      <c r="CF440" s="1431" t="str">
        <f t="shared" si="923"/>
        <v>-</v>
      </c>
      <c r="CG440" s="1431" t="str">
        <f t="shared" si="923"/>
        <v>-</v>
      </c>
      <c r="CH440" s="1433" t="str">
        <f t="shared" si="923"/>
        <v>-</v>
      </c>
      <c r="CI440" s="1431" t="str">
        <f t="shared" si="923"/>
        <v>-</v>
      </c>
      <c r="CJ440" s="1431" t="str">
        <f t="shared" si="923"/>
        <v>-</v>
      </c>
      <c r="CK440" s="1431" t="str">
        <f t="shared" si="923"/>
        <v>-</v>
      </c>
      <c r="CL440" s="1431" t="str">
        <f t="shared" si="923"/>
        <v>-</v>
      </c>
      <c r="CM440" s="1433" t="str">
        <f t="shared" si="923"/>
        <v>-</v>
      </c>
      <c r="CN440" s="1431" t="str">
        <f t="shared" si="923"/>
        <v>-</v>
      </c>
      <c r="CO440" s="1431" t="str">
        <f t="shared" si="923"/>
        <v>-</v>
      </c>
      <c r="CP440" s="1431" t="str">
        <f t="shared" si="923"/>
        <v>-</v>
      </c>
      <c r="CQ440" s="1431" t="str">
        <f t="shared" si="923"/>
        <v>-</v>
      </c>
      <c r="CR440" s="1434" t="str">
        <f t="shared" si="923"/>
        <v>-</v>
      </c>
      <c r="CS440" s="1378"/>
      <c r="CT440" s="1428" t="str">
        <f t="shared" si="793"/>
        <v>Rev</v>
      </c>
      <c r="CU440" s="1429" t="str">
        <f t="shared" si="794"/>
        <v>[Service]</v>
      </c>
      <c r="CV440" s="1429" t="str">
        <f t="shared" si="795"/>
        <v>[Price]</v>
      </c>
      <c r="CW440" s="1435" t="str">
        <f t="shared" si="815"/>
        <v>-</v>
      </c>
      <c r="CX440" s="1431" t="str">
        <f t="shared" si="816"/>
        <v>-</v>
      </c>
      <c r="CY440" s="1431" t="str">
        <f t="shared" si="817"/>
        <v>-</v>
      </c>
      <c r="CZ440" s="1433" t="str">
        <f t="shared" si="818"/>
        <v>-</v>
      </c>
      <c r="DA440" s="1431" t="str">
        <f t="shared" si="819"/>
        <v>-</v>
      </c>
      <c r="DB440" s="1431" t="str">
        <f t="shared" si="820"/>
        <v>-</v>
      </c>
      <c r="DC440" s="1431" t="str">
        <f t="shared" si="821"/>
        <v>-</v>
      </c>
      <c r="DD440" s="1431" t="str">
        <f t="shared" si="822"/>
        <v>-</v>
      </c>
      <c r="DE440" s="1434" t="str">
        <f t="shared" si="823"/>
        <v>-</v>
      </c>
      <c r="DF440" s="1378"/>
      <c r="DG440" s="1428" t="str">
        <f t="shared" si="835"/>
        <v>Rev</v>
      </c>
      <c r="DH440" s="1429" t="str">
        <f t="shared" si="835"/>
        <v>[Service]</v>
      </c>
      <c r="DI440" s="1429" t="str">
        <f t="shared" si="835"/>
        <v>[Price]</v>
      </c>
      <c r="DJ440" s="1435" t="str">
        <f t="shared" si="824"/>
        <v>-</v>
      </c>
      <c r="DK440" s="1431" t="str">
        <f t="shared" si="825"/>
        <v>-</v>
      </c>
      <c r="DL440" s="1431" t="str">
        <f t="shared" si="826"/>
        <v>-</v>
      </c>
      <c r="DM440" s="1433" t="str">
        <f t="shared" si="827"/>
        <v>-</v>
      </c>
      <c r="DN440" s="1431" t="str">
        <f t="shared" si="828"/>
        <v>-</v>
      </c>
      <c r="DO440" s="1431" t="str">
        <f t="shared" si="829"/>
        <v>-</v>
      </c>
      <c r="DP440" s="1431" t="str">
        <f t="shared" si="830"/>
        <v>-</v>
      </c>
      <c r="DQ440" s="1434" t="str">
        <f t="shared" si="831"/>
        <v>-</v>
      </c>
    </row>
    <row r="441" spans="4:121">
      <c r="D441" s="70">
        <f>D438+1</f>
        <v>125</v>
      </c>
      <c r="E441" s="713" t="s">
        <v>44</v>
      </c>
      <c r="F441" s="789" t="s">
        <v>27</v>
      </c>
      <c r="G441" s="789"/>
      <c r="H441" s="789"/>
      <c r="I441" s="781" t="s">
        <v>318</v>
      </c>
      <c r="J441" s="781" t="s">
        <v>345</v>
      </c>
      <c r="K441" s="714"/>
      <c r="L441" s="715"/>
      <c r="M441" s="715"/>
      <c r="N441" s="716"/>
      <c r="O441" s="783"/>
      <c r="P441" s="784"/>
      <c r="Q441" s="783"/>
      <c r="R441" s="783"/>
      <c r="S441" s="783"/>
      <c r="T441" s="783"/>
      <c r="U441" s="783"/>
      <c r="V441" s="783"/>
      <c r="W441" s="783"/>
      <c r="X441" s="784"/>
      <c r="Y441" s="783"/>
      <c r="Z441" s="783"/>
      <c r="AA441" s="783"/>
      <c r="AB441" s="783"/>
      <c r="AC441" s="784"/>
      <c r="AD441" s="783"/>
      <c r="AE441" s="783"/>
      <c r="AF441" s="783"/>
      <c r="AG441" s="785"/>
      <c r="AI441" s="745"/>
      <c r="AJ441" s="717" t="str">
        <f t="shared" ref="AJ441:AS441" si="924">IFERROR((X441-W441)/W441,"")</f>
        <v/>
      </c>
      <c r="AK441" s="718" t="str">
        <f t="shared" si="924"/>
        <v/>
      </c>
      <c r="AL441" s="718" t="str">
        <f t="shared" si="924"/>
        <v/>
      </c>
      <c r="AM441" s="718" t="str">
        <f t="shared" si="924"/>
        <v/>
      </c>
      <c r="AN441" s="718" t="str">
        <f t="shared" si="924"/>
        <v/>
      </c>
      <c r="AO441" s="719" t="str">
        <f t="shared" si="924"/>
        <v/>
      </c>
      <c r="AP441" s="494" t="str">
        <f t="shared" si="924"/>
        <v/>
      </c>
      <c r="AQ441" s="494" t="str">
        <f t="shared" si="924"/>
        <v/>
      </c>
      <c r="AR441" s="494" t="str">
        <f t="shared" si="924"/>
        <v/>
      </c>
      <c r="AS441" s="720" t="str">
        <f t="shared" si="924"/>
        <v/>
      </c>
      <c r="AU441" s="1369"/>
      <c r="AW441" s="1412" t="str">
        <f t="shared" si="833"/>
        <v>Price</v>
      </c>
      <c r="AX441" s="1413" t="str">
        <f t="shared" si="833"/>
        <v>[Service]</v>
      </c>
      <c r="AY441" s="1414" t="str">
        <f t="shared" si="797"/>
        <v>[Price]</v>
      </c>
      <c r="AZ441" s="1415" t="str">
        <f t="shared" si="917"/>
        <v>-</v>
      </c>
      <c r="BA441" s="1415" t="str">
        <f t="shared" si="917"/>
        <v>-</v>
      </c>
      <c r="BB441" s="1415" t="str">
        <f t="shared" si="917"/>
        <v>-</v>
      </c>
      <c r="BC441" s="1415" t="str">
        <f t="shared" si="917"/>
        <v>-</v>
      </c>
      <c r="BD441" s="1415" t="str">
        <f t="shared" si="799"/>
        <v>-</v>
      </c>
      <c r="BE441" s="1415" t="str">
        <f t="shared" si="800"/>
        <v>-</v>
      </c>
      <c r="BF441" s="1415" t="str">
        <f t="shared" si="801"/>
        <v>-</v>
      </c>
      <c r="BG441" s="1416" t="str">
        <f t="shared" si="802"/>
        <v>-</v>
      </c>
      <c r="BH441" s="1417" t="str">
        <f t="shared" si="803"/>
        <v>-</v>
      </c>
      <c r="BI441" s="1417" t="str">
        <f t="shared" si="804"/>
        <v>-</v>
      </c>
      <c r="BJ441" s="1417" t="str">
        <f t="shared" si="805"/>
        <v>-</v>
      </c>
      <c r="BK441" s="1417" t="str">
        <f t="shared" si="806"/>
        <v>-</v>
      </c>
      <c r="BL441" s="1418" t="str">
        <f t="shared" si="807"/>
        <v>-</v>
      </c>
      <c r="BM441" s="1417" t="str">
        <f t="shared" si="808"/>
        <v>-</v>
      </c>
      <c r="BN441" s="1417" t="str">
        <f t="shared" si="809"/>
        <v>-</v>
      </c>
      <c r="BO441" s="1417" t="str">
        <f t="shared" si="810"/>
        <v>-</v>
      </c>
      <c r="BP441" s="1417" t="str">
        <f t="shared" si="811"/>
        <v>-</v>
      </c>
      <c r="BQ441" s="1419" t="str">
        <f t="shared" si="812"/>
        <v>-</v>
      </c>
      <c r="BR441" s="1378"/>
      <c r="BS441" s="1420"/>
      <c r="BT441" s="1421"/>
      <c r="BU441" s="1422"/>
      <c r="BV441" s="1423"/>
      <c r="BW441" s="1378"/>
      <c r="BX441" s="1412" t="str">
        <f t="shared" si="813"/>
        <v>Price</v>
      </c>
      <c r="BY441" s="1413" t="str">
        <f t="shared" si="858"/>
        <v>[Service]</v>
      </c>
      <c r="BZ441" s="1414" t="str">
        <f t="shared" si="859"/>
        <v>[Price]</v>
      </c>
      <c r="CA441" s="1415" t="str">
        <f>IFERROR((S441/R441-1)*(R443/R$13),"-")</f>
        <v>-</v>
      </c>
      <c r="CB441" s="1415" t="str">
        <f>IFERROR((T441/S441-1)*(S443/S$13),"-")</f>
        <v>-</v>
      </c>
      <c r="CC441" s="1415" t="str">
        <f>IFERROR((U441/T441-1)*(T443/T$13),"-")</f>
        <v>-</v>
      </c>
      <c r="CD441" s="1415" t="str">
        <f>IFERROR((V441/U441-1)*(U443/U$13),"-")</f>
        <v>-</v>
      </c>
      <c r="CE441" s="1415" t="str">
        <f t="shared" ref="CE441:CR441" si="925">IFERROR((T441/S441-1)*(S443/S$13),"-")</f>
        <v>-</v>
      </c>
      <c r="CF441" s="1415" t="str">
        <f t="shared" si="925"/>
        <v>-</v>
      </c>
      <c r="CG441" s="1415" t="str">
        <f t="shared" si="925"/>
        <v>-</v>
      </c>
      <c r="CH441" s="1425" t="str">
        <f t="shared" si="925"/>
        <v>-</v>
      </c>
      <c r="CI441" s="1417" t="str">
        <f t="shared" si="925"/>
        <v>-</v>
      </c>
      <c r="CJ441" s="1417" t="str">
        <f t="shared" si="925"/>
        <v>-</v>
      </c>
      <c r="CK441" s="1417" t="str">
        <f t="shared" si="925"/>
        <v>-</v>
      </c>
      <c r="CL441" s="1417" t="str">
        <f t="shared" si="925"/>
        <v>-</v>
      </c>
      <c r="CM441" s="1418" t="str">
        <f t="shared" si="925"/>
        <v>-</v>
      </c>
      <c r="CN441" s="1417" t="str">
        <f t="shared" si="925"/>
        <v>-</v>
      </c>
      <c r="CO441" s="1417" t="str">
        <f t="shared" si="925"/>
        <v>-</v>
      </c>
      <c r="CP441" s="1417" t="str">
        <f t="shared" si="925"/>
        <v>-</v>
      </c>
      <c r="CQ441" s="1417" t="str">
        <f t="shared" si="925"/>
        <v>-</v>
      </c>
      <c r="CR441" s="1419" t="str">
        <f t="shared" si="925"/>
        <v>-</v>
      </c>
      <c r="CS441" s="1378"/>
      <c r="CT441" s="1412" t="str">
        <f t="shared" si="793"/>
        <v>Price</v>
      </c>
      <c r="CU441" s="1413" t="str">
        <f t="shared" si="794"/>
        <v>[Service]</v>
      </c>
      <c r="CV441" s="1426" t="str">
        <f t="shared" si="795"/>
        <v>[Price]</v>
      </c>
      <c r="CW441" s="1427" t="str">
        <f t="shared" si="815"/>
        <v>-</v>
      </c>
      <c r="CX441" s="1417" t="str">
        <f t="shared" si="816"/>
        <v>-</v>
      </c>
      <c r="CY441" s="1417" t="str">
        <f t="shared" si="817"/>
        <v>-</v>
      </c>
      <c r="CZ441" s="1418" t="str">
        <f t="shared" si="818"/>
        <v>-</v>
      </c>
      <c r="DA441" s="1417" t="str">
        <f t="shared" si="819"/>
        <v>-</v>
      </c>
      <c r="DB441" s="1417" t="str">
        <f t="shared" si="820"/>
        <v>-</v>
      </c>
      <c r="DC441" s="1417" t="str">
        <f t="shared" si="821"/>
        <v>-</v>
      </c>
      <c r="DD441" s="1417" t="str">
        <f t="shared" si="822"/>
        <v>-</v>
      </c>
      <c r="DE441" s="1419" t="str">
        <f t="shared" si="823"/>
        <v>-</v>
      </c>
      <c r="DF441" s="1378"/>
      <c r="DG441" s="1412" t="str">
        <f t="shared" si="835"/>
        <v>Price</v>
      </c>
      <c r="DH441" s="1413" t="str">
        <f t="shared" si="835"/>
        <v>[Service]</v>
      </c>
      <c r="DI441" s="1426" t="str">
        <f t="shared" si="835"/>
        <v>[Price]</v>
      </c>
      <c r="DJ441" s="1427" t="str">
        <f t="shared" si="824"/>
        <v>-</v>
      </c>
      <c r="DK441" s="1417" t="str">
        <f t="shared" si="825"/>
        <v>-</v>
      </c>
      <c r="DL441" s="1417" t="str">
        <f t="shared" si="826"/>
        <v>-</v>
      </c>
      <c r="DM441" s="1418" t="str">
        <f t="shared" si="827"/>
        <v>-</v>
      </c>
      <c r="DN441" s="1417" t="str">
        <f t="shared" si="828"/>
        <v>-</v>
      </c>
      <c r="DO441" s="1417" t="str">
        <f t="shared" si="829"/>
        <v>-</v>
      </c>
      <c r="DP441" s="1417" t="str">
        <f t="shared" si="830"/>
        <v>-</v>
      </c>
      <c r="DQ441" s="1419" t="str">
        <f t="shared" si="831"/>
        <v>-</v>
      </c>
    </row>
    <row r="442" spans="4:121">
      <c r="E442" s="742" t="s">
        <v>45</v>
      </c>
      <c r="F442" s="722" t="str">
        <f>+F441</f>
        <v>[Service]</v>
      </c>
      <c r="G442" s="723">
        <f>+G441</f>
        <v>0</v>
      </c>
      <c r="H442" s="723">
        <f>+H441</f>
        <v>0</v>
      </c>
      <c r="I442" s="724" t="str">
        <f>+I441</f>
        <v>[Price]</v>
      </c>
      <c r="J442" s="782" t="s">
        <v>322</v>
      </c>
      <c r="K442" s="725"/>
      <c r="L442" s="726"/>
      <c r="M442" s="726"/>
      <c r="N442" s="727"/>
      <c r="O442" s="786"/>
      <c r="P442" s="787"/>
      <c r="Q442" s="786"/>
      <c r="R442" s="786"/>
      <c r="S442" s="786"/>
      <c r="T442" s="786"/>
      <c r="U442" s="786"/>
      <c r="V442" s="786"/>
      <c r="W442" s="786"/>
      <c r="X442" s="787"/>
      <c r="Y442" s="786"/>
      <c r="Z442" s="786"/>
      <c r="AA442" s="786"/>
      <c r="AB442" s="786"/>
      <c r="AC442" s="787"/>
      <c r="AD442" s="786"/>
      <c r="AE442" s="786"/>
      <c r="AF442" s="786"/>
      <c r="AG442" s="788"/>
      <c r="AH442" s="823"/>
      <c r="AI442" s="745"/>
      <c r="AJ442" s="728"/>
      <c r="AK442" s="729"/>
      <c r="AL442" s="729"/>
      <c r="AM442" s="729"/>
      <c r="AN442" s="729"/>
      <c r="AO442" s="730"/>
      <c r="AP442" s="74"/>
      <c r="AQ442" s="74"/>
      <c r="AR442" s="74"/>
      <c r="AS442" s="106"/>
      <c r="AW442" s="1392" t="str">
        <f t="shared" si="833"/>
        <v>Qty</v>
      </c>
      <c r="AX442" s="1393" t="str">
        <f t="shared" si="833"/>
        <v>[Service]</v>
      </c>
      <c r="AY442" s="1394" t="str">
        <f t="shared" si="797"/>
        <v>[Price]</v>
      </c>
      <c r="AZ442" s="1395" t="str">
        <f t="shared" si="917"/>
        <v>-</v>
      </c>
      <c r="BA442" s="1395" t="str">
        <f t="shared" si="917"/>
        <v>-</v>
      </c>
      <c r="BB442" s="1395" t="str">
        <f t="shared" si="917"/>
        <v>-</v>
      </c>
      <c r="BC442" s="1395" t="str">
        <f t="shared" si="917"/>
        <v>-</v>
      </c>
      <c r="BD442" s="1395" t="str">
        <f t="shared" si="799"/>
        <v>-</v>
      </c>
      <c r="BE442" s="1395" t="str">
        <f t="shared" si="800"/>
        <v>-</v>
      </c>
      <c r="BF442" s="1395" t="str">
        <f t="shared" si="801"/>
        <v>-</v>
      </c>
      <c r="BG442" s="1396" t="str">
        <f t="shared" si="802"/>
        <v>-</v>
      </c>
      <c r="BH442" s="1395" t="str">
        <f t="shared" si="803"/>
        <v>-</v>
      </c>
      <c r="BI442" s="1395" t="str">
        <f t="shared" si="804"/>
        <v>-</v>
      </c>
      <c r="BJ442" s="1395" t="str">
        <f t="shared" si="805"/>
        <v>-</v>
      </c>
      <c r="BK442" s="1395" t="str">
        <f t="shared" si="806"/>
        <v>-</v>
      </c>
      <c r="BL442" s="1397" t="str">
        <f t="shared" si="807"/>
        <v>-</v>
      </c>
      <c r="BM442" s="1395" t="str">
        <f t="shared" si="808"/>
        <v>-</v>
      </c>
      <c r="BN442" s="1395" t="str">
        <f t="shared" si="809"/>
        <v>-</v>
      </c>
      <c r="BO442" s="1395" t="str">
        <f t="shared" si="810"/>
        <v>-</v>
      </c>
      <c r="BP442" s="1395" t="str">
        <f t="shared" si="811"/>
        <v>-</v>
      </c>
      <c r="BQ442" s="1398" t="str">
        <f t="shared" si="812"/>
        <v>-</v>
      </c>
      <c r="BR442" s="1378"/>
      <c r="BS442" s="1329"/>
      <c r="BT442" s="1399"/>
      <c r="BU442" s="1331"/>
      <c r="BV442" s="1400"/>
      <c r="BW442" s="1378"/>
      <c r="BX442" s="1392" t="str">
        <f t="shared" si="813"/>
        <v>Qty</v>
      </c>
      <c r="BY442" s="1393" t="str">
        <f t="shared" si="858"/>
        <v>[Service]</v>
      </c>
      <c r="BZ442" s="1394" t="str">
        <f t="shared" si="859"/>
        <v>[Price]</v>
      </c>
      <c r="CA442" s="1395" t="str">
        <f>IFERROR((S442/R442-1)*(R443/R$13),"-")</f>
        <v>-</v>
      </c>
      <c r="CB442" s="1395" t="str">
        <f>IFERROR((T442/S442-1)*(S443/S$13),"-")</f>
        <v>-</v>
      </c>
      <c r="CC442" s="1395" t="str">
        <f>IFERROR((U442/T442-1)*(T443/T$13),"-")</f>
        <v>-</v>
      </c>
      <c r="CD442" s="1395" t="str">
        <f>IFERROR((V442/U442-1)*(U443/U$13),"-")</f>
        <v>-</v>
      </c>
      <c r="CE442" s="1395" t="str">
        <f t="shared" ref="CE442:CR442" si="926">IFERROR((T442/S442-1)*(S443/S$13),"-")</f>
        <v>-</v>
      </c>
      <c r="CF442" s="1395" t="str">
        <f t="shared" si="926"/>
        <v>-</v>
      </c>
      <c r="CG442" s="1395" t="str">
        <f t="shared" si="926"/>
        <v>-</v>
      </c>
      <c r="CH442" s="1397" t="str">
        <f t="shared" si="926"/>
        <v>-</v>
      </c>
      <c r="CI442" s="1395" t="str">
        <f t="shared" si="926"/>
        <v>-</v>
      </c>
      <c r="CJ442" s="1395" t="str">
        <f t="shared" si="926"/>
        <v>-</v>
      </c>
      <c r="CK442" s="1395" t="str">
        <f t="shared" si="926"/>
        <v>-</v>
      </c>
      <c r="CL442" s="1395" t="str">
        <f t="shared" si="926"/>
        <v>-</v>
      </c>
      <c r="CM442" s="1397" t="str">
        <f t="shared" si="926"/>
        <v>-</v>
      </c>
      <c r="CN442" s="1395" t="str">
        <f t="shared" si="926"/>
        <v>-</v>
      </c>
      <c r="CO442" s="1395" t="str">
        <f t="shared" si="926"/>
        <v>-</v>
      </c>
      <c r="CP442" s="1395" t="str">
        <f t="shared" si="926"/>
        <v>-</v>
      </c>
      <c r="CQ442" s="1395" t="str">
        <f t="shared" si="926"/>
        <v>-</v>
      </c>
      <c r="CR442" s="1398" t="str">
        <f t="shared" si="926"/>
        <v>-</v>
      </c>
      <c r="CS442" s="1378"/>
      <c r="CT442" s="1392" t="str">
        <f t="shared" si="793"/>
        <v>Qty</v>
      </c>
      <c r="CU442" s="1393" t="str">
        <f t="shared" si="794"/>
        <v>[Service]</v>
      </c>
      <c r="CV442" s="1393" t="str">
        <f t="shared" si="795"/>
        <v>[Price]</v>
      </c>
      <c r="CW442" s="1401" t="str">
        <f t="shared" si="815"/>
        <v>-</v>
      </c>
      <c r="CX442" s="1395" t="str">
        <f t="shared" si="816"/>
        <v>-</v>
      </c>
      <c r="CY442" s="1395" t="str">
        <f t="shared" si="817"/>
        <v>-</v>
      </c>
      <c r="CZ442" s="1397" t="str">
        <f t="shared" si="818"/>
        <v>-</v>
      </c>
      <c r="DA442" s="1395" t="str">
        <f t="shared" si="819"/>
        <v>-</v>
      </c>
      <c r="DB442" s="1395" t="str">
        <f t="shared" si="820"/>
        <v>-</v>
      </c>
      <c r="DC442" s="1395" t="str">
        <f t="shared" si="821"/>
        <v>-</v>
      </c>
      <c r="DD442" s="1395" t="str">
        <f t="shared" si="822"/>
        <v>-</v>
      </c>
      <c r="DE442" s="1398" t="str">
        <f t="shared" si="823"/>
        <v>-</v>
      </c>
      <c r="DF442" s="1378"/>
      <c r="DG442" s="1392" t="str">
        <f t="shared" si="835"/>
        <v>Qty</v>
      </c>
      <c r="DH442" s="1393" t="str">
        <f t="shared" si="835"/>
        <v>[Service]</v>
      </c>
      <c r="DI442" s="1393" t="str">
        <f t="shared" si="835"/>
        <v>[Price]</v>
      </c>
      <c r="DJ442" s="1401" t="str">
        <f t="shared" si="824"/>
        <v>-</v>
      </c>
      <c r="DK442" s="1395" t="str">
        <f t="shared" si="825"/>
        <v>-</v>
      </c>
      <c r="DL442" s="1395" t="str">
        <f t="shared" si="826"/>
        <v>-</v>
      </c>
      <c r="DM442" s="1397" t="str">
        <f t="shared" si="827"/>
        <v>-</v>
      </c>
      <c r="DN442" s="1395" t="str">
        <f t="shared" si="828"/>
        <v>-</v>
      </c>
      <c r="DO442" s="1395" t="str">
        <f t="shared" si="829"/>
        <v>-</v>
      </c>
      <c r="DP442" s="1395" t="str">
        <f t="shared" si="830"/>
        <v>-</v>
      </c>
      <c r="DQ442" s="1398" t="str">
        <f t="shared" si="831"/>
        <v>-</v>
      </c>
    </row>
    <row r="443" spans="4:121" ht="12.75" thickBot="1">
      <c r="E443" s="743" t="s">
        <v>46</v>
      </c>
      <c r="F443" s="732" t="str">
        <f>+F441</f>
        <v>[Service]</v>
      </c>
      <c r="G443" s="733">
        <f>+G441</f>
        <v>0</v>
      </c>
      <c r="H443" s="733">
        <f>+H441</f>
        <v>0</v>
      </c>
      <c r="I443" s="734" t="str">
        <f>+I441</f>
        <v>[Price]</v>
      </c>
      <c r="J443" s="735" t="s">
        <v>344</v>
      </c>
      <c r="K443" s="736">
        <f t="shared" ref="K443:AG443" si="927">K441*K442/10^6</f>
        <v>0</v>
      </c>
      <c r="L443" s="737">
        <f t="shared" si="927"/>
        <v>0</v>
      </c>
      <c r="M443" s="737">
        <f t="shared" si="927"/>
        <v>0</v>
      </c>
      <c r="N443" s="738">
        <f t="shared" si="927"/>
        <v>0</v>
      </c>
      <c r="O443" s="737">
        <f t="shared" si="927"/>
        <v>0</v>
      </c>
      <c r="P443" s="738">
        <f t="shared" si="927"/>
        <v>0</v>
      </c>
      <c r="Q443" s="737">
        <f t="shared" si="927"/>
        <v>0</v>
      </c>
      <c r="R443" s="737">
        <f t="shared" si="927"/>
        <v>0</v>
      </c>
      <c r="S443" s="737">
        <f t="shared" si="927"/>
        <v>0</v>
      </c>
      <c r="T443" s="737">
        <f t="shared" si="927"/>
        <v>0</v>
      </c>
      <c r="U443" s="737">
        <f t="shared" si="927"/>
        <v>0</v>
      </c>
      <c r="V443" s="737">
        <f t="shared" si="927"/>
        <v>0</v>
      </c>
      <c r="W443" s="737">
        <f t="shared" si="927"/>
        <v>0</v>
      </c>
      <c r="X443" s="738">
        <f t="shared" si="927"/>
        <v>0</v>
      </c>
      <c r="Y443" s="737">
        <f t="shared" si="927"/>
        <v>0</v>
      </c>
      <c r="Z443" s="737">
        <f t="shared" si="927"/>
        <v>0</v>
      </c>
      <c r="AA443" s="737">
        <f t="shared" si="927"/>
        <v>0</v>
      </c>
      <c r="AB443" s="737">
        <f t="shared" si="927"/>
        <v>0</v>
      </c>
      <c r="AC443" s="738">
        <f t="shared" si="927"/>
        <v>0</v>
      </c>
      <c r="AD443" s="737">
        <f t="shared" si="927"/>
        <v>0</v>
      </c>
      <c r="AE443" s="737">
        <f t="shared" si="927"/>
        <v>0</v>
      </c>
      <c r="AF443" s="737">
        <f t="shared" si="927"/>
        <v>0</v>
      </c>
      <c r="AG443" s="739">
        <f t="shared" si="927"/>
        <v>0</v>
      </c>
      <c r="AH443" s="823"/>
      <c r="AI443" s="745"/>
      <c r="AJ443" s="746"/>
      <c r="AK443" s="747"/>
      <c r="AL443" s="747"/>
      <c r="AM443" s="747"/>
      <c r="AN443" s="747"/>
      <c r="AO443" s="748"/>
      <c r="AP443" s="407"/>
      <c r="AQ443" s="407"/>
      <c r="AR443" s="407"/>
      <c r="AS443" s="408"/>
      <c r="AW443" s="743" t="str">
        <f t="shared" si="833"/>
        <v>Rev</v>
      </c>
      <c r="AX443" s="1436" t="str">
        <f t="shared" si="833"/>
        <v>[Service]</v>
      </c>
      <c r="AY443" s="1437" t="str">
        <f t="shared" si="797"/>
        <v>[Price]</v>
      </c>
      <c r="AZ443" s="1438" t="str">
        <f t="shared" si="917"/>
        <v>-</v>
      </c>
      <c r="BA443" s="1438" t="str">
        <f t="shared" si="917"/>
        <v>-</v>
      </c>
      <c r="BB443" s="1438" t="str">
        <f t="shared" si="917"/>
        <v>-</v>
      </c>
      <c r="BC443" s="1438" t="str">
        <f t="shared" si="917"/>
        <v>-</v>
      </c>
      <c r="BD443" s="1438" t="str">
        <f t="shared" si="799"/>
        <v>-</v>
      </c>
      <c r="BE443" s="1438" t="str">
        <f t="shared" si="800"/>
        <v>-</v>
      </c>
      <c r="BF443" s="1438" t="str">
        <f t="shared" si="801"/>
        <v>-</v>
      </c>
      <c r="BG443" s="1439" t="str">
        <f t="shared" si="802"/>
        <v>-</v>
      </c>
      <c r="BH443" s="1438" t="str">
        <f t="shared" si="803"/>
        <v>-</v>
      </c>
      <c r="BI443" s="1438" t="str">
        <f t="shared" si="804"/>
        <v>-</v>
      </c>
      <c r="BJ443" s="1438" t="str">
        <f t="shared" si="805"/>
        <v>-</v>
      </c>
      <c r="BK443" s="1438" t="str">
        <f t="shared" si="806"/>
        <v>-</v>
      </c>
      <c r="BL443" s="1440" t="str">
        <f t="shared" si="807"/>
        <v>-</v>
      </c>
      <c r="BM443" s="1438" t="str">
        <f t="shared" si="808"/>
        <v>-</v>
      </c>
      <c r="BN443" s="1438" t="str">
        <f t="shared" si="809"/>
        <v>-</v>
      </c>
      <c r="BO443" s="1438" t="str">
        <f t="shared" si="810"/>
        <v>-</v>
      </c>
      <c r="BP443" s="1438" t="str">
        <f t="shared" si="811"/>
        <v>-</v>
      </c>
      <c r="BQ443" s="1441" t="str">
        <f t="shared" si="812"/>
        <v>-</v>
      </c>
      <c r="BR443" s="1378"/>
      <c r="BS443" s="182"/>
      <c r="BT443" s="1442"/>
      <c r="BU443" s="186"/>
      <c r="BV443" s="1443"/>
      <c r="BW443" s="1378"/>
      <c r="BX443" s="743" t="str">
        <f t="shared" si="813"/>
        <v>Rev</v>
      </c>
      <c r="BY443" s="1436" t="str">
        <f t="shared" si="858"/>
        <v>[Service]</v>
      </c>
      <c r="BZ443" s="1437" t="str">
        <f t="shared" si="859"/>
        <v>[Price]</v>
      </c>
      <c r="CA443" s="1438" t="str">
        <f>IFERROR((S443/R443-1)*(R443/R$13),"-")</f>
        <v>-</v>
      </c>
      <c r="CB443" s="1438" t="str">
        <f>IFERROR((T443/S443-1)*(S443/S$13),"-")</f>
        <v>-</v>
      </c>
      <c r="CC443" s="1438" t="str">
        <f>IFERROR((U443/T443-1)*(T443/T$13),"-")</f>
        <v>-</v>
      </c>
      <c r="CD443" s="1438" t="str">
        <f>IFERROR((V443/U443-1)*(U443/U$13),"-")</f>
        <v>-</v>
      </c>
      <c r="CE443" s="1438" t="str">
        <f t="shared" ref="CE443:CR443" si="928">IFERROR((T443/S443-1)*(S443/S$13),"-")</f>
        <v>-</v>
      </c>
      <c r="CF443" s="1438" t="str">
        <f t="shared" si="928"/>
        <v>-</v>
      </c>
      <c r="CG443" s="1438" t="str">
        <f t="shared" si="928"/>
        <v>-</v>
      </c>
      <c r="CH443" s="1440" t="str">
        <f t="shared" si="928"/>
        <v>-</v>
      </c>
      <c r="CI443" s="1438" t="str">
        <f t="shared" si="928"/>
        <v>-</v>
      </c>
      <c r="CJ443" s="1438" t="str">
        <f t="shared" si="928"/>
        <v>-</v>
      </c>
      <c r="CK443" s="1438" t="str">
        <f t="shared" si="928"/>
        <v>-</v>
      </c>
      <c r="CL443" s="1438" t="str">
        <f t="shared" si="928"/>
        <v>-</v>
      </c>
      <c r="CM443" s="1440" t="str">
        <f t="shared" si="928"/>
        <v>-</v>
      </c>
      <c r="CN443" s="1438" t="str">
        <f t="shared" si="928"/>
        <v>-</v>
      </c>
      <c r="CO443" s="1438" t="str">
        <f t="shared" si="928"/>
        <v>-</v>
      </c>
      <c r="CP443" s="1438" t="str">
        <f t="shared" si="928"/>
        <v>-</v>
      </c>
      <c r="CQ443" s="1438" t="str">
        <f t="shared" si="928"/>
        <v>-</v>
      </c>
      <c r="CR443" s="1441" t="str">
        <f t="shared" si="928"/>
        <v>-</v>
      </c>
      <c r="CS443" s="1378"/>
      <c r="CT443" s="743" t="str">
        <f t="shared" si="793"/>
        <v>Rev</v>
      </c>
      <c r="CU443" s="1436" t="str">
        <f t="shared" si="794"/>
        <v>[Service]</v>
      </c>
      <c r="CV443" s="1436" t="str">
        <f t="shared" si="795"/>
        <v>[Price]</v>
      </c>
      <c r="CW443" s="1444" t="str">
        <f t="shared" si="815"/>
        <v>-</v>
      </c>
      <c r="CX443" s="1438" t="str">
        <f t="shared" si="816"/>
        <v>-</v>
      </c>
      <c r="CY443" s="1438" t="str">
        <f t="shared" si="817"/>
        <v>-</v>
      </c>
      <c r="CZ443" s="1440" t="str">
        <f t="shared" si="818"/>
        <v>-</v>
      </c>
      <c r="DA443" s="1438" t="str">
        <f t="shared" si="819"/>
        <v>-</v>
      </c>
      <c r="DB443" s="1438" t="str">
        <f t="shared" si="820"/>
        <v>-</v>
      </c>
      <c r="DC443" s="1438" t="str">
        <f t="shared" si="821"/>
        <v>-</v>
      </c>
      <c r="DD443" s="1438" t="str">
        <f t="shared" si="822"/>
        <v>-</v>
      </c>
      <c r="DE443" s="1441" t="str">
        <f t="shared" si="823"/>
        <v>-</v>
      </c>
      <c r="DF443" s="1378"/>
      <c r="DG443" s="743" t="str">
        <f t="shared" si="835"/>
        <v>Rev</v>
      </c>
      <c r="DH443" s="1436" t="str">
        <f t="shared" si="835"/>
        <v>[Service]</v>
      </c>
      <c r="DI443" s="1436" t="str">
        <f t="shared" si="835"/>
        <v>[Price]</v>
      </c>
      <c r="DJ443" s="1444" t="str">
        <f t="shared" si="824"/>
        <v>-</v>
      </c>
      <c r="DK443" s="1438" t="str">
        <f t="shared" si="825"/>
        <v>-</v>
      </c>
      <c r="DL443" s="1438" t="str">
        <f t="shared" si="826"/>
        <v>-</v>
      </c>
      <c r="DM443" s="1440" t="str">
        <f t="shared" si="827"/>
        <v>-</v>
      </c>
      <c r="DN443" s="1438" t="str">
        <f t="shared" si="828"/>
        <v>-</v>
      </c>
      <c r="DO443" s="1438" t="str">
        <f t="shared" si="829"/>
        <v>-</v>
      </c>
      <c r="DP443" s="1438" t="str">
        <f t="shared" si="830"/>
        <v>-</v>
      </c>
      <c r="DQ443" s="1441" t="str">
        <f t="shared" si="831"/>
        <v>-</v>
      </c>
    </row>
    <row r="447" spans="4:121">
      <c r="I447" s="75" t="s">
        <v>695</v>
      </c>
      <c r="J447" s="749"/>
      <c r="K447" s="75"/>
      <c r="L447" s="75"/>
      <c r="M447" s="75"/>
      <c r="N447" s="75"/>
      <c r="O447" s="75"/>
      <c r="P447" s="75"/>
      <c r="Q447" s="75"/>
      <c r="R447" s="75"/>
      <c r="S447" s="75"/>
      <c r="T447" s="75"/>
      <c r="U447" s="75"/>
      <c r="V447" s="75"/>
      <c r="W447" s="75"/>
      <c r="X447" s="75"/>
      <c r="Y447" s="75"/>
      <c r="Z447" s="75"/>
      <c r="AA447" s="75"/>
      <c r="AB447" s="75"/>
      <c r="AC447" s="75"/>
      <c r="AD447" s="75"/>
      <c r="AE447" s="75"/>
      <c r="AF447" s="750"/>
      <c r="AG447" s="751"/>
    </row>
    <row r="448" spans="4:121">
      <c r="I448" s="752" t="s">
        <v>20</v>
      </c>
      <c r="J448" s="423"/>
      <c r="K448" s="753">
        <f t="shared" ref="K448:K453" si="929">+SUMIFS(K$69:K$444,$E$69:$E$444,$E$71,$F$69:$F$444,$I448)</f>
        <v>0</v>
      </c>
      <c r="L448" s="753">
        <f t="shared" ref="L448:AG453" si="930">+SUMIFS(L$69:L$444,$E$69:$E$444,$E$71,$F$69:$F$444,$I448)</f>
        <v>0</v>
      </c>
      <c r="M448" s="753">
        <f t="shared" si="930"/>
        <v>0</v>
      </c>
      <c r="N448" s="754">
        <f t="shared" si="930"/>
        <v>0</v>
      </c>
      <c r="O448" s="753">
        <f t="shared" si="930"/>
        <v>0</v>
      </c>
      <c r="P448" s="753">
        <f t="shared" si="930"/>
        <v>0</v>
      </c>
      <c r="Q448" s="753">
        <f t="shared" si="930"/>
        <v>0</v>
      </c>
      <c r="R448" s="755">
        <f t="shared" si="930"/>
        <v>0</v>
      </c>
      <c r="S448" s="753">
        <f t="shared" si="930"/>
        <v>0</v>
      </c>
      <c r="T448" s="753">
        <f t="shared" si="930"/>
        <v>0</v>
      </c>
      <c r="U448" s="753">
        <f t="shared" si="930"/>
        <v>0</v>
      </c>
      <c r="V448" s="753">
        <f t="shared" si="930"/>
        <v>0</v>
      </c>
      <c r="W448" s="753">
        <f t="shared" si="930"/>
        <v>0</v>
      </c>
      <c r="X448" s="754">
        <f t="shared" si="930"/>
        <v>0</v>
      </c>
      <c r="Y448" s="753">
        <f t="shared" si="930"/>
        <v>0</v>
      </c>
      <c r="Z448" s="753">
        <f t="shared" si="930"/>
        <v>0</v>
      </c>
      <c r="AA448" s="753">
        <f t="shared" si="930"/>
        <v>0</v>
      </c>
      <c r="AB448" s="755">
        <f t="shared" si="930"/>
        <v>0</v>
      </c>
      <c r="AC448" s="753">
        <f t="shared" si="930"/>
        <v>0</v>
      </c>
      <c r="AD448" s="753">
        <f t="shared" si="930"/>
        <v>0</v>
      </c>
      <c r="AE448" s="753">
        <f t="shared" si="930"/>
        <v>0</v>
      </c>
      <c r="AF448" s="753">
        <f t="shared" si="930"/>
        <v>0</v>
      </c>
      <c r="AG448" s="753">
        <f t="shared" si="930"/>
        <v>0</v>
      </c>
    </row>
    <row r="449" spans="9:33">
      <c r="I449" s="752" t="s">
        <v>21</v>
      </c>
      <c r="J449" s="423"/>
      <c r="K449" s="753">
        <f t="shared" si="929"/>
        <v>0</v>
      </c>
      <c r="L449" s="753">
        <f t="shared" ref="L449:Z449" si="931">+SUMIFS(L$69:L$444,$E$69:$E$444,$E$71,$F$69:$F$444,$I449)</f>
        <v>0</v>
      </c>
      <c r="M449" s="753">
        <f t="shared" si="931"/>
        <v>0</v>
      </c>
      <c r="N449" s="754">
        <f t="shared" si="931"/>
        <v>0</v>
      </c>
      <c r="O449" s="753">
        <f t="shared" si="931"/>
        <v>0</v>
      </c>
      <c r="P449" s="753">
        <f t="shared" si="931"/>
        <v>0</v>
      </c>
      <c r="Q449" s="753">
        <f t="shared" si="931"/>
        <v>0</v>
      </c>
      <c r="R449" s="755">
        <f t="shared" si="931"/>
        <v>0</v>
      </c>
      <c r="S449" s="753">
        <f t="shared" si="931"/>
        <v>0</v>
      </c>
      <c r="T449" s="753">
        <f t="shared" si="931"/>
        <v>0</v>
      </c>
      <c r="U449" s="753">
        <f t="shared" si="931"/>
        <v>0</v>
      </c>
      <c r="V449" s="753">
        <f t="shared" si="931"/>
        <v>0</v>
      </c>
      <c r="W449" s="753">
        <f t="shared" si="931"/>
        <v>0</v>
      </c>
      <c r="X449" s="754">
        <f t="shared" si="931"/>
        <v>0</v>
      </c>
      <c r="Y449" s="753">
        <f t="shared" si="931"/>
        <v>0</v>
      </c>
      <c r="Z449" s="753">
        <f t="shared" si="931"/>
        <v>0</v>
      </c>
      <c r="AA449" s="753">
        <f t="shared" si="930"/>
        <v>0</v>
      </c>
      <c r="AB449" s="755">
        <f t="shared" si="930"/>
        <v>0</v>
      </c>
      <c r="AC449" s="753">
        <f t="shared" si="930"/>
        <v>0</v>
      </c>
      <c r="AD449" s="753">
        <f t="shared" si="930"/>
        <v>0</v>
      </c>
      <c r="AE449" s="753">
        <f t="shared" si="930"/>
        <v>0</v>
      </c>
      <c r="AF449" s="753">
        <f t="shared" si="930"/>
        <v>0</v>
      </c>
      <c r="AG449" s="753">
        <f t="shared" si="930"/>
        <v>0</v>
      </c>
    </row>
    <row r="450" spans="9:33">
      <c r="I450" s="752" t="s">
        <v>275</v>
      </c>
      <c r="J450" s="423"/>
      <c r="K450" s="753">
        <f t="shared" si="929"/>
        <v>0</v>
      </c>
      <c r="L450" s="753">
        <f t="shared" si="930"/>
        <v>0</v>
      </c>
      <c r="M450" s="753">
        <f t="shared" si="930"/>
        <v>0</v>
      </c>
      <c r="N450" s="754">
        <f t="shared" si="930"/>
        <v>0</v>
      </c>
      <c r="O450" s="753">
        <f t="shared" si="930"/>
        <v>0</v>
      </c>
      <c r="P450" s="753">
        <f t="shared" si="930"/>
        <v>0</v>
      </c>
      <c r="Q450" s="753">
        <f t="shared" si="930"/>
        <v>0</v>
      </c>
      <c r="R450" s="755">
        <f t="shared" si="930"/>
        <v>0</v>
      </c>
      <c r="S450" s="753">
        <f t="shared" si="930"/>
        <v>0</v>
      </c>
      <c r="T450" s="753">
        <f t="shared" si="930"/>
        <v>0</v>
      </c>
      <c r="U450" s="753">
        <f t="shared" si="930"/>
        <v>0</v>
      </c>
      <c r="V450" s="753">
        <f t="shared" si="930"/>
        <v>0</v>
      </c>
      <c r="W450" s="753">
        <f t="shared" si="930"/>
        <v>0</v>
      </c>
      <c r="X450" s="754">
        <f t="shared" si="930"/>
        <v>0</v>
      </c>
      <c r="Y450" s="753">
        <f t="shared" si="930"/>
        <v>0</v>
      </c>
      <c r="Z450" s="753">
        <f t="shared" si="930"/>
        <v>0</v>
      </c>
      <c r="AA450" s="753">
        <f t="shared" si="930"/>
        <v>0</v>
      </c>
      <c r="AB450" s="755">
        <f t="shared" si="930"/>
        <v>0</v>
      </c>
      <c r="AC450" s="753">
        <f t="shared" si="930"/>
        <v>0</v>
      </c>
      <c r="AD450" s="753">
        <f t="shared" si="930"/>
        <v>0</v>
      </c>
      <c r="AE450" s="753">
        <f t="shared" si="930"/>
        <v>0</v>
      </c>
      <c r="AF450" s="753">
        <f t="shared" si="930"/>
        <v>0</v>
      </c>
      <c r="AG450" s="753">
        <f t="shared" si="930"/>
        <v>0</v>
      </c>
    </row>
    <row r="451" spans="9:33">
      <c r="I451" s="752" t="s">
        <v>316</v>
      </c>
      <c r="J451" s="423"/>
      <c r="K451" s="753">
        <f t="shared" si="929"/>
        <v>0</v>
      </c>
      <c r="L451" s="753">
        <f t="shared" si="930"/>
        <v>0</v>
      </c>
      <c r="M451" s="753">
        <f t="shared" si="930"/>
        <v>0</v>
      </c>
      <c r="N451" s="754">
        <f t="shared" si="930"/>
        <v>0</v>
      </c>
      <c r="O451" s="753">
        <f t="shared" si="930"/>
        <v>0</v>
      </c>
      <c r="P451" s="753">
        <f t="shared" si="930"/>
        <v>0</v>
      </c>
      <c r="Q451" s="753">
        <f t="shared" si="930"/>
        <v>0</v>
      </c>
      <c r="R451" s="755">
        <f t="shared" si="930"/>
        <v>0</v>
      </c>
      <c r="S451" s="753">
        <f t="shared" si="930"/>
        <v>0</v>
      </c>
      <c r="T451" s="753">
        <f t="shared" si="930"/>
        <v>0</v>
      </c>
      <c r="U451" s="753">
        <f t="shared" si="930"/>
        <v>0</v>
      </c>
      <c r="V451" s="753">
        <f t="shared" si="930"/>
        <v>0</v>
      </c>
      <c r="W451" s="753">
        <f t="shared" si="930"/>
        <v>0</v>
      </c>
      <c r="X451" s="754">
        <f t="shared" si="930"/>
        <v>0</v>
      </c>
      <c r="Y451" s="753">
        <f t="shared" si="930"/>
        <v>0</v>
      </c>
      <c r="Z451" s="753">
        <f t="shared" si="930"/>
        <v>0</v>
      </c>
      <c r="AA451" s="753">
        <f t="shared" si="930"/>
        <v>0</v>
      </c>
      <c r="AB451" s="755">
        <f t="shared" si="930"/>
        <v>0</v>
      </c>
      <c r="AC451" s="753">
        <f t="shared" si="930"/>
        <v>0</v>
      </c>
      <c r="AD451" s="753">
        <f t="shared" si="930"/>
        <v>0</v>
      </c>
      <c r="AE451" s="753">
        <f t="shared" si="930"/>
        <v>0</v>
      </c>
      <c r="AF451" s="753">
        <f t="shared" si="930"/>
        <v>0</v>
      </c>
      <c r="AG451" s="753">
        <f t="shared" si="930"/>
        <v>0</v>
      </c>
    </row>
    <row r="452" spans="9:33">
      <c r="I452" s="752" t="s">
        <v>350</v>
      </c>
      <c r="J452" s="423"/>
      <c r="K452" s="753">
        <f t="shared" si="929"/>
        <v>0</v>
      </c>
      <c r="L452" s="753">
        <f t="shared" si="930"/>
        <v>0</v>
      </c>
      <c r="M452" s="753">
        <f t="shared" si="930"/>
        <v>0</v>
      </c>
      <c r="N452" s="754">
        <f t="shared" si="930"/>
        <v>0</v>
      </c>
      <c r="O452" s="753">
        <f t="shared" si="930"/>
        <v>0</v>
      </c>
      <c r="P452" s="753">
        <f t="shared" si="930"/>
        <v>0</v>
      </c>
      <c r="Q452" s="753">
        <f t="shared" si="930"/>
        <v>0</v>
      </c>
      <c r="R452" s="755">
        <f t="shared" si="930"/>
        <v>0</v>
      </c>
      <c r="S452" s="753">
        <f t="shared" si="930"/>
        <v>0</v>
      </c>
      <c r="T452" s="753">
        <f t="shared" si="930"/>
        <v>0</v>
      </c>
      <c r="U452" s="753">
        <f t="shared" si="930"/>
        <v>0</v>
      </c>
      <c r="V452" s="753">
        <f t="shared" si="930"/>
        <v>0</v>
      </c>
      <c r="W452" s="753">
        <f t="shared" si="930"/>
        <v>0</v>
      </c>
      <c r="X452" s="754">
        <f t="shared" si="930"/>
        <v>0</v>
      </c>
      <c r="Y452" s="753">
        <f t="shared" si="930"/>
        <v>0</v>
      </c>
      <c r="Z452" s="753">
        <f t="shared" si="930"/>
        <v>0</v>
      </c>
      <c r="AA452" s="753">
        <f t="shared" si="930"/>
        <v>0</v>
      </c>
      <c r="AB452" s="755">
        <f t="shared" si="930"/>
        <v>0</v>
      </c>
      <c r="AC452" s="753">
        <f t="shared" si="930"/>
        <v>0</v>
      </c>
      <c r="AD452" s="753">
        <f t="shared" si="930"/>
        <v>0</v>
      </c>
      <c r="AE452" s="753">
        <f t="shared" si="930"/>
        <v>0</v>
      </c>
      <c r="AF452" s="753">
        <f t="shared" si="930"/>
        <v>0</v>
      </c>
      <c r="AG452" s="753">
        <f t="shared" si="930"/>
        <v>0</v>
      </c>
    </row>
    <row r="453" spans="9:33">
      <c r="I453" s="756" t="s">
        <v>351</v>
      </c>
      <c r="J453" s="426"/>
      <c r="K453" s="757">
        <f t="shared" si="929"/>
        <v>0</v>
      </c>
      <c r="L453" s="757">
        <f t="shared" si="930"/>
        <v>0</v>
      </c>
      <c r="M453" s="757">
        <f t="shared" si="930"/>
        <v>0</v>
      </c>
      <c r="N453" s="758">
        <f t="shared" si="930"/>
        <v>0</v>
      </c>
      <c r="O453" s="757">
        <f t="shared" si="930"/>
        <v>0</v>
      </c>
      <c r="P453" s="757">
        <f t="shared" si="930"/>
        <v>0</v>
      </c>
      <c r="Q453" s="757">
        <f t="shared" si="930"/>
        <v>0</v>
      </c>
      <c r="R453" s="759">
        <f t="shared" si="930"/>
        <v>0</v>
      </c>
      <c r="S453" s="757">
        <f t="shared" si="930"/>
        <v>0</v>
      </c>
      <c r="T453" s="757">
        <f t="shared" si="930"/>
        <v>0</v>
      </c>
      <c r="U453" s="757">
        <f t="shared" si="930"/>
        <v>0</v>
      </c>
      <c r="V453" s="757">
        <f t="shared" si="930"/>
        <v>0</v>
      </c>
      <c r="W453" s="757">
        <f t="shared" si="930"/>
        <v>0</v>
      </c>
      <c r="X453" s="758">
        <f t="shared" si="930"/>
        <v>0</v>
      </c>
      <c r="Y453" s="757">
        <f t="shared" si="930"/>
        <v>0</v>
      </c>
      <c r="Z453" s="757">
        <f t="shared" si="930"/>
        <v>0</v>
      </c>
      <c r="AA453" s="757">
        <f t="shared" si="930"/>
        <v>0</v>
      </c>
      <c r="AB453" s="759">
        <f t="shared" si="930"/>
        <v>0</v>
      </c>
      <c r="AC453" s="757">
        <f t="shared" si="930"/>
        <v>0</v>
      </c>
      <c r="AD453" s="757">
        <f t="shared" si="930"/>
        <v>0</v>
      </c>
      <c r="AE453" s="757">
        <f t="shared" si="930"/>
        <v>0</v>
      </c>
      <c r="AF453" s="757">
        <f t="shared" si="930"/>
        <v>0</v>
      </c>
      <c r="AG453" s="757">
        <f>+SUMIFS(AG$69:AG$444,$E$69:$E$444,$E$71,$F$69:$F$444,$I453)</f>
        <v>0</v>
      </c>
    </row>
    <row r="454" spans="9:33">
      <c r="I454" s="104" t="s">
        <v>690</v>
      </c>
      <c r="K454" s="760">
        <f>SUM(K448:K453)</f>
        <v>0</v>
      </c>
      <c r="L454" s="760">
        <f t="shared" ref="L454:AG454" si="932">SUM(L448:L453)</f>
        <v>0</v>
      </c>
      <c r="M454" s="761">
        <f t="shared" si="932"/>
        <v>0</v>
      </c>
      <c r="N454" s="760">
        <f t="shared" si="932"/>
        <v>0</v>
      </c>
      <c r="O454" s="760">
        <f t="shared" si="932"/>
        <v>0</v>
      </c>
      <c r="P454" s="760">
        <f t="shared" si="932"/>
        <v>0</v>
      </c>
      <c r="Q454" s="760">
        <f t="shared" si="932"/>
        <v>0</v>
      </c>
      <c r="R454" s="761">
        <f t="shared" si="932"/>
        <v>0</v>
      </c>
      <c r="S454" s="760">
        <f t="shared" si="932"/>
        <v>0</v>
      </c>
      <c r="T454" s="760">
        <f t="shared" si="932"/>
        <v>0</v>
      </c>
      <c r="U454" s="760">
        <f t="shared" si="932"/>
        <v>0</v>
      </c>
      <c r="V454" s="760">
        <f t="shared" si="932"/>
        <v>0</v>
      </c>
      <c r="W454" s="761">
        <f t="shared" si="932"/>
        <v>0</v>
      </c>
      <c r="X454" s="760">
        <f t="shared" si="932"/>
        <v>0</v>
      </c>
      <c r="Y454" s="760">
        <f t="shared" si="932"/>
        <v>0</v>
      </c>
      <c r="Z454" s="760">
        <f t="shared" si="932"/>
        <v>0</v>
      </c>
      <c r="AA454" s="760">
        <f t="shared" si="932"/>
        <v>0</v>
      </c>
      <c r="AB454" s="761">
        <f t="shared" si="932"/>
        <v>0</v>
      </c>
      <c r="AC454" s="760">
        <f t="shared" si="932"/>
        <v>0</v>
      </c>
      <c r="AD454" s="760">
        <f t="shared" si="932"/>
        <v>0</v>
      </c>
      <c r="AE454" s="760">
        <f t="shared" si="932"/>
        <v>0</v>
      </c>
      <c r="AF454" s="760">
        <f t="shared" si="932"/>
        <v>0</v>
      </c>
      <c r="AG454" s="760">
        <f t="shared" si="932"/>
        <v>0</v>
      </c>
    </row>
    <row r="455" spans="9:33">
      <c r="I455" s="70" t="s">
        <v>691</v>
      </c>
      <c r="K455" s="128">
        <f>+K13</f>
        <v>0</v>
      </c>
      <c r="L455" s="128">
        <f t="shared" ref="L455:AG455" si="933">+L13</f>
        <v>0</v>
      </c>
      <c r="M455" s="649">
        <f t="shared" si="933"/>
        <v>0</v>
      </c>
      <c r="N455" s="128">
        <f t="shared" si="933"/>
        <v>0</v>
      </c>
      <c r="O455" s="128">
        <f t="shared" si="933"/>
        <v>0</v>
      </c>
      <c r="P455" s="128">
        <f t="shared" si="933"/>
        <v>0</v>
      </c>
      <c r="Q455" s="128">
        <f t="shared" si="933"/>
        <v>0</v>
      </c>
      <c r="R455" s="649">
        <f t="shared" si="933"/>
        <v>0</v>
      </c>
      <c r="S455" s="128">
        <f t="shared" si="933"/>
        <v>0</v>
      </c>
      <c r="T455" s="128">
        <f t="shared" si="933"/>
        <v>0</v>
      </c>
      <c r="U455" s="128">
        <f t="shared" si="933"/>
        <v>0</v>
      </c>
      <c r="V455" s="128">
        <f t="shared" si="933"/>
        <v>0</v>
      </c>
      <c r="W455" s="649">
        <f t="shared" si="933"/>
        <v>0</v>
      </c>
      <c r="X455" s="128">
        <f t="shared" si="933"/>
        <v>0</v>
      </c>
      <c r="Y455" s="128">
        <f t="shared" si="933"/>
        <v>0</v>
      </c>
      <c r="Z455" s="128">
        <f t="shared" si="933"/>
        <v>0</v>
      </c>
      <c r="AA455" s="128">
        <f t="shared" si="933"/>
        <v>0</v>
      </c>
      <c r="AB455" s="649">
        <f t="shared" si="933"/>
        <v>0</v>
      </c>
      <c r="AC455" s="128">
        <f t="shared" si="933"/>
        <v>0</v>
      </c>
      <c r="AD455" s="128">
        <f t="shared" si="933"/>
        <v>0</v>
      </c>
      <c r="AE455" s="128">
        <f t="shared" si="933"/>
        <v>0</v>
      </c>
      <c r="AF455" s="128">
        <f t="shared" si="933"/>
        <v>0</v>
      </c>
      <c r="AG455" s="128">
        <f t="shared" si="933"/>
        <v>0</v>
      </c>
    </row>
    <row r="456" spans="9:33">
      <c r="I456" s="75" t="s">
        <v>469</v>
      </c>
      <c r="J456" s="75"/>
      <c r="K456" s="762">
        <f>+K455-K454</f>
        <v>0</v>
      </c>
      <c r="L456" s="762">
        <f t="shared" ref="L456:AG456" si="934">+L455-L454</f>
        <v>0</v>
      </c>
      <c r="M456" s="763">
        <f t="shared" si="934"/>
        <v>0</v>
      </c>
      <c r="N456" s="762">
        <f t="shared" si="934"/>
        <v>0</v>
      </c>
      <c r="O456" s="762">
        <f t="shared" si="934"/>
        <v>0</v>
      </c>
      <c r="P456" s="762">
        <f t="shared" si="934"/>
        <v>0</v>
      </c>
      <c r="Q456" s="762">
        <f t="shared" si="934"/>
        <v>0</v>
      </c>
      <c r="R456" s="763">
        <f t="shared" si="934"/>
        <v>0</v>
      </c>
      <c r="S456" s="762">
        <f t="shared" si="934"/>
        <v>0</v>
      </c>
      <c r="T456" s="762">
        <f t="shared" si="934"/>
        <v>0</v>
      </c>
      <c r="U456" s="762">
        <f t="shared" si="934"/>
        <v>0</v>
      </c>
      <c r="V456" s="762">
        <f t="shared" si="934"/>
        <v>0</v>
      </c>
      <c r="W456" s="763">
        <f t="shared" si="934"/>
        <v>0</v>
      </c>
      <c r="X456" s="762">
        <f t="shared" si="934"/>
        <v>0</v>
      </c>
      <c r="Y456" s="762">
        <f t="shared" si="934"/>
        <v>0</v>
      </c>
      <c r="Z456" s="762">
        <f t="shared" si="934"/>
        <v>0</v>
      </c>
      <c r="AA456" s="762">
        <f t="shared" si="934"/>
        <v>0</v>
      </c>
      <c r="AB456" s="763">
        <f t="shared" si="934"/>
        <v>0</v>
      </c>
      <c r="AC456" s="762">
        <f t="shared" si="934"/>
        <v>0</v>
      </c>
      <c r="AD456" s="762">
        <f t="shared" si="934"/>
        <v>0</v>
      </c>
      <c r="AE456" s="762">
        <f t="shared" si="934"/>
        <v>0</v>
      </c>
      <c r="AF456" s="762">
        <f t="shared" si="934"/>
        <v>0</v>
      </c>
      <c r="AG456" s="762">
        <f t="shared" si="934"/>
        <v>0</v>
      </c>
    </row>
    <row r="458" spans="9:33">
      <c r="K458" s="824" t="b">
        <f>+K454=K465</f>
        <v>1</v>
      </c>
      <c r="L458" s="824" t="b">
        <f>+L454=L465</f>
        <v>1</v>
      </c>
      <c r="M458" s="824" t="b">
        <f>+M454=M465</f>
        <v>1</v>
      </c>
      <c r="N458" s="824" t="b">
        <f>+N454=N465</f>
        <v>1</v>
      </c>
      <c r="O458" s="1734">
        <f>IF(ROUND(+O454,5)=ROUND(O465,5),0,1)</f>
        <v>0</v>
      </c>
      <c r="P458" s="1734">
        <f>IF(ROUND(+P454,5)=ROUND(P465,5),0,1)</f>
        <v>0</v>
      </c>
      <c r="Q458" s="1734">
        <f>IF(ROUND(+Q454,5)=ROUND(Q465,5),0,1)</f>
        <v>0</v>
      </c>
      <c r="R458" s="1734">
        <f>IF(ROUND(+R454,5)=ROUND(R465,5),0,1)</f>
        <v>0</v>
      </c>
      <c r="S458" s="1734">
        <f t="shared" ref="S458:AG458" si="935">IF(ROUND(+S454,5)=ROUND(S465,5),0,1)</f>
        <v>0</v>
      </c>
      <c r="T458" s="1734">
        <f t="shared" si="935"/>
        <v>0</v>
      </c>
      <c r="U458" s="1734">
        <f t="shared" si="935"/>
        <v>0</v>
      </c>
      <c r="V458" s="1734">
        <f t="shared" si="935"/>
        <v>0</v>
      </c>
      <c r="W458" s="1734">
        <f t="shared" si="935"/>
        <v>0</v>
      </c>
      <c r="X458" s="1734">
        <f t="shared" si="935"/>
        <v>0</v>
      </c>
      <c r="Y458" s="1734">
        <f t="shared" si="935"/>
        <v>0</v>
      </c>
      <c r="Z458" s="1734">
        <f t="shared" si="935"/>
        <v>0</v>
      </c>
      <c r="AA458" s="1734">
        <f t="shared" si="935"/>
        <v>0</v>
      </c>
      <c r="AB458" s="1734">
        <f t="shared" si="935"/>
        <v>0</v>
      </c>
      <c r="AC458" s="1734">
        <f t="shared" si="935"/>
        <v>0</v>
      </c>
      <c r="AD458" s="1734">
        <f t="shared" si="935"/>
        <v>0</v>
      </c>
      <c r="AE458" s="1734">
        <f t="shared" si="935"/>
        <v>0</v>
      </c>
      <c r="AF458" s="1734">
        <f t="shared" si="935"/>
        <v>0</v>
      </c>
      <c r="AG458" s="1734">
        <f t="shared" si="935"/>
        <v>0</v>
      </c>
    </row>
    <row r="460" spans="9:33">
      <c r="I460" s="70" t="s">
        <v>694</v>
      </c>
      <c r="J460" s="745"/>
      <c r="K460" s="751"/>
      <c r="L460" s="751"/>
      <c r="M460" s="751"/>
      <c r="N460" s="751"/>
      <c r="O460" s="751"/>
      <c r="P460" s="751"/>
      <c r="Q460" s="751"/>
      <c r="R460" s="751"/>
      <c r="S460" s="751"/>
      <c r="T460" s="751"/>
      <c r="U460" s="751"/>
      <c r="V460" s="751"/>
      <c r="W460" s="751"/>
      <c r="X460" s="751"/>
      <c r="Y460" s="751"/>
      <c r="Z460" s="751"/>
      <c r="AA460" s="751"/>
      <c r="AB460" s="751"/>
      <c r="AC460" s="751"/>
      <c r="AD460" s="751"/>
      <c r="AE460" s="751"/>
      <c r="AF460" s="751"/>
      <c r="AG460" s="751"/>
    </row>
    <row r="461" spans="9:33">
      <c r="I461" s="764" t="s">
        <v>560</v>
      </c>
      <c r="J461" s="765"/>
      <c r="K461" s="766">
        <f t="shared" ref="K461:T464" si="936">+SUMIFS(K$69:K$444,$E$69:$E$444,$E$71,$I$69:$I$444,$I461)</f>
        <v>0</v>
      </c>
      <c r="L461" s="766">
        <f t="shared" si="936"/>
        <v>0</v>
      </c>
      <c r="M461" s="825">
        <f t="shared" si="936"/>
        <v>0</v>
      </c>
      <c r="N461" s="766">
        <f t="shared" si="936"/>
        <v>0</v>
      </c>
      <c r="O461" s="766">
        <f t="shared" si="936"/>
        <v>0</v>
      </c>
      <c r="P461" s="766">
        <f t="shared" si="936"/>
        <v>0</v>
      </c>
      <c r="Q461" s="766">
        <f t="shared" si="936"/>
        <v>0</v>
      </c>
      <c r="R461" s="825">
        <f t="shared" si="936"/>
        <v>0</v>
      </c>
      <c r="S461" s="766">
        <f t="shared" si="936"/>
        <v>0</v>
      </c>
      <c r="T461" s="766">
        <f t="shared" si="936"/>
        <v>0</v>
      </c>
      <c r="U461" s="766">
        <f t="shared" ref="U461:AG464" si="937">+SUMIFS(U$69:U$444,$E$69:$E$444,$E$71,$I$69:$I$444,$I461)</f>
        <v>0</v>
      </c>
      <c r="V461" s="766">
        <f t="shared" si="937"/>
        <v>0</v>
      </c>
      <c r="W461" s="825">
        <f t="shared" si="937"/>
        <v>0</v>
      </c>
      <c r="X461" s="766">
        <f t="shared" si="937"/>
        <v>0</v>
      </c>
      <c r="Y461" s="766">
        <f t="shared" si="937"/>
        <v>0</v>
      </c>
      <c r="Z461" s="766">
        <f t="shared" si="937"/>
        <v>0</v>
      </c>
      <c r="AA461" s="766">
        <f t="shared" si="937"/>
        <v>0</v>
      </c>
      <c r="AB461" s="825">
        <f t="shared" si="937"/>
        <v>0</v>
      </c>
      <c r="AC461" s="766">
        <f t="shared" si="937"/>
        <v>0</v>
      </c>
      <c r="AD461" s="766">
        <f t="shared" si="937"/>
        <v>0</v>
      </c>
      <c r="AE461" s="766">
        <f t="shared" si="937"/>
        <v>0</v>
      </c>
      <c r="AF461" s="766">
        <f t="shared" si="937"/>
        <v>0</v>
      </c>
      <c r="AG461" s="766">
        <f t="shared" si="937"/>
        <v>0</v>
      </c>
    </row>
    <row r="462" spans="9:33">
      <c r="I462" s="826" t="s">
        <v>561</v>
      </c>
      <c r="J462" s="827"/>
      <c r="K462" s="828">
        <f t="shared" si="936"/>
        <v>0</v>
      </c>
      <c r="L462" s="828">
        <f t="shared" si="936"/>
        <v>0</v>
      </c>
      <c r="M462" s="829">
        <f t="shared" si="936"/>
        <v>0</v>
      </c>
      <c r="N462" s="828">
        <f t="shared" si="936"/>
        <v>0</v>
      </c>
      <c r="O462" s="828">
        <f t="shared" si="936"/>
        <v>0</v>
      </c>
      <c r="P462" s="828">
        <f t="shared" si="936"/>
        <v>0</v>
      </c>
      <c r="Q462" s="828">
        <f t="shared" si="936"/>
        <v>0</v>
      </c>
      <c r="R462" s="829">
        <f t="shared" si="936"/>
        <v>0</v>
      </c>
      <c r="S462" s="828">
        <f t="shared" si="936"/>
        <v>0</v>
      </c>
      <c r="T462" s="828">
        <f t="shared" si="936"/>
        <v>0</v>
      </c>
      <c r="U462" s="828">
        <f t="shared" si="937"/>
        <v>0</v>
      </c>
      <c r="V462" s="828">
        <f t="shared" si="937"/>
        <v>0</v>
      </c>
      <c r="W462" s="829">
        <f t="shared" si="937"/>
        <v>0</v>
      </c>
      <c r="X462" s="828">
        <f t="shared" si="937"/>
        <v>0</v>
      </c>
      <c r="Y462" s="828">
        <f t="shared" si="937"/>
        <v>0</v>
      </c>
      <c r="Z462" s="828">
        <f t="shared" si="937"/>
        <v>0</v>
      </c>
      <c r="AA462" s="828">
        <f t="shared" si="937"/>
        <v>0</v>
      </c>
      <c r="AB462" s="829">
        <f t="shared" si="937"/>
        <v>0</v>
      </c>
      <c r="AC462" s="828">
        <f t="shared" si="937"/>
        <v>0</v>
      </c>
      <c r="AD462" s="828">
        <f t="shared" si="937"/>
        <v>0</v>
      </c>
      <c r="AE462" s="828">
        <f t="shared" si="937"/>
        <v>0</v>
      </c>
      <c r="AF462" s="828">
        <f t="shared" si="937"/>
        <v>0</v>
      </c>
      <c r="AG462" s="828">
        <f t="shared" si="937"/>
        <v>0</v>
      </c>
    </row>
    <row r="463" spans="9:33">
      <c r="I463" s="423" t="s">
        <v>562</v>
      </c>
      <c r="J463" s="423"/>
      <c r="K463" s="828">
        <f t="shared" si="936"/>
        <v>0</v>
      </c>
      <c r="L463" s="828">
        <f t="shared" si="936"/>
        <v>0</v>
      </c>
      <c r="M463" s="829">
        <f t="shared" si="936"/>
        <v>0</v>
      </c>
      <c r="N463" s="828">
        <f t="shared" si="936"/>
        <v>0</v>
      </c>
      <c r="O463" s="828">
        <f t="shared" si="936"/>
        <v>0</v>
      </c>
      <c r="P463" s="828">
        <f t="shared" si="936"/>
        <v>0</v>
      </c>
      <c r="Q463" s="828">
        <f t="shared" si="936"/>
        <v>0</v>
      </c>
      <c r="R463" s="829">
        <f t="shared" si="936"/>
        <v>0</v>
      </c>
      <c r="S463" s="828">
        <f t="shared" si="936"/>
        <v>0</v>
      </c>
      <c r="T463" s="828">
        <f t="shared" si="936"/>
        <v>0</v>
      </c>
      <c r="U463" s="828">
        <f t="shared" si="937"/>
        <v>0</v>
      </c>
      <c r="V463" s="828">
        <f t="shared" si="937"/>
        <v>0</v>
      </c>
      <c r="W463" s="829">
        <f t="shared" si="937"/>
        <v>0</v>
      </c>
      <c r="X463" s="828">
        <f t="shared" si="937"/>
        <v>0</v>
      </c>
      <c r="Y463" s="828">
        <f t="shared" si="937"/>
        <v>0</v>
      </c>
      <c r="Z463" s="828">
        <f t="shared" si="937"/>
        <v>0</v>
      </c>
      <c r="AA463" s="828">
        <f t="shared" si="937"/>
        <v>0</v>
      </c>
      <c r="AB463" s="829">
        <f t="shared" si="937"/>
        <v>0</v>
      </c>
      <c r="AC463" s="828">
        <f t="shared" si="937"/>
        <v>0</v>
      </c>
      <c r="AD463" s="828">
        <f t="shared" si="937"/>
        <v>0</v>
      </c>
      <c r="AE463" s="828">
        <f t="shared" si="937"/>
        <v>0</v>
      </c>
      <c r="AF463" s="828">
        <f t="shared" si="937"/>
        <v>0</v>
      </c>
      <c r="AG463" s="828">
        <f t="shared" si="937"/>
        <v>0</v>
      </c>
    </row>
    <row r="464" spans="9:33">
      <c r="I464" s="426" t="s">
        <v>563</v>
      </c>
      <c r="J464" s="426"/>
      <c r="K464" s="771">
        <f t="shared" si="936"/>
        <v>0</v>
      </c>
      <c r="L464" s="771">
        <f t="shared" si="936"/>
        <v>0</v>
      </c>
      <c r="M464" s="830">
        <f t="shared" si="936"/>
        <v>0</v>
      </c>
      <c r="N464" s="771">
        <f t="shared" si="936"/>
        <v>0</v>
      </c>
      <c r="O464" s="771">
        <f t="shared" si="936"/>
        <v>0</v>
      </c>
      <c r="P464" s="771">
        <f t="shared" si="936"/>
        <v>0</v>
      </c>
      <c r="Q464" s="771">
        <f t="shared" si="936"/>
        <v>0</v>
      </c>
      <c r="R464" s="830">
        <f t="shared" si="936"/>
        <v>0</v>
      </c>
      <c r="S464" s="771">
        <f t="shared" si="936"/>
        <v>0</v>
      </c>
      <c r="T464" s="771">
        <f t="shared" si="936"/>
        <v>0</v>
      </c>
      <c r="U464" s="771">
        <f t="shared" si="937"/>
        <v>0</v>
      </c>
      <c r="V464" s="771">
        <f t="shared" si="937"/>
        <v>0</v>
      </c>
      <c r="W464" s="830">
        <f t="shared" si="937"/>
        <v>0</v>
      </c>
      <c r="X464" s="771">
        <f t="shared" si="937"/>
        <v>0</v>
      </c>
      <c r="Y464" s="771">
        <f t="shared" si="937"/>
        <v>0</v>
      </c>
      <c r="Z464" s="771">
        <f t="shared" si="937"/>
        <v>0</v>
      </c>
      <c r="AA464" s="771">
        <f t="shared" si="937"/>
        <v>0</v>
      </c>
      <c r="AB464" s="830">
        <f t="shared" si="937"/>
        <v>0</v>
      </c>
      <c r="AC464" s="771">
        <f t="shared" si="937"/>
        <v>0</v>
      </c>
      <c r="AD464" s="771">
        <f t="shared" si="937"/>
        <v>0</v>
      </c>
      <c r="AE464" s="771">
        <f t="shared" si="937"/>
        <v>0</v>
      </c>
      <c r="AF464" s="771">
        <f t="shared" si="937"/>
        <v>0</v>
      </c>
      <c r="AG464" s="771">
        <f t="shared" si="937"/>
        <v>0</v>
      </c>
    </row>
    <row r="465" spans="1:47">
      <c r="I465" s="112" t="s">
        <v>690</v>
      </c>
      <c r="K465" s="760">
        <f>SUM(K461:K464)</f>
        <v>0</v>
      </c>
      <c r="L465" s="760">
        <f t="shared" ref="L465:AG465" si="938">SUM(L461:L464)</f>
        <v>0</v>
      </c>
      <c r="M465" s="761">
        <f t="shared" si="938"/>
        <v>0</v>
      </c>
      <c r="N465" s="760">
        <f t="shared" si="938"/>
        <v>0</v>
      </c>
      <c r="O465" s="760">
        <f t="shared" si="938"/>
        <v>0</v>
      </c>
      <c r="P465" s="760">
        <f t="shared" si="938"/>
        <v>0</v>
      </c>
      <c r="Q465" s="760">
        <f t="shared" si="938"/>
        <v>0</v>
      </c>
      <c r="R465" s="761">
        <f t="shared" si="938"/>
        <v>0</v>
      </c>
      <c r="S465" s="760">
        <f t="shared" si="938"/>
        <v>0</v>
      </c>
      <c r="T465" s="760">
        <f t="shared" si="938"/>
        <v>0</v>
      </c>
      <c r="U465" s="760">
        <f t="shared" si="938"/>
        <v>0</v>
      </c>
      <c r="V465" s="760">
        <f t="shared" si="938"/>
        <v>0</v>
      </c>
      <c r="W465" s="761">
        <f t="shared" si="938"/>
        <v>0</v>
      </c>
      <c r="X465" s="760">
        <f t="shared" si="938"/>
        <v>0</v>
      </c>
      <c r="Y465" s="760">
        <f t="shared" si="938"/>
        <v>0</v>
      </c>
      <c r="Z465" s="760">
        <f t="shared" si="938"/>
        <v>0</v>
      </c>
      <c r="AA465" s="760">
        <f t="shared" si="938"/>
        <v>0</v>
      </c>
      <c r="AB465" s="761">
        <f t="shared" si="938"/>
        <v>0</v>
      </c>
      <c r="AC465" s="760">
        <f t="shared" si="938"/>
        <v>0</v>
      </c>
      <c r="AD465" s="760">
        <f t="shared" si="938"/>
        <v>0</v>
      </c>
      <c r="AE465" s="760">
        <f t="shared" si="938"/>
        <v>0</v>
      </c>
      <c r="AF465" s="760">
        <f t="shared" si="938"/>
        <v>0</v>
      </c>
      <c r="AG465" s="760">
        <f t="shared" si="938"/>
        <v>0</v>
      </c>
    </row>
    <row r="466" spans="1:47">
      <c r="I466" s="775" t="s">
        <v>689</v>
      </c>
      <c r="J466" s="120"/>
      <c r="K466" s="776" t="str">
        <f>IFERROR((K461+K463)/K465,"")</f>
        <v/>
      </c>
      <c r="L466" s="776" t="str">
        <f t="shared" ref="L466:AG466" si="939">IFERROR((L461+L463)/L465,"")</f>
        <v/>
      </c>
      <c r="M466" s="777" t="str">
        <f t="shared" si="939"/>
        <v/>
      </c>
      <c r="N466" s="776" t="str">
        <f t="shared" si="939"/>
        <v/>
      </c>
      <c r="O466" s="776" t="str">
        <f t="shared" si="939"/>
        <v/>
      </c>
      <c r="P466" s="776" t="str">
        <f t="shared" si="939"/>
        <v/>
      </c>
      <c r="Q466" s="776" t="str">
        <f t="shared" si="939"/>
        <v/>
      </c>
      <c r="R466" s="777" t="str">
        <f t="shared" si="939"/>
        <v/>
      </c>
      <c r="S466" s="776" t="str">
        <f t="shared" si="939"/>
        <v/>
      </c>
      <c r="T466" s="776" t="str">
        <f t="shared" si="939"/>
        <v/>
      </c>
      <c r="U466" s="776" t="str">
        <f t="shared" si="939"/>
        <v/>
      </c>
      <c r="V466" s="776" t="str">
        <f t="shared" si="939"/>
        <v/>
      </c>
      <c r="W466" s="777" t="str">
        <f t="shared" si="939"/>
        <v/>
      </c>
      <c r="X466" s="776" t="str">
        <f t="shared" si="939"/>
        <v/>
      </c>
      <c r="Y466" s="776" t="str">
        <f t="shared" si="939"/>
        <v/>
      </c>
      <c r="Z466" s="776" t="str">
        <f t="shared" si="939"/>
        <v/>
      </c>
      <c r="AA466" s="776" t="str">
        <f t="shared" si="939"/>
        <v/>
      </c>
      <c r="AB466" s="777" t="str">
        <f t="shared" si="939"/>
        <v/>
      </c>
      <c r="AC466" s="776" t="str">
        <f t="shared" si="939"/>
        <v/>
      </c>
      <c r="AD466" s="776" t="str">
        <f t="shared" si="939"/>
        <v/>
      </c>
      <c r="AE466" s="776" t="str">
        <f t="shared" si="939"/>
        <v/>
      </c>
      <c r="AF466" s="776" t="str">
        <f t="shared" si="939"/>
        <v/>
      </c>
      <c r="AG466" s="776" t="str">
        <f t="shared" si="939"/>
        <v/>
      </c>
    </row>
    <row r="467" spans="1:47">
      <c r="I467" s="778" t="s">
        <v>693</v>
      </c>
      <c r="J467" s="122"/>
      <c r="K467" s="779" t="str">
        <f>IFERROR((K462+K464)/K465,"")</f>
        <v/>
      </c>
      <c r="L467" s="779" t="str">
        <f t="shared" ref="L467:AG467" si="940">IFERROR((L462+L464)/L465,"")</f>
        <v/>
      </c>
      <c r="M467" s="780" t="str">
        <f t="shared" si="940"/>
        <v/>
      </c>
      <c r="N467" s="779" t="str">
        <f t="shared" si="940"/>
        <v/>
      </c>
      <c r="O467" s="779" t="str">
        <f t="shared" si="940"/>
        <v/>
      </c>
      <c r="P467" s="779" t="str">
        <f t="shared" si="940"/>
        <v/>
      </c>
      <c r="Q467" s="779" t="str">
        <f t="shared" si="940"/>
        <v/>
      </c>
      <c r="R467" s="780" t="str">
        <f t="shared" si="940"/>
        <v/>
      </c>
      <c r="S467" s="779" t="str">
        <f t="shared" si="940"/>
        <v/>
      </c>
      <c r="T467" s="779" t="str">
        <f t="shared" si="940"/>
        <v/>
      </c>
      <c r="U467" s="779" t="str">
        <f t="shared" si="940"/>
        <v/>
      </c>
      <c r="V467" s="779" t="str">
        <f t="shared" si="940"/>
        <v/>
      </c>
      <c r="W467" s="780" t="str">
        <f t="shared" si="940"/>
        <v/>
      </c>
      <c r="X467" s="779" t="str">
        <f t="shared" si="940"/>
        <v/>
      </c>
      <c r="Y467" s="779" t="str">
        <f t="shared" si="940"/>
        <v/>
      </c>
      <c r="Z467" s="779" t="str">
        <f t="shared" si="940"/>
        <v/>
      </c>
      <c r="AA467" s="779" t="str">
        <f t="shared" si="940"/>
        <v/>
      </c>
      <c r="AB467" s="780" t="str">
        <f t="shared" si="940"/>
        <v/>
      </c>
      <c r="AC467" s="779" t="str">
        <f t="shared" si="940"/>
        <v/>
      </c>
      <c r="AD467" s="779" t="str">
        <f t="shared" si="940"/>
        <v/>
      </c>
      <c r="AE467" s="779" t="str">
        <f t="shared" si="940"/>
        <v/>
      </c>
      <c r="AF467" s="779" t="str">
        <f t="shared" si="940"/>
        <v/>
      </c>
      <c r="AG467" s="779" t="str">
        <f t="shared" si="940"/>
        <v/>
      </c>
    </row>
    <row r="469" spans="1:47">
      <c r="A469" s="1239"/>
      <c r="B469" s="1239"/>
      <c r="C469" s="1239"/>
      <c r="D469" s="1239"/>
      <c r="E469" s="1239"/>
      <c r="F469" s="1239"/>
      <c r="G469" s="1239"/>
      <c r="H469" s="1239"/>
      <c r="I469" s="1239"/>
      <c r="J469" s="1239"/>
      <c r="K469" s="1239"/>
      <c r="L469" s="1239"/>
      <c r="M469" s="1239"/>
      <c r="N469" s="1239"/>
      <c r="O469" s="1239"/>
      <c r="P469" s="1239"/>
      <c r="Q469" s="1239"/>
      <c r="R469" s="1239"/>
      <c r="S469" s="1239"/>
      <c r="T469" s="1239"/>
      <c r="U469" s="1239"/>
      <c r="V469" s="1239"/>
      <c r="W469" s="1239"/>
      <c r="X469" s="1239"/>
      <c r="Y469" s="1239"/>
      <c r="Z469" s="1239"/>
      <c r="AA469" s="1239"/>
      <c r="AB469" s="1239"/>
      <c r="AC469" s="1239"/>
      <c r="AD469" s="1239"/>
      <c r="AE469" s="1239"/>
      <c r="AF469" s="1239"/>
      <c r="AG469" s="1239"/>
      <c r="AH469" s="1239"/>
      <c r="AI469" s="1239"/>
      <c r="AJ469" s="1239"/>
      <c r="AK469" s="1239"/>
      <c r="AL469" s="1239"/>
      <c r="AM469" s="1239"/>
      <c r="AN469" s="1239"/>
      <c r="AO469" s="1239"/>
      <c r="AP469" s="1239"/>
      <c r="AQ469" s="1239"/>
      <c r="AR469" s="1239"/>
      <c r="AS469" s="1239"/>
      <c r="AT469" s="1239"/>
    </row>
    <row r="470" spans="1:47">
      <c r="A470" s="1240" t="s">
        <v>839</v>
      </c>
      <c r="B470" s="1241"/>
      <c r="C470" s="414"/>
      <c r="D470" s="414"/>
    </row>
    <row r="471" spans="1:47" ht="12.75" thickBot="1"/>
    <row r="472" spans="1:47" ht="12.75" thickBot="1">
      <c r="I472" s="2235" t="s">
        <v>840</v>
      </c>
      <c r="J472" s="2236"/>
      <c r="K472" s="2236"/>
      <c r="L472" s="2236"/>
      <c r="M472" s="2236"/>
      <c r="N472" s="2236"/>
      <c r="O472" s="2236"/>
      <c r="P472" s="2236"/>
      <c r="Q472" s="2236"/>
      <c r="R472" s="2236"/>
      <c r="S472" s="2236"/>
      <c r="T472" s="2236"/>
      <c r="U472" s="2236"/>
      <c r="V472" s="2236"/>
      <c r="W472" s="2236"/>
      <c r="X472" s="2236"/>
      <c r="Y472" s="2236"/>
      <c r="Z472" s="2236"/>
      <c r="AA472" s="2236"/>
      <c r="AB472" s="2236"/>
      <c r="AC472" s="2236"/>
      <c r="AD472" s="2236"/>
      <c r="AE472" s="2236"/>
      <c r="AF472" s="2236"/>
      <c r="AG472" s="2237"/>
    </row>
    <row r="473" spans="1:47" s="104" customFormat="1">
      <c r="H473" s="1242"/>
      <c r="I473" s="1243" t="str">
        <f>I448</f>
        <v>Water</v>
      </c>
      <c r="J473" s="1244"/>
      <c r="K473" s="1245">
        <f t="shared" ref="K473:Q473" si="941">+SUMIFS(K$69:K$444,$E$69:$E$444,$E$71,$I$69:$I$444,$I473)</f>
        <v>0</v>
      </c>
      <c r="L473" s="1245">
        <f t="shared" si="941"/>
        <v>0</v>
      </c>
      <c r="M473" s="1246">
        <f t="shared" si="941"/>
        <v>0</v>
      </c>
      <c r="N473" s="1245">
        <f t="shared" si="941"/>
        <v>0</v>
      </c>
      <c r="O473" s="1245">
        <f t="shared" si="941"/>
        <v>0</v>
      </c>
      <c r="P473" s="1245">
        <f t="shared" si="941"/>
        <v>0</v>
      </c>
      <c r="Q473" s="1245">
        <f t="shared" si="941"/>
        <v>0</v>
      </c>
      <c r="R473" s="1246">
        <f>SUM(R474:R477)</f>
        <v>0</v>
      </c>
      <c r="S473" s="1245">
        <f t="shared" ref="S473:AG473" si="942">SUM(S474:S477)</f>
        <v>0</v>
      </c>
      <c r="T473" s="1245">
        <f t="shared" si="942"/>
        <v>0</v>
      </c>
      <c r="U473" s="1245">
        <f t="shared" si="942"/>
        <v>0</v>
      </c>
      <c r="V473" s="1245">
        <f t="shared" si="942"/>
        <v>0</v>
      </c>
      <c r="W473" s="1246">
        <f t="shared" si="942"/>
        <v>0</v>
      </c>
      <c r="X473" s="1245">
        <f t="shared" si="942"/>
        <v>0</v>
      </c>
      <c r="Y473" s="1245">
        <f t="shared" si="942"/>
        <v>0</v>
      </c>
      <c r="Z473" s="1245">
        <f t="shared" si="942"/>
        <v>0</v>
      </c>
      <c r="AA473" s="1245">
        <f t="shared" si="942"/>
        <v>0</v>
      </c>
      <c r="AB473" s="1246">
        <f t="shared" si="942"/>
        <v>0</v>
      </c>
      <c r="AC473" s="1245">
        <f t="shared" si="942"/>
        <v>0</v>
      </c>
      <c r="AD473" s="1245">
        <f t="shared" si="942"/>
        <v>0</v>
      </c>
      <c r="AE473" s="1245">
        <f t="shared" si="942"/>
        <v>0</v>
      </c>
      <c r="AF473" s="1245">
        <f t="shared" si="942"/>
        <v>0</v>
      </c>
      <c r="AG473" s="1247">
        <f t="shared" si="942"/>
        <v>0</v>
      </c>
      <c r="AU473" s="1248"/>
    </row>
    <row r="474" spans="1:47">
      <c r="H474" s="1249"/>
      <c r="I474" s="1250" t="str">
        <f>$I$461</f>
        <v>Price cap - Fixed</v>
      </c>
      <c r="J474" s="1251"/>
      <c r="K474" s="828"/>
      <c r="L474" s="828"/>
      <c r="M474" s="829"/>
      <c r="N474" s="828"/>
      <c r="O474" s="828"/>
      <c r="P474" s="828"/>
      <c r="Q474" s="828"/>
      <c r="R474" s="829">
        <f t="shared" ref="R474:AG477" si="943">+SUMIFS(R$69:R$444,$E$69:$E$444,$E$71,$F$69:$F$444,$I$473,$I$69:$I$444,$I474)</f>
        <v>0</v>
      </c>
      <c r="S474" s="828">
        <f t="shared" si="943"/>
        <v>0</v>
      </c>
      <c r="T474" s="828">
        <f t="shared" si="943"/>
        <v>0</v>
      </c>
      <c r="U474" s="828">
        <f t="shared" si="943"/>
        <v>0</v>
      </c>
      <c r="V474" s="828">
        <f t="shared" si="943"/>
        <v>0</v>
      </c>
      <c r="W474" s="829">
        <f t="shared" si="943"/>
        <v>0</v>
      </c>
      <c r="X474" s="828">
        <f t="shared" si="943"/>
        <v>0</v>
      </c>
      <c r="Y474" s="828">
        <f t="shared" si="943"/>
        <v>0</v>
      </c>
      <c r="Z474" s="828">
        <f t="shared" si="943"/>
        <v>0</v>
      </c>
      <c r="AA474" s="828">
        <f t="shared" si="943"/>
        <v>0</v>
      </c>
      <c r="AB474" s="829">
        <f t="shared" si="943"/>
        <v>0</v>
      </c>
      <c r="AC474" s="828">
        <f t="shared" si="943"/>
        <v>0</v>
      </c>
      <c r="AD474" s="828">
        <f t="shared" si="943"/>
        <v>0</v>
      </c>
      <c r="AE474" s="828">
        <f t="shared" si="943"/>
        <v>0</v>
      </c>
      <c r="AF474" s="828">
        <f t="shared" si="943"/>
        <v>0</v>
      </c>
      <c r="AG474" s="1252">
        <f t="shared" si="943"/>
        <v>0</v>
      </c>
    </row>
    <row r="475" spans="1:47">
      <c r="H475" s="1249"/>
      <c r="I475" s="1250" t="str">
        <f>$I$462</f>
        <v xml:space="preserve">Price cap - Variable </v>
      </c>
      <c r="J475" s="1251"/>
      <c r="K475" s="828"/>
      <c r="L475" s="828"/>
      <c r="M475" s="829"/>
      <c r="N475" s="828"/>
      <c r="O475" s="828"/>
      <c r="P475" s="828"/>
      <c r="Q475" s="828"/>
      <c r="R475" s="829">
        <f t="shared" si="943"/>
        <v>0</v>
      </c>
      <c r="S475" s="828">
        <f t="shared" si="943"/>
        <v>0</v>
      </c>
      <c r="T475" s="828">
        <f t="shared" si="943"/>
        <v>0</v>
      </c>
      <c r="U475" s="828">
        <f t="shared" si="943"/>
        <v>0</v>
      </c>
      <c r="V475" s="828">
        <f t="shared" si="943"/>
        <v>0</v>
      </c>
      <c r="W475" s="829">
        <f t="shared" si="943"/>
        <v>0</v>
      </c>
      <c r="X475" s="828">
        <f t="shared" si="943"/>
        <v>0</v>
      </c>
      <c r="Y475" s="828">
        <f t="shared" si="943"/>
        <v>0</v>
      </c>
      <c r="Z475" s="828">
        <f t="shared" si="943"/>
        <v>0</v>
      </c>
      <c r="AA475" s="828">
        <f t="shared" si="943"/>
        <v>0</v>
      </c>
      <c r="AB475" s="829">
        <f t="shared" si="943"/>
        <v>0</v>
      </c>
      <c r="AC475" s="828">
        <f t="shared" si="943"/>
        <v>0</v>
      </c>
      <c r="AD475" s="828">
        <f t="shared" si="943"/>
        <v>0</v>
      </c>
      <c r="AE475" s="828">
        <f t="shared" si="943"/>
        <v>0</v>
      </c>
      <c r="AF475" s="828">
        <f t="shared" si="943"/>
        <v>0</v>
      </c>
      <c r="AG475" s="1252">
        <f t="shared" si="943"/>
        <v>0</v>
      </c>
    </row>
    <row r="476" spans="1:47">
      <c r="H476" s="1249"/>
      <c r="I476" s="1250" t="str">
        <f>$I$463</f>
        <v xml:space="preserve">Revenue cap - Fixed </v>
      </c>
      <c r="J476" s="1251"/>
      <c r="K476" s="828"/>
      <c r="L476" s="828"/>
      <c r="M476" s="829"/>
      <c r="N476" s="828"/>
      <c r="O476" s="828"/>
      <c r="P476" s="828"/>
      <c r="Q476" s="828"/>
      <c r="R476" s="829">
        <f t="shared" si="943"/>
        <v>0</v>
      </c>
      <c r="S476" s="828">
        <f t="shared" si="943"/>
        <v>0</v>
      </c>
      <c r="T476" s="828">
        <f t="shared" si="943"/>
        <v>0</v>
      </c>
      <c r="U476" s="828">
        <f t="shared" si="943"/>
        <v>0</v>
      </c>
      <c r="V476" s="828">
        <f t="shared" si="943"/>
        <v>0</v>
      </c>
      <c r="W476" s="829">
        <f t="shared" si="943"/>
        <v>0</v>
      </c>
      <c r="X476" s="828">
        <f t="shared" si="943"/>
        <v>0</v>
      </c>
      <c r="Y476" s="828">
        <f t="shared" si="943"/>
        <v>0</v>
      </c>
      <c r="Z476" s="828">
        <f t="shared" si="943"/>
        <v>0</v>
      </c>
      <c r="AA476" s="828">
        <f t="shared" si="943"/>
        <v>0</v>
      </c>
      <c r="AB476" s="829">
        <f t="shared" si="943"/>
        <v>0</v>
      </c>
      <c r="AC476" s="828">
        <f t="shared" si="943"/>
        <v>0</v>
      </c>
      <c r="AD476" s="828">
        <f t="shared" si="943"/>
        <v>0</v>
      </c>
      <c r="AE476" s="828">
        <f t="shared" si="943"/>
        <v>0</v>
      </c>
      <c r="AF476" s="828">
        <f t="shared" si="943"/>
        <v>0</v>
      </c>
      <c r="AG476" s="1252">
        <f t="shared" si="943"/>
        <v>0</v>
      </c>
    </row>
    <row r="477" spans="1:47">
      <c r="H477" s="1249"/>
      <c r="I477" s="1250" t="str">
        <f>$I$464</f>
        <v>Revenue cap - Variable</v>
      </c>
      <c r="J477" s="1251"/>
      <c r="K477" s="828"/>
      <c r="L477" s="828"/>
      <c r="M477" s="829"/>
      <c r="N477" s="828"/>
      <c r="O477" s="828"/>
      <c r="P477" s="828"/>
      <c r="Q477" s="828"/>
      <c r="R477" s="829">
        <f t="shared" si="943"/>
        <v>0</v>
      </c>
      <c r="S477" s="828">
        <f t="shared" si="943"/>
        <v>0</v>
      </c>
      <c r="T477" s="828">
        <f t="shared" si="943"/>
        <v>0</v>
      </c>
      <c r="U477" s="828">
        <f t="shared" si="943"/>
        <v>0</v>
      </c>
      <c r="V477" s="828">
        <f t="shared" si="943"/>
        <v>0</v>
      </c>
      <c r="W477" s="829">
        <f t="shared" si="943"/>
        <v>0</v>
      </c>
      <c r="X477" s="828">
        <f t="shared" si="943"/>
        <v>0</v>
      </c>
      <c r="Y477" s="828">
        <f t="shared" si="943"/>
        <v>0</v>
      </c>
      <c r="Z477" s="828">
        <f t="shared" si="943"/>
        <v>0</v>
      </c>
      <c r="AA477" s="828">
        <f t="shared" si="943"/>
        <v>0</v>
      </c>
      <c r="AB477" s="829">
        <f t="shared" si="943"/>
        <v>0</v>
      </c>
      <c r="AC477" s="828">
        <f t="shared" si="943"/>
        <v>0</v>
      </c>
      <c r="AD477" s="828">
        <f t="shared" si="943"/>
        <v>0</v>
      </c>
      <c r="AE477" s="828">
        <f t="shared" si="943"/>
        <v>0</v>
      </c>
      <c r="AF477" s="828">
        <f t="shared" si="943"/>
        <v>0</v>
      </c>
      <c r="AG477" s="1252">
        <f t="shared" si="943"/>
        <v>0</v>
      </c>
    </row>
    <row r="478" spans="1:47" s="1253" customFormat="1">
      <c r="H478" s="1254"/>
      <c r="I478" s="1255" t="s">
        <v>691</v>
      </c>
      <c r="J478" s="1256"/>
      <c r="K478" s="1257"/>
      <c r="L478" s="1257"/>
      <c r="M478" s="1258"/>
      <c r="N478" s="1257"/>
      <c r="O478" s="1257"/>
      <c r="P478" s="1257"/>
      <c r="Q478" s="1257"/>
      <c r="R478" s="1259">
        <f>R473-R448</f>
        <v>0</v>
      </c>
      <c r="S478" s="1260">
        <f t="shared" ref="S478:AG478" si="944">S473-S448</f>
        <v>0</v>
      </c>
      <c r="T478" s="1260">
        <f t="shared" si="944"/>
        <v>0</v>
      </c>
      <c r="U478" s="1260">
        <f t="shared" si="944"/>
        <v>0</v>
      </c>
      <c r="V478" s="1260">
        <f t="shared" si="944"/>
        <v>0</v>
      </c>
      <c r="W478" s="1259">
        <f t="shared" si="944"/>
        <v>0</v>
      </c>
      <c r="X478" s="1260">
        <f t="shared" si="944"/>
        <v>0</v>
      </c>
      <c r="Y478" s="1260">
        <f t="shared" si="944"/>
        <v>0</v>
      </c>
      <c r="Z478" s="1260">
        <f t="shared" si="944"/>
        <v>0</v>
      </c>
      <c r="AA478" s="1260">
        <f t="shared" si="944"/>
        <v>0</v>
      </c>
      <c r="AB478" s="1259">
        <f t="shared" si="944"/>
        <v>0</v>
      </c>
      <c r="AC478" s="1260">
        <f t="shared" si="944"/>
        <v>0</v>
      </c>
      <c r="AD478" s="1260">
        <f t="shared" si="944"/>
        <v>0</v>
      </c>
      <c r="AE478" s="1260">
        <f t="shared" si="944"/>
        <v>0</v>
      </c>
      <c r="AF478" s="1260">
        <f t="shared" si="944"/>
        <v>0</v>
      </c>
      <c r="AG478" s="1261">
        <f t="shared" si="944"/>
        <v>0</v>
      </c>
      <c r="AU478" s="1262"/>
    </row>
    <row r="479" spans="1:47" s="104" customFormat="1">
      <c r="H479" s="1242"/>
      <c r="I479" s="1243" t="str">
        <f>I449</f>
        <v>Sewerage</v>
      </c>
      <c r="J479" s="1244"/>
      <c r="K479" s="1245">
        <f t="shared" ref="K479:Q479" si="945">+SUMIFS(K$69:K$444,$E$69:$E$444,$E$71,$I$69:$I$444,$I479)</f>
        <v>0</v>
      </c>
      <c r="L479" s="1245">
        <f t="shared" si="945"/>
        <v>0</v>
      </c>
      <c r="M479" s="1246">
        <f t="shared" si="945"/>
        <v>0</v>
      </c>
      <c r="N479" s="1245">
        <f t="shared" si="945"/>
        <v>0</v>
      </c>
      <c r="O479" s="1245">
        <f t="shared" si="945"/>
        <v>0</v>
      </c>
      <c r="P479" s="1245">
        <f t="shared" si="945"/>
        <v>0</v>
      </c>
      <c r="Q479" s="1245">
        <f t="shared" si="945"/>
        <v>0</v>
      </c>
      <c r="R479" s="1246">
        <f>SUM(R480:R483)</f>
        <v>0</v>
      </c>
      <c r="S479" s="1245">
        <f t="shared" ref="S479:AG479" si="946">SUM(S480:S483)</f>
        <v>0</v>
      </c>
      <c r="T479" s="1245">
        <f t="shared" si="946"/>
        <v>0</v>
      </c>
      <c r="U479" s="1245">
        <f t="shared" si="946"/>
        <v>0</v>
      </c>
      <c r="V479" s="1245">
        <f t="shared" si="946"/>
        <v>0</v>
      </c>
      <c r="W479" s="1246">
        <f t="shared" si="946"/>
        <v>0</v>
      </c>
      <c r="X479" s="1245">
        <f t="shared" si="946"/>
        <v>0</v>
      </c>
      <c r="Y479" s="1245">
        <f t="shared" si="946"/>
        <v>0</v>
      </c>
      <c r="Z479" s="1245">
        <f t="shared" si="946"/>
        <v>0</v>
      </c>
      <c r="AA479" s="1245">
        <f t="shared" si="946"/>
        <v>0</v>
      </c>
      <c r="AB479" s="1246">
        <f t="shared" si="946"/>
        <v>0</v>
      </c>
      <c r="AC479" s="1245">
        <f t="shared" si="946"/>
        <v>0</v>
      </c>
      <c r="AD479" s="1245">
        <f t="shared" si="946"/>
        <v>0</v>
      </c>
      <c r="AE479" s="1245">
        <f t="shared" si="946"/>
        <v>0</v>
      </c>
      <c r="AF479" s="1245">
        <f t="shared" si="946"/>
        <v>0</v>
      </c>
      <c r="AG479" s="1247">
        <f t="shared" si="946"/>
        <v>0</v>
      </c>
      <c r="AU479" s="1248"/>
    </row>
    <row r="480" spans="1:47">
      <c r="H480" s="1249"/>
      <c r="I480" s="1250" t="str">
        <f>I474</f>
        <v>Price cap - Fixed</v>
      </c>
      <c r="J480" s="1251"/>
      <c r="K480" s="828"/>
      <c r="L480" s="828"/>
      <c r="M480" s="829"/>
      <c r="N480" s="828"/>
      <c r="O480" s="828"/>
      <c r="P480" s="828"/>
      <c r="Q480" s="828"/>
      <c r="R480" s="829">
        <f t="shared" ref="R480:AG483" si="947">+SUMIFS(R$69:R$444,$E$69:$E$444,$E$71,$F$69:$F$444,$I$479,$I$69:$I$444,$I480)</f>
        <v>0</v>
      </c>
      <c r="S480" s="828">
        <f t="shared" si="947"/>
        <v>0</v>
      </c>
      <c r="T480" s="828">
        <f t="shared" si="947"/>
        <v>0</v>
      </c>
      <c r="U480" s="828">
        <f t="shared" si="947"/>
        <v>0</v>
      </c>
      <c r="V480" s="828">
        <f t="shared" si="947"/>
        <v>0</v>
      </c>
      <c r="W480" s="829">
        <f t="shared" si="947"/>
        <v>0</v>
      </c>
      <c r="X480" s="828">
        <f t="shared" si="947"/>
        <v>0</v>
      </c>
      <c r="Y480" s="828">
        <f t="shared" si="947"/>
        <v>0</v>
      </c>
      <c r="Z480" s="828">
        <f t="shared" si="947"/>
        <v>0</v>
      </c>
      <c r="AA480" s="828">
        <f t="shared" si="947"/>
        <v>0</v>
      </c>
      <c r="AB480" s="829">
        <f t="shared" si="947"/>
        <v>0</v>
      </c>
      <c r="AC480" s="828">
        <f t="shared" si="947"/>
        <v>0</v>
      </c>
      <c r="AD480" s="828">
        <f t="shared" si="947"/>
        <v>0</v>
      </c>
      <c r="AE480" s="828">
        <f t="shared" si="947"/>
        <v>0</v>
      </c>
      <c r="AF480" s="828">
        <f t="shared" si="947"/>
        <v>0</v>
      </c>
      <c r="AG480" s="1252">
        <f t="shared" si="947"/>
        <v>0</v>
      </c>
    </row>
    <row r="481" spans="8:47">
      <c r="H481" s="1249"/>
      <c r="I481" s="1250" t="str">
        <f>I475</f>
        <v xml:space="preserve">Price cap - Variable </v>
      </c>
      <c r="J481" s="1251"/>
      <c r="K481" s="828"/>
      <c r="L481" s="828"/>
      <c r="M481" s="829"/>
      <c r="N481" s="828"/>
      <c r="O481" s="828"/>
      <c r="P481" s="828"/>
      <c r="Q481" s="828"/>
      <c r="R481" s="829">
        <f t="shared" si="947"/>
        <v>0</v>
      </c>
      <c r="S481" s="828">
        <f t="shared" si="947"/>
        <v>0</v>
      </c>
      <c r="T481" s="828">
        <f t="shared" si="947"/>
        <v>0</v>
      </c>
      <c r="U481" s="828">
        <f t="shared" si="947"/>
        <v>0</v>
      </c>
      <c r="V481" s="828">
        <f t="shared" si="947"/>
        <v>0</v>
      </c>
      <c r="W481" s="829">
        <f t="shared" si="947"/>
        <v>0</v>
      </c>
      <c r="X481" s="828">
        <f t="shared" si="947"/>
        <v>0</v>
      </c>
      <c r="Y481" s="828">
        <f t="shared" si="947"/>
        <v>0</v>
      </c>
      <c r="Z481" s="828">
        <f t="shared" si="947"/>
        <v>0</v>
      </c>
      <c r="AA481" s="828">
        <f t="shared" si="947"/>
        <v>0</v>
      </c>
      <c r="AB481" s="829">
        <f t="shared" si="947"/>
        <v>0</v>
      </c>
      <c r="AC481" s="828">
        <f t="shared" si="947"/>
        <v>0</v>
      </c>
      <c r="AD481" s="828">
        <f t="shared" si="947"/>
        <v>0</v>
      </c>
      <c r="AE481" s="828">
        <f t="shared" si="947"/>
        <v>0</v>
      </c>
      <c r="AF481" s="828">
        <f t="shared" si="947"/>
        <v>0</v>
      </c>
      <c r="AG481" s="1252">
        <f t="shared" si="947"/>
        <v>0</v>
      </c>
    </row>
    <row r="482" spans="8:47">
      <c r="H482" s="1249"/>
      <c r="I482" s="1250" t="str">
        <f>I476</f>
        <v xml:space="preserve">Revenue cap - Fixed </v>
      </c>
      <c r="J482" s="1251"/>
      <c r="K482" s="828"/>
      <c r="L482" s="828"/>
      <c r="M482" s="829"/>
      <c r="N482" s="828"/>
      <c r="O482" s="828"/>
      <c r="P482" s="828"/>
      <c r="Q482" s="828"/>
      <c r="R482" s="829">
        <f t="shared" si="947"/>
        <v>0</v>
      </c>
      <c r="S482" s="828">
        <f t="shared" si="947"/>
        <v>0</v>
      </c>
      <c r="T482" s="828">
        <f t="shared" si="947"/>
        <v>0</v>
      </c>
      <c r="U482" s="828">
        <f t="shared" si="947"/>
        <v>0</v>
      </c>
      <c r="V482" s="828">
        <f t="shared" si="947"/>
        <v>0</v>
      </c>
      <c r="W482" s="829">
        <f t="shared" si="947"/>
        <v>0</v>
      </c>
      <c r="X482" s="828">
        <f t="shared" si="947"/>
        <v>0</v>
      </c>
      <c r="Y482" s="828">
        <f t="shared" si="947"/>
        <v>0</v>
      </c>
      <c r="Z482" s="828">
        <f t="shared" si="947"/>
        <v>0</v>
      </c>
      <c r="AA482" s="828">
        <f t="shared" si="947"/>
        <v>0</v>
      </c>
      <c r="AB482" s="829">
        <f t="shared" si="947"/>
        <v>0</v>
      </c>
      <c r="AC482" s="828">
        <f t="shared" si="947"/>
        <v>0</v>
      </c>
      <c r="AD482" s="828">
        <f t="shared" si="947"/>
        <v>0</v>
      </c>
      <c r="AE482" s="828">
        <f t="shared" si="947"/>
        <v>0</v>
      </c>
      <c r="AF482" s="828">
        <f t="shared" si="947"/>
        <v>0</v>
      </c>
      <c r="AG482" s="1252">
        <f t="shared" si="947"/>
        <v>0</v>
      </c>
    </row>
    <row r="483" spans="8:47">
      <c r="H483" s="1249"/>
      <c r="I483" s="1250" t="str">
        <f>I477</f>
        <v>Revenue cap - Variable</v>
      </c>
      <c r="J483" s="1251"/>
      <c r="K483" s="828"/>
      <c r="L483" s="828"/>
      <c r="M483" s="829"/>
      <c r="N483" s="828"/>
      <c r="O483" s="828"/>
      <c r="P483" s="828"/>
      <c r="Q483" s="828"/>
      <c r="R483" s="829">
        <f t="shared" si="947"/>
        <v>0</v>
      </c>
      <c r="S483" s="828">
        <f t="shared" si="947"/>
        <v>0</v>
      </c>
      <c r="T483" s="828">
        <f t="shared" si="947"/>
        <v>0</v>
      </c>
      <c r="U483" s="828">
        <f t="shared" si="947"/>
        <v>0</v>
      </c>
      <c r="V483" s="828">
        <f t="shared" si="947"/>
        <v>0</v>
      </c>
      <c r="W483" s="829">
        <f t="shared" si="947"/>
        <v>0</v>
      </c>
      <c r="X483" s="828">
        <f t="shared" si="947"/>
        <v>0</v>
      </c>
      <c r="Y483" s="828">
        <f t="shared" si="947"/>
        <v>0</v>
      </c>
      <c r="Z483" s="828">
        <f t="shared" si="947"/>
        <v>0</v>
      </c>
      <c r="AA483" s="828">
        <f t="shared" si="947"/>
        <v>0</v>
      </c>
      <c r="AB483" s="829">
        <f t="shared" si="947"/>
        <v>0</v>
      </c>
      <c r="AC483" s="828">
        <f t="shared" si="947"/>
        <v>0</v>
      </c>
      <c r="AD483" s="828">
        <f t="shared" si="947"/>
        <v>0</v>
      </c>
      <c r="AE483" s="828">
        <f t="shared" si="947"/>
        <v>0</v>
      </c>
      <c r="AF483" s="828">
        <f t="shared" si="947"/>
        <v>0</v>
      </c>
      <c r="AG483" s="1252">
        <f t="shared" si="947"/>
        <v>0</v>
      </c>
    </row>
    <row r="484" spans="8:47" s="1253" customFormat="1">
      <c r="H484" s="1254"/>
      <c r="I484" s="1255" t="s">
        <v>691</v>
      </c>
      <c r="J484" s="1256"/>
      <c r="K484" s="1257"/>
      <c r="L484" s="1257"/>
      <c r="M484" s="1258"/>
      <c r="N484" s="1257"/>
      <c r="O484" s="1257"/>
      <c r="P484" s="1257"/>
      <c r="Q484" s="1257"/>
      <c r="R484" s="1259">
        <f>R479-R449</f>
        <v>0</v>
      </c>
      <c r="S484" s="1260">
        <f t="shared" ref="S484:AG484" si="948">S479-S449</f>
        <v>0</v>
      </c>
      <c r="T484" s="1260">
        <f t="shared" si="948"/>
        <v>0</v>
      </c>
      <c r="U484" s="1260">
        <f t="shared" si="948"/>
        <v>0</v>
      </c>
      <c r="V484" s="1260">
        <f t="shared" si="948"/>
        <v>0</v>
      </c>
      <c r="W484" s="1259">
        <f t="shared" si="948"/>
        <v>0</v>
      </c>
      <c r="X484" s="1260">
        <f t="shared" si="948"/>
        <v>0</v>
      </c>
      <c r="Y484" s="1260">
        <f t="shared" si="948"/>
        <v>0</v>
      </c>
      <c r="Z484" s="1260">
        <f t="shared" si="948"/>
        <v>0</v>
      </c>
      <c r="AA484" s="1260">
        <f t="shared" si="948"/>
        <v>0</v>
      </c>
      <c r="AB484" s="1259">
        <f t="shared" si="948"/>
        <v>0</v>
      </c>
      <c r="AC484" s="1260">
        <f t="shared" si="948"/>
        <v>0</v>
      </c>
      <c r="AD484" s="1260">
        <f t="shared" si="948"/>
        <v>0</v>
      </c>
      <c r="AE484" s="1260">
        <f t="shared" si="948"/>
        <v>0</v>
      </c>
      <c r="AF484" s="1260">
        <f t="shared" si="948"/>
        <v>0</v>
      </c>
      <c r="AG484" s="1261">
        <f t="shared" si="948"/>
        <v>0</v>
      </c>
      <c r="AU484" s="1262"/>
    </row>
    <row r="485" spans="8:47" s="104" customFormat="1">
      <c r="H485" s="1242"/>
      <c r="I485" s="1263" t="str">
        <f>I450</f>
        <v>Recycled Water</v>
      </c>
      <c r="J485" s="1264"/>
      <c r="K485" s="1245">
        <f t="shared" ref="K485:Q485" si="949">+SUMIFS(K$69:K$444,$E$69:$E$444,$E$71,$I$69:$I$444,$I485)</f>
        <v>0</v>
      </c>
      <c r="L485" s="1245">
        <f t="shared" si="949"/>
        <v>0</v>
      </c>
      <c r="M485" s="1246">
        <f t="shared" si="949"/>
        <v>0</v>
      </c>
      <c r="N485" s="1245">
        <f t="shared" si="949"/>
        <v>0</v>
      </c>
      <c r="O485" s="1245">
        <f t="shared" si="949"/>
        <v>0</v>
      </c>
      <c r="P485" s="1245">
        <f t="shared" si="949"/>
        <v>0</v>
      </c>
      <c r="Q485" s="1245">
        <f t="shared" si="949"/>
        <v>0</v>
      </c>
      <c r="R485" s="1246">
        <f>SUM(R486:R489)</f>
        <v>0</v>
      </c>
      <c r="S485" s="1245">
        <f t="shared" ref="S485:AG485" si="950">SUM(S486:S489)</f>
        <v>0</v>
      </c>
      <c r="T485" s="1245">
        <f t="shared" si="950"/>
        <v>0</v>
      </c>
      <c r="U485" s="1245">
        <f t="shared" si="950"/>
        <v>0</v>
      </c>
      <c r="V485" s="1245">
        <f t="shared" si="950"/>
        <v>0</v>
      </c>
      <c r="W485" s="1246">
        <f t="shared" si="950"/>
        <v>0</v>
      </c>
      <c r="X485" s="1245">
        <f t="shared" si="950"/>
        <v>0</v>
      </c>
      <c r="Y485" s="1245">
        <f t="shared" si="950"/>
        <v>0</v>
      </c>
      <c r="Z485" s="1245">
        <f t="shared" si="950"/>
        <v>0</v>
      </c>
      <c r="AA485" s="1245">
        <f t="shared" si="950"/>
        <v>0</v>
      </c>
      <c r="AB485" s="1246">
        <f t="shared" si="950"/>
        <v>0</v>
      </c>
      <c r="AC485" s="1245">
        <f t="shared" si="950"/>
        <v>0</v>
      </c>
      <c r="AD485" s="1245">
        <f t="shared" si="950"/>
        <v>0</v>
      </c>
      <c r="AE485" s="1245">
        <f t="shared" si="950"/>
        <v>0</v>
      </c>
      <c r="AF485" s="1245">
        <f t="shared" si="950"/>
        <v>0</v>
      </c>
      <c r="AG485" s="1247">
        <f t="shared" si="950"/>
        <v>0</v>
      </c>
      <c r="AU485" s="1248"/>
    </row>
    <row r="486" spans="8:47">
      <c r="H486" s="1051"/>
      <c r="I486" s="1250" t="str">
        <f>I480</f>
        <v>Price cap - Fixed</v>
      </c>
      <c r="J486" s="1251"/>
      <c r="K486" s="828"/>
      <c r="L486" s="828"/>
      <c r="M486" s="829"/>
      <c r="N486" s="828"/>
      <c r="O486" s="828"/>
      <c r="P486" s="828"/>
      <c r="Q486" s="828"/>
      <c r="R486" s="829">
        <f t="shared" ref="R486:AG489" si="951">+SUMIFS(R$69:R$444,$E$69:$E$444,$E$71,$F$69:$F$444,$I$485,$I$69:$I$444,$I486)</f>
        <v>0</v>
      </c>
      <c r="S486" s="828">
        <f t="shared" si="951"/>
        <v>0</v>
      </c>
      <c r="T486" s="828">
        <f t="shared" si="951"/>
        <v>0</v>
      </c>
      <c r="U486" s="828">
        <f t="shared" si="951"/>
        <v>0</v>
      </c>
      <c r="V486" s="828">
        <f t="shared" si="951"/>
        <v>0</v>
      </c>
      <c r="W486" s="829">
        <f t="shared" si="951"/>
        <v>0</v>
      </c>
      <c r="X486" s="828">
        <f t="shared" si="951"/>
        <v>0</v>
      </c>
      <c r="Y486" s="828">
        <f t="shared" si="951"/>
        <v>0</v>
      </c>
      <c r="Z486" s="828">
        <f t="shared" si="951"/>
        <v>0</v>
      </c>
      <c r="AA486" s="828">
        <f t="shared" si="951"/>
        <v>0</v>
      </c>
      <c r="AB486" s="829">
        <f t="shared" si="951"/>
        <v>0</v>
      </c>
      <c r="AC486" s="828">
        <f t="shared" si="951"/>
        <v>0</v>
      </c>
      <c r="AD486" s="828">
        <f t="shared" si="951"/>
        <v>0</v>
      </c>
      <c r="AE486" s="828">
        <f t="shared" si="951"/>
        <v>0</v>
      </c>
      <c r="AF486" s="828">
        <f t="shared" si="951"/>
        <v>0</v>
      </c>
      <c r="AG486" s="1252">
        <f t="shared" si="951"/>
        <v>0</v>
      </c>
    </row>
    <row r="487" spans="8:47">
      <c r="H487" s="1051"/>
      <c r="I487" s="1250" t="str">
        <f>I481</f>
        <v xml:space="preserve">Price cap - Variable </v>
      </c>
      <c r="J487" s="1251"/>
      <c r="K487" s="828"/>
      <c r="L487" s="828"/>
      <c r="M487" s="829"/>
      <c r="N487" s="828"/>
      <c r="O487" s="828"/>
      <c r="P487" s="828"/>
      <c r="Q487" s="828"/>
      <c r="R487" s="829">
        <f t="shared" si="951"/>
        <v>0</v>
      </c>
      <c r="S487" s="828">
        <f t="shared" si="951"/>
        <v>0</v>
      </c>
      <c r="T487" s="828">
        <f t="shared" si="951"/>
        <v>0</v>
      </c>
      <c r="U487" s="828">
        <f t="shared" si="951"/>
        <v>0</v>
      </c>
      <c r="V487" s="828">
        <f t="shared" si="951"/>
        <v>0</v>
      </c>
      <c r="W487" s="829">
        <f t="shared" si="951"/>
        <v>0</v>
      </c>
      <c r="X487" s="828">
        <f t="shared" si="951"/>
        <v>0</v>
      </c>
      <c r="Y487" s="828">
        <f t="shared" si="951"/>
        <v>0</v>
      </c>
      <c r="Z487" s="828">
        <f t="shared" si="951"/>
        <v>0</v>
      </c>
      <c r="AA487" s="828">
        <f t="shared" si="951"/>
        <v>0</v>
      </c>
      <c r="AB487" s="829">
        <f t="shared" si="951"/>
        <v>0</v>
      </c>
      <c r="AC487" s="828">
        <f t="shared" si="951"/>
        <v>0</v>
      </c>
      <c r="AD487" s="828">
        <f t="shared" si="951"/>
        <v>0</v>
      </c>
      <c r="AE487" s="828">
        <f t="shared" si="951"/>
        <v>0</v>
      </c>
      <c r="AF487" s="828">
        <f t="shared" si="951"/>
        <v>0</v>
      </c>
      <c r="AG487" s="1252">
        <f t="shared" si="951"/>
        <v>0</v>
      </c>
    </row>
    <row r="488" spans="8:47">
      <c r="H488" s="1051"/>
      <c r="I488" s="1250" t="str">
        <f>I482</f>
        <v xml:space="preserve">Revenue cap - Fixed </v>
      </c>
      <c r="J488" s="1251"/>
      <c r="K488" s="828"/>
      <c r="L488" s="828"/>
      <c r="M488" s="829"/>
      <c r="N488" s="828"/>
      <c r="O488" s="828"/>
      <c r="P488" s="828"/>
      <c r="Q488" s="828"/>
      <c r="R488" s="829">
        <f t="shared" si="951"/>
        <v>0</v>
      </c>
      <c r="S488" s="828">
        <f t="shared" si="951"/>
        <v>0</v>
      </c>
      <c r="T488" s="828">
        <f t="shared" si="951"/>
        <v>0</v>
      </c>
      <c r="U488" s="828">
        <f t="shared" si="951"/>
        <v>0</v>
      </c>
      <c r="V488" s="828">
        <f t="shared" si="951"/>
        <v>0</v>
      </c>
      <c r="W488" s="829">
        <f t="shared" si="951"/>
        <v>0</v>
      </c>
      <c r="X488" s="828">
        <f t="shared" si="951"/>
        <v>0</v>
      </c>
      <c r="Y488" s="828">
        <f t="shared" si="951"/>
        <v>0</v>
      </c>
      <c r="Z488" s="828">
        <f t="shared" si="951"/>
        <v>0</v>
      </c>
      <c r="AA488" s="828">
        <f t="shared" si="951"/>
        <v>0</v>
      </c>
      <c r="AB488" s="829">
        <f t="shared" si="951"/>
        <v>0</v>
      </c>
      <c r="AC488" s="828">
        <f t="shared" si="951"/>
        <v>0</v>
      </c>
      <c r="AD488" s="828">
        <f t="shared" si="951"/>
        <v>0</v>
      </c>
      <c r="AE488" s="828">
        <f t="shared" si="951"/>
        <v>0</v>
      </c>
      <c r="AF488" s="828">
        <f t="shared" si="951"/>
        <v>0</v>
      </c>
      <c r="AG488" s="1252">
        <f t="shared" si="951"/>
        <v>0</v>
      </c>
    </row>
    <row r="489" spans="8:47">
      <c r="H489" s="1051"/>
      <c r="I489" s="1250" t="str">
        <f>I483</f>
        <v>Revenue cap - Variable</v>
      </c>
      <c r="J489" s="1251"/>
      <c r="K489" s="828"/>
      <c r="L489" s="828"/>
      <c r="M489" s="829"/>
      <c r="N489" s="828"/>
      <c r="O489" s="828"/>
      <c r="P489" s="828"/>
      <c r="Q489" s="828"/>
      <c r="R489" s="829">
        <f t="shared" si="951"/>
        <v>0</v>
      </c>
      <c r="S489" s="828">
        <f t="shared" si="951"/>
        <v>0</v>
      </c>
      <c r="T489" s="828">
        <f t="shared" si="951"/>
        <v>0</v>
      </c>
      <c r="U489" s="828">
        <f t="shared" si="951"/>
        <v>0</v>
      </c>
      <c r="V489" s="828">
        <f t="shared" si="951"/>
        <v>0</v>
      </c>
      <c r="W489" s="829">
        <f t="shared" si="951"/>
        <v>0</v>
      </c>
      <c r="X489" s="828">
        <f t="shared" si="951"/>
        <v>0</v>
      </c>
      <c r="Y489" s="828">
        <f t="shared" si="951"/>
        <v>0</v>
      </c>
      <c r="Z489" s="828">
        <f t="shared" si="951"/>
        <v>0</v>
      </c>
      <c r="AA489" s="828">
        <f t="shared" si="951"/>
        <v>0</v>
      </c>
      <c r="AB489" s="829">
        <f t="shared" si="951"/>
        <v>0</v>
      </c>
      <c r="AC489" s="828">
        <f t="shared" si="951"/>
        <v>0</v>
      </c>
      <c r="AD489" s="828">
        <f t="shared" si="951"/>
        <v>0</v>
      </c>
      <c r="AE489" s="828">
        <f t="shared" si="951"/>
        <v>0</v>
      </c>
      <c r="AF489" s="828">
        <f t="shared" si="951"/>
        <v>0</v>
      </c>
      <c r="AG489" s="1252">
        <f t="shared" si="951"/>
        <v>0</v>
      </c>
    </row>
    <row r="490" spans="8:47" s="1253" customFormat="1">
      <c r="H490" s="1254"/>
      <c r="I490" s="1255" t="s">
        <v>691</v>
      </c>
      <c r="J490" s="1256"/>
      <c r="K490" s="1257"/>
      <c r="L490" s="1257"/>
      <c r="M490" s="1258"/>
      <c r="N490" s="1257"/>
      <c r="O490" s="1257"/>
      <c r="P490" s="1257"/>
      <c r="Q490" s="1257"/>
      <c r="R490" s="1259">
        <f>R485-R450</f>
        <v>0</v>
      </c>
      <c r="S490" s="1260">
        <f t="shared" ref="S490:AG490" si="952">S485-S450</f>
        <v>0</v>
      </c>
      <c r="T490" s="1260">
        <f t="shared" si="952"/>
        <v>0</v>
      </c>
      <c r="U490" s="1260">
        <f t="shared" si="952"/>
        <v>0</v>
      </c>
      <c r="V490" s="1260">
        <f t="shared" si="952"/>
        <v>0</v>
      </c>
      <c r="W490" s="1259">
        <f t="shared" si="952"/>
        <v>0</v>
      </c>
      <c r="X490" s="1260">
        <f t="shared" si="952"/>
        <v>0</v>
      </c>
      <c r="Y490" s="1260">
        <f t="shared" si="952"/>
        <v>0</v>
      </c>
      <c r="Z490" s="1260">
        <f t="shared" si="952"/>
        <v>0</v>
      </c>
      <c r="AA490" s="1260">
        <f t="shared" si="952"/>
        <v>0</v>
      </c>
      <c r="AB490" s="1259">
        <f t="shared" si="952"/>
        <v>0</v>
      </c>
      <c r="AC490" s="1260">
        <f t="shared" si="952"/>
        <v>0</v>
      </c>
      <c r="AD490" s="1260">
        <f t="shared" si="952"/>
        <v>0</v>
      </c>
      <c r="AE490" s="1260">
        <f t="shared" si="952"/>
        <v>0</v>
      </c>
      <c r="AF490" s="1260">
        <f t="shared" si="952"/>
        <v>0</v>
      </c>
      <c r="AG490" s="1261">
        <f t="shared" si="952"/>
        <v>0</v>
      </c>
      <c r="AU490" s="1262"/>
    </row>
    <row r="491" spans="8:47" s="104" customFormat="1">
      <c r="H491" s="1242"/>
      <c r="I491" s="1263" t="str">
        <f>I451</f>
        <v>Trade Waste</v>
      </c>
      <c r="J491" s="1264"/>
      <c r="K491" s="1245"/>
      <c r="L491" s="1245"/>
      <c r="M491" s="1246"/>
      <c r="N491" s="1245"/>
      <c r="O491" s="1245"/>
      <c r="P491" s="1245"/>
      <c r="Q491" s="1245"/>
      <c r="R491" s="1246">
        <f>SUM(R492:R495)</f>
        <v>0</v>
      </c>
      <c r="S491" s="1245">
        <f t="shared" ref="S491:AG491" si="953">SUM(S492:S495)</f>
        <v>0</v>
      </c>
      <c r="T491" s="1245">
        <f t="shared" si="953"/>
        <v>0</v>
      </c>
      <c r="U491" s="1245">
        <f t="shared" si="953"/>
        <v>0</v>
      </c>
      <c r="V491" s="1245">
        <f t="shared" si="953"/>
        <v>0</v>
      </c>
      <c r="W491" s="1246">
        <f t="shared" si="953"/>
        <v>0</v>
      </c>
      <c r="X491" s="1245">
        <f t="shared" si="953"/>
        <v>0</v>
      </c>
      <c r="Y491" s="1245">
        <f t="shared" si="953"/>
        <v>0</v>
      </c>
      <c r="Z491" s="1245">
        <f t="shared" si="953"/>
        <v>0</v>
      </c>
      <c r="AA491" s="1245">
        <f t="shared" si="953"/>
        <v>0</v>
      </c>
      <c r="AB491" s="1246">
        <f t="shared" si="953"/>
        <v>0</v>
      </c>
      <c r="AC491" s="1245">
        <f t="shared" si="953"/>
        <v>0</v>
      </c>
      <c r="AD491" s="1245">
        <f t="shared" si="953"/>
        <v>0</v>
      </c>
      <c r="AE491" s="1245">
        <f t="shared" si="953"/>
        <v>0</v>
      </c>
      <c r="AF491" s="1245">
        <f t="shared" si="953"/>
        <v>0</v>
      </c>
      <c r="AG491" s="1247">
        <f t="shared" si="953"/>
        <v>0</v>
      </c>
      <c r="AU491" s="1248"/>
    </row>
    <row r="492" spans="8:47">
      <c r="H492" s="1051"/>
      <c r="I492" s="1250" t="str">
        <f>I486</f>
        <v>Price cap - Fixed</v>
      </c>
      <c r="J492" s="1251"/>
      <c r="K492" s="828"/>
      <c r="L492" s="828"/>
      <c r="M492" s="829"/>
      <c r="N492" s="828"/>
      <c r="O492" s="828"/>
      <c r="P492" s="828"/>
      <c r="Q492" s="828"/>
      <c r="R492" s="829">
        <f t="shared" ref="R492:AG495" si="954">+SUMIFS(R$69:R$444,$E$69:$E$444,$E$71,$F$69:$F$444,$I$491,$I$69:$I$444,$I492)</f>
        <v>0</v>
      </c>
      <c r="S492" s="828">
        <f t="shared" si="954"/>
        <v>0</v>
      </c>
      <c r="T492" s="828">
        <f t="shared" si="954"/>
        <v>0</v>
      </c>
      <c r="U492" s="828">
        <f t="shared" si="954"/>
        <v>0</v>
      </c>
      <c r="V492" s="828">
        <f t="shared" si="954"/>
        <v>0</v>
      </c>
      <c r="W492" s="829">
        <f t="shared" si="954"/>
        <v>0</v>
      </c>
      <c r="X492" s="828">
        <f t="shared" si="954"/>
        <v>0</v>
      </c>
      <c r="Y492" s="828">
        <f t="shared" si="954"/>
        <v>0</v>
      </c>
      <c r="Z492" s="828">
        <f t="shared" si="954"/>
        <v>0</v>
      </c>
      <c r="AA492" s="828">
        <f t="shared" si="954"/>
        <v>0</v>
      </c>
      <c r="AB492" s="829">
        <f t="shared" si="954"/>
        <v>0</v>
      </c>
      <c r="AC492" s="828">
        <f t="shared" si="954"/>
        <v>0</v>
      </c>
      <c r="AD492" s="828">
        <f t="shared" si="954"/>
        <v>0</v>
      </c>
      <c r="AE492" s="828">
        <f t="shared" si="954"/>
        <v>0</v>
      </c>
      <c r="AF492" s="828">
        <f t="shared" si="954"/>
        <v>0</v>
      </c>
      <c r="AG492" s="1252">
        <f t="shared" si="954"/>
        <v>0</v>
      </c>
    </row>
    <row r="493" spans="8:47">
      <c r="H493" s="1051"/>
      <c r="I493" s="1250" t="str">
        <f>I487</f>
        <v xml:space="preserve">Price cap - Variable </v>
      </c>
      <c r="J493" s="1251"/>
      <c r="K493" s="828"/>
      <c r="L493" s="828"/>
      <c r="M493" s="829"/>
      <c r="N493" s="828"/>
      <c r="O493" s="828"/>
      <c r="P493" s="828"/>
      <c r="Q493" s="828"/>
      <c r="R493" s="829">
        <f t="shared" si="954"/>
        <v>0</v>
      </c>
      <c r="S493" s="828">
        <f t="shared" si="954"/>
        <v>0</v>
      </c>
      <c r="T493" s="828">
        <f t="shared" si="954"/>
        <v>0</v>
      </c>
      <c r="U493" s="828">
        <f t="shared" si="954"/>
        <v>0</v>
      </c>
      <c r="V493" s="828">
        <f t="shared" si="954"/>
        <v>0</v>
      </c>
      <c r="W493" s="829">
        <f t="shared" si="954"/>
        <v>0</v>
      </c>
      <c r="X493" s="828">
        <f t="shared" si="954"/>
        <v>0</v>
      </c>
      <c r="Y493" s="828">
        <f t="shared" si="954"/>
        <v>0</v>
      </c>
      <c r="Z493" s="828">
        <f t="shared" si="954"/>
        <v>0</v>
      </c>
      <c r="AA493" s="828">
        <f t="shared" si="954"/>
        <v>0</v>
      </c>
      <c r="AB493" s="829">
        <f t="shared" si="954"/>
        <v>0</v>
      </c>
      <c r="AC493" s="828">
        <f t="shared" si="954"/>
        <v>0</v>
      </c>
      <c r="AD493" s="828">
        <f t="shared" si="954"/>
        <v>0</v>
      </c>
      <c r="AE493" s="828">
        <f t="shared" si="954"/>
        <v>0</v>
      </c>
      <c r="AF493" s="828">
        <f t="shared" si="954"/>
        <v>0</v>
      </c>
      <c r="AG493" s="1252">
        <f t="shared" si="954"/>
        <v>0</v>
      </c>
    </row>
    <row r="494" spans="8:47">
      <c r="H494" s="1051"/>
      <c r="I494" s="1250" t="str">
        <f>I488</f>
        <v xml:space="preserve">Revenue cap - Fixed </v>
      </c>
      <c r="J494" s="1251"/>
      <c r="K494" s="828"/>
      <c r="L494" s="828"/>
      <c r="M494" s="829"/>
      <c r="N494" s="828"/>
      <c r="O494" s="828"/>
      <c r="P494" s="828"/>
      <c r="Q494" s="828"/>
      <c r="R494" s="829">
        <f t="shared" si="954"/>
        <v>0</v>
      </c>
      <c r="S494" s="828">
        <f t="shared" si="954"/>
        <v>0</v>
      </c>
      <c r="T494" s="828">
        <f t="shared" si="954"/>
        <v>0</v>
      </c>
      <c r="U494" s="828">
        <f t="shared" si="954"/>
        <v>0</v>
      </c>
      <c r="V494" s="828">
        <f t="shared" si="954"/>
        <v>0</v>
      </c>
      <c r="W494" s="829">
        <f t="shared" si="954"/>
        <v>0</v>
      </c>
      <c r="X494" s="828">
        <f t="shared" si="954"/>
        <v>0</v>
      </c>
      <c r="Y494" s="828">
        <f t="shared" si="954"/>
        <v>0</v>
      </c>
      <c r="Z494" s="828">
        <f t="shared" si="954"/>
        <v>0</v>
      </c>
      <c r="AA494" s="828">
        <f t="shared" si="954"/>
        <v>0</v>
      </c>
      <c r="AB494" s="829">
        <f t="shared" si="954"/>
        <v>0</v>
      </c>
      <c r="AC494" s="828">
        <f t="shared" si="954"/>
        <v>0</v>
      </c>
      <c r="AD494" s="828">
        <f t="shared" si="954"/>
        <v>0</v>
      </c>
      <c r="AE494" s="828">
        <f t="shared" si="954"/>
        <v>0</v>
      </c>
      <c r="AF494" s="828">
        <f t="shared" si="954"/>
        <v>0</v>
      </c>
      <c r="AG494" s="1252">
        <f t="shared" si="954"/>
        <v>0</v>
      </c>
    </row>
    <row r="495" spans="8:47">
      <c r="H495" s="1051"/>
      <c r="I495" s="1250" t="str">
        <f>I489</f>
        <v>Revenue cap - Variable</v>
      </c>
      <c r="J495" s="1251"/>
      <c r="K495" s="828"/>
      <c r="L495" s="828"/>
      <c r="M495" s="829"/>
      <c r="N495" s="828"/>
      <c r="O495" s="828"/>
      <c r="P495" s="828"/>
      <c r="Q495" s="828"/>
      <c r="R495" s="829">
        <f t="shared" si="954"/>
        <v>0</v>
      </c>
      <c r="S495" s="828">
        <f t="shared" si="954"/>
        <v>0</v>
      </c>
      <c r="T495" s="828">
        <f t="shared" si="954"/>
        <v>0</v>
      </c>
      <c r="U495" s="828">
        <f t="shared" si="954"/>
        <v>0</v>
      </c>
      <c r="V495" s="828">
        <f t="shared" si="954"/>
        <v>0</v>
      </c>
      <c r="W495" s="829">
        <f t="shared" si="954"/>
        <v>0</v>
      </c>
      <c r="X495" s="828">
        <f t="shared" si="954"/>
        <v>0</v>
      </c>
      <c r="Y495" s="828">
        <f t="shared" si="954"/>
        <v>0</v>
      </c>
      <c r="Z495" s="828">
        <f t="shared" si="954"/>
        <v>0</v>
      </c>
      <c r="AA495" s="828">
        <f t="shared" si="954"/>
        <v>0</v>
      </c>
      <c r="AB495" s="829">
        <f t="shared" si="954"/>
        <v>0</v>
      </c>
      <c r="AC495" s="828">
        <f t="shared" si="954"/>
        <v>0</v>
      </c>
      <c r="AD495" s="828">
        <f t="shared" si="954"/>
        <v>0</v>
      </c>
      <c r="AE495" s="828">
        <f t="shared" si="954"/>
        <v>0</v>
      </c>
      <c r="AF495" s="828">
        <f t="shared" si="954"/>
        <v>0</v>
      </c>
      <c r="AG495" s="1252">
        <f t="shared" si="954"/>
        <v>0</v>
      </c>
    </row>
    <row r="496" spans="8:47" s="1253" customFormat="1">
      <c r="H496" s="1254"/>
      <c r="I496" s="1255" t="s">
        <v>691</v>
      </c>
      <c r="J496" s="1256"/>
      <c r="K496" s="1257"/>
      <c r="L496" s="1257"/>
      <c r="M496" s="1258"/>
      <c r="N496" s="1257"/>
      <c r="O496" s="1257"/>
      <c r="P496" s="1257"/>
      <c r="Q496" s="1257"/>
      <c r="R496" s="1259">
        <f>R491-R451</f>
        <v>0</v>
      </c>
      <c r="S496" s="1260">
        <f t="shared" ref="S496:AG496" si="955">S491-S451</f>
        <v>0</v>
      </c>
      <c r="T496" s="1260">
        <f t="shared" si="955"/>
        <v>0</v>
      </c>
      <c r="U496" s="1260">
        <f t="shared" si="955"/>
        <v>0</v>
      </c>
      <c r="V496" s="1260">
        <f t="shared" si="955"/>
        <v>0</v>
      </c>
      <c r="W496" s="1259">
        <f t="shared" si="955"/>
        <v>0</v>
      </c>
      <c r="X496" s="1260">
        <f t="shared" si="955"/>
        <v>0</v>
      </c>
      <c r="Y496" s="1260">
        <f t="shared" si="955"/>
        <v>0</v>
      </c>
      <c r="Z496" s="1260">
        <f t="shared" si="955"/>
        <v>0</v>
      </c>
      <c r="AA496" s="1260">
        <f t="shared" si="955"/>
        <v>0</v>
      </c>
      <c r="AB496" s="1259">
        <f t="shared" si="955"/>
        <v>0</v>
      </c>
      <c r="AC496" s="1260">
        <f t="shared" si="955"/>
        <v>0</v>
      </c>
      <c r="AD496" s="1260">
        <f t="shared" si="955"/>
        <v>0</v>
      </c>
      <c r="AE496" s="1260">
        <f t="shared" si="955"/>
        <v>0</v>
      </c>
      <c r="AF496" s="1260">
        <f t="shared" si="955"/>
        <v>0</v>
      </c>
      <c r="AG496" s="1261">
        <f t="shared" si="955"/>
        <v>0</v>
      </c>
      <c r="AU496" s="1262"/>
    </row>
    <row r="497" spans="8:47" s="104" customFormat="1">
      <c r="H497" s="1242"/>
      <c r="I497" s="1263" t="str">
        <f>I452</f>
        <v>Rural Water</v>
      </c>
      <c r="J497" s="1264"/>
      <c r="K497" s="1245"/>
      <c r="L497" s="1245"/>
      <c r="M497" s="1246"/>
      <c r="N497" s="1245"/>
      <c r="O497" s="1245"/>
      <c r="P497" s="1245"/>
      <c r="Q497" s="1245"/>
      <c r="R497" s="1246">
        <f>SUM(R498:R501)</f>
        <v>0</v>
      </c>
      <c r="S497" s="1245">
        <f t="shared" ref="S497:AG497" si="956">SUM(S498:S501)</f>
        <v>0</v>
      </c>
      <c r="T497" s="1245">
        <f t="shared" si="956"/>
        <v>0</v>
      </c>
      <c r="U497" s="1245">
        <f t="shared" si="956"/>
        <v>0</v>
      </c>
      <c r="V497" s="1245">
        <f t="shared" si="956"/>
        <v>0</v>
      </c>
      <c r="W497" s="1246">
        <f t="shared" si="956"/>
        <v>0</v>
      </c>
      <c r="X497" s="1245">
        <f t="shared" si="956"/>
        <v>0</v>
      </c>
      <c r="Y497" s="1245">
        <f t="shared" si="956"/>
        <v>0</v>
      </c>
      <c r="Z497" s="1245">
        <f t="shared" si="956"/>
        <v>0</v>
      </c>
      <c r="AA497" s="1245">
        <f t="shared" si="956"/>
        <v>0</v>
      </c>
      <c r="AB497" s="1246">
        <f t="shared" si="956"/>
        <v>0</v>
      </c>
      <c r="AC497" s="1245">
        <f t="shared" si="956"/>
        <v>0</v>
      </c>
      <c r="AD497" s="1245">
        <f t="shared" si="956"/>
        <v>0</v>
      </c>
      <c r="AE497" s="1245">
        <f t="shared" si="956"/>
        <v>0</v>
      </c>
      <c r="AF497" s="1245">
        <f t="shared" si="956"/>
        <v>0</v>
      </c>
      <c r="AG497" s="1247">
        <f t="shared" si="956"/>
        <v>0</v>
      </c>
      <c r="AU497" s="1248"/>
    </row>
    <row r="498" spans="8:47">
      <c r="H498" s="1051"/>
      <c r="I498" s="1250" t="str">
        <f>I492</f>
        <v>Price cap - Fixed</v>
      </c>
      <c r="J498" s="1251"/>
      <c r="K498" s="828"/>
      <c r="L498" s="828"/>
      <c r="M498" s="829"/>
      <c r="N498" s="828"/>
      <c r="O498" s="828"/>
      <c r="P498" s="828"/>
      <c r="Q498" s="828"/>
      <c r="R498" s="829">
        <f t="shared" ref="R498:AG501" si="957">+SUMIFS(R$69:R$444,$E$69:$E$444,$E$71,$F$69:$F$444,$I$497,$I$69:$I$444,$I498)</f>
        <v>0</v>
      </c>
      <c r="S498" s="828">
        <f t="shared" si="957"/>
        <v>0</v>
      </c>
      <c r="T498" s="828">
        <f t="shared" si="957"/>
        <v>0</v>
      </c>
      <c r="U498" s="828">
        <f t="shared" si="957"/>
        <v>0</v>
      </c>
      <c r="V498" s="828">
        <f t="shared" si="957"/>
        <v>0</v>
      </c>
      <c r="W498" s="829">
        <f t="shared" si="957"/>
        <v>0</v>
      </c>
      <c r="X498" s="828">
        <f t="shared" si="957"/>
        <v>0</v>
      </c>
      <c r="Y498" s="828">
        <f t="shared" si="957"/>
        <v>0</v>
      </c>
      <c r="Z498" s="828">
        <f t="shared" si="957"/>
        <v>0</v>
      </c>
      <c r="AA498" s="828">
        <f t="shared" si="957"/>
        <v>0</v>
      </c>
      <c r="AB498" s="829">
        <f t="shared" si="957"/>
        <v>0</v>
      </c>
      <c r="AC498" s="828">
        <f t="shared" si="957"/>
        <v>0</v>
      </c>
      <c r="AD498" s="828">
        <f t="shared" si="957"/>
        <v>0</v>
      </c>
      <c r="AE498" s="828">
        <f t="shared" si="957"/>
        <v>0</v>
      </c>
      <c r="AF498" s="828">
        <f t="shared" si="957"/>
        <v>0</v>
      </c>
      <c r="AG498" s="1252">
        <f t="shared" si="957"/>
        <v>0</v>
      </c>
    </row>
    <row r="499" spans="8:47">
      <c r="H499" s="1051"/>
      <c r="I499" s="1250" t="str">
        <f>I493</f>
        <v xml:space="preserve">Price cap - Variable </v>
      </c>
      <c r="J499" s="1251"/>
      <c r="K499" s="828"/>
      <c r="L499" s="828"/>
      <c r="M499" s="829"/>
      <c r="N499" s="828"/>
      <c r="O499" s="828"/>
      <c r="P499" s="828"/>
      <c r="Q499" s="828"/>
      <c r="R499" s="829">
        <f t="shared" si="957"/>
        <v>0</v>
      </c>
      <c r="S499" s="828">
        <f t="shared" si="957"/>
        <v>0</v>
      </c>
      <c r="T499" s="828">
        <f t="shared" si="957"/>
        <v>0</v>
      </c>
      <c r="U499" s="828">
        <f t="shared" si="957"/>
        <v>0</v>
      </c>
      <c r="V499" s="828">
        <f t="shared" si="957"/>
        <v>0</v>
      </c>
      <c r="W499" s="829">
        <f t="shared" si="957"/>
        <v>0</v>
      </c>
      <c r="X499" s="828">
        <f t="shared" si="957"/>
        <v>0</v>
      </c>
      <c r="Y499" s="828">
        <f t="shared" si="957"/>
        <v>0</v>
      </c>
      <c r="Z499" s="828">
        <f t="shared" si="957"/>
        <v>0</v>
      </c>
      <c r="AA499" s="828">
        <f t="shared" si="957"/>
        <v>0</v>
      </c>
      <c r="AB499" s="829">
        <f t="shared" si="957"/>
        <v>0</v>
      </c>
      <c r="AC499" s="828">
        <f t="shared" si="957"/>
        <v>0</v>
      </c>
      <c r="AD499" s="828">
        <f t="shared" si="957"/>
        <v>0</v>
      </c>
      <c r="AE499" s="828">
        <f t="shared" si="957"/>
        <v>0</v>
      </c>
      <c r="AF499" s="828">
        <f t="shared" si="957"/>
        <v>0</v>
      </c>
      <c r="AG499" s="1252">
        <f t="shared" si="957"/>
        <v>0</v>
      </c>
    </row>
    <row r="500" spans="8:47">
      <c r="H500" s="1051"/>
      <c r="I500" s="1250" t="str">
        <f>I494</f>
        <v xml:space="preserve">Revenue cap - Fixed </v>
      </c>
      <c r="J500" s="1251"/>
      <c r="K500" s="828"/>
      <c r="L500" s="828"/>
      <c r="M500" s="829"/>
      <c r="N500" s="828"/>
      <c r="O500" s="828"/>
      <c r="P500" s="828"/>
      <c r="Q500" s="828"/>
      <c r="R500" s="829">
        <f t="shared" si="957"/>
        <v>0</v>
      </c>
      <c r="S500" s="828">
        <f t="shared" si="957"/>
        <v>0</v>
      </c>
      <c r="T500" s="828">
        <f t="shared" si="957"/>
        <v>0</v>
      </c>
      <c r="U500" s="828">
        <f t="shared" si="957"/>
        <v>0</v>
      </c>
      <c r="V500" s="828">
        <f t="shared" si="957"/>
        <v>0</v>
      </c>
      <c r="W500" s="829">
        <f t="shared" si="957"/>
        <v>0</v>
      </c>
      <c r="X500" s="828">
        <f t="shared" si="957"/>
        <v>0</v>
      </c>
      <c r="Y500" s="828">
        <f t="shared" si="957"/>
        <v>0</v>
      </c>
      <c r="Z500" s="828">
        <f t="shared" si="957"/>
        <v>0</v>
      </c>
      <c r="AA500" s="828">
        <f t="shared" si="957"/>
        <v>0</v>
      </c>
      <c r="AB500" s="829">
        <f t="shared" si="957"/>
        <v>0</v>
      </c>
      <c r="AC500" s="828">
        <f t="shared" si="957"/>
        <v>0</v>
      </c>
      <c r="AD500" s="828">
        <f t="shared" si="957"/>
        <v>0</v>
      </c>
      <c r="AE500" s="828">
        <f t="shared" si="957"/>
        <v>0</v>
      </c>
      <c r="AF500" s="828">
        <f t="shared" si="957"/>
        <v>0</v>
      </c>
      <c r="AG500" s="1252">
        <f t="shared" si="957"/>
        <v>0</v>
      </c>
    </row>
    <row r="501" spans="8:47">
      <c r="H501" s="1051"/>
      <c r="I501" s="1250" t="str">
        <f>I495</f>
        <v>Revenue cap - Variable</v>
      </c>
      <c r="J501" s="1251"/>
      <c r="K501" s="828"/>
      <c r="L501" s="828"/>
      <c r="M501" s="829"/>
      <c r="N501" s="828"/>
      <c r="O501" s="828"/>
      <c r="P501" s="828"/>
      <c r="Q501" s="828"/>
      <c r="R501" s="829">
        <f t="shared" si="957"/>
        <v>0</v>
      </c>
      <c r="S501" s="828">
        <f t="shared" si="957"/>
        <v>0</v>
      </c>
      <c r="T501" s="828">
        <f t="shared" si="957"/>
        <v>0</v>
      </c>
      <c r="U501" s="828">
        <f t="shared" si="957"/>
        <v>0</v>
      </c>
      <c r="V501" s="828">
        <f t="shared" si="957"/>
        <v>0</v>
      </c>
      <c r="W501" s="829">
        <f t="shared" si="957"/>
        <v>0</v>
      </c>
      <c r="X501" s="828">
        <f t="shared" si="957"/>
        <v>0</v>
      </c>
      <c r="Y501" s="828">
        <f t="shared" si="957"/>
        <v>0</v>
      </c>
      <c r="Z501" s="828">
        <f t="shared" si="957"/>
        <v>0</v>
      </c>
      <c r="AA501" s="828">
        <f t="shared" si="957"/>
        <v>0</v>
      </c>
      <c r="AB501" s="829">
        <f t="shared" si="957"/>
        <v>0</v>
      </c>
      <c r="AC501" s="828">
        <f t="shared" si="957"/>
        <v>0</v>
      </c>
      <c r="AD501" s="828">
        <f t="shared" si="957"/>
        <v>0</v>
      </c>
      <c r="AE501" s="828">
        <f t="shared" si="957"/>
        <v>0</v>
      </c>
      <c r="AF501" s="828">
        <f t="shared" si="957"/>
        <v>0</v>
      </c>
      <c r="AG501" s="1252">
        <f t="shared" si="957"/>
        <v>0</v>
      </c>
    </row>
    <row r="502" spans="8:47" s="1253" customFormat="1">
      <c r="H502" s="1254"/>
      <c r="I502" s="1255" t="s">
        <v>691</v>
      </c>
      <c r="J502" s="1256"/>
      <c r="K502" s="1257"/>
      <c r="L502" s="1257"/>
      <c r="M502" s="1258"/>
      <c r="N502" s="1257"/>
      <c r="O502" s="1257"/>
      <c r="P502" s="1257"/>
      <c r="Q502" s="1257"/>
      <c r="R502" s="1259">
        <f>R497-R452</f>
        <v>0</v>
      </c>
      <c r="S502" s="1260">
        <f t="shared" ref="S502:AG502" si="958">S497-S452</f>
        <v>0</v>
      </c>
      <c r="T502" s="1260">
        <f t="shared" si="958"/>
        <v>0</v>
      </c>
      <c r="U502" s="1260">
        <f t="shared" si="958"/>
        <v>0</v>
      </c>
      <c r="V502" s="1260">
        <f t="shared" si="958"/>
        <v>0</v>
      </c>
      <c r="W502" s="1259">
        <f t="shared" si="958"/>
        <v>0</v>
      </c>
      <c r="X502" s="1260">
        <f t="shared" si="958"/>
        <v>0</v>
      </c>
      <c r="Y502" s="1260">
        <f t="shared" si="958"/>
        <v>0</v>
      </c>
      <c r="Z502" s="1260">
        <f t="shared" si="958"/>
        <v>0</v>
      </c>
      <c r="AA502" s="1260">
        <f t="shared" si="958"/>
        <v>0</v>
      </c>
      <c r="AB502" s="1259">
        <f t="shared" si="958"/>
        <v>0</v>
      </c>
      <c r="AC502" s="1260">
        <f t="shared" si="958"/>
        <v>0</v>
      </c>
      <c r="AD502" s="1260">
        <f t="shared" si="958"/>
        <v>0</v>
      </c>
      <c r="AE502" s="1260">
        <f t="shared" si="958"/>
        <v>0</v>
      </c>
      <c r="AF502" s="1260">
        <f t="shared" si="958"/>
        <v>0</v>
      </c>
      <c r="AG502" s="1261">
        <f t="shared" si="958"/>
        <v>0</v>
      </c>
      <c r="AU502" s="1262"/>
    </row>
    <row r="503" spans="8:47" s="104" customFormat="1">
      <c r="H503" s="1242"/>
      <c r="I503" s="1263" t="str">
        <f>I453</f>
        <v>Bulk Water</v>
      </c>
      <c r="J503" s="1264"/>
      <c r="K503" s="1245">
        <f t="shared" ref="K503:Q503" si="959">+SUMIFS(K$69:K$444,$E$69:$E$444,$E$71,$I$69:$I$444,$I503)</f>
        <v>0</v>
      </c>
      <c r="L503" s="1245">
        <f t="shared" si="959"/>
        <v>0</v>
      </c>
      <c r="M503" s="1246">
        <f t="shared" si="959"/>
        <v>0</v>
      </c>
      <c r="N503" s="1245">
        <f t="shared" si="959"/>
        <v>0</v>
      </c>
      <c r="O503" s="1245">
        <f t="shared" si="959"/>
        <v>0</v>
      </c>
      <c r="P503" s="1245">
        <f t="shared" si="959"/>
        <v>0</v>
      </c>
      <c r="Q503" s="1245">
        <f t="shared" si="959"/>
        <v>0</v>
      </c>
      <c r="R503" s="1246">
        <f>SUM(R504:R507)</f>
        <v>0</v>
      </c>
      <c r="S503" s="1245">
        <f t="shared" ref="S503:AG503" si="960">SUM(S504:S507)</f>
        <v>0</v>
      </c>
      <c r="T503" s="1245">
        <f t="shared" si="960"/>
        <v>0</v>
      </c>
      <c r="U503" s="1245">
        <f t="shared" si="960"/>
        <v>0</v>
      </c>
      <c r="V503" s="1245">
        <f t="shared" si="960"/>
        <v>0</v>
      </c>
      <c r="W503" s="1246">
        <f t="shared" si="960"/>
        <v>0</v>
      </c>
      <c r="X503" s="1245">
        <f t="shared" si="960"/>
        <v>0</v>
      </c>
      <c r="Y503" s="1245">
        <f t="shared" si="960"/>
        <v>0</v>
      </c>
      <c r="Z503" s="1245">
        <f t="shared" si="960"/>
        <v>0</v>
      </c>
      <c r="AA503" s="1245">
        <f t="shared" si="960"/>
        <v>0</v>
      </c>
      <c r="AB503" s="1246">
        <f t="shared" si="960"/>
        <v>0</v>
      </c>
      <c r="AC503" s="1245">
        <f t="shared" si="960"/>
        <v>0</v>
      </c>
      <c r="AD503" s="1245">
        <f t="shared" si="960"/>
        <v>0</v>
      </c>
      <c r="AE503" s="1245">
        <f t="shared" si="960"/>
        <v>0</v>
      </c>
      <c r="AF503" s="1245">
        <f t="shared" si="960"/>
        <v>0</v>
      </c>
      <c r="AG503" s="1247">
        <f t="shared" si="960"/>
        <v>0</v>
      </c>
      <c r="AU503" s="1248"/>
    </row>
    <row r="504" spans="8:47">
      <c r="H504" s="1051"/>
      <c r="I504" s="1250" t="str">
        <f>I498</f>
        <v>Price cap - Fixed</v>
      </c>
      <c r="J504" s="1251"/>
      <c r="K504" s="828"/>
      <c r="L504" s="828"/>
      <c r="M504" s="829"/>
      <c r="N504" s="828"/>
      <c r="O504" s="828"/>
      <c r="P504" s="828"/>
      <c r="Q504" s="828"/>
      <c r="R504" s="829">
        <f t="shared" ref="R504:AG507" si="961">+SUMIFS(R$69:R$444,$E$69:$E$444,$E$71,$F$69:$F$444,$I$503,$I$69:$I$444,$I504)</f>
        <v>0</v>
      </c>
      <c r="S504" s="828">
        <f t="shared" si="961"/>
        <v>0</v>
      </c>
      <c r="T504" s="828">
        <f t="shared" si="961"/>
        <v>0</v>
      </c>
      <c r="U504" s="828">
        <f t="shared" si="961"/>
        <v>0</v>
      </c>
      <c r="V504" s="828">
        <f t="shared" si="961"/>
        <v>0</v>
      </c>
      <c r="W504" s="829">
        <f t="shared" si="961"/>
        <v>0</v>
      </c>
      <c r="X504" s="828">
        <f t="shared" si="961"/>
        <v>0</v>
      </c>
      <c r="Y504" s="828">
        <f t="shared" si="961"/>
        <v>0</v>
      </c>
      <c r="Z504" s="828">
        <f t="shared" si="961"/>
        <v>0</v>
      </c>
      <c r="AA504" s="828">
        <f t="shared" si="961"/>
        <v>0</v>
      </c>
      <c r="AB504" s="829">
        <f t="shared" si="961"/>
        <v>0</v>
      </c>
      <c r="AC504" s="828">
        <f t="shared" si="961"/>
        <v>0</v>
      </c>
      <c r="AD504" s="828">
        <f t="shared" si="961"/>
        <v>0</v>
      </c>
      <c r="AE504" s="828">
        <f t="shared" si="961"/>
        <v>0</v>
      </c>
      <c r="AF504" s="828">
        <f t="shared" si="961"/>
        <v>0</v>
      </c>
      <c r="AG504" s="1252">
        <f t="shared" si="961"/>
        <v>0</v>
      </c>
    </row>
    <row r="505" spans="8:47">
      <c r="H505" s="1051"/>
      <c r="I505" s="1250" t="str">
        <f>I499</f>
        <v xml:space="preserve">Price cap - Variable </v>
      </c>
      <c r="J505" s="1251"/>
      <c r="K505" s="828"/>
      <c r="L505" s="828"/>
      <c r="M505" s="829"/>
      <c r="N505" s="828"/>
      <c r="O505" s="828"/>
      <c r="P505" s="828"/>
      <c r="Q505" s="828"/>
      <c r="R505" s="829">
        <f t="shared" si="961"/>
        <v>0</v>
      </c>
      <c r="S505" s="828">
        <f t="shared" si="961"/>
        <v>0</v>
      </c>
      <c r="T505" s="828">
        <f t="shared" si="961"/>
        <v>0</v>
      </c>
      <c r="U505" s="828">
        <f t="shared" si="961"/>
        <v>0</v>
      </c>
      <c r="V505" s="828">
        <f t="shared" si="961"/>
        <v>0</v>
      </c>
      <c r="W505" s="829">
        <f t="shared" si="961"/>
        <v>0</v>
      </c>
      <c r="X505" s="828">
        <f t="shared" si="961"/>
        <v>0</v>
      </c>
      <c r="Y505" s="828">
        <f t="shared" si="961"/>
        <v>0</v>
      </c>
      <c r="Z505" s="828">
        <f t="shared" si="961"/>
        <v>0</v>
      </c>
      <c r="AA505" s="828">
        <f t="shared" si="961"/>
        <v>0</v>
      </c>
      <c r="AB505" s="829">
        <f t="shared" si="961"/>
        <v>0</v>
      </c>
      <c r="AC505" s="828">
        <f t="shared" si="961"/>
        <v>0</v>
      </c>
      <c r="AD505" s="828">
        <f t="shared" si="961"/>
        <v>0</v>
      </c>
      <c r="AE505" s="828">
        <f t="shared" si="961"/>
        <v>0</v>
      </c>
      <c r="AF505" s="828">
        <f t="shared" si="961"/>
        <v>0</v>
      </c>
      <c r="AG505" s="1252">
        <f t="shared" si="961"/>
        <v>0</v>
      </c>
    </row>
    <row r="506" spans="8:47">
      <c r="H506" s="1051"/>
      <c r="I506" s="1250" t="str">
        <f>I500</f>
        <v xml:space="preserve">Revenue cap - Fixed </v>
      </c>
      <c r="J506" s="1251"/>
      <c r="K506" s="828"/>
      <c r="L506" s="828"/>
      <c r="M506" s="829"/>
      <c r="N506" s="828"/>
      <c r="O506" s="828"/>
      <c r="P506" s="828"/>
      <c r="Q506" s="828"/>
      <c r="R506" s="829">
        <f t="shared" si="961"/>
        <v>0</v>
      </c>
      <c r="S506" s="828">
        <f t="shared" si="961"/>
        <v>0</v>
      </c>
      <c r="T506" s="828">
        <f t="shared" si="961"/>
        <v>0</v>
      </c>
      <c r="U506" s="828">
        <f t="shared" si="961"/>
        <v>0</v>
      </c>
      <c r="V506" s="828">
        <f t="shared" si="961"/>
        <v>0</v>
      </c>
      <c r="W506" s="829">
        <f t="shared" si="961"/>
        <v>0</v>
      </c>
      <c r="X506" s="828">
        <f t="shared" si="961"/>
        <v>0</v>
      </c>
      <c r="Y506" s="828">
        <f t="shared" si="961"/>
        <v>0</v>
      </c>
      <c r="Z506" s="828">
        <f t="shared" si="961"/>
        <v>0</v>
      </c>
      <c r="AA506" s="828">
        <f t="shared" si="961"/>
        <v>0</v>
      </c>
      <c r="AB506" s="829">
        <f t="shared" si="961"/>
        <v>0</v>
      </c>
      <c r="AC506" s="828">
        <f t="shared" si="961"/>
        <v>0</v>
      </c>
      <c r="AD506" s="828">
        <f t="shared" si="961"/>
        <v>0</v>
      </c>
      <c r="AE506" s="828">
        <f t="shared" si="961"/>
        <v>0</v>
      </c>
      <c r="AF506" s="828">
        <f t="shared" si="961"/>
        <v>0</v>
      </c>
      <c r="AG506" s="1252">
        <f t="shared" si="961"/>
        <v>0</v>
      </c>
    </row>
    <row r="507" spans="8:47">
      <c r="H507" s="1051"/>
      <c r="I507" s="1250" t="str">
        <f>I501</f>
        <v>Revenue cap - Variable</v>
      </c>
      <c r="J507" s="1251"/>
      <c r="K507" s="828"/>
      <c r="L507" s="828"/>
      <c r="M507" s="829"/>
      <c r="N507" s="828"/>
      <c r="O507" s="828"/>
      <c r="P507" s="828"/>
      <c r="Q507" s="828"/>
      <c r="R507" s="829">
        <f t="shared" si="961"/>
        <v>0</v>
      </c>
      <c r="S507" s="828">
        <f t="shared" si="961"/>
        <v>0</v>
      </c>
      <c r="T507" s="828">
        <f t="shared" si="961"/>
        <v>0</v>
      </c>
      <c r="U507" s="828">
        <f t="shared" si="961"/>
        <v>0</v>
      </c>
      <c r="V507" s="828">
        <f t="shared" si="961"/>
        <v>0</v>
      </c>
      <c r="W507" s="829">
        <f t="shared" si="961"/>
        <v>0</v>
      </c>
      <c r="X507" s="828">
        <f t="shared" si="961"/>
        <v>0</v>
      </c>
      <c r="Y507" s="828">
        <f t="shared" si="961"/>
        <v>0</v>
      </c>
      <c r="Z507" s="828">
        <f t="shared" si="961"/>
        <v>0</v>
      </c>
      <c r="AA507" s="828">
        <f t="shared" si="961"/>
        <v>0</v>
      </c>
      <c r="AB507" s="829">
        <f t="shared" si="961"/>
        <v>0</v>
      </c>
      <c r="AC507" s="828">
        <f t="shared" si="961"/>
        <v>0</v>
      </c>
      <c r="AD507" s="828">
        <f t="shared" si="961"/>
        <v>0</v>
      </c>
      <c r="AE507" s="828">
        <f t="shared" si="961"/>
        <v>0</v>
      </c>
      <c r="AF507" s="828">
        <f t="shared" si="961"/>
        <v>0</v>
      </c>
      <c r="AG507" s="1252">
        <f t="shared" si="961"/>
        <v>0</v>
      </c>
    </row>
    <row r="508" spans="8:47" s="1253" customFormat="1">
      <c r="H508" s="1254"/>
      <c r="I508" s="1265" t="s">
        <v>691</v>
      </c>
      <c r="J508" s="1266"/>
      <c r="K508" s="1267"/>
      <c r="L508" s="1267"/>
      <c r="M508" s="1268"/>
      <c r="N508" s="1267"/>
      <c r="O508" s="1267"/>
      <c r="P508" s="1267"/>
      <c r="Q508" s="1267"/>
      <c r="R508" s="1269">
        <f>R503-R453</f>
        <v>0</v>
      </c>
      <c r="S508" s="1270">
        <f t="shared" ref="S508:AG508" si="962">S503-S453</f>
        <v>0</v>
      </c>
      <c r="T508" s="1270">
        <f t="shared" si="962"/>
        <v>0</v>
      </c>
      <c r="U508" s="1270">
        <f t="shared" si="962"/>
        <v>0</v>
      </c>
      <c r="V508" s="1270">
        <f t="shared" si="962"/>
        <v>0</v>
      </c>
      <c r="W508" s="1269">
        <f t="shared" si="962"/>
        <v>0</v>
      </c>
      <c r="X508" s="1270">
        <f t="shared" si="962"/>
        <v>0</v>
      </c>
      <c r="Y508" s="1270">
        <f t="shared" si="962"/>
        <v>0</v>
      </c>
      <c r="Z508" s="1270">
        <f t="shared" si="962"/>
        <v>0</v>
      </c>
      <c r="AA508" s="1270">
        <f t="shared" si="962"/>
        <v>0</v>
      </c>
      <c r="AB508" s="1269">
        <f t="shared" si="962"/>
        <v>0</v>
      </c>
      <c r="AC508" s="1270">
        <f t="shared" si="962"/>
        <v>0</v>
      </c>
      <c r="AD508" s="1270">
        <f t="shared" si="962"/>
        <v>0</v>
      </c>
      <c r="AE508" s="1270">
        <f t="shared" si="962"/>
        <v>0</v>
      </c>
      <c r="AF508" s="1270">
        <f t="shared" si="962"/>
        <v>0</v>
      </c>
      <c r="AG508" s="1271">
        <f t="shared" si="962"/>
        <v>0</v>
      </c>
      <c r="AU508" s="1262"/>
    </row>
    <row r="509" spans="8:47" ht="12.75" thickBot="1">
      <c r="I509" s="1272" t="s">
        <v>690</v>
      </c>
      <c r="J509" s="1273"/>
      <c r="K509" s="1274">
        <f t="shared" ref="K509:Q509" si="963">SUM(K473:K503)</f>
        <v>0</v>
      </c>
      <c r="L509" s="1274">
        <f t="shared" si="963"/>
        <v>0</v>
      </c>
      <c r="M509" s="1275">
        <f t="shared" si="963"/>
        <v>0</v>
      </c>
      <c r="N509" s="1274">
        <f t="shared" si="963"/>
        <v>0</v>
      </c>
      <c r="O509" s="1274">
        <f t="shared" si="963"/>
        <v>0</v>
      </c>
      <c r="P509" s="1274">
        <f t="shared" si="963"/>
        <v>0</v>
      </c>
      <c r="Q509" s="1274">
        <f t="shared" si="963"/>
        <v>0</v>
      </c>
      <c r="R509" s="1275">
        <f>SUM(R474:R477,R480:R483,R486:R489,R492:R495,R498:R501,R504:R507)</f>
        <v>0</v>
      </c>
      <c r="S509" s="1274">
        <f t="shared" ref="S509:AG509" si="964">SUM(S474:S477,S480:S483,S486:S489,S492:S495,S498:S501,S504:S507)</f>
        <v>0</v>
      </c>
      <c r="T509" s="1274">
        <f t="shared" si="964"/>
        <v>0</v>
      </c>
      <c r="U509" s="1274">
        <f t="shared" si="964"/>
        <v>0</v>
      </c>
      <c r="V509" s="1274">
        <f t="shared" si="964"/>
        <v>0</v>
      </c>
      <c r="W509" s="1275">
        <f t="shared" si="964"/>
        <v>0</v>
      </c>
      <c r="X509" s="1274">
        <f t="shared" si="964"/>
        <v>0</v>
      </c>
      <c r="Y509" s="1274">
        <f t="shared" si="964"/>
        <v>0</v>
      </c>
      <c r="Z509" s="1274">
        <f t="shared" si="964"/>
        <v>0</v>
      </c>
      <c r="AA509" s="1274">
        <f t="shared" si="964"/>
        <v>0</v>
      </c>
      <c r="AB509" s="1275">
        <f t="shared" si="964"/>
        <v>0</v>
      </c>
      <c r="AC509" s="1274">
        <f t="shared" si="964"/>
        <v>0</v>
      </c>
      <c r="AD509" s="1274">
        <f t="shared" si="964"/>
        <v>0</v>
      </c>
      <c r="AE509" s="1274">
        <f t="shared" si="964"/>
        <v>0</v>
      </c>
      <c r="AF509" s="1274">
        <f t="shared" si="964"/>
        <v>0</v>
      </c>
      <c r="AG509" s="1276">
        <f t="shared" si="964"/>
        <v>0</v>
      </c>
    </row>
    <row r="510" spans="8:47" s="1253" customFormat="1">
      <c r="H510" s="1277"/>
      <c r="I510" s="1278" t="s">
        <v>691</v>
      </c>
      <c r="J510" s="1279"/>
      <c r="K510" s="1280"/>
      <c r="L510" s="1280"/>
      <c r="M510" s="1281"/>
      <c r="N510" s="1280"/>
      <c r="O510" s="1280"/>
      <c r="P510" s="1280"/>
      <c r="Q510" s="1280"/>
      <c r="R510" s="1282">
        <f>R509-R455</f>
        <v>0</v>
      </c>
      <c r="S510" s="1283">
        <f t="shared" ref="S510:AG510" si="965">S509-S455</f>
        <v>0</v>
      </c>
      <c r="T510" s="1283">
        <f t="shared" si="965"/>
        <v>0</v>
      </c>
      <c r="U510" s="1283">
        <f t="shared" si="965"/>
        <v>0</v>
      </c>
      <c r="V510" s="1283">
        <f t="shared" si="965"/>
        <v>0</v>
      </c>
      <c r="W510" s="1282">
        <f t="shared" si="965"/>
        <v>0</v>
      </c>
      <c r="X510" s="1283">
        <f t="shared" si="965"/>
        <v>0</v>
      </c>
      <c r="Y510" s="1283">
        <f t="shared" si="965"/>
        <v>0</v>
      </c>
      <c r="Z510" s="1283">
        <f t="shared" si="965"/>
        <v>0</v>
      </c>
      <c r="AA510" s="1283">
        <f t="shared" si="965"/>
        <v>0</v>
      </c>
      <c r="AB510" s="1282">
        <f t="shared" si="965"/>
        <v>0</v>
      </c>
      <c r="AC510" s="1283">
        <f t="shared" si="965"/>
        <v>0</v>
      </c>
      <c r="AD510" s="1283">
        <f t="shared" si="965"/>
        <v>0</v>
      </c>
      <c r="AE510" s="1283">
        <f t="shared" si="965"/>
        <v>0</v>
      </c>
      <c r="AF510" s="1283">
        <f t="shared" si="965"/>
        <v>0</v>
      </c>
      <c r="AG510" s="1284">
        <f t="shared" si="965"/>
        <v>0</v>
      </c>
      <c r="AU510" s="1262"/>
    </row>
    <row r="511" spans="8:47" s="1253" customFormat="1">
      <c r="H511" s="1277"/>
      <c r="I511" s="1255"/>
      <c r="J511" s="1256"/>
      <c r="K511" s="1257"/>
      <c r="L511" s="1257"/>
      <c r="M511" s="1258"/>
      <c r="N511" s="1257"/>
      <c r="O511" s="1257"/>
      <c r="P511" s="1257"/>
      <c r="Q511" s="1257"/>
      <c r="R511" s="1259"/>
      <c r="S511" s="1260"/>
      <c r="T511" s="1260"/>
      <c r="U511" s="1260"/>
      <c r="V511" s="1260"/>
      <c r="W511" s="1259"/>
      <c r="X511" s="1260"/>
      <c r="Y511" s="1260"/>
      <c r="Z511" s="1260"/>
      <c r="AA511" s="1260"/>
      <c r="AB511" s="1259"/>
      <c r="AC511" s="1260"/>
      <c r="AD511" s="1260"/>
      <c r="AE511" s="1260"/>
      <c r="AF511" s="1260"/>
      <c r="AG511" s="1261"/>
      <c r="AU511" s="1262"/>
    </row>
    <row r="512" spans="8:47" s="104" customFormat="1">
      <c r="H512" s="1285"/>
      <c r="I512" s="1243" t="str">
        <f>I473</f>
        <v>Water</v>
      </c>
      <c r="J512" s="1244"/>
      <c r="K512" s="1245">
        <f t="shared" ref="K512:Q512" si="966">+SUMIFS(K$69:K$444,$E$69:$E$444,$E$71,$I$69:$I$444,$I512)</f>
        <v>0</v>
      </c>
      <c r="L512" s="1245">
        <f t="shared" si="966"/>
        <v>0</v>
      </c>
      <c r="M512" s="1246">
        <f t="shared" si="966"/>
        <v>0</v>
      </c>
      <c r="N512" s="1245">
        <f t="shared" si="966"/>
        <v>0</v>
      </c>
      <c r="O512" s="1245">
        <f t="shared" si="966"/>
        <v>0</v>
      </c>
      <c r="P512" s="1245">
        <f t="shared" si="966"/>
        <v>0</v>
      </c>
      <c r="Q512" s="1245">
        <f t="shared" si="966"/>
        <v>0</v>
      </c>
      <c r="R512" s="1286" t="str">
        <f>IFERROR(R473/R$509,"")</f>
        <v/>
      </c>
      <c r="S512" s="1287" t="str">
        <f t="shared" ref="S512:AG512" si="967">IFERROR(S473/S$509,"")</f>
        <v/>
      </c>
      <c r="T512" s="1287" t="str">
        <f t="shared" si="967"/>
        <v/>
      </c>
      <c r="U512" s="1287" t="str">
        <f t="shared" si="967"/>
        <v/>
      </c>
      <c r="V512" s="1287" t="str">
        <f t="shared" si="967"/>
        <v/>
      </c>
      <c r="W512" s="1286" t="str">
        <f t="shared" si="967"/>
        <v/>
      </c>
      <c r="X512" s="1287" t="str">
        <f t="shared" si="967"/>
        <v/>
      </c>
      <c r="Y512" s="1287" t="str">
        <f t="shared" si="967"/>
        <v/>
      </c>
      <c r="Z512" s="1287" t="str">
        <f t="shared" si="967"/>
        <v/>
      </c>
      <c r="AA512" s="1287" t="str">
        <f t="shared" si="967"/>
        <v/>
      </c>
      <c r="AB512" s="1286" t="str">
        <f t="shared" si="967"/>
        <v/>
      </c>
      <c r="AC512" s="1287" t="str">
        <f t="shared" si="967"/>
        <v/>
      </c>
      <c r="AD512" s="1287" t="str">
        <f t="shared" si="967"/>
        <v/>
      </c>
      <c r="AE512" s="1287" t="str">
        <f t="shared" si="967"/>
        <v/>
      </c>
      <c r="AF512" s="1287" t="str">
        <f t="shared" si="967"/>
        <v/>
      </c>
      <c r="AG512" s="1288" t="str">
        <f t="shared" si="967"/>
        <v/>
      </c>
      <c r="AU512" s="1248"/>
    </row>
    <row r="513" spans="8:47">
      <c r="H513" s="1289"/>
      <c r="I513" s="1250" t="str">
        <f>I474</f>
        <v>Price cap - Fixed</v>
      </c>
      <c r="J513" s="1251"/>
      <c r="K513" s="828"/>
      <c r="L513" s="828"/>
      <c r="M513" s="829"/>
      <c r="N513" s="828"/>
      <c r="O513" s="828"/>
      <c r="P513" s="828"/>
      <c r="Q513" s="828"/>
      <c r="R513" s="1290" t="str">
        <f>IFERROR(R474/R$473,"")</f>
        <v/>
      </c>
      <c r="S513" s="1291" t="str">
        <f t="shared" ref="S513:AG513" si="968">IFERROR(S474/S$473,"")</f>
        <v/>
      </c>
      <c r="T513" s="1291" t="str">
        <f t="shared" si="968"/>
        <v/>
      </c>
      <c r="U513" s="1291" t="str">
        <f t="shared" si="968"/>
        <v/>
      </c>
      <c r="V513" s="1291" t="str">
        <f t="shared" si="968"/>
        <v/>
      </c>
      <c r="W513" s="1290" t="str">
        <f t="shared" si="968"/>
        <v/>
      </c>
      <c r="X513" s="1291" t="str">
        <f t="shared" si="968"/>
        <v/>
      </c>
      <c r="Y513" s="1291" t="str">
        <f t="shared" si="968"/>
        <v/>
      </c>
      <c r="Z513" s="1291" t="str">
        <f t="shared" si="968"/>
        <v/>
      </c>
      <c r="AA513" s="1291" t="str">
        <f t="shared" si="968"/>
        <v/>
      </c>
      <c r="AB513" s="1290" t="str">
        <f t="shared" si="968"/>
        <v/>
      </c>
      <c r="AC513" s="1291" t="str">
        <f t="shared" si="968"/>
        <v/>
      </c>
      <c r="AD513" s="1291" t="str">
        <f t="shared" si="968"/>
        <v/>
      </c>
      <c r="AE513" s="1291" t="str">
        <f t="shared" si="968"/>
        <v/>
      </c>
      <c r="AF513" s="1291" t="str">
        <f t="shared" si="968"/>
        <v/>
      </c>
      <c r="AG513" s="1292" t="str">
        <f t="shared" si="968"/>
        <v/>
      </c>
    </row>
    <row r="514" spans="8:47">
      <c r="H514" s="1289"/>
      <c r="I514" s="1250" t="str">
        <f>I475</f>
        <v xml:space="preserve">Price cap - Variable </v>
      </c>
      <c r="J514" s="1251"/>
      <c r="K514" s="828"/>
      <c r="L514" s="828"/>
      <c r="M514" s="829"/>
      <c r="N514" s="828"/>
      <c r="O514" s="828"/>
      <c r="P514" s="828"/>
      <c r="Q514" s="828"/>
      <c r="R514" s="1290" t="str">
        <f t="shared" ref="R514:AG516" si="969">IFERROR(R475/R$473,"")</f>
        <v/>
      </c>
      <c r="S514" s="1291" t="str">
        <f t="shared" si="969"/>
        <v/>
      </c>
      <c r="T514" s="1291" t="str">
        <f t="shared" si="969"/>
        <v/>
      </c>
      <c r="U514" s="1291" t="str">
        <f t="shared" si="969"/>
        <v/>
      </c>
      <c r="V514" s="1291" t="str">
        <f t="shared" si="969"/>
        <v/>
      </c>
      <c r="W514" s="1290" t="str">
        <f t="shared" si="969"/>
        <v/>
      </c>
      <c r="X514" s="1291" t="str">
        <f t="shared" si="969"/>
        <v/>
      </c>
      <c r="Y514" s="1291" t="str">
        <f t="shared" si="969"/>
        <v/>
      </c>
      <c r="Z514" s="1291" t="str">
        <f t="shared" si="969"/>
        <v/>
      </c>
      <c r="AA514" s="1291" t="str">
        <f t="shared" si="969"/>
        <v/>
      </c>
      <c r="AB514" s="1290" t="str">
        <f t="shared" si="969"/>
        <v/>
      </c>
      <c r="AC514" s="1291" t="str">
        <f t="shared" si="969"/>
        <v/>
      </c>
      <c r="AD514" s="1291" t="str">
        <f t="shared" si="969"/>
        <v/>
      </c>
      <c r="AE514" s="1291" t="str">
        <f t="shared" si="969"/>
        <v/>
      </c>
      <c r="AF514" s="1291" t="str">
        <f t="shared" si="969"/>
        <v/>
      </c>
      <c r="AG514" s="1292" t="str">
        <f t="shared" si="969"/>
        <v/>
      </c>
    </row>
    <row r="515" spans="8:47">
      <c r="H515" s="1289"/>
      <c r="I515" s="1250" t="str">
        <f>I476</f>
        <v xml:space="preserve">Revenue cap - Fixed </v>
      </c>
      <c r="J515" s="1251"/>
      <c r="K515" s="828"/>
      <c r="L515" s="828"/>
      <c r="M515" s="829"/>
      <c r="N515" s="828"/>
      <c r="O515" s="828"/>
      <c r="P515" s="828"/>
      <c r="Q515" s="828"/>
      <c r="R515" s="1290" t="str">
        <f t="shared" si="969"/>
        <v/>
      </c>
      <c r="S515" s="1291" t="str">
        <f t="shared" si="969"/>
        <v/>
      </c>
      <c r="T515" s="1291" t="str">
        <f t="shared" si="969"/>
        <v/>
      </c>
      <c r="U515" s="1291" t="str">
        <f t="shared" si="969"/>
        <v/>
      </c>
      <c r="V515" s="1291" t="str">
        <f t="shared" si="969"/>
        <v/>
      </c>
      <c r="W515" s="1290" t="str">
        <f t="shared" si="969"/>
        <v/>
      </c>
      <c r="X515" s="1291" t="str">
        <f t="shared" si="969"/>
        <v/>
      </c>
      <c r="Y515" s="1291" t="str">
        <f t="shared" si="969"/>
        <v/>
      </c>
      <c r="Z515" s="1291" t="str">
        <f t="shared" si="969"/>
        <v/>
      </c>
      <c r="AA515" s="1291" t="str">
        <f t="shared" si="969"/>
        <v/>
      </c>
      <c r="AB515" s="1290" t="str">
        <f t="shared" si="969"/>
        <v/>
      </c>
      <c r="AC515" s="1291" t="str">
        <f t="shared" si="969"/>
        <v/>
      </c>
      <c r="AD515" s="1291" t="str">
        <f t="shared" si="969"/>
        <v/>
      </c>
      <c r="AE515" s="1291" t="str">
        <f t="shared" si="969"/>
        <v/>
      </c>
      <c r="AF515" s="1291" t="str">
        <f t="shared" si="969"/>
        <v/>
      </c>
      <c r="AG515" s="1292" t="str">
        <f t="shared" si="969"/>
        <v/>
      </c>
    </row>
    <row r="516" spans="8:47">
      <c r="H516" s="1289"/>
      <c r="I516" s="1250" t="str">
        <f>I477</f>
        <v>Revenue cap - Variable</v>
      </c>
      <c r="J516" s="1251"/>
      <c r="K516" s="828"/>
      <c r="L516" s="828"/>
      <c r="M516" s="829"/>
      <c r="N516" s="828"/>
      <c r="O516" s="828"/>
      <c r="P516" s="828"/>
      <c r="Q516" s="828"/>
      <c r="R516" s="1290" t="str">
        <f t="shared" si="969"/>
        <v/>
      </c>
      <c r="S516" s="1291" t="str">
        <f t="shared" si="969"/>
        <v/>
      </c>
      <c r="T516" s="1291" t="str">
        <f t="shared" si="969"/>
        <v/>
      </c>
      <c r="U516" s="1291" t="str">
        <f t="shared" si="969"/>
        <v/>
      </c>
      <c r="V516" s="1291" t="str">
        <f t="shared" si="969"/>
        <v/>
      </c>
      <c r="W516" s="1290" t="str">
        <f t="shared" si="969"/>
        <v/>
      </c>
      <c r="X516" s="1291" t="str">
        <f t="shared" si="969"/>
        <v/>
      </c>
      <c r="Y516" s="1291" t="str">
        <f t="shared" si="969"/>
        <v/>
      </c>
      <c r="Z516" s="1291" t="str">
        <f t="shared" si="969"/>
        <v/>
      </c>
      <c r="AA516" s="1291" t="str">
        <f t="shared" si="969"/>
        <v/>
      </c>
      <c r="AB516" s="1290" t="str">
        <f t="shared" si="969"/>
        <v/>
      </c>
      <c r="AC516" s="1291" t="str">
        <f t="shared" si="969"/>
        <v/>
      </c>
      <c r="AD516" s="1291" t="str">
        <f t="shared" si="969"/>
        <v/>
      </c>
      <c r="AE516" s="1291" t="str">
        <f t="shared" si="969"/>
        <v/>
      </c>
      <c r="AF516" s="1291" t="str">
        <f t="shared" si="969"/>
        <v/>
      </c>
      <c r="AG516" s="1292" t="str">
        <f t="shared" si="969"/>
        <v/>
      </c>
    </row>
    <row r="517" spans="8:47" ht="4.5" customHeight="1">
      <c r="H517" s="1289"/>
      <c r="I517" s="1250"/>
      <c r="J517" s="1251"/>
      <c r="K517" s="828"/>
      <c r="L517" s="828"/>
      <c r="M517" s="829"/>
      <c r="N517" s="828"/>
      <c r="O517" s="828"/>
      <c r="P517" s="828"/>
      <c r="Q517" s="828"/>
      <c r="R517" s="1290"/>
      <c r="S517" s="1291"/>
      <c r="T517" s="1291"/>
      <c r="U517" s="1291"/>
      <c r="V517" s="1291"/>
      <c r="W517" s="1290"/>
      <c r="X517" s="1291"/>
      <c r="Y517" s="1291"/>
      <c r="Z517" s="1291"/>
      <c r="AA517" s="1291"/>
      <c r="AB517" s="1290"/>
      <c r="AC517" s="1291"/>
      <c r="AD517" s="1291"/>
      <c r="AE517" s="1291"/>
      <c r="AF517" s="1291"/>
      <c r="AG517" s="1292"/>
    </row>
    <row r="518" spans="8:47" s="84" customFormat="1">
      <c r="H518" s="1277"/>
      <c r="I518" s="1293" t="s">
        <v>689</v>
      </c>
      <c r="J518" s="1294"/>
      <c r="K518" s="1295" t="s">
        <v>841</v>
      </c>
      <c r="L518" s="1295" t="s">
        <v>841</v>
      </c>
      <c r="M518" s="1296" t="s">
        <v>841</v>
      </c>
      <c r="N518" s="1295" t="s">
        <v>841</v>
      </c>
      <c r="O518" s="1295" t="s">
        <v>841</v>
      </c>
      <c r="P518" s="1295" t="s">
        <v>841</v>
      </c>
      <c r="Q518" s="1295" t="s">
        <v>841</v>
      </c>
      <c r="R518" s="1297" t="str">
        <f>IFERROR(R513+R515,"")</f>
        <v/>
      </c>
      <c r="S518" s="1298" t="str">
        <f t="shared" ref="S518:AG519" si="970">IFERROR(S513+S515,"")</f>
        <v/>
      </c>
      <c r="T518" s="1298" t="str">
        <f t="shared" si="970"/>
        <v/>
      </c>
      <c r="U518" s="1298" t="str">
        <f t="shared" si="970"/>
        <v/>
      </c>
      <c r="V518" s="1298" t="str">
        <f t="shared" si="970"/>
        <v/>
      </c>
      <c r="W518" s="1297" t="str">
        <f t="shared" si="970"/>
        <v/>
      </c>
      <c r="X518" s="1298" t="str">
        <f t="shared" si="970"/>
        <v/>
      </c>
      <c r="Y518" s="1298" t="str">
        <f t="shared" si="970"/>
        <v/>
      </c>
      <c r="Z518" s="1298" t="str">
        <f t="shared" si="970"/>
        <v/>
      </c>
      <c r="AA518" s="1298" t="str">
        <f t="shared" si="970"/>
        <v/>
      </c>
      <c r="AB518" s="1297" t="str">
        <f t="shared" si="970"/>
        <v/>
      </c>
      <c r="AC518" s="1298" t="str">
        <f t="shared" si="970"/>
        <v/>
      </c>
      <c r="AD518" s="1298" t="str">
        <f t="shared" si="970"/>
        <v/>
      </c>
      <c r="AE518" s="1298" t="str">
        <f t="shared" si="970"/>
        <v/>
      </c>
      <c r="AF518" s="1298" t="str">
        <f t="shared" si="970"/>
        <v/>
      </c>
      <c r="AG518" s="1299" t="str">
        <f t="shared" si="970"/>
        <v/>
      </c>
      <c r="AU518" s="1300"/>
    </row>
    <row r="519" spans="8:47" s="84" customFormat="1">
      <c r="H519" s="1277"/>
      <c r="I519" s="1293" t="s">
        <v>693</v>
      </c>
      <c r="J519" s="1294"/>
      <c r="K519" s="1295" t="s">
        <v>841</v>
      </c>
      <c r="L519" s="1295" t="s">
        <v>841</v>
      </c>
      <c r="M519" s="1296" t="s">
        <v>841</v>
      </c>
      <c r="N519" s="1295" t="s">
        <v>841</v>
      </c>
      <c r="O519" s="1295" t="s">
        <v>841</v>
      </c>
      <c r="P519" s="1295" t="s">
        <v>841</v>
      </c>
      <c r="Q519" s="1295" t="s">
        <v>841</v>
      </c>
      <c r="R519" s="1297" t="str">
        <f>IFERROR(R514+R516,"")</f>
        <v/>
      </c>
      <c r="S519" s="1298" t="str">
        <f t="shared" si="970"/>
        <v/>
      </c>
      <c r="T519" s="1298" t="str">
        <f t="shared" si="970"/>
        <v/>
      </c>
      <c r="U519" s="1298" t="str">
        <f t="shared" si="970"/>
        <v/>
      </c>
      <c r="V519" s="1298" t="str">
        <f t="shared" si="970"/>
        <v/>
      </c>
      <c r="W519" s="1297" t="str">
        <f t="shared" si="970"/>
        <v/>
      </c>
      <c r="X519" s="1298" t="str">
        <f t="shared" si="970"/>
        <v/>
      </c>
      <c r="Y519" s="1298" t="str">
        <f t="shared" si="970"/>
        <v/>
      </c>
      <c r="Z519" s="1298" t="str">
        <f t="shared" si="970"/>
        <v/>
      </c>
      <c r="AA519" s="1298" t="str">
        <f t="shared" si="970"/>
        <v/>
      </c>
      <c r="AB519" s="1297" t="str">
        <f t="shared" si="970"/>
        <v/>
      </c>
      <c r="AC519" s="1298" t="str">
        <f t="shared" si="970"/>
        <v/>
      </c>
      <c r="AD519" s="1298" t="str">
        <f t="shared" si="970"/>
        <v/>
      </c>
      <c r="AE519" s="1298" t="str">
        <f t="shared" si="970"/>
        <v/>
      </c>
      <c r="AF519" s="1298" t="str">
        <f t="shared" si="970"/>
        <v/>
      </c>
      <c r="AG519" s="1299" t="str">
        <f t="shared" si="970"/>
        <v/>
      </c>
      <c r="AU519" s="1300"/>
    </row>
    <row r="520" spans="8:47" s="1253" customFormat="1">
      <c r="H520" s="1277"/>
      <c r="I520" s="1255"/>
      <c r="J520" s="1256"/>
      <c r="K520" s="1257"/>
      <c r="L520" s="1257"/>
      <c r="M520" s="1258"/>
      <c r="N520" s="1257"/>
      <c r="O520" s="1257"/>
      <c r="P520" s="1257"/>
      <c r="Q520" s="1257"/>
      <c r="R520" s="1259"/>
      <c r="S520" s="1260"/>
      <c r="T520" s="1260"/>
      <c r="U520" s="1260"/>
      <c r="V520" s="1260"/>
      <c r="W520" s="1259"/>
      <c r="X520" s="1260"/>
      <c r="Y520" s="1260"/>
      <c r="Z520" s="1260"/>
      <c r="AA520" s="1260"/>
      <c r="AB520" s="1259"/>
      <c r="AC520" s="1260"/>
      <c r="AD520" s="1260"/>
      <c r="AE520" s="1260"/>
      <c r="AF520" s="1260"/>
      <c r="AG520" s="1261"/>
      <c r="AU520" s="1262"/>
    </row>
    <row r="521" spans="8:47" s="104" customFormat="1">
      <c r="H521" s="1285"/>
      <c r="I521" s="1243" t="str">
        <f>I479</f>
        <v>Sewerage</v>
      </c>
      <c r="J521" s="1244"/>
      <c r="K521" s="1245">
        <f t="shared" ref="K521:Q521" si="971">+SUMIFS(K$69:K$444,$E$69:$E$444,$E$71,$I$69:$I$444,$I521)</f>
        <v>0</v>
      </c>
      <c r="L521" s="1245">
        <f t="shared" si="971"/>
        <v>0</v>
      </c>
      <c r="M521" s="1246">
        <f t="shared" si="971"/>
        <v>0</v>
      </c>
      <c r="N521" s="1245">
        <f t="shared" si="971"/>
        <v>0</v>
      </c>
      <c r="O521" s="1245">
        <f t="shared" si="971"/>
        <v>0</v>
      </c>
      <c r="P521" s="1245">
        <f t="shared" si="971"/>
        <v>0</v>
      </c>
      <c r="Q521" s="1245">
        <f t="shared" si="971"/>
        <v>0</v>
      </c>
      <c r="R521" s="1286" t="str">
        <f>IFERROR(R479/R$509,"")</f>
        <v/>
      </c>
      <c r="S521" s="1287" t="str">
        <f t="shared" ref="S521:AG521" si="972">IFERROR(S479/S$509,"")</f>
        <v/>
      </c>
      <c r="T521" s="1287" t="str">
        <f t="shared" si="972"/>
        <v/>
      </c>
      <c r="U521" s="1287" t="str">
        <f t="shared" si="972"/>
        <v/>
      </c>
      <c r="V521" s="1287" t="str">
        <f t="shared" si="972"/>
        <v/>
      </c>
      <c r="W521" s="1286" t="str">
        <f t="shared" si="972"/>
        <v/>
      </c>
      <c r="X521" s="1287" t="str">
        <f t="shared" si="972"/>
        <v/>
      </c>
      <c r="Y521" s="1287" t="str">
        <f t="shared" si="972"/>
        <v/>
      </c>
      <c r="Z521" s="1287" t="str">
        <f t="shared" si="972"/>
        <v/>
      </c>
      <c r="AA521" s="1287" t="str">
        <f t="shared" si="972"/>
        <v/>
      </c>
      <c r="AB521" s="1286" t="str">
        <f t="shared" si="972"/>
        <v/>
      </c>
      <c r="AC521" s="1287" t="str">
        <f t="shared" si="972"/>
        <v/>
      </c>
      <c r="AD521" s="1287" t="str">
        <f t="shared" si="972"/>
        <v/>
      </c>
      <c r="AE521" s="1287" t="str">
        <f t="shared" si="972"/>
        <v/>
      </c>
      <c r="AF521" s="1287" t="str">
        <f t="shared" si="972"/>
        <v/>
      </c>
      <c r="AG521" s="1288" t="str">
        <f t="shared" si="972"/>
        <v/>
      </c>
      <c r="AU521" s="1248"/>
    </row>
    <row r="522" spans="8:47">
      <c r="H522" s="1289"/>
      <c r="I522" s="1250" t="str">
        <f>I480</f>
        <v>Price cap - Fixed</v>
      </c>
      <c r="J522" s="1251"/>
      <c r="K522" s="828"/>
      <c r="L522" s="828"/>
      <c r="M522" s="829"/>
      <c r="N522" s="828"/>
      <c r="O522" s="828"/>
      <c r="P522" s="828"/>
      <c r="Q522" s="828"/>
      <c r="R522" s="1290" t="str">
        <f>IFERROR(R480/R$479,"")</f>
        <v/>
      </c>
      <c r="S522" s="1291" t="str">
        <f t="shared" ref="S522:AG522" si="973">IFERROR(S480/S$479,"")</f>
        <v/>
      </c>
      <c r="T522" s="1291" t="str">
        <f t="shared" si="973"/>
        <v/>
      </c>
      <c r="U522" s="1291" t="str">
        <f t="shared" si="973"/>
        <v/>
      </c>
      <c r="V522" s="1291" t="str">
        <f t="shared" si="973"/>
        <v/>
      </c>
      <c r="W522" s="1290" t="str">
        <f t="shared" si="973"/>
        <v/>
      </c>
      <c r="X522" s="1291" t="str">
        <f t="shared" si="973"/>
        <v/>
      </c>
      <c r="Y522" s="1291" t="str">
        <f t="shared" si="973"/>
        <v/>
      </c>
      <c r="Z522" s="1291" t="str">
        <f t="shared" si="973"/>
        <v/>
      </c>
      <c r="AA522" s="1291" t="str">
        <f t="shared" si="973"/>
        <v/>
      </c>
      <c r="AB522" s="1290" t="str">
        <f t="shared" si="973"/>
        <v/>
      </c>
      <c r="AC522" s="1291" t="str">
        <f t="shared" si="973"/>
        <v/>
      </c>
      <c r="AD522" s="1291" t="str">
        <f t="shared" si="973"/>
        <v/>
      </c>
      <c r="AE522" s="1291" t="str">
        <f t="shared" si="973"/>
        <v/>
      </c>
      <c r="AF522" s="1291" t="str">
        <f t="shared" si="973"/>
        <v/>
      </c>
      <c r="AG522" s="1292" t="str">
        <f t="shared" si="973"/>
        <v/>
      </c>
    </row>
    <row r="523" spans="8:47">
      <c r="H523" s="1289"/>
      <c r="I523" s="1250" t="str">
        <f>I481</f>
        <v xml:space="preserve">Price cap - Variable </v>
      </c>
      <c r="J523" s="1251"/>
      <c r="K523" s="828"/>
      <c r="L523" s="828"/>
      <c r="M523" s="829"/>
      <c r="N523" s="828"/>
      <c r="O523" s="828"/>
      <c r="P523" s="828"/>
      <c r="Q523" s="828"/>
      <c r="R523" s="1290" t="str">
        <f t="shared" ref="R523:AG525" si="974">IFERROR(R481/R$479,"")</f>
        <v/>
      </c>
      <c r="S523" s="1291" t="str">
        <f t="shared" si="974"/>
        <v/>
      </c>
      <c r="T523" s="1291" t="str">
        <f t="shared" si="974"/>
        <v/>
      </c>
      <c r="U523" s="1291" t="str">
        <f t="shared" si="974"/>
        <v/>
      </c>
      <c r="V523" s="1291" t="str">
        <f t="shared" si="974"/>
        <v/>
      </c>
      <c r="W523" s="1290" t="str">
        <f t="shared" si="974"/>
        <v/>
      </c>
      <c r="X523" s="1291" t="str">
        <f t="shared" si="974"/>
        <v/>
      </c>
      <c r="Y523" s="1291" t="str">
        <f t="shared" si="974"/>
        <v/>
      </c>
      <c r="Z523" s="1291" t="str">
        <f t="shared" si="974"/>
        <v/>
      </c>
      <c r="AA523" s="1291" t="str">
        <f t="shared" si="974"/>
        <v/>
      </c>
      <c r="AB523" s="1290" t="str">
        <f t="shared" si="974"/>
        <v/>
      </c>
      <c r="AC523" s="1291" t="str">
        <f t="shared" si="974"/>
        <v/>
      </c>
      <c r="AD523" s="1291" t="str">
        <f t="shared" si="974"/>
        <v/>
      </c>
      <c r="AE523" s="1291" t="str">
        <f t="shared" si="974"/>
        <v/>
      </c>
      <c r="AF523" s="1291" t="str">
        <f t="shared" si="974"/>
        <v/>
      </c>
      <c r="AG523" s="1292" t="str">
        <f t="shared" si="974"/>
        <v/>
      </c>
    </row>
    <row r="524" spans="8:47">
      <c r="H524" s="1289"/>
      <c r="I524" s="1250" t="str">
        <f>I482</f>
        <v xml:space="preserve">Revenue cap - Fixed </v>
      </c>
      <c r="J524" s="1251"/>
      <c r="K524" s="828"/>
      <c r="L524" s="828"/>
      <c r="M524" s="829"/>
      <c r="N524" s="828"/>
      <c r="O524" s="828"/>
      <c r="P524" s="828"/>
      <c r="Q524" s="828"/>
      <c r="R524" s="1290" t="str">
        <f t="shared" si="974"/>
        <v/>
      </c>
      <c r="S524" s="1291" t="str">
        <f t="shared" si="974"/>
        <v/>
      </c>
      <c r="T524" s="1291" t="str">
        <f t="shared" si="974"/>
        <v/>
      </c>
      <c r="U524" s="1291" t="str">
        <f t="shared" si="974"/>
        <v/>
      </c>
      <c r="V524" s="1291" t="str">
        <f t="shared" si="974"/>
        <v/>
      </c>
      <c r="W524" s="1290" t="str">
        <f t="shared" si="974"/>
        <v/>
      </c>
      <c r="X524" s="1291" t="str">
        <f t="shared" si="974"/>
        <v/>
      </c>
      <c r="Y524" s="1291" t="str">
        <f t="shared" si="974"/>
        <v/>
      </c>
      <c r="Z524" s="1291" t="str">
        <f t="shared" si="974"/>
        <v/>
      </c>
      <c r="AA524" s="1291" t="str">
        <f t="shared" si="974"/>
        <v/>
      </c>
      <c r="AB524" s="1290" t="str">
        <f t="shared" si="974"/>
        <v/>
      </c>
      <c r="AC524" s="1291" t="str">
        <f t="shared" si="974"/>
        <v/>
      </c>
      <c r="AD524" s="1291" t="str">
        <f t="shared" si="974"/>
        <v/>
      </c>
      <c r="AE524" s="1291" t="str">
        <f t="shared" si="974"/>
        <v/>
      </c>
      <c r="AF524" s="1291" t="str">
        <f t="shared" si="974"/>
        <v/>
      </c>
      <c r="AG524" s="1292" t="str">
        <f t="shared" si="974"/>
        <v/>
      </c>
    </row>
    <row r="525" spans="8:47">
      <c r="H525" s="1289"/>
      <c r="I525" s="1250" t="str">
        <f>I483</f>
        <v>Revenue cap - Variable</v>
      </c>
      <c r="J525" s="1251"/>
      <c r="K525" s="828"/>
      <c r="L525" s="828"/>
      <c r="M525" s="829"/>
      <c r="N525" s="828"/>
      <c r="O525" s="828"/>
      <c r="P525" s="828"/>
      <c r="Q525" s="828"/>
      <c r="R525" s="1290" t="str">
        <f t="shared" si="974"/>
        <v/>
      </c>
      <c r="S525" s="1291" t="str">
        <f t="shared" si="974"/>
        <v/>
      </c>
      <c r="T525" s="1291" t="str">
        <f t="shared" si="974"/>
        <v/>
      </c>
      <c r="U525" s="1291" t="str">
        <f t="shared" si="974"/>
        <v/>
      </c>
      <c r="V525" s="1291" t="str">
        <f t="shared" si="974"/>
        <v/>
      </c>
      <c r="W525" s="1290" t="str">
        <f t="shared" si="974"/>
        <v/>
      </c>
      <c r="X525" s="1291" t="str">
        <f t="shared" si="974"/>
        <v/>
      </c>
      <c r="Y525" s="1291" t="str">
        <f t="shared" si="974"/>
        <v/>
      </c>
      <c r="Z525" s="1291" t="str">
        <f t="shared" si="974"/>
        <v/>
      </c>
      <c r="AA525" s="1291" t="str">
        <f t="shared" si="974"/>
        <v/>
      </c>
      <c r="AB525" s="1290" t="str">
        <f t="shared" si="974"/>
        <v/>
      </c>
      <c r="AC525" s="1291" t="str">
        <f t="shared" si="974"/>
        <v/>
      </c>
      <c r="AD525" s="1291" t="str">
        <f t="shared" si="974"/>
        <v/>
      </c>
      <c r="AE525" s="1291" t="str">
        <f t="shared" si="974"/>
        <v/>
      </c>
      <c r="AF525" s="1291" t="str">
        <f t="shared" si="974"/>
        <v/>
      </c>
      <c r="AG525" s="1292" t="str">
        <f t="shared" si="974"/>
        <v/>
      </c>
    </row>
    <row r="526" spans="8:47" ht="4.5" customHeight="1">
      <c r="H526" s="1289"/>
      <c r="I526" s="1250"/>
      <c r="J526" s="1251"/>
      <c r="K526" s="828"/>
      <c r="L526" s="828"/>
      <c r="M526" s="829"/>
      <c r="N526" s="828"/>
      <c r="O526" s="828"/>
      <c r="P526" s="828"/>
      <c r="Q526" s="828"/>
      <c r="R526" s="1290"/>
      <c r="S526" s="1291"/>
      <c r="T526" s="1291"/>
      <c r="U526" s="1291"/>
      <c r="V526" s="1291"/>
      <c r="W526" s="1290"/>
      <c r="X526" s="1291"/>
      <c r="Y526" s="1291"/>
      <c r="Z526" s="1291"/>
      <c r="AA526" s="1291"/>
      <c r="AB526" s="1290"/>
      <c r="AC526" s="1291"/>
      <c r="AD526" s="1291"/>
      <c r="AE526" s="1291"/>
      <c r="AF526" s="1291"/>
      <c r="AG526" s="1292"/>
    </row>
    <row r="527" spans="8:47" s="84" customFormat="1">
      <c r="H527" s="1277"/>
      <c r="I527" s="1293" t="s">
        <v>689</v>
      </c>
      <c r="J527" s="1294"/>
      <c r="K527" s="1295" t="s">
        <v>841</v>
      </c>
      <c r="L527" s="1295" t="s">
        <v>841</v>
      </c>
      <c r="M527" s="1296" t="s">
        <v>841</v>
      </c>
      <c r="N527" s="1295" t="s">
        <v>841</v>
      </c>
      <c r="O527" s="1295" t="s">
        <v>841</v>
      </c>
      <c r="P527" s="1295" t="s">
        <v>841</v>
      </c>
      <c r="Q527" s="1295" t="s">
        <v>841</v>
      </c>
      <c r="R527" s="1297" t="str">
        <f>IFERROR(R522+R524,"")</f>
        <v/>
      </c>
      <c r="S527" s="1298" t="str">
        <f t="shared" ref="S527:AG528" si="975">IFERROR(S522+S524,"")</f>
        <v/>
      </c>
      <c r="T527" s="1298" t="str">
        <f t="shared" si="975"/>
        <v/>
      </c>
      <c r="U527" s="1298" t="str">
        <f t="shared" si="975"/>
        <v/>
      </c>
      <c r="V527" s="1298" t="str">
        <f t="shared" si="975"/>
        <v/>
      </c>
      <c r="W527" s="1297" t="str">
        <f t="shared" si="975"/>
        <v/>
      </c>
      <c r="X527" s="1298" t="str">
        <f t="shared" si="975"/>
        <v/>
      </c>
      <c r="Y527" s="1298" t="str">
        <f t="shared" si="975"/>
        <v/>
      </c>
      <c r="Z527" s="1298" t="str">
        <f t="shared" si="975"/>
        <v/>
      </c>
      <c r="AA527" s="1298" t="str">
        <f t="shared" si="975"/>
        <v/>
      </c>
      <c r="AB527" s="1297" t="str">
        <f t="shared" si="975"/>
        <v/>
      </c>
      <c r="AC527" s="1298" t="str">
        <f t="shared" si="975"/>
        <v/>
      </c>
      <c r="AD527" s="1298" t="str">
        <f t="shared" si="975"/>
        <v/>
      </c>
      <c r="AE527" s="1298" t="str">
        <f t="shared" si="975"/>
        <v/>
      </c>
      <c r="AF527" s="1298" t="str">
        <f t="shared" si="975"/>
        <v/>
      </c>
      <c r="AG527" s="1299" t="str">
        <f t="shared" si="975"/>
        <v/>
      </c>
      <c r="AU527" s="1300"/>
    </row>
    <row r="528" spans="8:47" s="84" customFormat="1">
      <c r="H528" s="1277"/>
      <c r="I528" s="1293" t="s">
        <v>693</v>
      </c>
      <c r="J528" s="1294"/>
      <c r="K528" s="1295" t="s">
        <v>841</v>
      </c>
      <c r="L528" s="1295" t="s">
        <v>841</v>
      </c>
      <c r="M528" s="1296" t="s">
        <v>841</v>
      </c>
      <c r="N528" s="1295" t="s">
        <v>841</v>
      </c>
      <c r="O528" s="1295" t="s">
        <v>841</v>
      </c>
      <c r="P528" s="1295" t="s">
        <v>841</v>
      </c>
      <c r="Q528" s="1295" t="s">
        <v>841</v>
      </c>
      <c r="R528" s="1297" t="str">
        <f>IFERROR(R523+R525,"")</f>
        <v/>
      </c>
      <c r="S528" s="1298" t="str">
        <f t="shared" si="975"/>
        <v/>
      </c>
      <c r="T528" s="1298" t="str">
        <f t="shared" si="975"/>
        <v/>
      </c>
      <c r="U528" s="1298" t="str">
        <f t="shared" si="975"/>
        <v/>
      </c>
      <c r="V528" s="1298" t="str">
        <f t="shared" si="975"/>
        <v/>
      </c>
      <c r="W528" s="1297" t="str">
        <f t="shared" si="975"/>
        <v/>
      </c>
      <c r="X528" s="1298" t="str">
        <f t="shared" si="975"/>
        <v/>
      </c>
      <c r="Y528" s="1298" t="str">
        <f t="shared" si="975"/>
        <v/>
      </c>
      <c r="Z528" s="1298" t="str">
        <f t="shared" si="975"/>
        <v/>
      </c>
      <c r="AA528" s="1298" t="str">
        <f t="shared" si="975"/>
        <v/>
      </c>
      <c r="AB528" s="1297" t="str">
        <f t="shared" si="975"/>
        <v/>
      </c>
      <c r="AC528" s="1298" t="str">
        <f t="shared" si="975"/>
        <v/>
      </c>
      <c r="AD528" s="1298" t="str">
        <f t="shared" si="975"/>
        <v/>
      </c>
      <c r="AE528" s="1298" t="str">
        <f t="shared" si="975"/>
        <v/>
      </c>
      <c r="AF528" s="1298" t="str">
        <f t="shared" si="975"/>
        <v/>
      </c>
      <c r="AG528" s="1299" t="str">
        <f t="shared" si="975"/>
        <v/>
      </c>
      <c r="AU528" s="1300"/>
    </row>
    <row r="529" spans="8:47" s="1253" customFormat="1">
      <c r="H529" s="1277"/>
      <c r="I529" s="1255"/>
      <c r="J529" s="1256"/>
      <c r="K529" s="1257"/>
      <c r="L529" s="1257"/>
      <c r="M529" s="1258"/>
      <c r="N529" s="1257"/>
      <c r="O529" s="1257"/>
      <c r="P529" s="1257"/>
      <c r="Q529" s="1257"/>
      <c r="R529" s="1259"/>
      <c r="S529" s="1260"/>
      <c r="T529" s="1260"/>
      <c r="U529" s="1260"/>
      <c r="V529" s="1260"/>
      <c r="W529" s="1259"/>
      <c r="X529" s="1260"/>
      <c r="Y529" s="1260"/>
      <c r="Z529" s="1260"/>
      <c r="AA529" s="1260"/>
      <c r="AB529" s="1259"/>
      <c r="AC529" s="1260"/>
      <c r="AD529" s="1260"/>
      <c r="AE529" s="1260"/>
      <c r="AF529" s="1260"/>
      <c r="AG529" s="1261"/>
      <c r="AU529" s="1262"/>
    </row>
    <row r="530" spans="8:47" s="104" customFormat="1">
      <c r="H530" s="1285"/>
      <c r="I530" s="1263" t="str">
        <f>I485</f>
        <v>Recycled Water</v>
      </c>
      <c r="J530" s="1264"/>
      <c r="K530" s="1245">
        <f t="shared" ref="K530:Q530" si="976">+SUMIFS(K$69:K$444,$E$69:$E$444,$E$71,$I$69:$I$444,$I530)</f>
        <v>0</v>
      </c>
      <c r="L530" s="1245">
        <f t="shared" si="976"/>
        <v>0</v>
      </c>
      <c r="M530" s="1246">
        <f t="shared" si="976"/>
        <v>0</v>
      </c>
      <c r="N530" s="1245">
        <f t="shared" si="976"/>
        <v>0</v>
      </c>
      <c r="O530" s="1245">
        <f t="shared" si="976"/>
        <v>0</v>
      </c>
      <c r="P530" s="1245">
        <f t="shared" si="976"/>
        <v>0</v>
      </c>
      <c r="Q530" s="1245">
        <f t="shared" si="976"/>
        <v>0</v>
      </c>
      <c r="R530" s="1286" t="str">
        <f>IFERROR(R485/R$509,"")</f>
        <v/>
      </c>
      <c r="S530" s="1287" t="str">
        <f t="shared" ref="S530:AG530" si="977">IFERROR(S485/S$509,"")</f>
        <v/>
      </c>
      <c r="T530" s="1287" t="str">
        <f t="shared" si="977"/>
        <v/>
      </c>
      <c r="U530" s="1287" t="str">
        <f t="shared" si="977"/>
        <v/>
      </c>
      <c r="V530" s="1287" t="str">
        <f t="shared" si="977"/>
        <v/>
      </c>
      <c r="W530" s="1286" t="str">
        <f t="shared" si="977"/>
        <v/>
      </c>
      <c r="X530" s="1287" t="str">
        <f t="shared" si="977"/>
        <v/>
      </c>
      <c r="Y530" s="1287" t="str">
        <f t="shared" si="977"/>
        <v/>
      </c>
      <c r="Z530" s="1287" t="str">
        <f t="shared" si="977"/>
        <v/>
      </c>
      <c r="AA530" s="1287" t="str">
        <f t="shared" si="977"/>
        <v/>
      </c>
      <c r="AB530" s="1286" t="str">
        <f t="shared" si="977"/>
        <v/>
      </c>
      <c r="AC530" s="1287" t="str">
        <f t="shared" si="977"/>
        <v/>
      </c>
      <c r="AD530" s="1287" t="str">
        <f t="shared" si="977"/>
        <v/>
      </c>
      <c r="AE530" s="1287" t="str">
        <f t="shared" si="977"/>
        <v/>
      </c>
      <c r="AF530" s="1287" t="str">
        <f t="shared" si="977"/>
        <v/>
      </c>
      <c r="AG530" s="1288" t="str">
        <f t="shared" si="977"/>
        <v/>
      </c>
      <c r="AU530" s="1248"/>
    </row>
    <row r="531" spans="8:47">
      <c r="H531" s="1301"/>
      <c r="I531" s="1250" t="str">
        <f>I486</f>
        <v>Price cap - Fixed</v>
      </c>
      <c r="J531" s="1251"/>
      <c r="K531" s="828"/>
      <c r="L531" s="828"/>
      <c r="M531" s="829"/>
      <c r="N531" s="828"/>
      <c r="O531" s="828"/>
      <c r="P531" s="828"/>
      <c r="Q531" s="828"/>
      <c r="R531" s="1290" t="str">
        <f>IFERROR(R486/R$485,"")</f>
        <v/>
      </c>
      <c r="S531" s="1291" t="str">
        <f t="shared" ref="S531:AG531" si="978">IFERROR(S486/S$485,"")</f>
        <v/>
      </c>
      <c r="T531" s="1291" t="str">
        <f t="shared" si="978"/>
        <v/>
      </c>
      <c r="U531" s="1291" t="str">
        <f t="shared" si="978"/>
        <v/>
      </c>
      <c r="V531" s="1291" t="str">
        <f t="shared" si="978"/>
        <v/>
      </c>
      <c r="W531" s="1290" t="str">
        <f t="shared" si="978"/>
        <v/>
      </c>
      <c r="X531" s="1291" t="str">
        <f t="shared" si="978"/>
        <v/>
      </c>
      <c r="Y531" s="1291" t="str">
        <f t="shared" si="978"/>
        <v/>
      </c>
      <c r="Z531" s="1291" t="str">
        <f t="shared" si="978"/>
        <v/>
      </c>
      <c r="AA531" s="1291" t="str">
        <f t="shared" si="978"/>
        <v/>
      </c>
      <c r="AB531" s="1290" t="str">
        <f t="shared" si="978"/>
        <v/>
      </c>
      <c r="AC531" s="1291" t="str">
        <f t="shared" si="978"/>
        <v/>
      </c>
      <c r="AD531" s="1291" t="str">
        <f t="shared" si="978"/>
        <v/>
      </c>
      <c r="AE531" s="1291" t="str">
        <f t="shared" si="978"/>
        <v/>
      </c>
      <c r="AF531" s="1291" t="str">
        <f t="shared" si="978"/>
        <v/>
      </c>
      <c r="AG531" s="1292" t="str">
        <f t="shared" si="978"/>
        <v/>
      </c>
    </row>
    <row r="532" spans="8:47">
      <c r="H532" s="1301"/>
      <c r="I532" s="1250" t="str">
        <f>I487</f>
        <v xml:space="preserve">Price cap - Variable </v>
      </c>
      <c r="J532" s="1251"/>
      <c r="K532" s="828"/>
      <c r="L532" s="828"/>
      <c r="M532" s="829"/>
      <c r="N532" s="828"/>
      <c r="O532" s="828"/>
      <c r="P532" s="828"/>
      <c r="Q532" s="828"/>
      <c r="R532" s="1290" t="str">
        <f t="shared" ref="R532:AG534" si="979">IFERROR(R487/R$485,"")</f>
        <v/>
      </c>
      <c r="S532" s="1291" t="str">
        <f t="shared" si="979"/>
        <v/>
      </c>
      <c r="T532" s="1291" t="str">
        <f t="shared" si="979"/>
        <v/>
      </c>
      <c r="U532" s="1291" t="str">
        <f t="shared" si="979"/>
        <v/>
      </c>
      <c r="V532" s="1291" t="str">
        <f t="shared" si="979"/>
        <v/>
      </c>
      <c r="W532" s="1290" t="str">
        <f t="shared" si="979"/>
        <v/>
      </c>
      <c r="X532" s="1291" t="str">
        <f t="shared" si="979"/>
        <v/>
      </c>
      <c r="Y532" s="1291" t="str">
        <f t="shared" si="979"/>
        <v/>
      </c>
      <c r="Z532" s="1291" t="str">
        <f t="shared" si="979"/>
        <v/>
      </c>
      <c r="AA532" s="1291" t="str">
        <f t="shared" si="979"/>
        <v/>
      </c>
      <c r="AB532" s="1290" t="str">
        <f t="shared" si="979"/>
        <v/>
      </c>
      <c r="AC532" s="1291" t="str">
        <f t="shared" si="979"/>
        <v/>
      </c>
      <c r="AD532" s="1291" t="str">
        <f t="shared" si="979"/>
        <v/>
      </c>
      <c r="AE532" s="1291" t="str">
        <f t="shared" si="979"/>
        <v/>
      </c>
      <c r="AF532" s="1291" t="str">
        <f t="shared" si="979"/>
        <v/>
      </c>
      <c r="AG532" s="1292" t="str">
        <f t="shared" si="979"/>
        <v/>
      </c>
    </row>
    <row r="533" spans="8:47">
      <c r="H533" s="1301"/>
      <c r="I533" s="1250" t="str">
        <f>I488</f>
        <v xml:space="preserve">Revenue cap - Fixed </v>
      </c>
      <c r="J533" s="1251"/>
      <c r="K533" s="828"/>
      <c r="L533" s="828"/>
      <c r="M533" s="829"/>
      <c r="N533" s="828"/>
      <c r="O533" s="828"/>
      <c r="P533" s="828"/>
      <c r="Q533" s="828"/>
      <c r="R533" s="1290" t="str">
        <f t="shared" si="979"/>
        <v/>
      </c>
      <c r="S533" s="1291" t="str">
        <f t="shared" si="979"/>
        <v/>
      </c>
      <c r="T533" s="1291" t="str">
        <f t="shared" si="979"/>
        <v/>
      </c>
      <c r="U533" s="1291" t="str">
        <f t="shared" si="979"/>
        <v/>
      </c>
      <c r="V533" s="1291" t="str">
        <f t="shared" si="979"/>
        <v/>
      </c>
      <c r="W533" s="1290" t="str">
        <f t="shared" si="979"/>
        <v/>
      </c>
      <c r="X533" s="1291" t="str">
        <f t="shared" si="979"/>
        <v/>
      </c>
      <c r="Y533" s="1291" t="str">
        <f t="shared" si="979"/>
        <v/>
      </c>
      <c r="Z533" s="1291" t="str">
        <f t="shared" si="979"/>
        <v/>
      </c>
      <c r="AA533" s="1291" t="str">
        <f t="shared" si="979"/>
        <v/>
      </c>
      <c r="AB533" s="1290" t="str">
        <f t="shared" si="979"/>
        <v/>
      </c>
      <c r="AC533" s="1291" t="str">
        <f t="shared" si="979"/>
        <v/>
      </c>
      <c r="AD533" s="1291" t="str">
        <f t="shared" si="979"/>
        <v/>
      </c>
      <c r="AE533" s="1291" t="str">
        <f t="shared" si="979"/>
        <v/>
      </c>
      <c r="AF533" s="1291" t="str">
        <f t="shared" si="979"/>
        <v/>
      </c>
      <c r="AG533" s="1292" t="str">
        <f t="shared" si="979"/>
        <v/>
      </c>
    </row>
    <row r="534" spans="8:47">
      <c r="H534" s="1301"/>
      <c r="I534" s="1250" t="str">
        <f>I489</f>
        <v>Revenue cap - Variable</v>
      </c>
      <c r="J534" s="1251"/>
      <c r="K534" s="828"/>
      <c r="L534" s="828"/>
      <c r="M534" s="829"/>
      <c r="N534" s="828"/>
      <c r="O534" s="828"/>
      <c r="P534" s="828"/>
      <c r="Q534" s="828"/>
      <c r="R534" s="1290" t="str">
        <f t="shared" si="979"/>
        <v/>
      </c>
      <c r="S534" s="1291" t="str">
        <f t="shared" si="979"/>
        <v/>
      </c>
      <c r="T534" s="1291" t="str">
        <f t="shared" si="979"/>
        <v/>
      </c>
      <c r="U534" s="1291" t="str">
        <f t="shared" si="979"/>
        <v/>
      </c>
      <c r="V534" s="1291" t="str">
        <f t="shared" si="979"/>
        <v/>
      </c>
      <c r="W534" s="1290" t="str">
        <f t="shared" si="979"/>
        <v/>
      </c>
      <c r="X534" s="1291" t="str">
        <f t="shared" si="979"/>
        <v/>
      </c>
      <c r="Y534" s="1291" t="str">
        <f t="shared" si="979"/>
        <v/>
      </c>
      <c r="Z534" s="1291" t="str">
        <f t="shared" si="979"/>
        <v/>
      </c>
      <c r="AA534" s="1291" t="str">
        <f t="shared" si="979"/>
        <v/>
      </c>
      <c r="AB534" s="1290" t="str">
        <f t="shared" si="979"/>
        <v/>
      </c>
      <c r="AC534" s="1291" t="str">
        <f t="shared" si="979"/>
        <v/>
      </c>
      <c r="AD534" s="1291" t="str">
        <f t="shared" si="979"/>
        <v/>
      </c>
      <c r="AE534" s="1291" t="str">
        <f t="shared" si="979"/>
        <v/>
      </c>
      <c r="AF534" s="1291" t="str">
        <f t="shared" si="979"/>
        <v/>
      </c>
      <c r="AG534" s="1292" t="str">
        <f t="shared" si="979"/>
        <v/>
      </c>
    </row>
    <row r="535" spans="8:47" ht="4.5" customHeight="1">
      <c r="H535" s="1289"/>
      <c r="I535" s="1250"/>
      <c r="J535" s="1251"/>
      <c r="K535" s="828"/>
      <c r="L535" s="828"/>
      <c r="M535" s="829"/>
      <c r="N535" s="828"/>
      <c r="O535" s="828"/>
      <c r="P535" s="828"/>
      <c r="Q535" s="828"/>
      <c r="R535" s="1290"/>
      <c r="S535" s="1291"/>
      <c r="T535" s="1291"/>
      <c r="U535" s="1291"/>
      <c r="V535" s="1291"/>
      <c r="W535" s="1290"/>
      <c r="X535" s="1291"/>
      <c r="Y535" s="1291"/>
      <c r="Z535" s="1291"/>
      <c r="AA535" s="1291"/>
      <c r="AB535" s="1290"/>
      <c r="AC535" s="1291"/>
      <c r="AD535" s="1291"/>
      <c r="AE535" s="1291"/>
      <c r="AF535" s="1291"/>
      <c r="AG535" s="1292"/>
    </row>
    <row r="536" spans="8:47" s="84" customFormat="1">
      <c r="H536" s="1277"/>
      <c r="I536" s="1293" t="s">
        <v>689</v>
      </c>
      <c r="J536" s="1294"/>
      <c r="K536" s="1295" t="s">
        <v>841</v>
      </c>
      <c r="L536" s="1295" t="s">
        <v>841</v>
      </c>
      <c r="M536" s="1296" t="s">
        <v>841</v>
      </c>
      <c r="N536" s="1295" t="s">
        <v>841</v>
      </c>
      <c r="O536" s="1295" t="s">
        <v>841</v>
      </c>
      <c r="P536" s="1295" t="s">
        <v>841</v>
      </c>
      <c r="Q536" s="1295" t="s">
        <v>841</v>
      </c>
      <c r="R536" s="1297" t="str">
        <f>IFERROR(R531+R533,"")</f>
        <v/>
      </c>
      <c r="S536" s="1298" t="str">
        <f t="shared" ref="S536:AG537" si="980">IFERROR(S531+S533,"")</f>
        <v/>
      </c>
      <c r="T536" s="1298" t="str">
        <f t="shared" si="980"/>
        <v/>
      </c>
      <c r="U536" s="1298" t="str">
        <f t="shared" si="980"/>
        <v/>
      </c>
      <c r="V536" s="1298" t="str">
        <f t="shared" si="980"/>
        <v/>
      </c>
      <c r="W536" s="1297" t="str">
        <f t="shared" si="980"/>
        <v/>
      </c>
      <c r="X536" s="1298" t="str">
        <f t="shared" si="980"/>
        <v/>
      </c>
      <c r="Y536" s="1298" t="str">
        <f t="shared" si="980"/>
        <v/>
      </c>
      <c r="Z536" s="1298" t="str">
        <f t="shared" si="980"/>
        <v/>
      </c>
      <c r="AA536" s="1298" t="str">
        <f t="shared" si="980"/>
        <v/>
      </c>
      <c r="AB536" s="1297" t="str">
        <f t="shared" si="980"/>
        <v/>
      </c>
      <c r="AC536" s="1298" t="str">
        <f t="shared" si="980"/>
        <v/>
      </c>
      <c r="AD536" s="1298" t="str">
        <f t="shared" si="980"/>
        <v/>
      </c>
      <c r="AE536" s="1298" t="str">
        <f t="shared" si="980"/>
        <v/>
      </c>
      <c r="AF536" s="1298" t="str">
        <f t="shared" si="980"/>
        <v/>
      </c>
      <c r="AG536" s="1299" t="str">
        <f t="shared" si="980"/>
        <v/>
      </c>
      <c r="AU536" s="1300"/>
    </row>
    <row r="537" spans="8:47" s="84" customFormat="1">
      <c r="H537" s="1277"/>
      <c r="I537" s="1293" t="s">
        <v>693</v>
      </c>
      <c r="J537" s="1294"/>
      <c r="K537" s="1295" t="s">
        <v>841</v>
      </c>
      <c r="L537" s="1295" t="s">
        <v>841</v>
      </c>
      <c r="M537" s="1296" t="s">
        <v>841</v>
      </c>
      <c r="N537" s="1295" t="s">
        <v>841</v>
      </c>
      <c r="O537" s="1295" t="s">
        <v>841</v>
      </c>
      <c r="P537" s="1295" t="s">
        <v>841</v>
      </c>
      <c r="Q537" s="1295" t="s">
        <v>841</v>
      </c>
      <c r="R537" s="1297" t="str">
        <f>IFERROR(R532+R534,"")</f>
        <v/>
      </c>
      <c r="S537" s="1298" t="str">
        <f t="shared" si="980"/>
        <v/>
      </c>
      <c r="T537" s="1298" t="str">
        <f t="shared" si="980"/>
        <v/>
      </c>
      <c r="U537" s="1298" t="str">
        <f t="shared" si="980"/>
        <v/>
      </c>
      <c r="V537" s="1298" t="str">
        <f t="shared" si="980"/>
        <v/>
      </c>
      <c r="W537" s="1297" t="str">
        <f t="shared" si="980"/>
        <v/>
      </c>
      <c r="X537" s="1298" t="str">
        <f t="shared" si="980"/>
        <v/>
      </c>
      <c r="Y537" s="1298" t="str">
        <f t="shared" si="980"/>
        <v/>
      </c>
      <c r="Z537" s="1298" t="str">
        <f t="shared" si="980"/>
        <v/>
      </c>
      <c r="AA537" s="1298" t="str">
        <f t="shared" si="980"/>
        <v/>
      </c>
      <c r="AB537" s="1297" t="str">
        <f t="shared" si="980"/>
        <v/>
      </c>
      <c r="AC537" s="1298" t="str">
        <f t="shared" si="980"/>
        <v/>
      </c>
      <c r="AD537" s="1298" t="str">
        <f t="shared" si="980"/>
        <v/>
      </c>
      <c r="AE537" s="1298" t="str">
        <f t="shared" si="980"/>
        <v/>
      </c>
      <c r="AF537" s="1298" t="str">
        <f t="shared" si="980"/>
        <v/>
      </c>
      <c r="AG537" s="1299" t="str">
        <f t="shared" si="980"/>
        <v/>
      </c>
      <c r="AU537" s="1300"/>
    </row>
    <row r="538" spans="8:47" s="1253" customFormat="1">
      <c r="H538" s="1277"/>
      <c r="I538" s="1255"/>
      <c r="J538" s="1256"/>
      <c r="K538" s="1257"/>
      <c r="L538" s="1257"/>
      <c r="M538" s="1258"/>
      <c r="N538" s="1257"/>
      <c r="O538" s="1257"/>
      <c r="P538" s="1257"/>
      <c r="Q538" s="1257"/>
      <c r="R538" s="1259"/>
      <c r="S538" s="1260"/>
      <c r="T538" s="1260"/>
      <c r="U538" s="1260"/>
      <c r="V538" s="1260"/>
      <c r="W538" s="1259"/>
      <c r="X538" s="1260"/>
      <c r="Y538" s="1260"/>
      <c r="Z538" s="1260"/>
      <c r="AA538" s="1260"/>
      <c r="AB538" s="1259"/>
      <c r="AC538" s="1260"/>
      <c r="AD538" s="1260"/>
      <c r="AE538" s="1260"/>
      <c r="AF538" s="1260"/>
      <c r="AG538" s="1261"/>
      <c r="AU538" s="1262"/>
    </row>
    <row r="539" spans="8:47" s="104" customFormat="1">
      <c r="H539" s="1285"/>
      <c r="I539" s="1263" t="str">
        <f>I491</f>
        <v>Trade Waste</v>
      </c>
      <c r="J539" s="1264"/>
      <c r="K539" s="1245"/>
      <c r="L539" s="1245"/>
      <c r="M539" s="1246"/>
      <c r="N539" s="1245"/>
      <c r="O539" s="1245"/>
      <c r="P539" s="1245"/>
      <c r="Q539" s="1245"/>
      <c r="R539" s="1286" t="str">
        <f>IFERROR(R491/R$509,"")</f>
        <v/>
      </c>
      <c r="S539" s="1287" t="str">
        <f t="shared" ref="S539:AG539" si="981">IFERROR(S491/S$509,"")</f>
        <v/>
      </c>
      <c r="T539" s="1287" t="str">
        <f t="shared" si="981"/>
        <v/>
      </c>
      <c r="U539" s="1287" t="str">
        <f t="shared" si="981"/>
        <v/>
      </c>
      <c r="V539" s="1287" t="str">
        <f t="shared" si="981"/>
        <v/>
      </c>
      <c r="W539" s="1286" t="str">
        <f t="shared" si="981"/>
        <v/>
      </c>
      <c r="X539" s="1287" t="str">
        <f t="shared" si="981"/>
        <v/>
      </c>
      <c r="Y539" s="1287" t="str">
        <f t="shared" si="981"/>
        <v/>
      </c>
      <c r="Z539" s="1287" t="str">
        <f t="shared" si="981"/>
        <v/>
      </c>
      <c r="AA539" s="1287" t="str">
        <f t="shared" si="981"/>
        <v/>
      </c>
      <c r="AB539" s="1286" t="str">
        <f t="shared" si="981"/>
        <v/>
      </c>
      <c r="AC539" s="1287" t="str">
        <f t="shared" si="981"/>
        <v/>
      </c>
      <c r="AD539" s="1287" t="str">
        <f t="shared" si="981"/>
        <v/>
      </c>
      <c r="AE539" s="1287" t="str">
        <f t="shared" si="981"/>
        <v/>
      </c>
      <c r="AF539" s="1287" t="str">
        <f t="shared" si="981"/>
        <v/>
      </c>
      <c r="AG539" s="1288" t="str">
        <f t="shared" si="981"/>
        <v/>
      </c>
      <c r="AU539" s="1248"/>
    </row>
    <row r="540" spans="8:47">
      <c r="H540" s="1301"/>
      <c r="I540" s="1250" t="str">
        <f>I492</f>
        <v>Price cap - Fixed</v>
      </c>
      <c r="J540" s="1251"/>
      <c r="K540" s="828"/>
      <c r="L540" s="828"/>
      <c r="M540" s="829"/>
      <c r="N540" s="828"/>
      <c r="O540" s="828"/>
      <c r="P540" s="828"/>
      <c r="Q540" s="828"/>
      <c r="R540" s="1290" t="str">
        <f>IFERROR(R492/R$491,"")</f>
        <v/>
      </c>
      <c r="S540" s="1291" t="str">
        <f t="shared" ref="S540:AG540" si="982">IFERROR(S492/S$491,"")</f>
        <v/>
      </c>
      <c r="T540" s="1291" t="str">
        <f t="shared" si="982"/>
        <v/>
      </c>
      <c r="U540" s="1291" t="str">
        <f t="shared" si="982"/>
        <v/>
      </c>
      <c r="V540" s="1291" t="str">
        <f t="shared" si="982"/>
        <v/>
      </c>
      <c r="W540" s="1290" t="str">
        <f t="shared" si="982"/>
        <v/>
      </c>
      <c r="X540" s="1291" t="str">
        <f t="shared" si="982"/>
        <v/>
      </c>
      <c r="Y540" s="1291" t="str">
        <f t="shared" si="982"/>
        <v/>
      </c>
      <c r="Z540" s="1291" t="str">
        <f t="shared" si="982"/>
        <v/>
      </c>
      <c r="AA540" s="1291" t="str">
        <f t="shared" si="982"/>
        <v/>
      </c>
      <c r="AB540" s="1290" t="str">
        <f t="shared" si="982"/>
        <v/>
      </c>
      <c r="AC540" s="1291" t="str">
        <f t="shared" si="982"/>
        <v/>
      </c>
      <c r="AD540" s="1291" t="str">
        <f t="shared" si="982"/>
        <v/>
      </c>
      <c r="AE540" s="1291" t="str">
        <f t="shared" si="982"/>
        <v/>
      </c>
      <c r="AF540" s="1291" t="str">
        <f t="shared" si="982"/>
        <v/>
      </c>
      <c r="AG540" s="1292" t="str">
        <f t="shared" si="982"/>
        <v/>
      </c>
    </row>
    <row r="541" spans="8:47">
      <c r="H541" s="1301"/>
      <c r="I541" s="1250" t="str">
        <f>I493</f>
        <v xml:space="preserve">Price cap - Variable </v>
      </c>
      <c r="J541" s="1251"/>
      <c r="K541" s="828"/>
      <c r="L541" s="828"/>
      <c r="M541" s="829"/>
      <c r="N541" s="828"/>
      <c r="O541" s="828"/>
      <c r="P541" s="828"/>
      <c r="Q541" s="828"/>
      <c r="R541" s="1290" t="str">
        <f t="shared" ref="R541:AG543" si="983">IFERROR(R493/R$491,"")</f>
        <v/>
      </c>
      <c r="S541" s="1291" t="str">
        <f t="shared" si="983"/>
        <v/>
      </c>
      <c r="T541" s="1291" t="str">
        <f t="shared" si="983"/>
        <v/>
      </c>
      <c r="U541" s="1291" t="str">
        <f t="shared" si="983"/>
        <v/>
      </c>
      <c r="V541" s="1291" t="str">
        <f t="shared" si="983"/>
        <v/>
      </c>
      <c r="W541" s="1290" t="str">
        <f t="shared" si="983"/>
        <v/>
      </c>
      <c r="X541" s="1291" t="str">
        <f t="shared" si="983"/>
        <v/>
      </c>
      <c r="Y541" s="1291" t="str">
        <f t="shared" si="983"/>
        <v/>
      </c>
      <c r="Z541" s="1291" t="str">
        <f t="shared" si="983"/>
        <v/>
      </c>
      <c r="AA541" s="1291" t="str">
        <f t="shared" si="983"/>
        <v/>
      </c>
      <c r="AB541" s="1290" t="str">
        <f t="shared" si="983"/>
        <v/>
      </c>
      <c r="AC541" s="1291" t="str">
        <f t="shared" si="983"/>
        <v/>
      </c>
      <c r="AD541" s="1291" t="str">
        <f t="shared" si="983"/>
        <v/>
      </c>
      <c r="AE541" s="1291" t="str">
        <f t="shared" si="983"/>
        <v/>
      </c>
      <c r="AF541" s="1291" t="str">
        <f t="shared" si="983"/>
        <v/>
      </c>
      <c r="AG541" s="1292" t="str">
        <f t="shared" si="983"/>
        <v/>
      </c>
    </row>
    <row r="542" spans="8:47">
      <c r="H542" s="1301"/>
      <c r="I542" s="1250" t="str">
        <f>I494</f>
        <v xml:space="preserve">Revenue cap - Fixed </v>
      </c>
      <c r="J542" s="1251"/>
      <c r="K542" s="828"/>
      <c r="L542" s="828"/>
      <c r="M542" s="829"/>
      <c r="N542" s="828"/>
      <c r="O542" s="828"/>
      <c r="P542" s="828"/>
      <c r="Q542" s="828"/>
      <c r="R542" s="1290" t="str">
        <f t="shared" si="983"/>
        <v/>
      </c>
      <c r="S542" s="1291" t="str">
        <f t="shared" si="983"/>
        <v/>
      </c>
      <c r="T542" s="1291" t="str">
        <f t="shared" si="983"/>
        <v/>
      </c>
      <c r="U542" s="1291" t="str">
        <f t="shared" si="983"/>
        <v/>
      </c>
      <c r="V542" s="1291" t="str">
        <f t="shared" si="983"/>
        <v/>
      </c>
      <c r="W542" s="1290" t="str">
        <f t="shared" si="983"/>
        <v/>
      </c>
      <c r="X542" s="1291" t="str">
        <f t="shared" si="983"/>
        <v/>
      </c>
      <c r="Y542" s="1291" t="str">
        <f t="shared" si="983"/>
        <v/>
      </c>
      <c r="Z542" s="1291" t="str">
        <f t="shared" si="983"/>
        <v/>
      </c>
      <c r="AA542" s="1291" t="str">
        <f t="shared" si="983"/>
        <v/>
      </c>
      <c r="AB542" s="1290" t="str">
        <f t="shared" si="983"/>
        <v/>
      </c>
      <c r="AC542" s="1291" t="str">
        <f t="shared" si="983"/>
        <v/>
      </c>
      <c r="AD542" s="1291" t="str">
        <f t="shared" si="983"/>
        <v/>
      </c>
      <c r="AE542" s="1291" t="str">
        <f t="shared" si="983"/>
        <v/>
      </c>
      <c r="AF542" s="1291" t="str">
        <f t="shared" si="983"/>
        <v/>
      </c>
      <c r="AG542" s="1292" t="str">
        <f t="shared" si="983"/>
        <v/>
      </c>
    </row>
    <row r="543" spans="8:47">
      <c r="H543" s="1301"/>
      <c r="I543" s="1250" t="str">
        <f>I495</f>
        <v>Revenue cap - Variable</v>
      </c>
      <c r="J543" s="1251"/>
      <c r="K543" s="828"/>
      <c r="L543" s="828"/>
      <c r="M543" s="829"/>
      <c r="N543" s="828"/>
      <c r="O543" s="828"/>
      <c r="P543" s="828"/>
      <c r="Q543" s="828"/>
      <c r="R543" s="1290" t="str">
        <f t="shared" si="983"/>
        <v/>
      </c>
      <c r="S543" s="1291" t="str">
        <f t="shared" si="983"/>
        <v/>
      </c>
      <c r="T543" s="1291" t="str">
        <f t="shared" si="983"/>
        <v/>
      </c>
      <c r="U543" s="1291" t="str">
        <f t="shared" si="983"/>
        <v/>
      </c>
      <c r="V543" s="1291" t="str">
        <f t="shared" si="983"/>
        <v/>
      </c>
      <c r="W543" s="1290" t="str">
        <f t="shared" si="983"/>
        <v/>
      </c>
      <c r="X543" s="1291" t="str">
        <f t="shared" si="983"/>
        <v/>
      </c>
      <c r="Y543" s="1291" t="str">
        <f t="shared" si="983"/>
        <v/>
      </c>
      <c r="Z543" s="1291" t="str">
        <f t="shared" si="983"/>
        <v/>
      </c>
      <c r="AA543" s="1291" t="str">
        <f t="shared" si="983"/>
        <v/>
      </c>
      <c r="AB543" s="1290" t="str">
        <f t="shared" si="983"/>
        <v/>
      </c>
      <c r="AC543" s="1291" t="str">
        <f t="shared" si="983"/>
        <v/>
      </c>
      <c r="AD543" s="1291" t="str">
        <f t="shared" si="983"/>
        <v/>
      </c>
      <c r="AE543" s="1291" t="str">
        <f t="shared" si="983"/>
        <v/>
      </c>
      <c r="AF543" s="1291" t="str">
        <f t="shared" si="983"/>
        <v/>
      </c>
      <c r="AG543" s="1292" t="str">
        <f t="shared" si="983"/>
        <v/>
      </c>
    </row>
    <row r="544" spans="8:47" ht="4.5" customHeight="1">
      <c r="H544" s="1289"/>
      <c r="I544" s="1250"/>
      <c r="J544" s="1251"/>
      <c r="K544" s="828"/>
      <c r="L544" s="828"/>
      <c r="M544" s="829"/>
      <c r="N544" s="828"/>
      <c r="O544" s="828"/>
      <c r="P544" s="828"/>
      <c r="Q544" s="828"/>
      <c r="R544" s="1290"/>
      <c r="S544" s="1291"/>
      <c r="T544" s="1291"/>
      <c r="U544" s="1291"/>
      <c r="V544" s="1291"/>
      <c r="W544" s="1290"/>
      <c r="X544" s="1291"/>
      <c r="Y544" s="1291"/>
      <c r="Z544" s="1291"/>
      <c r="AA544" s="1291"/>
      <c r="AB544" s="1290"/>
      <c r="AC544" s="1291"/>
      <c r="AD544" s="1291"/>
      <c r="AE544" s="1291"/>
      <c r="AF544" s="1291"/>
      <c r="AG544" s="1292"/>
    </row>
    <row r="545" spans="8:47" s="84" customFormat="1">
      <c r="H545" s="1277"/>
      <c r="I545" s="1293" t="s">
        <v>689</v>
      </c>
      <c r="J545" s="1294"/>
      <c r="K545" s="1295" t="s">
        <v>841</v>
      </c>
      <c r="L545" s="1295" t="s">
        <v>841</v>
      </c>
      <c r="M545" s="1296" t="s">
        <v>841</v>
      </c>
      <c r="N545" s="1295" t="s">
        <v>841</v>
      </c>
      <c r="O545" s="1295" t="s">
        <v>841</v>
      </c>
      <c r="P545" s="1295" t="s">
        <v>841</v>
      </c>
      <c r="Q545" s="1295" t="s">
        <v>841</v>
      </c>
      <c r="R545" s="1297" t="str">
        <f>IFERROR(R540+R542,"")</f>
        <v/>
      </c>
      <c r="S545" s="1298" t="str">
        <f t="shared" ref="S545:AG546" si="984">IFERROR(S540+S542,"")</f>
        <v/>
      </c>
      <c r="T545" s="1298" t="str">
        <f t="shared" si="984"/>
        <v/>
      </c>
      <c r="U545" s="1298" t="str">
        <f t="shared" si="984"/>
        <v/>
      </c>
      <c r="V545" s="1298" t="str">
        <f t="shared" si="984"/>
        <v/>
      </c>
      <c r="W545" s="1297" t="str">
        <f t="shared" si="984"/>
        <v/>
      </c>
      <c r="X545" s="1298" t="str">
        <f t="shared" si="984"/>
        <v/>
      </c>
      <c r="Y545" s="1298" t="str">
        <f t="shared" si="984"/>
        <v/>
      </c>
      <c r="Z545" s="1298" t="str">
        <f t="shared" si="984"/>
        <v/>
      </c>
      <c r="AA545" s="1298" t="str">
        <f t="shared" si="984"/>
        <v/>
      </c>
      <c r="AB545" s="1297" t="str">
        <f t="shared" si="984"/>
        <v/>
      </c>
      <c r="AC545" s="1298" t="str">
        <f t="shared" si="984"/>
        <v/>
      </c>
      <c r="AD545" s="1298" t="str">
        <f t="shared" si="984"/>
        <v/>
      </c>
      <c r="AE545" s="1298" t="str">
        <f t="shared" si="984"/>
        <v/>
      </c>
      <c r="AF545" s="1298" t="str">
        <f t="shared" si="984"/>
        <v/>
      </c>
      <c r="AG545" s="1299" t="str">
        <f t="shared" si="984"/>
        <v/>
      </c>
      <c r="AU545" s="1300"/>
    </row>
    <row r="546" spans="8:47" s="84" customFormat="1">
      <c r="H546" s="1277"/>
      <c r="I546" s="1293" t="s">
        <v>693</v>
      </c>
      <c r="J546" s="1294"/>
      <c r="K546" s="1295" t="s">
        <v>841</v>
      </c>
      <c r="L546" s="1295" t="s">
        <v>841</v>
      </c>
      <c r="M546" s="1296" t="s">
        <v>841</v>
      </c>
      <c r="N546" s="1295" t="s">
        <v>841</v>
      </c>
      <c r="O546" s="1295" t="s">
        <v>841</v>
      </c>
      <c r="P546" s="1295" t="s">
        <v>841</v>
      </c>
      <c r="Q546" s="1295" t="s">
        <v>841</v>
      </c>
      <c r="R546" s="1297" t="str">
        <f>IFERROR(R541+R543,"")</f>
        <v/>
      </c>
      <c r="S546" s="1298" t="str">
        <f t="shared" si="984"/>
        <v/>
      </c>
      <c r="T546" s="1298" t="str">
        <f t="shared" si="984"/>
        <v/>
      </c>
      <c r="U546" s="1298" t="str">
        <f t="shared" si="984"/>
        <v/>
      </c>
      <c r="V546" s="1298" t="str">
        <f t="shared" si="984"/>
        <v/>
      </c>
      <c r="W546" s="1297" t="str">
        <f t="shared" si="984"/>
        <v/>
      </c>
      <c r="X546" s="1298" t="str">
        <f t="shared" si="984"/>
        <v/>
      </c>
      <c r="Y546" s="1298" t="str">
        <f t="shared" si="984"/>
        <v/>
      </c>
      <c r="Z546" s="1298" t="str">
        <f t="shared" si="984"/>
        <v/>
      </c>
      <c r="AA546" s="1298" t="str">
        <f t="shared" si="984"/>
        <v/>
      </c>
      <c r="AB546" s="1297" t="str">
        <f t="shared" si="984"/>
        <v/>
      </c>
      <c r="AC546" s="1298" t="str">
        <f t="shared" si="984"/>
        <v/>
      </c>
      <c r="AD546" s="1298" t="str">
        <f t="shared" si="984"/>
        <v/>
      </c>
      <c r="AE546" s="1298" t="str">
        <f t="shared" si="984"/>
        <v/>
      </c>
      <c r="AF546" s="1298" t="str">
        <f t="shared" si="984"/>
        <v/>
      </c>
      <c r="AG546" s="1299" t="str">
        <f t="shared" si="984"/>
        <v/>
      </c>
      <c r="AU546" s="1300"/>
    </row>
    <row r="547" spans="8:47" s="1253" customFormat="1">
      <c r="H547" s="1277"/>
      <c r="I547" s="1255"/>
      <c r="J547" s="1256"/>
      <c r="K547" s="1257"/>
      <c r="L547" s="1257"/>
      <c r="M547" s="1258"/>
      <c r="N547" s="1257"/>
      <c r="O547" s="1257"/>
      <c r="P547" s="1257"/>
      <c r="Q547" s="1257"/>
      <c r="R547" s="1259"/>
      <c r="S547" s="1260"/>
      <c r="T547" s="1260"/>
      <c r="U547" s="1260"/>
      <c r="V547" s="1260"/>
      <c r="W547" s="1259"/>
      <c r="X547" s="1260"/>
      <c r="Y547" s="1260"/>
      <c r="Z547" s="1260"/>
      <c r="AA547" s="1260"/>
      <c r="AB547" s="1259"/>
      <c r="AC547" s="1260"/>
      <c r="AD547" s="1260"/>
      <c r="AE547" s="1260"/>
      <c r="AF547" s="1260"/>
      <c r="AG547" s="1261"/>
      <c r="AU547" s="1262"/>
    </row>
    <row r="548" spans="8:47" s="104" customFormat="1">
      <c r="H548" s="1285"/>
      <c r="I548" s="1263" t="str">
        <f>I497</f>
        <v>Rural Water</v>
      </c>
      <c r="J548" s="1264"/>
      <c r="K548" s="1245"/>
      <c r="L548" s="1245"/>
      <c r="M548" s="1246"/>
      <c r="N548" s="1245"/>
      <c r="O548" s="1245"/>
      <c r="P548" s="1245"/>
      <c r="Q548" s="1245"/>
      <c r="R548" s="1286" t="str">
        <f>IFERROR(R497/R$509,"")</f>
        <v/>
      </c>
      <c r="S548" s="1287" t="str">
        <f t="shared" ref="S548:AG548" si="985">IFERROR(S497/S$509,"")</f>
        <v/>
      </c>
      <c r="T548" s="1287" t="str">
        <f t="shared" si="985"/>
        <v/>
      </c>
      <c r="U548" s="1287" t="str">
        <f t="shared" si="985"/>
        <v/>
      </c>
      <c r="V548" s="1287" t="str">
        <f t="shared" si="985"/>
        <v/>
      </c>
      <c r="W548" s="1286" t="str">
        <f t="shared" si="985"/>
        <v/>
      </c>
      <c r="X548" s="1287" t="str">
        <f t="shared" si="985"/>
        <v/>
      </c>
      <c r="Y548" s="1287" t="str">
        <f t="shared" si="985"/>
        <v/>
      </c>
      <c r="Z548" s="1287" t="str">
        <f t="shared" si="985"/>
        <v/>
      </c>
      <c r="AA548" s="1287" t="str">
        <f t="shared" si="985"/>
        <v/>
      </c>
      <c r="AB548" s="1286" t="str">
        <f t="shared" si="985"/>
        <v/>
      </c>
      <c r="AC548" s="1287" t="str">
        <f t="shared" si="985"/>
        <v/>
      </c>
      <c r="AD548" s="1287" t="str">
        <f t="shared" si="985"/>
        <v/>
      </c>
      <c r="AE548" s="1287" t="str">
        <f t="shared" si="985"/>
        <v/>
      </c>
      <c r="AF548" s="1287" t="str">
        <f t="shared" si="985"/>
        <v/>
      </c>
      <c r="AG548" s="1288" t="str">
        <f t="shared" si="985"/>
        <v/>
      </c>
      <c r="AU548" s="1248"/>
    </row>
    <row r="549" spans="8:47">
      <c r="H549" s="1301"/>
      <c r="I549" s="1250" t="str">
        <f>I498</f>
        <v>Price cap - Fixed</v>
      </c>
      <c r="J549" s="1251"/>
      <c r="K549" s="828"/>
      <c r="L549" s="828"/>
      <c r="M549" s="829"/>
      <c r="N549" s="828"/>
      <c r="O549" s="828"/>
      <c r="P549" s="828"/>
      <c r="Q549" s="828"/>
      <c r="R549" s="1290" t="str">
        <f>IFERROR(R498/R$497,"")</f>
        <v/>
      </c>
      <c r="S549" s="1291" t="str">
        <f t="shared" ref="S549:AG549" si="986">IFERROR(S498/S$497,"")</f>
        <v/>
      </c>
      <c r="T549" s="1291" t="str">
        <f t="shared" si="986"/>
        <v/>
      </c>
      <c r="U549" s="1291" t="str">
        <f t="shared" si="986"/>
        <v/>
      </c>
      <c r="V549" s="1291" t="str">
        <f t="shared" si="986"/>
        <v/>
      </c>
      <c r="W549" s="1290" t="str">
        <f t="shared" si="986"/>
        <v/>
      </c>
      <c r="X549" s="1291" t="str">
        <f t="shared" si="986"/>
        <v/>
      </c>
      <c r="Y549" s="1291" t="str">
        <f t="shared" si="986"/>
        <v/>
      </c>
      <c r="Z549" s="1291" t="str">
        <f t="shared" si="986"/>
        <v/>
      </c>
      <c r="AA549" s="1291" t="str">
        <f t="shared" si="986"/>
        <v/>
      </c>
      <c r="AB549" s="1290" t="str">
        <f t="shared" si="986"/>
        <v/>
      </c>
      <c r="AC549" s="1291" t="str">
        <f t="shared" si="986"/>
        <v/>
      </c>
      <c r="AD549" s="1291" t="str">
        <f t="shared" si="986"/>
        <v/>
      </c>
      <c r="AE549" s="1291" t="str">
        <f t="shared" si="986"/>
        <v/>
      </c>
      <c r="AF549" s="1291" t="str">
        <f t="shared" si="986"/>
        <v/>
      </c>
      <c r="AG549" s="1292" t="str">
        <f t="shared" si="986"/>
        <v/>
      </c>
    </row>
    <row r="550" spans="8:47">
      <c r="H550" s="1301"/>
      <c r="I550" s="1250" t="str">
        <f>I499</f>
        <v xml:space="preserve">Price cap - Variable </v>
      </c>
      <c r="J550" s="1251"/>
      <c r="K550" s="828"/>
      <c r="L550" s="828"/>
      <c r="M550" s="829"/>
      <c r="N550" s="828"/>
      <c r="O550" s="828"/>
      <c r="P550" s="828"/>
      <c r="Q550" s="828"/>
      <c r="R550" s="1290" t="str">
        <f t="shared" ref="R550:AG552" si="987">IFERROR(R499/R$497,"")</f>
        <v/>
      </c>
      <c r="S550" s="1291" t="str">
        <f t="shared" si="987"/>
        <v/>
      </c>
      <c r="T550" s="1291" t="str">
        <f t="shared" si="987"/>
        <v/>
      </c>
      <c r="U550" s="1291" t="str">
        <f t="shared" si="987"/>
        <v/>
      </c>
      <c r="V550" s="1291" t="str">
        <f t="shared" si="987"/>
        <v/>
      </c>
      <c r="W550" s="1290" t="str">
        <f t="shared" si="987"/>
        <v/>
      </c>
      <c r="X550" s="1291" t="str">
        <f t="shared" si="987"/>
        <v/>
      </c>
      <c r="Y550" s="1291" t="str">
        <f t="shared" si="987"/>
        <v/>
      </c>
      <c r="Z550" s="1291" t="str">
        <f t="shared" si="987"/>
        <v/>
      </c>
      <c r="AA550" s="1291" t="str">
        <f t="shared" si="987"/>
        <v/>
      </c>
      <c r="AB550" s="1290" t="str">
        <f t="shared" si="987"/>
        <v/>
      </c>
      <c r="AC550" s="1291" t="str">
        <f t="shared" si="987"/>
        <v/>
      </c>
      <c r="AD550" s="1291" t="str">
        <f t="shared" si="987"/>
        <v/>
      </c>
      <c r="AE550" s="1291" t="str">
        <f t="shared" si="987"/>
        <v/>
      </c>
      <c r="AF550" s="1291" t="str">
        <f t="shared" si="987"/>
        <v/>
      </c>
      <c r="AG550" s="1292" t="str">
        <f t="shared" si="987"/>
        <v/>
      </c>
    </row>
    <row r="551" spans="8:47">
      <c r="H551" s="1301"/>
      <c r="I551" s="1250" t="str">
        <f>I500</f>
        <v xml:space="preserve">Revenue cap - Fixed </v>
      </c>
      <c r="J551" s="1251"/>
      <c r="K551" s="828"/>
      <c r="L551" s="828"/>
      <c r="M551" s="829"/>
      <c r="N551" s="828"/>
      <c r="O551" s="828"/>
      <c r="P551" s="828"/>
      <c r="Q551" s="828"/>
      <c r="R551" s="1290" t="str">
        <f t="shared" si="987"/>
        <v/>
      </c>
      <c r="S551" s="1291" t="str">
        <f t="shared" si="987"/>
        <v/>
      </c>
      <c r="T551" s="1291" t="str">
        <f t="shared" si="987"/>
        <v/>
      </c>
      <c r="U551" s="1291" t="str">
        <f t="shared" si="987"/>
        <v/>
      </c>
      <c r="V551" s="1291" t="str">
        <f t="shared" si="987"/>
        <v/>
      </c>
      <c r="W551" s="1290" t="str">
        <f t="shared" si="987"/>
        <v/>
      </c>
      <c r="X551" s="1291" t="str">
        <f t="shared" si="987"/>
        <v/>
      </c>
      <c r="Y551" s="1291" t="str">
        <f t="shared" si="987"/>
        <v/>
      </c>
      <c r="Z551" s="1291" t="str">
        <f t="shared" si="987"/>
        <v/>
      </c>
      <c r="AA551" s="1291" t="str">
        <f t="shared" si="987"/>
        <v/>
      </c>
      <c r="AB551" s="1290" t="str">
        <f t="shared" si="987"/>
        <v/>
      </c>
      <c r="AC551" s="1291" t="str">
        <f t="shared" si="987"/>
        <v/>
      </c>
      <c r="AD551" s="1291" t="str">
        <f t="shared" si="987"/>
        <v/>
      </c>
      <c r="AE551" s="1291" t="str">
        <f t="shared" si="987"/>
        <v/>
      </c>
      <c r="AF551" s="1291" t="str">
        <f t="shared" si="987"/>
        <v/>
      </c>
      <c r="AG551" s="1292" t="str">
        <f t="shared" si="987"/>
        <v/>
      </c>
    </row>
    <row r="552" spans="8:47">
      <c r="H552" s="1301"/>
      <c r="I552" s="1250" t="str">
        <f>I501</f>
        <v>Revenue cap - Variable</v>
      </c>
      <c r="J552" s="1251"/>
      <c r="K552" s="828"/>
      <c r="L552" s="828"/>
      <c r="M552" s="829"/>
      <c r="N552" s="828"/>
      <c r="O552" s="828"/>
      <c r="P552" s="828"/>
      <c r="Q552" s="828"/>
      <c r="R552" s="1290" t="str">
        <f t="shared" si="987"/>
        <v/>
      </c>
      <c r="S552" s="1291" t="str">
        <f t="shared" si="987"/>
        <v/>
      </c>
      <c r="T552" s="1291" t="str">
        <f t="shared" si="987"/>
        <v/>
      </c>
      <c r="U552" s="1291" t="str">
        <f t="shared" si="987"/>
        <v/>
      </c>
      <c r="V552" s="1291" t="str">
        <f t="shared" si="987"/>
        <v/>
      </c>
      <c r="W552" s="1290" t="str">
        <f t="shared" si="987"/>
        <v/>
      </c>
      <c r="X552" s="1291" t="str">
        <f t="shared" si="987"/>
        <v/>
      </c>
      <c r="Y552" s="1291" t="str">
        <f t="shared" si="987"/>
        <v/>
      </c>
      <c r="Z552" s="1291" t="str">
        <f t="shared" si="987"/>
        <v/>
      </c>
      <c r="AA552" s="1291" t="str">
        <f t="shared" si="987"/>
        <v/>
      </c>
      <c r="AB552" s="1290" t="str">
        <f t="shared" si="987"/>
        <v/>
      </c>
      <c r="AC552" s="1291" t="str">
        <f t="shared" si="987"/>
        <v/>
      </c>
      <c r="AD552" s="1291" t="str">
        <f t="shared" si="987"/>
        <v/>
      </c>
      <c r="AE552" s="1291" t="str">
        <f t="shared" si="987"/>
        <v/>
      </c>
      <c r="AF552" s="1291" t="str">
        <f t="shared" si="987"/>
        <v/>
      </c>
      <c r="AG552" s="1292" t="str">
        <f t="shared" si="987"/>
        <v/>
      </c>
    </row>
    <row r="553" spans="8:47" ht="4.5" customHeight="1">
      <c r="H553" s="1289"/>
      <c r="I553" s="1250"/>
      <c r="J553" s="1251"/>
      <c r="K553" s="828"/>
      <c r="L553" s="828"/>
      <c r="M553" s="829"/>
      <c r="N553" s="828"/>
      <c r="O553" s="828"/>
      <c r="P553" s="828"/>
      <c r="Q553" s="828"/>
      <c r="R553" s="1290"/>
      <c r="S553" s="1291"/>
      <c r="T553" s="1291"/>
      <c r="U553" s="1291"/>
      <c r="V553" s="1291"/>
      <c r="W553" s="1290"/>
      <c r="X553" s="1291"/>
      <c r="Y553" s="1291"/>
      <c r="Z553" s="1291"/>
      <c r="AA553" s="1291"/>
      <c r="AB553" s="1290"/>
      <c r="AC553" s="1291"/>
      <c r="AD553" s="1291"/>
      <c r="AE553" s="1291"/>
      <c r="AF553" s="1291"/>
      <c r="AG553" s="1292"/>
    </row>
    <row r="554" spans="8:47" s="84" customFormat="1">
      <c r="H554" s="1277"/>
      <c r="I554" s="1293" t="s">
        <v>689</v>
      </c>
      <c r="J554" s="1294"/>
      <c r="K554" s="1295" t="s">
        <v>841</v>
      </c>
      <c r="L554" s="1295" t="s">
        <v>841</v>
      </c>
      <c r="M554" s="1296" t="s">
        <v>841</v>
      </c>
      <c r="N554" s="1295" t="s">
        <v>841</v>
      </c>
      <c r="O554" s="1295" t="s">
        <v>841</v>
      </c>
      <c r="P554" s="1295" t="s">
        <v>841</v>
      </c>
      <c r="Q554" s="1295" t="s">
        <v>841</v>
      </c>
      <c r="R554" s="1297" t="str">
        <f>IFERROR(R549+R551,"")</f>
        <v/>
      </c>
      <c r="S554" s="1298" t="str">
        <f t="shared" ref="S554:AG555" si="988">IFERROR(S549+S551,"")</f>
        <v/>
      </c>
      <c r="T554" s="1298" t="str">
        <f t="shared" si="988"/>
        <v/>
      </c>
      <c r="U554" s="1298" t="str">
        <f t="shared" si="988"/>
        <v/>
      </c>
      <c r="V554" s="1298" t="str">
        <f t="shared" si="988"/>
        <v/>
      </c>
      <c r="W554" s="1297" t="str">
        <f t="shared" si="988"/>
        <v/>
      </c>
      <c r="X554" s="1298" t="str">
        <f t="shared" si="988"/>
        <v/>
      </c>
      <c r="Y554" s="1298" t="str">
        <f t="shared" si="988"/>
        <v/>
      </c>
      <c r="Z554" s="1298" t="str">
        <f t="shared" si="988"/>
        <v/>
      </c>
      <c r="AA554" s="1298" t="str">
        <f t="shared" si="988"/>
        <v/>
      </c>
      <c r="AB554" s="1297" t="str">
        <f t="shared" si="988"/>
        <v/>
      </c>
      <c r="AC554" s="1298" t="str">
        <f t="shared" si="988"/>
        <v/>
      </c>
      <c r="AD554" s="1298" t="str">
        <f t="shared" si="988"/>
        <v/>
      </c>
      <c r="AE554" s="1298" t="str">
        <f t="shared" si="988"/>
        <v/>
      </c>
      <c r="AF554" s="1298" t="str">
        <f t="shared" si="988"/>
        <v/>
      </c>
      <c r="AG554" s="1299" t="str">
        <f t="shared" si="988"/>
        <v/>
      </c>
      <c r="AU554" s="1300"/>
    </row>
    <row r="555" spans="8:47" s="84" customFormat="1">
      <c r="H555" s="1277"/>
      <c r="I555" s="1293" t="s">
        <v>693</v>
      </c>
      <c r="J555" s="1294"/>
      <c r="K555" s="1295" t="s">
        <v>841</v>
      </c>
      <c r="L555" s="1295" t="s">
        <v>841</v>
      </c>
      <c r="M555" s="1296" t="s">
        <v>841</v>
      </c>
      <c r="N555" s="1295" t="s">
        <v>841</v>
      </c>
      <c r="O555" s="1295" t="s">
        <v>841</v>
      </c>
      <c r="P555" s="1295" t="s">
        <v>841</v>
      </c>
      <c r="Q555" s="1295" t="s">
        <v>841</v>
      </c>
      <c r="R555" s="1297" t="str">
        <f>IFERROR(R550+R552,"")</f>
        <v/>
      </c>
      <c r="S555" s="1298" t="str">
        <f t="shared" si="988"/>
        <v/>
      </c>
      <c r="T555" s="1298" t="str">
        <f t="shared" si="988"/>
        <v/>
      </c>
      <c r="U555" s="1298" t="str">
        <f t="shared" si="988"/>
        <v/>
      </c>
      <c r="V555" s="1298" t="str">
        <f t="shared" si="988"/>
        <v/>
      </c>
      <c r="W555" s="1297" t="str">
        <f t="shared" si="988"/>
        <v/>
      </c>
      <c r="X555" s="1298" t="str">
        <f t="shared" si="988"/>
        <v/>
      </c>
      <c r="Y555" s="1298" t="str">
        <f t="shared" si="988"/>
        <v/>
      </c>
      <c r="Z555" s="1298" t="str">
        <f t="shared" si="988"/>
        <v/>
      </c>
      <c r="AA555" s="1298" t="str">
        <f t="shared" si="988"/>
        <v/>
      </c>
      <c r="AB555" s="1297" t="str">
        <f t="shared" si="988"/>
        <v/>
      </c>
      <c r="AC555" s="1298" t="str">
        <f t="shared" si="988"/>
        <v/>
      </c>
      <c r="AD555" s="1298" t="str">
        <f t="shared" si="988"/>
        <v/>
      </c>
      <c r="AE555" s="1298" t="str">
        <f t="shared" si="988"/>
        <v/>
      </c>
      <c r="AF555" s="1298" t="str">
        <f t="shared" si="988"/>
        <v/>
      </c>
      <c r="AG555" s="1299" t="str">
        <f t="shared" si="988"/>
        <v/>
      </c>
      <c r="AU555" s="1300"/>
    </row>
    <row r="556" spans="8:47" s="1253" customFormat="1">
      <c r="H556" s="1277"/>
      <c r="I556" s="1255"/>
      <c r="J556" s="1256"/>
      <c r="K556" s="1257"/>
      <c r="L556" s="1257"/>
      <c r="M556" s="1258"/>
      <c r="N556" s="1257"/>
      <c r="O556" s="1257"/>
      <c r="P556" s="1257"/>
      <c r="Q556" s="1257"/>
      <c r="R556" s="1259"/>
      <c r="S556" s="1260"/>
      <c r="T556" s="1260"/>
      <c r="U556" s="1260"/>
      <c r="V556" s="1260"/>
      <c r="W556" s="1259"/>
      <c r="X556" s="1260"/>
      <c r="Y556" s="1260"/>
      <c r="Z556" s="1260"/>
      <c r="AA556" s="1260"/>
      <c r="AB556" s="1259"/>
      <c r="AC556" s="1260"/>
      <c r="AD556" s="1260"/>
      <c r="AE556" s="1260"/>
      <c r="AF556" s="1260"/>
      <c r="AG556" s="1261"/>
      <c r="AU556" s="1262"/>
    </row>
    <row r="557" spans="8:47" s="104" customFormat="1">
      <c r="H557" s="1285"/>
      <c r="I557" s="1263" t="str">
        <f>I503</f>
        <v>Bulk Water</v>
      </c>
      <c r="J557" s="1264"/>
      <c r="K557" s="1245">
        <f t="shared" ref="K557:Q557" si="989">+SUMIFS(K$69:K$444,$E$69:$E$444,$E$71,$I$69:$I$444,$I557)</f>
        <v>0</v>
      </c>
      <c r="L557" s="1245">
        <f t="shared" si="989"/>
        <v>0</v>
      </c>
      <c r="M557" s="1246">
        <f t="shared" si="989"/>
        <v>0</v>
      </c>
      <c r="N557" s="1245">
        <f t="shared" si="989"/>
        <v>0</v>
      </c>
      <c r="O557" s="1245">
        <f t="shared" si="989"/>
        <v>0</v>
      </c>
      <c r="P557" s="1245">
        <f t="shared" si="989"/>
        <v>0</v>
      </c>
      <c r="Q557" s="1245">
        <f t="shared" si="989"/>
        <v>0</v>
      </c>
      <c r="R557" s="1286" t="str">
        <f>IFERROR(R503/R$509,"")</f>
        <v/>
      </c>
      <c r="S557" s="1287" t="str">
        <f t="shared" ref="S557:AG557" si="990">IFERROR(S503/S$509,"")</f>
        <v/>
      </c>
      <c r="T557" s="1287" t="str">
        <f t="shared" si="990"/>
        <v/>
      </c>
      <c r="U557" s="1287" t="str">
        <f t="shared" si="990"/>
        <v/>
      </c>
      <c r="V557" s="1287" t="str">
        <f t="shared" si="990"/>
        <v/>
      </c>
      <c r="W557" s="1286" t="str">
        <f t="shared" si="990"/>
        <v/>
      </c>
      <c r="X557" s="1287" t="str">
        <f t="shared" si="990"/>
        <v/>
      </c>
      <c r="Y557" s="1287" t="str">
        <f t="shared" si="990"/>
        <v/>
      </c>
      <c r="Z557" s="1287" t="str">
        <f t="shared" si="990"/>
        <v/>
      </c>
      <c r="AA557" s="1287" t="str">
        <f t="shared" si="990"/>
        <v/>
      </c>
      <c r="AB557" s="1286" t="str">
        <f t="shared" si="990"/>
        <v/>
      </c>
      <c r="AC557" s="1287" t="str">
        <f t="shared" si="990"/>
        <v/>
      </c>
      <c r="AD557" s="1287" t="str">
        <f t="shared" si="990"/>
        <v/>
      </c>
      <c r="AE557" s="1287" t="str">
        <f t="shared" si="990"/>
        <v/>
      </c>
      <c r="AF557" s="1287" t="str">
        <f t="shared" si="990"/>
        <v/>
      </c>
      <c r="AG557" s="1288" t="str">
        <f t="shared" si="990"/>
        <v/>
      </c>
      <c r="AU557" s="1248"/>
    </row>
    <row r="558" spans="8:47">
      <c r="H558" s="1301"/>
      <c r="I558" s="1250" t="str">
        <f>I504</f>
        <v>Price cap - Fixed</v>
      </c>
      <c r="J558" s="1251"/>
      <c r="K558" s="828"/>
      <c r="L558" s="828"/>
      <c r="M558" s="829"/>
      <c r="N558" s="828"/>
      <c r="O558" s="828"/>
      <c r="P558" s="828"/>
      <c r="Q558" s="828"/>
      <c r="R558" s="1290" t="str">
        <f>IFERROR(R504/R$503,"")</f>
        <v/>
      </c>
      <c r="S558" s="1291" t="str">
        <f t="shared" ref="S558:AG558" si="991">IFERROR(S504/S$503,"")</f>
        <v/>
      </c>
      <c r="T558" s="1291" t="str">
        <f t="shared" si="991"/>
        <v/>
      </c>
      <c r="U558" s="1291" t="str">
        <f t="shared" si="991"/>
        <v/>
      </c>
      <c r="V558" s="1291" t="str">
        <f t="shared" si="991"/>
        <v/>
      </c>
      <c r="W558" s="1290" t="str">
        <f t="shared" si="991"/>
        <v/>
      </c>
      <c r="X558" s="1291" t="str">
        <f t="shared" si="991"/>
        <v/>
      </c>
      <c r="Y558" s="1291" t="str">
        <f t="shared" si="991"/>
        <v/>
      </c>
      <c r="Z558" s="1291" t="str">
        <f t="shared" si="991"/>
        <v/>
      </c>
      <c r="AA558" s="1291" t="str">
        <f t="shared" si="991"/>
        <v/>
      </c>
      <c r="AB558" s="1290" t="str">
        <f t="shared" si="991"/>
        <v/>
      </c>
      <c r="AC558" s="1291" t="str">
        <f t="shared" si="991"/>
        <v/>
      </c>
      <c r="AD558" s="1291" t="str">
        <f t="shared" si="991"/>
        <v/>
      </c>
      <c r="AE558" s="1291" t="str">
        <f t="shared" si="991"/>
        <v/>
      </c>
      <c r="AF558" s="1291" t="str">
        <f t="shared" si="991"/>
        <v/>
      </c>
      <c r="AG558" s="1292" t="str">
        <f t="shared" si="991"/>
        <v/>
      </c>
    </row>
    <row r="559" spans="8:47">
      <c r="H559" s="1301"/>
      <c r="I559" s="1250" t="str">
        <f>I505</f>
        <v xml:space="preserve">Price cap - Variable </v>
      </c>
      <c r="J559" s="1251"/>
      <c r="K559" s="828"/>
      <c r="L559" s="828"/>
      <c r="M559" s="829"/>
      <c r="N559" s="828"/>
      <c r="O559" s="828"/>
      <c r="P559" s="828"/>
      <c r="Q559" s="828"/>
      <c r="R559" s="1290" t="str">
        <f t="shared" ref="R559:AG561" si="992">IFERROR(R505/R$503,"")</f>
        <v/>
      </c>
      <c r="S559" s="1291" t="str">
        <f t="shared" si="992"/>
        <v/>
      </c>
      <c r="T559" s="1291" t="str">
        <f t="shared" si="992"/>
        <v/>
      </c>
      <c r="U559" s="1291" t="str">
        <f t="shared" si="992"/>
        <v/>
      </c>
      <c r="V559" s="1291" t="str">
        <f t="shared" si="992"/>
        <v/>
      </c>
      <c r="W559" s="1290" t="str">
        <f t="shared" si="992"/>
        <v/>
      </c>
      <c r="X559" s="1291" t="str">
        <f t="shared" si="992"/>
        <v/>
      </c>
      <c r="Y559" s="1291" t="str">
        <f t="shared" si="992"/>
        <v/>
      </c>
      <c r="Z559" s="1291" t="str">
        <f t="shared" si="992"/>
        <v/>
      </c>
      <c r="AA559" s="1291" t="str">
        <f t="shared" si="992"/>
        <v/>
      </c>
      <c r="AB559" s="1290" t="str">
        <f t="shared" si="992"/>
        <v/>
      </c>
      <c r="AC559" s="1291" t="str">
        <f t="shared" si="992"/>
        <v/>
      </c>
      <c r="AD559" s="1291" t="str">
        <f t="shared" si="992"/>
        <v/>
      </c>
      <c r="AE559" s="1291" t="str">
        <f t="shared" si="992"/>
        <v/>
      </c>
      <c r="AF559" s="1291" t="str">
        <f t="shared" si="992"/>
        <v/>
      </c>
      <c r="AG559" s="1292" t="str">
        <f t="shared" si="992"/>
        <v/>
      </c>
    </row>
    <row r="560" spans="8:47">
      <c r="H560" s="1301"/>
      <c r="I560" s="1250" t="str">
        <f>I506</f>
        <v xml:space="preserve">Revenue cap - Fixed </v>
      </c>
      <c r="J560" s="1251"/>
      <c r="K560" s="828"/>
      <c r="L560" s="828"/>
      <c r="M560" s="829"/>
      <c r="N560" s="828"/>
      <c r="O560" s="828"/>
      <c r="P560" s="828"/>
      <c r="Q560" s="828"/>
      <c r="R560" s="1290" t="str">
        <f t="shared" si="992"/>
        <v/>
      </c>
      <c r="S560" s="1291" t="str">
        <f t="shared" si="992"/>
        <v/>
      </c>
      <c r="T560" s="1291" t="str">
        <f t="shared" si="992"/>
        <v/>
      </c>
      <c r="U560" s="1291" t="str">
        <f t="shared" si="992"/>
        <v/>
      </c>
      <c r="V560" s="1291" t="str">
        <f t="shared" si="992"/>
        <v/>
      </c>
      <c r="W560" s="1290" t="str">
        <f t="shared" si="992"/>
        <v/>
      </c>
      <c r="X560" s="1291" t="str">
        <f t="shared" si="992"/>
        <v/>
      </c>
      <c r="Y560" s="1291" t="str">
        <f t="shared" si="992"/>
        <v/>
      </c>
      <c r="Z560" s="1291" t="str">
        <f t="shared" si="992"/>
        <v/>
      </c>
      <c r="AA560" s="1291" t="str">
        <f t="shared" si="992"/>
        <v/>
      </c>
      <c r="AB560" s="1290" t="str">
        <f t="shared" si="992"/>
        <v/>
      </c>
      <c r="AC560" s="1291" t="str">
        <f t="shared" si="992"/>
        <v/>
      </c>
      <c r="AD560" s="1291" t="str">
        <f t="shared" si="992"/>
        <v/>
      </c>
      <c r="AE560" s="1291" t="str">
        <f t="shared" si="992"/>
        <v/>
      </c>
      <c r="AF560" s="1291" t="str">
        <f t="shared" si="992"/>
        <v/>
      </c>
      <c r="AG560" s="1292" t="str">
        <f t="shared" si="992"/>
        <v/>
      </c>
    </row>
    <row r="561" spans="8:47">
      <c r="H561" s="1301"/>
      <c r="I561" s="1250" t="str">
        <f>I507</f>
        <v>Revenue cap - Variable</v>
      </c>
      <c r="J561" s="1251"/>
      <c r="K561" s="828"/>
      <c r="L561" s="828"/>
      <c r="M561" s="829"/>
      <c r="N561" s="828"/>
      <c r="O561" s="828"/>
      <c r="P561" s="828"/>
      <c r="Q561" s="828"/>
      <c r="R561" s="1290" t="str">
        <f t="shared" si="992"/>
        <v/>
      </c>
      <c r="S561" s="1291" t="str">
        <f t="shared" si="992"/>
        <v/>
      </c>
      <c r="T561" s="1291" t="str">
        <f t="shared" si="992"/>
        <v/>
      </c>
      <c r="U561" s="1291" t="str">
        <f t="shared" si="992"/>
        <v/>
      </c>
      <c r="V561" s="1291" t="str">
        <f t="shared" si="992"/>
        <v/>
      </c>
      <c r="W561" s="1290" t="str">
        <f t="shared" si="992"/>
        <v/>
      </c>
      <c r="X561" s="1291" t="str">
        <f t="shared" si="992"/>
        <v/>
      </c>
      <c r="Y561" s="1291" t="str">
        <f t="shared" si="992"/>
        <v/>
      </c>
      <c r="Z561" s="1291" t="str">
        <f t="shared" si="992"/>
        <v/>
      </c>
      <c r="AA561" s="1291" t="str">
        <f t="shared" si="992"/>
        <v/>
      </c>
      <c r="AB561" s="1290" t="str">
        <f t="shared" si="992"/>
        <v/>
      </c>
      <c r="AC561" s="1291" t="str">
        <f t="shared" si="992"/>
        <v/>
      </c>
      <c r="AD561" s="1291" t="str">
        <f t="shared" si="992"/>
        <v/>
      </c>
      <c r="AE561" s="1291" t="str">
        <f t="shared" si="992"/>
        <v/>
      </c>
      <c r="AF561" s="1291" t="str">
        <f t="shared" si="992"/>
        <v/>
      </c>
      <c r="AG561" s="1292" t="str">
        <f t="shared" si="992"/>
        <v/>
      </c>
    </row>
    <row r="562" spans="8:47" ht="4.5" customHeight="1">
      <c r="H562" s="1289"/>
      <c r="I562" s="1250"/>
      <c r="J562" s="1251"/>
      <c r="K562" s="828"/>
      <c r="L562" s="828"/>
      <c r="M562" s="829"/>
      <c r="N562" s="828"/>
      <c r="O562" s="828"/>
      <c r="P562" s="828"/>
      <c r="Q562" s="828"/>
      <c r="R562" s="1290"/>
      <c r="S562" s="1291"/>
      <c r="T562" s="1291"/>
      <c r="U562" s="1291"/>
      <c r="V562" s="1291"/>
      <c r="W562" s="1290"/>
      <c r="X562" s="1291"/>
      <c r="Y562" s="1291"/>
      <c r="Z562" s="1291"/>
      <c r="AA562" s="1291"/>
      <c r="AB562" s="1290"/>
      <c r="AC562" s="1291"/>
      <c r="AD562" s="1291"/>
      <c r="AE562" s="1291"/>
      <c r="AF562" s="1291"/>
      <c r="AG562" s="1292"/>
    </row>
    <row r="563" spans="8:47" s="84" customFormat="1">
      <c r="H563" s="1277"/>
      <c r="I563" s="1293" t="s">
        <v>689</v>
      </c>
      <c r="J563" s="1294"/>
      <c r="K563" s="1295" t="s">
        <v>841</v>
      </c>
      <c r="L563" s="1295" t="s">
        <v>841</v>
      </c>
      <c r="M563" s="1296" t="s">
        <v>841</v>
      </c>
      <c r="N563" s="1295" t="s">
        <v>841</v>
      </c>
      <c r="O563" s="1295" t="s">
        <v>841</v>
      </c>
      <c r="P563" s="1295" t="s">
        <v>841</v>
      </c>
      <c r="Q563" s="1295" t="s">
        <v>841</v>
      </c>
      <c r="R563" s="1297" t="str">
        <f>IFERROR(R558+R560,"")</f>
        <v/>
      </c>
      <c r="S563" s="1298" t="str">
        <f t="shared" ref="S563:AG564" si="993">IFERROR(S558+S560,"")</f>
        <v/>
      </c>
      <c r="T563" s="1298" t="str">
        <f t="shared" si="993"/>
        <v/>
      </c>
      <c r="U563" s="1298" t="str">
        <f t="shared" si="993"/>
        <v/>
      </c>
      <c r="V563" s="1298" t="str">
        <f t="shared" si="993"/>
        <v/>
      </c>
      <c r="W563" s="1297" t="str">
        <f t="shared" si="993"/>
        <v/>
      </c>
      <c r="X563" s="1298" t="str">
        <f t="shared" si="993"/>
        <v/>
      </c>
      <c r="Y563" s="1298" t="str">
        <f t="shared" si="993"/>
        <v/>
      </c>
      <c r="Z563" s="1298" t="str">
        <f t="shared" si="993"/>
        <v/>
      </c>
      <c r="AA563" s="1298" t="str">
        <f t="shared" si="993"/>
        <v/>
      </c>
      <c r="AB563" s="1297" t="str">
        <f t="shared" si="993"/>
        <v/>
      </c>
      <c r="AC563" s="1298" t="str">
        <f t="shared" si="993"/>
        <v/>
      </c>
      <c r="AD563" s="1298" t="str">
        <f t="shared" si="993"/>
        <v/>
      </c>
      <c r="AE563" s="1298" t="str">
        <f t="shared" si="993"/>
        <v/>
      </c>
      <c r="AF563" s="1298" t="str">
        <f t="shared" si="993"/>
        <v/>
      </c>
      <c r="AG563" s="1299" t="str">
        <f t="shared" si="993"/>
        <v/>
      </c>
      <c r="AU563" s="1300"/>
    </row>
    <row r="564" spans="8:47" s="84" customFormat="1">
      <c r="H564" s="1277"/>
      <c r="I564" s="1293" t="s">
        <v>693</v>
      </c>
      <c r="J564" s="1294"/>
      <c r="K564" s="1295" t="s">
        <v>841</v>
      </c>
      <c r="L564" s="1295" t="s">
        <v>841</v>
      </c>
      <c r="M564" s="1296" t="s">
        <v>841</v>
      </c>
      <c r="N564" s="1295" t="s">
        <v>841</v>
      </c>
      <c r="O564" s="1295" t="s">
        <v>841</v>
      </c>
      <c r="P564" s="1295" t="s">
        <v>841</v>
      </c>
      <c r="Q564" s="1295" t="s">
        <v>841</v>
      </c>
      <c r="R564" s="1297" t="str">
        <f>IFERROR(R559+R561,"")</f>
        <v/>
      </c>
      <c r="S564" s="1298" t="str">
        <f t="shared" si="993"/>
        <v/>
      </c>
      <c r="T564" s="1298" t="str">
        <f t="shared" si="993"/>
        <v/>
      </c>
      <c r="U564" s="1298" t="str">
        <f t="shared" si="993"/>
        <v/>
      </c>
      <c r="V564" s="1298" t="str">
        <f t="shared" si="993"/>
        <v/>
      </c>
      <c r="W564" s="1297" t="str">
        <f t="shared" si="993"/>
        <v/>
      </c>
      <c r="X564" s="1298" t="str">
        <f t="shared" si="993"/>
        <v/>
      </c>
      <c r="Y564" s="1298" t="str">
        <f t="shared" si="993"/>
        <v/>
      </c>
      <c r="Z564" s="1298" t="str">
        <f t="shared" si="993"/>
        <v/>
      </c>
      <c r="AA564" s="1298" t="str">
        <f t="shared" si="993"/>
        <v/>
      </c>
      <c r="AB564" s="1297" t="str">
        <f t="shared" si="993"/>
        <v/>
      </c>
      <c r="AC564" s="1298" t="str">
        <f t="shared" si="993"/>
        <v/>
      </c>
      <c r="AD564" s="1298" t="str">
        <f t="shared" si="993"/>
        <v/>
      </c>
      <c r="AE564" s="1298" t="str">
        <f t="shared" si="993"/>
        <v/>
      </c>
      <c r="AF564" s="1298" t="str">
        <f t="shared" si="993"/>
        <v/>
      </c>
      <c r="AG564" s="1299" t="str">
        <f t="shared" si="993"/>
        <v/>
      </c>
      <c r="AU564" s="1300"/>
    </row>
    <row r="565" spans="8:47" s="1253" customFormat="1" ht="12.75" thickBot="1">
      <c r="H565" s="1277"/>
      <c r="I565" s="1302"/>
      <c r="J565" s="1303"/>
      <c r="K565" s="1304"/>
      <c r="L565" s="1304"/>
      <c r="M565" s="1305"/>
      <c r="N565" s="1304"/>
      <c r="O565" s="1304"/>
      <c r="P565" s="1304"/>
      <c r="Q565" s="1304"/>
      <c r="R565" s="1306"/>
      <c r="S565" s="1307"/>
      <c r="T565" s="1307"/>
      <c r="U565" s="1307"/>
      <c r="V565" s="1307"/>
      <c r="W565" s="1306"/>
      <c r="X565" s="1307"/>
      <c r="Y565" s="1307"/>
      <c r="Z565" s="1307"/>
      <c r="AA565" s="1307"/>
      <c r="AB565" s="1306"/>
      <c r="AC565" s="1307"/>
      <c r="AD565" s="1307"/>
      <c r="AE565" s="1307"/>
      <c r="AF565" s="1307"/>
      <c r="AG565" s="1308"/>
      <c r="AU565" s="1262"/>
    </row>
  </sheetData>
  <sheetProtection algorithmName="SHA-512" hashValue="BHYOrmtGQaTYwbPw25e52P+D1fqx7Y5kT3JQeYWz5+0gWxCcZeQT9TDh8ka39v6/WlzeC0wSgJVkRvjN2iefiA==" saltValue="C9NFhJFx6NZQNT8rCObc2Q==" spinCount="100000" sheet="1" objects="1" scenarios="1"/>
  <autoFilter ref="D68:AG443" xr:uid="{00000000-0001-0000-0C00-000000000000}"/>
  <mergeCells count="34">
    <mergeCell ref="DN67:DQ67"/>
    <mergeCell ref="CI67:CM67"/>
    <mergeCell ref="CN67:CR67"/>
    <mergeCell ref="CW67:CZ67"/>
    <mergeCell ref="DA67:DE67"/>
    <mergeCell ref="DJ67:DM67"/>
    <mergeCell ref="CW65:DE66"/>
    <mergeCell ref="DJ65:DQ66"/>
    <mergeCell ref="AZ66:BF66"/>
    <mergeCell ref="BG66:BQ66"/>
    <mergeCell ref="CA66:CG66"/>
    <mergeCell ref="CH66:CR66"/>
    <mergeCell ref="I472:AG472"/>
    <mergeCell ref="AZ54:BQ54"/>
    <mergeCell ref="CA54:CR54"/>
    <mergeCell ref="AZ55:BG55"/>
    <mergeCell ref="BH55:BL55"/>
    <mergeCell ref="BM55:BQ55"/>
    <mergeCell ref="CA55:CH55"/>
    <mergeCell ref="CI55:CM55"/>
    <mergeCell ref="CN55:CR55"/>
    <mergeCell ref="AZ65:BQ65"/>
    <mergeCell ref="BS65:BV66"/>
    <mergeCell ref="CA65:CR65"/>
    <mergeCell ref="AZ67:BG67"/>
    <mergeCell ref="BH67:BL67"/>
    <mergeCell ref="BM67:BQ67"/>
    <mergeCell ref="CA67:CH67"/>
    <mergeCell ref="AO67:AS67"/>
    <mergeCell ref="C3:G3"/>
    <mergeCell ref="Y34:AA34"/>
    <mergeCell ref="AD34:AF34"/>
    <mergeCell ref="S29:W29"/>
    <mergeCell ref="H34:I34"/>
  </mergeCells>
  <phoneticPr fontId="0" type="noConversion"/>
  <conditionalFormatting sqref="H34:I34 Y34">
    <cfRule type="expression" dxfId="45" priority="21" stopIfTrue="1">
      <formula>H34="PRICE CONTROL OK"</formula>
    </cfRule>
    <cfRule type="expression" dxfId="44" priority="22" stopIfTrue="1">
      <formula>H34="BREACH"</formula>
    </cfRule>
    <cfRule type="expression" dxfId="43" priority="23" stopIfTrue="1">
      <formula>H34="INSUFFICIENT REVENUE"</formula>
    </cfRule>
  </conditionalFormatting>
  <conditionalFormatting sqref="L34 N34">
    <cfRule type="cellIs" dxfId="42" priority="24" stopIfTrue="1" operator="equal">
      <formula>"pass"</formula>
    </cfRule>
    <cfRule type="cellIs" dxfId="41" priority="25" stopIfTrue="1" operator="equal">
      <formula>"fail"</formula>
    </cfRule>
  </conditionalFormatting>
  <conditionalFormatting sqref="O458:AG458">
    <cfRule type="cellIs" dxfId="40" priority="1" operator="equal">
      <formula>0</formula>
    </cfRule>
    <cfRule type="containsText" dxfId="39" priority="2" operator="containsText" text="1">
      <formula>NOT(ISERROR(SEARCH("1",O458)))</formula>
    </cfRule>
  </conditionalFormatting>
  <conditionalFormatting sqref="X62:AG62">
    <cfRule type="containsText" dxfId="38" priority="17" stopIfTrue="1" operator="containsText" text="CHECK">
      <formula>NOT(ISERROR(SEARCH("CHECK",X62)))</formula>
    </cfRule>
  </conditionalFormatting>
  <conditionalFormatting sqref="AD34">
    <cfRule type="expression" dxfId="37" priority="18" stopIfTrue="1">
      <formula>AD34="PRICE CONTROL OK"</formula>
    </cfRule>
    <cfRule type="expression" dxfId="36" priority="19" stopIfTrue="1">
      <formula>AD34="BREACH"</formula>
    </cfRule>
    <cfRule type="expression" dxfId="35" priority="20" stopIfTrue="1">
      <formula>AD34="INSUFFICIENT REVENUE"</formula>
    </cfRule>
  </conditionalFormatting>
  <conditionalFormatting sqref="AY34">
    <cfRule type="expression" dxfId="34" priority="14" stopIfTrue="1">
      <formula>AY34="PRICE CONTROL OK"</formula>
    </cfRule>
    <cfRule type="expression" dxfId="33" priority="15" stopIfTrue="1">
      <formula>AY34="BREACH"</formula>
    </cfRule>
    <cfRule type="expression" dxfId="32" priority="16" stopIfTrue="1">
      <formula>AY34="INSUFFICIENT"</formula>
    </cfRule>
  </conditionalFormatting>
  <conditionalFormatting sqref="BZ34">
    <cfRule type="expression" dxfId="31" priority="5" stopIfTrue="1">
      <formula>BZ34="PRICE CONTROL OK"</formula>
    </cfRule>
    <cfRule type="expression" dxfId="30" priority="6" stopIfTrue="1">
      <formula>BZ34="BREACH"</formula>
    </cfRule>
    <cfRule type="expression" dxfId="29" priority="7" stopIfTrue="1">
      <formula>BZ34="INSUFFICIENT"</formula>
    </cfRule>
  </conditionalFormatting>
  <conditionalFormatting sqref="CV34">
    <cfRule type="expression" dxfId="28" priority="11" stopIfTrue="1">
      <formula>CV34="PRICE CONTROL OK"</formula>
    </cfRule>
    <cfRule type="expression" dxfId="27" priority="12" stopIfTrue="1">
      <formula>CV34="BREACH"</formula>
    </cfRule>
    <cfRule type="expression" dxfId="26" priority="13" stopIfTrue="1">
      <formula>CV34="INSUFFICIENT"</formula>
    </cfRule>
  </conditionalFormatting>
  <conditionalFormatting sqref="DI34">
    <cfRule type="expression" dxfId="25" priority="8" stopIfTrue="1">
      <formula>DI34="PRICE CONTROL OK"</formula>
    </cfRule>
    <cfRule type="expression" dxfId="24" priority="9" stopIfTrue="1">
      <formula>DI34="BREACH"</formula>
    </cfRule>
    <cfRule type="expression" dxfId="23" priority="10" stopIfTrue="1">
      <formula>DI34="INSUFFICIENT"</formula>
    </cfRule>
  </conditionalFormatting>
  <dataValidations count="3">
    <dataValidation type="list" allowBlank="1" showInputMessage="1" showErrorMessage="1" sqref="J70 J79 J82 J73 J76 J85 J100 J115 J130 J145 J160 J175 J190 J205 J220 J235 J250 J265 J280 J295 J310 J325 J340 J355 J370 J385 J400 J415 J430 J94 J109 J124 J139 J154 J169 J184 J199 J214 J229 J244 J259 J274 J289 J304 J319 J334 J349 J364 J379 J394 J409 J424 J439 J97 J112 J127 J142 J157 J172 J187 J202 J217 J232 J247 J262 J277 J292 J307 J322 J337 J352 J367 J382 J397 J412 J427 J442 J88 J103 J118 J133 J148 J163 J178 J193 J208 J223 J238 J253 J268 J283 J298 J313 J328 J343 J358 J373 J388 J403 J418 J433 J91 J106 J121 J136 J151 J166 J181 J196 J211 J226 J241 J256 J271 J286 J301 J316 J331 J346 J361 J376 J391 J406 J421 J436" xr:uid="{00000000-0002-0000-0C00-000000000000}">
      <formula1>Pricing_Unit</formula1>
    </dataValidation>
    <dataValidation type="list" allowBlank="1" showInputMessage="1" showErrorMessage="1" sqref="I72 I441 I75 I78 I81 I84 I438 I87 I90 I93 I96 I99 I102 I105 I108 I111 I114 I117 I120 I123 I126 I129 I132 I135 I138 I141 I144 I147 I150 I153 I156 I159 I162 I165 I168 I171 I174 I177 I180 I183 I186 I189 I192 I195 I198 I201 I204 I207 I210 I213 I216 I219 I222 I225 I228 I231 I234 I237 I240 I243 I246 I249 I252 I255 I258 I261 I264 I267 I270 I273 I276 I279 I282 I285 I288 I291 I294 I297 I300 I303 I306 I309 I312 I315 I318 I321 I324 I327 I330 I333 I336 I339 I342 I345 I348 I351 I354 I357 I360 I363 I366 I369 I372 I375 I378 I381 I384 I387 I390 I393 I396 I399 I402 I405 I408 I411 I414 I417 I420 I423 I426 I429 I432 I435 I69" xr:uid="{00000000-0002-0000-0C00-000001000000}">
      <formula1>Hybrid_Price</formula1>
    </dataValidation>
    <dataValidation type="list" allowBlank="1" showInputMessage="1" showErrorMessage="1" sqref="F69 F72 F75 F78 F81 F84 F87 F90 F93 F96 F99 F102 F105 F108 F111 F114 F117 F120 F123 F126 F129 F132 F135 F138 F141 F144 F147 F150 F153 F156 F159 F162 F165 F168 F171 F174 F177 F180 F183 F186 F189 F192 F195 F198 F201 F204 F207 F210 F213 F216 F219 F222 F225 F228 F231 F234 F237 F240 F243 F246 F249 F252 F255 F258 F261 F264 F267 F270 F273 F276 F279 F282 F285 F288 F291 F294 F297 F300 F303 F306 F309 F312 F315 F318 F321 F324 F327 F330 F333 F336 F339 F342 F345 F348 F351 F354 F357 F360 F363 F366 F369 F372 F375 F378 F381 F384 F387 F390 F393 F396 F399 F402 F405 F408 F411 F414 F417 F420 F423 F426 F429 F432 F435 F438 F441" xr:uid="{00000000-0002-0000-0C00-000002000000}">
      <formula1>Price_Asset_Class</formula1>
    </dataValidation>
  </dataValidations>
  <hyperlinks>
    <hyperlink ref="C3" location="HL_Home" tooltip="Go to Table of Contents" display="HL_Home" xr:uid="{00000000-0004-0000-0C00-000000000000}"/>
  </hyperlinks>
  <pageMargins left="0.39370078740157499" right="0.39370078740157499" top="0.59055118110236249" bottom="0.98425196850393748" header="0" footer="0.31496062992125973"/>
  <pageSetup paperSize="9" scale="68" orientation="landscape" r:id="rId1"/>
  <headerFooter alignWithMargins="0">
    <oddHeader>&amp;C&amp;"Calibri"&amp;12&amp;KFF0000 OFFICIAL&amp;1#_x000D_&amp;"Arial"&amp;8&amp;K000000&amp;B&amp;"Arial"&amp;12&amp;Kff0000​‌OFFICIAL‌​</oddHeader>
    <oddFooter>&amp;C&amp;"Arial,Bold"&amp;8Sheet l.
Page &amp;P of &amp;N&amp;L&amp;"Arial,Bold"&amp;7&amp;F
&amp;A
Printed: &amp;T on &amp;D</oddFooter>
  </headerFooter>
  <extLst>
    <ext xmlns:x14="http://schemas.microsoft.com/office/spreadsheetml/2009/9/main" uri="{05C60535-1F16-4fd2-B633-F4F36F0B64E0}">
      <x14:sparklineGroups xmlns:xm="http://schemas.microsoft.com/office/excel/2006/main">
        <x14:sparklineGroup manualMax="0" manualMin="0" displayEmptyCellsAs="gap" xr2:uid="{00000000-0003-0000-0C00-000004000000}">
          <x14:colorSeries theme="5" tint="-0.499984740745262"/>
          <x14:colorNegative theme="6"/>
          <x14:colorAxis rgb="FF000000"/>
          <x14:colorMarkers theme="5" tint="-0.499984740745262"/>
          <x14:colorFirst theme="5" tint="0.39997558519241921"/>
          <x14:colorLast theme="5" tint="0.39997558519241921"/>
          <x14:colorHigh theme="5"/>
          <x14:colorLow theme="5"/>
          <x14:sparklines>
            <x14:sparkline>
              <xm:f>RevenueTariffBasket_FO!AZ69:BQ69</xm:f>
              <xm:sqref>BV69</xm:sqref>
            </x14:sparkline>
            <x14:sparkline>
              <xm:f>RevenueTariffBasket_FO!AZ70:BQ70</xm:f>
              <xm:sqref>BV70</xm:sqref>
            </x14:sparkline>
            <x14:sparkline>
              <xm:f>RevenueTariffBasket_FO!AZ71:BQ71</xm:f>
              <xm:sqref>BV71</xm:sqref>
            </x14:sparkline>
            <x14:sparkline>
              <xm:f>RevenueTariffBasket_FO!AZ72:BQ72</xm:f>
              <xm:sqref>BV72</xm:sqref>
            </x14:sparkline>
            <x14:sparkline>
              <xm:f>RevenueTariffBasket_FO!AZ73:BQ73</xm:f>
              <xm:sqref>BV73</xm:sqref>
            </x14:sparkline>
            <x14:sparkline>
              <xm:f>RevenueTariffBasket_FO!AZ74:BQ74</xm:f>
              <xm:sqref>BV74</xm:sqref>
            </x14:sparkline>
            <x14:sparkline>
              <xm:f>RevenueTariffBasket_FO!AZ75:BQ75</xm:f>
              <xm:sqref>BV75</xm:sqref>
            </x14:sparkline>
            <x14:sparkline>
              <xm:f>RevenueTariffBasket_FO!AZ76:BQ76</xm:f>
              <xm:sqref>BV76</xm:sqref>
            </x14:sparkline>
            <x14:sparkline>
              <xm:f>RevenueTariffBasket_FO!AZ77:BQ77</xm:f>
              <xm:sqref>BV77</xm:sqref>
            </x14:sparkline>
            <x14:sparkline>
              <xm:f>RevenueTariffBasket_FO!AZ78:BQ78</xm:f>
              <xm:sqref>BV78</xm:sqref>
            </x14:sparkline>
            <x14:sparkline>
              <xm:f>RevenueTariffBasket_FO!AZ79:BQ79</xm:f>
              <xm:sqref>BV79</xm:sqref>
            </x14:sparkline>
            <x14:sparkline>
              <xm:f>RevenueTariffBasket_FO!AZ80:BQ80</xm:f>
              <xm:sqref>BV80</xm:sqref>
            </x14:sparkline>
            <x14:sparkline>
              <xm:f>RevenueTariffBasket_FO!AZ81:BQ81</xm:f>
              <xm:sqref>BV81</xm:sqref>
            </x14:sparkline>
            <x14:sparkline>
              <xm:f>RevenueTariffBasket_FO!AZ82:BQ82</xm:f>
              <xm:sqref>BV82</xm:sqref>
            </x14:sparkline>
            <x14:sparkline>
              <xm:f>RevenueTariffBasket_FO!AZ83:BQ83</xm:f>
              <xm:sqref>BV83</xm:sqref>
            </x14:sparkline>
            <x14:sparkline>
              <xm:f>RevenueTariffBasket_FO!AZ84:BQ84</xm:f>
              <xm:sqref>BV84</xm:sqref>
            </x14:sparkline>
            <x14:sparkline>
              <xm:f>RevenueTariffBasket_FO!AZ85:BQ85</xm:f>
              <xm:sqref>BV85</xm:sqref>
            </x14:sparkline>
            <x14:sparkline>
              <xm:f>RevenueTariffBasket_FO!AZ86:BQ86</xm:f>
              <xm:sqref>BV86</xm:sqref>
            </x14:sparkline>
            <x14:sparkline>
              <xm:f>RevenueTariffBasket_FO!AZ87:BQ87</xm:f>
              <xm:sqref>BV87</xm:sqref>
            </x14:sparkline>
            <x14:sparkline>
              <xm:f>RevenueTariffBasket_FO!AZ88:BQ88</xm:f>
              <xm:sqref>BV88</xm:sqref>
            </x14:sparkline>
            <x14:sparkline>
              <xm:f>RevenueTariffBasket_FO!AZ89:BQ89</xm:f>
              <xm:sqref>BV89</xm:sqref>
            </x14:sparkline>
            <x14:sparkline>
              <xm:f>RevenueTariffBasket_FO!AZ90:BQ90</xm:f>
              <xm:sqref>BV90</xm:sqref>
            </x14:sparkline>
            <x14:sparkline>
              <xm:f>RevenueTariffBasket_FO!AZ91:BQ91</xm:f>
              <xm:sqref>BV91</xm:sqref>
            </x14:sparkline>
            <x14:sparkline>
              <xm:f>RevenueTariffBasket_FO!AZ92:BQ92</xm:f>
              <xm:sqref>BV92</xm:sqref>
            </x14:sparkline>
            <x14:sparkline>
              <xm:f>RevenueTariffBasket_FO!AZ93:BQ93</xm:f>
              <xm:sqref>BV93</xm:sqref>
            </x14:sparkline>
            <x14:sparkline>
              <xm:f>RevenueTariffBasket_FO!AZ94:BQ94</xm:f>
              <xm:sqref>BV94</xm:sqref>
            </x14:sparkline>
            <x14:sparkline>
              <xm:f>RevenueTariffBasket_FO!AZ95:BQ95</xm:f>
              <xm:sqref>BV95</xm:sqref>
            </x14:sparkline>
            <x14:sparkline>
              <xm:f>RevenueTariffBasket_FO!AZ96:BQ96</xm:f>
              <xm:sqref>BV96</xm:sqref>
            </x14:sparkline>
            <x14:sparkline>
              <xm:f>RevenueTariffBasket_FO!AZ97:BQ97</xm:f>
              <xm:sqref>BV97</xm:sqref>
            </x14:sparkline>
            <x14:sparkline>
              <xm:f>RevenueTariffBasket_FO!AZ98:BQ98</xm:f>
              <xm:sqref>BV98</xm:sqref>
            </x14:sparkline>
            <x14:sparkline>
              <xm:f>RevenueTariffBasket_FO!AZ99:BQ99</xm:f>
              <xm:sqref>BV99</xm:sqref>
            </x14:sparkline>
            <x14:sparkline>
              <xm:f>RevenueTariffBasket_FO!AZ100:BQ100</xm:f>
              <xm:sqref>BV100</xm:sqref>
            </x14:sparkline>
            <x14:sparkline>
              <xm:f>RevenueTariffBasket_FO!AZ101:BQ101</xm:f>
              <xm:sqref>BV101</xm:sqref>
            </x14:sparkline>
            <x14:sparkline>
              <xm:f>RevenueTariffBasket_FO!AZ102:BQ102</xm:f>
              <xm:sqref>BV102</xm:sqref>
            </x14:sparkline>
            <x14:sparkline>
              <xm:f>RevenueTariffBasket_FO!AZ103:BQ103</xm:f>
              <xm:sqref>BV103</xm:sqref>
            </x14:sparkline>
            <x14:sparkline>
              <xm:f>RevenueTariffBasket_FO!AZ104:BQ104</xm:f>
              <xm:sqref>BV104</xm:sqref>
            </x14:sparkline>
            <x14:sparkline>
              <xm:f>RevenueTariffBasket_FO!AZ105:BQ105</xm:f>
              <xm:sqref>BV105</xm:sqref>
            </x14:sparkline>
            <x14:sparkline>
              <xm:f>RevenueTariffBasket_FO!AZ106:BQ106</xm:f>
              <xm:sqref>BV106</xm:sqref>
            </x14:sparkline>
            <x14:sparkline>
              <xm:f>RevenueTariffBasket_FO!AZ107:BQ107</xm:f>
              <xm:sqref>BV107</xm:sqref>
            </x14:sparkline>
            <x14:sparkline>
              <xm:f>RevenueTariffBasket_FO!AZ108:BQ108</xm:f>
              <xm:sqref>BV108</xm:sqref>
            </x14:sparkline>
            <x14:sparkline>
              <xm:f>RevenueTariffBasket_FO!AZ109:BQ109</xm:f>
              <xm:sqref>BV109</xm:sqref>
            </x14:sparkline>
            <x14:sparkline>
              <xm:f>RevenueTariffBasket_FO!AZ110:BQ110</xm:f>
              <xm:sqref>BV110</xm:sqref>
            </x14:sparkline>
            <x14:sparkline>
              <xm:f>RevenueTariffBasket_FO!AZ111:BQ111</xm:f>
              <xm:sqref>BV111</xm:sqref>
            </x14:sparkline>
            <x14:sparkline>
              <xm:f>RevenueTariffBasket_FO!AZ112:BQ112</xm:f>
              <xm:sqref>BV112</xm:sqref>
            </x14:sparkline>
            <x14:sparkline>
              <xm:f>RevenueTariffBasket_FO!AZ113:BQ113</xm:f>
              <xm:sqref>BV113</xm:sqref>
            </x14:sparkline>
            <x14:sparkline>
              <xm:f>RevenueTariffBasket_FO!AZ114:BQ114</xm:f>
              <xm:sqref>BV114</xm:sqref>
            </x14:sparkline>
            <x14:sparkline>
              <xm:f>RevenueTariffBasket_FO!AZ115:BQ115</xm:f>
              <xm:sqref>BV115</xm:sqref>
            </x14:sparkline>
            <x14:sparkline>
              <xm:f>RevenueTariffBasket_FO!AZ116:BQ116</xm:f>
              <xm:sqref>BV116</xm:sqref>
            </x14:sparkline>
            <x14:sparkline>
              <xm:f>RevenueTariffBasket_FO!AZ117:BQ117</xm:f>
              <xm:sqref>BV117</xm:sqref>
            </x14:sparkline>
            <x14:sparkline>
              <xm:f>RevenueTariffBasket_FO!AZ118:BQ118</xm:f>
              <xm:sqref>BV118</xm:sqref>
            </x14:sparkline>
            <x14:sparkline>
              <xm:f>RevenueTariffBasket_FO!AZ119:BQ119</xm:f>
              <xm:sqref>BV119</xm:sqref>
            </x14:sparkline>
            <x14:sparkline>
              <xm:f>RevenueTariffBasket_FO!AZ120:BQ120</xm:f>
              <xm:sqref>BV120</xm:sqref>
            </x14:sparkline>
            <x14:sparkline>
              <xm:f>RevenueTariffBasket_FO!AZ121:BQ121</xm:f>
              <xm:sqref>BV121</xm:sqref>
            </x14:sparkline>
            <x14:sparkline>
              <xm:f>RevenueTariffBasket_FO!AZ122:BQ122</xm:f>
              <xm:sqref>BV122</xm:sqref>
            </x14:sparkline>
            <x14:sparkline>
              <xm:f>RevenueTariffBasket_FO!AZ123:BQ123</xm:f>
              <xm:sqref>BV123</xm:sqref>
            </x14:sparkline>
            <x14:sparkline>
              <xm:f>RevenueTariffBasket_FO!AZ124:BQ124</xm:f>
              <xm:sqref>BV124</xm:sqref>
            </x14:sparkline>
            <x14:sparkline>
              <xm:f>RevenueTariffBasket_FO!AZ125:BQ125</xm:f>
              <xm:sqref>BV125</xm:sqref>
            </x14:sparkline>
            <x14:sparkline>
              <xm:f>RevenueTariffBasket_FO!AZ126:BQ126</xm:f>
              <xm:sqref>BV126</xm:sqref>
            </x14:sparkline>
            <x14:sparkline>
              <xm:f>RevenueTariffBasket_FO!AZ127:BQ127</xm:f>
              <xm:sqref>BV127</xm:sqref>
            </x14:sparkline>
            <x14:sparkline>
              <xm:f>RevenueTariffBasket_FO!AZ128:BQ128</xm:f>
              <xm:sqref>BV128</xm:sqref>
            </x14:sparkline>
            <x14:sparkline>
              <xm:f>RevenueTariffBasket_FO!AZ129:BQ129</xm:f>
              <xm:sqref>BV129</xm:sqref>
            </x14:sparkline>
            <x14:sparkline>
              <xm:f>RevenueTariffBasket_FO!AZ130:BQ130</xm:f>
              <xm:sqref>BV130</xm:sqref>
            </x14:sparkline>
            <x14:sparkline>
              <xm:f>RevenueTariffBasket_FO!AZ131:BQ131</xm:f>
              <xm:sqref>BV131</xm:sqref>
            </x14:sparkline>
            <x14:sparkline>
              <xm:f>RevenueTariffBasket_FO!AZ132:BQ132</xm:f>
              <xm:sqref>BV132</xm:sqref>
            </x14:sparkline>
            <x14:sparkline>
              <xm:f>RevenueTariffBasket_FO!AZ133:BQ133</xm:f>
              <xm:sqref>BV133</xm:sqref>
            </x14:sparkline>
            <x14:sparkline>
              <xm:f>RevenueTariffBasket_FO!AZ134:BQ134</xm:f>
              <xm:sqref>BV134</xm:sqref>
            </x14:sparkline>
            <x14:sparkline>
              <xm:f>RevenueTariffBasket_FO!AZ135:BQ135</xm:f>
              <xm:sqref>BV135</xm:sqref>
            </x14:sparkline>
            <x14:sparkline>
              <xm:f>RevenueTariffBasket_FO!AZ136:BQ136</xm:f>
              <xm:sqref>BV136</xm:sqref>
            </x14:sparkline>
            <x14:sparkline>
              <xm:f>RevenueTariffBasket_FO!AZ137:BQ137</xm:f>
              <xm:sqref>BV137</xm:sqref>
            </x14:sparkline>
            <x14:sparkline>
              <xm:f>RevenueTariffBasket_FO!AZ138:BQ138</xm:f>
              <xm:sqref>BV138</xm:sqref>
            </x14:sparkline>
            <x14:sparkline>
              <xm:f>RevenueTariffBasket_FO!AZ139:BQ139</xm:f>
              <xm:sqref>BV139</xm:sqref>
            </x14:sparkline>
            <x14:sparkline>
              <xm:f>RevenueTariffBasket_FO!AZ140:BQ140</xm:f>
              <xm:sqref>BV140</xm:sqref>
            </x14:sparkline>
            <x14:sparkline>
              <xm:f>RevenueTariffBasket_FO!AZ141:BQ141</xm:f>
              <xm:sqref>BV141</xm:sqref>
            </x14:sparkline>
            <x14:sparkline>
              <xm:f>RevenueTariffBasket_FO!AZ142:BQ142</xm:f>
              <xm:sqref>BV142</xm:sqref>
            </x14:sparkline>
            <x14:sparkline>
              <xm:f>RevenueTariffBasket_FO!AZ143:BQ143</xm:f>
              <xm:sqref>BV143</xm:sqref>
            </x14:sparkline>
            <x14:sparkline>
              <xm:f>RevenueTariffBasket_FO!AZ144:BQ144</xm:f>
              <xm:sqref>BV144</xm:sqref>
            </x14:sparkline>
            <x14:sparkline>
              <xm:f>RevenueTariffBasket_FO!AZ145:BQ145</xm:f>
              <xm:sqref>BV145</xm:sqref>
            </x14:sparkline>
            <x14:sparkline>
              <xm:f>RevenueTariffBasket_FO!AZ146:BQ146</xm:f>
              <xm:sqref>BV146</xm:sqref>
            </x14:sparkline>
            <x14:sparkline>
              <xm:f>RevenueTariffBasket_FO!AZ147:BQ147</xm:f>
              <xm:sqref>BV147</xm:sqref>
            </x14:sparkline>
            <x14:sparkline>
              <xm:f>RevenueTariffBasket_FO!AZ148:BQ148</xm:f>
              <xm:sqref>BV148</xm:sqref>
            </x14:sparkline>
            <x14:sparkline>
              <xm:f>RevenueTariffBasket_FO!AZ149:BQ149</xm:f>
              <xm:sqref>BV149</xm:sqref>
            </x14:sparkline>
            <x14:sparkline>
              <xm:f>RevenueTariffBasket_FO!AZ150:BQ150</xm:f>
              <xm:sqref>BV150</xm:sqref>
            </x14:sparkline>
            <x14:sparkline>
              <xm:f>RevenueTariffBasket_FO!AZ151:BQ151</xm:f>
              <xm:sqref>BV151</xm:sqref>
            </x14:sparkline>
            <x14:sparkline>
              <xm:f>RevenueTariffBasket_FO!AZ152:BQ152</xm:f>
              <xm:sqref>BV152</xm:sqref>
            </x14:sparkline>
            <x14:sparkline>
              <xm:f>RevenueTariffBasket_FO!AZ153:BQ153</xm:f>
              <xm:sqref>BV153</xm:sqref>
            </x14:sparkline>
            <x14:sparkline>
              <xm:f>RevenueTariffBasket_FO!AZ154:BQ154</xm:f>
              <xm:sqref>BV154</xm:sqref>
            </x14:sparkline>
            <x14:sparkline>
              <xm:f>RevenueTariffBasket_FO!AZ155:BQ155</xm:f>
              <xm:sqref>BV155</xm:sqref>
            </x14:sparkline>
            <x14:sparkline>
              <xm:f>RevenueTariffBasket_FO!AZ156:BQ156</xm:f>
              <xm:sqref>BV156</xm:sqref>
            </x14:sparkline>
            <x14:sparkline>
              <xm:f>RevenueTariffBasket_FO!AZ157:BQ157</xm:f>
              <xm:sqref>BV157</xm:sqref>
            </x14:sparkline>
            <x14:sparkline>
              <xm:f>RevenueTariffBasket_FO!AZ158:BQ158</xm:f>
              <xm:sqref>BV158</xm:sqref>
            </x14:sparkline>
            <x14:sparkline>
              <xm:f>RevenueTariffBasket_FO!AZ159:BQ159</xm:f>
              <xm:sqref>BV159</xm:sqref>
            </x14:sparkline>
            <x14:sparkline>
              <xm:f>RevenueTariffBasket_FO!AZ160:BQ160</xm:f>
              <xm:sqref>BV160</xm:sqref>
            </x14:sparkline>
            <x14:sparkline>
              <xm:f>RevenueTariffBasket_FO!AZ161:BQ161</xm:f>
              <xm:sqref>BV161</xm:sqref>
            </x14:sparkline>
            <x14:sparkline>
              <xm:f>RevenueTariffBasket_FO!AZ162:BQ162</xm:f>
              <xm:sqref>BV162</xm:sqref>
            </x14:sparkline>
            <x14:sparkline>
              <xm:f>RevenueTariffBasket_FO!AZ163:BQ163</xm:f>
              <xm:sqref>BV163</xm:sqref>
            </x14:sparkline>
            <x14:sparkline>
              <xm:f>RevenueTariffBasket_FO!AZ164:BQ164</xm:f>
              <xm:sqref>BV164</xm:sqref>
            </x14:sparkline>
            <x14:sparkline>
              <xm:f>RevenueTariffBasket_FO!AZ165:BQ165</xm:f>
              <xm:sqref>BV165</xm:sqref>
            </x14:sparkline>
            <x14:sparkline>
              <xm:f>RevenueTariffBasket_FO!AZ166:BQ166</xm:f>
              <xm:sqref>BV166</xm:sqref>
            </x14:sparkline>
            <x14:sparkline>
              <xm:f>RevenueTariffBasket_FO!AZ167:BQ167</xm:f>
              <xm:sqref>BV167</xm:sqref>
            </x14:sparkline>
            <x14:sparkline>
              <xm:f>RevenueTariffBasket_FO!AZ168:BQ168</xm:f>
              <xm:sqref>BV168</xm:sqref>
            </x14:sparkline>
            <x14:sparkline>
              <xm:f>RevenueTariffBasket_FO!AZ169:BQ169</xm:f>
              <xm:sqref>BV169</xm:sqref>
            </x14:sparkline>
            <x14:sparkline>
              <xm:f>RevenueTariffBasket_FO!AZ170:BQ170</xm:f>
              <xm:sqref>BV170</xm:sqref>
            </x14:sparkline>
            <x14:sparkline>
              <xm:f>RevenueTariffBasket_FO!AZ171:BQ171</xm:f>
              <xm:sqref>BV171</xm:sqref>
            </x14:sparkline>
            <x14:sparkline>
              <xm:f>RevenueTariffBasket_FO!AZ172:BQ172</xm:f>
              <xm:sqref>BV172</xm:sqref>
            </x14:sparkline>
            <x14:sparkline>
              <xm:f>RevenueTariffBasket_FO!AZ173:BQ173</xm:f>
              <xm:sqref>BV173</xm:sqref>
            </x14:sparkline>
            <x14:sparkline>
              <xm:f>RevenueTariffBasket_FO!AZ174:BQ174</xm:f>
              <xm:sqref>BV174</xm:sqref>
            </x14:sparkline>
            <x14:sparkline>
              <xm:f>RevenueTariffBasket_FO!AZ175:BQ175</xm:f>
              <xm:sqref>BV175</xm:sqref>
            </x14:sparkline>
            <x14:sparkline>
              <xm:f>RevenueTariffBasket_FO!AZ176:BQ176</xm:f>
              <xm:sqref>BV176</xm:sqref>
            </x14:sparkline>
            <x14:sparkline>
              <xm:f>RevenueTariffBasket_FO!AZ177:BQ177</xm:f>
              <xm:sqref>BV177</xm:sqref>
            </x14:sparkline>
            <x14:sparkline>
              <xm:f>RevenueTariffBasket_FO!AZ178:BQ178</xm:f>
              <xm:sqref>BV178</xm:sqref>
            </x14:sparkline>
            <x14:sparkline>
              <xm:f>RevenueTariffBasket_FO!AZ179:BQ179</xm:f>
              <xm:sqref>BV179</xm:sqref>
            </x14:sparkline>
            <x14:sparkline>
              <xm:f>RevenueTariffBasket_FO!AZ180:BQ180</xm:f>
              <xm:sqref>BV180</xm:sqref>
            </x14:sparkline>
            <x14:sparkline>
              <xm:f>RevenueTariffBasket_FO!AZ181:BQ181</xm:f>
              <xm:sqref>BV181</xm:sqref>
            </x14:sparkline>
            <x14:sparkline>
              <xm:f>RevenueTariffBasket_FO!AZ182:BQ182</xm:f>
              <xm:sqref>BV182</xm:sqref>
            </x14:sparkline>
            <x14:sparkline>
              <xm:f>RevenueTariffBasket_FO!AZ183:BQ183</xm:f>
              <xm:sqref>BV183</xm:sqref>
            </x14:sparkline>
            <x14:sparkline>
              <xm:f>RevenueTariffBasket_FO!AZ184:BQ184</xm:f>
              <xm:sqref>BV184</xm:sqref>
            </x14:sparkline>
            <x14:sparkline>
              <xm:f>RevenueTariffBasket_FO!AZ185:BQ185</xm:f>
              <xm:sqref>BV185</xm:sqref>
            </x14:sparkline>
            <x14:sparkline>
              <xm:f>RevenueTariffBasket_FO!AZ186:BQ186</xm:f>
              <xm:sqref>BV186</xm:sqref>
            </x14:sparkline>
            <x14:sparkline>
              <xm:f>RevenueTariffBasket_FO!AZ187:BQ187</xm:f>
              <xm:sqref>BV187</xm:sqref>
            </x14:sparkline>
            <x14:sparkline>
              <xm:f>RevenueTariffBasket_FO!AZ188:BQ188</xm:f>
              <xm:sqref>BV188</xm:sqref>
            </x14:sparkline>
            <x14:sparkline>
              <xm:f>RevenueTariffBasket_FO!AZ189:BQ189</xm:f>
              <xm:sqref>BV189</xm:sqref>
            </x14:sparkline>
            <x14:sparkline>
              <xm:f>RevenueTariffBasket_FO!AZ190:BQ190</xm:f>
              <xm:sqref>BV190</xm:sqref>
            </x14:sparkline>
            <x14:sparkline>
              <xm:f>RevenueTariffBasket_FO!AZ191:BQ191</xm:f>
              <xm:sqref>BV191</xm:sqref>
            </x14:sparkline>
            <x14:sparkline>
              <xm:f>RevenueTariffBasket_FO!AZ192:BQ192</xm:f>
              <xm:sqref>BV192</xm:sqref>
            </x14:sparkline>
            <x14:sparkline>
              <xm:f>RevenueTariffBasket_FO!AZ193:BQ193</xm:f>
              <xm:sqref>BV193</xm:sqref>
            </x14:sparkline>
            <x14:sparkline>
              <xm:f>RevenueTariffBasket_FO!AZ194:BQ194</xm:f>
              <xm:sqref>BV194</xm:sqref>
            </x14:sparkline>
            <x14:sparkline>
              <xm:f>RevenueTariffBasket_FO!AZ195:BQ195</xm:f>
              <xm:sqref>BV195</xm:sqref>
            </x14:sparkline>
            <x14:sparkline>
              <xm:f>RevenueTariffBasket_FO!AZ196:BQ196</xm:f>
              <xm:sqref>BV196</xm:sqref>
            </x14:sparkline>
            <x14:sparkline>
              <xm:f>RevenueTariffBasket_FO!AZ197:BQ197</xm:f>
              <xm:sqref>BV197</xm:sqref>
            </x14:sparkline>
            <x14:sparkline>
              <xm:f>RevenueTariffBasket_FO!AZ198:BQ198</xm:f>
              <xm:sqref>BV198</xm:sqref>
            </x14:sparkline>
            <x14:sparkline>
              <xm:f>RevenueTariffBasket_FO!AZ199:BQ199</xm:f>
              <xm:sqref>BV199</xm:sqref>
            </x14:sparkline>
            <x14:sparkline>
              <xm:f>RevenueTariffBasket_FO!AZ200:BQ200</xm:f>
              <xm:sqref>BV200</xm:sqref>
            </x14:sparkline>
            <x14:sparkline>
              <xm:f>RevenueTariffBasket_FO!AZ201:BQ201</xm:f>
              <xm:sqref>BV201</xm:sqref>
            </x14:sparkline>
            <x14:sparkline>
              <xm:f>RevenueTariffBasket_FO!AZ202:BQ202</xm:f>
              <xm:sqref>BV202</xm:sqref>
            </x14:sparkline>
            <x14:sparkline>
              <xm:f>RevenueTariffBasket_FO!AZ203:BQ203</xm:f>
              <xm:sqref>BV203</xm:sqref>
            </x14:sparkline>
            <x14:sparkline>
              <xm:f>RevenueTariffBasket_FO!AZ204:BQ204</xm:f>
              <xm:sqref>BV204</xm:sqref>
            </x14:sparkline>
            <x14:sparkline>
              <xm:f>RevenueTariffBasket_FO!AZ205:BQ205</xm:f>
              <xm:sqref>BV205</xm:sqref>
            </x14:sparkline>
            <x14:sparkline>
              <xm:f>RevenueTariffBasket_FO!AZ206:BQ206</xm:f>
              <xm:sqref>BV206</xm:sqref>
            </x14:sparkline>
            <x14:sparkline>
              <xm:f>RevenueTariffBasket_FO!AZ207:BQ207</xm:f>
              <xm:sqref>BV207</xm:sqref>
            </x14:sparkline>
            <x14:sparkline>
              <xm:f>RevenueTariffBasket_FO!AZ208:BQ208</xm:f>
              <xm:sqref>BV208</xm:sqref>
            </x14:sparkline>
            <x14:sparkline>
              <xm:f>RevenueTariffBasket_FO!AZ209:BQ209</xm:f>
              <xm:sqref>BV209</xm:sqref>
            </x14:sparkline>
            <x14:sparkline>
              <xm:f>RevenueTariffBasket_FO!AZ210:BQ210</xm:f>
              <xm:sqref>BV210</xm:sqref>
            </x14:sparkline>
            <x14:sparkline>
              <xm:f>RevenueTariffBasket_FO!AZ211:BQ211</xm:f>
              <xm:sqref>BV211</xm:sqref>
            </x14:sparkline>
            <x14:sparkline>
              <xm:f>RevenueTariffBasket_FO!AZ212:BQ212</xm:f>
              <xm:sqref>BV212</xm:sqref>
            </x14:sparkline>
            <x14:sparkline>
              <xm:f>RevenueTariffBasket_FO!AZ213:BQ213</xm:f>
              <xm:sqref>BV213</xm:sqref>
            </x14:sparkline>
            <x14:sparkline>
              <xm:f>RevenueTariffBasket_FO!AZ214:BQ214</xm:f>
              <xm:sqref>BV214</xm:sqref>
            </x14:sparkline>
            <x14:sparkline>
              <xm:f>RevenueTariffBasket_FO!AZ215:BQ215</xm:f>
              <xm:sqref>BV215</xm:sqref>
            </x14:sparkline>
            <x14:sparkline>
              <xm:f>RevenueTariffBasket_FO!AZ216:BQ216</xm:f>
              <xm:sqref>BV216</xm:sqref>
            </x14:sparkline>
            <x14:sparkline>
              <xm:f>RevenueTariffBasket_FO!AZ217:BQ217</xm:f>
              <xm:sqref>BV217</xm:sqref>
            </x14:sparkline>
            <x14:sparkline>
              <xm:f>RevenueTariffBasket_FO!AZ218:BQ218</xm:f>
              <xm:sqref>BV218</xm:sqref>
            </x14:sparkline>
            <x14:sparkline>
              <xm:f>RevenueTariffBasket_FO!AZ219:BQ219</xm:f>
              <xm:sqref>BV219</xm:sqref>
            </x14:sparkline>
            <x14:sparkline>
              <xm:f>RevenueTariffBasket_FO!AZ220:BQ220</xm:f>
              <xm:sqref>BV220</xm:sqref>
            </x14:sparkline>
            <x14:sparkline>
              <xm:f>RevenueTariffBasket_FO!AZ221:BQ221</xm:f>
              <xm:sqref>BV221</xm:sqref>
            </x14:sparkline>
            <x14:sparkline>
              <xm:f>RevenueTariffBasket_FO!AZ222:BQ222</xm:f>
              <xm:sqref>BV222</xm:sqref>
            </x14:sparkline>
            <x14:sparkline>
              <xm:f>RevenueTariffBasket_FO!AZ223:BQ223</xm:f>
              <xm:sqref>BV223</xm:sqref>
            </x14:sparkline>
            <x14:sparkline>
              <xm:f>RevenueTariffBasket_FO!AZ224:BQ224</xm:f>
              <xm:sqref>BV224</xm:sqref>
            </x14:sparkline>
            <x14:sparkline>
              <xm:f>RevenueTariffBasket_FO!AZ225:BQ225</xm:f>
              <xm:sqref>BV225</xm:sqref>
            </x14:sparkline>
            <x14:sparkline>
              <xm:f>RevenueTariffBasket_FO!AZ226:BQ226</xm:f>
              <xm:sqref>BV226</xm:sqref>
            </x14:sparkline>
            <x14:sparkline>
              <xm:f>RevenueTariffBasket_FO!AZ227:BQ227</xm:f>
              <xm:sqref>BV227</xm:sqref>
            </x14:sparkline>
            <x14:sparkline>
              <xm:f>RevenueTariffBasket_FO!AZ228:BQ228</xm:f>
              <xm:sqref>BV228</xm:sqref>
            </x14:sparkline>
            <x14:sparkline>
              <xm:f>RevenueTariffBasket_FO!AZ229:BQ229</xm:f>
              <xm:sqref>BV229</xm:sqref>
            </x14:sparkline>
            <x14:sparkline>
              <xm:f>RevenueTariffBasket_FO!AZ230:BQ230</xm:f>
              <xm:sqref>BV230</xm:sqref>
            </x14:sparkline>
            <x14:sparkline>
              <xm:f>RevenueTariffBasket_FO!AZ231:BQ231</xm:f>
              <xm:sqref>BV231</xm:sqref>
            </x14:sparkline>
            <x14:sparkline>
              <xm:f>RevenueTariffBasket_FO!AZ232:BQ232</xm:f>
              <xm:sqref>BV232</xm:sqref>
            </x14:sparkline>
            <x14:sparkline>
              <xm:f>RevenueTariffBasket_FO!AZ233:BQ233</xm:f>
              <xm:sqref>BV233</xm:sqref>
            </x14:sparkline>
            <x14:sparkline>
              <xm:f>RevenueTariffBasket_FO!AZ234:BQ234</xm:f>
              <xm:sqref>BV234</xm:sqref>
            </x14:sparkline>
            <x14:sparkline>
              <xm:f>RevenueTariffBasket_FO!AZ235:BQ235</xm:f>
              <xm:sqref>BV235</xm:sqref>
            </x14:sparkline>
            <x14:sparkline>
              <xm:f>RevenueTariffBasket_FO!AZ236:BQ236</xm:f>
              <xm:sqref>BV236</xm:sqref>
            </x14:sparkline>
            <x14:sparkline>
              <xm:f>RevenueTariffBasket_FO!AZ237:BQ237</xm:f>
              <xm:sqref>BV237</xm:sqref>
            </x14:sparkline>
            <x14:sparkline>
              <xm:f>RevenueTariffBasket_FO!AZ238:BQ238</xm:f>
              <xm:sqref>BV238</xm:sqref>
            </x14:sparkline>
            <x14:sparkline>
              <xm:f>RevenueTariffBasket_FO!AZ239:BQ239</xm:f>
              <xm:sqref>BV239</xm:sqref>
            </x14:sparkline>
            <x14:sparkline>
              <xm:f>RevenueTariffBasket_FO!AZ240:BQ240</xm:f>
              <xm:sqref>BV240</xm:sqref>
            </x14:sparkline>
            <x14:sparkline>
              <xm:f>RevenueTariffBasket_FO!AZ241:BQ241</xm:f>
              <xm:sqref>BV241</xm:sqref>
            </x14:sparkline>
            <x14:sparkline>
              <xm:f>RevenueTariffBasket_FO!AZ242:BQ242</xm:f>
              <xm:sqref>BV242</xm:sqref>
            </x14:sparkline>
            <x14:sparkline>
              <xm:f>RevenueTariffBasket_FO!AZ243:BQ243</xm:f>
              <xm:sqref>BV243</xm:sqref>
            </x14:sparkline>
            <x14:sparkline>
              <xm:f>RevenueTariffBasket_FO!AZ244:BQ244</xm:f>
              <xm:sqref>BV244</xm:sqref>
            </x14:sparkline>
            <x14:sparkline>
              <xm:f>RevenueTariffBasket_FO!AZ245:BQ245</xm:f>
              <xm:sqref>BV245</xm:sqref>
            </x14:sparkline>
            <x14:sparkline>
              <xm:f>RevenueTariffBasket_FO!AZ246:BQ246</xm:f>
              <xm:sqref>BV246</xm:sqref>
            </x14:sparkline>
            <x14:sparkline>
              <xm:f>RevenueTariffBasket_FO!AZ247:BQ247</xm:f>
              <xm:sqref>BV247</xm:sqref>
            </x14:sparkline>
            <x14:sparkline>
              <xm:f>RevenueTariffBasket_FO!AZ248:BQ248</xm:f>
              <xm:sqref>BV248</xm:sqref>
            </x14:sparkline>
            <x14:sparkline>
              <xm:f>RevenueTariffBasket_FO!AZ249:BQ249</xm:f>
              <xm:sqref>BV249</xm:sqref>
            </x14:sparkline>
            <x14:sparkline>
              <xm:f>RevenueTariffBasket_FO!AZ250:BQ250</xm:f>
              <xm:sqref>BV250</xm:sqref>
            </x14:sparkline>
            <x14:sparkline>
              <xm:f>RevenueTariffBasket_FO!AZ251:BQ251</xm:f>
              <xm:sqref>BV251</xm:sqref>
            </x14:sparkline>
            <x14:sparkline>
              <xm:f>RevenueTariffBasket_FO!AZ252:BQ252</xm:f>
              <xm:sqref>BV252</xm:sqref>
            </x14:sparkline>
            <x14:sparkline>
              <xm:f>RevenueTariffBasket_FO!AZ253:BQ253</xm:f>
              <xm:sqref>BV253</xm:sqref>
            </x14:sparkline>
            <x14:sparkline>
              <xm:f>RevenueTariffBasket_FO!AZ254:BQ254</xm:f>
              <xm:sqref>BV254</xm:sqref>
            </x14:sparkline>
            <x14:sparkline>
              <xm:f>RevenueTariffBasket_FO!AZ255:BQ255</xm:f>
              <xm:sqref>BV255</xm:sqref>
            </x14:sparkline>
            <x14:sparkline>
              <xm:f>RevenueTariffBasket_FO!AZ256:BQ256</xm:f>
              <xm:sqref>BV256</xm:sqref>
            </x14:sparkline>
            <x14:sparkline>
              <xm:f>RevenueTariffBasket_FO!AZ257:BQ257</xm:f>
              <xm:sqref>BV257</xm:sqref>
            </x14:sparkline>
            <x14:sparkline>
              <xm:f>RevenueTariffBasket_FO!AZ258:BQ258</xm:f>
              <xm:sqref>BV258</xm:sqref>
            </x14:sparkline>
            <x14:sparkline>
              <xm:f>RevenueTariffBasket_FO!AZ259:BQ259</xm:f>
              <xm:sqref>BV259</xm:sqref>
            </x14:sparkline>
            <x14:sparkline>
              <xm:f>RevenueTariffBasket_FO!AZ260:BQ260</xm:f>
              <xm:sqref>BV260</xm:sqref>
            </x14:sparkline>
            <x14:sparkline>
              <xm:f>RevenueTariffBasket_FO!AZ261:BQ261</xm:f>
              <xm:sqref>BV261</xm:sqref>
            </x14:sparkline>
            <x14:sparkline>
              <xm:f>RevenueTariffBasket_FO!AZ262:BQ262</xm:f>
              <xm:sqref>BV262</xm:sqref>
            </x14:sparkline>
            <x14:sparkline>
              <xm:f>RevenueTariffBasket_FO!AZ263:BQ263</xm:f>
              <xm:sqref>BV263</xm:sqref>
            </x14:sparkline>
            <x14:sparkline>
              <xm:f>RevenueTariffBasket_FO!AZ264:BQ264</xm:f>
              <xm:sqref>BV264</xm:sqref>
            </x14:sparkline>
            <x14:sparkline>
              <xm:f>RevenueTariffBasket_FO!AZ265:BQ265</xm:f>
              <xm:sqref>BV265</xm:sqref>
            </x14:sparkline>
            <x14:sparkline>
              <xm:f>RevenueTariffBasket_FO!AZ266:BQ266</xm:f>
              <xm:sqref>BV266</xm:sqref>
            </x14:sparkline>
            <x14:sparkline>
              <xm:f>RevenueTariffBasket_FO!AZ267:BQ267</xm:f>
              <xm:sqref>BV267</xm:sqref>
            </x14:sparkline>
            <x14:sparkline>
              <xm:f>RevenueTariffBasket_FO!AZ268:BQ268</xm:f>
              <xm:sqref>BV268</xm:sqref>
            </x14:sparkline>
            <x14:sparkline>
              <xm:f>RevenueTariffBasket_FO!AZ269:BQ269</xm:f>
              <xm:sqref>BV269</xm:sqref>
            </x14:sparkline>
            <x14:sparkline>
              <xm:f>RevenueTariffBasket_FO!AZ270:BQ270</xm:f>
              <xm:sqref>BV270</xm:sqref>
            </x14:sparkline>
            <x14:sparkline>
              <xm:f>RevenueTariffBasket_FO!AZ271:BQ271</xm:f>
              <xm:sqref>BV271</xm:sqref>
            </x14:sparkline>
            <x14:sparkline>
              <xm:f>RevenueTariffBasket_FO!AZ272:BQ272</xm:f>
              <xm:sqref>BV272</xm:sqref>
            </x14:sparkline>
            <x14:sparkline>
              <xm:f>RevenueTariffBasket_FO!AZ273:BQ273</xm:f>
              <xm:sqref>BV273</xm:sqref>
            </x14:sparkline>
            <x14:sparkline>
              <xm:f>RevenueTariffBasket_FO!AZ274:BQ274</xm:f>
              <xm:sqref>BV274</xm:sqref>
            </x14:sparkline>
            <x14:sparkline>
              <xm:f>RevenueTariffBasket_FO!AZ275:BQ275</xm:f>
              <xm:sqref>BV275</xm:sqref>
            </x14:sparkline>
            <x14:sparkline>
              <xm:f>RevenueTariffBasket_FO!AZ276:BQ276</xm:f>
              <xm:sqref>BV276</xm:sqref>
            </x14:sparkline>
            <x14:sparkline>
              <xm:f>RevenueTariffBasket_FO!AZ277:BQ277</xm:f>
              <xm:sqref>BV277</xm:sqref>
            </x14:sparkline>
            <x14:sparkline>
              <xm:f>RevenueTariffBasket_FO!AZ278:BQ278</xm:f>
              <xm:sqref>BV278</xm:sqref>
            </x14:sparkline>
            <x14:sparkline>
              <xm:f>RevenueTariffBasket_FO!AZ279:BQ279</xm:f>
              <xm:sqref>BV279</xm:sqref>
            </x14:sparkline>
            <x14:sparkline>
              <xm:f>RevenueTariffBasket_FO!AZ280:BQ280</xm:f>
              <xm:sqref>BV280</xm:sqref>
            </x14:sparkline>
            <x14:sparkline>
              <xm:f>RevenueTariffBasket_FO!AZ281:BQ281</xm:f>
              <xm:sqref>BV281</xm:sqref>
            </x14:sparkline>
            <x14:sparkline>
              <xm:f>RevenueTariffBasket_FO!AZ282:BQ282</xm:f>
              <xm:sqref>BV282</xm:sqref>
            </x14:sparkline>
            <x14:sparkline>
              <xm:f>RevenueTariffBasket_FO!AZ283:BQ283</xm:f>
              <xm:sqref>BV283</xm:sqref>
            </x14:sparkline>
            <x14:sparkline>
              <xm:f>RevenueTariffBasket_FO!AZ284:BQ284</xm:f>
              <xm:sqref>BV284</xm:sqref>
            </x14:sparkline>
            <x14:sparkline>
              <xm:f>RevenueTariffBasket_FO!AZ285:BQ285</xm:f>
              <xm:sqref>BV285</xm:sqref>
            </x14:sparkline>
            <x14:sparkline>
              <xm:f>RevenueTariffBasket_FO!AZ286:BQ286</xm:f>
              <xm:sqref>BV286</xm:sqref>
            </x14:sparkline>
            <x14:sparkline>
              <xm:f>RevenueTariffBasket_FO!AZ287:BQ287</xm:f>
              <xm:sqref>BV287</xm:sqref>
            </x14:sparkline>
            <x14:sparkline>
              <xm:f>RevenueTariffBasket_FO!AZ288:BQ288</xm:f>
              <xm:sqref>BV288</xm:sqref>
            </x14:sparkline>
            <x14:sparkline>
              <xm:f>RevenueTariffBasket_FO!AZ289:BQ289</xm:f>
              <xm:sqref>BV289</xm:sqref>
            </x14:sparkline>
            <x14:sparkline>
              <xm:f>RevenueTariffBasket_FO!AZ290:BQ290</xm:f>
              <xm:sqref>BV290</xm:sqref>
            </x14:sparkline>
            <x14:sparkline>
              <xm:f>RevenueTariffBasket_FO!AZ291:BQ291</xm:f>
              <xm:sqref>BV291</xm:sqref>
            </x14:sparkline>
            <x14:sparkline>
              <xm:f>RevenueTariffBasket_FO!AZ292:BQ292</xm:f>
              <xm:sqref>BV292</xm:sqref>
            </x14:sparkline>
            <x14:sparkline>
              <xm:f>RevenueTariffBasket_FO!AZ293:BQ293</xm:f>
              <xm:sqref>BV293</xm:sqref>
            </x14:sparkline>
            <x14:sparkline>
              <xm:f>RevenueTariffBasket_FO!AZ294:BQ294</xm:f>
              <xm:sqref>BV294</xm:sqref>
            </x14:sparkline>
            <x14:sparkline>
              <xm:f>RevenueTariffBasket_FO!AZ295:BQ295</xm:f>
              <xm:sqref>BV295</xm:sqref>
            </x14:sparkline>
            <x14:sparkline>
              <xm:f>RevenueTariffBasket_FO!AZ296:BQ296</xm:f>
              <xm:sqref>BV296</xm:sqref>
            </x14:sparkline>
            <x14:sparkline>
              <xm:f>RevenueTariffBasket_FO!AZ297:BQ297</xm:f>
              <xm:sqref>BV297</xm:sqref>
            </x14:sparkline>
            <x14:sparkline>
              <xm:f>RevenueTariffBasket_FO!AZ298:BQ298</xm:f>
              <xm:sqref>BV298</xm:sqref>
            </x14:sparkline>
            <x14:sparkline>
              <xm:f>RevenueTariffBasket_FO!AZ299:BQ299</xm:f>
              <xm:sqref>BV299</xm:sqref>
            </x14:sparkline>
            <x14:sparkline>
              <xm:f>RevenueTariffBasket_FO!AZ300:BQ300</xm:f>
              <xm:sqref>BV300</xm:sqref>
            </x14:sparkline>
            <x14:sparkline>
              <xm:f>RevenueTariffBasket_FO!AZ301:BQ301</xm:f>
              <xm:sqref>BV301</xm:sqref>
            </x14:sparkline>
            <x14:sparkline>
              <xm:f>RevenueTariffBasket_FO!AZ302:BQ302</xm:f>
              <xm:sqref>BV302</xm:sqref>
            </x14:sparkline>
            <x14:sparkline>
              <xm:f>RevenueTariffBasket_FO!AZ303:BQ303</xm:f>
              <xm:sqref>BV303</xm:sqref>
            </x14:sparkline>
            <x14:sparkline>
              <xm:f>RevenueTariffBasket_FO!AZ304:BQ304</xm:f>
              <xm:sqref>BV304</xm:sqref>
            </x14:sparkline>
            <x14:sparkline>
              <xm:f>RevenueTariffBasket_FO!AZ305:BQ305</xm:f>
              <xm:sqref>BV305</xm:sqref>
            </x14:sparkline>
            <x14:sparkline>
              <xm:f>RevenueTariffBasket_FO!AZ306:BQ306</xm:f>
              <xm:sqref>BV306</xm:sqref>
            </x14:sparkline>
            <x14:sparkline>
              <xm:f>RevenueTariffBasket_FO!AZ307:BQ307</xm:f>
              <xm:sqref>BV307</xm:sqref>
            </x14:sparkline>
            <x14:sparkline>
              <xm:f>RevenueTariffBasket_FO!AZ308:BQ308</xm:f>
              <xm:sqref>BV308</xm:sqref>
            </x14:sparkline>
            <x14:sparkline>
              <xm:f>RevenueTariffBasket_FO!AZ309:BQ309</xm:f>
              <xm:sqref>BV309</xm:sqref>
            </x14:sparkline>
            <x14:sparkline>
              <xm:f>RevenueTariffBasket_FO!AZ310:BQ310</xm:f>
              <xm:sqref>BV310</xm:sqref>
            </x14:sparkline>
            <x14:sparkline>
              <xm:f>RevenueTariffBasket_FO!AZ311:BQ311</xm:f>
              <xm:sqref>BV311</xm:sqref>
            </x14:sparkline>
            <x14:sparkline>
              <xm:f>RevenueTariffBasket_FO!AZ312:BQ312</xm:f>
              <xm:sqref>BV312</xm:sqref>
            </x14:sparkline>
            <x14:sparkline>
              <xm:f>RevenueTariffBasket_FO!AZ313:BQ313</xm:f>
              <xm:sqref>BV313</xm:sqref>
            </x14:sparkline>
            <x14:sparkline>
              <xm:f>RevenueTariffBasket_FO!AZ314:BQ314</xm:f>
              <xm:sqref>BV314</xm:sqref>
            </x14:sparkline>
            <x14:sparkline>
              <xm:f>RevenueTariffBasket_FO!AZ315:BQ315</xm:f>
              <xm:sqref>BV315</xm:sqref>
            </x14:sparkline>
            <x14:sparkline>
              <xm:f>RevenueTariffBasket_FO!AZ316:BQ316</xm:f>
              <xm:sqref>BV316</xm:sqref>
            </x14:sparkline>
            <x14:sparkline>
              <xm:f>RevenueTariffBasket_FO!AZ317:BQ317</xm:f>
              <xm:sqref>BV317</xm:sqref>
            </x14:sparkline>
            <x14:sparkline>
              <xm:f>RevenueTariffBasket_FO!AZ318:BQ318</xm:f>
              <xm:sqref>BV318</xm:sqref>
            </x14:sparkline>
            <x14:sparkline>
              <xm:f>RevenueTariffBasket_FO!AZ319:BQ319</xm:f>
              <xm:sqref>BV319</xm:sqref>
            </x14:sparkline>
            <x14:sparkline>
              <xm:f>RevenueTariffBasket_FO!AZ320:BQ320</xm:f>
              <xm:sqref>BV320</xm:sqref>
            </x14:sparkline>
            <x14:sparkline>
              <xm:f>RevenueTariffBasket_FO!AZ321:BQ321</xm:f>
              <xm:sqref>BV321</xm:sqref>
            </x14:sparkline>
            <x14:sparkline>
              <xm:f>RevenueTariffBasket_FO!AZ322:BQ322</xm:f>
              <xm:sqref>BV322</xm:sqref>
            </x14:sparkline>
            <x14:sparkline>
              <xm:f>RevenueTariffBasket_FO!AZ323:BQ323</xm:f>
              <xm:sqref>BV323</xm:sqref>
            </x14:sparkline>
            <x14:sparkline>
              <xm:f>RevenueTariffBasket_FO!AZ324:BQ324</xm:f>
              <xm:sqref>BV324</xm:sqref>
            </x14:sparkline>
            <x14:sparkline>
              <xm:f>RevenueTariffBasket_FO!AZ325:BQ325</xm:f>
              <xm:sqref>BV325</xm:sqref>
            </x14:sparkline>
            <x14:sparkline>
              <xm:f>RevenueTariffBasket_FO!AZ326:BQ326</xm:f>
              <xm:sqref>BV326</xm:sqref>
            </x14:sparkline>
            <x14:sparkline>
              <xm:f>RevenueTariffBasket_FO!AZ327:BQ327</xm:f>
              <xm:sqref>BV327</xm:sqref>
            </x14:sparkline>
            <x14:sparkline>
              <xm:f>RevenueTariffBasket_FO!AZ328:BQ328</xm:f>
              <xm:sqref>BV328</xm:sqref>
            </x14:sparkline>
            <x14:sparkline>
              <xm:f>RevenueTariffBasket_FO!AZ329:BQ329</xm:f>
              <xm:sqref>BV329</xm:sqref>
            </x14:sparkline>
            <x14:sparkline>
              <xm:f>RevenueTariffBasket_FO!AZ330:BQ330</xm:f>
              <xm:sqref>BV330</xm:sqref>
            </x14:sparkline>
            <x14:sparkline>
              <xm:f>RevenueTariffBasket_FO!AZ331:BQ331</xm:f>
              <xm:sqref>BV331</xm:sqref>
            </x14:sparkline>
            <x14:sparkline>
              <xm:f>RevenueTariffBasket_FO!AZ332:BQ332</xm:f>
              <xm:sqref>BV332</xm:sqref>
            </x14:sparkline>
            <x14:sparkline>
              <xm:f>RevenueTariffBasket_FO!AZ333:BQ333</xm:f>
              <xm:sqref>BV333</xm:sqref>
            </x14:sparkline>
            <x14:sparkline>
              <xm:f>RevenueTariffBasket_FO!AZ334:BQ334</xm:f>
              <xm:sqref>BV334</xm:sqref>
            </x14:sparkline>
            <x14:sparkline>
              <xm:f>RevenueTariffBasket_FO!AZ335:BQ335</xm:f>
              <xm:sqref>BV335</xm:sqref>
            </x14:sparkline>
            <x14:sparkline>
              <xm:f>RevenueTariffBasket_FO!AZ336:BQ336</xm:f>
              <xm:sqref>BV336</xm:sqref>
            </x14:sparkline>
            <x14:sparkline>
              <xm:f>RevenueTariffBasket_FO!AZ337:BQ337</xm:f>
              <xm:sqref>BV337</xm:sqref>
            </x14:sparkline>
            <x14:sparkline>
              <xm:f>RevenueTariffBasket_FO!AZ338:BQ338</xm:f>
              <xm:sqref>BV338</xm:sqref>
            </x14:sparkline>
            <x14:sparkline>
              <xm:f>RevenueTariffBasket_FO!AZ339:BQ339</xm:f>
              <xm:sqref>BV339</xm:sqref>
            </x14:sparkline>
            <x14:sparkline>
              <xm:f>RevenueTariffBasket_FO!AZ340:BQ340</xm:f>
              <xm:sqref>BV340</xm:sqref>
            </x14:sparkline>
            <x14:sparkline>
              <xm:f>RevenueTariffBasket_FO!AZ341:BQ341</xm:f>
              <xm:sqref>BV341</xm:sqref>
            </x14:sparkline>
            <x14:sparkline>
              <xm:f>RevenueTariffBasket_FO!AZ342:BQ342</xm:f>
              <xm:sqref>BV342</xm:sqref>
            </x14:sparkline>
            <x14:sparkline>
              <xm:f>RevenueTariffBasket_FO!AZ343:BQ343</xm:f>
              <xm:sqref>BV343</xm:sqref>
            </x14:sparkline>
            <x14:sparkline>
              <xm:f>RevenueTariffBasket_FO!AZ344:BQ344</xm:f>
              <xm:sqref>BV344</xm:sqref>
            </x14:sparkline>
            <x14:sparkline>
              <xm:f>RevenueTariffBasket_FO!AZ345:BQ345</xm:f>
              <xm:sqref>BV345</xm:sqref>
            </x14:sparkline>
            <x14:sparkline>
              <xm:f>RevenueTariffBasket_FO!AZ346:BQ346</xm:f>
              <xm:sqref>BV346</xm:sqref>
            </x14:sparkline>
            <x14:sparkline>
              <xm:f>RevenueTariffBasket_FO!AZ347:BQ347</xm:f>
              <xm:sqref>BV347</xm:sqref>
            </x14:sparkline>
            <x14:sparkline>
              <xm:f>RevenueTariffBasket_FO!AZ348:BQ348</xm:f>
              <xm:sqref>BV348</xm:sqref>
            </x14:sparkline>
            <x14:sparkline>
              <xm:f>RevenueTariffBasket_FO!AZ349:BQ349</xm:f>
              <xm:sqref>BV349</xm:sqref>
            </x14:sparkline>
            <x14:sparkline>
              <xm:f>RevenueTariffBasket_FO!AZ350:BQ350</xm:f>
              <xm:sqref>BV350</xm:sqref>
            </x14:sparkline>
            <x14:sparkline>
              <xm:f>RevenueTariffBasket_FO!AZ351:BQ351</xm:f>
              <xm:sqref>BV351</xm:sqref>
            </x14:sparkline>
            <x14:sparkline>
              <xm:f>RevenueTariffBasket_FO!AZ352:BQ352</xm:f>
              <xm:sqref>BV352</xm:sqref>
            </x14:sparkline>
            <x14:sparkline>
              <xm:f>RevenueTariffBasket_FO!AZ353:BQ353</xm:f>
              <xm:sqref>BV353</xm:sqref>
            </x14:sparkline>
            <x14:sparkline>
              <xm:f>RevenueTariffBasket_FO!AZ354:BQ354</xm:f>
              <xm:sqref>BV354</xm:sqref>
            </x14:sparkline>
            <x14:sparkline>
              <xm:f>RevenueTariffBasket_FO!AZ355:BQ355</xm:f>
              <xm:sqref>BV355</xm:sqref>
            </x14:sparkline>
            <x14:sparkline>
              <xm:f>RevenueTariffBasket_FO!AZ356:BQ356</xm:f>
              <xm:sqref>BV356</xm:sqref>
            </x14:sparkline>
            <x14:sparkline>
              <xm:f>RevenueTariffBasket_FO!AZ357:BQ357</xm:f>
              <xm:sqref>BV357</xm:sqref>
            </x14:sparkline>
            <x14:sparkline>
              <xm:f>RevenueTariffBasket_FO!AZ358:BQ358</xm:f>
              <xm:sqref>BV358</xm:sqref>
            </x14:sparkline>
            <x14:sparkline>
              <xm:f>RevenueTariffBasket_FO!AZ359:BQ359</xm:f>
              <xm:sqref>BV359</xm:sqref>
            </x14:sparkline>
            <x14:sparkline>
              <xm:f>RevenueTariffBasket_FO!AZ360:BQ360</xm:f>
              <xm:sqref>BV360</xm:sqref>
            </x14:sparkline>
            <x14:sparkline>
              <xm:f>RevenueTariffBasket_FO!AZ361:BQ361</xm:f>
              <xm:sqref>BV361</xm:sqref>
            </x14:sparkline>
            <x14:sparkline>
              <xm:f>RevenueTariffBasket_FO!AZ362:BQ362</xm:f>
              <xm:sqref>BV362</xm:sqref>
            </x14:sparkline>
            <x14:sparkline>
              <xm:f>RevenueTariffBasket_FO!AZ363:BQ363</xm:f>
              <xm:sqref>BV363</xm:sqref>
            </x14:sparkline>
            <x14:sparkline>
              <xm:f>RevenueTariffBasket_FO!AZ364:BQ364</xm:f>
              <xm:sqref>BV364</xm:sqref>
            </x14:sparkline>
            <x14:sparkline>
              <xm:f>RevenueTariffBasket_FO!AZ365:BQ365</xm:f>
              <xm:sqref>BV365</xm:sqref>
            </x14:sparkline>
            <x14:sparkline>
              <xm:f>RevenueTariffBasket_FO!AZ366:BQ366</xm:f>
              <xm:sqref>BV366</xm:sqref>
            </x14:sparkline>
            <x14:sparkline>
              <xm:f>RevenueTariffBasket_FO!AZ367:BQ367</xm:f>
              <xm:sqref>BV367</xm:sqref>
            </x14:sparkline>
            <x14:sparkline>
              <xm:f>RevenueTariffBasket_FO!AZ368:BQ368</xm:f>
              <xm:sqref>BV368</xm:sqref>
            </x14:sparkline>
            <x14:sparkline>
              <xm:f>RevenueTariffBasket_FO!AZ369:BQ369</xm:f>
              <xm:sqref>BV369</xm:sqref>
            </x14:sparkline>
            <x14:sparkline>
              <xm:f>RevenueTariffBasket_FO!AZ370:BQ370</xm:f>
              <xm:sqref>BV370</xm:sqref>
            </x14:sparkline>
            <x14:sparkline>
              <xm:f>RevenueTariffBasket_FO!AZ371:BQ371</xm:f>
              <xm:sqref>BV371</xm:sqref>
            </x14:sparkline>
            <x14:sparkline>
              <xm:f>RevenueTariffBasket_FO!AZ372:BQ372</xm:f>
              <xm:sqref>BV372</xm:sqref>
            </x14:sparkline>
            <x14:sparkline>
              <xm:f>RevenueTariffBasket_FO!AZ373:BQ373</xm:f>
              <xm:sqref>BV373</xm:sqref>
            </x14:sparkline>
            <x14:sparkline>
              <xm:f>RevenueTariffBasket_FO!AZ374:BQ374</xm:f>
              <xm:sqref>BV374</xm:sqref>
            </x14:sparkline>
            <x14:sparkline>
              <xm:f>RevenueTariffBasket_FO!AZ375:BQ375</xm:f>
              <xm:sqref>BV375</xm:sqref>
            </x14:sparkline>
            <x14:sparkline>
              <xm:f>RevenueTariffBasket_FO!AZ376:BQ376</xm:f>
              <xm:sqref>BV376</xm:sqref>
            </x14:sparkline>
            <x14:sparkline>
              <xm:f>RevenueTariffBasket_FO!AZ377:BQ377</xm:f>
              <xm:sqref>BV377</xm:sqref>
            </x14:sparkline>
            <x14:sparkline>
              <xm:f>RevenueTariffBasket_FO!AZ378:BQ378</xm:f>
              <xm:sqref>BV378</xm:sqref>
            </x14:sparkline>
            <x14:sparkline>
              <xm:f>RevenueTariffBasket_FO!AZ379:BQ379</xm:f>
              <xm:sqref>BV379</xm:sqref>
            </x14:sparkline>
            <x14:sparkline>
              <xm:f>RevenueTariffBasket_FO!AZ380:BQ380</xm:f>
              <xm:sqref>BV380</xm:sqref>
            </x14:sparkline>
            <x14:sparkline>
              <xm:f>RevenueTariffBasket_FO!AZ381:BQ381</xm:f>
              <xm:sqref>BV381</xm:sqref>
            </x14:sparkline>
            <x14:sparkline>
              <xm:f>RevenueTariffBasket_FO!AZ382:BQ382</xm:f>
              <xm:sqref>BV382</xm:sqref>
            </x14:sparkline>
            <x14:sparkline>
              <xm:f>RevenueTariffBasket_FO!AZ383:BQ383</xm:f>
              <xm:sqref>BV383</xm:sqref>
            </x14:sparkline>
            <x14:sparkline>
              <xm:f>RevenueTariffBasket_FO!AZ384:BQ384</xm:f>
              <xm:sqref>BV384</xm:sqref>
            </x14:sparkline>
            <x14:sparkline>
              <xm:f>RevenueTariffBasket_FO!AZ385:BQ385</xm:f>
              <xm:sqref>BV385</xm:sqref>
            </x14:sparkline>
            <x14:sparkline>
              <xm:f>RevenueTariffBasket_FO!AZ386:BQ386</xm:f>
              <xm:sqref>BV386</xm:sqref>
            </x14:sparkline>
            <x14:sparkline>
              <xm:f>RevenueTariffBasket_FO!AZ387:BQ387</xm:f>
              <xm:sqref>BV387</xm:sqref>
            </x14:sparkline>
            <x14:sparkline>
              <xm:f>RevenueTariffBasket_FO!AZ388:BQ388</xm:f>
              <xm:sqref>BV388</xm:sqref>
            </x14:sparkline>
            <x14:sparkline>
              <xm:f>RevenueTariffBasket_FO!AZ389:BQ389</xm:f>
              <xm:sqref>BV389</xm:sqref>
            </x14:sparkline>
            <x14:sparkline>
              <xm:f>RevenueTariffBasket_FO!AZ390:BQ390</xm:f>
              <xm:sqref>BV390</xm:sqref>
            </x14:sparkline>
            <x14:sparkline>
              <xm:f>RevenueTariffBasket_FO!AZ391:BQ391</xm:f>
              <xm:sqref>BV391</xm:sqref>
            </x14:sparkline>
            <x14:sparkline>
              <xm:f>RevenueTariffBasket_FO!AZ392:BQ392</xm:f>
              <xm:sqref>BV392</xm:sqref>
            </x14:sparkline>
            <x14:sparkline>
              <xm:f>RevenueTariffBasket_FO!AZ393:BQ393</xm:f>
              <xm:sqref>BV393</xm:sqref>
            </x14:sparkline>
            <x14:sparkline>
              <xm:f>RevenueTariffBasket_FO!AZ394:BQ394</xm:f>
              <xm:sqref>BV394</xm:sqref>
            </x14:sparkline>
            <x14:sparkline>
              <xm:f>RevenueTariffBasket_FO!AZ395:BQ395</xm:f>
              <xm:sqref>BV395</xm:sqref>
            </x14:sparkline>
            <x14:sparkline>
              <xm:f>RevenueTariffBasket_FO!AZ396:BQ396</xm:f>
              <xm:sqref>BV396</xm:sqref>
            </x14:sparkline>
            <x14:sparkline>
              <xm:f>RevenueTariffBasket_FO!AZ397:BQ397</xm:f>
              <xm:sqref>BV397</xm:sqref>
            </x14:sparkline>
            <x14:sparkline>
              <xm:f>RevenueTariffBasket_FO!AZ398:BQ398</xm:f>
              <xm:sqref>BV398</xm:sqref>
            </x14:sparkline>
            <x14:sparkline>
              <xm:f>RevenueTariffBasket_FO!AZ399:BQ399</xm:f>
              <xm:sqref>BV399</xm:sqref>
            </x14:sparkline>
            <x14:sparkline>
              <xm:f>RevenueTariffBasket_FO!AZ400:BQ400</xm:f>
              <xm:sqref>BV400</xm:sqref>
            </x14:sparkline>
            <x14:sparkline>
              <xm:f>RevenueTariffBasket_FO!AZ401:BQ401</xm:f>
              <xm:sqref>BV401</xm:sqref>
            </x14:sparkline>
            <x14:sparkline>
              <xm:f>RevenueTariffBasket_FO!AZ402:BQ402</xm:f>
              <xm:sqref>BV402</xm:sqref>
            </x14:sparkline>
            <x14:sparkline>
              <xm:f>RevenueTariffBasket_FO!AZ403:BQ403</xm:f>
              <xm:sqref>BV403</xm:sqref>
            </x14:sparkline>
            <x14:sparkline>
              <xm:f>RevenueTariffBasket_FO!AZ404:BQ404</xm:f>
              <xm:sqref>BV404</xm:sqref>
            </x14:sparkline>
            <x14:sparkline>
              <xm:f>RevenueTariffBasket_FO!AZ405:BQ405</xm:f>
              <xm:sqref>BV405</xm:sqref>
            </x14:sparkline>
            <x14:sparkline>
              <xm:f>RevenueTariffBasket_FO!AZ406:BQ406</xm:f>
              <xm:sqref>BV406</xm:sqref>
            </x14:sparkline>
            <x14:sparkline>
              <xm:f>RevenueTariffBasket_FO!AZ407:BQ407</xm:f>
              <xm:sqref>BV407</xm:sqref>
            </x14:sparkline>
            <x14:sparkline>
              <xm:f>RevenueTariffBasket_FO!AZ408:BQ408</xm:f>
              <xm:sqref>BV408</xm:sqref>
            </x14:sparkline>
            <x14:sparkline>
              <xm:f>RevenueTariffBasket_FO!AZ409:BQ409</xm:f>
              <xm:sqref>BV409</xm:sqref>
            </x14:sparkline>
            <x14:sparkline>
              <xm:f>RevenueTariffBasket_FO!AZ410:BQ410</xm:f>
              <xm:sqref>BV410</xm:sqref>
            </x14:sparkline>
            <x14:sparkline>
              <xm:f>RevenueTariffBasket_FO!AZ411:BQ411</xm:f>
              <xm:sqref>BV411</xm:sqref>
            </x14:sparkline>
            <x14:sparkline>
              <xm:f>RevenueTariffBasket_FO!AZ412:BQ412</xm:f>
              <xm:sqref>BV412</xm:sqref>
            </x14:sparkline>
            <x14:sparkline>
              <xm:f>RevenueTariffBasket_FO!AZ413:BQ413</xm:f>
              <xm:sqref>BV413</xm:sqref>
            </x14:sparkline>
            <x14:sparkline>
              <xm:f>RevenueTariffBasket_FO!AZ414:BQ414</xm:f>
              <xm:sqref>BV414</xm:sqref>
            </x14:sparkline>
            <x14:sparkline>
              <xm:f>RevenueTariffBasket_FO!AZ415:BQ415</xm:f>
              <xm:sqref>BV415</xm:sqref>
            </x14:sparkline>
            <x14:sparkline>
              <xm:f>RevenueTariffBasket_FO!AZ416:BQ416</xm:f>
              <xm:sqref>BV416</xm:sqref>
            </x14:sparkline>
            <x14:sparkline>
              <xm:f>RevenueTariffBasket_FO!AZ417:BQ417</xm:f>
              <xm:sqref>BV417</xm:sqref>
            </x14:sparkline>
            <x14:sparkline>
              <xm:f>RevenueTariffBasket_FO!AZ418:BQ418</xm:f>
              <xm:sqref>BV418</xm:sqref>
            </x14:sparkline>
            <x14:sparkline>
              <xm:f>RevenueTariffBasket_FO!AZ419:BQ419</xm:f>
              <xm:sqref>BV419</xm:sqref>
            </x14:sparkline>
            <x14:sparkline>
              <xm:f>RevenueTariffBasket_FO!AZ420:BQ420</xm:f>
              <xm:sqref>BV420</xm:sqref>
            </x14:sparkline>
            <x14:sparkline>
              <xm:f>RevenueTariffBasket_FO!AZ421:BQ421</xm:f>
              <xm:sqref>BV421</xm:sqref>
            </x14:sparkline>
            <x14:sparkline>
              <xm:f>RevenueTariffBasket_FO!AZ422:BQ422</xm:f>
              <xm:sqref>BV422</xm:sqref>
            </x14:sparkline>
            <x14:sparkline>
              <xm:f>RevenueTariffBasket_FO!AZ423:BQ423</xm:f>
              <xm:sqref>BV423</xm:sqref>
            </x14:sparkline>
            <x14:sparkline>
              <xm:f>RevenueTariffBasket_FO!AZ424:BQ424</xm:f>
              <xm:sqref>BV424</xm:sqref>
            </x14:sparkline>
            <x14:sparkline>
              <xm:f>RevenueTariffBasket_FO!AZ425:BQ425</xm:f>
              <xm:sqref>BV425</xm:sqref>
            </x14:sparkline>
            <x14:sparkline>
              <xm:f>RevenueTariffBasket_FO!AZ426:BQ426</xm:f>
              <xm:sqref>BV426</xm:sqref>
            </x14:sparkline>
            <x14:sparkline>
              <xm:f>RevenueTariffBasket_FO!AZ427:BQ427</xm:f>
              <xm:sqref>BV427</xm:sqref>
            </x14:sparkline>
            <x14:sparkline>
              <xm:f>RevenueTariffBasket_FO!AZ428:BQ428</xm:f>
              <xm:sqref>BV428</xm:sqref>
            </x14:sparkline>
            <x14:sparkline>
              <xm:f>RevenueTariffBasket_FO!AZ429:BQ429</xm:f>
              <xm:sqref>BV429</xm:sqref>
            </x14:sparkline>
            <x14:sparkline>
              <xm:f>RevenueTariffBasket_FO!AZ430:BQ430</xm:f>
              <xm:sqref>BV430</xm:sqref>
            </x14:sparkline>
            <x14:sparkline>
              <xm:f>RevenueTariffBasket_FO!AZ431:BQ431</xm:f>
              <xm:sqref>BV431</xm:sqref>
            </x14:sparkline>
            <x14:sparkline>
              <xm:f>RevenueTariffBasket_FO!AZ432:BQ432</xm:f>
              <xm:sqref>BV432</xm:sqref>
            </x14:sparkline>
            <x14:sparkline>
              <xm:f>RevenueTariffBasket_FO!AZ433:BQ433</xm:f>
              <xm:sqref>BV433</xm:sqref>
            </x14:sparkline>
            <x14:sparkline>
              <xm:f>RevenueTariffBasket_FO!AZ434:BQ434</xm:f>
              <xm:sqref>BV434</xm:sqref>
            </x14:sparkline>
            <x14:sparkline>
              <xm:f>RevenueTariffBasket_FO!AZ435:BQ435</xm:f>
              <xm:sqref>BV435</xm:sqref>
            </x14:sparkline>
            <x14:sparkline>
              <xm:f>RevenueTariffBasket_FO!AZ436:BQ436</xm:f>
              <xm:sqref>BV436</xm:sqref>
            </x14:sparkline>
            <x14:sparkline>
              <xm:f>RevenueTariffBasket_FO!AZ437:BQ437</xm:f>
              <xm:sqref>BV437</xm:sqref>
            </x14:sparkline>
            <x14:sparkline>
              <xm:f>RevenueTariffBasket_FO!AZ438:BQ438</xm:f>
              <xm:sqref>BV438</xm:sqref>
            </x14:sparkline>
            <x14:sparkline>
              <xm:f>RevenueTariffBasket_FO!AZ439:BQ439</xm:f>
              <xm:sqref>BV439</xm:sqref>
            </x14:sparkline>
            <x14:sparkline>
              <xm:f>RevenueTariffBasket_FO!AZ440:BQ440</xm:f>
              <xm:sqref>BV440</xm:sqref>
            </x14:sparkline>
            <x14:sparkline>
              <xm:f>RevenueTariffBasket_FO!AZ441:BQ441</xm:f>
              <xm:sqref>BV441</xm:sqref>
            </x14:sparkline>
            <x14:sparkline>
              <xm:f>RevenueTariffBasket_FO!AZ442:BQ442</xm:f>
              <xm:sqref>BV442</xm:sqref>
            </x14:sparkline>
            <x14:sparkline>
              <xm:f>RevenueTariffBasket_FO!AZ443:BQ443</xm:f>
              <xm:sqref>BV443</xm:sqref>
            </x14:sparkline>
          </x14:sparklines>
        </x14:sparklineGroup>
        <x14:sparklineGroup manualMax="0" manualMin="0" displayEmptyCellsAs="gap" xr2:uid="{00000000-0003-0000-0C00-000005000000}">
          <x14:colorSeries theme="5" tint="-0.249977111117893"/>
          <x14:colorNegative theme="6"/>
          <x14:colorAxis rgb="FF000000"/>
          <x14:colorMarkers theme="6" tint="-0.249977111117893"/>
          <x14:colorFirst theme="6" tint="-0.249977111117893"/>
          <x14:colorLast theme="6" tint="-0.249977111117893"/>
          <x14:colorHigh theme="6" tint="-0.249977111117893"/>
          <x14:colorLow theme="6" tint="-0.249977111117893"/>
          <x14:sparklines>
            <x14:sparkline>
              <xm:f>RevenueTariffBasket_FO!BM69:BQ69</xm:f>
              <xm:sqref>BU69</xm:sqref>
            </x14:sparkline>
            <x14:sparkline>
              <xm:f>RevenueTariffBasket_FO!BM70:BQ70</xm:f>
              <xm:sqref>BU70</xm:sqref>
            </x14:sparkline>
            <x14:sparkline>
              <xm:f>RevenueTariffBasket_FO!BM71:BQ71</xm:f>
              <xm:sqref>BU71</xm:sqref>
            </x14:sparkline>
            <x14:sparkline>
              <xm:f>RevenueTariffBasket_FO!BM72:BQ72</xm:f>
              <xm:sqref>BU72</xm:sqref>
            </x14:sparkline>
            <x14:sparkline>
              <xm:f>RevenueTariffBasket_FO!BM73:BQ73</xm:f>
              <xm:sqref>BU73</xm:sqref>
            </x14:sparkline>
            <x14:sparkline>
              <xm:f>RevenueTariffBasket_FO!BM74:BQ74</xm:f>
              <xm:sqref>BU74</xm:sqref>
            </x14:sparkline>
            <x14:sparkline>
              <xm:f>RevenueTariffBasket_FO!BM75:BQ75</xm:f>
              <xm:sqref>BU75</xm:sqref>
            </x14:sparkline>
            <x14:sparkline>
              <xm:f>RevenueTariffBasket_FO!BM76:BQ76</xm:f>
              <xm:sqref>BU76</xm:sqref>
            </x14:sparkline>
            <x14:sparkline>
              <xm:f>RevenueTariffBasket_FO!BM77:BQ77</xm:f>
              <xm:sqref>BU77</xm:sqref>
            </x14:sparkline>
            <x14:sparkline>
              <xm:f>RevenueTariffBasket_FO!BM78:BQ78</xm:f>
              <xm:sqref>BU78</xm:sqref>
            </x14:sparkline>
            <x14:sparkline>
              <xm:f>RevenueTariffBasket_FO!BM79:BQ79</xm:f>
              <xm:sqref>BU79</xm:sqref>
            </x14:sparkline>
            <x14:sparkline>
              <xm:f>RevenueTariffBasket_FO!BM80:BQ80</xm:f>
              <xm:sqref>BU80</xm:sqref>
            </x14:sparkline>
            <x14:sparkline>
              <xm:f>RevenueTariffBasket_FO!BM81:BQ81</xm:f>
              <xm:sqref>BU81</xm:sqref>
            </x14:sparkline>
            <x14:sparkline>
              <xm:f>RevenueTariffBasket_FO!BM82:BQ82</xm:f>
              <xm:sqref>BU82</xm:sqref>
            </x14:sparkline>
            <x14:sparkline>
              <xm:f>RevenueTariffBasket_FO!BM83:BQ83</xm:f>
              <xm:sqref>BU83</xm:sqref>
            </x14:sparkline>
            <x14:sparkline>
              <xm:f>RevenueTariffBasket_FO!BM84:BQ84</xm:f>
              <xm:sqref>BU84</xm:sqref>
            </x14:sparkline>
            <x14:sparkline>
              <xm:f>RevenueTariffBasket_FO!BM85:BQ85</xm:f>
              <xm:sqref>BU85</xm:sqref>
            </x14:sparkline>
            <x14:sparkline>
              <xm:f>RevenueTariffBasket_FO!BM86:BQ86</xm:f>
              <xm:sqref>BU86</xm:sqref>
            </x14:sparkline>
            <x14:sparkline>
              <xm:f>RevenueTariffBasket_FO!BM87:BQ87</xm:f>
              <xm:sqref>BU87</xm:sqref>
            </x14:sparkline>
            <x14:sparkline>
              <xm:f>RevenueTariffBasket_FO!BM88:BQ88</xm:f>
              <xm:sqref>BU88</xm:sqref>
            </x14:sparkline>
            <x14:sparkline>
              <xm:f>RevenueTariffBasket_FO!BM89:BQ89</xm:f>
              <xm:sqref>BU89</xm:sqref>
            </x14:sparkline>
            <x14:sparkline>
              <xm:f>RevenueTariffBasket_FO!BM90:BQ90</xm:f>
              <xm:sqref>BU90</xm:sqref>
            </x14:sparkline>
            <x14:sparkline>
              <xm:f>RevenueTariffBasket_FO!BM91:BQ91</xm:f>
              <xm:sqref>BU91</xm:sqref>
            </x14:sparkline>
            <x14:sparkline>
              <xm:f>RevenueTariffBasket_FO!BM92:BQ92</xm:f>
              <xm:sqref>BU92</xm:sqref>
            </x14:sparkline>
            <x14:sparkline>
              <xm:f>RevenueTariffBasket_FO!BM93:BQ93</xm:f>
              <xm:sqref>BU93</xm:sqref>
            </x14:sparkline>
            <x14:sparkline>
              <xm:f>RevenueTariffBasket_FO!BM94:BQ94</xm:f>
              <xm:sqref>BU94</xm:sqref>
            </x14:sparkline>
            <x14:sparkline>
              <xm:f>RevenueTariffBasket_FO!BM95:BQ95</xm:f>
              <xm:sqref>BU95</xm:sqref>
            </x14:sparkline>
            <x14:sparkline>
              <xm:f>RevenueTariffBasket_FO!BM96:BQ96</xm:f>
              <xm:sqref>BU96</xm:sqref>
            </x14:sparkline>
            <x14:sparkline>
              <xm:f>RevenueTariffBasket_FO!BM97:BQ97</xm:f>
              <xm:sqref>BU97</xm:sqref>
            </x14:sparkline>
            <x14:sparkline>
              <xm:f>RevenueTariffBasket_FO!BM98:BQ98</xm:f>
              <xm:sqref>BU98</xm:sqref>
            </x14:sparkline>
            <x14:sparkline>
              <xm:f>RevenueTariffBasket_FO!BM99:BQ99</xm:f>
              <xm:sqref>BU99</xm:sqref>
            </x14:sparkline>
            <x14:sparkline>
              <xm:f>RevenueTariffBasket_FO!BM100:BQ100</xm:f>
              <xm:sqref>BU100</xm:sqref>
            </x14:sparkline>
            <x14:sparkline>
              <xm:f>RevenueTariffBasket_FO!BM101:BQ101</xm:f>
              <xm:sqref>BU101</xm:sqref>
            </x14:sparkline>
            <x14:sparkline>
              <xm:f>RevenueTariffBasket_FO!BM102:BQ102</xm:f>
              <xm:sqref>BU102</xm:sqref>
            </x14:sparkline>
            <x14:sparkline>
              <xm:f>RevenueTariffBasket_FO!BM103:BQ103</xm:f>
              <xm:sqref>BU103</xm:sqref>
            </x14:sparkline>
            <x14:sparkline>
              <xm:f>RevenueTariffBasket_FO!BM104:BQ104</xm:f>
              <xm:sqref>BU104</xm:sqref>
            </x14:sparkline>
            <x14:sparkline>
              <xm:f>RevenueTariffBasket_FO!BM105:BQ105</xm:f>
              <xm:sqref>BU105</xm:sqref>
            </x14:sparkline>
            <x14:sparkline>
              <xm:f>RevenueTariffBasket_FO!BM106:BQ106</xm:f>
              <xm:sqref>BU106</xm:sqref>
            </x14:sparkline>
            <x14:sparkline>
              <xm:f>RevenueTariffBasket_FO!BM107:BQ107</xm:f>
              <xm:sqref>BU107</xm:sqref>
            </x14:sparkline>
            <x14:sparkline>
              <xm:f>RevenueTariffBasket_FO!BM108:BQ108</xm:f>
              <xm:sqref>BU108</xm:sqref>
            </x14:sparkline>
            <x14:sparkline>
              <xm:f>RevenueTariffBasket_FO!BM109:BQ109</xm:f>
              <xm:sqref>BU109</xm:sqref>
            </x14:sparkline>
            <x14:sparkline>
              <xm:f>RevenueTariffBasket_FO!BM110:BQ110</xm:f>
              <xm:sqref>BU110</xm:sqref>
            </x14:sparkline>
            <x14:sparkline>
              <xm:f>RevenueTariffBasket_FO!BM111:BQ111</xm:f>
              <xm:sqref>BU111</xm:sqref>
            </x14:sparkline>
            <x14:sparkline>
              <xm:f>RevenueTariffBasket_FO!BM112:BQ112</xm:f>
              <xm:sqref>BU112</xm:sqref>
            </x14:sparkline>
            <x14:sparkline>
              <xm:f>RevenueTariffBasket_FO!BM113:BQ113</xm:f>
              <xm:sqref>BU113</xm:sqref>
            </x14:sparkline>
            <x14:sparkline>
              <xm:f>RevenueTariffBasket_FO!BM114:BQ114</xm:f>
              <xm:sqref>BU114</xm:sqref>
            </x14:sparkline>
            <x14:sparkline>
              <xm:f>RevenueTariffBasket_FO!BM115:BQ115</xm:f>
              <xm:sqref>BU115</xm:sqref>
            </x14:sparkline>
            <x14:sparkline>
              <xm:f>RevenueTariffBasket_FO!BM116:BQ116</xm:f>
              <xm:sqref>BU116</xm:sqref>
            </x14:sparkline>
            <x14:sparkline>
              <xm:f>RevenueTariffBasket_FO!BM117:BQ117</xm:f>
              <xm:sqref>BU117</xm:sqref>
            </x14:sparkline>
            <x14:sparkline>
              <xm:f>RevenueTariffBasket_FO!BM118:BQ118</xm:f>
              <xm:sqref>BU118</xm:sqref>
            </x14:sparkline>
            <x14:sparkline>
              <xm:f>RevenueTariffBasket_FO!BM119:BQ119</xm:f>
              <xm:sqref>BU119</xm:sqref>
            </x14:sparkline>
            <x14:sparkline>
              <xm:f>RevenueTariffBasket_FO!BM120:BQ120</xm:f>
              <xm:sqref>BU120</xm:sqref>
            </x14:sparkline>
            <x14:sparkline>
              <xm:f>RevenueTariffBasket_FO!BM121:BQ121</xm:f>
              <xm:sqref>BU121</xm:sqref>
            </x14:sparkline>
            <x14:sparkline>
              <xm:f>RevenueTariffBasket_FO!BM122:BQ122</xm:f>
              <xm:sqref>BU122</xm:sqref>
            </x14:sparkline>
            <x14:sparkline>
              <xm:f>RevenueTariffBasket_FO!BM123:BQ123</xm:f>
              <xm:sqref>BU123</xm:sqref>
            </x14:sparkline>
            <x14:sparkline>
              <xm:f>RevenueTariffBasket_FO!BM124:BQ124</xm:f>
              <xm:sqref>BU124</xm:sqref>
            </x14:sparkline>
            <x14:sparkline>
              <xm:f>RevenueTariffBasket_FO!BM125:BQ125</xm:f>
              <xm:sqref>BU125</xm:sqref>
            </x14:sparkline>
            <x14:sparkline>
              <xm:f>RevenueTariffBasket_FO!BM126:BQ126</xm:f>
              <xm:sqref>BU126</xm:sqref>
            </x14:sparkline>
            <x14:sparkline>
              <xm:f>RevenueTariffBasket_FO!BM127:BQ127</xm:f>
              <xm:sqref>BU127</xm:sqref>
            </x14:sparkline>
            <x14:sparkline>
              <xm:f>RevenueTariffBasket_FO!BM128:BQ128</xm:f>
              <xm:sqref>BU128</xm:sqref>
            </x14:sparkline>
            <x14:sparkline>
              <xm:f>RevenueTariffBasket_FO!BM129:BQ129</xm:f>
              <xm:sqref>BU129</xm:sqref>
            </x14:sparkline>
            <x14:sparkline>
              <xm:f>RevenueTariffBasket_FO!BM130:BQ130</xm:f>
              <xm:sqref>BU130</xm:sqref>
            </x14:sparkline>
            <x14:sparkline>
              <xm:f>RevenueTariffBasket_FO!BM131:BQ131</xm:f>
              <xm:sqref>BU131</xm:sqref>
            </x14:sparkline>
            <x14:sparkline>
              <xm:f>RevenueTariffBasket_FO!BM132:BQ132</xm:f>
              <xm:sqref>BU132</xm:sqref>
            </x14:sparkline>
            <x14:sparkline>
              <xm:f>RevenueTariffBasket_FO!BM133:BQ133</xm:f>
              <xm:sqref>BU133</xm:sqref>
            </x14:sparkline>
            <x14:sparkline>
              <xm:f>RevenueTariffBasket_FO!BM134:BQ134</xm:f>
              <xm:sqref>BU134</xm:sqref>
            </x14:sparkline>
            <x14:sparkline>
              <xm:f>RevenueTariffBasket_FO!BM135:BQ135</xm:f>
              <xm:sqref>BU135</xm:sqref>
            </x14:sparkline>
            <x14:sparkline>
              <xm:f>RevenueTariffBasket_FO!BM136:BQ136</xm:f>
              <xm:sqref>BU136</xm:sqref>
            </x14:sparkline>
            <x14:sparkline>
              <xm:f>RevenueTariffBasket_FO!BM137:BQ137</xm:f>
              <xm:sqref>BU137</xm:sqref>
            </x14:sparkline>
            <x14:sparkline>
              <xm:f>RevenueTariffBasket_FO!BM138:BQ138</xm:f>
              <xm:sqref>BU138</xm:sqref>
            </x14:sparkline>
            <x14:sparkline>
              <xm:f>RevenueTariffBasket_FO!BM139:BQ139</xm:f>
              <xm:sqref>BU139</xm:sqref>
            </x14:sparkline>
            <x14:sparkline>
              <xm:f>RevenueTariffBasket_FO!BM140:BQ140</xm:f>
              <xm:sqref>BU140</xm:sqref>
            </x14:sparkline>
            <x14:sparkline>
              <xm:f>RevenueTariffBasket_FO!BM141:BQ141</xm:f>
              <xm:sqref>BU141</xm:sqref>
            </x14:sparkline>
            <x14:sparkline>
              <xm:f>RevenueTariffBasket_FO!BM142:BQ142</xm:f>
              <xm:sqref>BU142</xm:sqref>
            </x14:sparkline>
            <x14:sparkline>
              <xm:f>RevenueTariffBasket_FO!BM143:BQ143</xm:f>
              <xm:sqref>BU143</xm:sqref>
            </x14:sparkline>
            <x14:sparkline>
              <xm:f>RevenueTariffBasket_FO!BM144:BQ144</xm:f>
              <xm:sqref>BU144</xm:sqref>
            </x14:sparkline>
            <x14:sparkline>
              <xm:f>RevenueTariffBasket_FO!BM145:BQ145</xm:f>
              <xm:sqref>BU145</xm:sqref>
            </x14:sparkline>
            <x14:sparkline>
              <xm:f>RevenueTariffBasket_FO!BM146:BQ146</xm:f>
              <xm:sqref>BU146</xm:sqref>
            </x14:sparkline>
            <x14:sparkline>
              <xm:f>RevenueTariffBasket_FO!BM147:BQ147</xm:f>
              <xm:sqref>BU147</xm:sqref>
            </x14:sparkline>
            <x14:sparkline>
              <xm:f>RevenueTariffBasket_FO!BM148:BQ148</xm:f>
              <xm:sqref>BU148</xm:sqref>
            </x14:sparkline>
            <x14:sparkline>
              <xm:f>RevenueTariffBasket_FO!BM149:BQ149</xm:f>
              <xm:sqref>BU149</xm:sqref>
            </x14:sparkline>
            <x14:sparkline>
              <xm:f>RevenueTariffBasket_FO!BM150:BQ150</xm:f>
              <xm:sqref>BU150</xm:sqref>
            </x14:sparkline>
            <x14:sparkline>
              <xm:f>RevenueTariffBasket_FO!BM151:BQ151</xm:f>
              <xm:sqref>BU151</xm:sqref>
            </x14:sparkline>
            <x14:sparkline>
              <xm:f>RevenueTariffBasket_FO!BM152:BQ152</xm:f>
              <xm:sqref>BU152</xm:sqref>
            </x14:sparkline>
            <x14:sparkline>
              <xm:f>RevenueTariffBasket_FO!BM153:BQ153</xm:f>
              <xm:sqref>BU153</xm:sqref>
            </x14:sparkline>
            <x14:sparkline>
              <xm:f>RevenueTariffBasket_FO!BM154:BQ154</xm:f>
              <xm:sqref>BU154</xm:sqref>
            </x14:sparkline>
            <x14:sparkline>
              <xm:f>RevenueTariffBasket_FO!BM155:BQ155</xm:f>
              <xm:sqref>BU155</xm:sqref>
            </x14:sparkline>
            <x14:sparkline>
              <xm:f>RevenueTariffBasket_FO!BM156:BQ156</xm:f>
              <xm:sqref>BU156</xm:sqref>
            </x14:sparkline>
            <x14:sparkline>
              <xm:f>RevenueTariffBasket_FO!BM157:BQ157</xm:f>
              <xm:sqref>BU157</xm:sqref>
            </x14:sparkline>
            <x14:sparkline>
              <xm:f>RevenueTariffBasket_FO!BM158:BQ158</xm:f>
              <xm:sqref>BU158</xm:sqref>
            </x14:sparkline>
            <x14:sparkline>
              <xm:f>RevenueTariffBasket_FO!BM159:BQ159</xm:f>
              <xm:sqref>BU159</xm:sqref>
            </x14:sparkline>
            <x14:sparkline>
              <xm:f>RevenueTariffBasket_FO!BM160:BQ160</xm:f>
              <xm:sqref>BU160</xm:sqref>
            </x14:sparkline>
            <x14:sparkline>
              <xm:f>RevenueTariffBasket_FO!BM161:BQ161</xm:f>
              <xm:sqref>BU161</xm:sqref>
            </x14:sparkline>
            <x14:sparkline>
              <xm:f>RevenueTariffBasket_FO!BM162:BQ162</xm:f>
              <xm:sqref>BU162</xm:sqref>
            </x14:sparkline>
            <x14:sparkline>
              <xm:f>RevenueTariffBasket_FO!BM163:BQ163</xm:f>
              <xm:sqref>BU163</xm:sqref>
            </x14:sparkline>
            <x14:sparkline>
              <xm:f>RevenueTariffBasket_FO!BM164:BQ164</xm:f>
              <xm:sqref>BU164</xm:sqref>
            </x14:sparkline>
            <x14:sparkline>
              <xm:f>RevenueTariffBasket_FO!BM165:BQ165</xm:f>
              <xm:sqref>BU165</xm:sqref>
            </x14:sparkline>
            <x14:sparkline>
              <xm:f>RevenueTariffBasket_FO!BM166:BQ166</xm:f>
              <xm:sqref>BU166</xm:sqref>
            </x14:sparkline>
            <x14:sparkline>
              <xm:f>RevenueTariffBasket_FO!BM167:BQ167</xm:f>
              <xm:sqref>BU167</xm:sqref>
            </x14:sparkline>
            <x14:sparkline>
              <xm:f>RevenueTariffBasket_FO!BM168:BQ168</xm:f>
              <xm:sqref>BU168</xm:sqref>
            </x14:sparkline>
            <x14:sparkline>
              <xm:f>RevenueTariffBasket_FO!BM169:BQ169</xm:f>
              <xm:sqref>BU169</xm:sqref>
            </x14:sparkline>
            <x14:sparkline>
              <xm:f>RevenueTariffBasket_FO!BM170:BQ170</xm:f>
              <xm:sqref>BU170</xm:sqref>
            </x14:sparkline>
            <x14:sparkline>
              <xm:f>RevenueTariffBasket_FO!BM171:BQ171</xm:f>
              <xm:sqref>BU171</xm:sqref>
            </x14:sparkline>
            <x14:sparkline>
              <xm:f>RevenueTariffBasket_FO!BM172:BQ172</xm:f>
              <xm:sqref>BU172</xm:sqref>
            </x14:sparkline>
            <x14:sparkline>
              <xm:f>RevenueTariffBasket_FO!BM173:BQ173</xm:f>
              <xm:sqref>BU173</xm:sqref>
            </x14:sparkline>
            <x14:sparkline>
              <xm:f>RevenueTariffBasket_FO!BM174:BQ174</xm:f>
              <xm:sqref>BU174</xm:sqref>
            </x14:sparkline>
            <x14:sparkline>
              <xm:f>RevenueTariffBasket_FO!BM175:BQ175</xm:f>
              <xm:sqref>BU175</xm:sqref>
            </x14:sparkline>
            <x14:sparkline>
              <xm:f>RevenueTariffBasket_FO!BM176:BQ176</xm:f>
              <xm:sqref>BU176</xm:sqref>
            </x14:sparkline>
            <x14:sparkline>
              <xm:f>RevenueTariffBasket_FO!BM177:BQ177</xm:f>
              <xm:sqref>BU177</xm:sqref>
            </x14:sparkline>
            <x14:sparkline>
              <xm:f>RevenueTariffBasket_FO!BM178:BQ178</xm:f>
              <xm:sqref>BU178</xm:sqref>
            </x14:sparkline>
            <x14:sparkline>
              <xm:f>RevenueTariffBasket_FO!BM179:BQ179</xm:f>
              <xm:sqref>BU179</xm:sqref>
            </x14:sparkline>
            <x14:sparkline>
              <xm:f>RevenueTariffBasket_FO!BM180:BQ180</xm:f>
              <xm:sqref>BU180</xm:sqref>
            </x14:sparkline>
            <x14:sparkline>
              <xm:f>RevenueTariffBasket_FO!BM181:BQ181</xm:f>
              <xm:sqref>BU181</xm:sqref>
            </x14:sparkline>
            <x14:sparkline>
              <xm:f>RevenueTariffBasket_FO!BM182:BQ182</xm:f>
              <xm:sqref>BU182</xm:sqref>
            </x14:sparkline>
            <x14:sparkline>
              <xm:f>RevenueTariffBasket_FO!BM183:BQ183</xm:f>
              <xm:sqref>BU183</xm:sqref>
            </x14:sparkline>
            <x14:sparkline>
              <xm:f>RevenueTariffBasket_FO!BM184:BQ184</xm:f>
              <xm:sqref>BU184</xm:sqref>
            </x14:sparkline>
            <x14:sparkline>
              <xm:f>RevenueTariffBasket_FO!BM185:BQ185</xm:f>
              <xm:sqref>BU185</xm:sqref>
            </x14:sparkline>
            <x14:sparkline>
              <xm:f>RevenueTariffBasket_FO!BM186:BQ186</xm:f>
              <xm:sqref>BU186</xm:sqref>
            </x14:sparkline>
            <x14:sparkline>
              <xm:f>RevenueTariffBasket_FO!BM187:BQ187</xm:f>
              <xm:sqref>BU187</xm:sqref>
            </x14:sparkline>
            <x14:sparkline>
              <xm:f>RevenueTariffBasket_FO!BM188:BQ188</xm:f>
              <xm:sqref>BU188</xm:sqref>
            </x14:sparkline>
            <x14:sparkline>
              <xm:f>RevenueTariffBasket_FO!BM189:BQ189</xm:f>
              <xm:sqref>BU189</xm:sqref>
            </x14:sparkline>
            <x14:sparkline>
              <xm:f>RevenueTariffBasket_FO!BM190:BQ190</xm:f>
              <xm:sqref>BU190</xm:sqref>
            </x14:sparkline>
            <x14:sparkline>
              <xm:f>RevenueTariffBasket_FO!BM191:BQ191</xm:f>
              <xm:sqref>BU191</xm:sqref>
            </x14:sparkline>
            <x14:sparkline>
              <xm:f>RevenueTariffBasket_FO!BM192:BQ192</xm:f>
              <xm:sqref>BU192</xm:sqref>
            </x14:sparkline>
            <x14:sparkline>
              <xm:f>RevenueTariffBasket_FO!BM193:BQ193</xm:f>
              <xm:sqref>BU193</xm:sqref>
            </x14:sparkline>
            <x14:sparkline>
              <xm:f>RevenueTariffBasket_FO!BM194:BQ194</xm:f>
              <xm:sqref>BU194</xm:sqref>
            </x14:sparkline>
            <x14:sparkline>
              <xm:f>RevenueTariffBasket_FO!BM195:BQ195</xm:f>
              <xm:sqref>BU195</xm:sqref>
            </x14:sparkline>
            <x14:sparkline>
              <xm:f>RevenueTariffBasket_FO!BM196:BQ196</xm:f>
              <xm:sqref>BU196</xm:sqref>
            </x14:sparkline>
            <x14:sparkline>
              <xm:f>RevenueTariffBasket_FO!BM197:BQ197</xm:f>
              <xm:sqref>BU197</xm:sqref>
            </x14:sparkline>
            <x14:sparkline>
              <xm:f>RevenueTariffBasket_FO!BM198:BQ198</xm:f>
              <xm:sqref>BU198</xm:sqref>
            </x14:sparkline>
            <x14:sparkline>
              <xm:f>RevenueTariffBasket_FO!BM199:BQ199</xm:f>
              <xm:sqref>BU199</xm:sqref>
            </x14:sparkline>
            <x14:sparkline>
              <xm:f>RevenueTariffBasket_FO!BM200:BQ200</xm:f>
              <xm:sqref>BU200</xm:sqref>
            </x14:sparkline>
            <x14:sparkline>
              <xm:f>RevenueTariffBasket_FO!BM201:BQ201</xm:f>
              <xm:sqref>BU201</xm:sqref>
            </x14:sparkline>
            <x14:sparkline>
              <xm:f>RevenueTariffBasket_FO!BM202:BQ202</xm:f>
              <xm:sqref>BU202</xm:sqref>
            </x14:sparkline>
            <x14:sparkline>
              <xm:f>RevenueTariffBasket_FO!BM203:BQ203</xm:f>
              <xm:sqref>BU203</xm:sqref>
            </x14:sparkline>
            <x14:sparkline>
              <xm:f>RevenueTariffBasket_FO!BM204:BQ204</xm:f>
              <xm:sqref>BU204</xm:sqref>
            </x14:sparkline>
            <x14:sparkline>
              <xm:f>RevenueTariffBasket_FO!BM205:BQ205</xm:f>
              <xm:sqref>BU205</xm:sqref>
            </x14:sparkline>
            <x14:sparkline>
              <xm:f>RevenueTariffBasket_FO!BM206:BQ206</xm:f>
              <xm:sqref>BU206</xm:sqref>
            </x14:sparkline>
            <x14:sparkline>
              <xm:f>RevenueTariffBasket_FO!BM207:BQ207</xm:f>
              <xm:sqref>BU207</xm:sqref>
            </x14:sparkline>
            <x14:sparkline>
              <xm:f>RevenueTariffBasket_FO!BM208:BQ208</xm:f>
              <xm:sqref>BU208</xm:sqref>
            </x14:sparkline>
            <x14:sparkline>
              <xm:f>RevenueTariffBasket_FO!BM209:BQ209</xm:f>
              <xm:sqref>BU209</xm:sqref>
            </x14:sparkline>
            <x14:sparkline>
              <xm:f>RevenueTariffBasket_FO!BM210:BQ210</xm:f>
              <xm:sqref>BU210</xm:sqref>
            </x14:sparkline>
            <x14:sparkline>
              <xm:f>RevenueTariffBasket_FO!BM211:BQ211</xm:f>
              <xm:sqref>BU211</xm:sqref>
            </x14:sparkline>
            <x14:sparkline>
              <xm:f>RevenueTariffBasket_FO!BM212:BQ212</xm:f>
              <xm:sqref>BU212</xm:sqref>
            </x14:sparkline>
            <x14:sparkline>
              <xm:f>RevenueTariffBasket_FO!BM213:BQ213</xm:f>
              <xm:sqref>BU213</xm:sqref>
            </x14:sparkline>
            <x14:sparkline>
              <xm:f>RevenueTariffBasket_FO!BM214:BQ214</xm:f>
              <xm:sqref>BU214</xm:sqref>
            </x14:sparkline>
            <x14:sparkline>
              <xm:f>RevenueTariffBasket_FO!BM215:BQ215</xm:f>
              <xm:sqref>BU215</xm:sqref>
            </x14:sparkline>
            <x14:sparkline>
              <xm:f>RevenueTariffBasket_FO!BM216:BQ216</xm:f>
              <xm:sqref>BU216</xm:sqref>
            </x14:sparkline>
            <x14:sparkline>
              <xm:f>RevenueTariffBasket_FO!BM217:BQ217</xm:f>
              <xm:sqref>BU217</xm:sqref>
            </x14:sparkline>
            <x14:sparkline>
              <xm:f>RevenueTariffBasket_FO!BM218:BQ218</xm:f>
              <xm:sqref>BU218</xm:sqref>
            </x14:sparkline>
            <x14:sparkline>
              <xm:f>RevenueTariffBasket_FO!BM219:BQ219</xm:f>
              <xm:sqref>BU219</xm:sqref>
            </x14:sparkline>
            <x14:sparkline>
              <xm:f>RevenueTariffBasket_FO!BM220:BQ220</xm:f>
              <xm:sqref>BU220</xm:sqref>
            </x14:sparkline>
            <x14:sparkline>
              <xm:f>RevenueTariffBasket_FO!BM221:BQ221</xm:f>
              <xm:sqref>BU221</xm:sqref>
            </x14:sparkline>
            <x14:sparkline>
              <xm:f>RevenueTariffBasket_FO!BM222:BQ222</xm:f>
              <xm:sqref>BU222</xm:sqref>
            </x14:sparkline>
            <x14:sparkline>
              <xm:f>RevenueTariffBasket_FO!BM223:BQ223</xm:f>
              <xm:sqref>BU223</xm:sqref>
            </x14:sparkline>
            <x14:sparkline>
              <xm:f>RevenueTariffBasket_FO!BM224:BQ224</xm:f>
              <xm:sqref>BU224</xm:sqref>
            </x14:sparkline>
            <x14:sparkline>
              <xm:f>RevenueTariffBasket_FO!BM225:BQ225</xm:f>
              <xm:sqref>BU225</xm:sqref>
            </x14:sparkline>
            <x14:sparkline>
              <xm:f>RevenueTariffBasket_FO!BM226:BQ226</xm:f>
              <xm:sqref>BU226</xm:sqref>
            </x14:sparkline>
            <x14:sparkline>
              <xm:f>RevenueTariffBasket_FO!BM227:BQ227</xm:f>
              <xm:sqref>BU227</xm:sqref>
            </x14:sparkline>
            <x14:sparkline>
              <xm:f>RevenueTariffBasket_FO!BM228:BQ228</xm:f>
              <xm:sqref>BU228</xm:sqref>
            </x14:sparkline>
            <x14:sparkline>
              <xm:f>RevenueTariffBasket_FO!BM229:BQ229</xm:f>
              <xm:sqref>BU229</xm:sqref>
            </x14:sparkline>
            <x14:sparkline>
              <xm:f>RevenueTariffBasket_FO!BM230:BQ230</xm:f>
              <xm:sqref>BU230</xm:sqref>
            </x14:sparkline>
            <x14:sparkline>
              <xm:f>RevenueTariffBasket_FO!BM231:BQ231</xm:f>
              <xm:sqref>BU231</xm:sqref>
            </x14:sparkline>
            <x14:sparkline>
              <xm:f>RevenueTariffBasket_FO!BM232:BQ232</xm:f>
              <xm:sqref>BU232</xm:sqref>
            </x14:sparkline>
            <x14:sparkline>
              <xm:f>RevenueTariffBasket_FO!BM233:BQ233</xm:f>
              <xm:sqref>BU233</xm:sqref>
            </x14:sparkline>
            <x14:sparkline>
              <xm:f>RevenueTariffBasket_FO!BM234:BQ234</xm:f>
              <xm:sqref>BU234</xm:sqref>
            </x14:sparkline>
            <x14:sparkline>
              <xm:f>RevenueTariffBasket_FO!BM235:BQ235</xm:f>
              <xm:sqref>BU235</xm:sqref>
            </x14:sparkline>
            <x14:sparkline>
              <xm:f>RevenueTariffBasket_FO!BM236:BQ236</xm:f>
              <xm:sqref>BU236</xm:sqref>
            </x14:sparkline>
            <x14:sparkline>
              <xm:f>RevenueTariffBasket_FO!BM237:BQ237</xm:f>
              <xm:sqref>BU237</xm:sqref>
            </x14:sparkline>
            <x14:sparkline>
              <xm:f>RevenueTariffBasket_FO!BM238:BQ238</xm:f>
              <xm:sqref>BU238</xm:sqref>
            </x14:sparkline>
            <x14:sparkline>
              <xm:f>RevenueTariffBasket_FO!BM239:BQ239</xm:f>
              <xm:sqref>BU239</xm:sqref>
            </x14:sparkline>
            <x14:sparkline>
              <xm:f>RevenueTariffBasket_FO!BM240:BQ240</xm:f>
              <xm:sqref>BU240</xm:sqref>
            </x14:sparkline>
            <x14:sparkline>
              <xm:f>RevenueTariffBasket_FO!BM241:BQ241</xm:f>
              <xm:sqref>BU241</xm:sqref>
            </x14:sparkline>
            <x14:sparkline>
              <xm:f>RevenueTariffBasket_FO!BM242:BQ242</xm:f>
              <xm:sqref>BU242</xm:sqref>
            </x14:sparkline>
            <x14:sparkline>
              <xm:f>RevenueTariffBasket_FO!BM243:BQ243</xm:f>
              <xm:sqref>BU243</xm:sqref>
            </x14:sparkline>
            <x14:sparkline>
              <xm:f>RevenueTariffBasket_FO!BM244:BQ244</xm:f>
              <xm:sqref>BU244</xm:sqref>
            </x14:sparkline>
            <x14:sparkline>
              <xm:f>RevenueTariffBasket_FO!BM245:BQ245</xm:f>
              <xm:sqref>BU245</xm:sqref>
            </x14:sparkline>
            <x14:sparkline>
              <xm:f>RevenueTariffBasket_FO!BM246:BQ246</xm:f>
              <xm:sqref>BU246</xm:sqref>
            </x14:sparkline>
            <x14:sparkline>
              <xm:f>RevenueTariffBasket_FO!BM247:BQ247</xm:f>
              <xm:sqref>BU247</xm:sqref>
            </x14:sparkline>
            <x14:sparkline>
              <xm:f>RevenueTariffBasket_FO!BM248:BQ248</xm:f>
              <xm:sqref>BU248</xm:sqref>
            </x14:sparkline>
            <x14:sparkline>
              <xm:f>RevenueTariffBasket_FO!BM249:BQ249</xm:f>
              <xm:sqref>BU249</xm:sqref>
            </x14:sparkline>
            <x14:sparkline>
              <xm:f>RevenueTariffBasket_FO!BM250:BQ250</xm:f>
              <xm:sqref>BU250</xm:sqref>
            </x14:sparkline>
            <x14:sparkline>
              <xm:f>RevenueTariffBasket_FO!BM251:BQ251</xm:f>
              <xm:sqref>BU251</xm:sqref>
            </x14:sparkline>
            <x14:sparkline>
              <xm:f>RevenueTariffBasket_FO!BM252:BQ252</xm:f>
              <xm:sqref>BU252</xm:sqref>
            </x14:sparkline>
            <x14:sparkline>
              <xm:f>RevenueTariffBasket_FO!BM253:BQ253</xm:f>
              <xm:sqref>BU253</xm:sqref>
            </x14:sparkline>
            <x14:sparkline>
              <xm:f>RevenueTariffBasket_FO!BM254:BQ254</xm:f>
              <xm:sqref>BU254</xm:sqref>
            </x14:sparkline>
            <x14:sparkline>
              <xm:f>RevenueTariffBasket_FO!BM255:BQ255</xm:f>
              <xm:sqref>BU255</xm:sqref>
            </x14:sparkline>
            <x14:sparkline>
              <xm:f>RevenueTariffBasket_FO!BM256:BQ256</xm:f>
              <xm:sqref>BU256</xm:sqref>
            </x14:sparkline>
            <x14:sparkline>
              <xm:f>RevenueTariffBasket_FO!BM257:BQ257</xm:f>
              <xm:sqref>BU257</xm:sqref>
            </x14:sparkline>
            <x14:sparkline>
              <xm:f>RevenueTariffBasket_FO!BM258:BQ258</xm:f>
              <xm:sqref>BU258</xm:sqref>
            </x14:sparkline>
            <x14:sparkline>
              <xm:f>RevenueTariffBasket_FO!BM259:BQ259</xm:f>
              <xm:sqref>BU259</xm:sqref>
            </x14:sparkline>
            <x14:sparkline>
              <xm:f>RevenueTariffBasket_FO!BM260:BQ260</xm:f>
              <xm:sqref>BU260</xm:sqref>
            </x14:sparkline>
            <x14:sparkline>
              <xm:f>RevenueTariffBasket_FO!BM261:BQ261</xm:f>
              <xm:sqref>BU261</xm:sqref>
            </x14:sparkline>
            <x14:sparkline>
              <xm:f>RevenueTariffBasket_FO!BM262:BQ262</xm:f>
              <xm:sqref>BU262</xm:sqref>
            </x14:sparkline>
            <x14:sparkline>
              <xm:f>RevenueTariffBasket_FO!BM263:BQ263</xm:f>
              <xm:sqref>BU263</xm:sqref>
            </x14:sparkline>
            <x14:sparkline>
              <xm:f>RevenueTariffBasket_FO!BM264:BQ264</xm:f>
              <xm:sqref>BU264</xm:sqref>
            </x14:sparkline>
            <x14:sparkline>
              <xm:f>RevenueTariffBasket_FO!BM265:BQ265</xm:f>
              <xm:sqref>BU265</xm:sqref>
            </x14:sparkline>
            <x14:sparkline>
              <xm:f>RevenueTariffBasket_FO!BM266:BQ266</xm:f>
              <xm:sqref>BU266</xm:sqref>
            </x14:sparkline>
            <x14:sparkline>
              <xm:f>RevenueTariffBasket_FO!BM267:BQ267</xm:f>
              <xm:sqref>BU267</xm:sqref>
            </x14:sparkline>
            <x14:sparkline>
              <xm:f>RevenueTariffBasket_FO!BM268:BQ268</xm:f>
              <xm:sqref>BU268</xm:sqref>
            </x14:sparkline>
            <x14:sparkline>
              <xm:f>RevenueTariffBasket_FO!BM269:BQ269</xm:f>
              <xm:sqref>BU269</xm:sqref>
            </x14:sparkline>
            <x14:sparkline>
              <xm:f>RevenueTariffBasket_FO!BM270:BQ270</xm:f>
              <xm:sqref>BU270</xm:sqref>
            </x14:sparkline>
            <x14:sparkline>
              <xm:f>RevenueTariffBasket_FO!BM271:BQ271</xm:f>
              <xm:sqref>BU271</xm:sqref>
            </x14:sparkline>
            <x14:sparkline>
              <xm:f>RevenueTariffBasket_FO!BM272:BQ272</xm:f>
              <xm:sqref>BU272</xm:sqref>
            </x14:sparkline>
            <x14:sparkline>
              <xm:f>RevenueTariffBasket_FO!BM273:BQ273</xm:f>
              <xm:sqref>BU273</xm:sqref>
            </x14:sparkline>
            <x14:sparkline>
              <xm:f>RevenueTariffBasket_FO!BM274:BQ274</xm:f>
              <xm:sqref>BU274</xm:sqref>
            </x14:sparkline>
            <x14:sparkline>
              <xm:f>RevenueTariffBasket_FO!BM275:BQ275</xm:f>
              <xm:sqref>BU275</xm:sqref>
            </x14:sparkline>
            <x14:sparkline>
              <xm:f>RevenueTariffBasket_FO!BM276:BQ276</xm:f>
              <xm:sqref>BU276</xm:sqref>
            </x14:sparkline>
            <x14:sparkline>
              <xm:f>RevenueTariffBasket_FO!BM277:BQ277</xm:f>
              <xm:sqref>BU277</xm:sqref>
            </x14:sparkline>
            <x14:sparkline>
              <xm:f>RevenueTariffBasket_FO!BM278:BQ278</xm:f>
              <xm:sqref>BU278</xm:sqref>
            </x14:sparkline>
            <x14:sparkline>
              <xm:f>RevenueTariffBasket_FO!BM279:BQ279</xm:f>
              <xm:sqref>BU279</xm:sqref>
            </x14:sparkline>
            <x14:sparkline>
              <xm:f>RevenueTariffBasket_FO!BM280:BQ280</xm:f>
              <xm:sqref>BU280</xm:sqref>
            </x14:sparkline>
            <x14:sparkline>
              <xm:f>RevenueTariffBasket_FO!BM281:BQ281</xm:f>
              <xm:sqref>BU281</xm:sqref>
            </x14:sparkline>
            <x14:sparkline>
              <xm:f>RevenueTariffBasket_FO!BM282:BQ282</xm:f>
              <xm:sqref>BU282</xm:sqref>
            </x14:sparkline>
            <x14:sparkline>
              <xm:f>RevenueTariffBasket_FO!BM283:BQ283</xm:f>
              <xm:sqref>BU283</xm:sqref>
            </x14:sparkline>
            <x14:sparkline>
              <xm:f>RevenueTariffBasket_FO!BM284:BQ284</xm:f>
              <xm:sqref>BU284</xm:sqref>
            </x14:sparkline>
            <x14:sparkline>
              <xm:f>RevenueTariffBasket_FO!BM285:BQ285</xm:f>
              <xm:sqref>BU285</xm:sqref>
            </x14:sparkline>
            <x14:sparkline>
              <xm:f>RevenueTariffBasket_FO!BM286:BQ286</xm:f>
              <xm:sqref>BU286</xm:sqref>
            </x14:sparkline>
            <x14:sparkline>
              <xm:f>RevenueTariffBasket_FO!BM287:BQ287</xm:f>
              <xm:sqref>BU287</xm:sqref>
            </x14:sparkline>
            <x14:sparkline>
              <xm:f>RevenueTariffBasket_FO!BM288:BQ288</xm:f>
              <xm:sqref>BU288</xm:sqref>
            </x14:sparkline>
            <x14:sparkline>
              <xm:f>RevenueTariffBasket_FO!BM289:BQ289</xm:f>
              <xm:sqref>BU289</xm:sqref>
            </x14:sparkline>
            <x14:sparkline>
              <xm:f>RevenueTariffBasket_FO!BM290:BQ290</xm:f>
              <xm:sqref>BU290</xm:sqref>
            </x14:sparkline>
            <x14:sparkline>
              <xm:f>RevenueTariffBasket_FO!BM291:BQ291</xm:f>
              <xm:sqref>BU291</xm:sqref>
            </x14:sparkline>
            <x14:sparkline>
              <xm:f>RevenueTariffBasket_FO!BM292:BQ292</xm:f>
              <xm:sqref>BU292</xm:sqref>
            </x14:sparkline>
            <x14:sparkline>
              <xm:f>RevenueTariffBasket_FO!BM293:BQ293</xm:f>
              <xm:sqref>BU293</xm:sqref>
            </x14:sparkline>
            <x14:sparkline>
              <xm:f>RevenueTariffBasket_FO!BM294:BQ294</xm:f>
              <xm:sqref>BU294</xm:sqref>
            </x14:sparkline>
            <x14:sparkline>
              <xm:f>RevenueTariffBasket_FO!BM295:BQ295</xm:f>
              <xm:sqref>BU295</xm:sqref>
            </x14:sparkline>
            <x14:sparkline>
              <xm:f>RevenueTariffBasket_FO!BM296:BQ296</xm:f>
              <xm:sqref>BU296</xm:sqref>
            </x14:sparkline>
            <x14:sparkline>
              <xm:f>RevenueTariffBasket_FO!BM297:BQ297</xm:f>
              <xm:sqref>BU297</xm:sqref>
            </x14:sparkline>
            <x14:sparkline>
              <xm:f>RevenueTariffBasket_FO!BM298:BQ298</xm:f>
              <xm:sqref>BU298</xm:sqref>
            </x14:sparkline>
            <x14:sparkline>
              <xm:f>RevenueTariffBasket_FO!BM299:BQ299</xm:f>
              <xm:sqref>BU299</xm:sqref>
            </x14:sparkline>
            <x14:sparkline>
              <xm:f>RevenueTariffBasket_FO!BM300:BQ300</xm:f>
              <xm:sqref>BU300</xm:sqref>
            </x14:sparkline>
            <x14:sparkline>
              <xm:f>RevenueTariffBasket_FO!BM301:BQ301</xm:f>
              <xm:sqref>BU301</xm:sqref>
            </x14:sparkline>
            <x14:sparkline>
              <xm:f>RevenueTariffBasket_FO!BM302:BQ302</xm:f>
              <xm:sqref>BU302</xm:sqref>
            </x14:sparkline>
            <x14:sparkline>
              <xm:f>RevenueTariffBasket_FO!BM303:BQ303</xm:f>
              <xm:sqref>BU303</xm:sqref>
            </x14:sparkline>
            <x14:sparkline>
              <xm:f>RevenueTariffBasket_FO!BM304:BQ304</xm:f>
              <xm:sqref>BU304</xm:sqref>
            </x14:sparkline>
            <x14:sparkline>
              <xm:f>RevenueTariffBasket_FO!BM305:BQ305</xm:f>
              <xm:sqref>BU305</xm:sqref>
            </x14:sparkline>
            <x14:sparkline>
              <xm:f>RevenueTariffBasket_FO!BM306:BQ306</xm:f>
              <xm:sqref>BU306</xm:sqref>
            </x14:sparkline>
            <x14:sparkline>
              <xm:f>RevenueTariffBasket_FO!BM307:BQ307</xm:f>
              <xm:sqref>BU307</xm:sqref>
            </x14:sparkline>
            <x14:sparkline>
              <xm:f>RevenueTariffBasket_FO!BM308:BQ308</xm:f>
              <xm:sqref>BU308</xm:sqref>
            </x14:sparkline>
            <x14:sparkline>
              <xm:f>RevenueTariffBasket_FO!BM309:BQ309</xm:f>
              <xm:sqref>BU309</xm:sqref>
            </x14:sparkline>
            <x14:sparkline>
              <xm:f>RevenueTariffBasket_FO!BM310:BQ310</xm:f>
              <xm:sqref>BU310</xm:sqref>
            </x14:sparkline>
            <x14:sparkline>
              <xm:f>RevenueTariffBasket_FO!BM311:BQ311</xm:f>
              <xm:sqref>BU311</xm:sqref>
            </x14:sparkline>
            <x14:sparkline>
              <xm:f>RevenueTariffBasket_FO!BM312:BQ312</xm:f>
              <xm:sqref>BU312</xm:sqref>
            </x14:sparkline>
            <x14:sparkline>
              <xm:f>RevenueTariffBasket_FO!BM313:BQ313</xm:f>
              <xm:sqref>BU313</xm:sqref>
            </x14:sparkline>
            <x14:sparkline>
              <xm:f>RevenueTariffBasket_FO!BM314:BQ314</xm:f>
              <xm:sqref>BU314</xm:sqref>
            </x14:sparkline>
            <x14:sparkline>
              <xm:f>RevenueTariffBasket_FO!BM315:BQ315</xm:f>
              <xm:sqref>BU315</xm:sqref>
            </x14:sparkline>
            <x14:sparkline>
              <xm:f>RevenueTariffBasket_FO!BM316:BQ316</xm:f>
              <xm:sqref>BU316</xm:sqref>
            </x14:sparkline>
            <x14:sparkline>
              <xm:f>RevenueTariffBasket_FO!BM317:BQ317</xm:f>
              <xm:sqref>BU317</xm:sqref>
            </x14:sparkline>
            <x14:sparkline>
              <xm:f>RevenueTariffBasket_FO!BM318:BQ318</xm:f>
              <xm:sqref>BU318</xm:sqref>
            </x14:sparkline>
            <x14:sparkline>
              <xm:f>RevenueTariffBasket_FO!BM319:BQ319</xm:f>
              <xm:sqref>BU319</xm:sqref>
            </x14:sparkline>
            <x14:sparkline>
              <xm:f>RevenueTariffBasket_FO!BM320:BQ320</xm:f>
              <xm:sqref>BU320</xm:sqref>
            </x14:sparkline>
            <x14:sparkline>
              <xm:f>RevenueTariffBasket_FO!BM321:BQ321</xm:f>
              <xm:sqref>BU321</xm:sqref>
            </x14:sparkline>
            <x14:sparkline>
              <xm:f>RevenueTariffBasket_FO!BM322:BQ322</xm:f>
              <xm:sqref>BU322</xm:sqref>
            </x14:sparkline>
            <x14:sparkline>
              <xm:f>RevenueTariffBasket_FO!BM323:BQ323</xm:f>
              <xm:sqref>BU323</xm:sqref>
            </x14:sparkline>
            <x14:sparkline>
              <xm:f>RevenueTariffBasket_FO!BM324:BQ324</xm:f>
              <xm:sqref>BU324</xm:sqref>
            </x14:sparkline>
            <x14:sparkline>
              <xm:f>RevenueTariffBasket_FO!BM325:BQ325</xm:f>
              <xm:sqref>BU325</xm:sqref>
            </x14:sparkline>
            <x14:sparkline>
              <xm:f>RevenueTariffBasket_FO!BM326:BQ326</xm:f>
              <xm:sqref>BU326</xm:sqref>
            </x14:sparkline>
            <x14:sparkline>
              <xm:f>RevenueTariffBasket_FO!BM327:BQ327</xm:f>
              <xm:sqref>BU327</xm:sqref>
            </x14:sparkline>
            <x14:sparkline>
              <xm:f>RevenueTariffBasket_FO!BM328:BQ328</xm:f>
              <xm:sqref>BU328</xm:sqref>
            </x14:sparkline>
            <x14:sparkline>
              <xm:f>RevenueTariffBasket_FO!BM329:BQ329</xm:f>
              <xm:sqref>BU329</xm:sqref>
            </x14:sparkline>
            <x14:sparkline>
              <xm:f>RevenueTariffBasket_FO!BM330:BQ330</xm:f>
              <xm:sqref>BU330</xm:sqref>
            </x14:sparkline>
            <x14:sparkline>
              <xm:f>RevenueTariffBasket_FO!BM331:BQ331</xm:f>
              <xm:sqref>BU331</xm:sqref>
            </x14:sparkline>
            <x14:sparkline>
              <xm:f>RevenueTariffBasket_FO!BM332:BQ332</xm:f>
              <xm:sqref>BU332</xm:sqref>
            </x14:sparkline>
            <x14:sparkline>
              <xm:f>RevenueTariffBasket_FO!BM333:BQ333</xm:f>
              <xm:sqref>BU333</xm:sqref>
            </x14:sparkline>
            <x14:sparkline>
              <xm:f>RevenueTariffBasket_FO!BM334:BQ334</xm:f>
              <xm:sqref>BU334</xm:sqref>
            </x14:sparkline>
            <x14:sparkline>
              <xm:f>RevenueTariffBasket_FO!BM335:BQ335</xm:f>
              <xm:sqref>BU335</xm:sqref>
            </x14:sparkline>
            <x14:sparkline>
              <xm:f>RevenueTariffBasket_FO!BM336:BQ336</xm:f>
              <xm:sqref>BU336</xm:sqref>
            </x14:sparkline>
            <x14:sparkline>
              <xm:f>RevenueTariffBasket_FO!BM337:BQ337</xm:f>
              <xm:sqref>BU337</xm:sqref>
            </x14:sparkline>
            <x14:sparkline>
              <xm:f>RevenueTariffBasket_FO!BM338:BQ338</xm:f>
              <xm:sqref>BU338</xm:sqref>
            </x14:sparkline>
            <x14:sparkline>
              <xm:f>RevenueTariffBasket_FO!BM339:BQ339</xm:f>
              <xm:sqref>BU339</xm:sqref>
            </x14:sparkline>
            <x14:sparkline>
              <xm:f>RevenueTariffBasket_FO!BM340:BQ340</xm:f>
              <xm:sqref>BU340</xm:sqref>
            </x14:sparkline>
            <x14:sparkline>
              <xm:f>RevenueTariffBasket_FO!BM341:BQ341</xm:f>
              <xm:sqref>BU341</xm:sqref>
            </x14:sparkline>
            <x14:sparkline>
              <xm:f>RevenueTariffBasket_FO!BM342:BQ342</xm:f>
              <xm:sqref>BU342</xm:sqref>
            </x14:sparkline>
            <x14:sparkline>
              <xm:f>RevenueTariffBasket_FO!BM343:BQ343</xm:f>
              <xm:sqref>BU343</xm:sqref>
            </x14:sparkline>
            <x14:sparkline>
              <xm:f>RevenueTariffBasket_FO!BM344:BQ344</xm:f>
              <xm:sqref>BU344</xm:sqref>
            </x14:sparkline>
            <x14:sparkline>
              <xm:f>RevenueTariffBasket_FO!BM345:BQ345</xm:f>
              <xm:sqref>BU345</xm:sqref>
            </x14:sparkline>
            <x14:sparkline>
              <xm:f>RevenueTariffBasket_FO!BM346:BQ346</xm:f>
              <xm:sqref>BU346</xm:sqref>
            </x14:sparkline>
            <x14:sparkline>
              <xm:f>RevenueTariffBasket_FO!BM347:BQ347</xm:f>
              <xm:sqref>BU347</xm:sqref>
            </x14:sparkline>
            <x14:sparkline>
              <xm:f>RevenueTariffBasket_FO!BM348:BQ348</xm:f>
              <xm:sqref>BU348</xm:sqref>
            </x14:sparkline>
            <x14:sparkline>
              <xm:f>RevenueTariffBasket_FO!BM349:BQ349</xm:f>
              <xm:sqref>BU349</xm:sqref>
            </x14:sparkline>
            <x14:sparkline>
              <xm:f>RevenueTariffBasket_FO!BM350:BQ350</xm:f>
              <xm:sqref>BU350</xm:sqref>
            </x14:sparkline>
            <x14:sparkline>
              <xm:f>RevenueTariffBasket_FO!BM351:BQ351</xm:f>
              <xm:sqref>BU351</xm:sqref>
            </x14:sparkline>
            <x14:sparkline>
              <xm:f>RevenueTariffBasket_FO!BM352:BQ352</xm:f>
              <xm:sqref>BU352</xm:sqref>
            </x14:sparkline>
            <x14:sparkline>
              <xm:f>RevenueTariffBasket_FO!BM353:BQ353</xm:f>
              <xm:sqref>BU353</xm:sqref>
            </x14:sparkline>
            <x14:sparkline>
              <xm:f>RevenueTariffBasket_FO!BM354:BQ354</xm:f>
              <xm:sqref>BU354</xm:sqref>
            </x14:sparkline>
            <x14:sparkline>
              <xm:f>RevenueTariffBasket_FO!BM355:BQ355</xm:f>
              <xm:sqref>BU355</xm:sqref>
            </x14:sparkline>
            <x14:sparkline>
              <xm:f>RevenueTariffBasket_FO!BM356:BQ356</xm:f>
              <xm:sqref>BU356</xm:sqref>
            </x14:sparkline>
            <x14:sparkline>
              <xm:f>RevenueTariffBasket_FO!BM357:BQ357</xm:f>
              <xm:sqref>BU357</xm:sqref>
            </x14:sparkline>
            <x14:sparkline>
              <xm:f>RevenueTariffBasket_FO!BM358:BQ358</xm:f>
              <xm:sqref>BU358</xm:sqref>
            </x14:sparkline>
            <x14:sparkline>
              <xm:f>RevenueTariffBasket_FO!BM359:BQ359</xm:f>
              <xm:sqref>BU359</xm:sqref>
            </x14:sparkline>
            <x14:sparkline>
              <xm:f>RevenueTariffBasket_FO!BM360:BQ360</xm:f>
              <xm:sqref>BU360</xm:sqref>
            </x14:sparkline>
            <x14:sparkline>
              <xm:f>RevenueTariffBasket_FO!BM361:BQ361</xm:f>
              <xm:sqref>BU361</xm:sqref>
            </x14:sparkline>
            <x14:sparkline>
              <xm:f>RevenueTariffBasket_FO!BM362:BQ362</xm:f>
              <xm:sqref>BU362</xm:sqref>
            </x14:sparkline>
            <x14:sparkline>
              <xm:f>RevenueTariffBasket_FO!BM363:BQ363</xm:f>
              <xm:sqref>BU363</xm:sqref>
            </x14:sparkline>
            <x14:sparkline>
              <xm:f>RevenueTariffBasket_FO!BM364:BQ364</xm:f>
              <xm:sqref>BU364</xm:sqref>
            </x14:sparkline>
            <x14:sparkline>
              <xm:f>RevenueTariffBasket_FO!BM365:BQ365</xm:f>
              <xm:sqref>BU365</xm:sqref>
            </x14:sparkline>
            <x14:sparkline>
              <xm:f>RevenueTariffBasket_FO!BM366:BQ366</xm:f>
              <xm:sqref>BU366</xm:sqref>
            </x14:sparkline>
            <x14:sparkline>
              <xm:f>RevenueTariffBasket_FO!BM367:BQ367</xm:f>
              <xm:sqref>BU367</xm:sqref>
            </x14:sparkline>
            <x14:sparkline>
              <xm:f>RevenueTariffBasket_FO!BM368:BQ368</xm:f>
              <xm:sqref>BU368</xm:sqref>
            </x14:sparkline>
            <x14:sparkline>
              <xm:f>RevenueTariffBasket_FO!BM369:BQ369</xm:f>
              <xm:sqref>BU369</xm:sqref>
            </x14:sparkline>
            <x14:sparkline>
              <xm:f>RevenueTariffBasket_FO!BM370:BQ370</xm:f>
              <xm:sqref>BU370</xm:sqref>
            </x14:sparkline>
            <x14:sparkline>
              <xm:f>RevenueTariffBasket_FO!BM371:BQ371</xm:f>
              <xm:sqref>BU371</xm:sqref>
            </x14:sparkline>
            <x14:sparkline>
              <xm:f>RevenueTariffBasket_FO!BM372:BQ372</xm:f>
              <xm:sqref>BU372</xm:sqref>
            </x14:sparkline>
            <x14:sparkline>
              <xm:f>RevenueTariffBasket_FO!BM373:BQ373</xm:f>
              <xm:sqref>BU373</xm:sqref>
            </x14:sparkline>
            <x14:sparkline>
              <xm:f>RevenueTariffBasket_FO!BM374:BQ374</xm:f>
              <xm:sqref>BU374</xm:sqref>
            </x14:sparkline>
            <x14:sparkline>
              <xm:f>RevenueTariffBasket_FO!BM375:BQ375</xm:f>
              <xm:sqref>BU375</xm:sqref>
            </x14:sparkline>
            <x14:sparkline>
              <xm:f>RevenueTariffBasket_FO!BM376:BQ376</xm:f>
              <xm:sqref>BU376</xm:sqref>
            </x14:sparkline>
            <x14:sparkline>
              <xm:f>RevenueTariffBasket_FO!BM377:BQ377</xm:f>
              <xm:sqref>BU377</xm:sqref>
            </x14:sparkline>
            <x14:sparkline>
              <xm:f>RevenueTariffBasket_FO!BM378:BQ378</xm:f>
              <xm:sqref>BU378</xm:sqref>
            </x14:sparkline>
            <x14:sparkline>
              <xm:f>RevenueTariffBasket_FO!BM379:BQ379</xm:f>
              <xm:sqref>BU379</xm:sqref>
            </x14:sparkline>
            <x14:sparkline>
              <xm:f>RevenueTariffBasket_FO!BM380:BQ380</xm:f>
              <xm:sqref>BU380</xm:sqref>
            </x14:sparkline>
            <x14:sparkline>
              <xm:f>RevenueTariffBasket_FO!BM381:BQ381</xm:f>
              <xm:sqref>BU381</xm:sqref>
            </x14:sparkline>
            <x14:sparkline>
              <xm:f>RevenueTariffBasket_FO!BM382:BQ382</xm:f>
              <xm:sqref>BU382</xm:sqref>
            </x14:sparkline>
            <x14:sparkline>
              <xm:f>RevenueTariffBasket_FO!BM383:BQ383</xm:f>
              <xm:sqref>BU383</xm:sqref>
            </x14:sparkline>
            <x14:sparkline>
              <xm:f>RevenueTariffBasket_FO!BM384:BQ384</xm:f>
              <xm:sqref>BU384</xm:sqref>
            </x14:sparkline>
            <x14:sparkline>
              <xm:f>RevenueTariffBasket_FO!BM385:BQ385</xm:f>
              <xm:sqref>BU385</xm:sqref>
            </x14:sparkline>
            <x14:sparkline>
              <xm:f>RevenueTariffBasket_FO!BM386:BQ386</xm:f>
              <xm:sqref>BU386</xm:sqref>
            </x14:sparkline>
            <x14:sparkline>
              <xm:f>RevenueTariffBasket_FO!BM387:BQ387</xm:f>
              <xm:sqref>BU387</xm:sqref>
            </x14:sparkline>
            <x14:sparkline>
              <xm:f>RevenueTariffBasket_FO!BM388:BQ388</xm:f>
              <xm:sqref>BU388</xm:sqref>
            </x14:sparkline>
            <x14:sparkline>
              <xm:f>RevenueTariffBasket_FO!BM389:BQ389</xm:f>
              <xm:sqref>BU389</xm:sqref>
            </x14:sparkline>
            <x14:sparkline>
              <xm:f>RevenueTariffBasket_FO!BM390:BQ390</xm:f>
              <xm:sqref>BU390</xm:sqref>
            </x14:sparkline>
            <x14:sparkline>
              <xm:f>RevenueTariffBasket_FO!BM391:BQ391</xm:f>
              <xm:sqref>BU391</xm:sqref>
            </x14:sparkline>
            <x14:sparkline>
              <xm:f>RevenueTariffBasket_FO!BM392:BQ392</xm:f>
              <xm:sqref>BU392</xm:sqref>
            </x14:sparkline>
            <x14:sparkline>
              <xm:f>RevenueTariffBasket_FO!BM393:BQ393</xm:f>
              <xm:sqref>BU393</xm:sqref>
            </x14:sparkline>
            <x14:sparkline>
              <xm:f>RevenueTariffBasket_FO!BM394:BQ394</xm:f>
              <xm:sqref>BU394</xm:sqref>
            </x14:sparkline>
            <x14:sparkline>
              <xm:f>RevenueTariffBasket_FO!BM395:BQ395</xm:f>
              <xm:sqref>BU395</xm:sqref>
            </x14:sparkline>
            <x14:sparkline>
              <xm:f>RevenueTariffBasket_FO!BM396:BQ396</xm:f>
              <xm:sqref>BU396</xm:sqref>
            </x14:sparkline>
            <x14:sparkline>
              <xm:f>RevenueTariffBasket_FO!BM397:BQ397</xm:f>
              <xm:sqref>BU397</xm:sqref>
            </x14:sparkline>
            <x14:sparkline>
              <xm:f>RevenueTariffBasket_FO!BM398:BQ398</xm:f>
              <xm:sqref>BU398</xm:sqref>
            </x14:sparkline>
            <x14:sparkline>
              <xm:f>RevenueTariffBasket_FO!BM399:BQ399</xm:f>
              <xm:sqref>BU399</xm:sqref>
            </x14:sparkline>
            <x14:sparkline>
              <xm:f>RevenueTariffBasket_FO!BM400:BQ400</xm:f>
              <xm:sqref>BU400</xm:sqref>
            </x14:sparkline>
            <x14:sparkline>
              <xm:f>RevenueTariffBasket_FO!BM401:BQ401</xm:f>
              <xm:sqref>BU401</xm:sqref>
            </x14:sparkline>
            <x14:sparkline>
              <xm:f>RevenueTariffBasket_FO!BM402:BQ402</xm:f>
              <xm:sqref>BU402</xm:sqref>
            </x14:sparkline>
            <x14:sparkline>
              <xm:f>RevenueTariffBasket_FO!BM403:BQ403</xm:f>
              <xm:sqref>BU403</xm:sqref>
            </x14:sparkline>
            <x14:sparkline>
              <xm:f>RevenueTariffBasket_FO!BM404:BQ404</xm:f>
              <xm:sqref>BU404</xm:sqref>
            </x14:sparkline>
            <x14:sparkline>
              <xm:f>RevenueTariffBasket_FO!BM405:BQ405</xm:f>
              <xm:sqref>BU405</xm:sqref>
            </x14:sparkline>
            <x14:sparkline>
              <xm:f>RevenueTariffBasket_FO!BM406:BQ406</xm:f>
              <xm:sqref>BU406</xm:sqref>
            </x14:sparkline>
            <x14:sparkline>
              <xm:f>RevenueTariffBasket_FO!BM407:BQ407</xm:f>
              <xm:sqref>BU407</xm:sqref>
            </x14:sparkline>
            <x14:sparkline>
              <xm:f>RevenueTariffBasket_FO!BM408:BQ408</xm:f>
              <xm:sqref>BU408</xm:sqref>
            </x14:sparkline>
            <x14:sparkline>
              <xm:f>RevenueTariffBasket_FO!BM409:BQ409</xm:f>
              <xm:sqref>BU409</xm:sqref>
            </x14:sparkline>
            <x14:sparkline>
              <xm:f>RevenueTariffBasket_FO!BM410:BQ410</xm:f>
              <xm:sqref>BU410</xm:sqref>
            </x14:sparkline>
            <x14:sparkline>
              <xm:f>RevenueTariffBasket_FO!BM411:BQ411</xm:f>
              <xm:sqref>BU411</xm:sqref>
            </x14:sparkline>
            <x14:sparkline>
              <xm:f>RevenueTariffBasket_FO!BM412:BQ412</xm:f>
              <xm:sqref>BU412</xm:sqref>
            </x14:sparkline>
            <x14:sparkline>
              <xm:f>RevenueTariffBasket_FO!BM413:BQ413</xm:f>
              <xm:sqref>BU413</xm:sqref>
            </x14:sparkline>
            <x14:sparkline>
              <xm:f>RevenueTariffBasket_FO!BM414:BQ414</xm:f>
              <xm:sqref>BU414</xm:sqref>
            </x14:sparkline>
            <x14:sparkline>
              <xm:f>RevenueTariffBasket_FO!BM415:BQ415</xm:f>
              <xm:sqref>BU415</xm:sqref>
            </x14:sparkline>
            <x14:sparkline>
              <xm:f>RevenueTariffBasket_FO!BM416:BQ416</xm:f>
              <xm:sqref>BU416</xm:sqref>
            </x14:sparkline>
            <x14:sparkline>
              <xm:f>RevenueTariffBasket_FO!BM417:BQ417</xm:f>
              <xm:sqref>BU417</xm:sqref>
            </x14:sparkline>
            <x14:sparkline>
              <xm:f>RevenueTariffBasket_FO!BM418:BQ418</xm:f>
              <xm:sqref>BU418</xm:sqref>
            </x14:sparkline>
            <x14:sparkline>
              <xm:f>RevenueTariffBasket_FO!BM419:BQ419</xm:f>
              <xm:sqref>BU419</xm:sqref>
            </x14:sparkline>
            <x14:sparkline>
              <xm:f>RevenueTariffBasket_FO!BM420:BQ420</xm:f>
              <xm:sqref>BU420</xm:sqref>
            </x14:sparkline>
            <x14:sparkline>
              <xm:f>RevenueTariffBasket_FO!BM421:BQ421</xm:f>
              <xm:sqref>BU421</xm:sqref>
            </x14:sparkline>
            <x14:sparkline>
              <xm:f>RevenueTariffBasket_FO!BM422:BQ422</xm:f>
              <xm:sqref>BU422</xm:sqref>
            </x14:sparkline>
            <x14:sparkline>
              <xm:f>RevenueTariffBasket_FO!BM423:BQ423</xm:f>
              <xm:sqref>BU423</xm:sqref>
            </x14:sparkline>
            <x14:sparkline>
              <xm:f>RevenueTariffBasket_FO!BM424:BQ424</xm:f>
              <xm:sqref>BU424</xm:sqref>
            </x14:sparkline>
            <x14:sparkline>
              <xm:f>RevenueTariffBasket_FO!BM425:BQ425</xm:f>
              <xm:sqref>BU425</xm:sqref>
            </x14:sparkline>
            <x14:sparkline>
              <xm:f>RevenueTariffBasket_FO!BM426:BQ426</xm:f>
              <xm:sqref>BU426</xm:sqref>
            </x14:sparkline>
            <x14:sparkline>
              <xm:f>RevenueTariffBasket_FO!BM427:BQ427</xm:f>
              <xm:sqref>BU427</xm:sqref>
            </x14:sparkline>
            <x14:sparkline>
              <xm:f>RevenueTariffBasket_FO!BM428:BQ428</xm:f>
              <xm:sqref>BU428</xm:sqref>
            </x14:sparkline>
            <x14:sparkline>
              <xm:f>RevenueTariffBasket_FO!BM429:BQ429</xm:f>
              <xm:sqref>BU429</xm:sqref>
            </x14:sparkline>
            <x14:sparkline>
              <xm:f>RevenueTariffBasket_FO!BM430:BQ430</xm:f>
              <xm:sqref>BU430</xm:sqref>
            </x14:sparkline>
            <x14:sparkline>
              <xm:f>RevenueTariffBasket_FO!BM431:BQ431</xm:f>
              <xm:sqref>BU431</xm:sqref>
            </x14:sparkline>
            <x14:sparkline>
              <xm:f>RevenueTariffBasket_FO!BM432:BQ432</xm:f>
              <xm:sqref>BU432</xm:sqref>
            </x14:sparkline>
            <x14:sparkline>
              <xm:f>RevenueTariffBasket_FO!BM433:BQ433</xm:f>
              <xm:sqref>BU433</xm:sqref>
            </x14:sparkline>
            <x14:sparkline>
              <xm:f>RevenueTariffBasket_FO!BM434:BQ434</xm:f>
              <xm:sqref>BU434</xm:sqref>
            </x14:sparkline>
            <x14:sparkline>
              <xm:f>RevenueTariffBasket_FO!BM435:BQ435</xm:f>
              <xm:sqref>BU435</xm:sqref>
            </x14:sparkline>
            <x14:sparkline>
              <xm:f>RevenueTariffBasket_FO!BM436:BQ436</xm:f>
              <xm:sqref>BU436</xm:sqref>
            </x14:sparkline>
            <x14:sparkline>
              <xm:f>RevenueTariffBasket_FO!BM437:BQ437</xm:f>
              <xm:sqref>BU437</xm:sqref>
            </x14:sparkline>
            <x14:sparkline>
              <xm:f>RevenueTariffBasket_FO!BM438:BQ438</xm:f>
              <xm:sqref>BU438</xm:sqref>
            </x14:sparkline>
            <x14:sparkline>
              <xm:f>RevenueTariffBasket_FO!BM439:BQ439</xm:f>
              <xm:sqref>BU439</xm:sqref>
            </x14:sparkline>
            <x14:sparkline>
              <xm:f>RevenueTariffBasket_FO!BM440:BQ440</xm:f>
              <xm:sqref>BU440</xm:sqref>
            </x14:sparkline>
            <x14:sparkline>
              <xm:f>RevenueTariffBasket_FO!BM441:BQ441</xm:f>
              <xm:sqref>BU441</xm:sqref>
            </x14:sparkline>
            <x14:sparkline>
              <xm:f>RevenueTariffBasket_FO!BM442:BQ442</xm:f>
              <xm:sqref>BU442</xm:sqref>
            </x14:sparkline>
            <x14:sparkline>
              <xm:f>RevenueTariffBasket_FO!BM443:BQ443</xm:f>
              <xm:sqref>BU443</xm:sqref>
            </x14:sparkline>
          </x14:sparklines>
        </x14:sparklineGroup>
        <x14:sparklineGroup manualMax="0" manualMin="0" displayEmptyCellsAs="gap" xr2:uid="{00000000-0003-0000-0C00-000006000000}">
          <x14:colorSeries theme="5"/>
          <x14:colorNegative theme="6"/>
          <x14:colorAxis rgb="FF000000"/>
          <x14:colorMarkers theme="5" tint="-0.249977111117893"/>
          <x14:colorFirst theme="5" tint="-0.249977111117893"/>
          <x14:colorLast theme="5" tint="-0.249977111117893"/>
          <x14:colorHigh theme="5" tint="-0.249977111117893"/>
          <x14:colorLow theme="5" tint="-0.249977111117893"/>
          <x14:sparklines>
            <x14:sparkline>
              <xm:f>RevenueTariffBasket_FO!BH69:BL69</xm:f>
              <xm:sqref>BT69</xm:sqref>
            </x14:sparkline>
            <x14:sparkline>
              <xm:f>RevenueTariffBasket_FO!BH70:BL70</xm:f>
              <xm:sqref>BT70</xm:sqref>
            </x14:sparkline>
            <x14:sparkline>
              <xm:f>RevenueTariffBasket_FO!BH71:BL71</xm:f>
              <xm:sqref>BT71</xm:sqref>
            </x14:sparkline>
            <x14:sparkline>
              <xm:f>RevenueTariffBasket_FO!BH72:BL72</xm:f>
              <xm:sqref>BT72</xm:sqref>
            </x14:sparkline>
            <x14:sparkline>
              <xm:f>RevenueTariffBasket_FO!BH73:BL73</xm:f>
              <xm:sqref>BT73</xm:sqref>
            </x14:sparkline>
            <x14:sparkline>
              <xm:f>RevenueTariffBasket_FO!BH74:BL74</xm:f>
              <xm:sqref>BT74</xm:sqref>
            </x14:sparkline>
            <x14:sparkline>
              <xm:f>RevenueTariffBasket_FO!BH75:BL75</xm:f>
              <xm:sqref>BT75</xm:sqref>
            </x14:sparkline>
            <x14:sparkline>
              <xm:f>RevenueTariffBasket_FO!BH76:BL76</xm:f>
              <xm:sqref>BT76</xm:sqref>
            </x14:sparkline>
            <x14:sparkline>
              <xm:f>RevenueTariffBasket_FO!BH77:BL77</xm:f>
              <xm:sqref>BT77</xm:sqref>
            </x14:sparkline>
            <x14:sparkline>
              <xm:f>RevenueTariffBasket_FO!BH78:BL78</xm:f>
              <xm:sqref>BT78</xm:sqref>
            </x14:sparkline>
            <x14:sparkline>
              <xm:f>RevenueTariffBasket_FO!BH79:BL79</xm:f>
              <xm:sqref>BT79</xm:sqref>
            </x14:sparkline>
            <x14:sparkline>
              <xm:f>RevenueTariffBasket_FO!BH80:BL80</xm:f>
              <xm:sqref>BT80</xm:sqref>
            </x14:sparkline>
            <x14:sparkline>
              <xm:f>RevenueTariffBasket_FO!BH81:BL81</xm:f>
              <xm:sqref>BT81</xm:sqref>
            </x14:sparkline>
            <x14:sparkline>
              <xm:f>RevenueTariffBasket_FO!BH82:BL82</xm:f>
              <xm:sqref>BT82</xm:sqref>
            </x14:sparkline>
            <x14:sparkline>
              <xm:f>RevenueTariffBasket_FO!BH83:BL83</xm:f>
              <xm:sqref>BT83</xm:sqref>
            </x14:sparkline>
            <x14:sparkline>
              <xm:f>RevenueTariffBasket_FO!BH84:BL84</xm:f>
              <xm:sqref>BT84</xm:sqref>
            </x14:sparkline>
            <x14:sparkline>
              <xm:f>RevenueTariffBasket_FO!BH85:BL85</xm:f>
              <xm:sqref>BT85</xm:sqref>
            </x14:sparkline>
            <x14:sparkline>
              <xm:f>RevenueTariffBasket_FO!BH86:BL86</xm:f>
              <xm:sqref>BT86</xm:sqref>
            </x14:sparkline>
            <x14:sparkline>
              <xm:f>RevenueTariffBasket_FO!BH87:BL87</xm:f>
              <xm:sqref>BT87</xm:sqref>
            </x14:sparkline>
            <x14:sparkline>
              <xm:f>RevenueTariffBasket_FO!BH88:BL88</xm:f>
              <xm:sqref>BT88</xm:sqref>
            </x14:sparkline>
            <x14:sparkline>
              <xm:f>RevenueTariffBasket_FO!BH89:BL89</xm:f>
              <xm:sqref>BT89</xm:sqref>
            </x14:sparkline>
            <x14:sparkline>
              <xm:f>RevenueTariffBasket_FO!BH90:BL90</xm:f>
              <xm:sqref>BT90</xm:sqref>
            </x14:sparkline>
            <x14:sparkline>
              <xm:f>RevenueTariffBasket_FO!BH91:BL91</xm:f>
              <xm:sqref>BT91</xm:sqref>
            </x14:sparkline>
            <x14:sparkline>
              <xm:f>RevenueTariffBasket_FO!BH92:BL92</xm:f>
              <xm:sqref>BT92</xm:sqref>
            </x14:sparkline>
            <x14:sparkline>
              <xm:f>RevenueTariffBasket_FO!BH93:BL93</xm:f>
              <xm:sqref>BT93</xm:sqref>
            </x14:sparkline>
            <x14:sparkline>
              <xm:f>RevenueTariffBasket_FO!BH94:BL94</xm:f>
              <xm:sqref>BT94</xm:sqref>
            </x14:sparkline>
            <x14:sparkline>
              <xm:f>RevenueTariffBasket_FO!BH95:BL95</xm:f>
              <xm:sqref>BT95</xm:sqref>
            </x14:sparkline>
            <x14:sparkline>
              <xm:f>RevenueTariffBasket_FO!BH96:BL96</xm:f>
              <xm:sqref>BT96</xm:sqref>
            </x14:sparkline>
            <x14:sparkline>
              <xm:f>RevenueTariffBasket_FO!BH97:BL97</xm:f>
              <xm:sqref>BT97</xm:sqref>
            </x14:sparkline>
            <x14:sparkline>
              <xm:f>RevenueTariffBasket_FO!BH98:BL98</xm:f>
              <xm:sqref>BT98</xm:sqref>
            </x14:sparkline>
            <x14:sparkline>
              <xm:f>RevenueTariffBasket_FO!BH99:BL99</xm:f>
              <xm:sqref>BT99</xm:sqref>
            </x14:sparkline>
            <x14:sparkline>
              <xm:f>RevenueTariffBasket_FO!BH100:BL100</xm:f>
              <xm:sqref>BT100</xm:sqref>
            </x14:sparkline>
            <x14:sparkline>
              <xm:f>RevenueTariffBasket_FO!BH101:BL101</xm:f>
              <xm:sqref>BT101</xm:sqref>
            </x14:sparkline>
            <x14:sparkline>
              <xm:f>RevenueTariffBasket_FO!BH102:BL102</xm:f>
              <xm:sqref>BT102</xm:sqref>
            </x14:sparkline>
            <x14:sparkline>
              <xm:f>RevenueTariffBasket_FO!BH103:BL103</xm:f>
              <xm:sqref>BT103</xm:sqref>
            </x14:sparkline>
            <x14:sparkline>
              <xm:f>RevenueTariffBasket_FO!BH104:BL104</xm:f>
              <xm:sqref>BT104</xm:sqref>
            </x14:sparkline>
            <x14:sparkline>
              <xm:f>RevenueTariffBasket_FO!BH105:BL105</xm:f>
              <xm:sqref>BT105</xm:sqref>
            </x14:sparkline>
            <x14:sparkline>
              <xm:f>RevenueTariffBasket_FO!BH106:BL106</xm:f>
              <xm:sqref>BT106</xm:sqref>
            </x14:sparkline>
            <x14:sparkline>
              <xm:f>RevenueTariffBasket_FO!BH107:BL107</xm:f>
              <xm:sqref>BT107</xm:sqref>
            </x14:sparkline>
            <x14:sparkline>
              <xm:f>RevenueTariffBasket_FO!BH108:BL108</xm:f>
              <xm:sqref>BT108</xm:sqref>
            </x14:sparkline>
            <x14:sparkline>
              <xm:f>RevenueTariffBasket_FO!BH109:BL109</xm:f>
              <xm:sqref>BT109</xm:sqref>
            </x14:sparkline>
            <x14:sparkline>
              <xm:f>RevenueTariffBasket_FO!BH110:BL110</xm:f>
              <xm:sqref>BT110</xm:sqref>
            </x14:sparkline>
            <x14:sparkline>
              <xm:f>RevenueTariffBasket_FO!BH111:BL111</xm:f>
              <xm:sqref>BT111</xm:sqref>
            </x14:sparkline>
            <x14:sparkline>
              <xm:f>RevenueTariffBasket_FO!BH112:BL112</xm:f>
              <xm:sqref>BT112</xm:sqref>
            </x14:sparkline>
            <x14:sparkline>
              <xm:f>RevenueTariffBasket_FO!BH113:BL113</xm:f>
              <xm:sqref>BT113</xm:sqref>
            </x14:sparkline>
            <x14:sparkline>
              <xm:f>RevenueTariffBasket_FO!BH114:BL114</xm:f>
              <xm:sqref>BT114</xm:sqref>
            </x14:sparkline>
            <x14:sparkline>
              <xm:f>RevenueTariffBasket_FO!BH115:BL115</xm:f>
              <xm:sqref>BT115</xm:sqref>
            </x14:sparkline>
            <x14:sparkline>
              <xm:f>RevenueTariffBasket_FO!BH116:BL116</xm:f>
              <xm:sqref>BT116</xm:sqref>
            </x14:sparkline>
            <x14:sparkline>
              <xm:f>RevenueTariffBasket_FO!BH117:BL117</xm:f>
              <xm:sqref>BT117</xm:sqref>
            </x14:sparkline>
            <x14:sparkline>
              <xm:f>RevenueTariffBasket_FO!BH118:BL118</xm:f>
              <xm:sqref>BT118</xm:sqref>
            </x14:sparkline>
            <x14:sparkline>
              <xm:f>RevenueTariffBasket_FO!BH119:BL119</xm:f>
              <xm:sqref>BT119</xm:sqref>
            </x14:sparkline>
            <x14:sparkline>
              <xm:f>RevenueTariffBasket_FO!BH120:BL120</xm:f>
              <xm:sqref>BT120</xm:sqref>
            </x14:sparkline>
            <x14:sparkline>
              <xm:f>RevenueTariffBasket_FO!BH121:BL121</xm:f>
              <xm:sqref>BT121</xm:sqref>
            </x14:sparkline>
            <x14:sparkline>
              <xm:f>RevenueTariffBasket_FO!BH122:BL122</xm:f>
              <xm:sqref>BT122</xm:sqref>
            </x14:sparkline>
            <x14:sparkline>
              <xm:f>RevenueTariffBasket_FO!BH123:BL123</xm:f>
              <xm:sqref>BT123</xm:sqref>
            </x14:sparkline>
            <x14:sparkline>
              <xm:f>RevenueTariffBasket_FO!BH124:BL124</xm:f>
              <xm:sqref>BT124</xm:sqref>
            </x14:sparkline>
            <x14:sparkline>
              <xm:f>RevenueTariffBasket_FO!BH125:BL125</xm:f>
              <xm:sqref>BT125</xm:sqref>
            </x14:sparkline>
            <x14:sparkline>
              <xm:f>RevenueTariffBasket_FO!BH126:BL126</xm:f>
              <xm:sqref>BT126</xm:sqref>
            </x14:sparkline>
            <x14:sparkline>
              <xm:f>RevenueTariffBasket_FO!BH127:BL127</xm:f>
              <xm:sqref>BT127</xm:sqref>
            </x14:sparkline>
            <x14:sparkline>
              <xm:f>RevenueTariffBasket_FO!BH128:BL128</xm:f>
              <xm:sqref>BT128</xm:sqref>
            </x14:sparkline>
            <x14:sparkline>
              <xm:f>RevenueTariffBasket_FO!BH129:BL129</xm:f>
              <xm:sqref>BT129</xm:sqref>
            </x14:sparkline>
            <x14:sparkline>
              <xm:f>RevenueTariffBasket_FO!BH130:BL130</xm:f>
              <xm:sqref>BT130</xm:sqref>
            </x14:sparkline>
            <x14:sparkline>
              <xm:f>RevenueTariffBasket_FO!BH131:BL131</xm:f>
              <xm:sqref>BT131</xm:sqref>
            </x14:sparkline>
            <x14:sparkline>
              <xm:f>RevenueTariffBasket_FO!BH132:BL132</xm:f>
              <xm:sqref>BT132</xm:sqref>
            </x14:sparkline>
            <x14:sparkline>
              <xm:f>RevenueTariffBasket_FO!BH133:BL133</xm:f>
              <xm:sqref>BT133</xm:sqref>
            </x14:sparkline>
            <x14:sparkline>
              <xm:f>RevenueTariffBasket_FO!BH134:BL134</xm:f>
              <xm:sqref>BT134</xm:sqref>
            </x14:sparkline>
            <x14:sparkline>
              <xm:f>RevenueTariffBasket_FO!BH135:BL135</xm:f>
              <xm:sqref>BT135</xm:sqref>
            </x14:sparkline>
            <x14:sparkline>
              <xm:f>RevenueTariffBasket_FO!BH136:BL136</xm:f>
              <xm:sqref>BT136</xm:sqref>
            </x14:sparkline>
            <x14:sparkline>
              <xm:f>RevenueTariffBasket_FO!BH137:BL137</xm:f>
              <xm:sqref>BT137</xm:sqref>
            </x14:sparkline>
            <x14:sparkline>
              <xm:f>RevenueTariffBasket_FO!BH138:BL138</xm:f>
              <xm:sqref>BT138</xm:sqref>
            </x14:sparkline>
            <x14:sparkline>
              <xm:f>RevenueTariffBasket_FO!BH139:BL139</xm:f>
              <xm:sqref>BT139</xm:sqref>
            </x14:sparkline>
            <x14:sparkline>
              <xm:f>RevenueTariffBasket_FO!BH140:BL140</xm:f>
              <xm:sqref>BT140</xm:sqref>
            </x14:sparkline>
            <x14:sparkline>
              <xm:f>RevenueTariffBasket_FO!BH141:BL141</xm:f>
              <xm:sqref>BT141</xm:sqref>
            </x14:sparkline>
            <x14:sparkline>
              <xm:f>RevenueTariffBasket_FO!BH142:BL142</xm:f>
              <xm:sqref>BT142</xm:sqref>
            </x14:sparkline>
            <x14:sparkline>
              <xm:f>RevenueTariffBasket_FO!BH143:BL143</xm:f>
              <xm:sqref>BT143</xm:sqref>
            </x14:sparkline>
            <x14:sparkline>
              <xm:f>RevenueTariffBasket_FO!BH144:BL144</xm:f>
              <xm:sqref>BT144</xm:sqref>
            </x14:sparkline>
            <x14:sparkline>
              <xm:f>RevenueTariffBasket_FO!BH145:BL145</xm:f>
              <xm:sqref>BT145</xm:sqref>
            </x14:sparkline>
            <x14:sparkline>
              <xm:f>RevenueTariffBasket_FO!BH146:BL146</xm:f>
              <xm:sqref>BT146</xm:sqref>
            </x14:sparkline>
            <x14:sparkline>
              <xm:f>RevenueTariffBasket_FO!BH147:BL147</xm:f>
              <xm:sqref>BT147</xm:sqref>
            </x14:sparkline>
            <x14:sparkline>
              <xm:f>RevenueTariffBasket_FO!BH148:BL148</xm:f>
              <xm:sqref>BT148</xm:sqref>
            </x14:sparkline>
            <x14:sparkline>
              <xm:f>RevenueTariffBasket_FO!BH149:BL149</xm:f>
              <xm:sqref>BT149</xm:sqref>
            </x14:sparkline>
            <x14:sparkline>
              <xm:f>RevenueTariffBasket_FO!BH150:BL150</xm:f>
              <xm:sqref>BT150</xm:sqref>
            </x14:sparkline>
            <x14:sparkline>
              <xm:f>RevenueTariffBasket_FO!BH151:BL151</xm:f>
              <xm:sqref>BT151</xm:sqref>
            </x14:sparkline>
            <x14:sparkline>
              <xm:f>RevenueTariffBasket_FO!BH152:BL152</xm:f>
              <xm:sqref>BT152</xm:sqref>
            </x14:sparkline>
            <x14:sparkline>
              <xm:f>RevenueTariffBasket_FO!BH153:BL153</xm:f>
              <xm:sqref>BT153</xm:sqref>
            </x14:sparkline>
            <x14:sparkline>
              <xm:f>RevenueTariffBasket_FO!BH154:BL154</xm:f>
              <xm:sqref>BT154</xm:sqref>
            </x14:sparkline>
            <x14:sparkline>
              <xm:f>RevenueTariffBasket_FO!BH155:BL155</xm:f>
              <xm:sqref>BT155</xm:sqref>
            </x14:sparkline>
            <x14:sparkline>
              <xm:f>RevenueTariffBasket_FO!BH156:BL156</xm:f>
              <xm:sqref>BT156</xm:sqref>
            </x14:sparkline>
            <x14:sparkline>
              <xm:f>RevenueTariffBasket_FO!BH157:BL157</xm:f>
              <xm:sqref>BT157</xm:sqref>
            </x14:sparkline>
            <x14:sparkline>
              <xm:f>RevenueTariffBasket_FO!BH158:BL158</xm:f>
              <xm:sqref>BT158</xm:sqref>
            </x14:sparkline>
            <x14:sparkline>
              <xm:f>RevenueTariffBasket_FO!BH159:BL159</xm:f>
              <xm:sqref>BT159</xm:sqref>
            </x14:sparkline>
            <x14:sparkline>
              <xm:f>RevenueTariffBasket_FO!BH160:BL160</xm:f>
              <xm:sqref>BT160</xm:sqref>
            </x14:sparkline>
            <x14:sparkline>
              <xm:f>RevenueTariffBasket_FO!BH161:BL161</xm:f>
              <xm:sqref>BT161</xm:sqref>
            </x14:sparkline>
            <x14:sparkline>
              <xm:f>RevenueTariffBasket_FO!BH162:BL162</xm:f>
              <xm:sqref>BT162</xm:sqref>
            </x14:sparkline>
            <x14:sparkline>
              <xm:f>RevenueTariffBasket_FO!BH163:BL163</xm:f>
              <xm:sqref>BT163</xm:sqref>
            </x14:sparkline>
            <x14:sparkline>
              <xm:f>RevenueTariffBasket_FO!BH164:BL164</xm:f>
              <xm:sqref>BT164</xm:sqref>
            </x14:sparkline>
            <x14:sparkline>
              <xm:f>RevenueTariffBasket_FO!BH165:BL165</xm:f>
              <xm:sqref>BT165</xm:sqref>
            </x14:sparkline>
            <x14:sparkline>
              <xm:f>RevenueTariffBasket_FO!BH166:BL166</xm:f>
              <xm:sqref>BT166</xm:sqref>
            </x14:sparkline>
            <x14:sparkline>
              <xm:f>RevenueTariffBasket_FO!BH167:BL167</xm:f>
              <xm:sqref>BT167</xm:sqref>
            </x14:sparkline>
            <x14:sparkline>
              <xm:f>RevenueTariffBasket_FO!BH168:BL168</xm:f>
              <xm:sqref>BT168</xm:sqref>
            </x14:sparkline>
            <x14:sparkline>
              <xm:f>RevenueTariffBasket_FO!BH169:BL169</xm:f>
              <xm:sqref>BT169</xm:sqref>
            </x14:sparkline>
            <x14:sparkline>
              <xm:f>RevenueTariffBasket_FO!BH170:BL170</xm:f>
              <xm:sqref>BT170</xm:sqref>
            </x14:sparkline>
            <x14:sparkline>
              <xm:f>RevenueTariffBasket_FO!BH171:BL171</xm:f>
              <xm:sqref>BT171</xm:sqref>
            </x14:sparkline>
            <x14:sparkline>
              <xm:f>RevenueTariffBasket_FO!BH172:BL172</xm:f>
              <xm:sqref>BT172</xm:sqref>
            </x14:sparkline>
            <x14:sparkline>
              <xm:f>RevenueTariffBasket_FO!BH173:BL173</xm:f>
              <xm:sqref>BT173</xm:sqref>
            </x14:sparkline>
            <x14:sparkline>
              <xm:f>RevenueTariffBasket_FO!BH174:BL174</xm:f>
              <xm:sqref>BT174</xm:sqref>
            </x14:sparkline>
            <x14:sparkline>
              <xm:f>RevenueTariffBasket_FO!BH175:BL175</xm:f>
              <xm:sqref>BT175</xm:sqref>
            </x14:sparkline>
            <x14:sparkline>
              <xm:f>RevenueTariffBasket_FO!BH176:BL176</xm:f>
              <xm:sqref>BT176</xm:sqref>
            </x14:sparkline>
            <x14:sparkline>
              <xm:f>RevenueTariffBasket_FO!BH177:BL177</xm:f>
              <xm:sqref>BT177</xm:sqref>
            </x14:sparkline>
            <x14:sparkline>
              <xm:f>RevenueTariffBasket_FO!BH178:BL178</xm:f>
              <xm:sqref>BT178</xm:sqref>
            </x14:sparkline>
            <x14:sparkline>
              <xm:f>RevenueTariffBasket_FO!BH179:BL179</xm:f>
              <xm:sqref>BT179</xm:sqref>
            </x14:sparkline>
            <x14:sparkline>
              <xm:f>RevenueTariffBasket_FO!BH180:BL180</xm:f>
              <xm:sqref>BT180</xm:sqref>
            </x14:sparkline>
            <x14:sparkline>
              <xm:f>RevenueTariffBasket_FO!BH181:BL181</xm:f>
              <xm:sqref>BT181</xm:sqref>
            </x14:sparkline>
            <x14:sparkline>
              <xm:f>RevenueTariffBasket_FO!BH182:BL182</xm:f>
              <xm:sqref>BT182</xm:sqref>
            </x14:sparkline>
            <x14:sparkline>
              <xm:f>RevenueTariffBasket_FO!BH183:BL183</xm:f>
              <xm:sqref>BT183</xm:sqref>
            </x14:sparkline>
            <x14:sparkline>
              <xm:f>RevenueTariffBasket_FO!BH184:BL184</xm:f>
              <xm:sqref>BT184</xm:sqref>
            </x14:sparkline>
            <x14:sparkline>
              <xm:f>RevenueTariffBasket_FO!BH185:BL185</xm:f>
              <xm:sqref>BT185</xm:sqref>
            </x14:sparkline>
            <x14:sparkline>
              <xm:f>RevenueTariffBasket_FO!BH186:BL186</xm:f>
              <xm:sqref>BT186</xm:sqref>
            </x14:sparkline>
            <x14:sparkline>
              <xm:f>RevenueTariffBasket_FO!BH187:BL187</xm:f>
              <xm:sqref>BT187</xm:sqref>
            </x14:sparkline>
            <x14:sparkline>
              <xm:f>RevenueTariffBasket_FO!BH188:BL188</xm:f>
              <xm:sqref>BT188</xm:sqref>
            </x14:sparkline>
            <x14:sparkline>
              <xm:f>RevenueTariffBasket_FO!BH189:BL189</xm:f>
              <xm:sqref>BT189</xm:sqref>
            </x14:sparkline>
            <x14:sparkline>
              <xm:f>RevenueTariffBasket_FO!BH190:BL190</xm:f>
              <xm:sqref>BT190</xm:sqref>
            </x14:sparkline>
            <x14:sparkline>
              <xm:f>RevenueTariffBasket_FO!BH191:BL191</xm:f>
              <xm:sqref>BT191</xm:sqref>
            </x14:sparkline>
            <x14:sparkline>
              <xm:f>RevenueTariffBasket_FO!BH192:BL192</xm:f>
              <xm:sqref>BT192</xm:sqref>
            </x14:sparkline>
            <x14:sparkline>
              <xm:f>RevenueTariffBasket_FO!BH193:BL193</xm:f>
              <xm:sqref>BT193</xm:sqref>
            </x14:sparkline>
            <x14:sparkline>
              <xm:f>RevenueTariffBasket_FO!BH194:BL194</xm:f>
              <xm:sqref>BT194</xm:sqref>
            </x14:sparkline>
            <x14:sparkline>
              <xm:f>RevenueTariffBasket_FO!BH195:BL195</xm:f>
              <xm:sqref>BT195</xm:sqref>
            </x14:sparkline>
            <x14:sparkline>
              <xm:f>RevenueTariffBasket_FO!BH196:BL196</xm:f>
              <xm:sqref>BT196</xm:sqref>
            </x14:sparkline>
            <x14:sparkline>
              <xm:f>RevenueTariffBasket_FO!BH197:BL197</xm:f>
              <xm:sqref>BT197</xm:sqref>
            </x14:sparkline>
            <x14:sparkline>
              <xm:f>RevenueTariffBasket_FO!BH198:BL198</xm:f>
              <xm:sqref>BT198</xm:sqref>
            </x14:sparkline>
            <x14:sparkline>
              <xm:f>RevenueTariffBasket_FO!BH199:BL199</xm:f>
              <xm:sqref>BT199</xm:sqref>
            </x14:sparkline>
            <x14:sparkline>
              <xm:f>RevenueTariffBasket_FO!BH200:BL200</xm:f>
              <xm:sqref>BT200</xm:sqref>
            </x14:sparkline>
            <x14:sparkline>
              <xm:f>RevenueTariffBasket_FO!BH201:BL201</xm:f>
              <xm:sqref>BT201</xm:sqref>
            </x14:sparkline>
            <x14:sparkline>
              <xm:f>RevenueTariffBasket_FO!BH202:BL202</xm:f>
              <xm:sqref>BT202</xm:sqref>
            </x14:sparkline>
            <x14:sparkline>
              <xm:f>RevenueTariffBasket_FO!BH203:BL203</xm:f>
              <xm:sqref>BT203</xm:sqref>
            </x14:sparkline>
            <x14:sparkline>
              <xm:f>RevenueTariffBasket_FO!BH204:BL204</xm:f>
              <xm:sqref>BT204</xm:sqref>
            </x14:sparkline>
            <x14:sparkline>
              <xm:f>RevenueTariffBasket_FO!BH205:BL205</xm:f>
              <xm:sqref>BT205</xm:sqref>
            </x14:sparkline>
            <x14:sparkline>
              <xm:f>RevenueTariffBasket_FO!BH206:BL206</xm:f>
              <xm:sqref>BT206</xm:sqref>
            </x14:sparkline>
            <x14:sparkline>
              <xm:f>RevenueTariffBasket_FO!BH207:BL207</xm:f>
              <xm:sqref>BT207</xm:sqref>
            </x14:sparkline>
            <x14:sparkline>
              <xm:f>RevenueTariffBasket_FO!BH208:BL208</xm:f>
              <xm:sqref>BT208</xm:sqref>
            </x14:sparkline>
            <x14:sparkline>
              <xm:f>RevenueTariffBasket_FO!BH209:BL209</xm:f>
              <xm:sqref>BT209</xm:sqref>
            </x14:sparkline>
            <x14:sparkline>
              <xm:f>RevenueTariffBasket_FO!BH210:BL210</xm:f>
              <xm:sqref>BT210</xm:sqref>
            </x14:sparkline>
            <x14:sparkline>
              <xm:f>RevenueTariffBasket_FO!BH211:BL211</xm:f>
              <xm:sqref>BT211</xm:sqref>
            </x14:sparkline>
            <x14:sparkline>
              <xm:f>RevenueTariffBasket_FO!BH212:BL212</xm:f>
              <xm:sqref>BT212</xm:sqref>
            </x14:sparkline>
            <x14:sparkline>
              <xm:f>RevenueTariffBasket_FO!BH213:BL213</xm:f>
              <xm:sqref>BT213</xm:sqref>
            </x14:sparkline>
            <x14:sparkline>
              <xm:f>RevenueTariffBasket_FO!BH214:BL214</xm:f>
              <xm:sqref>BT214</xm:sqref>
            </x14:sparkline>
            <x14:sparkline>
              <xm:f>RevenueTariffBasket_FO!BH215:BL215</xm:f>
              <xm:sqref>BT215</xm:sqref>
            </x14:sparkline>
            <x14:sparkline>
              <xm:f>RevenueTariffBasket_FO!BH216:BL216</xm:f>
              <xm:sqref>BT216</xm:sqref>
            </x14:sparkline>
            <x14:sparkline>
              <xm:f>RevenueTariffBasket_FO!BH217:BL217</xm:f>
              <xm:sqref>BT217</xm:sqref>
            </x14:sparkline>
            <x14:sparkline>
              <xm:f>RevenueTariffBasket_FO!BH218:BL218</xm:f>
              <xm:sqref>BT218</xm:sqref>
            </x14:sparkline>
            <x14:sparkline>
              <xm:f>RevenueTariffBasket_FO!BH219:BL219</xm:f>
              <xm:sqref>BT219</xm:sqref>
            </x14:sparkline>
            <x14:sparkline>
              <xm:f>RevenueTariffBasket_FO!BH220:BL220</xm:f>
              <xm:sqref>BT220</xm:sqref>
            </x14:sparkline>
            <x14:sparkline>
              <xm:f>RevenueTariffBasket_FO!BH221:BL221</xm:f>
              <xm:sqref>BT221</xm:sqref>
            </x14:sparkline>
            <x14:sparkline>
              <xm:f>RevenueTariffBasket_FO!BH222:BL222</xm:f>
              <xm:sqref>BT222</xm:sqref>
            </x14:sparkline>
            <x14:sparkline>
              <xm:f>RevenueTariffBasket_FO!BH223:BL223</xm:f>
              <xm:sqref>BT223</xm:sqref>
            </x14:sparkline>
            <x14:sparkline>
              <xm:f>RevenueTariffBasket_FO!BH224:BL224</xm:f>
              <xm:sqref>BT224</xm:sqref>
            </x14:sparkline>
            <x14:sparkline>
              <xm:f>RevenueTariffBasket_FO!BH225:BL225</xm:f>
              <xm:sqref>BT225</xm:sqref>
            </x14:sparkline>
            <x14:sparkline>
              <xm:f>RevenueTariffBasket_FO!BH226:BL226</xm:f>
              <xm:sqref>BT226</xm:sqref>
            </x14:sparkline>
            <x14:sparkline>
              <xm:f>RevenueTariffBasket_FO!BH227:BL227</xm:f>
              <xm:sqref>BT227</xm:sqref>
            </x14:sparkline>
            <x14:sparkline>
              <xm:f>RevenueTariffBasket_FO!BH228:BL228</xm:f>
              <xm:sqref>BT228</xm:sqref>
            </x14:sparkline>
            <x14:sparkline>
              <xm:f>RevenueTariffBasket_FO!BH229:BL229</xm:f>
              <xm:sqref>BT229</xm:sqref>
            </x14:sparkline>
            <x14:sparkline>
              <xm:f>RevenueTariffBasket_FO!BH230:BL230</xm:f>
              <xm:sqref>BT230</xm:sqref>
            </x14:sparkline>
            <x14:sparkline>
              <xm:f>RevenueTariffBasket_FO!BH231:BL231</xm:f>
              <xm:sqref>BT231</xm:sqref>
            </x14:sparkline>
            <x14:sparkline>
              <xm:f>RevenueTariffBasket_FO!BH232:BL232</xm:f>
              <xm:sqref>BT232</xm:sqref>
            </x14:sparkline>
            <x14:sparkline>
              <xm:f>RevenueTariffBasket_FO!BH233:BL233</xm:f>
              <xm:sqref>BT233</xm:sqref>
            </x14:sparkline>
            <x14:sparkline>
              <xm:f>RevenueTariffBasket_FO!BH234:BL234</xm:f>
              <xm:sqref>BT234</xm:sqref>
            </x14:sparkline>
            <x14:sparkline>
              <xm:f>RevenueTariffBasket_FO!BH235:BL235</xm:f>
              <xm:sqref>BT235</xm:sqref>
            </x14:sparkline>
            <x14:sparkline>
              <xm:f>RevenueTariffBasket_FO!BH236:BL236</xm:f>
              <xm:sqref>BT236</xm:sqref>
            </x14:sparkline>
            <x14:sparkline>
              <xm:f>RevenueTariffBasket_FO!BH237:BL237</xm:f>
              <xm:sqref>BT237</xm:sqref>
            </x14:sparkline>
            <x14:sparkline>
              <xm:f>RevenueTariffBasket_FO!BH238:BL238</xm:f>
              <xm:sqref>BT238</xm:sqref>
            </x14:sparkline>
            <x14:sparkline>
              <xm:f>RevenueTariffBasket_FO!BH239:BL239</xm:f>
              <xm:sqref>BT239</xm:sqref>
            </x14:sparkline>
            <x14:sparkline>
              <xm:f>RevenueTariffBasket_FO!BH240:BL240</xm:f>
              <xm:sqref>BT240</xm:sqref>
            </x14:sparkline>
            <x14:sparkline>
              <xm:f>RevenueTariffBasket_FO!BH241:BL241</xm:f>
              <xm:sqref>BT241</xm:sqref>
            </x14:sparkline>
            <x14:sparkline>
              <xm:f>RevenueTariffBasket_FO!BH242:BL242</xm:f>
              <xm:sqref>BT242</xm:sqref>
            </x14:sparkline>
            <x14:sparkline>
              <xm:f>RevenueTariffBasket_FO!BH243:BL243</xm:f>
              <xm:sqref>BT243</xm:sqref>
            </x14:sparkline>
            <x14:sparkline>
              <xm:f>RevenueTariffBasket_FO!BH244:BL244</xm:f>
              <xm:sqref>BT244</xm:sqref>
            </x14:sparkline>
            <x14:sparkline>
              <xm:f>RevenueTariffBasket_FO!BH245:BL245</xm:f>
              <xm:sqref>BT245</xm:sqref>
            </x14:sparkline>
            <x14:sparkline>
              <xm:f>RevenueTariffBasket_FO!BH246:BL246</xm:f>
              <xm:sqref>BT246</xm:sqref>
            </x14:sparkline>
            <x14:sparkline>
              <xm:f>RevenueTariffBasket_FO!BH247:BL247</xm:f>
              <xm:sqref>BT247</xm:sqref>
            </x14:sparkline>
            <x14:sparkline>
              <xm:f>RevenueTariffBasket_FO!BH248:BL248</xm:f>
              <xm:sqref>BT248</xm:sqref>
            </x14:sparkline>
            <x14:sparkline>
              <xm:f>RevenueTariffBasket_FO!BH249:BL249</xm:f>
              <xm:sqref>BT249</xm:sqref>
            </x14:sparkline>
            <x14:sparkline>
              <xm:f>RevenueTariffBasket_FO!BH250:BL250</xm:f>
              <xm:sqref>BT250</xm:sqref>
            </x14:sparkline>
            <x14:sparkline>
              <xm:f>RevenueTariffBasket_FO!BH251:BL251</xm:f>
              <xm:sqref>BT251</xm:sqref>
            </x14:sparkline>
            <x14:sparkline>
              <xm:f>RevenueTariffBasket_FO!BH252:BL252</xm:f>
              <xm:sqref>BT252</xm:sqref>
            </x14:sparkline>
            <x14:sparkline>
              <xm:f>RevenueTariffBasket_FO!BH253:BL253</xm:f>
              <xm:sqref>BT253</xm:sqref>
            </x14:sparkline>
            <x14:sparkline>
              <xm:f>RevenueTariffBasket_FO!BH254:BL254</xm:f>
              <xm:sqref>BT254</xm:sqref>
            </x14:sparkline>
            <x14:sparkline>
              <xm:f>RevenueTariffBasket_FO!BH255:BL255</xm:f>
              <xm:sqref>BT255</xm:sqref>
            </x14:sparkline>
            <x14:sparkline>
              <xm:f>RevenueTariffBasket_FO!BH256:BL256</xm:f>
              <xm:sqref>BT256</xm:sqref>
            </x14:sparkline>
            <x14:sparkline>
              <xm:f>RevenueTariffBasket_FO!BH257:BL257</xm:f>
              <xm:sqref>BT257</xm:sqref>
            </x14:sparkline>
            <x14:sparkline>
              <xm:f>RevenueTariffBasket_FO!BH258:BL258</xm:f>
              <xm:sqref>BT258</xm:sqref>
            </x14:sparkline>
            <x14:sparkline>
              <xm:f>RevenueTariffBasket_FO!BH259:BL259</xm:f>
              <xm:sqref>BT259</xm:sqref>
            </x14:sparkline>
            <x14:sparkline>
              <xm:f>RevenueTariffBasket_FO!BH260:BL260</xm:f>
              <xm:sqref>BT260</xm:sqref>
            </x14:sparkline>
            <x14:sparkline>
              <xm:f>RevenueTariffBasket_FO!BH261:BL261</xm:f>
              <xm:sqref>BT261</xm:sqref>
            </x14:sparkline>
            <x14:sparkline>
              <xm:f>RevenueTariffBasket_FO!BH262:BL262</xm:f>
              <xm:sqref>BT262</xm:sqref>
            </x14:sparkline>
            <x14:sparkline>
              <xm:f>RevenueTariffBasket_FO!BH263:BL263</xm:f>
              <xm:sqref>BT263</xm:sqref>
            </x14:sparkline>
            <x14:sparkline>
              <xm:f>RevenueTariffBasket_FO!BH264:BL264</xm:f>
              <xm:sqref>BT264</xm:sqref>
            </x14:sparkline>
            <x14:sparkline>
              <xm:f>RevenueTariffBasket_FO!BH265:BL265</xm:f>
              <xm:sqref>BT265</xm:sqref>
            </x14:sparkline>
            <x14:sparkline>
              <xm:f>RevenueTariffBasket_FO!BH266:BL266</xm:f>
              <xm:sqref>BT266</xm:sqref>
            </x14:sparkline>
            <x14:sparkline>
              <xm:f>RevenueTariffBasket_FO!BH267:BL267</xm:f>
              <xm:sqref>BT267</xm:sqref>
            </x14:sparkline>
            <x14:sparkline>
              <xm:f>RevenueTariffBasket_FO!BH268:BL268</xm:f>
              <xm:sqref>BT268</xm:sqref>
            </x14:sparkline>
            <x14:sparkline>
              <xm:f>RevenueTariffBasket_FO!BH269:BL269</xm:f>
              <xm:sqref>BT269</xm:sqref>
            </x14:sparkline>
            <x14:sparkline>
              <xm:f>RevenueTariffBasket_FO!BH270:BL270</xm:f>
              <xm:sqref>BT270</xm:sqref>
            </x14:sparkline>
            <x14:sparkline>
              <xm:f>RevenueTariffBasket_FO!BH271:BL271</xm:f>
              <xm:sqref>BT271</xm:sqref>
            </x14:sparkline>
            <x14:sparkline>
              <xm:f>RevenueTariffBasket_FO!BH272:BL272</xm:f>
              <xm:sqref>BT272</xm:sqref>
            </x14:sparkline>
            <x14:sparkline>
              <xm:f>RevenueTariffBasket_FO!BH273:BL273</xm:f>
              <xm:sqref>BT273</xm:sqref>
            </x14:sparkline>
            <x14:sparkline>
              <xm:f>RevenueTariffBasket_FO!BH274:BL274</xm:f>
              <xm:sqref>BT274</xm:sqref>
            </x14:sparkline>
            <x14:sparkline>
              <xm:f>RevenueTariffBasket_FO!BH275:BL275</xm:f>
              <xm:sqref>BT275</xm:sqref>
            </x14:sparkline>
            <x14:sparkline>
              <xm:f>RevenueTariffBasket_FO!BH276:BL276</xm:f>
              <xm:sqref>BT276</xm:sqref>
            </x14:sparkline>
            <x14:sparkline>
              <xm:f>RevenueTariffBasket_FO!BH277:BL277</xm:f>
              <xm:sqref>BT277</xm:sqref>
            </x14:sparkline>
            <x14:sparkline>
              <xm:f>RevenueTariffBasket_FO!BH278:BL278</xm:f>
              <xm:sqref>BT278</xm:sqref>
            </x14:sparkline>
            <x14:sparkline>
              <xm:f>RevenueTariffBasket_FO!BH279:BL279</xm:f>
              <xm:sqref>BT279</xm:sqref>
            </x14:sparkline>
            <x14:sparkline>
              <xm:f>RevenueTariffBasket_FO!BH280:BL280</xm:f>
              <xm:sqref>BT280</xm:sqref>
            </x14:sparkline>
            <x14:sparkline>
              <xm:f>RevenueTariffBasket_FO!BH281:BL281</xm:f>
              <xm:sqref>BT281</xm:sqref>
            </x14:sparkline>
            <x14:sparkline>
              <xm:f>RevenueTariffBasket_FO!BH282:BL282</xm:f>
              <xm:sqref>BT282</xm:sqref>
            </x14:sparkline>
            <x14:sparkline>
              <xm:f>RevenueTariffBasket_FO!BH283:BL283</xm:f>
              <xm:sqref>BT283</xm:sqref>
            </x14:sparkline>
            <x14:sparkline>
              <xm:f>RevenueTariffBasket_FO!BH284:BL284</xm:f>
              <xm:sqref>BT284</xm:sqref>
            </x14:sparkline>
            <x14:sparkline>
              <xm:f>RevenueTariffBasket_FO!BH285:BL285</xm:f>
              <xm:sqref>BT285</xm:sqref>
            </x14:sparkline>
            <x14:sparkline>
              <xm:f>RevenueTariffBasket_FO!BH286:BL286</xm:f>
              <xm:sqref>BT286</xm:sqref>
            </x14:sparkline>
            <x14:sparkline>
              <xm:f>RevenueTariffBasket_FO!BH287:BL287</xm:f>
              <xm:sqref>BT287</xm:sqref>
            </x14:sparkline>
            <x14:sparkline>
              <xm:f>RevenueTariffBasket_FO!BH288:BL288</xm:f>
              <xm:sqref>BT288</xm:sqref>
            </x14:sparkline>
            <x14:sparkline>
              <xm:f>RevenueTariffBasket_FO!BH289:BL289</xm:f>
              <xm:sqref>BT289</xm:sqref>
            </x14:sparkline>
            <x14:sparkline>
              <xm:f>RevenueTariffBasket_FO!BH290:BL290</xm:f>
              <xm:sqref>BT290</xm:sqref>
            </x14:sparkline>
            <x14:sparkline>
              <xm:f>RevenueTariffBasket_FO!BH291:BL291</xm:f>
              <xm:sqref>BT291</xm:sqref>
            </x14:sparkline>
            <x14:sparkline>
              <xm:f>RevenueTariffBasket_FO!BH292:BL292</xm:f>
              <xm:sqref>BT292</xm:sqref>
            </x14:sparkline>
            <x14:sparkline>
              <xm:f>RevenueTariffBasket_FO!BH293:BL293</xm:f>
              <xm:sqref>BT293</xm:sqref>
            </x14:sparkline>
            <x14:sparkline>
              <xm:f>RevenueTariffBasket_FO!BH294:BL294</xm:f>
              <xm:sqref>BT294</xm:sqref>
            </x14:sparkline>
            <x14:sparkline>
              <xm:f>RevenueTariffBasket_FO!BH295:BL295</xm:f>
              <xm:sqref>BT295</xm:sqref>
            </x14:sparkline>
            <x14:sparkline>
              <xm:f>RevenueTariffBasket_FO!BH296:BL296</xm:f>
              <xm:sqref>BT296</xm:sqref>
            </x14:sparkline>
            <x14:sparkline>
              <xm:f>RevenueTariffBasket_FO!BH297:BL297</xm:f>
              <xm:sqref>BT297</xm:sqref>
            </x14:sparkline>
            <x14:sparkline>
              <xm:f>RevenueTariffBasket_FO!BH298:BL298</xm:f>
              <xm:sqref>BT298</xm:sqref>
            </x14:sparkline>
            <x14:sparkline>
              <xm:f>RevenueTariffBasket_FO!BH299:BL299</xm:f>
              <xm:sqref>BT299</xm:sqref>
            </x14:sparkline>
            <x14:sparkline>
              <xm:f>RevenueTariffBasket_FO!BH300:BL300</xm:f>
              <xm:sqref>BT300</xm:sqref>
            </x14:sparkline>
            <x14:sparkline>
              <xm:f>RevenueTariffBasket_FO!BH301:BL301</xm:f>
              <xm:sqref>BT301</xm:sqref>
            </x14:sparkline>
            <x14:sparkline>
              <xm:f>RevenueTariffBasket_FO!BH302:BL302</xm:f>
              <xm:sqref>BT302</xm:sqref>
            </x14:sparkline>
            <x14:sparkline>
              <xm:f>RevenueTariffBasket_FO!BH303:BL303</xm:f>
              <xm:sqref>BT303</xm:sqref>
            </x14:sparkline>
            <x14:sparkline>
              <xm:f>RevenueTariffBasket_FO!BH304:BL304</xm:f>
              <xm:sqref>BT304</xm:sqref>
            </x14:sparkline>
            <x14:sparkline>
              <xm:f>RevenueTariffBasket_FO!BH305:BL305</xm:f>
              <xm:sqref>BT305</xm:sqref>
            </x14:sparkline>
            <x14:sparkline>
              <xm:f>RevenueTariffBasket_FO!BH306:BL306</xm:f>
              <xm:sqref>BT306</xm:sqref>
            </x14:sparkline>
            <x14:sparkline>
              <xm:f>RevenueTariffBasket_FO!BH307:BL307</xm:f>
              <xm:sqref>BT307</xm:sqref>
            </x14:sparkline>
            <x14:sparkline>
              <xm:f>RevenueTariffBasket_FO!BH308:BL308</xm:f>
              <xm:sqref>BT308</xm:sqref>
            </x14:sparkline>
            <x14:sparkline>
              <xm:f>RevenueTariffBasket_FO!BH309:BL309</xm:f>
              <xm:sqref>BT309</xm:sqref>
            </x14:sparkline>
            <x14:sparkline>
              <xm:f>RevenueTariffBasket_FO!BH310:BL310</xm:f>
              <xm:sqref>BT310</xm:sqref>
            </x14:sparkline>
            <x14:sparkline>
              <xm:f>RevenueTariffBasket_FO!BH311:BL311</xm:f>
              <xm:sqref>BT311</xm:sqref>
            </x14:sparkline>
            <x14:sparkline>
              <xm:f>RevenueTariffBasket_FO!BH312:BL312</xm:f>
              <xm:sqref>BT312</xm:sqref>
            </x14:sparkline>
            <x14:sparkline>
              <xm:f>RevenueTariffBasket_FO!BH313:BL313</xm:f>
              <xm:sqref>BT313</xm:sqref>
            </x14:sparkline>
            <x14:sparkline>
              <xm:f>RevenueTariffBasket_FO!BH314:BL314</xm:f>
              <xm:sqref>BT314</xm:sqref>
            </x14:sparkline>
            <x14:sparkline>
              <xm:f>RevenueTariffBasket_FO!BH315:BL315</xm:f>
              <xm:sqref>BT315</xm:sqref>
            </x14:sparkline>
            <x14:sparkline>
              <xm:f>RevenueTariffBasket_FO!BH316:BL316</xm:f>
              <xm:sqref>BT316</xm:sqref>
            </x14:sparkline>
            <x14:sparkline>
              <xm:f>RevenueTariffBasket_FO!BH317:BL317</xm:f>
              <xm:sqref>BT317</xm:sqref>
            </x14:sparkline>
            <x14:sparkline>
              <xm:f>RevenueTariffBasket_FO!BH318:BL318</xm:f>
              <xm:sqref>BT318</xm:sqref>
            </x14:sparkline>
            <x14:sparkline>
              <xm:f>RevenueTariffBasket_FO!BH319:BL319</xm:f>
              <xm:sqref>BT319</xm:sqref>
            </x14:sparkline>
            <x14:sparkline>
              <xm:f>RevenueTariffBasket_FO!BH320:BL320</xm:f>
              <xm:sqref>BT320</xm:sqref>
            </x14:sparkline>
            <x14:sparkline>
              <xm:f>RevenueTariffBasket_FO!BH321:BL321</xm:f>
              <xm:sqref>BT321</xm:sqref>
            </x14:sparkline>
            <x14:sparkline>
              <xm:f>RevenueTariffBasket_FO!BH322:BL322</xm:f>
              <xm:sqref>BT322</xm:sqref>
            </x14:sparkline>
            <x14:sparkline>
              <xm:f>RevenueTariffBasket_FO!BH323:BL323</xm:f>
              <xm:sqref>BT323</xm:sqref>
            </x14:sparkline>
            <x14:sparkline>
              <xm:f>RevenueTariffBasket_FO!BH324:BL324</xm:f>
              <xm:sqref>BT324</xm:sqref>
            </x14:sparkline>
            <x14:sparkline>
              <xm:f>RevenueTariffBasket_FO!BH325:BL325</xm:f>
              <xm:sqref>BT325</xm:sqref>
            </x14:sparkline>
            <x14:sparkline>
              <xm:f>RevenueTariffBasket_FO!BH326:BL326</xm:f>
              <xm:sqref>BT326</xm:sqref>
            </x14:sparkline>
            <x14:sparkline>
              <xm:f>RevenueTariffBasket_FO!BH327:BL327</xm:f>
              <xm:sqref>BT327</xm:sqref>
            </x14:sparkline>
            <x14:sparkline>
              <xm:f>RevenueTariffBasket_FO!BH328:BL328</xm:f>
              <xm:sqref>BT328</xm:sqref>
            </x14:sparkline>
            <x14:sparkline>
              <xm:f>RevenueTariffBasket_FO!BH329:BL329</xm:f>
              <xm:sqref>BT329</xm:sqref>
            </x14:sparkline>
            <x14:sparkline>
              <xm:f>RevenueTariffBasket_FO!BH330:BL330</xm:f>
              <xm:sqref>BT330</xm:sqref>
            </x14:sparkline>
            <x14:sparkline>
              <xm:f>RevenueTariffBasket_FO!BH331:BL331</xm:f>
              <xm:sqref>BT331</xm:sqref>
            </x14:sparkline>
            <x14:sparkline>
              <xm:f>RevenueTariffBasket_FO!BH332:BL332</xm:f>
              <xm:sqref>BT332</xm:sqref>
            </x14:sparkline>
            <x14:sparkline>
              <xm:f>RevenueTariffBasket_FO!BH333:BL333</xm:f>
              <xm:sqref>BT333</xm:sqref>
            </x14:sparkline>
            <x14:sparkline>
              <xm:f>RevenueTariffBasket_FO!BH334:BL334</xm:f>
              <xm:sqref>BT334</xm:sqref>
            </x14:sparkline>
            <x14:sparkline>
              <xm:f>RevenueTariffBasket_FO!BH335:BL335</xm:f>
              <xm:sqref>BT335</xm:sqref>
            </x14:sparkline>
            <x14:sparkline>
              <xm:f>RevenueTariffBasket_FO!BH336:BL336</xm:f>
              <xm:sqref>BT336</xm:sqref>
            </x14:sparkline>
            <x14:sparkline>
              <xm:f>RevenueTariffBasket_FO!BH337:BL337</xm:f>
              <xm:sqref>BT337</xm:sqref>
            </x14:sparkline>
            <x14:sparkline>
              <xm:f>RevenueTariffBasket_FO!BH338:BL338</xm:f>
              <xm:sqref>BT338</xm:sqref>
            </x14:sparkline>
            <x14:sparkline>
              <xm:f>RevenueTariffBasket_FO!BH339:BL339</xm:f>
              <xm:sqref>BT339</xm:sqref>
            </x14:sparkline>
            <x14:sparkline>
              <xm:f>RevenueTariffBasket_FO!BH340:BL340</xm:f>
              <xm:sqref>BT340</xm:sqref>
            </x14:sparkline>
            <x14:sparkline>
              <xm:f>RevenueTariffBasket_FO!BH341:BL341</xm:f>
              <xm:sqref>BT341</xm:sqref>
            </x14:sparkline>
            <x14:sparkline>
              <xm:f>RevenueTariffBasket_FO!BH342:BL342</xm:f>
              <xm:sqref>BT342</xm:sqref>
            </x14:sparkline>
            <x14:sparkline>
              <xm:f>RevenueTariffBasket_FO!BH343:BL343</xm:f>
              <xm:sqref>BT343</xm:sqref>
            </x14:sparkline>
            <x14:sparkline>
              <xm:f>RevenueTariffBasket_FO!BH344:BL344</xm:f>
              <xm:sqref>BT344</xm:sqref>
            </x14:sparkline>
            <x14:sparkline>
              <xm:f>RevenueTariffBasket_FO!BH345:BL345</xm:f>
              <xm:sqref>BT345</xm:sqref>
            </x14:sparkline>
            <x14:sparkline>
              <xm:f>RevenueTariffBasket_FO!BH346:BL346</xm:f>
              <xm:sqref>BT346</xm:sqref>
            </x14:sparkline>
            <x14:sparkline>
              <xm:f>RevenueTariffBasket_FO!BH347:BL347</xm:f>
              <xm:sqref>BT347</xm:sqref>
            </x14:sparkline>
            <x14:sparkline>
              <xm:f>RevenueTariffBasket_FO!BH348:BL348</xm:f>
              <xm:sqref>BT348</xm:sqref>
            </x14:sparkline>
            <x14:sparkline>
              <xm:f>RevenueTariffBasket_FO!BH349:BL349</xm:f>
              <xm:sqref>BT349</xm:sqref>
            </x14:sparkline>
            <x14:sparkline>
              <xm:f>RevenueTariffBasket_FO!BH350:BL350</xm:f>
              <xm:sqref>BT350</xm:sqref>
            </x14:sparkline>
            <x14:sparkline>
              <xm:f>RevenueTariffBasket_FO!BH351:BL351</xm:f>
              <xm:sqref>BT351</xm:sqref>
            </x14:sparkline>
            <x14:sparkline>
              <xm:f>RevenueTariffBasket_FO!BH352:BL352</xm:f>
              <xm:sqref>BT352</xm:sqref>
            </x14:sparkline>
            <x14:sparkline>
              <xm:f>RevenueTariffBasket_FO!BH353:BL353</xm:f>
              <xm:sqref>BT353</xm:sqref>
            </x14:sparkline>
            <x14:sparkline>
              <xm:f>RevenueTariffBasket_FO!BH354:BL354</xm:f>
              <xm:sqref>BT354</xm:sqref>
            </x14:sparkline>
            <x14:sparkline>
              <xm:f>RevenueTariffBasket_FO!BH355:BL355</xm:f>
              <xm:sqref>BT355</xm:sqref>
            </x14:sparkline>
            <x14:sparkline>
              <xm:f>RevenueTariffBasket_FO!BH356:BL356</xm:f>
              <xm:sqref>BT356</xm:sqref>
            </x14:sparkline>
            <x14:sparkline>
              <xm:f>RevenueTariffBasket_FO!BH357:BL357</xm:f>
              <xm:sqref>BT357</xm:sqref>
            </x14:sparkline>
            <x14:sparkline>
              <xm:f>RevenueTariffBasket_FO!BH358:BL358</xm:f>
              <xm:sqref>BT358</xm:sqref>
            </x14:sparkline>
            <x14:sparkline>
              <xm:f>RevenueTariffBasket_FO!BH359:BL359</xm:f>
              <xm:sqref>BT359</xm:sqref>
            </x14:sparkline>
            <x14:sparkline>
              <xm:f>RevenueTariffBasket_FO!BH360:BL360</xm:f>
              <xm:sqref>BT360</xm:sqref>
            </x14:sparkline>
            <x14:sparkline>
              <xm:f>RevenueTariffBasket_FO!BH361:BL361</xm:f>
              <xm:sqref>BT361</xm:sqref>
            </x14:sparkline>
            <x14:sparkline>
              <xm:f>RevenueTariffBasket_FO!BH362:BL362</xm:f>
              <xm:sqref>BT362</xm:sqref>
            </x14:sparkline>
            <x14:sparkline>
              <xm:f>RevenueTariffBasket_FO!BH363:BL363</xm:f>
              <xm:sqref>BT363</xm:sqref>
            </x14:sparkline>
            <x14:sparkline>
              <xm:f>RevenueTariffBasket_FO!BH364:BL364</xm:f>
              <xm:sqref>BT364</xm:sqref>
            </x14:sparkline>
            <x14:sparkline>
              <xm:f>RevenueTariffBasket_FO!BH365:BL365</xm:f>
              <xm:sqref>BT365</xm:sqref>
            </x14:sparkline>
            <x14:sparkline>
              <xm:f>RevenueTariffBasket_FO!BH366:BL366</xm:f>
              <xm:sqref>BT366</xm:sqref>
            </x14:sparkline>
            <x14:sparkline>
              <xm:f>RevenueTariffBasket_FO!BH367:BL367</xm:f>
              <xm:sqref>BT367</xm:sqref>
            </x14:sparkline>
            <x14:sparkline>
              <xm:f>RevenueTariffBasket_FO!BH368:BL368</xm:f>
              <xm:sqref>BT368</xm:sqref>
            </x14:sparkline>
            <x14:sparkline>
              <xm:f>RevenueTariffBasket_FO!BH369:BL369</xm:f>
              <xm:sqref>BT369</xm:sqref>
            </x14:sparkline>
            <x14:sparkline>
              <xm:f>RevenueTariffBasket_FO!BH370:BL370</xm:f>
              <xm:sqref>BT370</xm:sqref>
            </x14:sparkline>
            <x14:sparkline>
              <xm:f>RevenueTariffBasket_FO!BH371:BL371</xm:f>
              <xm:sqref>BT371</xm:sqref>
            </x14:sparkline>
            <x14:sparkline>
              <xm:f>RevenueTariffBasket_FO!BH372:BL372</xm:f>
              <xm:sqref>BT372</xm:sqref>
            </x14:sparkline>
            <x14:sparkline>
              <xm:f>RevenueTariffBasket_FO!BH373:BL373</xm:f>
              <xm:sqref>BT373</xm:sqref>
            </x14:sparkline>
            <x14:sparkline>
              <xm:f>RevenueTariffBasket_FO!BH374:BL374</xm:f>
              <xm:sqref>BT374</xm:sqref>
            </x14:sparkline>
            <x14:sparkline>
              <xm:f>RevenueTariffBasket_FO!BH375:BL375</xm:f>
              <xm:sqref>BT375</xm:sqref>
            </x14:sparkline>
            <x14:sparkline>
              <xm:f>RevenueTariffBasket_FO!BH376:BL376</xm:f>
              <xm:sqref>BT376</xm:sqref>
            </x14:sparkline>
            <x14:sparkline>
              <xm:f>RevenueTariffBasket_FO!BH377:BL377</xm:f>
              <xm:sqref>BT377</xm:sqref>
            </x14:sparkline>
            <x14:sparkline>
              <xm:f>RevenueTariffBasket_FO!BH378:BL378</xm:f>
              <xm:sqref>BT378</xm:sqref>
            </x14:sparkline>
            <x14:sparkline>
              <xm:f>RevenueTariffBasket_FO!BH379:BL379</xm:f>
              <xm:sqref>BT379</xm:sqref>
            </x14:sparkline>
            <x14:sparkline>
              <xm:f>RevenueTariffBasket_FO!BH380:BL380</xm:f>
              <xm:sqref>BT380</xm:sqref>
            </x14:sparkline>
            <x14:sparkline>
              <xm:f>RevenueTariffBasket_FO!BH381:BL381</xm:f>
              <xm:sqref>BT381</xm:sqref>
            </x14:sparkline>
            <x14:sparkline>
              <xm:f>RevenueTariffBasket_FO!BH382:BL382</xm:f>
              <xm:sqref>BT382</xm:sqref>
            </x14:sparkline>
            <x14:sparkline>
              <xm:f>RevenueTariffBasket_FO!BH383:BL383</xm:f>
              <xm:sqref>BT383</xm:sqref>
            </x14:sparkline>
            <x14:sparkline>
              <xm:f>RevenueTariffBasket_FO!BH384:BL384</xm:f>
              <xm:sqref>BT384</xm:sqref>
            </x14:sparkline>
            <x14:sparkline>
              <xm:f>RevenueTariffBasket_FO!BH385:BL385</xm:f>
              <xm:sqref>BT385</xm:sqref>
            </x14:sparkline>
            <x14:sparkline>
              <xm:f>RevenueTariffBasket_FO!BH386:BL386</xm:f>
              <xm:sqref>BT386</xm:sqref>
            </x14:sparkline>
            <x14:sparkline>
              <xm:f>RevenueTariffBasket_FO!BH387:BL387</xm:f>
              <xm:sqref>BT387</xm:sqref>
            </x14:sparkline>
            <x14:sparkline>
              <xm:f>RevenueTariffBasket_FO!BH388:BL388</xm:f>
              <xm:sqref>BT388</xm:sqref>
            </x14:sparkline>
            <x14:sparkline>
              <xm:f>RevenueTariffBasket_FO!BH389:BL389</xm:f>
              <xm:sqref>BT389</xm:sqref>
            </x14:sparkline>
            <x14:sparkline>
              <xm:f>RevenueTariffBasket_FO!BH390:BL390</xm:f>
              <xm:sqref>BT390</xm:sqref>
            </x14:sparkline>
            <x14:sparkline>
              <xm:f>RevenueTariffBasket_FO!BH391:BL391</xm:f>
              <xm:sqref>BT391</xm:sqref>
            </x14:sparkline>
            <x14:sparkline>
              <xm:f>RevenueTariffBasket_FO!BH392:BL392</xm:f>
              <xm:sqref>BT392</xm:sqref>
            </x14:sparkline>
            <x14:sparkline>
              <xm:f>RevenueTariffBasket_FO!BH393:BL393</xm:f>
              <xm:sqref>BT393</xm:sqref>
            </x14:sparkline>
            <x14:sparkline>
              <xm:f>RevenueTariffBasket_FO!BH394:BL394</xm:f>
              <xm:sqref>BT394</xm:sqref>
            </x14:sparkline>
            <x14:sparkline>
              <xm:f>RevenueTariffBasket_FO!BH395:BL395</xm:f>
              <xm:sqref>BT395</xm:sqref>
            </x14:sparkline>
            <x14:sparkline>
              <xm:f>RevenueTariffBasket_FO!BH396:BL396</xm:f>
              <xm:sqref>BT396</xm:sqref>
            </x14:sparkline>
            <x14:sparkline>
              <xm:f>RevenueTariffBasket_FO!BH397:BL397</xm:f>
              <xm:sqref>BT397</xm:sqref>
            </x14:sparkline>
            <x14:sparkline>
              <xm:f>RevenueTariffBasket_FO!BH398:BL398</xm:f>
              <xm:sqref>BT398</xm:sqref>
            </x14:sparkline>
            <x14:sparkline>
              <xm:f>RevenueTariffBasket_FO!BH399:BL399</xm:f>
              <xm:sqref>BT399</xm:sqref>
            </x14:sparkline>
            <x14:sparkline>
              <xm:f>RevenueTariffBasket_FO!BH400:BL400</xm:f>
              <xm:sqref>BT400</xm:sqref>
            </x14:sparkline>
            <x14:sparkline>
              <xm:f>RevenueTariffBasket_FO!BH401:BL401</xm:f>
              <xm:sqref>BT401</xm:sqref>
            </x14:sparkline>
            <x14:sparkline>
              <xm:f>RevenueTariffBasket_FO!BH402:BL402</xm:f>
              <xm:sqref>BT402</xm:sqref>
            </x14:sparkline>
            <x14:sparkline>
              <xm:f>RevenueTariffBasket_FO!BH403:BL403</xm:f>
              <xm:sqref>BT403</xm:sqref>
            </x14:sparkline>
            <x14:sparkline>
              <xm:f>RevenueTariffBasket_FO!BH404:BL404</xm:f>
              <xm:sqref>BT404</xm:sqref>
            </x14:sparkline>
            <x14:sparkline>
              <xm:f>RevenueTariffBasket_FO!BH405:BL405</xm:f>
              <xm:sqref>BT405</xm:sqref>
            </x14:sparkline>
            <x14:sparkline>
              <xm:f>RevenueTariffBasket_FO!BH406:BL406</xm:f>
              <xm:sqref>BT406</xm:sqref>
            </x14:sparkline>
            <x14:sparkline>
              <xm:f>RevenueTariffBasket_FO!BH407:BL407</xm:f>
              <xm:sqref>BT407</xm:sqref>
            </x14:sparkline>
            <x14:sparkline>
              <xm:f>RevenueTariffBasket_FO!BH408:BL408</xm:f>
              <xm:sqref>BT408</xm:sqref>
            </x14:sparkline>
            <x14:sparkline>
              <xm:f>RevenueTariffBasket_FO!BH409:BL409</xm:f>
              <xm:sqref>BT409</xm:sqref>
            </x14:sparkline>
            <x14:sparkline>
              <xm:f>RevenueTariffBasket_FO!BH410:BL410</xm:f>
              <xm:sqref>BT410</xm:sqref>
            </x14:sparkline>
            <x14:sparkline>
              <xm:f>RevenueTariffBasket_FO!BH411:BL411</xm:f>
              <xm:sqref>BT411</xm:sqref>
            </x14:sparkline>
            <x14:sparkline>
              <xm:f>RevenueTariffBasket_FO!BH412:BL412</xm:f>
              <xm:sqref>BT412</xm:sqref>
            </x14:sparkline>
            <x14:sparkline>
              <xm:f>RevenueTariffBasket_FO!BH413:BL413</xm:f>
              <xm:sqref>BT413</xm:sqref>
            </x14:sparkline>
            <x14:sparkline>
              <xm:f>RevenueTariffBasket_FO!BH414:BL414</xm:f>
              <xm:sqref>BT414</xm:sqref>
            </x14:sparkline>
            <x14:sparkline>
              <xm:f>RevenueTariffBasket_FO!BH415:BL415</xm:f>
              <xm:sqref>BT415</xm:sqref>
            </x14:sparkline>
            <x14:sparkline>
              <xm:f>RevenueTariffBasket_FO!BH416:BL416</xm:f>
              <xm:sqref>BT416</xm:sqref>
            </x14:sparkline>
            <x14:sparkline>
              <xm:f>RevenueTariffBasket_FO!BH417:BL417</xm:f>
              <xm:sqref>BT417</xm:sqref>
            </x14:sparkline>
            <x14:sparkline>
              <xm:f>RevenueTariffBasket_FO!BH418:BL418</xm:f>
              <xm:sqref>BT418</xm:sqref>
            </x14:sparkline>
            <x14:sparkline>
              <xm:f>RevenueTariffBasket_FO!BH419:BL419</xm:f>
              <xm:sqref>BT419</xm:sqref>
            </x14:sparkline>
            <x14:sparkline>
              <xm:f>RevenueTariffBasket_FO!BH420:BL420</xm:f>
              <xm:sqref>BT420</xm:sqref>
            </x14:sparkline>
            <x14:sparkline>
              <xm:f>RevenueTariffBasket_FO!BH421:BL421</xm:f>
              <xm:sqref>BT421</xm:sqref>
            </x14:sparkline>
            <x14:sparkline>
              <xm:f>RevenueTariffBasket_FO!BH422:BL422</xm:f>
              <xm:sqref>BT422</xm:sqref>
            </x14:sparkline>
            <x14:sparkline>
              <xm:f>RevenueTariffBasket_FO!BH423:BL423</xm:f>
              <xm:sqref>BT423</xm:sqref>
            </x14:sparkline>
            <x14:sparkline>
              <xm:f>RevenueTariffBasket_FO!BH424:BL424</xm:f>
              <xm:sqref>BT424</xm:sqref>
            </x14:sparkline>
            <x14:sparkline>
              <xm:f>RevenueTariffBasket_FO!BH425:BL425</xm:f>
              <xm:sqref>BT425</xm:sqref>
            </x14:sparkline>
            <x14:sparkline>
              <xm:f>RevenueTariffBasket_FO!BH426:BL426</xm:f>
              <xm:sqref>BT426</xm:sqref>
            </x14:sparkline>
            <x14:sparkline>
              <xm:f>RevenueTariffBasket_FO!BH427:BL427</xm:f>
              <xm:sqref>BT427</xm:sqref>
            </x14:sparkline>
            <x14:sparkline>
              <xm:f>RevenueTariffBasket_FO!BH428:BL428</xm:f>
              <xm:sqref>BT428</xm:sqref>
            </x14:sparkline>
            <x14:sparkline>
              <xm:f>RevenueTariffBasket_FO!BH429:BL429</xm:f>
              <xm:sqref>BT429</xm:sqref>
            </x14:sparkline>
            <x14:sparkline>
              <xm:f>RevenueTariffBasket_FO!BH430:BL430</xm:f>
              <xm:sqref>BT430</xm:sqref>
            </x14:sparkline>
            <x14:sparkline>
              <xm:f>RevenueTariffBasket_FO!BH431:BL431</xm:f>
              <xm:sqref>BT431</xm:sqref>
            </x14:sparkline>
            <x14:sparkline>
              <xm:f>RevenueTariffBasket_FO!BH432:BL432</xm:f>
              <xm:sqref>BT432</xm:sqref>
            </x14:sparkline>
            <x14:sparkline>
              <xm:f>RevenueTariffBasket_FO!BH433:BL433</xm:f>
              <xm:sqref>BT433</xm:sqref>
            </x14:sparkline>
            <x14:sparkline>
              <xm:f>RevenueTariffBasket_FO!BH434:BL434</xm:f>
              <xm:sqref>BT434</xm:sqref>
            </x14:sparkline>
            <x14:sparkline>
              <xm:f>RevenueTariffBasket_FO!BH435:BL435</xm:f>
              <xm:sqref>BT435</xm:sqref>
            </x14:sparkline>
            <x14:sparkline>
              <xm:f>RevenueTariffBasket_FO!BH436:BL436</xm:f>
              <xm:sqref>BT436</xm:sqref>
            </x14:sparkline>
            <x14:sparkline>
              <xm:f>RevenueTariffBasket_FO!BH437:BL437</xm:f>
              <xm:sqref>BT437</xm:sqref>
            </x14:sparkline>
            <x14:sparkline>
              <xm:f>RevenueTariffBasket_FO!BH438:BL438</xm:f>
              <xm:sqref>BT438</xm:sqref>
            </x14:sparkline>
            <x14:sparkline>
              <xm:f>RevenueTariffBasket_FO!BH439:BL439</xm:f>
              <xm:sqref>BT439</xm:sqref>
            </x14:sparkline>
            <x14:sparkline>
              <xm:f>RevenueTariffBasket_FO!BH440:BL440</xm:f>
              <xm:sqref>BT440</xm:sqref>
            </x14:sparkline>
            <x14:sparkline>
              <xm:f>RevenueTariffBasket_FO!BH441:BL441</xm:f>
              <xm:sqref>BT441</xm:sqref>
            </x14:sparkline>
            <x14:sparkline>
              <xm:f>RevenueTariffBasket_FO!BH442:BL442</xm:f>
              <xm:sqref>BT442</xm:sqref>
            </x14:sparkline>
            <x14:sparkline>
              <xm:f>RevenueTariffBasket_FO!BH443:BL443</xm:f>
              <xm:sqref>BT443</xm:sqref>
            </x14:sparkline>
          </x14:sparklines>
        </x14:sparklineGroup>
        <x14:sparklineGroup manualMax="0" manualMin="0" displayEmptyCellsAs="gap" xr2:uid="{00000000-0003-0000-0C00-000007000000}">
          <x14:colorSeries theme="9" tint="-0.249977111117893"/>
          <x14:colorNegative theme="4"/>
          <x14:colorAxis rgb="FF000000"/>
          <x14:colorMarkers theme="4" tint="-0.249977111117893"/>
          <x14:colorFirst theme="4" tint="-0.249977111117893"/>
          <x14:colorLast theme="4" tint="-0.249977111117893"/>
          <x14:colorHigh theme="4" tint="-0.249977111117893"/>
          <x14:colorLow theme="4" tint="-0.249977111117893"/>
          <x14:sparklines>
            <x14:sparkline>
              <xm:f>RevenueTariffBasket_FO!AZ69:BG69</xm:f>
              <xm:sqref>BS69</xm:sqref>
            </x14:sparkline>
            <x14:sparkline>
              <xm:f>RevenueTariffBasket_FO!AZ70:BG70</xm:f>
              <xm:sqref>BS70</xm:sqref>
            </x14:sparkline>
            <x14:sparkline>
              <xm:f>RevenueTariffBasket_FO!AZ71:BG71</xm:f>
              <xm:sqref>BS71</xm:sqref>
            </x14:sparkline>
            <x14:sparkline>
              <xm:f>RevenueTariffBasket_FO!AZ72:BG72</xm:f>
              <xm:sqref>BS72</xm:sqref>
            </x14:sparkline>
            <x14:sparkline>
              <xm:f>RevenueTariffBasket_FO!AZ73:BG73</xm:f>
              <xm:sqref>BS73</xm:sqref>
            </x14:sparkline>
            <x14:sparkline>
              <xm:f>RevenueTariffBasket_FO!AZ74:BG74</xm:f>
              <xm:sqref>BS74</xm:sqref>
            </x14:sparkline>
            <x14:sparkline>
              <xm:f>RevenueTariffBasket_FO!AZ75:BG75</xm:f>
              <xm:sqref>BS75</xm:sqref>
            </x14:sparkline>
            <x14:sparkline>
              <xm:f>RevenueTariffBasket_FO!AZ76:BG76</xm:f>
              <xm:sqref>BS76</xm:sqref>
            </x14:sparkline>
            <x14:sparkline>
              <xm:f>RevenueTariffBasket_FO!AZ77:BG77</xm:f>
              <xm:sqref>BS77</xm:sqref>
            </x14:sparkline>
            <x14:sparkline>
              <xm:f>RevenueTariffBasket_FO!AZ78:BG78</xm:f>
              <xm:sqref>BS78</xm:sqref>
            </x14:sparkline>
            <x14:sparkline>
              <xm:f>RevenueTariffBasket_FO!AZ79:BG79</xm:f>
              <xm:sqref>BS79</xm:sqref>
            </x14:sparkline>
            <x14:sparkline>
              <xm:f>RevenueTariffBasket_FO!AZ80:BG80</xm:f>
              <xm:sqref>BS80</xm:sqref>
            </x14:sparkline>
            <x14:sparkline>
              <xm:f>RevenueTariffBasket_FO!AZ81:BG81</xm:f>
              <xm:sqref>BS81</xm:sqref>
            </x14:sparkline>
            <x14:sparkline>
              <xm:f>RevenueTariffBasket_FO!AZ82:BG82</xm:f>
              <xm:sqref>BS82</xm:sqref>
            </x14:sparkline>
            <x14:sparkline>
              <xm:f>RevenueTariffBasket_FO!AZ83:BG83</xm:f>
              <xm:sqref>BS83</xm:sqref>
            </x14:sparkline>
            <x14:sparkline>
              <xm:f>RevenueTariffBasket_FO!AZ84:BG84</xm:f>
              <xm:sqref>BS84</xm:sqref>
            </x14:sparkline>
            <x14:sparkline>
              <xm:f>RevenueTariffBasket_FO!AZ85:BG85</xm:f>
              <xm:sqref>BS85</xm:sqref>
            </x14:sparkline>
            <x14:sparkline>
              <xm:f>RevenueTariffBasket_FO!AZ86:BG86</xm:f>
              <xm:sqref>BS86</xm:sqref>
            </x14:sparkline>
            <x14:sparkline>
              <xm:f>RevenueTariffBasket_FO!AZ87:BG87</xm:f>
              <xm:sqref>BS87</xm:sqref>
            </x14:sparkline>
            <x14:sparkline>
              <xm:f>RevenueTariffBasket_FO!AZ88:BG88</xm:f>
              <xm:sqref>BS88</xm:sqref>
            </x14:sparkline>
            <x14:sparkline>
              <xm:f>RevenueTariffBasket_FO!AZ89:BG89</xm:f>
              <xm:sqref>BS89</xm:sqref>
            </x14:sparkline>
            <x14:sparkline>
              <xm:f>RevenueTariffBasket_FO!AZ90:BG90</xm:f>
              <xm:sqref>BS90</xm:sqref>
            </x14:sparkline>
            <x14:sparkline>
              <xm:f>RevenueTariffBasket_FO!AZ91:BG91</xm:f>
              <xm:sqref>BS91</xm:sqref>
            </x14:sparkline>
            <x14:sparkline>
              <xm:f>RevenueTariffBasket_FO!AZ92:BG92</xm:f>
              <xm:sqref>BS92</xm:sqref>
            </x14:sparkline>
            <x14:sparkline>
              <xm:f>RevenueTariffBasket_FO!AZ93:BG93</xm:f>
              <xm:sqref>BS93</xm:sqref>
            </x14:sparkline>
            <x14:sparkline>
              <xm:f>RevenueTariffBasket_FO!AZ94:BG94</xm:f>
              <xm:sqref>BS94</xm:sqref>
            </x14:sparkline>
            <x14:sparkline>
              <xm:f>RevenueTariffBasket_FO!AZ95:BG95</xm:f>
              <xm:sqref>BS95</xm:sqref>
            </x14:sparkline>
            <x14:sparkline>
              <xm:f>RevenueTariffBasket_FO!AZ96:BG96</xm:f>
              <xm:sqref>BS96</xm:sqref>
            </x14:sparkline>
            <x14:sparkline>
              <xm:f>RevenueTariffBasket_FO!AZ97:BG97</xm:f>
              <xm:sqref>BS97</xm:sqref>
            </x14:sparkline>
            <x14:sparkline>
              <xm:f>RevenueTariffBasket_FO!AZ98:BG98</xm:f>
              <xm:sqref>BS98</xm:sqref>
            </x14:sparkline>
            <x14:sparkline>
              <xm:f>RevenueTariffBasket_FO!AZ99:BG99</xm:f>
              <xm:sqref>BS99</xm:sqref>
            </x14:sparkline>
            <x14:sparkline>
              <xm:f>RevenueTariffBasket_FO!AZ100:BG100</xm:f>
              <xm:sqref>BS100</xm:sqref>
            </x14:sparkline>
            <x14:sparkline>
              <xm:f>RevenueTariffBasket_FO!AZ101:BG101</xm:f>
              <xm:sqref>BS101</xm:sqref>
            </x14:sparkline>
            <x14:sparkline>
              <xm:f>RevenueTariffBasket_FO!AZ102:BG102</xm:f>
              <xm:sqref>BS102</xm:sqref>
            </x14:sparkline>
            <x14:sparkline>
              <xm:f>RevenueTariffBasket_FO!AZ103:BG103</xm:f>
              <xm:sqref>BS103</xm:sqref>
            </x14:sparkline>
            <x14:sparkline>
              <xm:f>RevenueTariffBasket_FO!AZ104:BG104</xm:f>
              <xm:sqref>BS104</xm:sqref>
            </x14:sparkline>
            <x14:sparkline>
              <xm:f>RevenueTariffBasket_FO!AZ105:BG105</xm:f>
              <xm:sqref>BS105</xm:sqref>
            </x14:sparkline>
            <x14:sparkline>
              <xm:f>RevenueTariffBasket_FO!AZ106:BG106</xm:f>
              <xm:sqref>BS106</xm:sqref>
            </x14:sparkline>
            <x14:sparkline>
              <xm:f>RevenueTariffBasket_FO!AZ107:BG107</xm:f>
              <xm:sqref>BS107</xm:sqref>
            </x14:sparkline>
            <x14:sparkline>
              <xm:f>RevenueTariffBasket_FO!AZ108:BG108</xm:f>
              <xm:sqref>BS108</xm:sqref>
            </x14:sparkline>
            <x14:sparkline>
              <xm:f>RevenueTariffBasket_FO!AZ109:BG109</xm:f>
              <xm:sqref>BS109</xm:sqref>
            </x14:sparkline>
            <x14:sparkline>
              <xm:f>RevenueTariffBasket_FO!AZ110:BG110</xm:f>
              <xm:sqref>BS110</xm:sqref>
            </x14:sparkline>
            <x14:sparkline>
              <xm:f>RevenueTariffBasket_FO!AZ111:BG111</xm:f>
              <xm:sqref>BS111</xm:sqref>
            </x14:sparkline>
            <x14:sparkline>
              <xm:f>RevenueTariffBasket_FO!AZ112:BG112</xm:f>
              <xm:sqref>BS112</xm:sqref>
            </x14:sparkline>
            <x14:sparkline>
              <xm:f>RevenueTariffBasket_FO!AZ113:BG113</xm:f>
              <xm:sqref>BS113</xm:sqref>
            </x14:sparkline>
            <x14:sparkline>
              <xm:f>RevenueTariffBasket_FO!AZ114:BG114</xm:f>
              <xm:sqref>BS114</xm:sqref>
            </x14:sparkline>
            <x14:sparkline>
              <xm:f>RevenueTariffBasket_FO!AZ115:BG115</xm:f>
              <xm:sqref>BS115</xm:sqref>
            </x14:sparkline>
            <x14:sparkline>
              <xm:f>RevenueTariffBasket_FO!AZ116:BG116</xm:f>
              <xm:sqref>BS116</xm:sqref>
            </x14:sparkline>
            <x14:sparkline>
              <xm:f>RevenueTariffBasket_FO!AZ117:BG117</xm:f>
              <xm:sqref>BS117</xm:sqref>
            </x14:sparkline>
            <x14:sparkline>
              <xm:f>RevenueTariffBasket_FO!AZ118:BG118</xm:f>
              <xm:sqref>BS118</xm:sqref>
            </x14:sparkline>
            <x14:sparkline>
              <xm:f>RevenueTariffBasket_FO!AZ119:BG119</xm:f>
              <xm:sqref>BS119</xm:sqref>
            </x14:sparkline>
            <x14:sparkline>
              <xm:f>RevenueTariffBasket_FO!AZ120:BG120</xm:f>
              <xm:sqref>BS120</xm:sqref>
            </x14:sparkline>
            <x14:sparkline>
              <xm:f>RevenueTariffBasket_FO!AZ121:BG121</xm:f>
              <xm:sqref>BS121</xm:sqref>
            </x14:sparkline>
            <x14:sparkline>
              <xm:f>RevenueTariffBasket_FO!AZ122:BG122</xm:f>
              <xm:sqref>BS122</xm:sqref>
            </x14:sparkline>
            <x14:sparkline>
              <xm:f>RevenueTariffBasket_FO!AZ123:BG123</xm:f>
              <xm:sqref>BS123</xm:sqref>
            </x14:sparkline>
            <x14:sparkline>
              <xm:f>RevenueTariffBasket_FO!AZ124:BG124</xm:f>
              <xm:sqref>BS124</xm:sqref>
            </x14:sparkline>
            <x14:sparkline>
              <xm:f>RevenueTariffBasket_FO!AZ125:BG125</xm:f>
              <xm:sqref>BS125</xm:sqref>
            </x14:sparkline>
            <x14:sparkline>
              <xm:f>RevenueTariffBasket_FO!AZ126:BG126</xm:f>
              <xm:sqref>BS126</xm:sqref>
            </x14:sparkline>
            <x14:sparkline>
              <xm:f>RevenueTariffBasket_FO!AZ127:BG127</xm:f>
              <xm:sqref>BS127</xm:sqref>
            </x14:sparkline>
            <x14:sparkline>
              <xm:f>RevenueTariffBasket_FO!AZ128:BG128</xm:f>
              <xm:sqref>BS128</xm:sqref>
            </x14:sparkline>
            <x14:sparkline>
              <xm:f>RevenueTariffBasket_FO!AZ129:BG129</xm:f>
              <xm:sqref>BS129</xm:sqref>
            </x14:sparkline>
            <x14:sparkline>
              <xm:f>RevenueTariffBasket_FO!AZ130:BG130</xm:f>
              <xm:sqref>BS130</xm:sqref>
            </x14:sparkline>
            <x14:sparkline>
              <xm:f>RevenueTariffBasket_FO!AZ131:BG131</xm:f>
              <xm:sqref>BS131</xm:sqref>
            </x14:sparkline>
            <x14:sparkline>
              <xm:f>RevenueTariffBasket_FO!AZ132:BG132</xm:f>
              <xm:sqref>BS132</xm:sqref>
            </x14:sparkline>
            <x14:sparkline>
              <xm:f>RevenueTariffBasket_FO!AZ133:BG133</xm:f>
              <xm:sqref>BS133</xm:sqref>
            </x14:sparkline>
            <x14:sparkline>
              <xm:f>RevenueTariffBasket_FO!AZ134:BG134</xm:f>
              <xm:sqref>BS134</xm:sqref>
            </x14:sparkline>
            <x14:sparkline>
              <xm:f>RevenueTariffBasket_FO!AZ135:BG135</xm:f>
              <xm:sqref>BS135</xm:sqref>
            </x14:sparkline>
            <x14:sparkline>
              <xm:f>RevenueTariffBasket_FO!AZ136:BG136</xm:f>
              <xm:sqref>BS136</xm:sqref>
            </x14:sparkline>
            <x14:sparkline>
              <xm:f>RevenueTariffBasket_FO!AZ137:BG137</xm:f>
              <xm:sqref>BS137</xm:sqref>
            </x14:sparkline>
            <x14:sparkline>
              <xm:f>RevenueTariffBasket_FO!AZ138:BG138</xm:f>
              <xm:sqref>BS138</xm:sqref>
            </x14:sparkline>
            <x14:sparkline>
              <xm:f>RevenueTariffBasket_FO!AZ139:BG139</xm:f>
              <xm:sqref>BS139</xm:sqref>
            </x14:sparkline>
            <x14:sparkline>
              <xm:f>RevenueTariffBasket_FO!AZ140:BG140</xm:f>
              <xm:sqref>BS140</xm:sqref>
            </x14:sparkline>
            <x14:sparkline>
              <xm:f>RevenueTariffBasket_FO!AZ141:BG141</xm:f>
              <xm:sqref>BS141</xm:sqref>
            </x14:sparkline>
            <x14:sparkline>
              <xm:f>RevenueTariffBasket_FO!AZ142:BG142</xm:f>
              <xm:sqref>BS142</xm:sqref>
            </x14:sparkline>
            <x14:sparkline>
              <xm:f>RevenueTariffBasket_FO!AZ143:BG143</xm:f>
              <xm:sqref>BS143</xm:sqref>
            </x14:sparkline>
            <x14:sparkline>
              <xm:f>RevenueTariffBasket_FO!AZ144:BG144</xm:f>
              <xm:sqref>BS144</xm:sqref>
            </x14:sparkline>
            <x14:sparkline>
              <xm:f>RevenueTariffBasket_FO!AZ145:BG145</xm:f>
              <xm:sqref>BS145</xm:sqref>
            </x14:sparkline>
            <x14:sparkline>
              <xm:f>RevenueTariffBasket_FO!AZ146:BG146</xm:f>
              <xm:sqref>BS146</xm:sqref>
            </x14:sparkline>
            <x14:sparkline>
              <xm:f>RevenueTariffBasket_FO!AZ147:BG147</xm:f>
              <xm:sqref>BS147</xm:sqref>
            </x14:sparkline>
            <x14:sparkline>
              <xm:f>RevenueTariffBasket_FO!AZ148:BG148</xm:f>
              <xm:sqref>BS148</xm:sqref>
            </x14:sparkline>
            <x14:sparkline>
              <xm:f>RevenueTariffBasket_FO!AZ149:BG149</xm:f>
              <xm:sqref>BS149</xm:sqref>
            </x14:sparkline>
            <x14:sparkline>
              <xm:f>RevenueTariffBasket_FO!AZ150:BG150</xm:f>
              <xm:sqref>BS150</xm:sqref>
            </x14:sparkline>
            <x14:sparkline>
              <xm:f>RevenueTariffBasket_FO!AZ151:BG151</xm:f>
              <xm:sqref>BS151</xm:sqref>
            </x14:sparkline>
            <x14:sparkline>
              <xm:f>RevenueTariffBasket_FO!AZ152:BG152</xm:f>
              <xm:sqref>BS152</xm:sqref>
            </x14:sparkline>
            <x14:sparkline>
              <xm:f>RevenueTariffBasket_FO!AZ153:BG153</xm:f>
              <xm:sqref>BS153</xm:sqref>
            </x14:sparkline>
            <x14:sparkline>
              <xm:f>RevenueTariffBasket_FO!AZ154:BG154</xm:f>
              <xm:sqref>BS154</xm:sqref>
            </x14:sparkline>
            <x14:sparkline>
              <xm:f>RevenueTariffBasket_FO!AZ155:BG155</xm:f>
              <xm:sqref>BS155</xm:sqref>
            </x14:sparkline>
            <x14:sparkline>
              <xm:f>RevenueTariffBasket_FO!AZ156:BG156</xm:f>
              <xm:sqref>BS156</xm:sqref>
            </x14:sparkline>
            <x14:sparkline>
              <xm:f>RevenueTariffBasket_FO!AZ157:BG157</xm:f>
              <xm:sqref>BS157</xm:sqref>
            </x14:sparkline>
            <x14:sparkline>
              <xm:f>RevenueTariffBasket_FO!AZ158:BG158</xm:f>
              <xm:sqref>BS158</xm:sqref>
            </x14:sparkline>
            <x14:sparkline>
              <xm:f>RevenueTariffBasket_FO!AZ159:BG159</xm:f>
              <xm:sqref>BS159</xm:sqref>
            </x14:sparkline>
            <x14:sparkline>
              <xm:f>RevenueTariffBasket_FO!AZ160:BG160</xm:f>
              <xm:sqref>BS160</xm:sqref>
            </x14:sparkline>
            <x14:sparkline>
              <xm:f>RevenueTariffBasket_FO!AZ161:BG161</xm:f>
              <xm:sqref>BS161</xm:sqref>
            </x14:sparkline>
            <x14:sparkline>
              <xm:f>RevenueTariffBasket_FO!AZ162:BG162</xm:f>
              <xm:sqref>BS162</xm:sqref>
            </x14:sparkline>
            <x14:sparkline>
              <xm:f>RevenueTariffBasket_FO!AZ163:BG163</xm:f>
              <xm:sqref>BS163</xm:sqref>
            </x14:sparkline>
            <x14:sparkline>
              <xm:f>RevenueTariffBasket_FO!AZ164:BG164</xm:f>
              <xm:sqref>BS164</xm:sqref>
            </x14:sparkline>
            <x14:sparkline>
              <xm:f>RevenueTariffBasket_FO!AZ165:BG165</xm:f>
              <xm:sqref>BS165</xm:sqref>
            </x14:sparkline>
            <x14:sparkline>
              <xm:f>RevenueTariffBasket_FO!AZ166:BG166</xm:f>
              <xm:sqref>BS166</xm:sqref>
            </x14:sparkline>
            <x14:sparkline>
              <xm:f>RevenueTariffBasket_FO!AZ167:BG167</xm:f>
              <xm:sqref>BS167</xm:sqref>
            </x14:sparkline>
            <x14:sparkline>
              <xm:f>RevenueTariffBasket_FO!AZ168:BG168</xm:f>
              <xm:sqref>BS168</xm:sqref>
            </x14:sparkline>
            <x14:sparkline>
              <xm:f>RevenueTariffBasket_FO!AZ169:BG169</xm:f>
              <xm:sqref>BS169</xm:sqref>
            </x14:sparkline>
            <x14:sparkline>
              <xm:f>RevenueTariffBasket_FO!AZ170:BG170</xm:f>
              <xm:sqref>BS170</xm:sqref>
            </x14:sparkline>
            <x14:sparkline>
              <xm:f>RevenueTariffBasket_FO!AZ171:BG171</xm:f>
              <xm:sqref>BS171</xm:sqref>
            </x14:sparkline>
            <x14:sparkline>
              <xm:f>RevenueTariffBasket_FO!AZ172:BG172</xm:f>
              <xm:sqref>BS172</xm:sqref>
            </x14:sparkline>
            <x14:sparkline>
              <xm:f>RevenueTariffBasket_FO!AZ173:BG173</xm:f>
              <xm:sqref>BS173</xm:sqref>
            </x14:sparkline>
            <x14:sparkline>
              <xm:f>RevenueTariffBasket_FO!AZ174:BG174</xm:f>
              <xm:sqref>BS174</xm:sqref>
            </x14:sparkline>
            <x14:sparkline>
              <xm:f>RevenueTariffBasket_FO!AZ175:BG175</xm:f>
              <xm:sqref>BS175</xm:sqref>
            </x14:sparkline>
            <x14:sparkline>
              <xm:f>RevenueTariffBasket_FO!AZ176:BG176</xm:f>
              <xm:sqref>BS176</xm:sqref>
            </x14:sparkline>
            <x14:sparkline>
              <xm:f>RevenueTariffBasket_FO!AZ177:BG177</xm:f>
              <xm:sqref>BS177</xm:sqref>
            </x14:sparkline>
            <x14:sparkline>
              <xm:f>RevenueTariffBasket_FO!AZ178:BG178</xm:f>
              <xm:sqref>BS178</xm:sqref>
            </x14:sparkline>
            <x14:sparkline>
              <xm:f>RevenueTariffBasket_FO!AZ179:BG179</xm:f>
              <xm:sqref>BS179</xm:sqref>
            </x14:sparkline>
            <x14:sparkline>
              <xm:f>RevenueTariffBasket_FO!AZ180:BG180</xm:f>
              <xm:sqref>BS180</xm:sqref>
            </x14:sparkline>
            <x14:sparkline>
              <xm:f>RevenueTariffBasket_FO!AZ181:BG181</xm:f>
              <xm:sqref>BS181</xm:sqref>
            </x14:sparkline>
            <x14:sparkline>
              <xm:f>RevenueTariffBasket_FO!AZ182:BG182</xm:f>
              <xm:sqref>BS182</xm:sqref>
            </x14:sparkline>
            <x14:sparkline>
              <xm:f>RevenueTariffBasket_FO!AZ183:BG183</xm:f>
              <xm:sqref>BS183</xm:sqref>
            </x14:sparkline>
            <x14:sparkline>
              <xm:f>RevenueTariffBasket_FO!AZ184:BG184</xm:f>
              <xm:sqref>BS184</xm:sqref>
            </x14:sparkline>
            <x14:sparkline>
              <xm:f>RevenueTariffBasket_FO!AZ185:BG185</xm:f>
              <xm:sqref>BS185</xm:sqref>
            </x14:sparkline>
            <x14:sparkline>
              <xm:f>RevenueTariffBasket_FO!AZ186:BG186</xm:f>
              <xm:sqref>BS186</xm:sqref>
            </x14:sparkline>
            <x14:sparkline>
              <xm:f>RevenueTariffBasket_FO!AZ187:BG187</xm:f>
              <xm:sqref>BS187</xm:sqref>
            </x14:sparkline>
            <x14:sparkline>
              <xm:f>RevenueTariffBasket_FO!AZ188:BG188</xm:f>
              <xm:sqref>BS188</xm:sqref>
            </x14:sparkline>
            <x14:sparkline>
              <xm:f>RevenueTariffBasket_FO!AZ189:BG189</xm:f>
              <xm:sqref>BS189</xm:sqref>
            </x14:sparkline>
            <x14:sparkline>
              <xm:f>RevenueTariffBasket_FO!AZ190:BG190</xm:f>
              <xm:sqref>BS190</xm:sqref>
            </x14:sparkline>
            <x14:sparkline>
              <xm:f>RevenueTariffBasket_FO!AZ191:BG191</xm:f>
              <xm:sqref>BS191</xm:sqref>
            </x14:sparkline>
            <x14:sparkline>
              <xm:f>RevenueTariffBasket_FO!AZ192:BG192</xm:f>
              <xm:sqref>BS192</xm:sqref>
            </x14:sparkline>
            <x14:sparkline>
              <xm:f>RevenueTariffBasket_FO!AZ193:BG193</xm:f>
              <xm:sqref>BS193</xm:sqref>
            </x14:sparkline>
            <x14:sparkline>
              <xm:f>RevenueTariffBasket_FO!AZ194:BG194</xm:f>
              <xm:sqref>BS194</xm:sqref>
            </x14:sparkline>
            <x14:sparkline>
              <xm:f>RevenueTariffBasket_FO!AZ195:BG195</xm:f>
              <xm:sqref>BS195</xm:sqref>
            </x14:sparkline>
            <x14:sparkline>
              <xm:f>RevenueTariffBasket_FO!AZ196:BG196</xm:f>
              <xm:sqref>BS196</xm:sqref>
            </x14:sparkline>
            <x14:sparkline>
              <xm:f>RevenueTariffBasket_FO!AZ197:BG197</xm:f>
              <xm:sqref>BS197</xm:sqref>
            </x14:sparkline>
            <x14:sparkline>
              <xm:f>RevenueTariffBasket_FO!AZ198:BG198</xm:f>
              <xm:sqref>BS198</xm:sqref>
            </x14:sparkline>
            <x14:sparkline>
              <xm:f>RevenueTariffBasket_FO!AZ199:BG199</xm:f>
              <xm:sqref>BS199</xm:sqref>
            </x14:sparkline>
            <x14:sparkline>
              <xm:f>RevenueTariffBasket_FO!AZ200:BG200</xm:f>
              <xm:sqref>BS200</xm:sqref>
            </x14:sparkline>
            <x14:sparkline>
              <xm:f>RevenueTariffBasket_FO!AZ201:BG201</xm:f>
              <xm:sqref>BS201</xm:sqref>
            </x14:sparkline>
            <x14:sparkline>
              <xm:f>RevenueTariffBasket_FO!AZ202:BG202</xm:f>
              <xm:sqref>BS202</xm:sqref>
            </x14:sparkline>
            <x14:sparkline>
              <xm:f>RevenueTariffBasket_FO!AZ203:BG203</xm:f>
              <xm:sqref>BS203</xm:sqref>
            </x14:sparkline>
            <x14:sparkline>
              <xm:f>RevenueTariffBasket_FO!AZ204:BG204</xm:f>
              <xm:sqref>BS204</xm:sqref>
            </x14:sparkline>
            <x14:sparkline>
              <xm:f>RevenueTariffBasket_FO!AZ205:BG205</xm:f>
              <xm:sqref>BS205</xm:sqref>
            </x14:sparkline>
            <x14:sparkline>
              <xm:f>RevenueTariffBasket_FO!AZ206:BG206</xm:f>
              <xm:sqref>BS206</xm:sqref>
            </x14:sparkline>
            <x14:sparkline>
              <xm:f>RevenueTariffBasket_FO!AZ207:BG207</xm:f>
              <xm:sqref>BS207</xm:sqref>
            </x14:sparkline>
            <x14:sparkline>
              <xm:f>RevenueTariffBasket_FO!AZ208:BG208</xm:f>
              <xm:sqref>BS208</xm:sqref>
            </x14:sparkline>
            <x14:sparkline>
              <xm:f>RevenueTariffBasket_FO!AZ209:BG209</xm:f>
              <xm:sqref>BS209</xm:sqref>
            </x14:sparkline>
            <x14:sparkline>
              <xm:f>RevenueTariffBasket_FO!AZ210:BG210</xm:f>
              <xm:sqref>BS210</xm:sqref>
            </x14:sparkline>
            <x14:sparkline>
              <xm:f>RevenueTariffBasket_FO!AZ211:BG211</xm:f>
              <xm:sqref>BS211</xm:sqref>
            </x14:sparkline>
            <x14:sparkline>
              <xm:f>RevenueTariffBasket_FO!AZ212:BG212</xm:f>
              <xm:sqref>BS212</xm:sqref>
            </x14:sparkline>
            <x14:sparkline>
              <xm:f>RevenueTariffBasket_FO!AZ213:BG213</xm:f>
              <xm:sqref>BS213</xm:sqref>
            </x14:sparkline>
            <x14:sparkline>
              <xm:f>RevenueTariffBasket_FO!AZ214:BG214</xm:f>
              <xm:sqref>BS214</xm:sqref>
            </x14:sparkline>
            <x14:sparkline>
              <xm:f>RevenueTariffBasket_FO!AZ215:BG215</xm:f>
              <xm:sqref>BS215</xm:sqref>
            </x14:sparkline>
            <x14:sparkline>
              <xm:f>RevenueTariffBasket_FO!AZ216:BG216</xm:f>
              <xm:sqref>BS216</xm:sqref>
            </x14:sparkline>
            <x14:sparkline>
              <xm:f>RevenueTariffBasket_FO!AZ217:BG217</xm:f>
              <xm:sqref>BS217</xm:sqref>
            </x14:sparkline>
            <x14:sparkline>
              <xm:f>RevenueTariffBasket_FO!AZ218:BG218</xm:f>
              <xm:sqref>BS218</xm:sqref>
            </x14:sparkline>
            <x14:sparkline>
              <xm:f>RevenueTariffBasket_FO!AZ219:BG219</xm:f>
              <xm:sqref>BS219</xm:sqref>
            </x14:sparkline>
            <x14:sparkline>
              <xm:f>RevenueTariffBasket_FO!AZ220:BG220</xm:f>
              <xm:sqref>BS220</xm:sqref>
            </x14:sparkline>
            <x14:sparkline>
              <xm:f>RevenueTariffBasket_FO!AZ221:BG221</xm:f>
              <xm:sqref>BS221</xm:sqref>
            </x14:sparkline>
            <x14:sparkline>
              <xm:f>RevenueTariffBasket_FO!AZ222:BG222</xm:f>
              <xm:sqref>BS222</xm:sqref>
            </x14:sparkline>
            <x14:sparkline>
              <xm:f>RevenueTariffBasket_FO!AZ223:BG223</xm:f>
              <xm:sqref>BS223</xm:sqref>
            </x14:sparkline>
            <x14:sparkline>
              <xm:f>RevenueTariffBasket_FO!AZ224:BG224</xm:f>
              <xm:sqref>BS224</xm:sqref>
            </x14:sparkline>
            <x14:sparkline>
              <xm:f>RevenueTariffBasket_FO!AZ225:BG225</xm:f>
              <xm:sqref>BS225</xm:sqref>
            </x14:sparkline>
            <x14:sparkline>
              <xm:f>RevenueTariffBasket_FO!AZ226:BG226</xm:f>
              <xm:sqref>BS226</xm:sqref>
            </x14:sparkline>
            <x14:sparkline>
              <xm:f>RevenueTariffBasket_FO!AZ227:BG227</xm:f>
              <xm:sqref>BS227</xm:sqref>
            </x14:sparkline>
            <x14:sparkline>
              <xm:f>RevenueTariffBasket_FO!AZ228:BG228</xm:f>
              <xm:sqref>BS228</xm:sqref>
            </x14:sparkline>
            <x14:sparkline>
              <xm:f>RevenueTariffBasket_FO!AZ229:BG229</xm:f>
              <xm:sqref>BS229</xm:sqref>
            </x14:sparkline>
            <x14:sparkline>
              <xm:f>RevenueTariffBasket_FO!AZ230:BG230</xm:f>
              <xm:sqref>BS230</xm:sqref>
            </x14:sparkline>
            <x14:sparkline>
              <xm:f>RevenueTariffBasket_FO!AZ231:BG231</xm:f>
              <xm:sqref>BS231</xm:sqref>
            </x14:sparkline>
            <x14:sparkline>
              <xm:f>RevenueTariffBasket_FO!AZ232:BG232</xm:f>
              <xm:sqref>BS232</xm:sqref>
            </x14:sparkline>
            <x14:sparkline>
              <xm:f>RevenueTariffBasket_FO!AZ233:BG233</xm:f>
              <xm:sqref>BS233</xm:sqref>
            </x14:sparkline>
            <x14:sparkline>
              <xm:f>RevenueTariffBasket_FO!AZ234:BG234</xm:f>
              <xm:sqref>BS234</xm:sqref>
            </x14:sparkline>
            <x14:sparkline>
              <xm:f>RevenueTariffBasket_FO!AZ235:BG235</xm:f>
              <xm:sqref>BS235</xm:sqref>
            </x14:sparkline>
            <x14:sparkline>
              <xm:f>RevenueTariffBasket_FO!AZ236:BG236</xm:f>
              <xm:sqref>BS236</xm:sqref>
            </x14:sparkline>
            <x14:sparkline>
              <xm:f>RevenueTariffBasket_FO!AZ237:BG237</xm:f>
              <xm:sqref>BS237</xm:sqref>
            </x14:sparkline>
            <x14:sparkline>
              <xm:f>RevenueTariffBasket_FO!AZ238:BG238</xm:f>
              <xm:sqref>BS238</xm:sqref>
            </x14:sparkline>
            <x14:sparkline>
              <xm:f>RevenueTariffBasket_FO!AZ239:BG239</xm:f>
              <xm:sqref>BS239</xm:sqref>
            </x14:sparkline>
            <x14:sparkline>
              <xm:f>RevenueTariffBasket_FO!AZ240:BG240</xm:f>
              <xm:sqref>BS240</xm:sqref>
            </x14:sparkline>
            <x14:sparkline>
              <xm:f>RevenueTariffBasket_FO!AZ241:BG241</xm:f>
              <xm:sqref>BS241</xm:sqref>
            </x14:sparkline>
            <x14:sparkline>
              <xm:f>RevenueTariffBasket_FO!AZ242:BG242</xm:f>
              <xm:sqref>BS242</xm:sqref>
            </x14:sparkline>
            <x14:sparkline>
              <xm:f>RevenueTariffBasket_FO!AZ243:BG243</xm:f>
              <xm:sqref>BS243</xm:sqref>
            </x14:sparkline>
            <x14:sparkline>
              <xm:f>RevenueTariffBasket_FO!AZ244:BG244</xm:f>
              <xm:sqref>BS244</xm:sqref>
            </x14:sparkline>
            <x14:sparkline>
              <xm:f>RevenueTariffBasket_FO!AZ245:BG245</xm:f>
              <xm:sqref>BS245</xm:sqref>
            </x14:sparkline>
            <x14:sparkline>
              <xm:f>RevenueTariffBasket_FO!AZ246:BG246</xm:f>
              <xm:sqref>BS246</xm:sqref>
            </x14:sparkline>
            <x14:sparkline>
              <xm:f>RevenueTariffBasket_FO!AZ247:BG247</xm:f>
              <xm:sqref>BS247</xm:sqref>
            </x14:sparkline>
            <x14:sparkline>
              <xm:f>RevenueTariffBasket_FO!AZ248:BG248</xm:f>
              <xm:sqref>BS248</xm:sqref>
            </x14:sparkline>
            <x14:sparkline>
              <xm:f>RevenueTariffBasket_FO!AZ249:BG249</xm:f>
              <xm:sqref>BS249</xm:sqref>
            </x14:sparkline>
            <x14:sparkline>
              <xm:f>RevenueTariffBasket_FO!AZ250:BG250</xm:f>
              <xm:sqref>BS250</xm:sqref>
            </x14:sparkline>
            <x14:sparkline>
              <xm:f>RevenueTariffBasket_FO!AZ251:BG251</xm:f>
              <xm:sqref>BS251</xm:sqref>
            </x14:sparkline>
            <x14:sparkline>
              <xm:f>RevenueTariffBasket_FO!AZ252:BG252</xm:f>
              <xm:sqref>BS252</xm:sqref>
            </x14:sparkline>
            <x14:sparkline>
              <xm:f>RevenueTariffBasket_FO!AZ253:BG253</xm:f>
              <xm:sqref>BS253</xm:sqref>
            </x14:sparkline>
            <x14:sparkline>
              <xm:f>RevenueTariffBasket_FO!AZ254:BG254</xm:f>
              <xm:sqref>BS254</xm:sqref>
            </x14:sparkline>
            <x14:sparkline>
              <xm:f>RevenueTariffBasket_FO!AZ255:BG255</xm:f>
              <xm:sqref>BS255</xm:sqref>
            </x14:sparkline>
            <x14:sparkline>
              <xm:f>RevenueTariffBasket_FO!AZ256:BG256</xm:f>
              <xm:sqref>BS256</xm:sqref>
            </x14:sparkline>
            <x14:sparkline>
              <xm:f>RevenueTariffBasket_FO!AZ257:BG257</xm:f>
              <xm:sqref>BS257</xm:sqref>
            </x14:sparkline>
            <x14:sparkline>
              <xm:f>RevenueTariffBasket_FO!AZ258:BG258</xm:f>
              <xm:sqref>BS258</xm:sqref>
            </x14:sparkline>
            <x14:sparkline>
              <xm:f>RevenueTariffBasket_FO!AZ259:BG259</xm:f>
              <xm:sqref>BS259</xm:sqref>
            </x14:sparkline>
            <x14:sparkline>
              <xm:f>RevenueTariffBasket_FO!AZ260:BG260</xm:f>
              <xm:sqref>BS260</xm:sqref>
            </x14:sparkline>
            <x14:sparkline>
              <xm:f>RevenueTariffBasket_FO!AZ261:BG261</xm:f>
              <xm:sqref>BS261</xm:sqref>
            </x14:sparkline>
            <x14:sparkline>
              <xm:f>RevenueTariffBasket_FO!AZ262:BG262</xm:f>
              <xm:sqref>BS262</xm:sqref>
            </x14:sparkline>
            <x14:sparkline>
              <xm:f>RevenueTariffBasket_FO!AZ263:BG263</xm:f>
              <xm:sqref>BS263</xm:sqref>
            </x14:sparkline>
            <x14:sparkline>
              <xm:f>RevenueTariffBasket_FO!AZ264:BG264</xm:f>
              <xm:sqref>BS264</xm:sqref>
            </x14:sparkline>
            <x14:sparkline>
              <xm:f>RevenueTariffBasket_FO!AZ265:BG265</xm:f>
              <xm:sqref>BS265</xm:sqref>
            </x14:sparkline>
            <x14:sparkline>
              <xm:f>RevenueTariffBasket_FO!AZ266:BG266</xm:f>
              <xm:sqref>BS266</xm:sqref>
            </x14:sparkline>
            <x14:sparkline>
              <xm:f>RevenueTariffBasket_FO!AZ267:BG267</xm:f>
              <xm:sqref>BS267</xm:sqref>
            </x14:sparkline>
            <x14:sparkline>
              <xm:f>RevenueTariffBasket_FO!AZ268:BG268</xm:f>
              <xm:sqref>BS268</xm:sqref>
            </x14:sparkline>
            <x14:sparkline>
              <xm:f>RevenueTariffBasket_FO!AZ269:BG269</xm:f>
              <xm:sqref>BS269</xm:sqref>
            </x14:sparkline>
            <x14:sparkline>
              <xm:f>RevenueTariffBasket_FO!AZ270:BG270</xm:f>
              <xm:sqref>BS270</xm:sqref>
            </x14:sparkline>
            <x14:sparkline>
              <xm:f>RevenueTariffBasket_FO!AZ271:BG271</xm:f>
              <xm:sqref>BS271</xm:sqref>
            </x14:sparkline>
            <x14:sparkline>
              <xm:f>RevenueTariffBasket_FO!AZ272:BG272</xm:f>
              <xm:sqref>BS272</xm:sqref>
            </x14:sparkline>
            <x14:sparkline>
              <xm:f>RevenueTariffBasket_FO!AZ273:BG273</xm:f>
              <xm:sqref>BS273</xm:sqref>
            </x14:sparkline>
            <x14:sparkline>
              <xm:f>RevenueTariffBasket_FO!AZ274:BG274</xm:f>
              <xm:sqref>BS274</xm:sqref>
            </x14:sparkline>
            <x14:sparkline>
              <xm:f>RevenueTariffBasket_FO!AZ275:BG275</xm:f>
              <xm:sqref>BS275</xm:sqref>
            </x14:sparkline>
            <x14:sparkline>
              <xm:f>RevenueTariffBasket_FO!AZ276:BG276</xm:f>
              <xm:sqref>BS276</xm:sqref>
            </x14:sparkline>
            <x14:sparkline>
              <xm:f>RevenueTariffBasket_FO!AZ277:BG277</xm:f>
              <xm:sqref>BS277</xm:sqref>
            </x14:sparkline>
            <x14:sparkline>
              <xm:f>RevenueTariffBasket_FO!AZ278:BG278</xm:f>
              <xm:sqref>BS278</xm:sqref>
            </x14:sparkline>
            <x14:sparkline>
              <xm:f>RevenueTariffBasket_FO!AZ279:BG279</xm:f>
              <xm:sqref>BS279</xm:sqref>
            </x14:sparkline>
            <x14:sparkline>
              <xm:f>RevenueTariffBasket_FO!AZ280:BG280</xm:f>
              <xm:sqref>BS280</xm:sqref>
            </x14:sparkline>
            <x14:sparkline>
              <xm:f>RevenueTariffBasket_FO!AZ281:BG281</xm:f>
              <xm:sqref>BS281</xm:sqref>
            </x14:sparkline>
            <x14:sparkline>
              <xm:f>RevenueTariffBasket_FO!AZ282:BG282</xm:f>
              <xm:sqref>BS282</xm:sqref>
            </x14:sparkline>
            <x14:sparkline>
              <xm:f>RevenueTariffBasket_FO!AZ283:BG283</xm:f>
              <xm:sqref>BS283</xm:sqref>
            </x14:sparkline>
            <x14:sparkline>
              <xm:f>RevenueTariffBasket_FO!AZ284:BG284</xm:f>
              <xm:sqref>BS284</xm:sqref>
            </x14:sparkline>
            <x14:sparkline>
              <xm:f>RevenueTariffBasket_FO!AZ285:BG285</xm:f>
              <xm:sqref>BS285</xm:sqref>
            </x14:sparkline>
            <x14:sparkline>
              <xm:f>RevenueTariffBasket_FO!AZ286:BG286</xm:f>
              <xm:sqref>BS286</xm:sqref>
            </x14:sparkline>
            <x14:sparkline>
              <xm:f>RevenueTariffBasket_FO!AZ287:BG287</xm:f>
              <xm:sqref>BS287</xm:sqref>
            </x14:sparkline>
            <x14:sparkline>
              <xm:f>RevenueTariffBasket_FO!AZ288:BG288</xm:f>
              <xm:sqref>BS288</xm:sqref>
            </x14:sparkline>
            <x14:sparkline>
              <xm:f>RevenueTariffBasket_FO!AZ289:BG289</xm:f>
              <xm:sqref>BS289</xm:sqref>
            </x14:sparkline>
            <x14:sparkline>
              <xm:f>RevenueTariffBasket_FO!AZ290:BG290</xm:f>
              <xm:sqref>BS290</xm:sqref>
            </x14:sparkline>
            <x14:sparkline>
              <xm:f>RevenueTariffBasket_FO!AZ291:BG291</xm:f>
              <xm:sqref>BS291</xm:sqref>
            </x14:sparkline>
            <x14:sparkline>
              <xm:f>RevenueTariffBasket_FO!AZ292:BG292</xm:f>
              <xm:sqref>BS292</xm:sqref>
            </x14:sparkline>
            <x14:sparkline>
              <xm:f>RevenueTariffBasket_FO!AZ293:BG293</xm:f>
              <xm:sqref>BS293</xm:sqref>
            </x14:sparkline>
            <x14:sparkline>
              <xm:f>RevenueTariffBasket_FO!AZ294:BG294</xm:f>
              <xm:sqref>BS294</xm:sqref>
            </x14:sparkline>
            <x14:sparkline>
              <xm:f>RevenueTariffBasket_FO!AZ295:BG295</xm:f>
              <xm:sqref>BS295</xm:sqref>
            </x14:sparkline>
            <x14:sparkline>
              <xm:f>RevenueTariffBasket_FO!AZ296:BG296</xm:f>
              <xm:sqref>BS296</xm:sqref>
            </x14:sparkline>
            <x14:sparkline>
              <xm:f>RevenueTariffBasket_FO!AZ297:BG297</xm:f>
              <xm:sqref>BS297</xm:sqref>
            </x14:sparkline>
            <x14:sparkline>
              <xm:f>RevenueTariffBasket_FO!AZ298:BG298</xm:f>
              <xm:sqref>BS298</xm:sqref>
            </x14:sparkline>
            <x14:sparkline>
              <xm:f>RevenueTariffBasket_FO!AZ299:BG299</xm:f>
              <xm:sqref>BS299</xm:sqref>
            </x14:sparkline>
            <x14:sparkline>
              <xm:f>RevenueTariffBasket_FO!AZ300:BG300</xm:f>
              <xm:sqref>BS300</xm:sqref>
            </x14:sparkline>
            <x14:sparkline>
              <xm:f>RevenueTariffBasket_FO!AZ301:BG301</xm:f>
              <xm:sqref>BS301</xm:sqref>
            </x14:sparkline>
            <x14:sparkline>
              <xm:f>RevenueTariffBasket_FO!AZ302:BG302</xm:f>
              <xm:sqref>BS302</xm:sqref>
            </x14:sparkline>
            <x14:sparkline>
              <xm:f>RevenueTariffBasket_FO!AZ303:BG303</xm:f>
              <xm:sqref>BS303</xm:sqref>
            </x14:sparkline>
            <x14:sparkline>
              <xm:f>RevenueTariffBasket_FO!AZ304:BG304</xm:f>
              <xm:sqref>BS304</xm:sqref>
            </x14:sparkline>
            <x14:sparkline>
              <xm:f>RevenueTariffBasket_FO!AZ305:BG305</xm:f>
              <xm:sqref>BS305</xm:sqref>
            </x14:sparkline>
            <x14:sparkline>
              <xm:f>RevenueTariffBasket_FO!AZ306:BG306</xm:f>
              <xm:sqref>BS306</xm:sqref>
            </x14:sparkline>
            <x14:sparkline>
              <xm:f>RevenueTariffBasket_FO!AZ307:BG307</xm:f>
              <xm:sqref>BS307</xm:sqref>
            </x14:sparkline>
            <x14:sparkline>
              <xm:f>RevenueTariffBasket_FO!AZ308:BG308</xm:f>
              <xm:sqref>BS308</xm:sqref>
            </x14:sparkline>
            <x14:sparkline>
              <xm:f>RevenueTariffBasket_FO!AZ309:BG309</xm:f>
              <xm:sqref>BS309</xm:sqref>
            </x14:sparkline>
            <x14:sparkline>
              <xm:f>RevenueTariffBasket_FO!AZ310:BG310</xm:f>
              <xm:sqref>BS310</xm:sqref>
            </x14:sparkline>
            <x14:sparkline>
              <xm:f>RevenueTariffBasket_FO!AZ311:BG311</xm:f>
              <xm:sqref>BS311</xm:sqref>
            </x14:sparkline>
            <x14:sparkline>
              <xm:f>RevenueTariffBasket_FO!AZ312:BG312</xm:f>
              <xm:sqref>BS312</xm:sqref>
            </x14:sparkline>
            <x14:sparkline>
              <xm:f>RevenueTariffBasket_FO!AZ313:BG313</xm:f>
              <xm:sqref>BS313</xm:sqref>
            </x14:sparkline>
            <x14:sparkline>
              <xm:f>RevenueTariffBasket_FO!AZ314:BG314</xm:f>
              <xm:sqref>BS314</xm:sqref>
            </x14:sparkline>
            <x14:sparkline>
              <xm:f>RevenueTariffBasket_FO!AZ315:BG315</xm:f>
              <xm:sqref>BS315</xm:sqref>
            </x14:sparkline>
            <x14:sparkline>
              <xm:f>RevenueTariffBasket_FO!AZ316:BG316</xm:f>
              <xm:sqref>BS316</xm:sqref>
            </x14:sparkline>
            <x14:sparkline>
              <xm:f>RevenueTariffBasket_FO!AZ317:BG317</xm:f>
              <xm:sqref>BS317</xm:sqref>
            </x14:sparkline>
            <x14:sparkline>
              <xm:f>RevenueTariffBasket_FO!AZ318:BG318</xm:f>
              <xm:sqref>BS318</xm:sqref>
            </x14:sparkline>
            <x14:sparkline>
              <xm:f>RevenueTariffBasket_FO!AZ319:BG319</xm:f>
              <xm:sqref>BS319</xm:sqref>
            </x14:sparkline>
            <x14:sparkline>
              <xm:f>RevenueTariffBasket_FO!AZ320:BG320</xm:f>
              <xm:sqref>BS320</xm:sqref>
            </x14:sparkline>
            <x14:sparkline>
              <xm:f>RevenueTariffBasket_FO!AZ321:BG321</xm:f>
              <xm:sqref>BS321</xm:sqref>
            </x14:sparkline>
            <x14:sparkline>
              <xm:f>RevenueTariffBasket_FO!AZ322:BG322</xm:f>
              <xm:sqref>BS322</xm:sqref>
            </x14:sparkline>
            <x14:sparkline>
              <xm:f>RevenueTariffBasket_FO!AZ323:BG323</xm:f>
              <xm:sqref>BS323</xm:sqref>
            </x14:sparkline>
            <x14:sparkline>
              <xm:f>RevenueTariffBasket_FO!AZ324:BG324</xm:f>
              <xm:sqref>BS324</xm:sqref>
            </x14:sparkline>
            <x14:sparkline>
              <xm:f>RevenueTariffBasket_FO!AZ325:BG325</xm:f>
              <xm:sqref>BS325</xm:sqref>
            </x14:sparkline>
            <x14:sparkline>
              <xm:f>RevenueTariffBasket_FO!AZ326:BG326</xm:f>
              <xm:sqref>BS326</xm:sqref>
            </x14:sparkline>
            <x14:sparkline>
              <xm:f>RevenueTariffBasket_FO!AZ327:BG327</xm:f>
              <xm:sqref>BS327</xm:sqref>
            </x14:sparkline>
            <x14:sparkline>
              <xm:f>RevenueTariffBasket_FO!AZ328:BG328</xm:f>
              <xm:sqref>BS328</xm:sqref>
            </x14:sparkline>
            <x14:sparkline>
              <xm:f>RevenueTariffBasket_FO!AZ329:BG329</xm:f>
              <xm:sqref>BS329</xm:sqref>
            </x14:sparkline>
            <x14:sparkline>
              <xm:f>RevenueTariffBasket_FO!AZ330:BG330</xm:f>
              <xm:sqref>BS330</xm:sqref>
            </x14:sparkline>
            <x14:sparkline>
              <xm:f>RevenueTariffBasket_FO!AZ331:BG331</xm:f>
              <xm:sqref>BS331</xm:sqref>
            </x14:sparkline>
            <x14:sparkline>
              <xm:f>RevenueTariffBasket_FO!AZ332:BG332</xm:f>
              <xm:sqref>BS332</xm:sqref>
            </x14:sparkline>
            <x14:sparkline>
              <xm:f>RevenueTariffBasket_FO!AZ333:BG333</xm:f>
              <xm:sqref>BS333</xm:sqref>
            </x14:sparkline>
            <x14:sparkline>
              <xm:f>RevenueTariffBasket_FO!AZ334:BG334</xm:f>
              <xm:sqref>BS334</xm:sqref>
            </x14:sparkline>
            <x14:sparkline>
              <xm:f>RevenueTariffBasket_FO!AZ335:BG335</xm:f>
              <xm:sqref>BS335</xm:sqref>
            </x14:sparkline>
            <x14:sparkline>
              <xm:f>RevenueTariffBasket_FO!AZ336:BG336</xm:f>
              <xm:sqref>BS336</xm:sqref>
            </x14:sparkline>
            <x14:sparkline>
              <xm:f>RevenueTariffBasket_FO!AZ337:BG337</xm:f>
              <xm:sqref>BS337</xm:sqref>
            </x14:sparkline>
            <x14:sparkline>
              <xm:f>RevenueTariffBasket_FO!AZ338:BG338</xm:f>
              <xm:sqref>BS338</xm:sqref>
            </x14:sparkline>
            <x14:sparkline>
              <xm:f>RevenueTariffBasket_FO!AZ339:BG339</xm:f>
              <xm:sqref>BS339</xm:sqref>
            </x14:sparkline>
            <x14:sparkline>
              <xm:f>RevenueTariffBasket_FO!AZ340:BG340</xm:f>
              <xm:sqref>BS340</xm:sqref>
            </x14:sparkline>
            <x14:sparkline>
              <xm:f>RevenueTariffBasket_FO!AZ341:BG341</xm:f>
              <xm:sqref>BS341</xm:sqref>
            </x14:sparkline>
            <x14:sparkline>
              <xm:f>RevenueTariffBasket_FO!AZ342:BG342</xm:f>
              <xm:sqref>BS342</xm:sqref>
            </x14:sparkline>
            <x14:sparkline>
              <xm:f>RevenueTariffBasket_FO!AZ343:BG343</xm:f>
              <xm:sqref>BS343</xm:sqref>
            </x14:sparkline>
            <x14:sparkline>
              <xm:f>RevenueTariffBasket_FO!AZ344:BG344</xm:f>
              <xm:sqref>BS344</xm:sqref>
            </x14:sparkline>
            <x14:sparkline>
              <xm:f>RevenueTariffBasket_FO!AZ345:BG345</xm:f>
              <xm:sqref>BS345</xm:sqref>
            </x14:sparkline>
            <x14:sparkline>
              <xm:f>RevenueTariffBasket_FO!AZ346:BG346</xm:f>
              <xm:sqref>BS346</xm:sqref>
            </x14:sparkline>
            <x14:sparkline>
              <xm:f>RevenueTariffBasket_FO!AZ347:BG347</xm:f>
              <xm:sqref>BS347</xm:sqref>
            </x14:sparkline>
            <x14:sparkline>
              <xm:f>RevenueTariffBasket_FO!AZ348:BG348</xm:f>
              <xm:sqref>BS348</xm:sqref>
            </x14:sparkline>
            <x14:sparkline>
              <xm:f>RevenueTariffBasket_FO!AZ349:BG349</xm:f>
              <xm:sqref>BS349</xm:sqref>
            </x14:sparkline>
            <x14:sparkline>
              <xm:f>RevenueTariffBasket_FO!AZ350:BG350</xm:f>
              <xm:sqref>BS350</xm:sqref>
            </x14:sparkline>
            <x14:sparkline>
              <xm:f>RevenueTariffBasket_FO!AZ351:BG351</xm:f>
              <xm:sqref>BS351</xm:sqref>
            </x14:sparkline>
            <x14:sparkline>
              <xm:f>RevenueTariffBasket_FO!AZ352:BG352</xm:f>
              <xm:sqref>BS352</xm:sqref>
            </x14:sparkline>
            <x14:sparkline>
              <xm:f>RevenueTariffBasket_FO!AZ353:BG353</xm:f>
              <xm:sqref>BS353</xm:sqref>
            </x14:sparkline>
            <x14:sparkline>
              <xm:f>RevenueTariffBasket_FO!AZ354:BG354</xm:f>
              <xm:sqref>BS354</xm:sqref>
            </x14:sparkline>
            <x14:sparkline>
              <xm:f>RevenueTariffBasket_FO!AZ355:BG355</xm:f>
              <xm:sqref>BS355</xm:sqref>
            </x14:sparkline>
            <x14:sparkline>
              <xm:f>RevenueTariffBasket_FO!AZ356:BG356</xm:f>
              <xm:sqref>BS356</xm:sqref>
            </x14:sparkline>
            <x14:sparkline>
              <xm:f>RevenueTariffBasket_FO!AZ357:BG357</xm:f>
              <xm:sqref>BS357</xm:sqref>
            </x14:sparkline>
            <x14:sparkline>
              <xm:f>RevenueTariffBasket_FO!AZ358:BG358</xm:f>
              <xm:sqref>BS358</xm:sqref>
            </x14:sparkline>
            <x14:sparkline>
              <xm:f>RevenueTariffBasket_FO!AZ359:BG359</xm:f>
              <xm:sqref>BS359</xm:sqref>
            </x14:sparkline>
            <x14:sparkline>
              <xm:f>RevenueTariffBasket_FO!AZ360:BG360</xm:f>
              <xm:sqref>BS360</xm:sqref>
            </x14:sparkline>
            <x14:sparkline>
              <xm:f>RevenueTariffBasket_FO!AZ361:BG361</xm:f>
              <xm:sqref>BS361</xm:sqref>
            </x14:sparkline>
            <x14:sparkline>
              <xm:f>RevenueTariffBasket_FO!AZ362:BG362</xm:f>
              <xm:sqref>BS362</xm:sqref>
            </x14:sparkline>
            <x14:sparkline>
              <xm:f>RevenueTariffBasket_FO!AZ363:BG363</xm:f>
              <xm:sqref>BS363</xm:sqref>
            </x14:sparkline>
            <x14:sparkline>
              <xm:f>RevenueTariffBasket_FO!AZ364:BG364</xm:f>
              <xm:sqref>BS364</xm:sqref>
            </x14:sparkline>
            <x14:sparkline>
              <xm:f>RevenueTariffBasket_FO!AZ365:BG365</xm:f>
              <xm:sqref>BS365</xm:sqref>
            </x14:sparkline>
            <x14:sparkline>
              <xm:f>RevenueTariffBasket_FO!AZ366:BG366</xm:f>
              <xm:sqref>BS366</xm:sqref>
            </x14:sparkline>
            <x14:sparkline>
              <xm:f>RevenueTariffBasket_FO!AZ367:BG367</xm:f>
              <xm:sqref>BS367</xm:sqref>
            </x14:sparkline>
            <x14:sparkline>
              <xm:f>RevenueTariffBasket_FO!AZ368:BG368</xm:f>
              <xm:sqref>BS368</xm:sqref>
            </x14:sparkline>
            <x14:sparkline>
              <xm:f>RevenueTariffBasket_FO!AZ369:BG369</xm:f>
              <xm:sqref>BS369</xm:sqref>
            </x14:sparkline>
            <x14:sparkline>
              <xm:f>RevenueTariffBasket_FO!AZ370:BG370</xm:f>
              <xm:sqref>BS370</xm:sqref>
            </x14:sparkline>
            <x14:sparkline>
              <xm:f>RevenueTariffBasket_FO!AZ371:BG371</xm:f>
              <xm:sqref>BS371</xm:sqref>
            </x14:sparkline>
            <x14:sparkline>
              <xm:f>RevenueTariffBasket_FO!AZ372:BG372</xm:f>
              <xm:sqref>BS372</xm:sqref>
            </x14:sparkline>
            <x14:sparkline>
              <xm:f>RevenueTariffBasket_FO!AZ373:BG373</xm:f>
              <xm:sqref>BS373</xm:sqref>
            </x14:sparkline>
            <x14:sparkline>
              <xm:f>RevenueTariffBasket_FO!AZ374:BG374</xm:f>
              <xm:sqref>BS374</xm:sqref>
            </x14:sparkline>
            <x14:sparkline>
              <xm:f>RevenueTariffBasket_FO!AZ375:BG375</xm:f>
              <xm:sqref>BS375</xm:sqref>
            </x14:sparkline>
            <x14:sparkline>
              <xm:f>RevenueTariffBasket_FO!AZ376:BG376</xm:f>
              <xm:sqref>BS376</xm:sqref>
            </x14:sparkline>
            <x14:sparkline>
              <xm:f>RevenueTariffBasket_FO!AZ377:BG377</xm:f>
              <xm:sqref>BS377</xm:sqref>
            </x14:sparkline>
            <x14:sparkline>
              <xm:f>RevenueTariffBasket_FO!AZ378:BG378</xm:f>
              <xm:sqref>BS378</xm:sqref>
            </x14:sparkline>
            <x14:sparkline>
              <xm:f>RevenueTariffBasket_FO!AZ379:BG379</xm:f>
              <xm:sqref>BS379</xm:sqref>
            </x14:sparkline>
            <x14:sparkline>
              <xm:f>RevenueTariffBasket_FO!AZ380:BG380</xm:f>
              <xm:sqref>BS380</xm:sqref>
            </x14:sparkline>
            <x14:sparkline>
              <xm:f>RevenueTariffBasket_FO!AZ381:BG381</xm:f>
              <xm:sqref>BS381</xm:sqref>
            </x14:sparkline>
            <x14:sparkline>
              <xm:f>RevenueTariffBasket_FO!AZ382:BG382</xm:f>
              <xm:sqref>BS382</xm:sqref>
            </x14:sparkline>
            <x14:sparkline>
              <xm:f>RevenueTariffBasket_FO!AZ383:BG383</xm:f>
              <xm:sqref>BS383</xm:sqref>
            </x14:sparkline>
            <x14:sparkline>
              <xm:f>RevenueTariffBasket_FO!AZ384:BG384</xm:f>
              <xm:sqref>BS384</xm:sqref>
            </x14:sparkline>
            <x14:sparkline>
              <xm:f>RevenueTariffBasket_FO!AZ385:BG385</xm:f>
              <xm:sqref>BS385</xm:sqref>
            </x14:sparkline>
            <x14:sparkline>
              <xm:f>RevenueTariffBasket_FO!AZ386:BG386</xm:f>
              <xm:sqref>BS386</xm:sqref>
            </x14:sparkline>
            <x14:sparkline>
              <xm:f>RevenueTariffBasket_FO!AZ387:BG387</xm:f>
              <xm:sqref>BS387</xm:sqref>
            </x14:sparkline>
            <x14:sparkline>
              <xm:f>RevenueTariffBasket_FO!AZ388:BG388</xm:f>
              <xm:sqref>BS388</xm:sqref>
            </x14:sparkline>
            <x14:sparkline>
              <xm:f>RevenueTariffBasket_FO!AZ389:BG389</xm:f>
              <xm:sqref>BS389</xm:sqref>
            </x14:sparkline>
            <x14:sparkline>
              <xm:f>RevenueTariffBasket_FO!AZ390:BG390</xm:f>
              <xm:sqref>BS390</xm:sqref>
            </x14:sparkline>
            <x14:sparkline>
              <xm:f>RevenueTariffBasket_FO!AZ391:BG391</xm:f>
              <xm:sqref>BS391</xm:sqref>
            </x14:sparkline>
            <x14:sparkline>
              <xm:f>RevenueTariffBasket_FO!AZ392:BG392</xm:f>
              <xm:sqref>BS392</xm:sqref>
            </x14:sparkline>
            <x14:sparkline>
              <xm:f>RevenueTariffBasket_FO!AZ393:BG393</xm:f>
              <xm:sqref>BS393</xm:sqref>
            </x14:sparkline>
            <x14:sparkline>
              <xm:f>RevenueTariffBasket_FO!AZ394:BG394</xm:f>
              <xm:sqref>BS394</xm:sqref>
            </x14:sparkline>
            <x14:sparkline>
              <xm:f>RevenueTariffBasket_FO!AZ395:BG395</xm:f>
              <xm:sqref>BS395</xm:sqref>
            </x14:sparkline>
            <x14:sparkline>
              <xm:f>RevenueTariffBasket_FO!AZ396:BG396</xm:f>
              <xm:sqref>BS396</xm:sqref>
            </x14:sparkline>
            <x14:sparkline>
              <xm:f>RevenueTariffBasket_FO!AZ397:BG397</xm:f>
              <xm:sqref>BS397</xm:sqref>
            </x14:sparkline>
            <x14:sparkline>
              <xm:f>RevenueTariffBasket_FO!AZ398:BG398</xm:f>
              <xm:sqref>BS398</xm:sqref>
            </x14:sparkline>
            <x14:sparkline>
              <xm:f>RevenueTariffBasket_FO!AZ399:BG399</xm:f>
              <xm:sqref>BS399</xm:sqref>
            </x14:sparkline>
            <x14:sparkline>
              <xm:f>RevenueTariffBasket_FO!AZ400:BG400</xm:f>
              <xm:sqref>BS400</xm:sqref>
            </x14:sparkline>
            <x14:sparkline>
              <xm:f>RevenueTariffBasket_FO!AZ401:BG401</xm:f>
              <xm:sqref>BS401</xm:sqref>
            </x14:sparkline>
            <x14:sparkline>
              <xm:f>RevenueTariffBasket_FO!AZ402:BG402</xm:f>
              <xm:sqref>BS402</xm:sqref>
            </x14:sparkline>
            <x14:sparkline>
              <xm:f>RevenueTariffBasket_FO!AZ403:BG403</xm:f>
              <xm:sqref>BS403</xm:sqref>
            </x14:sparkline>
            <x14:sparkline>
              <xm:f>RevenueTariffBasket_FO!AZ404:BG404</xm:f>
              <xm:sqref>BS404</xm:sqref>
            </x14:sparkline>
            <x14:sparkline>
              <xm:f>RevenueTariffBasket_FO!AZ405:BG405</xm:f>
              <xm:sqref>BS405</xm:sqref>
            </x14:sparkline>
            <x14:sparkline>
              <xm:f>RevenueTariffBasket_FO!AZ406:BG406</xm:f>
              <xm:sqref>BS406</xm:sqref>
            </x14:sparkline>
            <x14:sparkline>
              <xm:f>RevenueTariffBasket_FO!AZ407:BG407</xm:f>
              <xm:sqref>BS407</xm:sqref>
            </x14:sparkline>
            <x14:sparkline>
              <xm:f>RevenueTariffBasket_FO!AZ408:BG408</xm:f>
              <xm:sqref>BS408</xm:sqref>
            </x14:sparkline>
            <x14:sparkline>
              <xm:f>RevenueTariffBasket_FO!AZ409:BG409</xm:f>
              <xm:sqref>BS409</xm:sqref>
            </x14:sparkline>
            <x14:sparkline>
              <xm:f>RevenueTariffBasket_FO!AZ410:BG410</xm:f>
              <xm:sqref>BS410</xm:sqref>
            </x14:sparkline>
            <x14:sparkline>
              <xm:f>RevenueTariffBasket_FO!AZ411:BG411</xm:f>
              <xm:sqref>BS411</xm:sqref>
            </x14:sparkline>
            <x14:sparkline>
              <xm:f>RevenueTariffBasket_FO!AZ412:BG412</xm:f>
              <xm:sqref>BS412</xm:sqref>
            </x14:sparkline>
            <x14:sparkline>
              <xm:f>RevenueTariffBasket_FO!AZ413:BG413</xm:f>
              <xm:sqref>BS413</xm:sqref>
            </x14:sparkline>
            <x14:sparkline>
              <xm:f>RevenueTariffBasket_FO!AZ414:BG414</xm:f>
              <xm:sqref>BS414</xm:sqref>
            </x14:sparkline>
            <x14:sparkline>
              <xm:f>RevenueTariffBasket_FO!AZ415:BG415</xm:f>
              <xm:sqref>BS415</xm:sqref>
            </x14:sparkline>
            <x14:sparkline>
              <xm:f>RevenueTariffBasket_FO!AZ416:BG416</xm:f>
              <xm:sqref>BS416</xm:sqref>
            </x14:sparkline>
            <x14:sparkline>
              <xm:f>RevenueTariffBasket_FO!AZ417:BG417</xm:f>
              <xm:sqref>BS417</xm:sqref>
            </x14:sparkline>
            <x14:sparkline>
              <xm:f>RevenueTariffBasket_FO!AZ418:BG418</xm:f>
              <xm:sqref>BS418</xm:sqref>
            </x14:sparkline>
            <x14:sparkline>
              <xm:f>RevenueTariffBasket_FO!AZ419:BG419</xm:f>
              <xm:sqref>BS419</xm:sqref>
            </x14:sparkline>
            <x14:sparkline>
              <xm:f>RevenueTariffBasket_FO!AZ420:BG420</xm:f>
              <xm:sqref>BS420</xm:sqref>
            </x14:sparkline>
            <x14:sparkline>
              <xm:f>RevenueTariffBasket_FO!AZ421:BG421</xm:f>
              <xm:sqref>BS421</xm:sqref>
            </x14:sparkline>
            <x14:sparkline>
              <xm:f>RevenueTariffBasket_FO!AZ422:BG422</xm:f>
              <xm:sqref>BS422</xm:sqref>
            </x14:sparkline>
            <x14:sparkline>
              <xm:f>RevenueTariffBasket_FO!AZ423:BG423</xm:f>
              <xm:sqref>BS423</xm:sqref>
            </x14:sparkline>
            <x14:sparkline>
              <xm:f>RevenueTariffBasket_FO!AZ424:BG424</xm:f>
              <xm:sqref>BS424</xm:sqref>
            </x14:sparkline>
            <x14:sparkline>
              <xm:f>RevenueTariffBasket_FO!AZ425:BG425</xm:f>
              <xm:sqref>BS425</xm:sqref>
            </x14:sparkline>
            <x14:sparkline>
              <xm:f>RevenueTariffBasket_FO!AZ426:BG426</xm:f>
              <xm:sqref>BS426</xm:sqref>
            </x14:sparkline>
            <x14:sparkline>
              <xm:f>RevenueTariffBasket_FO!AZ427:BG427</xm:f>
              <xm:sqref>BS427</xm:sqref>
            </x14:sparkline>
            <x14:sparkline>
              <xm:f>RevenueTariffBasket_FO!AZ428:BG428</xm:f>
              <xm:sqref>BS428</xm:sqref>
            </x14:sparkline>
            <x14:sparkline>
              <xm:f>RevenueTariffBasket_FO!AZ429:BG429</xm:f>
              <xm:sqref>BS429</xm:sqref>
            </x14:sparkline>
            <x14:sparkline>
              <xm:f>RevenueTariffBasket_FO!AZ430:BG430</xm:f>
              <xm:sqref>BS430</xm:sqref>
            </x14:sparkline>
            <x14:sparkline>
              <xm:f>RevenueTariffBasket_FO!AZ431:BG431</xm:f>
              <xm:sqref>BS431</xm:sqref>
            </x14:sparkline>
            <x14:sparkline>
              <xm:f>RevenueTariffBasket_FO!AZ432:BG432</xm:f>
              <xm:sqref>BS432</xm:sqref>
            </x14:sparkline>
            <x14:sparkline>
              <xm:f>RevenueTariffBasket_FO!AZ433:BG433</xm:f>
              <xm:sqref>BS433</xm:sqref>
            </x14:sparkline>
            <x14:sparkline>
              <xm:f>RevenueTariffBasket_FO!AZ434:BG434</xm:f>
              <xm:sqref>BS434</xm:sqref>
            </x14:sparkline>
            <x14:sparkline>
              <xm:f>RevenueTariffBasket_FO!AZ435:BG435</xm:f>
              <xm:sqref>BS435</xm:sqref>
            </x14:sparkline>
            <x14:sparkline>
              <xm:f>RevenueTariffBasket_FO!AZ436:BG436</xm:f>
              <xm:sqref>BS436</xm:sqref>
            </x14:sparkline>
            <x14:sparkline>
              <xm:f>RevenueTariffBasket_FO!AZ437:BG437</xm:f>
              <xm:sqref>BS437</xm:sqref>
            </x14:sparkline>
            <x14:sparkline>
              <xm:f>RevenueTariffBasket_FO!AZ438:BG438</xm:f>
              <xm:sqref>BS438</xm:sqref>
            </x14:sparkline>
            <x14:sparkline>
              <xm:f>RevenueTariffBasket_FO!AZ439:BG439</xm:f>
              <xm:sqref>BS439</xm:sqref>
            </x14:sparkline>
            <x14:sparkline>
              <xm:f>RevenueTariffBasket_FO!AZ440:BG440</xm:f>
              <xm:sqref>BS440</xm:sqref>
            </x14:sparkline>
            <x14:sparkline>
              <xm:f>RevenueTariffBasket_FO!AZ441:BG441</xm:f>
              <xm:sqref>BS441</xm:sqref>
            </x14:sparkline>
            <x14:sparkline>
              <xm:f>RevenueTariffBasket_FO!AZ442:BG442</xm:f>
              <xm:sqref>BS442</xm:sqref>
            </x14:sparkline>
            <x14:sparkline>
              <xm:f>RevenueTariffBasket_FO!AZ443:BG443</xm:f>
              <xm:sqref>BS443</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pageSetUpPr autoPageBreaks="0"/>
  </sheetPr>
  <dimension ref="A1:AM124"/>
  <sheetViews>
    <sheetView showGridLines="0" zoomScaleNormal="100" workbookViewId="0">
      <pane ySplit="7" topLeftCell="A102" activePane="bottomLeft" state="frozen"/>
      <selection activeCell="R43" sqref="R43"/>
      <selection pane="bottomLeft" activeCell="V72" sqref="V72"/>
    </sheetView>
  </sheetViews>
  <sheetFormatPr defaultColWidth="10.83203125" defaultRowHeight="12" outlineLevelCol="1"/>
  <cols>
    <col min="1" max="5" width="3.83203125" style="70" customWidth="1"/>
    <col min="6" max="7" width="10.83203125" style="70" customWidth="1"/>
    <col min="8" max="9" width="13.83203125" style="70" customWidth="1"/>
    <col min="10" max="10" width="13.1640625" style="70" hidden="1" customWidth="1" outlineLevel="1"/>
    <col min="11" max="14" width="11.83203125" style="70" hidden="1" customWidth="1" outlineLevel="1"/>
    <col min="15" max="15" width="11.83203125" style="70" customWidth="1" collapsed="1"/>
    <col min="16" max="28" width="11.83203125" style="70" customWidth="1"/>
    <col min="29" max="30" width="10.83203125" style="70" customWidth="1"/>
    <col min="31" max="33" width="10.83203125" style="70"/>
    <col min="34" max="34" width="6.33203125" style="70" customWidth="1"/>
    <col min="35" max="35" width="3.33203125" style="70" bestFit="1" customWidth="1"/>
    <col min="36" max="16384" width="10.83203125" style="70"/>
  </cols>
  <sheetData>
    <row r="1" spans="1:38" ht="15.75" customHeight="1">
      <c r="A1" s="152">
        <v>80</v>
      </c>
      <c r="B1" s="153" t="s">
        <v>84</v>
      </c>
      <c r="J1" s="74"/>
      <c r="K1" s="74"/>
      <c r="L1" s="74"/>
      <c r="M1" s="74"/>
      <c r="N1" s="74"/>
      <c r="O1" s="74"/>
      <c r="P1" s="74"/>
      <c r="Q1" s="74"/>
      <c r="R1" s="399"/>
      <c r="S1" s="399"/>
      <c r="T1" s="399"/>
    </row>
    <row r="2" spans="1:38" ht="12.75">
      <c r="B2" s="155" t="str">
        <f>+Contents!H7</f>
        <v>North East Water</v>
      </c>
      <c r="J2" s="74"/>
      <c r="K2" s="74"/>
      <c r="L2" s="74"/>
      <c r="M2" s="74"/>
      <c r="N2" s="74"/>
      <c r="O2" s="74"/>
      <c r="P2" s="74"/>
      <c r="Q2" s="349"/>
      <c r="R2" s="349"/>
      <c r="S2" s="349"/>
      <c r="T2" s="349"/>
      <c r="U2" s="349"/>
      <c r="V2" s="349"/>
      <c r="W2" s="349"/>
    </row>
    <row r="3" spans="1:38">
      <c r="B3" s="2212" t="s">
        <v>0</v>
      </c>
      <c r="C3" s="2212"/>
      <c r="D3" s="2212"/>
      <c r="E3" s="2212"/>
      <c r="F3" s="2212"/>
      <c r="G3" s="71"/>
      <c r="J3" s="74"/>
      <c r="K3" s="74"/>
      <c r="L3" s="74"/>
      <c r="M3" s="74"/>
      <c r="N3" s="74"/>
      <c r="O3" s="74"/>
      <c r="P3" s="74"/>
      <c r="Q3" s="74"/>
    </row>
    <row r="4" spans="1:38">
      <c r="A4" s="160"/>
      <c r="B4" s="72"/>
      <c r="C4" s="1728" t="str">
        <f>Opex_FO!B6</f>
        <v>$m, 01/01/26</v>
      </c>
      <c r="F4" s="60"/>
      <c r="K4" s="63"/>
      <c r="L4" s="149"/>
      <c r="M4" s="149" t="s">
        <v>274</v>
      </c>
      <c r="N4" s="149"/>
      <c r="O4" s="149"/>
      <c r="P4" s="1619"/>
      <c r="Q4" s="150"/>
      <c r="R4" s="150"/>
      <c r="S4" s="150"/>
      <c r="T4" s="1619" t="s">
        <v>334</v>
      </c>
      <c r="U4" s="150"/>
      <c r="V4" s="150"/>
      <c r="W4" s="150"/>
      <c r="X4" s="1619"/>
      <c r="Y4" s="150"/>
      <c r="Z4" s="150" t="s">
        <v>465</v>
      </c>
      <c r="AA4" s="150"/>
      <c r="AB4" s="62"/>
      <c r="AC4" s="64"/>
      <c r="AD4" s="64"/>
      <c r="AE4" s="150" t="s">
        <v>949</v>
      </c>
      <c r="AF4" s="63"/>
      <c r="AG4" s="62"/>
    </row>
    <row r="6" spans="1:38">
      <c r="B6" s="161"/>
      <c r="F6" s="162" t="s">
        <v>62</v>
      </c>
      <c r="I6" s="66">
        <v>2014</v>
      </c>
      <c r="J6" s="66">
        <v>2015</v>
      </c>
      <c r="K6" s="66">
        <v>2016</v>
      </c>
      <c r="L6" s="66">
        <v>2017</v>
      </c>
      <c r="M6" s="66">
        <v>2018</v>
      </c>
      <c r="N6" s="66">
        <v>2019</v>
      </c>
      <c r="O6" s="66">
        <v>2020</v>
      </c>
      <c r="P6" s="66">
        <v>2021</v>
      </c>
      <c r="Q6" s="66">
        <v>2022</v>
      </c>
      <c r="R6" s="66">
        <v>2023</v>
      </c>
      <c r="S6" s="67">
        <v>2024</v>
      </c>
      <c r="T6" s="67">
        <v>2025</v>
      </c>
      <c r="U6" s="67">
        <v>2026</v>
      </c>
      <c r="V6" s="67">
        <v>2027</v>
      </c>
      <c r="W6" s="67">
        <v>2028</v>
      </c>
      <c r="X6" s="67">
        <f>W6+1</f>
        <v>2029</v>
      </c>
      <c r="Y6" s="67">
        <f>X6+1</f>
        <v>2030</v>
      </c>
      <c r="Z6" s="67">
        <f t="shared" ref="Z6:AG6" si="0">Y6+1</f>
        <v>2031</v>
      </c>
      <c r="AA6" s="67">
        <f t="shared" si="0"/>
        <v>2032</v>
      </c>
      <c r="AB6" s="67">
        <f t="shared" si="0"/>
        <v>2033</v>
      </c>
      <c r="AC6" s="67">
        <f t="shared" si="0"/>
        <v>2034</v>
      </c>
      <c r="AD6" s="67">
        <f t="shared" si="0"/>
        <v>2035</v>
      </c>
      <c r="AE6" s="67">
        <f t="shared" si="0"/>
        <v>2036</v>
      </c>
      <c r="AF6" s="67">
        <f t="shared" si="0"/>
        <v>2037</v>
      </c>
      <c r="AG6" s="67">
        <f t="shared" si="0"/>
        <v>2038</v>
      </c>
    </row>
    <row r="7" spans="1:38">
      <c r="A7" s="75"/>
      <c r="B7" s="164"/>
      <c r="C7" s="75"/>
      <c r="D7" s="75"/>
      <c r="E7" s="75"/>
      <c r="F7" s="165" t="s">
        <v>63</v>
      </c>
      <c r="G7" s="75"/>
      <c r="H7" s="75"/>
      <c r="K7" s="342" t="str">
        <f t="shared" ref="K7:X7" si="1">+CONCATENATE(I6-1,"-",RIGHT(I6,2))</f>
        <v>2013-14</v>
      </c>
      <c r="L7" s="342" t="str">
        <f t="shared" si="1"/>
        <v>2014-15</v>
      </c>
      <c r="M7" s="342" t="str">
        <f t="shared" si="1"/>
        <v>2015-16</v>
      </c>
      <c r="N7" s="342" t="str">
        <f t="shared" si="1"/>
        <v>2016-17</v>
      </c>
      <c r="O7" s="342" t="str">
        <f t="shared" si="1"/>
        <v>2017-18</v>
      </c>
      <c r="P7" s="342" t="str">
        <f t="shared" si="1"/>
        <v>2018-19</v>
      </c>
      <c r="Q7" s="342" t="str">
        <f t="shared" si="1"/>
        <v>2019-20</v>
      </c>
      <c r="R7" s="342" t="str">
        <f t="shared" si="1"/>
        <v>2020-21</v>
      </c>
      <c r="S7" s="342" t="str">
        <f t="shared" si="1"/>
        <v>2021-22</v>
      </c>
      <c r="T7" s="342" t="str">
        <f t="shared" si="1"/>
        <v>2022-23</v>
      </c>
      <c r="U7" s="342" t="str">
        <f t="shared" si="1"/>
        <v>2023-24</v>
      </c>
      <c r="V7" s="342" t="str">
        <f t="shared" si="1"/>
        <v>2024-25</v>
      </c>
      <c r="W7" s="342" t="str">
        <f t="shared" si="1"/>
        <v>2025-26</v>
      </c>
      <c r="X7" s="2129" t="str">
        <f t="shared" si="1"/>
        <v>2026-27</v>
      </c>
      <c r="Y7" s="342" t="str">
        <f t="shared" ref="Y7:AG7" si="2">+CONCATENATE(W6-1,"-",RIGHT(W6,2))</f>
        <v>2027-28</v>
      </c>
      <c r="Z7" s="342" t="str">
        <f t="shared" si="2"/>
        <v>2028-29</v>
      </c>
      <c r="AA7" s="342" t="str">
        <f t="shared" si="2"/>
        <v>2029-30</v>
      </c>
      <c r="AB7" s="342" t="str">
        <f t="shared" si="2"/>
        <v>2030-31</v>
      </c>
      <c r="AC7" s="342" t="str">
        <f t="shared" si="2"/>
        <v>2031-32</v>
      </c>
      <c r="AD7" s="342" t="str">
        <f t="shared" si="2"/>
        <v>2032-33</v>
      </c>
      <c r="AE7" s="342" t="str">
        <f t="shared" si="2"/>
        <v>2033-34</v>
      </c>
      <c r="AF7" s="342" t="str">
        <f t="shared" si="2"/>
        <v>2034-35</v>
      </c>
      <c r="AG7" s="342" t="str">
        <f t="shared" si="2"/>
        <v>2035-36</v>
      </c>
    </row>
    <row r="8" spans="1:38">
      <c r="J8" s="74"/>
      <c r="K8" s="74"/>
      <c r="L8" s="74"/>
      <c r="M8" s="74"/>
      <c r="N8" s="74"/>
      <c r="O8" s="74"/>
      <c r="P8" s="74"/>
      <c r="Q8" s="74"/>
    </row>
    <row r="9" spans="1:38">
      <c r="J9" s="74"/>
      <c r="K9" s="404"/>
      <c r="L9" s="404"/>
      <c r="M9" s="404"/>
      <c r="N9" s="404"/>
      <c r="O9" s="404"/>
      <c r="P9" s="404"/>
      <c r="Q9" s="404"/>
      <c r="R9" s="405"/>
      <c r="S9" s="405"/>
      <c r="T9" s="405"/>
      <c r="U9" s="405"/>
      <c r="V9" s="405"/>
      <c r="W9" s="405"/>
      <c r="X9" s="405"/>
      <c r="Y9" s="405"/>
      <c r="Z9" s="405"/>
      <c r="AA9" s="405"/>
      <c r="AB9" s="405"/>
    </row>
    <row r="10" spans="1:38">
      <c r="B10" s="377" t="s">
        <v>81</v>
      </c>
      <c r="J10" s="74"/>
      <c r="K10" s="404"/>
      <c r="L10" s="404"/>
      <c r="M10" s="404"/>
      <c r="N10" s="404"/>
      <c r="O10" s="404"/>
      <c r="P10" s="404"/>
      <c r="Q10" s="404"/>
      <c r="R10" s="405"/>
      <c r="S10" s="405"/>
      <c r="T10" s="405"/>
      <c r="U10" s="405"/>
      <c r="V10" s="405"/>
      <c r="W10" s="405"/>
      <c r="X10" s="405"/>
      <c r="Y10" s="405"/>
      <c r="Z10" s="405"/>
      <c r="AA10" s="405"/>
      <c r="AB10" s="405"/>
    </row>
    <row r="11" spans="1:38" ht="12.75" thickBot="1">
      <c r="J11" s="74"/>
      <c r="K11" s="404"/>
      <c r="L11" s="404"/>
      <c r="M11" s="404"/>
      <c r="N11" s="404"/>
      <c r="O11" s="404"/>
      <c r="P11" s="404"/>
      <c r="Q11" s="404"/>
      <c r="R11" s="405"/>
      <c r="S11" s="405"/>
      <c r="T11" s="405"/>
      <c r="U11" s="405"/>
      <c r="V11" s="405"/>
      <c r="W11" s="405"/>
      <c r="X11" s="405"/>
      <c r="Y11" s="405"/>
      <c r="Z11" s="405"/>
      <c r="AA11" s="405"/>
      <c r="AB11" s="405"/>
    </row>
    <row r="12" spans="1:38">
      <c r="C12" s="867"/>
      <c r="D12" s="837"/>
      <c r="E12" s="837"/>
      <c r="F12" s="837"/>
      <c r="G12" s="837"/>
      <c r="H12" s="837"/>
      <c r="I12" s="837"/>
      <c r="J12" s="292"/>
      <c r="K12" s="868"/>
      <c r="L12" s="868"/>
      <c r="M12" s="868"/>
      <c r="N12" s="868"/>
      <c r="O12" s="868"/>
      <c r="P12" s="868"/>
      <c r="Q12" s="868"/>
      <c r="R12" s="598"/>
      <c r="S12" s="869"/>
      <c r="T12" s="869"/>
      <c r="U12" s="869"/>
      <c r="V12" s="869"/>
      <c r="W12" s="869"/>
      <c r="X12" s="869"/>
      <c r="Y12" s="869"/>
      <c r="Z12" s="869"/>
      <c r="AA12" s="869"/>
      <c r="AB12" s="869"/>
      <c r="AC12" s="869"/>
      <c r="AD12" s="869"/>
      <c r="AE12" s="869"/>
      <c r="AF12" s="869"/>
      <c r="AG12" s="869"/>
      <c r="AH12" s="870"/>
    </row>
    <row r="13" spans="1:38">
      <c r="C13" s="871"/>
      <c r="D13" s="872" t="s">
        <v>574</v>
      </c>
      <c r="E13" s="232"/>
      <c r="F13" s="232"/>
      <c r="G13" s="232"/>
      <c r="H13" s="232"/>
      <c r="I13" s="232"/>
      <c r="J13" s="74"/>
      <c r="K13" s="281"/>
      <c r="L13" s="281"/>
      <c r="M13" s="281"/>
      <c r="N13" s="281"/>
      <c r="O13" s="281"/>
      <c r="P13" s="281"/>
      <c r="Q13" s="281"/>
      <c r="R13" s="282"/>
      <c r="S13" s="790"/>
      <c r="T13" s="790"/>
      <c r="U13" s="790"/>
      <c r="V13" s="790"/>
      <c r="W13" s="790"/>
      <c r="X13" s="790"/>
      <c r="Y13" s="790"/>
      <c r="Z13" s="790"/>
      <c r="AA13" s="790"/>
      <c r="AB13" s="790"/>
      <c r="AC13" s="790"/>
      <c r="AD13" s="790"/>
      <c r="AE13" s="790"/>
      <c r="AF13" s="790"/>
      <c r="AG13" s="790"/>
      <c r="AH13" s="873"/>
    </row>
    <row r="14" spans="1:38">
      <c r="C14" s="871"/>
      <c r="D14" s="232"/>
      <c r="E14" s="232"/>
      <c r="F14" s="232"/>
      <c r="G14" s="232"/>
      <c r="H14" s="232"/>
      <c r="I14" s="232"/>
      <c r="J14" s="74"/>
      <c r="K14" s="74"/>
      <c r="L14" s="74"/>
      <c r="M14" s="74"/>
      <c r="N14" s="74"/>
      <c r="O14" s="74"/>
      <c r="P14" s="74"/>
      <c r="Q14" s="74"/>
      <c r="S14" s="232"/>
      <c r="T14" s="232"/>
      <c r="U14" s="232"/>
      <c r="V14" s="232"/>
      <c r="W14" s="232"/>
      <c r="X14" s="232"/>
      <c r="Y14" s="232"/>
      <c r="Z14" s="232"/>
      <c r="AA14" s="232"/>
      <c r="AB14" s="232"/>
      <c r="AC14" s="232"/>
      <c r="AD14" s="232"/>
      <c r="AE14" s="232"/>
      <c r="AF14" s="232"/>
      <c r="AG14" s="232"/>
      <c r="AH14" s="873"/>
    </row>
    <row r="15" spans="1:38">
      <c r="C15" s="871"/>
      <c r="D15" s="232"/>
      <c r="E15" s="232"/>
      <c r="F15" s="232" t="s">
        <v>26</v>
      </c>
      <c r="G15" s="232"/>
      <c r="H15" s="232"/>
      <c r="I15" s="232"/>
      <c r="J15" s="349"/>
      <c r="K15" s="349"/>
      <c r="L15" s="349"/>
      <c r="M15" s="349"/>
      <c r="N15" s="349"/>
      <c r="O15" s="349"/>
      <c r="P15" s="349"/>
      <c r="Q15" s="349"/>
      <c r="R15" s="378"/>
      <c r="S15" s="378"/>
      <c r="T15" s="378"/>
      <c r="U15" s="378"/>
      <c r="V15" s="378"/>
      <c r="W15" s="378"/>
      <c r="X15" s="399">
        <f>Summary_FO!X15</f>
        <v>60.831457455994489</v>
      </c>
      <c r="Y15" s="399">
        <f>Summary_FO!Y15</f>
        <v>61.562985399844415</v>
      </c>
      <c r="Z15" s="399">
        <f>Summary_FO!Z15</f>
        <v>60.953792500767563</v>
      </c>
      <c r="AA15" s="399">
        <f>Summary_FO!AA15</f>
        <v>61.747679255794928</v>
      </c>
      <c r="AB15" s="399">
        <f>Summary_FO!AB15</f>
        <v>61.750141120738917</v>
      </c>
      <c r="AC15" s="399">
        <f>Summary_FO!AC15</f>
        <v>62.527376510216712</v>
      </c>
      <c r="AD15" s="399">
        <f>Summary_FO!AD15</f>
        <v>63.319367578321057</v>
      </c>
      <c r="AE15" s="399">
        <f>Summary_FO!AE15</f>
        <v>64.1260523321655</v>
      </c>
      <c r="AF15" s="399">
        <f>Summary_FO!AF15</f>
        <v>64.947662525990609</v>
      </c>
      <c r="AG15" s="399">
        <f>Summary_FO!AG15</f>
        <v>65.784431611925186</v>
      </c>
      <c r="AH15" s="873"/>
      <c r="AI15" s="70" t="s">
        <v>1053</v>
      </c>
      <c r="AJ15" s="2159" t="str">
        <f>Summary_FO!G15</f>
        <v>Total Prescribed Operating Expenditure</v>
      </c>
      <c r="AK15" s="128"/>
      <c r="AL15" s="128"/>
    </row>
    <row r="16" spans="1:38">
      <c r="C16" s="871"/>
      <c r="D16" s="232"/>
      <c r="E16" s="232"/>
      <c r="F16" s="232" t="s">
        <v>66</v>
      </c>
      <c r="G16" s="232"/>
      <c r="H16" s="232"/>
      <c r="I16" s="232"/>
      <c r="J16" s="349"/>
      <c r="K16" s="349"/>
      <c r="L16" s="349"/>
      <c r="M16" s="349"/>
      <c r="N16" s="349"/>
      <c r="O16" s="349"/>
      <c r="P16" s="349"/>
      <c r="Q16" s="349"/>
      <c r="R16" s="378"/>
      <c r="S16" s="378"/>
      <c r="T16" s="378"/>
      <c r="U16" s="378"/>
      <c r="V16" s="378"/>
      <c r="W16" s="378"/>
      <c r="X16" s="399">
        <f ca="1">+X47+X64</f>
        <v>14.803124449430275</v>
      </c>
      <c r="Y16" s="399">
        <f t="shared" ref="Y16:AG16" ca="1" si="3">+Y47+Y64</f>
        <v>15.942769013755438</v>
      </c>
      <c r="Z16" s="399">
        <f t="shared" ca="1" si="3"/>
        <v>17.049855890178122</v>
      </c>
      <c r="AA16" s="399">
        <f t="shared" ca="1" si="3"/>
        <v>18.027645232032146</v>
      </c>
      <c r="AB16" s="399">
        <f t="shared" ca="1" si="3"/>
        <v>19.862584170679689</v>
      </c>
      <c r="AC16" s="399">
        <f t="shared" ca="1" si="3"/>
        <v>22.135339009992897</v>
      </c>
      <c r="AD16" s="399">
        <f t="shared" ca="1" si="3"/>
        <v>23.93952119728516</v>
      </c>
      <c r="AE16" s="399">
        <f t="shared" ca="1" si="3"/>
        <v>24.333192901433186</v>
      </c>
      <c r="AF16" s="399">
        <f t="shared" ca="1" si="3"/>
        <v>24.773777028878207</v>
      </c>
      <c r="AG16" s="399">
        <f t="shared" ca="1" si="3"/>
        <v>25.485002838987143</v>
      </c>
      <c r="AH16" s="873"/>
      <c r="AI16" s="70" t="s">
        <v>1053</v>
      </c>
      <c r="AJ16" s="2159"/>
      <c r="AK16" s="128"/>
      <c r="AL16" s="128"/>
    </row>
    <row r="17" spans="3:39">
      <c r="C17" s="871"/>
      <c r="D17" s="232"/>
      <c r="E17" s="232"/>
      <c r="F17" s="232" t="s">
        <v>555</v>
      </c>
      <c r="G17" s="232"/>
      <c r="H17" s="232"/>
      <c r="I17" s="232"/>
      <c r="J17" s="349"/>
      <c r="K17" s="349"/>
      <c r="L17" s="349"/>
      <c r="M17" s="349"/>
      <c r="N17" s="349"/>
      <c r="O17" s="349"/>
      <c r="P17" s="349"/>
      <c r="Q17" s="349"/>
      <c r="R17" s="378"/>
      <c r="S17" s="378"/>
      <c r="T17" s="378"/>
      <c r="U17" s="378"/>
      <c r="V17" s="378"/>
      <c r="W17" s="378"/>
      <c r="X17" s="399">
        <f ca="1">RollForward_FO!X17</f>
        <v>19.908941714019697</v>
      </c>
      <c r="Y17" s="399">
        <f ca="1">RollForward_FO!Y17</f>
        <v>21.311468587233982</v>
      </c>
      <c r="Z17" s="399">
        <f ca="1">RollForward_FO!Z17</f>
        <v>22.842554539614937</v>
      </c>
      <c r="AA17" s="399">
        <f ca="1">RollForward_FO!AA17</f>
        <v>23.992815491995884</v>
      </c>
      <c r="AB17" s="399">
        <f ca="1">RollForward_FO!AB17</f>
        <v>25.866821286043503</v>
      </c>
      <c r="AC17" s="399">
        <f ca="1">RollForward_FO!AC17</f>
        <v>28.114568746757794</v>
      </c>
      <c r="AD17" s="399">
        <f ca="1">RollForward_FO!AD17</f>
        <v>29.628891365805412</v>
      </c>
      <c r="AE17" s="399">
        <f ca="1">RollForward_FO!AE17</f>
        <v>30.934150591995888</v>
      </c>
      <c r="AF17" s="399">
        <f ca="1">RollForward_FO!AF17</f>
        <v>31.926552675329223</v>
      </c>
      <c r="AG17" s="399">
        <f ca="1">RollForward_FO!AG17</f>
        <v>33.389577675329228</v>
      </c>
      <c r="AH17" s="873"/>
      <c r="AI17" s="70" t="s">
        <v>1053</v>
      </c>
      <c r="AJ17" s="2159" t="str">
        <f>RollForward_FO!E17</f>
        <v>Regulatory depreciation - Total</v>
      </c>
      <c r="AK17" s="128"/>
      <c r="AL17" s="128"/>
    </row>
    <row r="18" spans="3:39">
      <c r="C18" s="871"/>
      <c r="D18" s="232"/>
      <c r="E18" s="232"/>
      <c r="F18" s="232" t="s">
        <v>239</v>
      </c>
      <c r="G18" s="232"/>
      <c r="H18" s="232"/>
      <c r="I18" s="232"/>
      <c r="J18" s="349"/>
      <c r="K18" s="349"/>
      <c r="L18" s="349"/>
      <c r="M18" s="349"/>
      <c r="N18" s="349"/>
      <c r="O18" s="349"/>
      <c r="P18" s="349"/>
      <c r="Q18" s="349"/>
      <c r="R18" s="378"/>
      <c r="S18" s="378"/>
      <c r="T18" s="378"/>
      <c r="U18" s="378"/>
      <c r="V18" s="378"/>
      <c r="W18" s="378"/>
      <c r="X18" s="399">
        <f>+PrevPerAdj_FO!X14</f>
        <v>0</v>
      </c>
      <c r="Y18" s="399">
        <f>+PrevPerAdj_FO!Y14</f>
        <v>0</v>
      </c>
      <c r="Z18" s="399">
        <f>+PrevPerAdj_FO!Z14</f>
        <v>0</v>
      </c>
      <c r="AA18" s="399">
        <f>+PrevPerAdj_FO!AA14</f>
        <v>0</v>
      </c>
      <c r="AB18" s="399">
        <f>+PrevPerAdj_FO!AB14</f>
        <v>0</v>
      </c>
      <c r="AC18" s="399">
        <f>+PrevPerAdj_FO!AC14</f>
        <v>0</v>
      </c>
      <c r="AD18" s="399">
        <f>+PrevPerAdj_FO!AD14</f>
        <v>0</v>
      </c>
      <c r="AE18" s="399">
        <f>+PrevPerAdj_FO!AE14</f>
        <v>0</v>
      </c>
      <c r="AF18" s="399">
        <f>+PrevPerAdj_FO!AF14</f>
        <v>0</v>
      </c>
      <c r="AG18" s="399">
        <f>+PrevPerAdj_FO!AG14</f>
        <v>0</v>
      </c>
      <c r="AH18" s="873"/>
      <c r="AI18" s="70" t="s">
        <v>1053</v>
      </c>
      <c r="AJ18" s="2159" t="str">
        <f>PrevPerAdj_FO!E14</f>
        <v>Allocation of carried forward expenses (NPV of cash flows should equate to net present cost to recover)</v>
      </c>
      <c r="AK18" s="128"/>
      <c r="AL18" s="128"/>
    </row>
    <row r="19" spans="3:39">
      <c r="C19" s="871"/>
      <c r="D19" s="232"/>
      <c r="E19" s="232"/>
      <c r="F19" s="232" t="s">
        <v>377</v>
      </c>
      <c r="G19" s="232"/>
      <c r="H19" s="232"/>
      <c r="I19" s="232"/>
      <c r="J19" s="349"/>
      <c r="K19" s="349"/>
      <c r="L19" s="349"/>
      <c r="M19" s="349"/>
      <c r="N19" s="349"/>
      <c r="O19" s="349"/>
      <c r="P19" s="349"/>
      <c r="Q19" s="349"/>
      <c r="R19" s="378"/>
      <c r="S19" s="378"/>
      <c r="T19" s="378"/>
      <c r="U19" s="378"/>
      <c r="V19" s="378"/>
      <c r="W19" s="378"/>
      <c r="X19" s="399">
        <f>+RevenuePriceCap_FO!X58+RevenueTariffBasket_FO!X61</f>
        <v>0</v>
      </c>
      <c r="Y19" s="399">
        <f>+RevenuePriceCap_FO!Y58+RevenueTariffBasket_FO!Y61</f>
        <v>0</v>
      </c>
      <c r="Z19" s="399">
        <f>+RevenuePriceCap_FO!Z58+RevenueTariffBasket_FO!Z61</f>
        <v>0</v>
      </c>
      <c r="AA19" s="399">
        <f>+RevenuePriceCap_FO!AA58+RevenueTariffBasket_FO!AA61</f>
        <v>0</v>
      </c>
      <c r="AB19" s="399">
        <f>+RevenuePriceCap_FO!AB58+RevenueTariffBasket_FO!AB61</f>
        <v>0</v>
      </c>
      <c r="AC19" s="399">
        <f>+RevenuePriceCap_FO!AC58+RevenueTariffBasket_FO!AC61</f>
        <v>0</v>
      </c>
      <c r="AD19" s="399">
        <f>+RevenuePriceCap_FO!AD58+RevenueTariffBasket_FO!AD61</f>
        <v>0</v>
      </c>
      <c r="AE19" s="399">
        <f>+RevenuePriceCap_FO!AE58+RevenueTariffBasket_FO!AE61</f>
        <v>0</v>
      </c>
      <c r="AF19" s="399">
        <f>+RevenuePriceCap_FO!AF58+RevenueTariffBasket_FO!AF61</f>
        <v>0</v>
      </c>
      <c r="AG19" s="399">
        <f>+RevenuePriceCap_FO!AG58+RevenueTariffBasket_FO!AG61</f>
        <v>0</v>
      </c>
      <c r="AH19" s="873"/>
      <c r="AI19" s="70" t="s">
        <v>1053</v>
      </c>
      <c r="AJ19" s="2159" t="str">
        <f>RevenuePriceCap_FO!E58</f>
        <v>Non-prescribed revenue offset of revenue requirement</v>
      </c>
      <c r="AK19" s="128"/>
      <c r="AL19" s="128"/>
    </row>
    <row r="20" spans="3:39">
      <c r="C20" s="871"/>
      <c r="D20" s="232"/>
      <c r="E20" s="232"/>
      <c r="F20" s="232" t="s">
        <v>391</v>
      </c>
      <c r="G20" s="232"/>
      <c r="H20" s="232"/>
      <c r="I20" s="232"/>
      <c r="J20" s="349"/>
      <c r="K20" s="349"/>
      <c r="L20" s="349"/>
      <c r="M20" s="349"/>
      <c r="N20" s="349"/>
      <c r="O20" s="349"/>
      <c r="P20" s="349"/>
      <c r="Q20" s="349"/>
      <c r="R20" s="378"/>
      <c r="S20" s="378"/>
      <c r="T20" s="378"/>
      <c r="U20" s="378"/>
      <c r="V20" s="378"/>
      <c r="W20" s="378"/>
      <c r="X20" s="437">
        <f t="shared" ref="X20:AG20" ca="1" si="4">X122</f>
        <v>0</v>
      </c>
      <c r="Y20" s="438">
        <f t="shared" ca="1" si="4"/>
        <v>0</v>
      </c>
      <c r="Z20" s="438">
        <f t="shared" ca="1" si="4"/>
        <v>0</v>
      </c>
      <c r="AA20" s="438">
        <f t="shared" ca="1" si="4"/>
        <v>0</v>
      </c>
      <c r="AB20" s="438">
        <f t="shared" ca="1" si="4"/>
        <v>0</v>
      </c>
      <c r="AC20" s="438">
        <f t="shared" ca="1" si="4"/>
        <v>3.7734314503478057</v>
      </c>
      <c r="AD20" s="438">
        <f t="shared" ca="1" si="4"/>
        <v>3.861265908105314</v>
      </c>
      <c r="AE20" s="438">
        <f t="shared" ca="1" si="4"/>
        <v>3.9660169497447635</v>
      </c>
      <c r="AF20" s="438">
        <f t="shared" ca="1" si="4"/>
        <v>4.0072560134944748</v>
      </c>
      <c r="AG20" s="439">
        <f t="shared" ca="1" si="4"/>
        <v>4.1121335156734435</v>
      </c>
      <c r="AH20" s="873"/>
      <c r="AI20" s="70" t="s">
        <v>1053</v>
      </c>
      <c r="AJ20" s="128"/>
      <c r="AK20" s="128"/>
      <c r="AL20" s="128"/>
    </row>
    <row r="21" spans="3:39">
      <c r="C21" s="871"/>
      <c r="D21" s="232"/>
      <c r="E21" s="232"/>
      <c r="F21" s="232"/>
      <c r="G21" s="232"/>
      <c r="H21" s="232"/>
      <c r="I21" s="232"/>
      <c r="J21" s="74"/>
      <c r="K21" s="74"/>
      <c r="L21" s="74"/>
      <c r="M21" s="74"/>
      <c r="N21" s="74"/>
      <c r="O21" s="74"/>
      <c r="P21" s="74"/>
      <c r="Q21" s="74"/>
      <c r="R21" s="232"/>
      <c r="S21" s="399"/>
      <c r="T21" s="399"/>
      <c r="U21" s="399"/>
      <c r="V21" s="399"/>
      <c r="W21" s="399"/>
      <c r="X21" s="790"/>
      <c r="Y21" s="790"/>
      <c r="Z21" s="790"/>
      <c r="AA21" s="790"/>
      <c r="AB21" s="790"/>
      <c r="AC21" s="790"/>
      <c r="AD21" s="790"/>
      <c r="AE21" s="790"/>
      <c r="AF21" s="790"/>
      <c r="AG21" s="790"/>
      <c r="AH21" s="873"/>
      <c r="AJ21" s="128"/>
      <c r="AK21" s="128"/>
      <c r="AL21" s="128"/>
    </row>
    <row r="22" spans="3:39">
      <c r="C22" s="871"/>
      <c r="D22" s="232"/>
      <c r="E22" s="232"/>
      <c r="F22" s="232"/>
      <c r="G22" s="232"/>
      <c r="H22" s="232"/>
      <c r="I22" s="232"/>
      <c r="J22" s="349"/>
      <c r="K22" s="349"/>
      <c r="L22" s="349"/>
      <c r="M22" s="349"/>
      <c r="N22" s="349"/>
      <c r="O22" s="349"/>
      <c r="P22" s="349"/>
      <c r="Q22" s="349"/>
      <c r="R22" s="399"/>
      <c r="S22" s="399"/>
      <c r="T22" s="399"/>
      <c r="U22" s="399"/>
      <c r="V22" s="399"/>
      <c r="W22" s="399"/>
      <c r="X22" s="790"/>
      <c r="Y22" s="790"/>
      <c r="Z22" s="790"/>
      <c r="AA22" s="790"/>
      <c r="AB22" s="790"/>
      <c r="AC22" s="790"/>
      <c r="AD22" s="790"/>
      <c r="AE22" s="790"/>
      <c r="AF22" s="790"/>
      <c r="AG22" s="790"/>
      <c r="AH22" s="873"/>
      <c r="AJ22" s="128"/>
      <c r="AK22" s="128"/>
      <c r="AL22" s="128"/>
    </row>
    <row r="23" spans="3:39" ht="12.75" thickBot="1">
      <c r="C23" s="871"/>
      <c r="D23" s="872" t="s">
        <v>83</v>
      </c>
      <c r="E23" s="232"/>
      <c r="F23" s="232"/>
      <c r="G23" s="232"/>
      <c r="H23" s="232"/>
      <c r="I23" s="232"/>
      <c r="J23" s="350"/>
      <c r="K23" s="350"/>
      <c r="L23" s="350"/>
      <c r="M23" s="350"/>
      <c r="N23" s="350"/>
      <c r="O23" s="1860">
        <f>'Determination Lookup'!I10</f>
        <v>75.827271727515623</v>
      </c>
      <c r="P23" s="1860">
        <f>'Determination Lookup'!J10</f>
        <v>76.300229249037315</v>
      </c>
      <c r="Q23" s="1860">
        <f>'Determination Lookup'!K10</f>
        <v>77.19710351339441</v>
      </c>
      <c r="R23" s="1860">
        <f>'Determination Lookup'!L10</f>
        <v>78.087524443058456</v>
      </c>
      <c r="S23" s="1860">
        <f>'Determination Lookup'!M10</f>
        <v>79.057372806261341</v>
      </c>
      <c r="T23" s="1860">
        <f>'Determination Lookup'!N10</f>
        <v>79.866330737243501</v>
      </c>
      <c r="U23" s="1860">
        <f>'Determination Lookup'!O10</f>
        <v>80.836000390929527</v>
      </c>
      <c r="V23" s="1860">
        <f>'Determination Lookup'!P10</f>
        <v>81.862206277186004</v>
      </c>
      <c r="W23" s="1990">
        <f>'Determination Lookup'!Q10</f>
        <v>82.806383491758865</v>
      </c>
      <c r="X23" s="2139">
        <f ca="1">+SUM(X15:X20)</f>
        <v>95.543523619444471</v>
      </c>
      <c r="Y23" s="351">
        <f ca="1">+SUM(Y15:Y20)</f>
        <v>98.81722300083382</v>
      </c>
      <c r="Z23" s="351">
        <f t="shared" ref="Z23:AG23" ca="1" si="5">+SUM(Z15:Z20)</f>
        <v>100.84620293056062</v>
      </c>
      <c r="AA23" s="351">
        <f t="shared" ca="1" si="5"/>
        <v>103.76813997982296</v>
      </c>
      <c r="AB23" s="351">
        <f t="shared" ca="1" si="5"/>
        <v>107.4795465774621</v>
      </c>
      <c r="AC23" s="351">
        <f t="shared" ca="1" si="5"/>
        <v>116.55071571731521</v>
      </c>
      <c r="AD23" s="351">
        <f t="shared" ca="1" si="5"/>
        <v>120.74904604951693</v>
      </c>
      <c r="AE23" s="351">
        <f t="shared" ca="1" si="5"/>
        <v>123.35941277533935</v>
      </c>
      <c r="AF23" s="351">
        <f t="shared" ca="1" si="5"/>
        <v>125.65524824369251</v>
      </c>
      <c r="AG23" s="351">
        <f t="shared" ca="1" si="5"/>
        <v>128.77114564191498</v>
      </c>
      <c r="AH23" s="873"/>
      <c r="AI23" s="70" t="s">
        <v>1053</v>
      </c>
      <c r="AJ23" s="128"/>
      <c r="AK23" s="128"/>
      <c r="AL23" s="128"/>
    </row>
    <row r="24" spans="3:39">
      <c r="C24" s="871"/>
      <c r="D24" s="232"/>
      <c r="E24" s="232"/>
      <c r="F24" s="232"/>
      <c r="G24" s="232"/>
      <c r="H24" s="232"/>
      <c r="I24" s="232"/>
      <c r="J24" s="123"/>
      <c r="K24" s="349"/>
      <c r="L24" s="874"/>
      <c r="M24" s="349"/>
      <c r="N24" s="349"/>
      <c r="O24" s="349"/>
      <c r="P24" s="349"/>
      <c r="Q24" s="349"/>
      <c r="R24" s="399"/>
      <c r="S24" s="399"/>
      <c r="T24" s="399"/>
      <c r="U24" s="399"/>
      <c r="V24" s="399"/>
      <c r="W24" s="399"/>
      <c r="X24" s="399"/>
      <c r="Y24" s="399"/>
      <c r="Z24" s="399"/>
      <c r="AA24" s="399"/>
      <c r="AB24" s="399"/>
      <c r="AC24" s="399"/>
      <c r="AD24" s="399"/>
      <c r="AE24" s="399"/>
      <c r="AF24" s="399"/>
      <c r="AG24" s="399"/>
      <c r="AH24" s="873"/>
    </row>
    <row r="25" spans="3:39" ht="12.75" thickBot="1">
      <c r="C25" s="875"/>
      <c r="D25" s="838"/>
      <c r="E25" s="838"/>
      <c r="F25" s="838"/>
      <c r="G25" s="838"/>
      <c r="H25" s="838"/>
      <c r="I25" s="838"/>
      <c r="J25" s="806"/>
      <c r="K25" s="374"/>
      <c r="L25" s="374"/>
      <c r="M25" s="374"/>
      <c r="N25" s="374"/>
      <c r="O25" s="374"/>
      <c r="P25" s="374"/>
      <c r="Q25" s="374"/>
      <c r="R25" s="737"/>
      <c r="S25" s="737"/>
      <c r="T25" s="737"/>
      <c r="U25" s="737"/>
      <c r="V25" s="737"/>
      <c r="W25" s="737"/>
      <c r="X25" s="737"/>
      <c r="Y25" s="737"/>
      <c r="Z25" s="737"/>
      <c r="AA25" s="737"/>
      <c r="AB25" s="737"/>
      <c r="AC25" s="737"/>
      <c r="AD25" s="737"/>
      <c r="AE25" s="737"/>
      <c r="AF25" s="737"/>
      <c r="AG25" s="737"/>
      <c r="AH25" s="735"/>
    </row>
    <row r="26" spans="3:39" ht="12.75" thickBot="1">
      <c r="J26" s="123"/>
      <c r="K26" s="123"/>
      <c r="L26" s="123"/>
      <c r="M26" s="123"/>
      <c r="N26" s="123"/>
      <c r="O26" s="123"/>
      <c r="P26" s="123"/>
      <c r="Q26" s="123"/>
      <c r="R26" s="128"/>
      <c r="S26" s="128"/>
      <c r="T26" s="128"/>
      <c r="U26" s="128"/>
      <c r="V26" s="128"/>
      <c r="W26" s="128"/>
      <c r="X26" s="128"/>
      <c r="Y26" s="128"/>
      <c r="Z26" s="128"/>
      <c r="AA26" s="128"/>
      <c r="AB26" s="128"/>
      <c r="AC26" s="128"/>
      <c r="AD26" s="128"/>
      <c r="AE26" s="128"/>
      <c r="AF26" s="128"/>
      <c r="AG26" s="128"/>
    </row>
    <row r="27" spans="3:39">
      <c r="C27" s="166"/>
      <c r="D27" s="167"/>
      <c r="E27" s="167"/>
      <c r="F27" s="167"/>
      <c r="G27" s="167"/>
      <c r="H27" s="167"/>
      <c r="I27" s="167"/>
      <c r="J27" s="876"/>
      <c r="K27" s="876"/>
      <c r="L27" s="876"/>
      <c r="M27" s="876"/>
      <c r="N27" s="876"/>
      <c r="O27" s="876"/>
      <c r="P27" s="876"/>
      <c r="Q27" s="876"/>
      <c r="R27" s="877"/>
      <c r="S27" s="877"/>
      <c r="T27" s="877"/>
      <c r="U27" s="877"/>
      <c r="V27" s="877"/>
      <c r="W27" s="877"/>
      <c r="X27" s="877"/>
      <c r="Y27" s="877"/>
      <c r="Z27" s="877"/>
      <c r="AA27" s="877"/>
      <c r="AB27" s="877"/>
      <c r="AC27" s="877"/>
      <c r="AD27" s="877"/>
      <c r="AE27" s="877"/>
      <c r="AF27" s="877"/>
      <c r="AG27" s="877"/>
      <c r="AH27" s="168"/>
    </row>
    <row r="28" spans="3:39">
      <c r="C28" s="169"/>
      <c r="D28" s="285" t="s">
        <v>98</v>
      </c>
      <c r="J28" s="123"/>
      <c r="K28" s="123"/>
      <c r="L28" s="123"/>
      <c r="M28" s="123"/>
      <c r="N28" s="123"/>
      <c r="O28" s="878">
        <v>0.3</v>
      </c>
      <c r="P28" s="878">
        <v>0.3</v>
      </c>
      <c r="Q28" s="878">
        <v>0.3</v>
      </c>
      <c r="R28" s="878">
        <v>0.3</v>
      </c>
      <c r="S28" s="878">
        <v>0.3</v>
      </c>
      <c r="T28" s="878">
        <v>0.3</v>
      </c>
      <c r="U28" s="878">
        <v>0.3</v>
      </c>
      <c r="V28" s="878">
        <v>0.3</v>
      </c>
      <c r="W28" s="878">
        <v>0.3</v>
      </c>
      <c r="X28" s="902">
        <v>0</v>
      </c>
      <c r="Y28" s="903">
        <v>0</v>
      </c>
      <c r="Z28" s="903">
        <v>0</v>
      </c>
      <c r="AA28" s="903">
        <v>0</v>
      </c>
      <c r="AB28" s="903">
        <v>0</v>
      </c>
      <c r="AC28" s="903">
        <v>0.3</v>
      </c>
      <c r="AD28" s="903">
        <v>0.3</v>
      </c>
      <c r="AE28" s="903">
        <v>0.3</v>
      </c>
      <c r="AF28" s="903">
        <v>0.3</v>
      </c>
      <c r="AG28" s="904">
        <v>0.3</v>
      </c>
      <c r="AH28" s="171"/>
      <c r="AI28" s="74"/>
      <c r="AJ28" s="281"/>
      <c r="AK28" s="281"/>
      <c r="AL28" s="74"/>
      <c r="AM28" s="74"/>
    </row>
    <row r="29" spans="3:39" ht="12.75" thickBot="1">
      <c r="C29" s="182"/>
      <c r="D29" s="183"/>
      <c r="E29" s="183"/>
      <c r="F29" s="183"/>
      <c r="G29" s="183"/>
      <c r="H29" s="183"/>
      <c r="I29" s="183"/>
      <c r="J29" s="806"/>
      <c r="K29" s="806"/>
      <c r="L29" s="806"/>
      <c r="M29" s="806"/>
      <c r="N29" s="806"/>
      <c r="O29" s="806"/>
      <c r="P29" s="806"/>
      <c r="Q29" s="806"/>
      <c r="R29" s="602"/>
      <c r="S29" s="602"/>
      <c r="T29" s="602"/>
      <c r="U29" s="602"/>
      <c r="V29" s="602"/>
      <c r="W29" s="602"/>
      <c r="X29" s="602"/>
      <c r="Y29" s="602"/>
      <c r="Z29" s="602"/>
      <c r="AA29" s="602"/>
      <c r="AB29" s="602"/>
      <c r="AC29" s="602"/>
      <c r="AD29" s="602"/>
      <c r="AE29" s="602"/>
      <c r="AF29" s="602"/>
      <c r="AG29" s="602"/>
      <c r="AH29" s="186"/>
    </row>
    <row r="30" spans="3:39" ht="12.75" thickBot="1">
      <c r="C30" s="183"/>
      <c r="D30" s="183"/>
      <c r="E30" s="183"/>
      <c r="F30" s="183"/>
      <c r="G30" s="183"/>
      <c r="H30" s="183"/>
      <c r="I30" s="183"/>
      <c r="J30" s="806"/>
      <c r="K30" s="806"/>
      <c r="L30" s="806"/>
      <c r="M30" s="806"/>
      <c r="N30" s="806"/>
      <c r="O30" s="806"/>
      <c r="P30" s="806"/>
      <c r="Q30" s="806"/>
      <c r="R30" s="602"/>
      <c r="S30" s="602"/>
      <c r="T30" s="602"/>
      <c r="U30" s="602"/>
      <c r="V30" s="602"/>
      <c r="W30" s="602"/>
      <c r="X30" s="602"/>
      <c r="Y30" s="602"/>
      <c r="Z30" s="602"/>
      <c r="AA30" s="602"/>
      <c r="AB30" s="602"/>
      <c r="AC30" s="602"/>
      <c r="AD30" s="602"/>
      <c r="AE30" s="602"/>
      <c r="AF30" s="602"/>
      <c r="AG30" s="602"/>
      <c r="AH30" s="183"/>
    </row>
    <row r="31" spans="3:39">
      <c r="C31" s="169"/>
      <c r="J31" s="123"/>
      <c r="K31" s="349"/>
      <c r="L31" s="349"/>
      <c r="M31" s="349"/>
      <c r="N31" s="349"/>
      <c r="O31" s="349"/>
      <c r="P31" s="349"/>
      <c r="Q31" s="349"/>
      <c r="R31" s="608"/>
      <c r="S31" s="608"/>
      <c r="T31" s="608"/>
      <c r="U31" s="608"/>
      <c r="V31" s="608"/>
      <c r="W31" s="608"/>
      <c r="X31" s="608"/>
      <c r="Y31" s="608"/>
      <c r="Z31" s="608"/>
      <c r="AA31" s="608"/>
      <c r="AB31" s="608"/>
      <c r="AC31" s="608"/>
      <c r="AD31" s="608"/>
      <c r="AE31" s="608"/>
      <c r="AF31" s="608"/>
      <c r="AG31" s="608"/>
      <c r="AH31" s="171"/>
    </row>
    <row r="32" spans="3:39">
      <c r="C32" s="169"/>
      <c r="D32" s="879" t="s">
        <v>84</v>
      </c>
      <c r="J32" s="123"/>
      <c r="K32" s="349"/>
      <c r="L32" s="349"/>
      <c r="M32" s="349"/>
      <c r="N32" s="349"/>
      <c r="O32" s="349"/>
      <c r="P32" s="349"/>
      <c r="Q32" s="349"/>
      <c r="R32" s="608"/>
      <c r="S32" s="608"/>
      <c r="T32" s="608"/>
      <c r="U32" s="608"/>
      <c r="V32" s="608"/>
      <c r="W32" s="608"/>
      <c r="X32" s="608"/>
      <c r="Y32" s="608"/>
      <c r="Z32" s="608"/>
      <c r="AA32" s="608"/>
      <c r="AB32" s="608"/>
      <c r="AC32" s="608"/>
      <c r="AD32" s="608"/>
      <c r="AE32" s="608"/>
      <c r="AF32" s="608"/>
      <c r="AG32" s="608"/>
      <c r="AH32" s="171"/>
    </row>
    <row r="33" spans="3:35">
      <c r="C33" s="169"/>
      <c r="J33" s="123"/>
      <c r="K33" s="349"/>
      <c r="L33" s="349"/>
      <c r="M33" s="349"/>
      <c r="N33" s="349"/>
      <c r="O33" s="349"/>
      <c r="P33" s="349"/>
      <c r="Q33" s="349"/>
      <c r="R33" s="608"/>
      <c r="S33" s="608"/>
      <c r="T33" s="608"/>
      <c r="U33" s="608"/>
      <c r="V33" s="608"/>
      <c r="W33" s="608"/>
      <c r="X33" s="608"/>
      <c r="Y33" s="608"/>
      <c r="Z33" s="608"/>
      <c r="AA33" s="608"/>
      <c r="AB33" s="608"/>
      <c r="AC33" s="608"/>
      <c r="AD33" s="608"/>
      <c r="AE33" s="608"/>
      <c r="AF33" s="608"/>
      <c r="AG33" s="608"/>
      <c r="AH33" s="171"/>
    </row>
    <row r="34" spans="3:35">
      <c r="C34" s="169"/>
      <c r="J34" s="74"/>
      <c r="K34" s="281"/>
      <c r="L34" s="281"/>
      <c r="M34" s="281"/>
      <c r="N34" s="281"/>
      <c r="O34" s="281"/>
      <c r="P34" s="281"/>
      <c r="Q34" s="281"/>
      <c r="R34" s="180"/>
      <c r="S34" s="180"/>
      <c r="T34" s="180"/>
      <c r="U34" s="180"/>
      <c r="V34" s="180"/>
      <c r="W34" s="180"/>
      <c r="X34" s="180"/>
      <c r="Y34" s="180"/>
      <c r="Z34" s="180"/>
      <c r="AA34" s="180"/>
      <c r="AB34" s="180"/>
      <c r="AC34" s="180"/>
      <c r="AD34" s="180"/>
      <c r="AE34" s="180"/>
      <c r="AF34" s="180"/>
      <c r="AG34" s="180"/>
      <c r="AH34" s="171"/>
    </row>
    <row r="35" spans="3:35">
      <c r="C35" s="169"/>
      <c r="E35" s="879" t="s">
        <v>214</v>
      </c>
      <c r="J35" s="74"/>
      <c r="K35" s="281"/>
      <c r="L35" s="281"/>
      <c r="M35" s="281"/>
      <c r="N35" s="281"/>
      <c r="O35" s="281"/>
      <c r="P35" s="281"/>
      <c r="Q35" s="281"/>
      <c r="R35" s="180"/>
      <c r="S35" s="180"/>
      <c r="T35" s="180"/>
      <c r="U35" s="180"/>
      <c r="V35" s="180"/>
      <c r="W35" s="180"/>
      <c r="X35" s="180"/>
      <c r="Y35" s="180"/>
      <c r="Z35" s="180"/>
      <c r="AA35" s="180"/>
      <c r="AB35" s="180"/>
      <c r="AC35" s="180"/>
      <c r="AD35" s="180"/>
      <c r="AE35" s="180"/>
      <c r="AF35" s="180"/>
      <c r="AG35" s="180"/>
      <c r="AH35" s="171"/>
    </row>
    <row r="36" spans="3:35">
      <c r="C36" s="169"/>
      <c r="J36" s="880"/>
      <c r="K36" s="74"/>
      <c r="L36" s="881"/>
      <c r="M36" s="281"/>
      <c r="N36" s="882"/>
      <c r="O36" s="882"/>
      <c r="P36" s="74"/>
      <c r="Q36" s="281"/>
      <c r="R36" s="790"/>
      <c r="S36" s="883"/>
      <c r="T36" s="883"/>
      <c r="U36" s="232"/>
      <c r="V36" s="790"/>
      <c r="W36" s="790"/>
      <c r="X36" s="883"/>
      <c r="Y36" s="883"/>
      <c r="AA36" s="180"/>
      <c r="AB36" s="790"/>
      <c r="AC36" s="790"/>
      <c r="AD36" s="790"/>
      <c r="AE36" s="790"/>
      <c r="AF36" s="790"/>
      <c r="AG36" s="790"/>
      <c r="AH36" s="171"/>
    </row>
    <row r="37" spans="3:35">
      <c r="C37" s="169"/>
      <c r="F37" s="70" t="s">
        <v>85</v>
      </c>
      <c r="J37" s="662"/>
      <c r="K37" s="662"/>
      <c r="L37" s="662"/>
      <c r="M37" s="662"/>
      <c r="N37" s="662"/>
      <c r="O37" s="589">
        <f>+RollForward_FO!O24</f>
        <v>336.75998611345227</v>
      </c>
      <c r="P37" s="349">
        <f>+RollForward_FO!P24</f>
        <v>344.71089538050893</v>
      </c>
      <c r="Q37" s="349">
        <f>+RollForward_FO!Q24</f>
        <v>346.67654130320284</v>
      </c>
      <c r="R37" s="349">
        <f>+RollForward_FO!R24</f>
        <v>360.42824661396583</v>
      </c>
      <c r="S37" s="349">
        <f>+RollForward_FO!S24</f>
        <v>373.43126920151866</v>
      </c>
      <c r="T37" s="349">
        <f>+RollForward_FO!T24</f>
        <v>407.60440691158357</v>
      </c>
      <c r="U37" s="349">
        <f>+RollForward_FO!U24</f>
        <v>427.91464625980456</v>
      </c>
      <c r="V37" s="349">
        <f>+RollForward_FO!V24</f>
        <v>454.19275262699648</v>
      </c>
      <c r="W37" s="349">
        <f>+RollForward_FO!W24</f>
        <v>516.37143299877437</v>
      </c>
      <c r="X37" s="600">
        <f t="shared" ref="X37:AG37" si="6">W43</f>
        <v>512.60235118726871</v>
      </c>
      <c r="Y37" s="608">
        <f t="shared" si="6"/>
        <v>492.81265003693949</v>
      </c>
      <c r="Z37" s="608">
        <f t="shared" si="6"/>
        <v>473.02294888661027</v>
      </c>
      <c r="AA37" s="608">
        <f t="shared" si="6"/>
        <v>453.23324773628104</v>
      </c>
      <c r="AB37" s="608">
        <f t="shared" si="6"/>
        <v>433.44354658595182</v>
      </c>
      <c r="AC37" s="608">
        <f t="shared" si="6"/>
        <v>413.6538454356226</v>
      </c>
      <c r="AD37" s="608">
        <f t="shared" si="6"/>
        <v>393.86414428529338</v>
      </c>
      <c r="AE37" s="608">
        <f t="shared" si="6"/>
        <v>374.07444313496416</v>
      </c>
      <c r="AF37" s="608">
        <f t="shared" si="6"/>
        <v>354.28474198463493</v>
      </c>
      <c r="AG37" s="608">
        <f t="shared" si="6"/>
        <v>334.49504083430571</v>
      </c>
      <c r="AH37" s="171"/>
      <c r="AI37" s="70" t="s">
        <v>1053</v>
      </c>
    </row>
    <row r="38" spans="3:35">
      <c r="C38" s="169"/>
      <c r="F38" s="70" t="s">
        <v>89</v>
      </c>
      <c r="J38" s="349"/>
      <c r="K38" s="349"/>
      <c r="L38" s="349"/>
      <c r="M38" s="349"/>
      <c r="N38" s="349"/>
      <c r="O38" s="378">
        <f>+RollForward_FO!O25</f>
        <v>23.432855397285067</v>
      </c>
      <c r="P38" s="378">
        <f>+RollForward_FO!P25</f>
        <v>17.851385599023089</v>
      </c>
      <c r="Q38" s="378">
        <f>+RollForward_FO!Q25</f>
        <v>29.564081300613495</v>
      </c>
      <c r="R38" s="378">
        <f>+RollForward_FO!R25</f>
        <v>30.752784326655227</v>
      </c>
      <c r="S38" s="378">
        <f>+RollForward_FO!S25</f>
        <v>50.947665715012718</v>
      </c>
      <c r="T38" s="378">
        <f>+RollForward_FO!T25</f>
        <v>38.549908669491515</v>
      </c>
      <c r="U38" s="378">
        <f>+RollForward_FO!U25</f>
        <v>45.534034847285071</v>
      </c>
      <c r="V38" s="378">
        <f>+RollForward_FO!V25</f>
        <v>81.634957360502185</v>
      </c>
      <c r="W38" s="378">
        <f>+RollForward_FO!W25</f>
        <v>13.967881085972849</v>
      </c>
      <c r="X38" s="378"/>
      <c r="Y38" s="378"/>
      <c r="Z38" s="378"/>
      <c r="AA38" s="378"/>
      <c r="AB38" s="378"/>
      <c r="AC38" s="378"/>
      <c r="AD38" s="378"/>
      <c r="AE38" s="378"/>
      <c r="AF38" s="378"/>
      <c r="AG38" s="378"/>
      <c r="AH38" s="171"/>
    </row>
    <row r="39" spans="3:35">
      <c r="C39" s="169"/>
      <c r="F39" s="70" t="s">
        <v>90</v>
      </c>
      <c r="J39" s="349"/>
      <c r="K39" s="349"/>
      <c r="L39" s="349"/>
      <c r="M39" s="349"/>
      <c r="N39" s="349"/>
      <c r="O39" s="608">
        <f>+RollForward_FO!O27</f>
        <v>2.6926542081447966</v>
      </c>
      <c r="P39" s="608">
        <f>+RollForward_FO!P27</f>
        <v>3.2700879218472467</v>
      </c>
      <c r="Q39" s="608">
        <f>+RollForward_FO!Q27</f>
        <v>3.1617423312883437</v>
      </c>
      <c r="R39" s="608">
        <f>+RollForward_FO!R27</f>
        <v>4.3923499142367071</v>
      </c>
      <c r="S39" s="608">
        <f>+RollForward_FO!S27</f>
        <v>3.4429134860050885</v>
      </c>
      <c r="T39" s="608">
        <f>+RollForward_FO!T27</f>
        <v>4.3686271186440671</v>
      </c>
      <c r="U39" s="608">
        <f>+RollForward_FO!U27</f>
        <v>4.1053416289592759</v>
      </c>
      <c r="V39" s="608">
        <f>+RollForward_FO!V27</f>
        <v>4.3860122227074232</v>
      </c>
      <c r="W39" s="608">
        <f>+RollForward_FO!W27</f>
        <v>3.5</v>
      </c>
      <c r="X39" s="378"/>
      <c r="Y39" s="378"/>
      <c r="Z39" s="378"/>
      <c r="AA39" s="378"/>
      <c r="AB39" s="378"/>
      <c r="AC39" s="378"/>
      <c r="AD39" s="378"/>
      <c r="AE39" s="378"/>
      <c r="AF39" s="378"/>
      <c r="AG39" s="378"/>
      <c r="AH39" s="171"/>
    </row>
    <row r="40" spans="3:35">
      <c r="C40" s="169"/>
      <c r="F40" s="70" t="s">
        <v>91</v>
      </c>
      <c r="J40" s="349"/>
      <c r="K40" s="349"/>
      <c r="L40" s="349"/>
      <c r="M40" s="349"/>
      <c r="N40" s="349"/>
      <c r="O40" s="608">
        <f>+RollForward_FO!O26</f>
        <v>0</v>
      </c>
      <c r="P40" s="608">
        <f>+RollForward_FO!P26</f>
        <v>0</v>
      </c>
      <c r="Q40" s="608">
        <f>+RollForward_FO!Q26</f>
        <v>0</v>
      </c>
      <c r="R40" s="608">
        <f>+RollForward_FO!R26</f>
        <v>0.43440823327615774</v>
      </c>
      <c r="S40" s="608">
        <f>+RollForward_FO!S26</f>
        <v>0.286412213740458</v>
      </c>
      <c r="T40" s="608">
        <f>+RollForward_FO!T26</f>
        <v>0.22711864406779658</v>
      </c>
      <c r="U40" s="608">
        <f>+RollForward_FO!U26</f>
        <v>1.0488834841628958</v>
      </c>
      <c r="V40" s="608">
        <f>+RollForward_FO!V26</f>
        <v>1.3501670305676856</v>
      </c>
      <c r="W40" s="608">
        <f>+RollForward_FO!W26</f>
        <v>0</v>
      </c>
      <c r="X40" s="378"/>
      <c r="Y40" s="378"/>
      <c r="Z40" s="378"/>
      <c r="AA40" s="378"/>
      <c r="AB40" s="378"/>
      <c r="AC40" s="378"/>
      <c r="AD40" s="378"/>
      <c r="AE40" s="378"/>
      <c r="AF40" s="378"/>
      <c r="AG40" s="378"/>
      <c r="AH40" s="171"/>
    </row>
    <row r="41" spans="3:35">
      <c r="C41" s="192"/>
      <c r="D41" s="74"/>
      <c r="E41" s="74"/>
      <c r="F41" s="74" t="s">
        <v>86</v>
      </c>
      <c r="G41" s="74"/>
      <c r="H41" s="74"/>
      <c r="I41" s="74"/>
      <c r="J41" s="349"/>
      <c r="K41" s="349"/>
      <c r="L41" s="349"/>
      <c r="M41" s="349"/>
      <c r="N41" s="349"/>
      <c r="O41" s="608">
        <f>RollForward_FO!O17</f>
        <v>12.147547125703566</v>
      </c>
      <c r="P41" s="608">
        <f>RollForward_FO!P17</f>
        <v>11.789695271355818</v>
      </c>
      <c r="Q41" s="608">
        <f>RollForward_FO!Q17</f>
        <v>11.990909732181787</v>
      </c>
      <c r="R41" s="608">
        <f>RollForward_FO!R17</f>
        <v>12.395680263973748</v>
      </c>
      <c r="S41" s="608">
        <f>RollForward_FO!S17</f>
        <v>12.857840982047037</v>
      </c>
      <c r="T41" s="608">
        <f>RollForward_FO!T17</f>
        <v>13.434974406016295</v>
      </c>
      <c r="U41" s="608">
        <f>RollForward_FO!U17</f>
        <v>13.579649068328413</v>
      </c>
      <c r="V41" s="608">
        <f>RollForward_FO!V17</f>
        <v>13.687515547676249</v>
      </c>
      <c r="W41" s="608">
        <f>RollForward_FO!W17</f>
        <v>13.736962897478495</v>
      </c>
      <c r="X41" s="600">
        <f>+RollForward_FO!X15</f>
        <v>19.289701150329222</v>
      </c>
      <c r="Y41" s="349">
        <f>+RollForward_FO!Y15</f>
        <v>19.289701150329222</v>
      </c>
      <c r="Z41" s="349">
        <f>+RollForward_FO!Z15</f>
        <v>19.289701150329222</v>
      </c>
      <c r="AA41" s="349">
        <f>+RollForward_FO!AA15</f>
        <v>19.289701150329222</v>
      </c>
      <c r="AB41" s="349">
        <f>+RollForward_FO!AB15</f>
        <v>19.289701150329222</v>
      </c>
      <c r="AC41" s="349">
        <f>+RollForward_FO!AC15</f>
        <v>19.289701150329222</v>
      </c>
      <c r="AD41" s="349">
        <f>+RollForward_FO!AD15</f>
        <v>19.289701150329222</v>
      </c>
      <c r="AE41" s="349">
        <f>+RollForward_FO!AE15</f>
        <v>19.289701150329222</v>
      </c>
      <c r="AF41" s="349">
        <f>+RollForward_FO!AF15</f>
        <v>19.289701150329222</v>
      </c>
      <c r="AG41" s="349">
        <f>+RollForward_FO!AG15</f>
        <v>19.289701150329222</v>
      </c>
      <c r="AH41" s="171"/>
      <c r="AI41" s="70" t="s">
        <v>1053</v>
      </c>
    </row>
    <row r="42" spans="3:35">
      <c r="C42" s="169"/>
      <c r="F42" s="70" t="s">
        <v>92</v>
      </c>
      <c r="J42" s="349"/>
      <c r="K42" s="349"/>
      <c r="L42" s="349"/>
      <c r="M42" s="349"/>
      <c r="N42" s="349"/>
      <c r="O42" s="608">
        <f>Summary_FO!O25</f>
        <v>0.64174479638009041</v>
      </c>
      <c r="P42" s="608">
        <f>Summary_FO!P25</f>
        <v>0.82595648312611014</v>
      </c>
      <c r="Q42" s="608">
        <f>Summary_FO!Q25</f>
        <v>0.65972392638036814</v>
      </c>
      <c r="R42" s="608">
        <f>Summary_FO!R25</f>
        <v>0.52732332761578038</v>
      </c>
      <c r="S42" s="608">
        <f>Summary_FO!S25</f>
        <v>0.18736132315521628</v>
      </c>
      <c r="T42" s="608">
        <f>Summary_FO!T25</f>
        <v>0.20894915254237284</v>
      </c>
      <c r="U42" s="608">
        <f>Summary_FO!U25</f>
        <v>0.52205429864253394</v>
      </c>
      <c r="V42" s="608">
        <f>Summary_FO!V25</f>
        <v>3.2582187772925757E-2</v>
      </c>
      <c r="W42" s="608">
        <f>Summary_FO!W25</f>
        <v>0.5</v>
      </c>
      <c r="X42" s="608">
        <f>Summary_FO!X25</f>
        <v>0.5</v>
      </c>
      <c r="Y42" s="608">
        <f>Summary_FO!Y25</f>
        <v>0.5</v>
      </c>
      <c r="Z42" s="608">
        <f>Summary_FO!Z25</f>
        <v>0.5</v>
      </c>
      <c r="AA42" s="608">
        <f>Summary_FO!AA25</f>
        <v>0.5</v>
      </c>
      <c r="AB42" s="608">
        <f>Summary_FO!AB25</f>
        <v>0.5</v>
      </c>
      <c r="AC42" s="608">
        <f>Summary_FO!AC25</f>
        <v>0.5</v>
      </c>
      <c r="AD42" s="608">
        <f>Summary_FO!AD25</f>
        <v>0.5</v>
      </c>
      <c r="AE42" s="608">
        <f>Summary_FO!AE25</f>
        <v>0.5</v>
      </c>
      <c r="AF42" s="608">
        <f>Summary_FO!AF25</f>
        <v>0.5</v>
      </c>
      <c r="AG42" s="608">
        <f>Summary_FO!AG25</f>
        <v>0.5</v>
      </c>
      <c r="AH42" s="171"/>
      <c r="AI42" s="70" t="s">
        <v>1053</v>
      </c>
    </row>
    <row r="43" spans="3:35">
      <c r="C43" s="169"/>
      <c r="F43" s="70" t="s">
        <v>65</v>
      </c>
      <c r="J43" s="349"/>
      <c r="K43" s="349"/>
      <c r="L43" s="349"/>
      <c r="M43" s="349"/>
      <c r="N43" s="349"/>
      <c r="O43" s="608">
        <f>+SUM(O37:O38)-SUM(O39:O42)</f>
        <v>344.71089538050893</v>
      </c>
      <c r="P43" s="608">
        <f>+SUM(P37:P38)-SUM(P39:P42)</f>
        <v>346.67654130320284</v>
      </c>
      <c r="Q43" s="608">
        <f>+SUM(Q37:Q38)-SUM(Q39:Q42)</f>
        <v>360.42824661396583</v>
      </c>
      <c r="R43" s="608">
        <f>+SUM(R37:R38)-SUM(R39:R42)</f>
        <v>373.43126920151866</v>
      </c>
      <c r="S43" s="608">
        <f t="shared" ref="S43:AB43" si="7">+SUM(S37:S38)-SUM(S39:S42)</f>
        <v>407.60440691158357</v>
      </c>
      <c r="T43" s="608">
        <f t="shared" si="7"/>
        <v>427.91464625980456</v>
      </c>
      <c r="U43" s="608">
        <f t="shared" si="7"/>
        <v>454.19275262699648</v>
      </c>
      <c r="V43" s="608">
        <f t="shared" si="7"/>
        <v>516.37143299877437</v>
      </c>
      <c r="W43" s="608">
        <f t="shared" si="7"/>
        <v>512.60235118726871</v>
      </c>
      <c r="X43" s="608">
        <f t="shared" si="7"/>
        <v>492.81265003693949</v>
      </c>
      <c r="Y43" s="608">
        <f t="shared" si="7"/>
        <v>473.02294888661027</v>
      </c>
      <c r="Z43" s="608">
        <f t="shared" si="7"/>
        <v>453.23324773628104</v>
      </c>
      <c r="AA43" s="608">
        <f t="shared" si="7"/>
        <v>433.44354658595182</v>
      </c>
      <c r="AB43" s="608">
        <f t="shared" si="7"/>
        <v>413.6538454356226</v>
      </c>
      <c r="AC43" s="608">
        <f>+SUM(AC37:AC38)-SUM(AC39:AC42)</f>
        <v>393.86414428529338</v>
      </c>
      <c r="AD43" s="608">
        <f>+SUM(AD37:AD38)-SUM(AD39:AD42)</f>
        <v>374.07444313496416</v>
      </c>
      <c r="AE43" s="608">
        <f>+SUM(AE37:AE38)-SUM(AE39:AE42)</f>
        <v>354.28474198463493</v>
      </c>
      <c r="AF43" s="608">
        <f>+SUM(AF37:AF38)-SUM(AF39:AF42)</f>
        <v>334.49504083430571</v>
      </c>
      <c r="AG43" s="608">
        <f>+SUM(AG37:AG38)-SUM(AG39:AG42)</f>
        <v>314.70533968397649</v>
      </c>
      <c r="AH43" s="171"/>
      <c r="AI43" s="70" t="s">
        <v>1053</v>
      </c>
    </row>
    <row r="44" spans="3:35">
      <c r="C44" s="169"/>
      <c r="J44" s="349"/>
      <c r="K44" s="349"/>
      <c r="L44" s="349"/>
      <c r="M44" s="349"/>
      <c r="N44" s="349"/>
      <c r="O44" s="608"/>
      <c r="P44" s="608"/>
      <c r="Q44" s="608"/>
      <c r="R44" s="608"/>
      <c r="S44" s="608"/>
      <c r="T44" s="608"/>
      <c r="U44" s="608"/>
      <c r="V44" s="608"/>
      <c r="W44" s="608"/>
      <c r="X44" s="608"/>
      <c r="Y44" s="608"/>
      <c r="Z44" s="608"/>
      <c r="AA44" s="608"/>
      <c r="AB44" s="608"/>
      <c r="AC44" s="608"/>
      <c r="AD44" s="608"/>
      <c r="AE44" s="608"/>
      <c r="AF44" s="608"/>
      <c r="AG44" s="608"/>
      <c r="AH44" s="171"/>
      <c r="AI44" s="70" t="s">
        <v>1053</v>
      </c>
    </row>
    <row r="45" spans="3:35">
      <c r="C45" s="169"/>
      <c r="F45" s="70" t="s">
        <v>87</v>
      </c>
      <c r="J45" s="349"/>
      <c r="K45" s="349"/>
      <c r="L45" s="349"/>
      <c r="M45" s="349"/>
      <c r="N45" s="349"/>
      <c r="O45" s="608">
        <f>+AVERAGE(O37,O43)</f>
        <v>340.7354407469806</v>
      </c>
      <c r="P45" s="608">
        <f>+AVERAGE(P37,P43)</f>
        <v>345.69371834185586</v>
      </c>
      <c r="Q45" s="608">
        <f>+AVERAGE(Q37,Q43)</f>
        <v>353.55239395858433</v>
      </c>
      <c r="R45" s="608">
        <f>+AVERAGE(R37,R43)</f>
        <v>366.92975790774221</v>
      </c>
      <c r="S45" s="608">
        <f t="shared" ref="S45:AB45" si="8">+AVERAGE(S37,S43)</f>
        <v>390.51783805655111</v>
      </c>
      <c r="T45" s="608">
        <f t="shared" si="8"/>
        <v>417.75952658569406</v>
      </c>
      <c r="U45" s="608">
        <f t="shared" si="8"/>
        <v>441.05369944340055</v>
      </c>
      <c r="V45" s="608">
        <f t="shared" si="8"/>
        <v>485.28209281288542</v>
      </c>
      <c r="W45" s="608">
        <f t="shared" si="8"/>
        <v>514.48689209302154</v>
      </c>
      <c r="X45" s="608">
        <f t="shared" si="8"/>
        <v>502.70750061210413</v>
      </c>
      <c r="Y45" s="608">
        <f t="shared" si="8"/>
        <v>482.91779946177485</v>
      </c>
      <c r="Z45" s="608">
        <f t="shared" si="8"/>
        <v>463.12809831144568</v>
      </c>
      <c r="AA45" s="608">
        <f t="shared" si="8"/>
        <v>443.3383971611164</v>
      </c>
      <c r="AB45" s="608">
        <f t="shared" si="8"/>
        <v>423.54869601078724</v>
      </c>
      <c r="AC45" s="608">
        <f>+AVERAGE(AC37,AC43)</f>
        <v>403.75899486045796</v>
      </c>
      <c r="AD45" s="608">
        <f>+AVERAGE(AD37,AD43)</f>
        <v>383.9692937101288</v>
      </c>
      <c r="AE45" s="608">
        <f>+AVERAGE(AE37,AE43)</f>
        <v>364.17959255979952</v>
      </c>
      <c r="AF45" s="608">
        <f>+AVERAGE(AF37,AF43)</f>
        <v>344.38989140947035</v>
      </c>
      <c r="AG45" s="608">
        <f>+AVERAGE(AG37,AG43)</f>
        <v>324.60019025914107</v>
      </c>
      <c r="AH45" s="171"/>
      <c r="AI45" s="70" t="s">
        <v>1053</v>
      </c>
    </row>
    <row r="46" spans="3:35">
      <c r="C46" s="169"/>
      <c r="J46" s="349"/>
      <c r="K46" s="349"/>
      <c r="L46" s="349"/>
      <c r="M46" s="349"/>
      <c r="N46" s="349"/>
      <c r="O46" s="608"/>
      <c r="P46" s="608"/>
      <c r="Q46" s="608"/>
      <c r="R46" s="608"/>
      <c r="S46" s="608"/>
      <c r="T46" s="608"/>
      <c r="U46" s="608"/>
      <c r="V46" s="608"/>
      <c r="W46" s="608"/>
      <c r="X46" s="608"/>
      <c r="Y46" s="608"/>
      <c r="Z46" s="608"/>
      <c r="AA46" s="608"/>
      <c r="AB46" s="608"/>
      <c r="AC46" s="608"/>
      <c r="AD46" s="608"/>
      <c r="AE46" s="608"/>
      <c r="AF46" s="608"/>
      <c r="AG46" s="608"/>
      <c r="AH46" s="171"/>
      <c r="AI46" s="70" t="s">
        <v>1053</v>
      </c>
    </row>
    <row r="47" spans="3:35">
      <c r="C47" s="169"/>
      <c r="F47" s="70" t="s">
        <v>556</v>
      </c>
      <c r="J47" s="884"/>
      <c r="K47" s="884"/>
      <c r="L47" s="884"/>
      <c r="M47" s="884"/>
      <c r="N47" s="884"/>
      <c r="O47" s="885">
        <f>'Determination Lookup'!I9</f>
        <v>13.736943911849849</v>
      </c>
      <c r="P47" s="885">
        <f>'Determination Lookup'!J9</f>
        <v>14.030556952087187</v>
      </c>
      <c r="Q47" s="885">
        <f>'Determination Lookup'!K9</f>
        <v>14.388088097731767</v>
      </c>
      <c r="R47" s="885">
        <f>'Determination Lookup'!L9</f>
        <v>14.899577535152265</v>
      </c>
      <c r="S47" s="885">
        <f>'Determination Lookup'!M9</f>
        <v>15.512761078957364</v>
      </c>
      <c r="T47" s="885">
        <f>'Determination Lookup'!N9</f>
        <v>15.938627849863376</v>
      </c>
      <c r="U47" s="885">
        <f>'Determination Lookup'!O9</f>
        <v>16.087627123442747</v>
      </c>
      <c r="V47" s="885">
        <f>'Determination Lookup'!P9</f>
        <v>16.180442282641295</v>
      </c>
      <c r="W47" s="885">
        <f>'Determination Lookup'!Q9</f>
        <v>16.150306535472883</v>
      </c>
      <c r="X47" s="600">
        <f>+X45*KeyAssumptionsPriceControl_FO!AF42</f>
        <v>14.126080767200126</v>
      </c>
      <c r="Y47" s="349">
        <f>+Y45*KeyAssumptionsPriceControl_FO!AG42</f>
        <v>13.859740844552938</v>
      </c>
      <c r="Z47" s="349">
        <f>+Z45*KeyAssumptionsPriceControl_FO!AH42</f>
        <v>13.662278900187648</v>
      </c>
      <c r="AA47" s="349">
        <f>+AA45*KeyAssumptionsPriceControl_FO!AI42</f>
        <v>13.388819594265716</v>
      </c>
      <c r="AB47" s="349">
        <f>+AB45*KeyAssumptionsPriceControl_FO!AJ42</f>
        <v>13.384138793940878</v>
      </c>
      <c r="AC47" s="349">
        <f>+AC45*KeyAssumptionsPriceControl_FO!AK42</f>
        <v>13.445174528853251</v>
      </c>
      <c r="AD47" s="349">
        <f>+AD45*KeyAssumptionsPriceControl_FO!AL42</f>
        <v>13.246940632999445</v>
      </c>
      <c r="AE47" s="349">
        <f>+AE45*KeyAssumptionsPriceControl_FO!AM42</f>
        <v>12.382106147033184</v>
      </c>
      <c r="AF47" s="349">
        <f>+AF45*KeyAssumptionsPriceControl_FO!AN42</f>
        <v>11.571500351358203</v>
      </c>
      <c r="AG47" s="349">
        <f>+AG45*KeyAssumptionsPriceControl_FO!AO42</f>
        <v>10.906566392707139</v>
      </c>
      <c r="AH47" s="171"/>
      <c r="AI47" s="70" t="s">
        <v>1053</v>
      </c>
    </row>
    <row r="48" spans="3:35">
      <c r="C48" s="169"/>
      <c r="J48" s="349"/>
      <c r="K48" s="349"/>
      <c r="L48" s="349"/>
      <c r="M48" s="349"/>
      <c r="N48" s="349"/>
      <c r="O48" s="608"/>
      <c r="P48" s="608"/>
      <c r="Q48" s="608"/>
      <c r="R48" s="608"/>
      <c r="S48" s="608"/>
      <c r="T48" s="608"/>
      <c r="U48" s="608"/>
      <c r="V48" s="608"/>
      <c r="W48" s="608"/>
      <c r="X48" s="608"/>
      <c r="Y48" s="608"/>
      <c r="Z48" s="608"/>
      <c r="AA48" s="608"/>
      <c r="AB48" s="608"/>
      <c r="AC48" s="608"/>
      <c r="AD48" s="608"/>
      <c r="AE48" s="608"/>
      <c r="AF48" s="608"/>
      <c r="AG48" s="608"/>
      <c r="AH48" s="171"/>
      <c r="AI48" s="70" t="s">
        <v>1053</v>
      </c>
    </row>
    <row r="49" spans="3:35">
      <c r="C49" s="169"/>
      <c r="E49" s="879" t="s">
        <v>215</v>
      </c>
      <c r="J49" s="886"/>
      <c r="K49" s="886"/>
      <c r="L49" s="886"/>
      <c r="M49" s="886"/>
      <c r="N49" s="886"/>
      <c r="O49" s="887">
        <f>+O47+O41</f>
        <v>25.884491037553417</v>
      </c>
      <c r="P49" s="887">
        <f>+P47+P41</f>
        <v>25.820252223443006</v>
      </c>
      <c r="Q49" s="887">
        <f>+Q47+Q41</f>
        <v>26.378997829913555</v>
      </c>
      <c r="R49" s="887">
        <f>+R47+R41</f>
        <v>27.295257799126013</v>
      </c>
      <c r="S49" s="887">
        <f t="shared" ref="S49:AB49" si="9">+S47+S41</f>
        <v>28.370602061004401</v>
      </c>
      <c r="T49" s="887">
        <f>+T47+T41</f>
        <v>29.373602255879671</v>
      </c>
      <c r="U49" s="887">
        <f t="shared" si="9"/>
        <v>29.667276191771158</v>
      </c>
      <c r="V49" s="887">
        <f t="shared" si="9"/>
        <v>29.867957830317543</v>
      </c>
      <c r="W49" s="887">
        <f t="shared" si="9"/>
        <v>29.887269432951378</v>
      </c>
      <c r="X49" s="887">
        <f t="shared" si="9"/>
        <v>33.415781917529344</v>
      </c>
      <c r="Y49" s="887">
        <f t="shared" si="9"/>
        <v>33.14944199488216</v>
      </c>
      <c r="Z49" s="887">
        <f t="shared" si="9"/>
        <v>32.951980050516866</v>
      </c>
      <c r="AA49" s="887">
        <f t="shared" si="9"/>
        <v>32.678520744594934</v>
      </c>
      <c r="AB49" s="887">
        <f t="shared" si="9"/>
        <v>32.6738399442701</v>
      </c>
      <c r="AC49" s="887">
        <f>+AC47+AC41</f>
        <v>32.734875679182473</v>
      </c>
      <c r="AD49" s="887">
        <f>+AD47+AD41</f>
        <v>32.536641783328669</v>
      </c>
      <c r="AE49" s="887">
        <f>+AE47+AE41</f>
        <v>31.671807297362406</v>
      </c>
      <c r="AF49" s="887">
        <f>+AF47+AF41</f>
        <v>30.861201501687425</v>
      </c>
      <c r="AG49" s="887">
        <f>+AG47+AG41</f>
        <v>30.196267543036363</v>
      </c>
      <c r="AH49" s="171"/>
      <c r="AI49" s="70" t="s">
        <v>1053</v>
      </c>
    </row>
    <row r="50" spans="3:35">
      <c r="C50" s="169"/>
      <c r="J50" s="123"/>
      <c r="K50" s="349"/>
      <c r="L50" s="349"/>
      <c r="M50" s="349"/>
      <c r="N50" s="349"/>
      <c r="O50" s="349"/>
      <c r="P50" s="349"/>
      <c r="Q50" s="349"/>
      <c r="R50" s="608"/>
      <c r="S50" s="608"/>
      <c r="T50" s="608"/>
      <c r="U50" s="608"/>
      <c r="V50" s="608"/>
      <c r="W50" s="608"/>
      <c r="X50" s="608"/>
      <c r="Y50" s="608"/>
      <c r="Z50" s="608"/>
      <c r="AA50" s="608"/>
      <c r="AB50" s="608"/>
      <c r="AC50" s="608"/>
      <c r="AD50" s="608"/>
      <c r="AE50" s="608"/>
      <c r="AF50" s="608"/>
      <c r="AG50" s="608"/>
      <c r="AH50" s="171"/>
    </row>
    <row r="51" spans="3:35">
      <c r="C51" s="169"/>
      <c r="J51" s="123"/>
      <c r="K51" s="349"/>
      <c r="L51" s="349"/>
      <c r="M51" s="349"/>
      <c r="N51" s="349"/>
      <c r="O51" s="349"/>
      <c r="P51" s="349"/>
      <c r="Q51" s="349"/>
      <c r="R51" s="608"/>
      <c r="S51" s="608"/>
      <c r="T51" s="608"/>
      <c r="U51" s="608"/>
      <c r="V51" s="608"/>
      <c r="W51" s="608"/>
      <c r="X51" s="608"/>
      <c r="Y51" s="608"/>
      <c r="Z51" s="608"/>
      <c r="AA51" s="608"/>
      <c r="AB51" s="608"/>
      <c r="AC51" s="608"/>
      <c r="AD51" s="608"/>
      <c r="AE51" s="608"/>
      <c r="AF51" s="608"/>
      <c r="AG51" s="608"/>
      <c r="AH51" s="171"/>
    </row>
    <row r="52" spans="3:35">
      <c r="C52" s="169"/>
      <c r="E52" s="879" t="s">
        <v>216</v>
      </c>
      <c r="J52" s="123"/>
      <c r="K52" s="349"/>
      <c r="L52" s="349"/>
      <c r="M52" s="349"/>
      <c r="N52" s="349"/>
      <c r="O52" s="349"/>
      <c r="P52" s="349"/>
      <c r="Q52" s="349"/>
      <c r="R52" s="608"/>
      <c r="S52" s="608"/>
      <c r="T52" s="608"/>
      <c r="U52" s="608"/>
      <c r="V52" s="608"/>
      <c r="W52" s="608"/>
      <c r="X52" s="608"/>
      <c r="Y52" s="608"/>
      <c r="Z52" s="608"/>
      <c r="AA52" s="608"/>
      <c r="AB52" s="608"/>
      <c r="AC52" s="608"/>
      <c r="AD52" s="608"/>
      <c r="AE52" s="608"/>
      <c r="AF52" s="608"/>
      <c r="AG52" s="608"/>
      <c r="AH52" s="171"/>
    </row>
    <row r="53" spans="3:35">
      <c r="C53" s="169"/>
      <c r="J53" s="123"/>
      <c r="K53" s="349"/>
      <c r="L53" s="349"/>
      <c r="M53" s="349"/>
      <c r="N53" s="349"/>
      <c r="O53" s="349"/>
      <c r="P53" s="349"/>
      <c r="Q53" s="349"/>
      <c r="R53" s="608"/>
      <c r="S53" s="608"/>
      <c r="T53" s="608"/>
      <c r="U53" s="608"/>
      <c r="V53" s="608"/>
      <c r="W53" s="608"/>
      <c r="X53" s="608"/>
      <c r="Y53" s="608"/>
      <c r="Z53" s="608"/>
      <c r="AA53" s="608"/>
      <c r="AB53" s="608"/>
      <c r="AC53" s="608"/>
      <c r="AD53" s="608"/>
      <c r="AE53" s="608"/>
      <c r="AF53" s="608"/>
      <c r="AG53" s="608"/>
      <c r="AH53" s="171"/>
    </row>
    <row r="54" spans="3:35">
      <c r="C54" s="169"/>
      <c r="F54" s="70" t="s">
        <v>85</v>
      </c>
      <c r="J54" s="608"/>
      <c r="K54" s="608"/>
      <c r="L54" s="608"/>
      <c r="M54" s="608"/>
      <c r="N54" s="608"/>
      <c r="O54" s="608"/>
      <c r="P54" s="608"/>
      <c r="Q54" s="608"/>
      <c r="R54" s="608"/>
      <c r="S54" s="349"/>
      <c r="T54" s="349"/>
      <c r="U54" s="349"/>
      <c r="V54" s="349"/>
      <c r="W54" s="349"/>
      <c r="X54" s="608">
        <f>+W60</f>
        <v>0</v>
      </c>
      <c r="Y54" s="608">
        <f ca="1">+X60</f>
        <v>48.188162436309518</v>
      </c>
      <c r="Z54" s="608">
        <f ca="1">+Y60</f>
        <v>96.970594999404767</v>
      </c>
      <c r="AA54" s="608">
        <f ca="1">+Z60</f>
        <v>132.69564161011908</v>
      </c>
      <c r="AB54" s="608">
        <f t="shared" ref="AB54:AG54" ca="1" si="10">+AA60</f>
        <v>174.51135426845241</v>
      </c>
      <c r="AC54" s="608">
        <f t="shared" ca="1" si="10"/>
        <v>235.51683413273815</v>
      </c>
      <c r="AD54" s="608">
        <f t="shared" ca="1" si="10"/>
        <v>286.41496653630958</v>
      </c>
      <c r="AE54" s="608">
        <f t="shared" ca="1" si="10"/>
        <v>333.4447763208334</v>
      </c>
      <c r="AF54" s="608">
        <f t="shared" ca="1" si="10"/>
        <v>369.56032687916678</v>
      </c>
      <c r="AG54" s="608">
        <f t="shared" ca="1" si="10"/>
        <v>416.28947535416677</v>
      </c>
      <c r="AH54" s="171"/>
      <c r="AI54" s="70" t="s">
        <v>1053</v>
      </c>
    </row>
    <row r="55" spans="3:35">
      <c r="C55" s="169"/>
      <c r="F55" s="70" t="s">
        <v>89</v>
      </c>
      <c r="J55" s="608"/>
      <c r="K55" s="608"/>
      <c r="L55" s="608"/>
      <c r="M55" s="608"/>
      <c r="N55" s="608"/>
      <c r="O55" s="608"/>
      <c r="P55" s="608"/>
      <c r="Q55" s="608"/>
      <c r="R55" s="608"/>
      <c r="S55" s="349"/>
      <c r="T55" s="349"/>
      <c r="U55" s="349"/>
      <c r="V55" s="349"/>
      <c r="W55" s="349"/>
      <c r="X55" s="608">
        <f>+Summary_FO!X19</f>
        <v>54.123402999999996</v>
      </c>
      <c r="Y55" s="608">
        <f>+Summary_FO!Y19</f>
        <v>58.27920000000001</v>
      </c>
      <c r="Z55" s="608">
        <f>+Summary_FO!Z19</f>
        <v>44.128900000000002</v>
      </c>
      <c r="AA55" s="608">
        <f>+Summary_FO!AA19</f>
        <v>51.032827000000012</v>
      </c>
      <c r="AB55" s="608">
        <f>+Summary_FO!AB19</f>
        <v>72.166600000000003</v>
      </c>
      <c r="AC55" s="608">
        <f>+Summary_FO!AC19</f>
        <v>64.378999999999991</v>
      </c>
      <c r="AD55" s="608">
        <f>+Summary_FO!AD19</f>
        <v>62.098999999999997</v>
      </c>
      <c r="AE55" s="608">
        <f>+Summary_FO!AE19</f>
        <v>52.566000000000003</v>
      </c>
      <c r="AF55" s="608">
        <f>+Summary_FO!AF19</f>
        <v>64.248999999999995</v>
      </c>
      <c r="AG55" s="608">
        <f>+Summary_FO!AG19</f>
        <v>54.248999999999995</v>
      </c>
      <c r="AH55" s="171"/>
      <c r="AI55" s="70" t="s">
        <v>1053</v>
      </c>
    </row>
    <row r="56" spans="3:35">
      <c r="C56" s="169"/>
      <c r="F56" s="70" t="s">
        <v>90</v>
      </c>
      <c r="J56" s="608"/>
      <c r="K56" s="608"/>
      <c r="L56" s="608"/>
      <c r="M56" s="608"/>
      <c r="N56" s="608"/>
      <c r="O56" s="608"/>
      <c r="P56" s="608"/>
      <c r="Q56" s="608"/>
      <c r="R56" s="608"/>
      <c r="S56" s="349"/>
      <c r="T56" s="349"/>
      <c r="U56" s="349"/>
      <c r="V56" s="349"/>
      <c r="W56" s="349"/>
      <c r="X56" s="608">
        <f>+Summary_FO!X21</f>
        <v>4.3159999999999998</v>
      </c>
      <c r="Y56" s="608">
        <f>+Summary_FO!Y21</f>
        <v>4.38</v>
      </c>
      <c r="Z56" s="608">
        <f>+Summary_FO!Z21</f>
        <v>4.4459999999999997</v>
      </c>
      <c r="AA56" s="608">
        <f>+Summary_FO!AA21</f>
        <v>4.5140000000000002</v>
      </c>
      <c r="AB56" s="608">
        <f>+Summary_FO!AB21</f>
        <v>4.5839999999999996</v>
      </c>
      <c r="AC56" s="608">
        <f>+Summary_FO!AC21</f>
        <v>4.6559999999999997</v>
      </c>
      <c r="AD56" s="608">
        <f>+Summary_FO!AD21</f>
        <v>4.7300000000000004</v>
      </c>
      <c r="AE56" s="608">
        <f>+Summary_FO!AE21</f>
        <v>4.806</v>
      </c>
      <c r="AF56" s="608">
        <f>+Summary_FO!AF21</f>
        <v>4.883</v>
      </c>
      <c r="AG56" s="608">
        <f>+Summary_FO!AG21</f>
        <v>4.9640000000000004</v>
      </c>
      <c r="AH56" s="171"/>
      <c r="AI56" s="70" t="s">
        <v>1053</v>
      </c>
    </row>
    <row r="57" spans="3:35">
      <c r="C57" s="169"/>
      <c r="F57" s="70" t="s">
        <v>91</v>
      </c>
      <c r="J57" s="608"/>
      <c r="K57" s="608"/>
      <c r="L57" s="608"/>
      <c r="M57" s="608"/>
      <c r="N57" s="608"/>
      <c r="O57" s="608"/>
      <c r="P57" s="608"/>
      <c r="Q57" s="608"/>
      <c r="R57" s="608"/>
      <c r="S57" s="349"/>
      <c r="T57" s="349"/>
      <c r="U57" s="349"/>
      <c r="V57" s="349"/>
      <c r="W57" s="349"/>
      <c r="X57" s="608">
        <f>+Summary_FO!X20</f>
        <v>1</v>
      </c>
      <c r="Y57" s="608">
        <f>+Summary_FO!Y20</f>
        <v>3.0949999999999998</v>
      </c>
      <c r="Z57" s="608">
        <f>+Summary_FO!Z20</f>
        <v>0.40500000000000003</v>
      </c>
      <c r="AA57" s="608">
        <f>+Summary_FO!AA20</f>
        <v>0</v>
      </c>
      <c r="AB57" s="608">
        <f>+Summary_FO!AB20</f>
        <v>0</v>
      </c>
      <c r="AC57" s="608">
        <f>+Summary_FO!AC20</f>
        <v>0</v>
      </c>
      <c r="AD57" s="608">
        <f>+Summary_FO!AD20</f>
        <v>0</v>
      </c>
      <c r="AE57" s="608">
        <f>+Summary_FO!AE20</f>
        <v>0</v>
      </c>
      <c r="AF57" s="608">
        <f>+Summary_FO!AF20</f>
        <v>0</v>
      </c>
      <c r="AG57" s="608">
        <f>+Summary_FO!AG20</f>
        <v>0</v>
      </c>
      <c r="AH57" s="171"/>
      <c r="AI57" s="70" t="s">
        <v>1053</v>
      </c>
    </row>
    <row r="58" spans="3:35">
      <c r="C58" s="192"/>
      <c r="D58" s="74"/>
      <c r="E58" s="74"/>
      <c r="F58" s="74" t="s">
        <v>86</v>
      </c>
      <c r="G58" s="74"/>
      <c r="H58" s="74"/>
      <c r="I58" s="74"/>
      <c r="J58" s="608"/>
      <c r="K58" s="608"/>
      <c r="L58" s="608"/>
      <c r="M58" s="608"/>
      <c r="N58" s="608"/>
      <c r="O58" s="608"/>
      <c r="P58" s="608"/>
      <c r="Q58" s="608"/>
      <c r="R58" s="608"/>
      <c r="S58" s="349"/>
      <c r="T58" s="349"/>
      <c r="U58" s="349"/>
      <c r="V58" s="349"/>
      <c r="W58" s="349"/>
      <c r="X58" s="378">
        <f ca="1">+RollForward_FO!X16</f>
        <v>0.6192405636904762</v>
      </c>
      <c r="Y58" s="378">
        <f ca="1">+RollForward_FO!Y16</f>
        <v>2.0217674369047618</v>
      </c>
      <c r="Z58" s="378">
        <f ca="1">+RollForward_FO!Z16</f>
        <v>3.5528533892857141</v>
      </c>
      <c r="AA58" s="378">
        <f ca="1">+RollForward_FO!AA16</f>
        <v>4.7031143416666641</v>
      </c>
      <c r="AB58" s="378">
        <f ca="1">+RollForward_FO!AB16</f>
        <v>6.5771201357142832</v>
      </c>
      <c r="AC58" s="378">
        <f ca="1">+RollForward_FO!AC16</f>
        <v>8.8248675964285717</v>
      </c>
      <c r="AD58" s="378">
        <f ca="1">+RollForward_FO!AD16</f>
        <v>10.33919021547619</v>
      </c>
      <c r="AE58" s="378">
        <f ca="1">+RollForward_FO!AE16</f>
        <v>11.644449441666668</v>
      </c>
      <c r="AF58" s="378">
        <f ca="1">+RollForward_FO!AF16</f>
        <v>12.636851525000001</v>
      </c>
      <c r="AG58" s="378">
        <f ca="1">+RollForward_FO!AG16</f>
        <v>14.099876525000004</v>
      </c>
      <c r="AH58" s="171"/>
      <c r="AI58" s="70" t="s">
        <v>1053</v>
      </c>
    </row>
    <row r="59" spans="3:35">
      <c r="C59" s="169"/>
      <c r="F59" s="70" t="s">
        <v>269</v>
      </c>
      <c r="J59" s="378"/>
      <c r="K59" s="378"/>
      <c r="L59" s="378"/>
      <c r="M59" s="378"/>
      <c r="N59" s="378"/>
      <c r="O59" s="378"/>
      <c r="P59" s="378"/>
      <c r="Q59" s="378"/>
      <c r="R59" s="378"/>
      <c r="S59" s="349"/>
      <c r="T59" s="349"/>
      <c r="U59" s="349"/>
      <c r="V59" s="349"/>
      <c r="W59" s="349"/>
      <c r="X59" s="378">
        <v>0</v>
      </c>
      <c r="Y59" s="378">
        <v>0</v>
      </c>
      <c r="Z59" s="378">
        <v>0</v>
      </c>
      <c r="AA59" s="378">
        <v>0</v>
      </c>
      <c r="AB59" s="378">
        <v>0</v>
      </c>
      <c r="AC59" s="378">
        <v>0</v>
      </c>
      <c r="AD59" s="378">
        <v>0</v>
      </c>
      <c r="AE59" s="378">
        <v>0</v>
      </c>
      <c r="AF59" s="378">
        <v>0</v>
      </c>
      <c r="AG59" s="378">
        <v>0</v>
      </c>
      <c r="AH59" s="171"/>
      <c r="AI59" s="70" t="s">
        <v>1053</v>
      </c>
    </row>
    <row r="60" spans="3:35">
      <c r="C60" s="169"/>
      <c r="F60" s="70" t="s">
        <v>65</v>
      </c>
      <c r="J60" s="608"/>
      <c r="K60" s="608"/>
      <c r="L60" s="608"/>
      <c r="M60" s="608"/>
      <c r="N60" s="608"/>
      <c r="O60" s="659"/>
      <c r="P60" s="659"/>
      <c r="Q60" s="659"/>
      <c r="R60" s="659"/>
      <c r="S60" s="401"/>
      <c r="T60" s="401"/>
      <c r="U60" s="401"/>
      <c r="V60" s="401"/>
      <c r="W60" s="401"/>
      <c r="X60" s="659">
        <f t="shared" ref="X60:AG60" ca="1" si="11">+SUM(X54:X55)-SUM(X56:X59)</f>
        <v>48.188162436309518</v>
      </c>
      <c r="Y60" s="659">
        <f t="shared" ca="1" si="11"/>
        <v>96.970594999404767</v>
      </c>
      <c r="Z60" s="659">
        <f t="shared" ca="1" si="11"/>
        <v>132.69564161011908</v>
      </c>
      <c r="AA60" s="659">
        <f t="shared" ca="1" si="11"/>
        <v>174.51135426845241</v>
      </c>
      <c r="AB60" s="659">
        <f t="shared" ca="1" si="11"/>
        <v>235.51683413273815</v>
      </c>
      <c r="AC60" s="659">
        <f t="shared" ca="1" si="11"/>
        <v>286.41496653630958</v>
      </c>
      <c r="AD60" s="659">
        <f t="shared" ca="1" si="11"/>
        <v>333.4447763208334</v>
      </c>
      <c r="AE60" s="659">
        <f t="shared" ca="1" si="11"/>
        <v>369.56032687916678</v>
      </c>
      <c r="AF60" s="659">
        <f t="shared" ca="1" si="11"/>
        <v>416.28947535416677</v>
      </c>
      <c r="AG60" s="659">
        <f t="shared" ca="1" si="11"/>
        <v>451.47459882916672</v>
      </c>
      <c r="AH60" s="171"/>
      <c r="AI60" s="70" t="s">
        <v>1053</v>
      </c>
    </row>
    <row r="61" spans="3:35">
      <c r="C61" s="169"/>
      <c r="J61" s="608"/>
      <c r="K61" s="608"/>
      <c r="L61" s="608"/>
      <c r="M61" s="608"/>
      <c r="N61" s="608"/>
      <c r="O61" s="608"/>
      <c r="P61" s="608"/>
      <c r="Q61" s="608"/>
      <c r="R61" s="608"/>
      <c r="S61" s="349"/>
      <c r="T61" s="349"/>
      <c r="U61" s="349"/>
      <c r="V61" s="349"/>
      <c r="W61" s="349"/>
      <c r="X61" s="608"/>
      <c r="Y61" s="608"/>
      <c r="Z61" s="608"/>
      <c r="AA61" s="608"/>
      <c r="AB61" s="608"/>
      <c r="AC61" s="608"/>
      <c r="AD61" s="608"/>
      <c r="AE61" s="608"/>
      <c r="AF61" s="608"/>
      <c r="AG61" s="608"/>
      <c r="AH61" s="171"/>
    </row>
    <row r="62" spans="3:35">
      <c r="C62" s="169"/>
      <c r="F62" s="70" t="s">
        <v>87</v>
      </c>
      <c r="J62" s="608"/>
      <c r="K62" s="608"/>
      <c r="L62" s="608"/>
      <c r="M62" s="608"/>
      <c r="N62" s="608"/>
      <c r="O62" s="608"/>
      <c r="P62" s="608"/>
      <c r="Q62" s="608"/>
      <c r="R62" s="608"/>
      <c r="S62" s="349"/>
      <c r="T62" s="349"/>
      <c r="U62" s="349"/>
      <c r="V62" s="349"/>
      <c r="W62" s="349"/>
      <c r="X62" s="608">
        <f ca="1">+AVERAGE(X54,X60)</f>
        <v>24.094081218154759</v>
      </c>
      <c r="Y62" s="608">
        <f t="shared" ref="Y62:AG62" ca="1" si="12">+AVERAGE(Y54,Y60)</f>
        <v>72.579378717857139</v>
      </c>
      <c r="Z62" s="608">
        <f t="shared" ca="1" si="12"/>
        <v>114.83311830476192</v>
      </c>
      <c r="AA62" s="608">
        <f t="shared" ca="1" si="12"/>
        <v>153.60349793928575</v>
      </c>
      <c r="AB62" s="608">
        <f t="shared" ca="1" si="12"/>
        <v>205.01409420059528</v>
      </c>
      <c r="AC62" s="608">
        <f t="shared" ca="1" si="12"/>
        <v>260.96590033452389</v>
      </c>
      <c r="AD62" s="608">
        <f t="shared" ca="1" si="12"/>
        <v>309.92987142857146</v>
      </c>
      <c r="AE62" s="608">
        <f t="shared" ca="1" si="12"/>
        <v>351.50255160000006</v>
      </c>
      <c r="AF62" s="608">
        <f t="shared" ca="1" si="12"/>
        <v>392.92490111666677</v>
      </c>
      <c r="AG62" s="608">
        <f t="shared" ca="1" si="12"/>
        <v>433.88203709166675</v>
      </c>
      <c r="AH62" s="171"/>
      <c r="AI62" s="70" t="s">
        <v>1053</v>
      </c>
    </row>
    <row r="63" spans="3:35">
      <c r="C63" s="169"/>
      <c r="J63" s="608"/>
      <c r="K63" s="608"/>
      <c r="L63" s="608"/>
      <c r="M63" s="608"/>
      <c r="N63" s="608"/>
      <c r="O63" s="608"/>
      <c r="P63" s="608"/>
      <c r="Q63" s="608"/>
      <c r="R63" s="608"/>
      <c r="S63" s="349"/>
      <c r="T63" s="349"/>
      <c r="U63" s="349"/>
      <c r="V63" s="349"/>
      <c r="W63" s="349"/>
      <c r="X63" s="608"/>
      <c r="Y63" s="608"/>
      <c r="Z63" s="608"/>
      <c r="AA63" s="608"/>
      <c r="AB63" s="608"/>
      <c r="AC63" s="608"/>
      <c r="AD63" s="608"/>
      <c r="AE63" s="608"/>
      <c r="AF63" s="608"/>
      <c r="AG63" s="608"/>
      <c r="AH63" s="171"/>
    </row>
    <row r="64" spans="3:35">
      <c r="C64" s="169"/>
      <c r="F64" s="70" t="s">
        <v>93</v>
      </c>
      <c r="J64" s="608"/>
      <c r="K64" s="608"/>
      <c r="L64" s="608"/>
      <c r="M64" s="608"/>
      <c r="N64" s="608"/>
      <c r="O64" s="608"/>
      <c r="P64" s="608"/>
      <c r="Q64" s="608"/>
      <c r="R64" s="608"/>
      <c r="S64" s="349"/>
      <c r="T64" s="349"/>
      <c r="U64" s="349"/>
      <c r="V64" s="349"/>
      <c r="W64" s="349"/>
      <c r="X64" s="349">
        <f ca="1">+X62*KeyAssumptionsPriceControl_FO!AF42</f>
        <v>0.67704368223014877</v>
      </c>
      <c r="Y64" s="349">
        <f ca="1">+Y62*KeyAssumptionsPriceControl_FO!AG42</f>
        <v>2.0830281692024997</v>
      </c>
      <c r="Z64" s="349">
        <f ca="1">+Z62*KeyAssumptionsPriceControl_FO!AH42</f>
        <v>3.3875769899904764</v>
      </c>
      <c r="AA64" s="349">
        <f ca="1">+AA62*KeyAssumptionsPriceControl_FO!AI42</f>
        <v>4.6388256377664296</v>
      </c>
      <c r="AB64" s="349">
        <f ca="1">+AB62*KeyAssumptionsPriceControl_FO!AJ42</f>
        <v>6.4784453767388115</v>
      </c>
      <c r="AC64" s="349">
        <f ca="1">+AC62*KeyAssumptionsPriceControl_FO!AK42</f>
        <v>8.6901644811396466</v>
      </c>
      <c r="AD64" s="349">
        <f ca="1">+AD62*KeyAssumptionsPriceControl_FO!AL42</f>
        <v>10.692580564285716</v>
      </c>
      <c r="AE64" s="349">
        <f ca="1">+AE62*KeyAssumptionsPriceControl_FO!AM42</f>
        <v>11.951086754400002</v>
      </c>
      <c r="AF64" s="349">
        <f ca="1">+AF62*KeyAssumptionsPriceControl_FO!AN42</f>
        <v>13.202276677520002</v>
      </c>
      <c r="AG64" s="349">
        <f ca="1">+AG62*KeyAssumptionsPriceControl_FO!AO42</f>
        <v>14.578436446280001</v>
      </c>
      <c r="AH64" s="171"/>
      <c r="AI64" s="70" t="s">
        <v>1053</v>
      </c>
    </row>
    <row r="65" spans="3:35">
      <c r="C65" s="169"/>
      <c r="J65" s="608"/>
      <c r="K65" s="608"/>
      <c r="L65" s="608"/>
      <c r="M65" s="608"/>
      <c r="N65" s="608"/>
      <c r="O65" s="608"/>
      <c r="P65" s="608"/>
      <c r="Q65" s="608"/>
      <c r="R65" s="608"/>
      <c r="S65" s="349"/>
      <c r="T65" s="349"/>
      <c r="U65" s="349"/>
      <c r="V65" s="349"/>
      <c r="W65" s="349"/>
      <c r="X65" s="608"/>
      <c r="Y65" s="608"/>
      <c r="Z65" s="608"/>
      <c r="AA65" s="608"/>
      <c r="AB65" s="608"/>
      <c r="AC65" s="608"/>
      <c r="AD65" s="608"/>
      <c r="AE65" s="608"/>
      <c r="AF65" s="608"/>
      <c r="AG65" s="608"/>
      <c r="AH65" s="171"/>
    </row>
    <row r="66" spans="3:35">
      <c r="C66" s="169"/>
      <c r="E66" s="879" t="s">
        <v>94</v>
      </c>
      <c r="J66" s="609"/>
      <c r="K66" s="609"/>
      <c r="L66" s="609"/>
      <c r="M66" s="609"/>
      <c r="N66" s="609"/>
      <c r="O66" s="609"/>
      <c r="P66" s="609"/>
      <c r="Q66" s="609"/>
      <c r="R66" s="609"/>
      <c r="S66" s="888"/>
      <c r="T66" s="888"/>
      <c r="U66" s="888"/>
      <c r="V66" s="888"/>
      <c r="W66" s="888"/>
      <c r="X66" s="609">
        <f ca="1">+X64+X58</f>
        <v>1.296284245920625</v>
      </c>
      <c r="Y66" s="609">
        <f t="shared" ref="Y66:AG66" ca="1" si="13">+Y64+Y58</f>
        <v>4.1047956061072615</v>
      </c>
      <c r="Z66" s="609">
        <f t="shared" ca="1" si="13"/>
        <v>6.9404303792761901</v>
      </c>
      <c r="AA66" s="609">
        <f t="shared" ca="1" si="13"/>
        <v>9.3419399794330928</v>
      </c>
      <c r="AB66" s="609">
        <f t="shared" ca="1" si="13"/>
        <v>13.055565512453095</v>
      </c>
      <c r="AC66" s="609">
        <f t="shared" ca="1" si="13"/>
        <v>17.515032077568218</v>
      </c>
      <c r="AD66" s="609">
        <f t="shared" ca="1" si="13"/>
        <v>21.031770779761906</v>
      </c>
      <c r="AE66" s="609">
        <f t="shared" ca="1" si="13"/>
        <v>23.595536196066668</v>
      </c>
      <c r="AF66" s="609">
        <f t="shared" ca="1" si="13"/>
        <v>25.839128202520001</v>
      </c>
      <c r="AG66" s="609">
        <f t="shared" ca="1" si="13"/>
        <v>28.678312971280008</v>
      </c>
      <c r="AH66" s="171"/>
      <c r="AI66" s="70" t="s">
        <v>1053</v>
      </c>
    </row>
    <row r="67" spans="3:35">
      <c r="C67" s="169"/>
      <c r="J67" s="608"/>
      <c r="K67" s="608"/>
      <c r="L67" s="608"/>
      <c r="M67" s="608"/>
      <c r="N67" s="608"/>
      <c r="O67" s="608"/>
      <c r="P67" s="608"/>
      <c r="Q67" s="608"/>
      <c r="R67" s="608"/>
      <c r="S67" s="608"/>
      <c r="T67" s="608"/>
      <c r="U67" s="608"/>
      <c r="V67" s="608"/>
      <c r="W67" s="608"/>
      <c r="X67" s="608"/>
      <c r="Y67" s="608"/>
      <c r="Z67" s="608"/>
      <c r="AA67" s="608"/>
      <c r="AB67" s="608"/>
      <c r="AC67" s="608"/>
      <c r="AD67" s="608"/>
      <c r="AE67" s="608"/>
      <c r="AF67" s="608"/>
      <c r="AG67" s="608"/>
      <c r="AH67" s="171"/>
    </row>
    <row r="68" spans="3:35">
      <c r="C68" s="169"/>
      <c r="J68" s="608"/>
      <c r="K68" s="608"/>
      <c r="L68" s="608"/>
      <c r="M68" s="608"/>
      <c r="N68" s="608"/>
      <c r="O68" s="608"/>
      <c r="P68" s="608"/>
      <c r="Q68" s="608"/>
      <c r="R68" s="608"/>
      <c r="S68" s="608"/>
      <c r="T68" s="608"/>
      <c r="U68" s="608"/>
      <c r="V68" s="608"/>
      <c r="W68" s="608"/>
      <c r="X68" s="608"/>
      <c r="Y68" s="608"/>
      <c r="Z68" s="608"/>
      <c r="AA68" s="608"/>
      <c r="AB68" s="608"/>
      <c r="AC68" s="608"/>
      <c r="AD68" s="608"/>
      <c r="AE68" s="608"/>
      <c r="AF68" s="608"/>
      <c r="AG68" s="608"/>
      <c r="AH68" s="171"/>
    </row>
    <row r="69" spans="3:35">
      <c r="C69" s="169"/>
      <c r="E69" s="879" t="s">
        <v>95</v>
      </c>
      <c r="J69" s="349"/>
      <c r="K69" s="349"/>
      <c r="L69" s="349"/>
      <c r="M69" s="349"/>
      <c r="N69" s="349"/>
      <c r="O69" s="349"/>
      <c r="P69" s="349"/>
      <c r="Q69" s="349"/>
      <c r="R69" s="608"/>
      <c r="S69" s="608"/>
      <c r="T69" s="608"/>
      <c r="U69" s="608"/>
      <c r="V69" s="608"/>
      <c r="W69" s="608"/>
      <c r="X69" s="608"/>
      <c r="Y69" s="608"/>
      <c r="Z69" s="608"/>
      <c r="AA69" s="608"/>
      <c r="AB69" s="608"/>
      <c r="AC69" s="608"/>
      <c r="AD69" s="608"/>
      <c r="AE69" s="608"/>
      <c r="AF69" s="608"/>
      <c r="AG69" s="608"/>
      <c r="AH69" s="171"/>
    </row>
    <row r="70" spans="3:35">
      <c r="C70" s="169"/>
      <c r="J70" s="349"/>
      <c r="K70" s="349"/>
      <c r="L70" s="349"/>
      <c r="M70" s="349"/>
      <c r="N70" s="349"/>
      <c r="O70" s="349"/>
      <c r="P70" s="349"/>
      <c r="Q70" s="349"/>
      <c r="R70" s="608"/>
      <c r="S70" s="608"/>
      <c r="T70" s="608"/>
      <c r="U70" s="608"/>
      <c r="V70" s="608"/>
      <c r="W70" s="608"/>
      <c r="X70" s="608"/>
      <c r="Y70" s="608"/>
      <c r="Z70" s="608"/>
      <c r="AA70" s="608"/>
      <c r="AB70" s="608"/>
      <c r="AC70" s="608"/>
      <c r="AD70" s="608"/>
      <c r="AE70" s="608"/>
      <c r="AF70" s="608"/>
      <c r="AG70" s="608"/>
      <c r="AH70" s="171"/>
    </row>
    <row r="71" spans="3:35">
      <c r="C71" s="169"/>
      <c r="F71" s="70" t="s">
        <v>85</v>
      </c>
      <c r="J71" s="349"/>
      <c r="K71" s="349"/>
      <c r="L71" s="349"/>
      <c r="M71" s="349"/>
      <c r="N71" s="349"/>
      <c r="O71" s="1861">
        <f>+O37</f>
        <v>336.75998611345227</v>
      </c>
      <c r="P71" s="378">
        <f>+O78</f>
        <v>344.71089538050893</v>
      </c>
      <c r="Q71" s="378">
        <f>+P78</f>
        <v>346.67654130320284</v>
      </c>
      <c r="R71" s="378">
        <f>+Q78</f>
        <v>360.42824661396583</v>
      </c>
      <c r="S71" s="378">
        <f t="shared" ref="S71:AF71" si="14">+R78</f>
        <v>373.43126920151866</v>
      </c>
      <c r="T71" s="378">
        <f t="shared" si="14"/>
        <v>407.60440691158357</v>
      </c>
      <c r="U71" s="378">
        <f t="shared" si="14"/>
        <v>427.91464625980456</v>
      </c>
      <c r="V71" s="378">
        <f t="shared" si="14"/>
        <v>454.19275262699648</v>
      </c>
      <c r="W71" s="378">
        <f t="shared" si="14"/>
        <v>516.37143299877437</v>
      </c>
      <c r="X71" s="378">
        <f t="shared" si="14"/>
        <v>512.60235118726871</v>
      </c>
      <c r="Y71" s="378">
        <f t="shared" ca="1" si="14"/>
        <v>541.00081247324897</v>
      </c>
      <c r="Z71" s="378">
        <f t="shared" ca="1" si="14"/>
        <v>569.993543886015</v>
      </c>
      <c r="AA71" s="378">
        <f t="shared" ca="1" si="14"/>
        <v>585.92888934640007</v>
      </c>
      <c r="AB71" s="378">
        <f t="shared" ca="1" si="14"/>
        <v>607.95490085440417</v>
      </c>
      <c r="AC71" s="378">
        <f t="shared" ca="1" si="14"/>
        <v>649.1706795683607</v>
      </c>
      <c r="AD71" s="378">
        <f t="shared" ca="1" si="14"/>
        <v>680.2791108216029</v>
      </c>
      <c r="AE71" s="378">
        <f t="shared" ca="1" si="14"/>
        <v>707.5192194557975</v>
      </c>
      <c r="AF71" s="378">
        <f t="shared" ca="1" si="14"/>
        <v>723.84506886380166</v>
      </c>
      <c r="AG71" s="378">
        <f ca="1">+AF78</f>
        <v>750.78451618847248</v>
      </c>
      <c r="AH71" s="171"/>
      <c r="AI71" s="70" t="s">
        <v>1053</v>
      </c>
    </row>
    <row r="72" spans="3:35">
      <c r="C72" s="169"/>
      <c r="F72" s="70" t="s">
        <v>89</v>
      </c>
      <c r="J72" s="349"/>
      <c r="K72" s="349"/>
      <c r="L72" s="349"/>
      <c r="M72" s="349"/>
      <c r="N72" s="349"/>
      <c r="O72" s="378">
        <f>+O55+O38</f>
        <v>23.432855397285067</v>
      </c>
      <c r="P72" s="378">
        <f>+P55+P38</f>
        <v>17.851385599023089</v>
      </c>
      <c r="Q72" s="378">
        <f t="shared" ref="O72:Q76" si="15">+Q55+Q38</f>
        <v>29.564081300613495</v>
      </c>
      <c r="R72" s="378">
        <f t="shared" ref="R72:W72" si="16">+R55+R38</f>
        <v>30.752784326655227</v>
      </c>
      <c r="S72" s="378">
        <f t="shared" si="16"/>
        <v>50.947665715012718</v>
      </c>
      <c r="T72" s="378">
        <f t="shared" si="16"/>
        <v>38.549908669491515</v>
      </c>
      <c r="U72" s="378">
        <f t="shared" si="16"/>
        <v>45.534034847285071</v>
      </c>
      <c r="V72" s="378">
        <f t="shared" si="16"/>
        <v>81.634957360502185</v>
      </c>
      <c r="W72" s="378">
        <f t="shared" si="16"/>
        <v>13.967881085972849</v>
      </c>
      <c r="X72" s="378">
        <f t="shared" ref="X72:AB76" si="17">+X55+X38</f>
        <v>54.123402999999996</v>
      </c>
      <c r="Y72" s="378">
        <f t="shared" si="17"/>
        <v>58.27920000000001</v>
      </c>
      <c r="Z72" s="378">
        <f t="shared" si="17"/>
        <v>44.128900000000002</v>
      </c>
      <c r="AA72" s="378">
        <f t="shared" si="17"/>
        <v>51.032827000000012</v>
      </c>
      <c r="AB72" s="378">
        <f t="shared" si="17"/>
        <v>72.166600000000003</v>
      </c>
      <c r="AC72" s="378">
        <f t="shared" ref="AC72:AG76" si="18">+AC55+AC38</f>
        <v>64.378999999999991</v>
      </c>
      <c r="AD72" s="378">
        <f t="shared" si="18"/>
        <v>62.098999999999997</v>
      </c>
      <c r="AE72" s="378">
        <f t="shared" si="18"/>
        <v>52.566000000000003</v>
      </c>
      <c r="AF72" s="378">
        <f t="shared" si="18"/>
        <v>64.248999999999995</v>
      </c>
      <c r="AG72" s="378">
        <f t="shared" si="18"/>
        <v>54.248999999999995</v>
      </c>
      <c r="AH72" s="171"/>
      <c r="AI72" s="70" t="s">
        <v>1053</v>
      </c>
    </row>
    <row r="73" spans="3:35">
      <c r="C73" s="169"/>
      <c r="F73" s="70" t="s">
        <v>90</v>
      </c>
      <c r="J73" s="349"/>
      <c r="K73" s="349"/>
      <c r="L73" s="349"/>
      <c r="M73" s="349"/>
      <c r="N73" s="349"/>
      <c r="O73" s="378">
        <f t="shared" si="15"/>
        <v>2.6926542081447966</v>
      </c>
      <c r="P73" s="378">
        <f t="shared" si="15"/>
        <v>3.2700879218472467</v>
      </c>
      <c r="Q73" s="378">
        <f t="shared" si="15"/>
        <v>3.1617423312883437</v>
      </c>
      <c r="R73" s="378">
        <f t="shared" ref="R73:W73" si="19">+R56+R39</f>
        <v>4.3923499142367071</v>
      </c>
      <c r="S73" s="378">
        <f t="shared" si="19"/>
        <v>3.4429134860050885</v>
      </c>
      <c r="T73" s="378">
        <f t="shared" si="19"/>
        <v>4.3686271186440671</v>
      </c>
      <c r="U73" s="378">
        <f t="shared" si="19"/>
        <v>4.1053416289592759</v>
      </c>
      <c r="V73" s="378">
        <f t="shared" si="19"/>
        <v>4.3860122227074232</v>
      </c>
      <c r="W73" s="378">
        <f t="shared" si="19"/>
        <v>3.5</v>
      </c>
      <c r="X73" s="378">
        <f t="shared" si="17"/>
        <v>4.3159999999999998</v>
      </c>
      <c r="Y73" s="378">
        <f t="shared" si="17"/>
        <v>4.38</v>
      </c>
      <c r="Z73" s="378">
        <f t="shared" si="17"/>
        <v>4.4459999999999997</v>
      </c>
      <c r="AA73" s="378">
        <f t="shared" si="17"/>
        <v>4.5140000000000002</v>
      </c>
      <c r="AB73" s="378">
        <f t="shared" si="17"/>
        <v>4.5839999999999996</v>
      </c>
      <c r="AC73" s="378">
        <f t="shared" si="18"/>
        <v>4.6559999999999997</v>
      </c>
      <c r="AD73" s="378">
        <f t="shared" si="18"/>
        <v>4.7300000000000004</v>
      </c>
      <c r="AE73" s="378">
        <f t="shared" si="18"/>
        <v>4.806</v>
      </c>
      <c r="AF73" s="378">
        <f t="shared" si="18"/>
        <v>4.883</v>
      </c>
      <c r="AG73" s="378">
        <f t="shared" si="18"/>
        <v>4.9640000000000004</v>
      </c>
      <c r="AH73" s="171"/>
      <c r="AI73" s="70" t="s">
        <v>1053</v>
      </c>
    </row>
    <row r="74" spans="3:35">
      <c r="C74" s="169"/>
      <c r="F74" s="70" t="s">
        <v>91</v>
      </c>
      <c r="J74" s="349"/>
      <c r="K74" s="349"/>
      <c r="L74" s="349"/>
      <c r="M74" s="349"/>
      <c r="N74" s="349"/>
      <c r="O74" s="378">
        <f t="shared" si="15"/>
        <v>0</v>
      </c>
      <c r="P74" s="378">
        <f t="shared" si="15"/>
        <v>0</v>
      </c>
      <c r="Q74" s="378">
        <f t="shared" si="15"/>
        <v>0</v>
      </c>
      <c r="R74" s="378">
        <f t="shared" ref="R74:W74" si="20">+R57+R40</f>
        <v>0.43440823327615774</v>
      </c>
      <c r="S74" s="378">
        <f t="shared" si="20"/>
        <v>0.286412213740458</v>
      </c>
      <c r="T74" s="378">
        <f t="shared" si="20"/>
        <v>0.22711864406779658</v>
      </c>
      <c r="U74" s="378">
        <f t="shared" si="20"/>
        <v>1.0488834841628958</v>
      </c>
      <c r="V74" s="378">
        <f t="shared" si="20"/>
        <v>1.3501670305676856</v>
      </c>
      <c r="W74" s="378">
        <f t="shared" si="20"/>
        <v>0</v>
      </c>
      <c r="X74" s="378">
        <f t="shared" si="17"/>
        <v>1</v>
      </c>
      <c r="Y74" s="378">
        <f t="shared" si="17"/>
        <v>3.0949999999999998</v>
      </c>
      <c r="Z74" s="378">
        <f t="shared" si="17"/>
        <v>0.40500000000000003</v>
      </c>
      <c r="AA74" s="378">
        <f t="shared" si="17"/>
        <v>0</v>
      </c>
      <c r="AB74" s="378">
        <f t="shared" si="17"/>
        <v>0</v>
      </c>
      <c r="AC74" s="378">
        <f t="shared" si="18"/>
        <v>0</v>
      </c>
      <c r="AD74" s="378">
        <f t="shared" si="18"/>
        <v>0</v>
      </c>
      <c r="AE74" s="378">
        <f t="shared" si="18"/>
        <v>0</v>
      </c>
      <c r="AF74" s="378">
        <f t="shared" si="18"/>
        <v>0</v>
      </c>
      <c r="AG74" s="378">
        <f t="shared" si="18"/>
        <v>0</v>
      </c>
      <c r="AH74" s="171"/>
      <c r="AI74" s="70" t="s">
        <v>1053</v>
      </c>
    </row>
    <row r="75" spans="3:35">
      <c r="C75" s="169"/>
      <c r="F75" s="70" t="s">
        <v>86</v>
      </c>
      <c r="J75" s="349"/>
      <c r="K75" s="349"/>
      <c r="L75" s="349"/>
      <c r="M75" s="349"/>
      <c r="N75" s="349"/>
      <c r="O75" s="378">
        <f>+O58+O41</f>
        <v>12.147547125703566</v>
      </c>
      <c r="P75" s="378">
        <f t="shared" si="15"/>
        <v>11.789695271355818</v>
      </c>
      <c r="Q75" s="378">
        <f t="shared" si="15"/>
        <v>11.990909732181787</v>
      </c>
      <c r="R75" s="378">
        <f t="shared" ref="R75:W75" si="21">+R58+R41</f>
        <v>12.395680263973748</v>
      </c>
      <c r="S75" s="378">
        <f t="shared" si="21"/>
        <v>12.857840982047037</v>
      </c>
      <c r="T75" s="378">
        <f t="shared" si="21"/>
        <v>13.434974406016295</v>
      </c>
      <c r="U75" s="378">
        <f t="shared" si="21"/>
        <v>13.579649068328413</v>
      </c>
      <c r="V75" s="378">
        <f t="shared" si="21"/>
        <v>13.687515547676249</v>
      </c>
      <c r="W75" s="378">
        <f t="shared" si="21"/>
        <v>13.736962897478495</v>
      </c>
      <c r="X75" s="378">
        <f t="shared" ca="1" si="17"/>
        <v>19.908941714019697</v>
      </c>
      <c r="Y75" s="378">
        <f t="shared" ca="1" si="17"/>
        <v>21.311468587233982</v>
      </c>
      <c r="Z75" s="378">
        <f t="shared" ca="1" si="17"/>
        <v>22.842554539614937</v>
      </c>
      <c r="AA75" s="378">
        <f t="shared" ca="1" si="17"/>
        <v>23.992815491995884</v>
      </c>
      <c r="AB75" s="378">
        <f t="shared" ca="1" si="17"/>
        <v>25.866821286043503</v>
      </c>
      <c r="AC75" s="378">
        <f t="shared" ca="1" si="18"/>
        <v>28.114568746757794</v>
      </c>
      <c r="AD75" s="378">
        <f t="shared" ca="1" si="18"/>
        <v>29.628891365805412</v>
      </c>
      <c r="AE75" s="378">
        <f t="shared" ca="1" si="18"/>
        <v>30.934150591995888</v>
      </c>
      <c r="AF75" s="378">
        <f t="shared" ca="1" si="18"/>
        <v>31.926552675329223</v>
      </c>
      <c r="AG75" s="378">
        <f t="shared" ca="1" si="18"/>
        <v>33.389577675329228</v>
      </c>
      <c r="AH75" s="171"/>
      <c r="AI75" s="70" t="s">
        <v>1053</v>
      </c>
    </row>
    <row r="76" spans="3:35">
      <c r="C76" s="169"/>
      <c r="F76" s="70" t="s">
        <v>92</v>
      </c>
      <c r="J76" s="349"/>
      <c r="K76" s="349"/>
      <c r="L76" s="349"/>
      <c r="M76" s="349"/>
      <c r="N76" s="349"/>
      <c r="O76" s="378">
        <f>+O59+O42</f>
        <v>0.64174479638009041</v>
      </c>
      <c r="P76" s="378">
        <f t="shared" si="15"/>
        <v>0.82595648312611014</v>
      </c>
      <c r="Q76" s="378">
        <f t="shared" si="15"/>
        <v>0.65972392638036814</v>
      </c>
      <c r="R76" s="378">
        <f t="shared" ref="R76:W76" si="22">+R59+R42</f>
        <v>0.52732332761578038</v>
      </c>
      <c r="S76" s="378">
        <f t="shared" si="22"/>
        <v>0.18736132315521628</v>
      </c>
      <c r="T76" s="378">
        <f t="shared" si="22"/>
        <v>0.20894915254237284</v>
      </c>
      <c r="U76" s="378">
        <f t="shared" si="22"/>
        <v>0.52205429864253394</v>
      </c>
      <c r="V76" s="378">
        <f t="shared" si="22"/>
        <v>3.2582187772925757E-2</v>
      </c>
      <c r="W76" s="378">
        <f t="shared" si="22"/>
        <v>0.5</v>
      </c>
      <c r="X76" s="378">
        <f t="shared" si="17"/>
        <v>0.5</v>
      </c>
      <c r="Y76" s="378">
        <f t="shared" si="17"/>
        <v>0.5</v>
      </c>
      <c r="Z76" s="378">
        <f t="shared" si="17"/>
        <v>0.5</v>
      </c>
      <c r="AA76" s="378">
        <f t="shared" si="17"/>
        <v>0.5</v>
      </c>
      <c r="AB76" s="378">
        <f t="shared" si="17"/>
        <v>0.5</v>
      </c>
      <c r="AC76" s="378">
        <f t="shared" si="18"/>
        <v>0.5</v>
      </c>
      <c r="AD76" s="378">
        <f t="shared" si="18"/>
        <v>0.5</v>
      </c>
      <c r="AE76" s="378">
        <f t="shared" si="18"/>
        <v>0.5</v>
      </c>
      <c r="AF76" s="378">
        <f t="shared" si="18"/>
        <v>0.5</v>
      </c>
      <c r="AG76" s="378">
        <f t="shared" si="18"/>
        <v>0.5</v>
      </c>
      <c r="AH76" s="171"/>
      <c r="AI76" s="70" t="s">
        <v>1053</v>
      </c>
    </row>
    <row r="77" spans="3:35">
      <c r="C77" s="169"/>
      <c r="J77" s="123"/>
      <c r="K77" s="123"/>
      <c r="L77" s="123"/>
      <c r="M77" s="123"/>
      <c r="N77" s="123"/>
      <c r="O77" s="128"/>
      <c r="P77" s="128"/>
      <c r="Q77" s="128"/>
      <c r="R77" s="128"/>
      <c r="S77" s="128"/>
      <c r="T77" s="128"/>
      <c r="U77" s="128"/>
      <c r="V77" s="128"/>
      <c r="W77" s="128"/>
      <c r="X77" s="128"/>
      <c r="Y77" s="128"/>
      <c r="Z77" s="128"/>
      <c r="AA77" s="128"/>
      <c r="AB77" s="128"/>
      <c r="AC77" s="128"/>
      <c r="AD77" s="128"/>
      <c r="AE77" s="128"/>
      <c r="AF77" s="128"/>
      <c r="AG77" s="128"/>
      <c r="AH77" s="171"/>
    </row>
    <row r="78" spans="3:35">
      <c r="C78" s="169"/>
      <c r="E78" s="879" t="s">
        <v>95</v>
      </c>
      <c r="G78" s="104"/>
      <c r="H78" s="104"/>
      <c r="I78" s="104"/>
      <c r="J78" s="888"/>
      <c r="K78" s="888"/>
      <c r="L78" s="888"/>
      <c r="M78" s="888"/>
      <c r="N78" s="888"/>
      <c r="O78" s="609">
        <f>+SUM(O71:O72)-SUM(O73:O76)</f>
        <v>344.71089538050893</v>
      </c>
      <c r="P78" s="609">
        <f>+SUM(P71:P72)-SUM(P73:P76)</f>
        <v>346.67654130320284</v>
      </c>
      <c r="Q78" s="609">
        <f>+SUM(Q71:Q72)-SUM(Q73:Q76)</f>
        <v>360.42824661396583</v>
      </c>
      <c r="R78" s="609">
        <f t="shared" ref="R78:W78" si="23">+SUM(R71:R72)-SUM(R73:R76)</f>
        <v>373.43126920151866</v>
      </c>
      <c r="S78" s="609">
        <f t="shared" si="23"/>
        <v>407.60440691158357</v>
      </c>
      <c r="T78" s="609">
        <f t="shared" si="23"/>
        <v>427.91464625980456</v>
      </c>
      <c r="U78" s="609">
        <f t="shared" si="23"/>
        <v>454.19275262699648</v>
      </c>
      <c r="V78" s="609">
        <f t="shared" si="23"/>
        <v>516.37143299877437</v>
      </c>
      <c r="W78" s="609">
        <f t="shared" si="23"/>
        <v>512.60235118726871</v>
      </c>
      <c r="X78" s="609">
        <f t="shared" ref="X78:AG78" ca="1" si="24">+SUM(X71:X72)-SUM(X73:X76)</f>
        <v>541.00081247324897</v>
      </c>
      <c r="Y78" s="609">
        <f t="shared" ca="1" si="24"/>
        <v>569.993543886015</v>
      </c>
      <c r="Z78" s="609">
        <f t="shared" ca="1" si="24"/>
        <v>585.92888934640007</v>
      </c>
      <c r="AA78" s="609">
        <f t="shared" ca="1" si="24"/>
        <v>607.95490085440417</v>
      </c>
      <c r="AB78" s="609">
        <f t="shared" ca="1" si="24"/>
        <v>649.1706795683607</v>
      </c>
      <c r="AC78" s="609">
        <f t="shared" ca="1" si="24"/>
        <v>680.2791108216029</v>
      </c>
      <c r="AD78" s="609">
        <f t="shared" ca="1" si="24"/>
        <v>707.5192194557975</v>
      </c>
      <c r="AE78" s="609">
        <f t="shared" ca="1" si="24"/>
        <v>723.84506886380166</v>
      </c>
      <c r="AF78" s="609">
        <f t="shared" ca="1" si="24"/>
        <v>750.78451618847248</v>
      </c>
      <c r="AG78" s="609">
        <f t="shared" ca="1" si="24"/>
        <v>766.17993851314327</v>
      </c>
      <c r="AH78" s="171"/>
      <c r="AI78" s="70" t="s">
        <v>1053</v>
      </c>
    </row>
    <row r="79" spans="3:35">
      <c r="C79" s="169"/>
      <c r="J79" s="349"/>
      <c r="K79" s="349"/>
      <c r="L79" s="349"/>
      <c r="M79" s="349"/>
      <c r="N79" s="349"/>
      <c r="O79" s="889">
        <f>+RollForward_FO!O30</f>
        <v>344.71089538050893</v>
      </c>
      <c r="P79" s="889">
        <f>+RollForward_FO!P30</f>
        <v>346.67654130320284</v>
      </c>
      <c r="Q79" s="889">
        <f>+RollForward_FO!Q30</f>
        <v>360.42824661396583</v>
      </c>
      <c r="R79" s="889">
        <f>+RollForward_FO!R30</f>
        <v>373.43126920151866</v>
      </c>
      <c r="S79" s="889">
        <f>+RollForward_FO!S30</f>
        <v>407.60440691158357</v>
      </c>
      <c r="T79" s="889">
        <f>+RollForward_FO!T30</f>
        <v>427.91464625980456</v>
      </c>
      <c r="U79" s="889">
        <f>+RollForward_FO!U30</f>
        <v>454.19275262699648</v>
      </c>
      <c r="V79" s="889">
        <f>+RollForward_FO!V30</f>
        <v>516.37143299877437</v>
      </c>
      <c r="W79" s="889">
        <f>+RollForward_FO!W30</f>
        <v>512.60235118726871</v>
      </c>
      <c r="X79" s="889">
        <f ca="1">+RollForward_FO!X30</f>
        <v>541.00081247324897</v>
      </c>
      <c r="Y79" s="889">
        <f ca="1">+RollForward_FO!Y30</f>
        <v>569.993543886015</v>
      </c>
      <c r="Z79" s="889">
        <f ca="1">+RollForward_FO!Z30</f>
        <v>585.92888934640007</v>
      </c>
      <c r="AA79" s="889">
        <f ca="1">+RollForward_FO!AA30</f>
        <v>607.95490085440417</v>
      </c>
      <c r="AB79" s="889">
        <f ca="1">+RollForward_FO!AB30</f>
        <v>649.1706795683607</v>
      </c>
      <c r="AC79" s="889">
        <f ca="1">+RollForward_FO!AC30</f>
        <v>680.2791108216029</v>
      </c>
      <c r="AD79" s="889">
        <f ca="1">+RollForward_FO!AD30</f>
        <v>707.5192194557975</v>
      </c>
      <c r="AE79" s="889">
        <f ca="1">+RollForward_FO!AE30</f>
        <v>723.84506886380166</v>
      </c>
      <c r="AF79" s="889">
        <f ca="1">+RollForward_FO!AF30</f>
        <v>750.78451618847248</v>
      </c>
      <c r="AG79" s="889">
        <f ca="1">+RollForward_FO!AG30</f>
        <v>766.17993851314327</v>
      </c>
      <c r="AH79" s="171"/>
      <c r="AI79" s="70" t="s">
        <v>1053</v>
      </c>
    </row>
    <row r="80" spans="3:35">
      <c r="C80" s="169"/>
      <c r="J80" s="890"/>
      <c r="K80" s="890"/>
      <c r="L80" s="890"/>
      <c r="M80" s="890"/>
      <c r="N80" s="890"/>
      <c r="O80" s="1781">
        <f t="shared" ref="O80:T80" si="25">IF(ROUND(+O79,7)=ROUND(O78,7),0,1)</f>
        <v>0</v>
      </c>
      <c r="P80" s="1781">
        <f t="shared" si="25"/>
        <v>0</v>
      </c>
      <c r="Q80" s="1781">
        <f t="shared" si="25"/>
        <v>0</v>
      </c>
      <c r="R80" s="1781">
        <f t="shared" si="25"/>
        <v>0</v>
      </c>
      <c r="S80" s="1781">
        <f t="shared" si="25"/>
        <v>0</v>
      </c>
      <c r="T80" s="1781">
        <f t="shared" si="25"/>
        <v>0</v>
      </c>
      <c r="U80" s="1781">
        <f t="shared" ref="U80:AG80" si="26">IF(ROUND(+U79,7)=ROUND(U78,7),0,1)</f>
        <v>0</v>
      </c>
      <c r="V80" s="1781">
        <f t="shared" si="26"/>
        <v>0</v>
      </c>
      <c r="W80" s="1781">
        <f t="shared" si="26"/>
        <v>0</v>
      </c>
      <c r="X80" s="1781">
        <f t="shared" ca="1" si="26"/>
        <v>0</v>
      </c>
      <c r="Y80" s="1781">
        <f t="shared" ca="1" si="26"/>
        <v>0</v>
      </c>
      <c r="Z80" s="1781">
        <f t="shared" ca="1" si="26"/>
        <v>0</v>
      </c>
      <c r="AA80" s="1781">
        <f t="shared" ca="1" si="26"/>
        <v>0</v>
      </c>
      <c r="AB80" s="1781">
        <f t="shared" ca="1" si="26"/>
        <v>0</v>
      </c>
      <c r="AC80" s="1781">
        <f t="shared" ca="1" si="26"/>
        <v>0</v>
      </c>
      <c r="AD80" s="1781">
        <f t="shared" ca="1" si="26"/>
        <v>0</v>
      </c>
      <c r="AE80" s="1781">
        <f t="shared" ca="1" si="26"/>
        <v>0</v>
      </c>
      <c r="AF80" s="1781">
        <f t="shared" ca="1" si="26"/>
        <v>0</v>
      </c>
      <c r="AG80" s="1781">
        <f t="shared" ca="1" si="26"/>
        <v>0</v>
      </c>
      <c r="AH80" s="171"/>
    </row>
    <row r="81" spans="3:35">
      <c r="C81" s="169"/>
      <c r="E81" s="879" t="s">
        <v>82</v>
      </c>
      <c r="J81" s="281"/>
      <c r="K81" s="281"/>
      <c r="L81" s="281"/>
      <c r="M81" s="281"/>
      <c r="N81" s="281"/>
      <c r="O81" s="180">
        <f>+O78-O79</f>
        <v>0</v>
      </c>
      <c r="P81" s="180">
        <f>+P78-P79</f>
        <v>0</v>
      </c>
      <c r="Q81" s="180">
        <f>+Q78-Q79</f>
        <v>0</v>
      </c>
      <c r="R81" s="180">
        <f t="shared" ref="R81:AF81" si="27">+R78-R79</f>
        <v>0</v>
      </c>
      <c r="S81" s="180">
        <f t="shared" si="27"/>
        <v>0</v>
      </c>
      <c r="T81" s="180">
        <f t="shared" si="27"/>
        <v>0</v>
      </c>
      <c r="U81" s="180">
        <f t="shared" si="27"/>
        <v>0</v>
      </c>
      <c r="V81" s="180">
        <f t="shared" si="27"/>
        <v>0</v>
      </c>
      <c r="W81" s="180">
        <f t="shared" si="27"/>
        <v>0</v>
      </c>
      <c r="X81" s="180">
        <f t="shared" ca="1" si="27"/>
        <v>0</v>
      </c>
      <c r="Y81" s="180">
        <f t="shared" ca="1" si="27"/>
        <v>0</v>
      </c>
      <c r="Z81" s="180">
        <f t="shared" ca="1" si="27"/>
        <v>0</v>
      </c>
      <c r="AA81" s="180">
        <f t="shared" ca="1" si="27"/>
        <v>0</v>
      </c>
      <c r="AB81" s="180">
        <f t="shared" ca="1" si="27"/>
        <v>0</v>
      </c>
      <c r="AC81" s="180">
        <f t="shared" ca="1" si="27"/>
        <v>0</v>
      </c>
      <c r="AD81" s="180">
        <f t="shared" ca="1" si="27"/>
        <v>0</v>
      </c>
      <c r="AE81" s="180">
        <f t="shared" ca="1" si="27"/>
        <v>0</v>
      </c>
      <c r="AF81" s="180">
        <f t="shared" ca="1" si="27"/>
        <v>0</v>
      </c>
      <c r="AG81" s="180">
        <f ca="1">+AG78-AG79</f>
        <v>0</v>
      </c>
      <c r="AH81" s="171"/>
    </row>
    <row r="82" spans="3:35">
      <c r="C82" s="169"/>
      <c r="J82" s="281"/>
      <c r="K82" s="281"/>
      <c r="L82" s="281"/>
      <c r="M82" s="281"/>
      <c r="N82" s="281"/>
      <c r="O82" s="281"/>
      <c r="P82" s="281"/>
      <c r="Q82" s="281"/>
      <c r="R82" s="180"/>
      <c r="S82" s="180"/>
      <c r="T82" s="180"/>
      <c r="U82" s="180"/>
      <c r="V82" s="180"/>
      <c r="W82" s="180"/>
      <c r="X82" s="180"/>
      <c r="Y82" s="180"/>
      <c r="Z82" s="180"/>
      <c r="AA82" s="180"/>
      <c r="AB82" s="180"/>
      <c r="AC82" s="180"/>
      <c r="AD82" s="180"/>
      <c r="AE82" s="180"/>
      <c r="AF82" s="180"/>
      <c r="AG82" s="180"/>
      <c r="AH82" s="171"/>
    </row>
    <row r="83" spans="3:35">
      <c r="C83" s="169"/>
      <c r="F83" s="70" t="s">
        <v>80</v>
      </c>
      <c r="J83" s="74"/>
      <c r="K83" s="74"/>
      <c r="L83" s="74"/>
      <c r="M83" s="74"/>
      <c r="N83" s="74"/>
      <c r="O83" s="74"/>
      <c r="P83" s="74"/>
      <c r="Q83" s="74"/>
      <c r="AH83" s="171"/>
    </row>
    <row r="84" spans="3:35">
      <c r="C84" s="169"/>
      <c r="F84" s="70" t="s">
        <v>96</v>
      </c>
      <c r="J84" s="891"/>
      <c r="K84" s="891"/>
      <c r="L84" s="891"/>
      <c r="M84" s="891"/>
      <c r="N84" s="891"/>
      <c r="O84" s="892">
        <f>+KeyAssumptionsPriceControl_FO!W14</f>
        <v>2.1256931608133023E-2</v>
      </c>
      <c r="P84" s="892">
        <f>+KeyAssumptionsPriceControl_FO!X14</f>
        <v>1.9004524886877761E-2</v>
      </c>
      <c r="Q84" s="892">
        <f>+KeyAssumptionsPriceControl_FO!Y14</f>
        <v>1.3321492007104752E-2</v>
      </c>
      <c r="R84" s="892">
        <f>+KeyAssumptionsPriceControl_FO!Z14</f>
        <v>2.1910604732690686E-2</v>
      </c>
      <c r="S84" s="892">
        <f>+KeyAssumptionsPriceControl_FO!AA14</f>
        <v>1.1149228130360234E-2</v>
      </c>
      <c r="T84" s="892">
        <f>+KeyAssumptionsPriceControl_FO!AB14</f>
        <v>5.0890585241730291E-2</v>
      </c>
      <c r="U84" s="892">
        <f>+KeyAssumptionsPriceControl_FO!AC14</f>
        <v>7.0217917675544639E-2</v>
      </c>
      <c r="V84" s="892">
        <f>+KeyAssumptionsPriceControl_FO!AD14</f>
        <v>3.6199095022624528E-2</v>
      </c>
      <c r="W84" s="892">
        <f>+KeyAssumptionsPriceControl_FO!AE14</f>
        <v>2.4017467248908186E-2</v>
      </c>
      <c r="X84" s="892">
        <f>+KeyAssumptionsPriceControl_FO!AF14</f>
        <v>2.9000000000000001E-2</v>
      </c>
      <c r="Y84" s="892">
        <f>+KeyAssumptionsPriceControl_FO!AG14</f>
        <v>2.9000000000000001E-2</v>
      </c>
      <c r="Z84" s="892">
        <f>+KeyAssumptionsPriceControl_FO!AH14</f>
        <v>2.9000000000000001E-2</v>
      </c>
      <c r="AA84" s="892">
        <f>+KeyAssumptionsPriceControl_FO!AI14</f>
        <v>2.9000000000000001E-2</v>
      </c>
      <c r="AB84" s="892">
        <f>+KeyAssumptionsPriceControl_FO!AJ14</f>
        <v>2.9000000000000001E-2</v>
      </c>
      <c r="AC84" s="892">
        <f>+KeyAssumptionsPriceControl_FO!AK14</f>
        <v>2.9000000000000001E-2</v>
      </c>
      <c r="AD84" s="892">
        <f>+KeyAssumptionsPriceControl_FO!AL14</f>
        <v>2.9000000000000001E-2</v>
      </c>
      <c r="AE84" s="892">
        <f>+KeyAssumptionsPriceControl_FO!AM14</f>
        <v>2.9000000000000001E-2</v>
      </c>
      <c r="AF84" s="892">
        <f>+KeyAssumptionsPriceControl_FO!AN14</f>
        <v>2.9000000000000001E-2</v>
      </c>
      <c r="AG84" s="892">
        <f>+KeyAssumptionsPriceControl_FO!AO14</f>
        <v>2.9000000000000001E-2</v>
      </c>
      <c r="AH84" s="171"/>
      <c r="AI84" s="70" t="s">
        <v>1053</v>
      </c>
    </row>
    <row r="85" spans="3:35">
      <c r="C85" s="169"/>
      <c r="F85" s="70" t="s">
        <v>49</v>
      </c>
      <c r="J85" s="893"/>
      <c r="K85" s="893"/>
      <c r="L85" s="893"/>
      <c r="M85" s="893"/>
      <c r="N85" s="893"/>
      <c r="O85" s="280">
        <f>+KeyAssumptionsPriceControl_FO!W15</f>
        <v>0.785358919687278</v>
      </c>
      <c r="P85" s="280">
        <f>+KeyAssumptionsPriceControl_FO!X15</f>
        <v>0.80028429282160629</v>
      </c>
      <c r="Q85" s="280">
        <f>+KeyAssumptionsPriceControl_FO!Y15</f>
        <v>0.81094527363184077</v>
      </c>
      <c r="R85" s="280">
        <f>+KeyAssumptionsPriceControl_FO!Z15</f>
        <v>0.82871357498223175</v>
      </c>
      <c r="S85" s="280">
        <f>+KeyAssumptionsPriceControl_FO!AA15</f>
        <v>0.8379530916844351</v>
      </c>
      <c r="T85" s="280">
        <f>+KeyAssumptionsPriceControl_FO!AB15</f>
        <v>0.88059701492537323</v>
      </c>
      <c r="U85" s="280">
        <f>+KeyAssumptionsPriceControl_FO!AC15</f>
        <v>0.94243070362473347</v>
      </c>
      <c r="V85" s="280">
        <f>+KeyAssumptionsPriceControl_FO!AD15</f>
        <v>0.97654584221748408</v>
      </c>
      <c r="W85" s="280">
        <f>+KeyAssumptionsPriceControl_FO!AE15</f>
        <v>1</v>
      </c>
      <c r="X85" s="280">
        <f>+KeyAssumptionsPriceControl_FO!AF15</f>
        <v>1.0289999999999999</v>
      </c>
      <c r="Y85" s="280">
        <f>+KeyAssumptionsPriceControl_FO!AG15</f>
        <v>1.0588409999999999</v>
      </c>
      <c r="Z85" s="280">
        <f>+KeyAssumptionsPriceControl_FO!AH15</f>
        <v>1.0895473889999998</v>
      </c>
      <c r="AA85" s="280">
        <f>+KeyAssumptionsPriceControl_FO!AI15</f>
        <v>1.1211442632809998</v>
      </c>
      <c r="AB85" s="280">
        <f>+KeyAssumptionsPriceControl_FO!AJ15</f>
        <v>1.1536574469161487</v>
      </c>
      <c r="AC85" s="280">
        <f>+KeyAssumptionsPriceControl_FO!AK15</f>
        <v>1.187113512876717</v>
      </c>
      <c r="AD85" s="280">
        <f>+KeyAssumptionsPriceControl_FO!AL15</f>
        <v>1.2215398047501416</v>
      </c>
      <c r="AE85" s="280">
        <f>+KeyAssumptionsPriceControl_FO!AM15</f>
        <v>1.2569644590878957</v>
      </c>
      <c r="AF85" s="280">
        <f>+KeyAssumptionsPriceControl_FO!AN15</f>
        <v>1.2934164284014444</v>
      </c>
      <c r="AG85" s="280">
        <f>+KeyAssumptionsPriceControl_FO!AO15</f>
        <v>1.3309255048250863</v>
      </c>
      <c r="AH85" s="171"/>
      <c r="AI85" s="70" t="s">
        <v>1053</v>
      </c>
    </row>
    <row r="86" spans="3:35">
      <c r="C86" s="169"/>
      <c r="F86" s="70" t="s">
        <v>97</v>
      </c>
      <c r="J86" s="894"/>
      <c r="K86" s="894"/>
      <c r="L86" s="894"/>
      <c r="M86" s="894"/>
      <c r="N86" s="894"/>
      <c r="O86" s="878">
        <f>+$H$90</f>
        <v>0.6</v>
      </c>
      <c r="P86" s="878">
        <f t="shared" ref="P86:AF86" si="28">+$H$90</f>
        <v>0.6</v>
      </c>
      <c r="Q86" s="878">
        <f t="shared" si="28"/>
        <v>0.6</v>
      </c>
      <c r="R86" s="878">
        <f t="shared" si="28"/>
        <v>0.6</v>
      </c>
      <c r="S86" s="878">
        <f t="shared" si="28"/>
        <v>0.6</v>
      </c>
      <c r="T86" s="878">
        <f t="shared" si="28"/>
        <v>0.6</v>
      </c>
      <c r="U86" s="878">
        <f t="shared" si="28"/>
        <v>0.6</v>
      </c>
      <c r="V86" s="878">
        <f t="shared" si="28"/>
        <v>0.6</v>
      </c>
      <c r="W86" s="878">
        <f t="shared" si="28"/>
        <v>0.6</v>
      </c>
      <c r="X86" s="878">
        <f t="shared" si="28"/>
        <v>0.6</v>
      </c>
      <c r="Y86" s="878">
        <f t="shared" si="28"/>
        <v>0.6</v>
      </c>
      <c r="Z86" s="878">
        <f t="shared" si="28"/>
        <v>0.6</v>
      </c>
      <c r="AA86" s="878">
        <f t="shared" si="28"/>
        <v>0.6</v>
      </c>
      <c r="AB86" s="878">
        <f t="shared" si="28"/>
        <v>0.6</v>
      </c>
      <c r="AC86" s="878">
        <f t="shared" si="28"/>
        <v>0.6</v>
      </c>
      <c r="AD86" s="878">
        <f t="shared" si="28"/>
        <v>0.6</v>
      </c>
      <c r="AE86" s="878">
        <f t="shared" si="28"/>
        <v>0.6</v>
      </c>
      <c r="AF86" s="878">
        <f t="shared" si="28"/>
        <v>0.6</v>
      </c>
      <c r="AG86" s="878">
        <f>+$H$90</f>
        <v>0.6</v>
      </c>
      <c r="AH86" s="171"/>
      <c r="AI86" s="70" t="s">
        <v>1053</v>
      </c>
    </row>
    <row r="87" spans="3:35">
      <c r="C87" s="169"/>
      <c r="F87" s="70" t="s">
        <v>98</v>
      </c>
      <c r="J87" s="894"/>
      <c r="K87" s="894"/>
      <c r="L87" s="894"/>
      <c r="M87" s="894"/>
      <c r="N87" s="894"/>
      <c r="O87" s="878">
        <f t="shared" ref="O87:AF87" si="29">+O28</f>
        <v>0.3</v>
      </c>
      <c r="P87" s="878">
        <f t="shared" si="29"/>
        <v>0.3</v>
      </c>
      <c r="Q87" s="878">
        <f t="shared" si="29"/>
        <v>0.3</v>
      </c>
      <c r="R87" s="878">
        <f t="shared" si="29"/>
        <v>0.3</v>
      </c>
      <c r="S87" s="878">
        <f t="shared" si="29"/>
        <v>0.3</v>
      </c>
      <c r="T87" s="878">
        <f t="shared" si="29"/>
        <v>0.3</v>
      </c>
      <c r="U87" s="878">
        <f t="shared" si="29"/>
        <v>0.3</v>
      </c>
      <c r="V87" s="878">
        <f t="shared" si="29"/>
        <v>0.3</v>
      </c>
      <c r="W87" s="878">
        <f t="shared" si="29"/>
        <v>0.3</v>
      </c>
      <c r="X87" s="878">
        <f t="shared" si="29"/>
        <v>0</v>
      </c>
      <c r="Y87" s="878">
        <f t="shared" si="29"/>
        <v>0</v>
      </c>
      <c r="Z87" s="878">
        <f t="shared" si="29"/>
        <v>0</v>
      </c>
      <c r="AA87" s="878">
        <f t="shared" si="29"/>
        <v>0</v>
      </c>
      <c r="AB87" s="878">
        <f t="shared" si="29"/>
        <v>0</v>
      </c>
      <c r="AC87" s="878">
        <f t="shared" si="29"/>
        <v>0.3</v>
      </c>
      <c r="AD87" s="878">
        <f t="shared" si="29"/>
        <v>0.3</v>
      </c>
      <c r="AE87" s="878">
        <f t="shared" si="29"/>
        <v>0.3</v>
      </c>
      <c r="AF87" s="878">
        <f t="shared" si="29"/>
        <v>0.3</v>
      </c>
      <c r="AG87" s="878">
        <f>+AG28</f>
        <v>0.3</v>
      </c>
      <c r="AH87" s="171"/>
      <c r="AI87" s="70" t="s">
        <v>1053</v>
      </c>
    </row>
    <row r="88" spans="3:35">
      <c r="C88" s="169"/>
      <c r="J88" s="281"/>
      <c r="K88" s="281"/>
      <c r="L88" s="281"/>
      <c r="M88" s="281"/>
      <c r="N88" s="281"/>
      <c r="O88" s="281"/>
      <c r="P88" s="281"/>
      <c r="Q88" s="281"/>
      <c r="R88" s="180"/>
      <c r="S88" s="180"/>
      <c r="T88" s="180"/>
      <c r="U88" s="180"/>
      <c r="V88" s="180"/>
      <c r="W88" s="180"/>
      <c r="AH88" s="171"/>
    </row>
    <row r="89" spans="3:35">
      <c r="C89" s="169"/>
      <c r="O89" s="892"/>
      <c r="P89" s="892"/>
      <c r="Q89" s="892"/>
      <c r="R89" s="892"/>
      <c r="T89" s="892"/>
      <c r="U89" s="892"/>
      <c r="V89" s="892"/>
      <c r="W89" s="892"/>
      <c r="Y89" s="892"/>
      <c r="Z89" s="892"/>
      <c r="AA89" s="892"/>
      <c r="AB89" s="892"/>
      <c r="AC89" s="892"/>
      <c r="AD89" s="892"/>
      <c r="AE89" s="892"/>
      <c r="AF89" s="892"/>
      <c r="AG89" s="892"/>
      <c r="AH89" s="171"/>
    </row>
    <row r="90" spans="3:35">
      <c r="C90" s="169"/>
      <c r="F90" s="70" t="str">
        <f>+KeyAssumptionsPriceControl_FO!F38</f>
        <v>Gearing (Debt/Assets)</v>
      </c>
      <c r="H90" s="1828">
        <f>+KeyAssumptionsPriceControl_FO!O38</f>
        <v>0.6</v>
      </c>
      <c r="O90" s="180"/>
      <c r="P90" s="180"/>
      <c r="Q90" s="180"/>
      <c r="R90" s="180"/>
      <c r="T90" s="180"/>
      <c r="U90" s="180"/>
      <c r="V90" s="180"/>
      <c r="W90" s="180"/>
      <c r="X90" s="180"/>
      <c r="Y90" s="180"/>
      <c r="Z90" s="180"/>
      <c r="AA90" s="180"/>
      <c r="AB90" s="180"/>
      <c r="AC90" s="180"/>
      <c r="AD90" s="180"/>
      <c r="AE90" s="180"/>
      <c r="AF90" s="180"/>
      <c r="AG90" s="180"/>
      <c r="AH90" s="171"/>
    </row>
    <row r="91" spans="3:35">
      <c r="C91" s="169"/>
      <c r="F91" s="70" t="s">
        <v>99</v>
      </c>
      <c r="H91" s="895"/>
      <c r="J91" s="180"/>
      <c r="K91" s="180"/>
      <c r="O91" s="1823">
        <f>KeyAssumptionsPriceControl_FO!W26</f>
        <v>6.2908056485546288E-2</v>
      </c>
      <c r="P91" s="1823">
        <f>KeyAssumptionsPriceControl_FO!X26</f>
        <v>6.0022356485546283E-2</v>
      </c>
      <c r="Q91" s="1823">
        <f>KeyAssumptionsPriceControl_FO!Y26</f>
        <v>5.7720431938857369E-2</v>
      </c>
      <c r="R91" s="1823">
        <f>KeyAssumptionsPriceControl_FO!Z26</f>
        <v>5.36643942885911E-2</v>
      </c>
      <c r="S91" s="1823">
        <f>KeyAssumptionsPriceControl_FO!AA26</f>
        <v>4.9662610146319931E-2</v>
      </c>
      <c r="T91" s="1823">
        <f>KeyAssumptionsPriceControl_FO!AB26</f>
        <v>4.7107022205707838E-2</v>
      </c>
      <c r="U91" s="1823">
        <f>KeyAssumptionsPriceControl_FO!AC26</f>
        <v>4.8598371746017124E-2</v>
      </c>
      <c r="V91" s="1823">
        <f>KeyAssumptionsPriceControl_FO!AD26</f>
        <v>4.8079171746017134E-2</v>
      </c>
      <c r="W91" s="1823">
        <f>KeyAssumptionsPriceControl_FO!AE26</f>
        <v>4.8561638412683808E-2</v>
      </c>
      <c r="X91" s="1823">
        <f>KeyAssumptionsPriceControl_FO!AF26</f>
        <v>4.9134799999999999E-2</v>
      </c>
      <c r="Y91" s="1823">
        <f>KeyAssumptionsPriceControl_FO!AG26</f>
        <v>5.0069766666666668E-2</v>
      </c>
      <c r="Z91" s="1823">
        <f>KeyAssumptionsPriceControl_FO!AH26</f>
        <v>5.1384766666666672E-2</v>
      </c>
      <c r="AA91" s="1823">
        <f>KeyAssumptionsPriceControl_FO!AI26</f>
        <v>5.2614733333333337E-2</v>
      </c>
      <c r="AB91" s="1823">
        <f>KeyAssumptionsPriceControl_FO!AJ26</f>
        <v>5.5152200000000012E-2</v>
      </c>
      <c r="AC91" s="1823">
        <f>KeyAssumptionsPriceControl_FO!AK26</f>
        <v>5.7950500000000009E-2</v>
      </c>
      <c r="AD91" s="1823">
        <f>KeyAssumptionsPriceControl_FO!AL26</f>
        <v>6.0040500000000011E-2</v>
      </c>
      <c r="AE91" s="1823">
        <f>KeyAssumptionsPriceControl_FO!AM26</f>
        <v>5.9123000000000009E-2</v>
      </c>
      <c r="AF91" s="1823">
        <f>KeyAssumptionsPriceControl_FO!AN26</f>
        <v>5.8433000000000013E-2</v>
      </c>
      <c r="AG91" s="1823">
        <f>KeyAssumptionsPriceControl_FO!AO26</f>
        <v>5.8433000000000013E-2</v>
      </c>
      <c r="AH91" s="171"/>
      <c r="AI91" s="70" t="s">
        <v>1053</v>
      </c>
    </row>
    <row r="92" spans="3:35">
      <c r="C92" s="169"/>
      <c r="F92" s="70" t="s">
        <v>56</v>
      </c>
      <c r="H92" s="1827">
        <v>0.5</v>
      </c>
      <c r="J92" s="180"/>
      <c r="K92" s="180"/>
      <c r="O92" s="1927">
        <f t="shared" ref="O92:W92" si="30">$H$92</f>
        <v>0.5</v>
      </c>
      <c r="P92" s="1927">
        <f t="shared" si="30"/>
        <v>0.5</v>
      </c>
      <c r="Q92" s="1927">
        <f t="shared" si="30"/>
        <v>0.5</v>
      </c>
      <c r="R92" s="1927">
        <f t="shared" si="30"/>
        <v>0.5</v>
      </c>
      <c r="S92" s="1927">
        <f t="shared" si="30"/>
        <v>0.5</v>
      </c>
      <c r="T92" s="1927">
        <f t="shared" si="30"/>
        <v>0.5</v>
      </c>
      <c r="U92" s="1927">
        <f t="shared" si="30"/>
        <v>0.5</v>
      </c>
      <c r="V92" s="1927">
        <f t="shared" si="30"/>
        <v>0.5</v>
      </c>
      <c r="W92" s="1927">
        <f t="shared" si="30"/>
        <v>0.5</v>
      </c>
      <c r="X92" s="1927">
        <f>$H$92</f>
        <v>0.5</v>
      </c>
      <c r="Y92" s="1927">
        <f t="shared" ref="Y92:AG92" si="31">$H$92</f>
        <v>0.5</v>
      </c>
      <c r="Z92" s="1927">
        <f t="shared" si="31"/>
        <v>0.5</v>
      </c>
      <c r="AA92" s="1927">
        <f t="shared" si="31"/>
        <v>0.5</v>
      </c>
      <c r="AB92" s="1927">
        <f t="shared" si="31"/>
        <v>0.5</v>
      </c>
      <c r="AC92" s="1927">
        <f t="shared" si="31"/>
        <v>0.5</v>
      </c>
      <c r="AD92" s="1927">
        <f t="shared" si="31"/>
        <v>0.5</v>
      </c>
      <c r="AE92" s="1927">
        <f t="shared" si="31"/>
        <v>0.5</v>
      </c>
      <c r="AF92" s="1927">
        <f t="shared" si="31"/>
        <v>0.5</v>
      </c>
      <c r="AG92" s="1927">
        <f t="shared" si="31"/>
        <v>0.5</v>
      </c>
      <c r="AH92" s="171"/>
      <c r="AI92" s="70" t="s">
        <v>1053</v>
      </c>
    </row>
    <row r="93" spans="3:35">
      <c r="C93" s="169"/>
      <c r="J93" s="180"/>
      <c r="K93" s="282"/>
      <c r="M93" s="282"/>
      <c r="N93" s="180"/>
      <c r="O93" s="282"/>
      <c r="P93" s="180"/>
      <c r="Q93" s="180"/>
      <c r="R93" s="180"/>
      <c r="S93" s="896"/>
      <c r="T93" s="180"/>
      <c r="U93" s="180"/>
      <c r="V93" s="180"/>
      <c r="W93" s="180"/>
      <c r="X93" s="180"/>
      <c r="Y93" s="180"/>
      <c r="Z93" s="180"/>
      <c r="AA93" s="180"/>
      <c r="AB93" s="180"/>
      <c r="AC93" s="180"/>
      <c r="AD93" s="180"/>
      <c r="AE93" s="180"/>
      <c r="AF93" s="180"/>
      <c r="AG93" s="180"/>
      <c r="AH93" s="171"/>
    </row>
    <row r="94" spans="3:35">
      <c r="C94" s="169"/>
      <c r="J94" s="180"/>
      <c r="K94" s="282"/>
      <c r="M94" s="282"/>
      <c r="N94" s="180"/>
      <c r="O94" s="282"/>
      <c r="P94" s="180"/>
      <c r="Q94" s="180"/>
      <c r="R94" s="180"/>
      <c r="S94" s="896"/>
      <c r="T94" s="180"/>
      <c r="U94" s="180"/>
      <c r="V94" s="180"/>
      <c r="W94" s="180"/>
      <c r="X94" s="180"/>
      <c r="Y94" s="180"/>
      <c r="Z94" s="180"/>
      <c r="AA94" s="180"/>
      <c r="AB94" s="180"/>
      <c r="AC94" s="180"/>
      <c r="AD94" s="180"/>
      <c r="AE94" s="180"/>
      <c r="AF94" s="180"/>
      <c r="AG94" s="180"/>
      <c r="AH94" s="171"/>
    </row>
    <row r="95" spans="3:35">
      <c r="C95" s="169"/>
      <c r="F95" s="104" t="s">
        <v>100</v>
      </c>
      <c r="J95" s="897"/>
      <c r="K95" s="282"/>
      <c r="L95" s="282"/>
      <c r="M95" s="282"/>
      <c r="N95" s="180"/>
      <c r="O95" s="282"/>
      <c r="P95" s="180"/>
      <c r="Q95" s="180"/>
      <c r="R95" s="180"/>
      <c r="S95" s="180"/>
      <c r="T95" s="180"/>
      <c r="U95" s="180"/>
      <c r="V95" s="180"/>
      <c r="W95" s="180"/>
      <c r="X95" s="180"/>
      <c r="Y95" s="180"/>
      <c r="Z95" s="180"/>
      <c r="AA95" s="180"/>
      <c r="AB95" s="180"/>
      <c r="AC95" s="180"/>
      <c r="AD95" s="180"/>
      <c r="AE95" s="180"/>
      <c r="AF95" s="180"/>
      <c r="AG95" s="180"/>
      <c r="AH95" s="171"/>
    </row>
    <row r="96" spans="3:35">
      <c r="C96" s="169"/>
      <c r="J96" s="180"/>
      <c r="K96" s="180"/>
      <c r="L96" s="180"/>
      <c r="M96" s="180"/>
      <c r="N96" s="180"/>
      <c r="O96" s="282"/>
      <c r="P96" s="180"/>
      <c r="Q96" s="180"/>
      <c r="R96" s="180"/>
      <c r="S96" s="180"/>
      <c r="T96" s="180"/>
      <c r="U96" s="180"/>
      <c r="V96" s="180"/>
      <c r="W96" s="180"/>
      <c r="X96" s="180"/>
      <c r="Y96" s="180"/>
      <c r="Z96" s="180"/>
      <c r="AA96" s="180"/>
      <c r="AB96" s="180"/>
      <c r="AC96" s="180"/>
      <c r="AD96" s="180"/>
      <c r="AE96" s="180"/>
      <c r="AF96" s="180"/>
      <c r="AG96" s="180"/>
      <c r="AH96" s="171"/>
    </row>
    <row r="97" spans="3:35">
      <c r="C97" s="169"/>
      <c r="F97" s="898" t="str">
        <f>C4</f>
        <v>$m, 01/01/26</v>
      </c>
      <c r="J97" s="180"/>
      <c r="K97" s="180"/>
      <c r="L97" s="180"/>
      <c r="M97" s="180"/>
      <c r="N97" s="180"/>
      <c r="O97" s="282"/>
      <c r="P97" s="180"/>
      <c r="Q97" s="180"/>
      <c r="R97" s="180"/>
      <c r="S97" s="180"/>
      <c r="T97" s="180"/>
      <c r="U97" s="180"/>
      <c r="V97" s="180"/>
      <c r="W97" s="180"/>
      <c r="X97" s="180"/>
      <c r="Y97" s="180"/>
      <c r="Z97" s="180"/>
      <c r="AA97" s="180"/>
      <c r="AB97" s="180"/>
      <c r="AC97" s="180"/>
      <c r="AD97" s="180"/>
      <c r="AE97" s="180"/>
      <c r="AF97" s="180"/>
      <c r="AG97" s="180"/>
      <c r="AH97" s="171"/>
    </row>
    <row r="98" spans="3:35">
      <c r="C98" s="169"/>
      <c r="F98" s="70" t="s">
        <v>72</v>
      </c>
      <c r="J98" s="378"/>
      <c r="K98" s="378"/>
      <c r="L98" s="378"/>
      <c r="M98" s="378"/>
      <c r="N98" s="608"/>
      <c r="O98" s="349">
        <f t="shared" ref="O98:V98" si="32">O23</f>
        <v>75.827271727515623</v>
      </c>
      <c r="P98" s="349">
        <f t="shared" si="32"/>
        <v>76.300229249037315</v>
      </c>
      <c r="Q98" s="349">
        <f t="shared" si="32"/>
        <v>77.19710351339441</v>
      </c>
      <c r="R98" s="349">
        <f t="shared" si="32"/>
        <v>78.087524443058456</v>
      </c>
      <c r="S98" s="349">
        <f t="shared" si="32"/>
        <v>79.057372806261341</v>
      </c>
      <c r="T98" s="349">
        <f t="shared" si="32"/>
        <v>79.866330737243501</v>
      </c>
      <c r="U98" s="349">
        <f t="shared" si="32"/>
        <v>80.836000390929527</v>
      </c>
      <c r="V98" s="349">
        <f t="shared" si="32"/>
        <v>81.862206277186004</v>
      </c>
      <c r="W98" s="349">
        <f>W23</f>
        <v>82.806383491758865</v>
      </c>
      <c r="X98" s="600">
        <f ca="1">SUM(X15:X19)</f>
        <v>95.543523619444471</v>
      </c>
      <c r="Y98" s="349">
        <f t="shared" ref="Y98:AG98" ca="1" si="33">SUM(Y15:Y19)</f>
        <v>98.81722300083382</v>
      </c>
      <c r="Z98" s="349">
        <f t="shared" ca="1" si="33"/>
        <v>100.84620293056062</v>
      </c>
      <c r="AA98" s="349">
        <f t="shared" ca="1" si="33"/>
        <v>103.76813997982296</v>
      </c>
      <c r="AB98" s="349">
        <f t="shared" ca="1" si="33"/>
        <v>107.4795465774621</v>
      </c>
      <c r="AC98" s="349">
        <f t="shared" ca="1" si="33"/>
        <v>112.77728426696741</v>
      </c>
      <c r="AD98" s="349">
        <f t="shared" ca="1" si="33"/>
        <v>116.88778014141162</v>
      </c>
      <c r="AE98" s="349">
        <f t="shared" ca="1" si="33"/>
        <v>119.39339582559458</v>
      </c>
      <c r="AF98" s="349">
        <f t="shared" ca="1" si="33"/>
        <v>121.64799223019804</v>
      </c>
      <c r="AG98" s="349">
        <f t="shared" ca="1" si="33"/>
        <v>124.65901212624155</v>
      </c>
      <c r="AH98" s="171"/>
      <c r="AI98" s="70" t="s">
        <v>1053</v>
      </c>
    </row>
    <row r="99" spans="3:35">
      <c r="C99" s="169"/>
      <c r="F99" s="70" t="s">
        <v>22</v>
      </c>
      <c r="J99" s="378"/>
      <c r="K99" s="378"/>
      <c r="L99" s="378"/>
      <c r="M99" s="378"/>
      <c r="N99" s="608"/>
      <c r="O99" s="349">
        <f t="shared" ref="O99:W99" si="34">+O73</f>
        <v>2.6926542081447966</v>
      </c>
      <c r="P99" s="349">
        <f t="shared" si="34"/>
        <v>3.2700879218472467</v>
      </c>
      <c r="Q99" s="349">
        <f t="shared" si="34"/>
        <v>3.1617423312883437</v>
      </c>
      <c r="R99" s="349">
        <f t="shared" si="34"/>
        <v>4.3923499142367071</v>
      </c>
      <c r="S99" s="349">
        <f t="shared" si="34"/>
        <v>3.4429134860050885</v>
      </c>
      <c r="T99" s="349">
        <f t="shared" si="34"/>
        <v>4.3686271186440671</v>
      </c>
      <c r="U99" s="349">
        <f t="shared" si="34"/>
        <v>4.1053416289592759</v>
      </c>
      <c r="V99" s="349">
        <f t="shared" si="34"/>
        <v>4.3860122227074232</v>
      </c>
      <c r="W99" s="349">
        <f t="shared" si="34"/>
        <v>3.5</v>
      </c>
      <c r="X99" s="349">
        <f t="shared" ref="X99:AB100" si="35">+X73</f>
        <v>4.3159999999999998</v>
      </c>
      <c r="Y99" s="608">
        <f t="shared" si="35"/>
        <v>4.38</v>
      </c>
      <c r="Z99" s="608">
        <f t="shared" si="35"/>
        <v>4.4459999999999997</v>
      </c>
      <c r="AA99" s="608">
        <f t="shared" si="35"/>
        <v>4.5140000000000002</v>
      </c>
      <c r="AB99" s="608">
        <f t="shared" si="35"/>
        <v>4.5839999999999996</v>
      </c>
      <c r="AC99" s="608">
        <f t="shared" ref="AC99:AG100" si="36">+AC73</f>
        <v>4.6559999999999997</v>
      </c>
      <c r="AD99" s="608">
        <f t="shared" si="36"/>
        <v>4.7300000000000004</v>
      </c>
      <c r="AE99" s="608">
        <f t="shared" si="36"/>
        <v>4.806</v>
      </c>
      <c r="AF99" s="608">
        <f t="shared" si="36"/>
        <v>4.883</v>
      </c>
      <c r="AG99" s="608">
        <f t="shared" si="36"/>
        <v>4.9640000000000004</v>
      </c>
      <c r="AH99" s="171"/>
      <c r="AI99" s="70" t="s">
        <v>1053</v>
      </c>
    </row>
    <row r="100" spans="3:35">
      <c r="C100" s="169"/>
      <c r="F100" s="70" t="s">
        <v>19</v>
      </c>
      <c r="J100" s="378"/>
      <c r="K100" s="378"/>
      <c r="L100" s="378"/>
      <c r="M100" s="378"/>
      <c r="N100" s="608"/>
      <c r="O100" s="349">
        <f t="shared" ref="O100:W100" si="37">+O74</f>
        <v>0</v>
      </c>
      <c r="P100" s="349">
        <f t="shared" si="37"/>
        <v>0</v>
      </c>
      <c r="Q100" s="349">
        <f t="shared" si="37"/>
        <v>0</v>
      </c>
      <c r="R100" s="349">
        <f t="shared" si="37"/>
        <v>0.43440823327615774</v>
      </c>
      <c r="S100" s="349">
        <f t="shared" si="37"/>
        <v>0.286412213740458</v>
      </c>
      <c r="T100" s="349">
        <f t="shared" si="37"/>
        <v>0.22711864406779658</v>
      </c>
      <c r="U100" s="349">
        <f t="shared" si="37"/>
        <v>1.0488834841628958</v>
      </c>
      <c r="V100" s="349">
        <f t="shared" si="37"/>
        <v>1.3501670305676856</v>
      </c>
      <c r="W100" s="349">
        <f t="shared" si="37"/>
        <v>0</v>
      </c>
      <c r="X100" s="349">
        <f t="shared" si="35"/>
        <v>1</v>
      </c>
      <c r="Y100" s="608">
        <f t="shared" si="35"/>
        <v>3.0949999999999998</v>
      </c>
      <c r="Z100" s="608">
        <f t="shared" si="35"/>
        <v>0.40500000000000003</v>
      </c>
      <c r="AA100" s="608">
        <f t="shared" si="35"/>
        <v>0</v>
      </c>
      <c r="AB100" s="608">
        <f t="shared" si="35"/>
        <v>0</v>
      </c>
      <c r="AC100" s="608">
        <f t="shared" si="36"/>
        <v>0</v>
      </c>
      <c r="AD100" s="608">
        <f t="shared" si="36"/>
        <v>0</v>
      </c>
      <c r="AE100" s="608">
        <f t="shared" si="36"/>
        <v>0</v>
      </c>
      <c r="AF100" s="608">
        <f t="shared" si="36"/>
        <v>0</v>
      </c>
      <c r="AG100" s="608">
        <f t="shared" si="36"/>
        <v>0</v>
      </c>
      <c r="AH100" s="171"/>
      <c r="AI100" s="70" t="s">
        <v>1053</v>
      </c>
    </row>
    <row r="101" spans="3:35">
      <c r="C101" s="169"/>
      <c r="F101" s="70" t="s">
        <v>17</v>
      </c>
      <c r="J101" s="378"/>
      <c r="K101" s="378"/>
      <c r="L101" s="378"/>
      <c r="M101" s="378"/>
      <c r="N101" s="608"/>
      <c r="O101" s="349">
        <f>Summary_FO!O24</f>
        <v>5.6636524886877826</v>
      </c>
      <c r="P101" s="349">
        <f>Summary_FO!P24</f>
        <v>4.5108969804618111</v>
      </c>
      <c r="Q101" s="349">
        <f>Summary_FO!Q24</f>
        <v>7.6873251533742328</v>
      </c>
      <c r="R101" s="349">
        <f>Summary_FO!R24</f>
        <v>7.411487135506003</v>
      </c>
      <c r="S101" s="349">
        <f>Summary_FO!S24</f>
        <v>7.5732162849872768</v>
      </c>
      <c r="T101" s="349">
        <f>Summary_FO!T24</f>
        <v>10.665491525423727</v>
      </c>
      <c r="U101" s="349">
        <f>Summary_FO!U24</f>
        <v>8.2149276018099542</v>
      </c>
      <c r="V101" s="349">
        <f>Summary_FO!V24</f>
        <v>10.905460388646288</v>
      </c>
      <c r="W101" s="349">
        <f>Summary_FO!W24</f>
        <v>8.5</v>
      </c>
      <c r="X101" s="349">
        <f>Summary_FO!X24</f>
        <v>6.7</v>
      </c>
      <c r="Y101" s="608">
        <f>Summary_FO!Y24</f>
        <v>6.7</v>
      </c>
      <c r="Z101" s="608">
        <f>Summary_FO!Z24</f>
        <v>6.7</v>
      </c>
      <c r="AA101" s="608">
        <f>Summary_FO!AA24</f>
        <v>6.7</v>
      </c>
      <c r="AB101" s="608">
        <f>Summary_FO!AB24</f>
        <v>6.7</v>
      </c>
      <c r="AC101" s="608">
        <f>Summary_FO!AC24</f>
        <v>6.7</v>
      </c>
      <c r="AD101" s="608">
        <f>Summary_FO!AD24</f>
        <v>6.7</v>
      </c>
      <c r="AE101" s="608">
        <f>Summary_FO!AE24</f>
        <v>6.7</v>
      </c>
      <c r="AF101" s="608">
        <f>Summary_FO!AF24</f>
        <v>6.7</v>
      </c>
      <c r="AG101" s="608">
        <f>Summary_FO!AG24</f>
        <v>6.7</v>
      </c>
      <c r="AH101" s="171"/>
      <c r="AI101" s="70" t="s">
        <v>1053</v>
      </c>
    </row>
    <row r="102" spans="3:35">
      <c r="C102" s="169"/>
      <c r="F102" s="70" t="s">
        <v>101</v>
      </c>
      <c r="J102" s="378"/>
      <c r="K102" s="378"/>
      <c r="L102" s="378"/>
      <c r="M102" s="378"/>
      <c r="N102" s="608"/>
      <c r="O102" s="349">
        <f t="shared" ref="O102:W102" si="38">+O15</f>
        <v>0</v>
      </c>
      <c r="P102" s="349">
        <f t="shared" si="38"/>
        <v>0</v>
      </c>
      <c r="Q102" s="349">
        <f t="shared" si="38"/>
        <v>0</v>
      </c>
      <c r="R102" s="349">
        <f t="shared" si="38"/>
        <v>0</v>
      </c>
      <c r="S102" s="349">
        <f t="shared" si="38"/>
        <v>0</v>
      </c>
      <c r="T102" s="349">
        <f t="shared" si="38"/>
        <v>0</v>
      </c>
      <c r="U102" s="349">
        <f t="shared" si="38"/>
        <v>0</v>
      </c>
      <c r="V102" s="349">
        <f t="shared" si="38"/>
        <v>0</v>
      </c>
      <c r="W102" s="349">
        <f t="shared" si="38"/>
        <v>0</v>
      </c>
      <c r="X102" s="349">
        <f t="shared" ref="X102:AG102" si="39">+X15</f>
        <v>60.831457455994489</v>
      </c>
      <c r="Y102" s="608">
        <f t="shared" si="39"/>
        <v>61.562985399844415</v>
      </c>
      <c r="Z102" s="608">
        <f t="shared" si="39"/>
        <v>60.953792500767563</v>
      </c>
      <c r="AA102" s="608">
        <f t="shared" si="39"/>
        <v>61.747679255794928</v>
      </c>
      <c r="AB102" s="608">
        <f t="shared" si="39"/>
        <v>61.750141120738917</v>
      </c>
      <c r="AC102" s="608">
        <f t="shared" si="39"/>
        <v>62.527376510216712</v>
      </c>
      <c r="AD102" s="608">
        <f t="shared" si="39"/>
        <v>63.319367578321057</v>
      </c>
      <c r="AE102" s="608">
        <f t="shared" si="39"/>
        <v>64.1260523321655</v>
      </c>
      <c r="AF102" s="608">
        <f t="shared" si="39"/>
        <v>64.947662525990609</v>
      </c>
      <c r="AG102" s="608">
        <f t="shared" si="39"/>
        <v>65.784431611925186</v>
      </c>
      <c r="AH102" s="171"/>
      <c r="AI102" s="70" t="s">
        <v>1053</v>
      </c>
    </row>
    <row r="103" spans="3:35">
      <c r="C103" s="169"/>
      <c r="F103" s="70" t="s">
        <v>102</v>
      </c>
      <c r="J103" s="378"/>
      <c r="K103" s="378"/>
      <c r="L103" s="378"/>
      <c r="M103" s="378"/>
      <c r="N103" s="608"/>
      <c r="O103" s="349">
        <f t="shared" ref="O103:W103" si="40">+O62+O45</f>
        <v>340.7354407469806</v>
      </c>
      <c r="P103" s="349">
        <f t="shared" si="40"/>
        <v>345.69371834185586</v>
      </c>
      <c r="Q103" s="349">
        <f t="shared" si="40"/>
        <v>353.55239395858433</v>
      </c>
      <c r="R103" s="349">
        <f t="shared" si="40"/>
        <v>366.92975790774221</v>
      </c>
      <c r="S103" s="349">
        <f t="shared" si="40"/>
        <v>390.51783805655111</v>
      </c>
      <c r="T103" s="349">
        <f t="shared" si="40"/>
        <v>417.75952658569406</v>
      </c>
      <c r="U103" s="349">
        <f t="shared" si="40"/>
        <v>441.05369944340055</v>
      </c>
      <c r="V103" s="349">
        <f t="shared" si="40"/>
        <v>485.28209281288542</v>
      </c>
      <c r="W103" s="349">
        <f t="shared" si="40"/>
        <v>514.48689209302154</v>
      </c>
      <c r="X103" s="349">
        <f ca="1">+X62+X45</f>
        <v>526.8015818302589</v>
      </c>
      <c r="Y103" s="608">
        <f t="shared" ref="Y103:AG103" ca="1" si="41">+Y62+Y45</f>
        <v>555.49717817963199</v>
      </c>
      <c r="Z103" s="608">
        <f t="shared" ca="1" si="41"/>
        <v>577.96121661620759</v>
      </c>
      <c r="AA103" s="608">
        <f t="shared" ca="1" si="41"/>
        <v>596.94189510040212</v>
      </c>
      <c r="AB103" s="608">
        <f t="shared" ca="1" si="41"/>
        <v>628.56279021138255</v>
      </c>
      <c r="AC103" s="608">
        <f t="shared" ca="1" si="41"/>
        <v>664.72489519498185</v>
      </c>
      <c r="AD103" s="608">
        <f t="shared" ca="1" si="41"/>
        <v>693.89916513870025</v>
      </c>
      <c r="AE103" s="608">
        <f t="shared" ca="1" si="41"/>
        <v>715.68214415979958</v>
      </c>
      <c r="AF103" s="608">
        <f t="shared" ca="1" si="41"/>
        <v>737.31479252613713</v>
      </c>
      <c r="AG103" s="608">
        <f t="shared" ca="1" si="41"/>
        <v>758.48222735080776</v>
      </c>
      <c r="AH103" s="171"/>
      <c r="AI103" s="70" t="s">
        <v>1053</v>
      </c>
    </row>
    <row r="104" spans="3:35">
      <c r="C104" s="169"/>
      <c r="F104" s="232" t="s">
        <v>103</v>
      </c>
      <c r="J104" s="378"/>
      <c r="K104" s="378"/>
      <c r="L104" s="378"/>
      <c r="M104" s="378"/>
      <c r="N104" s="608"/>
      <c r="O104" s="349">
        <f t="shared" ref="O104:W104" si="42">+O103*O86</f>
        <v>204.44126444818835</v>
      </c>
      <c r="P104" s="349">
        <f t="shared" si="42"/>
        <v>207.4162310051135</v>
      </c>
      <c r="Q104" s="349">
        <f t="shared" si="42"/>
        <v>212.1314363751506</v>
      </c>
      <c r="R104" s="349">
        <f t="shared" si="42"/>
        <v>220.15785474464533</v>
      </c>
      <c r="S104" s="349">
        <f t="shared" si="42"/>
        <v>234.31070283393066</v>
      </c>
      <c r="T104" s="349">
        <f t="shared" si="42"/>
        <v>250.65571595141643</v>
      </c>
      <c r="U104" s="349">
        <f t="shared" si="42"/>
        <v>264.63221966604033</v>
      </c>
      <c r="V104" s="349">
        <f t="shared" si="42"/>
        <v>291.16925568773127</v>
      </c>
      <c r="W104" s="349">
        <f t="shared" si="42"/>
        <v>308.6921352558129</v>
      </c>
      <c r="X104" s="349">
        <f ca="1">+X103*X86</f>
        <v>316.08094909815532</v>
      </c>
      <c r="Y104" s="608">
        <f t="shared" ref="Y104:AG104" ca="1" si="43">+Y103*Y86</f>
        <v>333.29830690777919</v>
      </c>
      <c r="Z104" s="608">
        <f t="shared" ca="1" si="43"/>
        <v>346.77672996972456</v>
      </c>
      <c r="AA104" s="608">
        <f t="shared" ca="1" si="43"/>
        <v>358.16513706024125</v>
      </c>
      <c r="AB104" s="608">
        <f t="shared" ca="1" si="43"/>
        <v>377.13767412682949</v>
      </c>
      <c r="AC104" s="608">
        <f t="shared" ca="1" si="43"/>
        <v>398.83493711698912</v>
      </c>
      <c r="AD104" s="608">
        <f t="shared" ca="1" si="43"/>
        <v>416.33949908322012</v>
      </c>
      <c r="AE104" s="608">
        <f t="shared" ca="1" si="43"/>
        <v>429.40928649587971</v>
      </c>
      <c r="AF104" s="608">
        <f t="shared" ca="1" si="43"/>
        <v>442.38887551568229</v>
      </c>
      <c r="AG104" s="608">
        <f t="shared" ca="1" si="43"/>
        <v>455.08933641048463</v>
      </c>
      <c r="AH104" s="171"/>
      <c r="AI104" s="70" t="s">
        <v>1053</v>
      </c>
    </row>
    <row r="105" spans="3:35">
      <c r="C105" s="169"/>
      <c r="J105" s="378"/>
      <c r="K105" s="378"/>
      <c r="L105" s="378"/>
      <c r="M105" s="378"/>
      <c r="N105" s="608"/>
      <c r="O105" s="378"/>
      <c r="P105" s="349"/>
      <c r="Q105" s="349"/>
      <c r="R105" s="349"/>
      <c r="S105" s="349"/>
      <c r="T105" s="349"/>
      <c r="U105" s="349"/>
      <c r="V105" s="349"/>
      <c r="W105" s="349"/>
      <c r="X105" s="349"/>
      <c r="Y105" s="608"/>
      <c r="Z105" s="608"/>
      <c r="AA105" s="608"/>
      <c r="AB105" s="608"/>
      <c r="AC105" s="608"/>
      <c r="AD105" s="608"/>
      <c r="AE105" s="608"/>
      <c r="AF105" s="608"/>
      <c r="AG105" s="608"/>
      <c r="AH105" s="171"/>
    </row>
    <row r="106" spans="3:35">
      <c r="C106" s="169"/>
      <c r="F106" s="899" t="s">
        <v>104</v>
      </c>
      <c r="J106" s="378"/>
      <c r="K106" s="378"/>
      <c r="L106" s="378"/>
      <c r="M106" s="378"/>
      <c r="N106" s="608"/>
      <c r="O106" s="378"/>
      <c r="P106" s="349"/>
      <c r="Q106" s="349"/>
      <c r="R106" s="349"/>
      <c r="S106" s="349"/>
      <c r="T106" s="349"/>
      <c r="U106" s="349"/>
      <c r="V106" s="349"/>
      <c r="W106" s="349"/>
      <c r="X106" s="349"/>
      <c r="Y106" s="608"/>
      <c r="Z106" s="608"/>
      <c r="AA106" s="608"/>
      <c r="AB106" s="608"/>
      <c r="AC106" s="608"/>
      <c r="AD106" s="608"/>
      <c r="AE106" s="608"/>
      <c r="AF106" s="608"/>
      <c r="AG106" s="608"/>
      <c r="AH106" s="171"/>
    </row>
    <row r="107" spans="3:35">
      <c r="C107" s="169"/>
      <c r="F107" s="70" t="s">
        <v>72</v>
      </c>
      <c r="J107" s="378"/>
      <c r="K107" s="378"/>
      <c r="L107" s="378"/>
      <c r="M107" s="378"/>
      <c r="N107" s="608"/>
      <c r="O107" s="349">
        <f t="shared" ref="O107:W107" si="44">+O98*O$85</f>
        <v>59.551624206755349</v>
      </c>
      <c r="P107" s="349">
        <f t="shared" si="44"/>
        <v>61.061875006692269</v>
      </c>
      <c r="Q107" s="349">
        <f t="shared" si="44"/>
        <v>62.602626232255169</v>
      </c>
      <c r="R107" s="349">
        <f t="shared" si="44"/>
        <v>64.712191542719381</v>
      </c>
      <c r="S107" s="349">
        <f t="shared" si="44"/>
        <v>66.246369963455678</v>
      </c>
      <c r="T107" s="349">
        <f t="shared" si="44"/>
        <v>70.330052440259209</v>
      </c>
      <c r="U107" s="349">
        <f t="shared" si="44"/>
        <v>76.182328726632946</v>
      </c>
      <c r="V107" s="349">
        <f t="shared" si="44"/>
        <v>79.942197174736023</v>
      </c>
      <c r="W107" s="349">
        <f t="shared" si="44"/>
        <v>82.806383491758865</v>
      </c>
      <c r="X107" s="349">
        <f ca="1">+X98*X$85</f>
        <v>98.314285804408357</v>
      </c>
      <c r="Y107" s="608">
        <f t="shared" ref="Y107:AB111" ca="1" si="45">+Y98*Y$85</f>
        <v>104.63172721942587</v>
      </c>
      <c r="Z107" s="608">
        <f t="shared" ca="1" si="45"/>
        <v>109.87671709355645</v>
      </c>
      <c r="AA107" s="608">
        <f t="shared" ca="1" si="45"/>
        <v>116.33905484971828</v>
      </c>
      <c r="AB107" s="608">
        <f t="shared" ca="1" si="45"/>
        <v>123.99457930026021</v>
      </c>
      <c r="AC107" s="608">
        <f t="shared" ref="AC107:AG111" ca="1" si="46">+AC98*AC$85</f>
        <v>133.87943809885579</v>
      </c>
      <c r="AD107" s="608">
        <f t="shared" ca="1" si="46"/>
        <v>142.78307613161743</v>
      </c>
      <c r="AE107" s="608">
        <f t="shared" ca="1" si="46"/>
        <v>150.0732552025855</v>
      </c>
      <c r="AF107" s="608">
        <f t="shared" ca="1" si="46"/>
        <v>157.3415116325894</v>
      </c>
      <c r="AG107" s="608">
        <f t="shared" ca="1" si="46"/>
        <v>165.91185864511459</v>
      </c>
      <c r="AH107" s="171"/>
      <c r="AI107" s="70" t="s">
        <v>1053</v>
      </c>
    </row>
    <row r="108" spans="3:35">
      <c r="C108" s="169"/>
      <c r="F108" s="70" t="s">
        <v>22</v>
      </c>
      <c r="J108" s="378"/>
      <c r="K108" s="378"/>
      <c r="L108" s="378"/>
      <c r="M108" s="378"/>
      <c r="N108" s="608"/>
      <c r="O108" s="349">
        <f t="shared" ref="O108:W108" si="47">+O99*O$85</f>
        <v>2.1147000000000005</v>
      </c>
      <c r="P108" s="349">
        <f t="shared" si="47"/>
        <v>2.617</v>
      </c>
      <c r="Q108" s="349">
        <f t="shared" si="47"/>
        <v>2.5640000000000001</v>
      </c>
      <c r="R108" s="349">
        <f t="shared" si="47"/>
        <v>3.6400000000000006</v>
      </c>
      <c r="S108" s="349">
        <f t="shared" si="47"/>
        <v>2.8849999999999998</v>
      </c>
      <c r="T108" s="349">
        <f t="shared" si="47"/>
        <v>3.847</v>
      </c>
      <c r="U108" s="349">
        <f t="shared" si="47"/>
        <v>3.8689999999999998</v>
      </c>
      <c r="V108" s="349">
        <f t="shared" si="47"/>
        <v>4.2831419999999998</v>
      </c>
      <c r="W108" s="349">
        <f t="shared" si="47"/>
        <v>3.5</v>
      </c>
      <c r="X108" s="349">
        <f>+X99*X$85</f>
        <v>4.4411639999999997</v>
      </c>
      <c r="Y108" s="608">
        <f t="shared" si="45"/>
        <v>4.6377235799999994</v>
      </c>
      <c r="Z108" s="608">
        <f t="shared" si="45"/>
        <v>4.8441276914939992</v>
      </c>
      <c r="AA108" s="608">
        <f t="shared" si="45"/>
        <v>5.0608452044504331</v>
      </c>
      <c r="AB108" s="608">
        <f t="shared" si="45"/>
        <v>5.288365736663625</v>
      </c>
      <c r="AC108" s="608">
        <f t="shared" si="46"/>
        <v>5.5272005159539939</v>
      </c>
      <c r="AD108" s="608">
        <f t="shared" si="46"/>
        <v>5.7778832764681702</v>
      </c>
      <c r="AE108" s="608">
        <f t="shared" si="46"/>
        <v>6.0409711903764265</v>
      </c>
      <c r="AF108" s="608">
        <f t="shared" si="46"/>
        <v>6.3157524198842534</v>
      </c>
      <c r="AG108" s="608">
        <f t="shared" si="46"/>
        <v>6.6067142059517288</v>
      </c>
      <c r="AH108" s="171"/>
      <c r="AI108" s="70" t="s">
        <v>1053</v>
      </c>
    </row>
    <row r="109" spans="3:35">
      <c r="C109" s="169"/>
      <c r="F109" s="70" t="s">
        <v>19</v>
      </c>
      <c r="J109" s="378"/>
      <c r="K109" s="378"/>
      <c r="L109" s="378"/>
      <c r="M109" s="378"/>
      <c r="N109" s="608"/>
      <c r="O109" s="349">
        <f t="shared" ref="O109:W109" si="48">+O100*O$85</f>
        <v>0</v>
      </c>
      <c r="P109" s="349">
        <f t="shared" si="48"/>
        <v>0</v>
      </c>
      <c r="Q109" s="349">
        <f t="shared" si="48"/>
        <v>0</v>
      </c>
      <c r="R109" s="349">
        <f t="shared" si="48"/>
        <v>0.36</v>
      </c>
      <c r="S109" s="349">
        <f t="shared" si="48"/>
        <v>0.24000000000000002</v>
      </c>
      <c r="T109" s="349">
        <f t="shared" si="48"/>
        <v>0.2</v>
      </c>
      <c r="U109" s="349">
        <f t="shared" si="48"/>
        <v>0.98849999999999982</v>
      </c>
      <c r="V109" s="349">
        <f t="shared" si="48"/>
        <v>1.3185000000000002</v>
      </c>
      <c r="W109" s="349">
        <f t="shared" si="48"/>
        <v>0</v>
      </c>
      <c r="X109" s="349">
        <f>+X100*X$85</f>
        <v>1.0289999999999999</v>
      </c>
      <c r="Y109" s="608">
        <f t="shared" si="45"/>
        <v>3.2771128949999997</v>
      </c>
      <c r="Z109" s="608">
        <f t="shared" si="45"/>
        <v>0.44126669254499995</v>
      </c>
      <c r="AA109" s="608">
        <f t="shared" si="45"/>
        <v>0</v>
      </c>
      <c r="AB109" s="608">
        <f t="shared" si="45"/>
        <v>0</v>
      </c>
      <c r="AC109" s="608">
        <f t="shared" si="46"/>
        <v>0</v>
      </c>
      <c r="AD109" s="608">
        <f t="shared" si="46"/>
        <v>0</v>
      </c>
      <c r="AE109" s="608">
        <f t="shared" si="46"/>
        <v>0</v>
      </c>
      <c r="AF109" s="608">
        <f t="shared" si="46"/>
        <v>0</v>
      </c>
      <c r="AG109" s="608">
        <f t="shared" si="46"/>
        <v>0</v>
      </c>
      <c r="AH109" s="171"/>
      <c r="AI109" s="70" t="s">
        <v>1053</v>
      </c>
    </row>
    <row r="110" spans="3:35">
      <c r="C110" s="169"/>
      <c r="F110" s="70" t="s">
        <v>17</v>
      </c>
      <c r="J110" s="378"/>
      <c r="K110" s="378"/>
      <c r="L110" s="378"/>
      <c r="M110" s="378"/>
      <c r="N110" s="608"/>
      <c r="O110" s="349">
        <f t="shared" ref="O110:W110" si="49">+O101*O$85</f>
        <v>4.4480000000000004</v>
      </c>
      <c r="P110" s="349">
        <f t="shared" si="49"/>
        <v>3.61</v>
      </c>
      <c r="Q110" s="349">
        <f t="shared" si="49"/>
        <v>6.234</v>
      </c>
      <c r="R110" s="349">
        <f t="shared" si="49"/>
        <v>6.1420000000000003</v>
      </c>
      <c r="S110" s="349">
        <f t="shared" si="49"/>
        <v>6.346000000000001</v>
      </c>
      <c r="T110" s="349">
        <f t="shared" si="49"/>
        <v>9.3919999999999995</v>
      </c>
      <c r="U110" s="349">
        <f t="shared" si="49"/>
        <v>7.7419999999999991</v>
      </c>
      <c r="V110" s="349">
        <f t="shared" si="49"/>
        <v>10.649682</v>
      </c>
      <c r="W110" s="349">
        <f t="shared" si="49"/>
        <v>8.5</v>
      </c>
      <c r="X110" s="349">
        <f>+X101*X$85</f>
        <v>6.8942999999999994</v>
      </c>
      <c r="Y110" s="608">
        <f t="shared" si="45"/>
        <v>7.0942346999999994</v>
      </c>
      <c r="Z110" s="608">
        <f t="shared" si="45"/>
        <v>7.2999675062999989</v>
      </c>
      <c r="AA110" s="608">
        <f t="shared" si="45"/>
        <v>7.5116665639826987</v>
      </c>
      <c r="AB110" s="608">
        <f t="shared" si="45"/>
        <v>7.7295048943381968</v>
      </c>
      <c r="AC110" s="608">
        <f t="shared" si="46"/>
        <v>7.953660536274004</v>
      </c>
      <c r="AD110" s="608">
        <f t="shared" si="46"/>
        <v>8.1843166918259485</v>
      </c>
      <c r="AE110" s="608">
        <f t="shared" si="46"/>
        <v>8.4216618758889012</v>
      </c>
      <c r="AF110" s="608">
        <f t="shared" si="46"/>
        <v>8.6658900702896773</v>
      </c>
      <c r="AG110" s="608">
        <f t="shared" si="46"/>
        <v>8.9172008823280784</v>
      </c>
      <c r="AH110" s="171"/>
      <c r="AI110" s="70" t="s">
        <v>1053</v>
      </c>
    </row>
    <row r="111" spans="3:35">
      <c r="C111" s="169"/>
      <c r="F111" s="70" t="s">
        <v>101</v>
      </c>
      <c r="J111" s="378"/>
      <c r="K111" s="378"/>
      <c r="L111" s="378"/>
      <c r="M111" s="378"/>
      <c r="N111" s="608"/>
      <c r="O111" s="349">
        <f t="shared" ref="O111:W111" si="50">+O102*O$85</f>
        <v>0</v>
      </c>
      <c r="P111" s="349">
        <f t="shared" si="50"/>
        <v>0</v>
      </c>
      <c r="Q111" s="349">
        <f t="shared" si="50"/>
        <v>0</v>
      </c>
      <c r="R111" s="349">
        <f t="shared" si="50"/>
        <v>0</v>
      </c>
      <c r="S111" s="349">
        <f t="shared" si="50"/>
        <v>0</v>
      </c>
      <c r="T111" s="349">
        <f t="shared" si="50"/>
        <v>0</v>
      </c>
      <c r="U111" s="349">
        <f t="shared" si="50"/>
        <v>0</v>
      </c>
      <c r="V111" s="349">
        <f t="shared" si="50"/>
        <v>0</v>
      </c>
      <c r="W111" s="349">
        <f t="shared" si="50"/>
        <v>0</v>
      </c>
      <c r="X111" s="349">
        <f>+X102*X$85</f>
        <v>62.595569722218322</v>
      </c>
      <c r="Y111" s="608">
        <f t="shared" si="45"/>
        <v>65.185413023756652</v>
      </c>
      <c r="Z111" s="608">
        <f t="shared" si="45"/>
        <v>66.412045468859063</v>
      </c>
      <c r="AA111" s="608">
        <f t="shared" si="45"/>
        <v>69.228056368549673</v>
      </c>
      <c r="AB111" s="608">
        <f t="shared" si="45"/>
        <v>71.23851015206354</v>
      </c>
      <c r="AC111" s="608">
        <f t="shared" si="46"/>
        <v>74.227093580008471</v>
      </c>
      <c r="AD111" s="608">
        <f t="shared" si="46"/>
        <v>77.347127908524755</v>
      </c>
      <c r="AE111" s="608">
        <f t="shared" si="46"/>
        <v>80.604168683142504</v>
      </c>
      <c r="AF111" s="608">
        <f t="shared" si="46"/>
        <v>84.004373697389113</v>
      </c>
      <c r="AG111" s="608">
        <f t="shared" si="46"/>
        <v>87.554177852732892</v>
      </c>
      <c r="AH111" s="171"/>
      <c r="AI111" s="70" t="s">
        <v>1053</v>
      </c>
    </row>
    <row r="112" spans="3:35">
      <c r="C112" s="169"/>
      <c r="F112" s="70" t="s">
        <v>105</v>
      </c>
      <c r="J112" s="378"/>
      <c r="K112" s="378"/>
      <c r="L112" s="378"/>
      <c r="M112" s="378"/>
      <c r="N112" s="378"/>
      <c r="O112" s="349">
        <f>+'Finance&amp;Tax_FO'!O19</f>
        <v>0</v>
      </c>
      <c r="P112" s="349">
        <f>+'Finance&amp;Tax_FO'!P19</f>
        <v>0</v>
      </c>
      <c r="Q112" s="349">
        <f>+'Finance&amp;Tax_FO'!Q19</f>
        <v>0</v>
      </c>
      <c r="R112" s="349">
        <f>+'Finance&amp;Tax_FO'!R19</f>
        <v>0</v>
      </c>
      <c r="S112" s="349">
        <f>+'Finance&amp;Tax_FO'!S19</f>
        <v>0</v>
      </c>
      <c r="T112" s="349">
        <f>+'Finance&amp;Tax_FO'!T19</f>
        <v>0</v>
      </c>
      <c r="U112" s="349">
        <f>+'Finance&amp;Tax_FO'!U19</f>
        <v>0</v>
      </c>
      <c r="V112" s="349">
        <f>+'Finance&amp;Tax_FO'!V19</f>
        <v>0</v>
      </c>
      <c r="W112" s="349">
        <f>+'Finance&amp;Tax_FO'!W19</f>
        <v>0</v>
      </c>
      <c r="X112" s="349">
        <f ca="1">+'Finance&amp;Tax_FO'!X19</f>
        <v>0.86499341503749982</v>
      </c>
      <c r="Y112" s="378">
        <f ca="1">+'Finance&amp;Tax_FO'!Y19</f>
        <v>2.6440715340724998</v>
      </c>
      <c r="Z112" s="378">
        <f ca="1">+'Finance&amp;Tax_FO'!Z19</f>
        <v>4.3514026414196971</v>
      </c>
      <c r="AA112" s="378">
        <f ca="1">+'Finance&amp;Tax_FO'!AA19</f>
        <v>6.0001198454919509</v>
      </c>
      <c r="AB112" s="378">
        <f ca="1">+'Finance&amp;Tax_FO'!AB19</f>
        <v>7.9000953431513778</v>
      </c>
      <c r="AC112" s="378">
        <f ca="1">+'Finance&amp;Tax_FO'!AC19</f>
        <v>9.8660410818590858</v>
      </c>
      <c r="AD112" s="378">
        <f ca="1">+'Finance&amp;Tax_FO'!AD19</f>
        <v>11.689124648047882</v>
      </c>
      <c r="AE112" s="378">
        <f ca="1">+'Finance&amp;Tax_FO'!AE19</f>
        <v>13.32480960040164</v>
      </c>
      <c r="AF112" s="378">
        <f ca="1">+'Finance&amp;Tax_FO'!AF19</f>
        <v>15.067203580871832</v>
      </c>
      <c r="AG112" s="378">
        <f ca="1">+'Finance&amp;Tax_FO'!AG19</f>
        <v>17.02996603691258</v>
      </c>
      <c r="AH112" s="171"/>
      <c r="AI112" s="70" t="s">
        <v>1053</v>
      </c>
    </row>
    <row r="113" spans="3:35">
      <c r="C113" s="169"/>
      <c r="F113" s="70" t="s">
        <v>106</v>
      </c>
      <c r="J113" s="608"/>
      <c r="K113" s="608"/>
      <c r="L113" s="608"/>
      <c r="M113" s="608"/>
      <c r="N113" s="608"/>
      <c r="O113" s="349">
        <f>+'Finance&amp;Tax_FO'!O18</f>
        <v>10.176</v>
      </c>
      <c r="P113" s="349">
        <f>+'Finance&amp;Tax_FO'!P18</f>
        <v>8.2959999999999994</v>
      </c>
      <c r="Q113" s="349">
        <f>+'Finance&amp;Tax_FO'!Q18</f>
        <v>8.5760000000000005</v>
      </c>
      <c r="R113" s="349">
        <f>+'Finance&amp;Tax_FO'!R18</f>
        <v>8.843</v>
      </c>
      <c r="S113" s="349">
        <f>+'Finance&amp;Tax_FO'!S18</f>
        <v>9.298</v>
      </c>
      <c r="T113" s="349">
        <f>+'Finance&amp;Tax_FO'!T18</f>
        <v>9.3989999999999991</v>
      </c>
      <c r="U113" s="349">
        <f>+'Finance&amp;Tax_FO'!U18</f>
        <v>10.446</v>
      </c>
      <c r="V113" s="349">
        <f>+'Finance&amp;Tax_FO'!V18</f>
        <v>10.446</v>
      </c>
      <c r="W113" s="349">
        <f>+'Finance&amp;Tax_FO'!W18</f>
        <v>10.446</v>
      </c>
      <c r="X113" s="349">
        <f>+'Finance&amp;Tax_FO'!X18</f>
        <v>10.446</v>
      </c>
      <c r="Y113" s="608">
        <f>+'Finance&amp;Tax_FO'!Y18</f>
        <v>10.446</v>
      </c>
      <c r="Z113" s="608">
        <f>+'Finance&amp;Tax_FO'!Z18</f>
        <v>10.446</v>
      </c>
      <c r="AA113" s="608">
        <f>+'Finance&amp;Tax_FO'!AA18</f>
        <v>10.446</v>
      </c>
      <c r="AB113" s="608">
        <f>+'Finance&amp;Tax_FO'!AB18</f>
        <v>10.446</v>
      </c>
      <c r="AC113" s="608">
        <f>+'Finance&amp;Tax_FO'!AC18</f>
        <v>10.446</v>
      </c>
      <c r="AD113" s="608">
        <f>+'Finance&amp;Tax_FO'!AD18</f>
        <v>10.446</v>
      </c>
      <c r="AE113" s="608">
        <f>+'Finance&amp;Tax_FO'!AE18</f>
        <v>10.446</v>
      </c>
      <c r="AF113" s="608">
        <f>+'Finance&amp;Tax_FO'!AF18</f>
        <v>10.446</v>
      </c>
      <c r="AG113" s="608">
        <f>+'Finance&amp;Tax_FO'!AG18</f>
        <v>10.446</v>
      </c>
      <c r="AH113" s="171"/>
      <c r="AI113" s="70" t="s">
        <v>1053</v>
      </c>
    </row>
    <row r="114" spans="3:35" s="90" customFormat="1">
      <c r="C114" s="1819"/>
      <c r="F114" s="70" t="s">
        <v>107</v>
      </c>
      <c r="J114" s="1820"/>
      <c r="K114" s="1820"/>
      <c r="L114" s="1820"/>
      <c r="M114" s="1820"/>
      <c r="N114" s="1821"/>
      <c r="O114" s="349">
        <f t="shared" ref="O114:W114" si="51">O104*O$91*O$85</f>
        <v>10.100503117363802</v>
      </c>
      <c r="P114" s="349">
        <f t="shared" si="51"/>
        <v>9.9632281016491007</v>
      </c>
      <c r="Q114" s="349">
        <f t="shared" si="51"/>
        <v>9.9294719207342332</v>
      </c>
      <c r="R114" s="349">
        <f t="shared" si="51"/>
        <v>9.7909508300803267</v>
      </c>
      <c r="S114" s="349">
        <f t="shared" si="51"/>
        <v>9.7508253039766011</v>
      </c>
      <c r="T114" s="349">
        <f t="shared" si="51"/>
        <v>10.397776391960408</v>
      </c>
      <c r="U114" s="349">
        <f t="shared" si="51"/>
        <v>12.120313825987889</v>
      </c>
      <c r="V114" s="349">
        <f t="shared" si="51"/>
        <v>13.670837753363854</v>
      </c>
      <c r="W114" s="349">
        <f t="shared" si="51"/>
        <v>14.990595853132069</v>
      </c>
      <c r="X114" s="349">
        <f ca="1">X104*X$91*X$85</f>
        <v>15.980960870062733</v>
      </c>
      <c r="Y114" s="349">
        <f t="shared" ref="Y114:AG114" ca="1" si="52">Y104*Y$91*Y$85</f>
        <v>17.670116977461639</v>
      </c>
      <c r="Z114" s="349">
        <f t="shared" ca="1" si="52"/>
        <v>19.41468998274043</v>
      </c>
      <c r="AA114" s="349">
        <f t="shared" ca="1" si="52"/>
        <v>21.12769812734906</v>
      </c>
      <c r="AB114" s="349">
        <f t="shared" ca="1" si="52"/>
        <v>23.996043090648048</v>
      </c>
      <c r="AC114" s="349">
        <f t="shared" ca="1" si="52"/>
        <v>27.437379523025669</v>
      </c>
      <c r="AD114" s="349">
        <f t="shared" ca="1" si="52"/>
        <v>30.535113523645315</v>
      </c>
      <c r="AE114" s="349">
        <f t="shared" ca="1" si="52"/>
        <v>31.911770002147048</v>
      </c>
      <c r="AF114" s="349">
        <f t="shared" ca="1" si="52"/>
        <v>33.434955867405087</v>
      </c>
      <c r="AG114" s="349">
        <f t="shared" ca="1" si="52"/>
        <v>35.39228405063254</v>
      </c>
      <c r="AH114" s="1822"/>
      <c r="AI114" s="70" t="s">
        <v>1053</v>
      </c>
    </row>
    <row r="115" spans="3:35">
      <c r="C115" s="169"/>
      <c r="F115" s="70" t="s">
        <v>108</v>
      </c>
      <c r="J115" s="378"/>
      <c r="K115" s="378"/>
      <c r="L115" s="378"/>
      <c r="M115" s="378"/>
      <c r="N115" s="378"/>
      <c r="O115" s="349">
        <f>+'Finance&amp;Tax_FO'!O20</f>
        <v>0</v>
      </c>
      <c r="P115" s="349">
        <f>+'Finance&amp;Tax_FO'!P20</f>
        <v>27.082000000000001</v>
      </c>
      <c r="Q115" s="349">
        <f>+'Finance&amp;Tax_FO'!Q20</f>
        <v>0</v>
      </c>
      <c r="R115" s="349">
        <f>+'Finance&amp;Tax_FO'!R20</f>
        <v>0</v>
      </c>
      <c r="S115" s="349">
        <f>+'Finance&amp;Tax_FO'!S20</f>
        <v>0</v>
      </c>
      <c r="T115" s="349">
        <f>+'Finance&amp;Tax_FO'!T20</f>
        <v>0</v>
      </c>
      <c r="U115" s="349">
        <f>+'Finance&amp;Tax_FO'!U20</f>
        <v>0</v>
      </c>
      <c r="V115" s="349">
        <f>+'Finance&amp;Tax_FO'!V20</f>
        <v>0</v>
      </c>
      <c r="W115" s="349">
        <f>+'Finance&amp;Tax_FO'!W20</f>
        <v>0</v>
      </c>
      <c r="X115" s="600">
        <f>+'Finance&amp;Tax_FO'!X20</f>
        <v>11.083</v>
      </c>
      <c r="Y115" s="608">
        <f t="shared" ref="Y115:AG115" ca="1" si="53">IF(X116&lt;0,-X116,0)</f>
        <v>0</v>
      </c>
      <c r="Z115" s="608">
        <f t="shared" ca="1" si="53"/>
        <v>0</v>
      </c>
      <c r="AA115" s="608">
        <f t="shared" ca="1" si="53"/>
        <v>0</v>
      </c>
      <c r="AB115" s="608">
        <f t="shared" ca="1" si="53"/>
        <v>0</v>
      </c>
      <c r="AC115" s="608">
        <f t="shared" ca="1" si="53"/>
        <v>0</v>
      </c>
      <c r="AD115" s="608">
        <f t="shared" ca="1" si="53"/>
        <v>0</v>
      </c>
      <c r="AE115" s="608">
        <f t="shared" ca="1" si="53"/>
        <v>0</v>
      </c>
      <c r="AF115" s="608">
        <f t="shared" ca="1" si="53"/>
        <v>0</v>
      </c>
      <c r="AG115" s="608">
        <f t="shared" ca="1" si="53"/>
        <v>0</v>
      </c>
      <c r="AH115" s="171"/>
      <c r="AI115" s="70" t="s">
        <v>1053</v>
      </c>
    </row>
    <row r="116" spans="3:35">
      <c r="C116" s="169"/>
      <c r="F116" s="70" t="s">
        <v>270</v>
      </c>
      <c r="J116" s="378"/>
      <c r="K116" s="378"/>
      <c r="L116" s="378"/>
      <c r="M116" s="378"/>
      <c r="N116" s="608"/>
      <c r="O116" s="349">
        <f t="shared" ref="O116:W116" si="54">SUM(O107:O108,O110)-SUM(O111:O115)</f>
        <v>45.837821089391554</v>
      </c>
      <c r="P116" s="349">
        <f t="shared" si="54"/>
        <v>21.947646905043165</v>
      </c>
      <c r="Q116" s="349">
        <f t="shared" si="54"/>
        <v>52.895154311520926</v>
      </c>
      <c r="R116" s="349">
        <f t="shared" si="54"/>
        <v>55.860240712639055</v>
      </c>
      <c r="S116" s="349">
        <f t="shared" si="54"/>
        <v>56.428544659479087</v>
      </c>
      <c r="T116" s="349">
        <f t="shared" si="54"/>
        <v>63.772276048298792</v>
      </c>
      <c r="U116" s="349">
        <f t="shared" si="54"/>
        <v>65.227014900645059</v>
      </c>
      <c r="V116" s="349">
        <f t="shared" si="54"/>
        <v>70.758183421372166</v>
      </c>
      <c r="W116" s="349">
        <f t="shared" si="54"/>
        <v>69.369787638626804</v>
      </c>
      <c r="X116" s="349">
        <f ca="1">SUM(X107:X108,X110)-SUM(X111:X115)</f>
        <v>8.6792257970897992</v>
      </c>
      <c r="Y116" s="608">
        <f t="shared" ref="Y116:AG116" ca="1" si="55">SUM(Y107:Y108,Y110)-SUM(Y111:Y115)</f>
        <v>20.418083964135079</v>
      </c>
      <c r="Z116" s="608">
        <f t="shared" ca="1" si="55"/>
        <v>21.396674198331255</v>
      </c>
      <c r="AA116" s="608">
        <f t="shared" ca="1" si="55"/>
        <v>22.109692276760711</v>
      </c>
      <c r="AB116" s="608">
        <f t="shared" ca="1" si="55"/>
        <v>23.43180134539908</v>
      </c>
      <c r="AC116" s="608">
        <f t="shared" ca="1" si="55"/>
        <v>25.383784966190589</v>
      </c>
      <c r="AD116" s="608">
        <f t="shared" ca="1" si="55"/>
        <v>26.72791001969361</v>
      </c>
      <c r="AE116" s="608">
        <f t="shared" ca="1" si="55"/>
        <v>28.249139983159665</v>
      </c>
      <c r="AF116" s="608">
        <f t="shared" ca="1" si="55"/>
        <v>29.370620977097332</v>
      </c>
      <c r="AG116" s="608">
        <f t="shared" ca="1" si="55"/>
        <v>31.0133457931164</v>
      </c>
      <c r="AH116" s="171"/>
      <c r="AI116" s="70" t="s">
        <v>1053</v>
      </c>
    </row>
    <row r="117" spans="3:35">
      <c r="C117" s="169"/>
      <c r="F117" s="70" t="s">
        <v>109</v>
      </c>
      <c r="J117" s="378"/>
      <c r="K117" s="378"/>
      <c r="L117" s="378"/>
      <c r="M117" s="378"/>
      <c r="N117" s="608"/>
      <c r="O117" s="349">
        <f t="shared" ref="O117:W117" si="56">IF(O116&lt;0,0,O116*O$87/(1-O87*(1-$H$92)))</f>
        <v>16.178054502138195</v>
      </c>
      <c r="P117" s="349">
        <f t="shared" si="56"/>
        <v>7.746228319426999</v>
      </c>
      <c r="Q117" s="349">
        <f t="shared" si="56"/>
        <v>18.668877992301503</v>
      </c>
      <c r="R117" s="349">
        <f t="shared" si="56"/>
        <v>19.715379075049078</v>
      </c>
      <c r="S117" s="349">
        <f t="shared" si="56"/>
        <v>19.915956938639678</v>
      </c>
      <c r="T117" s="349">
        <f t="shared" si="56"/>
        <v>22.507862134693692</v>
      </c>
      <c r="U117" s="349">
        <f t="shared" si="56"/>
        <v>23.021299376698256</v>
      </c>
      <c r="V117" s="349">
        <f t="shared" si="56"/>
        <v>24.973476501660766</v>
      </c>
      <c r="W117" s="349">
        <f t="shared" si="56"/>
        <v>24.48345446069181</v>
      </c>
      <c r="X117" s="349">
        <f ca="1">IF(X116&lt;0,0,X116*X$87/(1-X87*(1-$H$92)))</f>
        <v>0</v>
      </c>
      <c r="Y117" s="608">
        <f t="shared" ref="Y117:AG117" ca="1" si="57">IF(Y116&lt;0,0,Y116*Y$87/(1-Y87*(1-$H$92)))</f>
        <v>0</v>
      </c>
      <c r="Z117" s="608">
        <f t="shared" ca="1" si="57"/>
        <v>0</v>
      </c>
      <c r="AA117" s="608">
        <f t="shared" ca="1" si="57"/>
        <v>0</v>
      </c>
      <c r="AB117" s="608">
        <f t="shared" ca="1" si="57"/>
        <v>0</v>
      </c>
      <c r="AC117" s="608">
        <f t="shared" ca="1" si="57"/>
        <v>8.9589829292437368</v>
      </c>
      <c r="AD117" s="608">
        <f t="shared" ca="1" si="57"/>
        <v>9.4333800069506868</v>
      </c>
      <c r="AE117" s="608">
        <f t="shared" ca="1" si="57"/>
        <v>9.9702846999387056</v>
      </c>
      <c r="AF117" s="608">
        <f t="shared" ca="1" si="57"/>
        <v>10.366101521328469</v>
      </c>
      <c r="AG117" s="608">
        <f t="shared" ca="1" si="57"/>
        <v>10.94588675051167</v>
      </c>
      <c r="AH117" s="171"/>
      <c r="AI117" s="70" t="s">
        <v>1053</v>
      </c>
    </row>
    <row r="118" spans="3:35">
      <c r="C118" s="169"/>
      <c r="F118" s="70" t="s">
        <v>110</v>
      </c>
      <c r="J118" s="378"/>
      <c r="K118" s="378"/>
      <c r="L118" s="378"/>
      <c r="M118" s="378"/>
      <c r="N118" s="378"/>
      <c r="O118" s="349">
        <f t="shared" ref="O118:W118" si="58">+O117*O$92</f>
        <v>8.0890272510690977</v>
      </c>
      <c r="P118" s="349">
        <f t="shared" si="58"/>
        <v>3.8731141597134995</v>
      </c>
      <c r="Q118" s="349">
        <f t="shared" si="58"/>
        <v>9.3344389961507517</v>
      </c>
      <c r="R118" s="349">
        <f t="shared" si="58"/>
        <v>9.8576895375245392</v>
      </c>
      <c r="S118" s="349">
        <f t="shared" si="58"/>
        <v>9.9579784693198388</v>
      </c>
      <c r="T118" s="349">
        <f t="shared" si="58"/>
        <v>11.253931067346846</v>
      </c>
      <c r="U118" s="349">
        <f t="shared" si="58"/>
        <v>11.510649688349128</v>
      </c>
      <c r="V118" s="349">
        <f t="shared" si="58"/>
        <v>12.486738250830383</v>
      </c>
      <c r="W118" s="349">
        <f t="shared" si="58"/>
        <v>12.241727230345905</v>
      </c>
      <c r="X118" s="349">
        <f ca="1">+X117*X$92</f>
        <v>0</v>
      </c>
      <c r="Y118" s="349">
        <f ca="1">+Y117*Y$92</f>
        <v>0</v>
      </c>
      <c r="Z118" s="349">
        <f ca="1">+Z117*Z$92</f>
        <v>0</v>
      </c>
      <c r="AA118" s="349">
        <f t="shared" ref="AA118:AG118" ca="1" si="59">+AA117*AA$92</f>
        <v>0</v>
      </c>
      <c r="AB118" s="349">
        <f t="shared" ca="1" si="59"/>
        <v>0</v>
      </c>
      <c r="AC118" s="349">
        <f t="shared" ca="1" si="59"/>
        <v>4.4794914646218684</v>
      </c>
      <c r="AD118" s="349">
        <f t="shared" ca="1" si="59"/>
        <v>4.7166900034753434</v>
      </c>
      <c r="AE118" s="349">
        <f t="shared" ca="1" si="59"/>
        <v>4.9851423499693528</v>
      </c>
      <c r="AF118" s="349">
        <f t="shared" ca="1" si="59"/>
        <v>5.1830507606642344</v>
      </c>
      <c r="AG118" s="349">
        <f t="shared" ca="1" si="59"/>
        <v>5.4729433752558352</v>
      </c>
      <c r="AH118" s="171"/>
      <c r="AI118" s="70" t="s">
        <v>1053</v>
      </c>
    </row>
    <row r="119" spans="3:35" s="232" customFormat="1">
      <c r="C119" s="871"/>
      <c r="J119" s="399"/>
      <c r="K119" s="399"/>
      <c r="L119" s="399"/>
      <c r="M119" s="399"/>
      <c r="N119" s="399"/>
      <c r="O119" s="349"/>
      <c r="P119" s="349"/>
      <c r="Q119" s="349"/>
      <c r="R119" s="349"/>
      <c r="S119" s="349"/>
      <c r="T119" s="349"/>
      <c r="U119" s="349"/>
      <c r="V119" s="349"/>
      <c r="W119" s="349"/>
      <c r="X119" s="349"/>
      <c r="Y119" s="399"/>
      <c r="Z119" s="399"/>
      <c r="AA119" s="399"/>
      <c r="AB119" s="399"/>
      <c r="AC119" s="399"/>
      <c r="AD119" s="399"/>
      <c r="AE119" s="399"/>
      <c r="AF119" s="399"/>
      <c r="AG119" s="399"/>
      <c r="AH119" s="873"/>
      <c r="AI119" s="70"/>
    </row>
    <row r="120" spans="3:35">
      <c r="C120" s="169"/>
      <c r="F120" s="104" t="s">
        <v>111</v>
      </c>
      <c r="J120" s="378"/>
      <c r="K120" s="378"/>
      <c r="L120" s="378"/>
      <c r="M120" s="378"/>
      <c r="N120" s="608"/>
      <c r="O120" s="401">
        <f>O117-O118</f>
        <v>8.0890272510690977</v>
      </c>
      <c r="P120" s="401">
        <f t="shared" ref="P120:W120" si="60">P117-P118</f>
        <v>3.8731141597134995</v>
      </c>
      <c r="Q120" s="401">
        <f t="shared" si="60"/>
        <v>9.3344389961507517</v>
      </c>
      <c r="R120" s="401">
        <f t="shared" si="60"/>
        <v>9.8576895375245392</v>
      </c>
      <c r="S120" s="401">
        <f t="shared" si="60"/>
        <v>9.9579784693198388</v>
      </c>
      <c r="T120" s="401">
        <f t="shared" si="60"/>
        <v>11.253931067346846</v>
      </c>
      <c r="U120" s="401">
        <f t="shared" si="60"/>
        <v>11.510649688349128</v>
      </c>
      <c r="V120" s="401">
        <f t="shared" si="60"/>
        <v>12.486738250830383</v>
      </c>
      <c r="W120" s="401">
        <f t="shared" si="60"/>
        <v>12.241727230345905</v>
      </c>
      <c r="X120" s="401">
        <f ca="1">X117-X118</f>
        <v>0</v>
      </c>
      <c r="Y120" s="401">
        <f t="shared" ref="Y120:AG120" ca="1" si="61">Y117-Y118</f>
        <v>0</v>
      </c>
      <c r="Z120" s="401">
        <f t="shared" ca="1" si="61"/>
        <v>0</v>
      </c>
      <c r="AA120" s="401">
        <f t="shared" ca="1" si="61"/>
        <v>0</v>
      </c>
      <c r="AB120" s="401">
        <f t="shared" ca="1" si="61"/>
        <v>0</v>
      </c>
      <c r="AC120" s="401">
        <f t="shared" ca="1" si="61"/>
        <v>4.4794914646218684</v>
      </c>
      <c r="AD120" s="401">
        <f t="shared" ca="1" si="61"/>
        <v>4.7166900034753434</v>
      </c>
      <c r="AE120" s="401">
        <f t="shared" ca="1" si="61"/>
        <v>4.9851423499693528</v>
      </c>
      <c r="AF120" s="401">
        <f t="shared" ca="1" si="61"/>
        <v>5.1830507606642344</v>
      </c>
      <c r="AG120" s="401">
        <f t="shared" ca="1" si="61"/>
        <v>5.4729433752558352</v>
      </c>
      <c r="AH120" s="171"/>
      <c r="AI120" s="70" t="s">
        <v>1053</v>
      </c>
    </row>
    <row r="121" spans="3:35">
      <c r="C121" s="169"/>
      <c r="J121" s="378"/>
      <c r="K121" s="378"/>
      <c r="L121" s="378"/>
      <c r="M121" s="378"/>
      <c r="N121" s="608"/>
      <c r="O121" s="608"/>
      <c r="P121" s="349"/>
      <c r="Q121" s="349"/>
      <c r="R121" s="349"/>
      <c r="S121" s="349"/>
      <c r="T121" s="349"/>
      <c r="U121" s="349"/>
      <c r="V121" s="349"/>
      <c r="W121" s="349"/>
      <c r="X121" s="349"/>
      <c r="Y121" s="608"/>
      <c r="Z121" s="608"/>
      <c r="AA121" s="608"/>
      <c r="AB121" s="608"/>
      <c r="AC121" s="608"/>
      <c r="AD121" s="608"/>
      <c r="AE121" s="608"/>
      <c r="AF121" s="608"/>
      <c r="AG121" s="608"/>
      <c r="AH121" s="171"/>
    </row>
    <row r="122" spans="3:35" ht="12.75" thickBot="1">
      <c r="C122" s="169"/>
      <c r="E122" s="879" t="s">
        <v>112</v>
      </c>
      <c r="J122" s="900"/>
      <c r="K122" s="900"/>
      <c r="L122" s="900"/>
      <c r="M122" s="900"/>
      <c r="N122" s="289"/>
      <c r="O122" s="351">
        <f>+O120/O85</f>
        <v>10.299784020139565</v>
      </c>
      <c r="P122" s="351">
        <f t="shared" ref="P122:W122" si="62">+P120/P85</f>
        <v>4.839672844331167</v>
      </c>
      <c r="Q122" s="351">
        <f t="shared" si="62"/>
        <v>11.510565878688965</v>
      </c>
      <c r="R122" s="351">
        <f t="shared" si="62"/>
        <v>11.895170822724722</v>
      </c>
      <c r="S122" s="351">
        <f t="shared" si="62"/>
        <v>11.883694407407134</v>
      </c>
      <c r="T122" s="351">
        <f t="shared" si="62"/>
        <v>12.779887822241331</v>
      </c>
      <c r="U122" s="351">
        <f t="shared" si="62"/>
        <v>12.213788922705296</v>
      </c>
      <c r="V122" s="351">
        <f t="shared" si="62"/>
        <v>12.786638077815391</v>
      </c>
      <c r="W122" s="351">
        <f t="shared" si="62"/>
        <v>12.241727230345905</v>
      </c>
      <c r="X122" s="351">
        <f t="shared" ref="X122:AG122" ca="1" si="63">+X120/X85</f>
        <v>0</v>
      </c>
      <c r="Y122" s="901">
        <f t="shared" ca="1" si="63"/>
        <v>0</v>
      </c>
      <c r="Z122" s="901">
        <f t="shared" ca="1" si="63"/>
        <v>0</v>
      </c>
      <c r="AA122" s="901">
        <f t="shared" ca="1" si="63"/>
        <v>0</v>
      </c>
      <c r="AB122" s="901">
        <f t="shared" ca="1" si="63"/>
        <v>0</v>
      </c>
      <c r="AC122" s="901">
        <f t="shared" ca="1" si="63"/>
        <v>3.7734314503478057</v>
      </c>
      <c r="AD122" s="901">
        <f t="shared" ca="1" si="63"/>
        <v>3.861265908105314</v>
      </c>
      <c r="AE122" s="901">
        <f t="shared" ca="1" si="63"/>
        <v>3.9660169497447635</v>
      </c>
      <c r="AF122" s="901">
        <f t="shared" ca="1" si="63"/>
        <v>4.0072560134944748</v>
      </c>
      <c r="AG122" s="901">
        <f t="shared" ca="1" si="63"/>
        <v>4.1121335156734435</v>
      </c>
      <c r="AH122" s="171"/>
      <c r="AI122" s="70" t="s">
        <v>1053</v>
      </c>
    </row>
    <row r="123" spans="3:35">
      <c r="C123" s="169"/>
      <c r="J123" s="180"/>
      <c r="K123" s="180"/>
      <c r="L123" s="180"/>
      <c r="M123" s="180"/>
      <c r="N123" s="180"/>
      <c r="O123" s="180"/>
      <c r="P123" s="180"/>
      <c r="Q123" s="180"/>
      <c r="R123" s="180"/>
      <c r="S123" s="180"/>
      <c r="T123" s="180"/>
      <c r="U123" s="180"/>
      <c r="V123" s="180"/>
      <c r="W123" s="180"/>
      <c r="X123" s="180"/>
      <c r="Y123" s="180"/>
      <c r="Z123" s="180"/>
      <c r="AA123" s="180"/>
      <c r="AB123" s="180"/>
      <c r="AC123" s="180"/>
      <c r="AD123" s="180"/>
      <c r="AE123" s="180"/>
      <c r="AF123" s="180"/>
      <c r="AG123" s="180"/>
      <c r="AH123" s="171"/>
    </row>
    <row r="124" spans="3:35" ht="12.75" thickBot="1">
      <c r="C124" s="182"/>
      <c r="D124" s="18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c r="AA124" s="183"/>
      <c r="AB124" s="183"/>
      <c r="AC124" s="183"/>
      <c r="AD124" s="183"/>
      <c r="AE124" s="183"/>
      <c r="AF124" s="183"/>
      <c r="AG124" s="183"/>
      <c r="AH124" s="186"/>
    </row>
  </sheetData>
  <sheetProtection algorithmName="SHA-512" hashValue="RQuRz32mLAryTnwF2C+uw6C0EjjAaKULsFUjUUH+8cbbS9YSabK5YPj6W1xKpofwzKQuivUCbNSjyF3nH4W58w==" saltValue="wOptqkiQqyy2TtfE9UFvng==" spinCount="100000" sheet="1" objects="1" scenarios="1"/>
  <mergeCells count="1">
    <mergeCell ref="B3:F3"/>
  </mergeCells>
  <phoneticPr fontId="0" type="noConversion"/>
  <conditionalFormatting sqref="O80:AG80">
    <cfRule type="cellIs" dxfId="22" priority="1" operator="equal">
      <formula>0</formula>
    </cfRule>
    <cfRule type="containsText" dxfId="21" priority="2" operator="containsText" text="FALSE">
      <formula>NOT(ISERROR(SEARCH("FALSE",O80)))</formula>
    </cfRule>
  </conditionalFormatting>
  <hyperlinks>
    <hyperlink ref="B3" location="HL_Home" tooltip="Go to Table of Contents" display="HL_Home" xr:uid="{00000000-0004-0000-0F00-000000000000}"/>
  </hyperlinks>
  <pageMargins left="0.39370078740157499" right="0.39370078740157499" top="0.59055118110236249" bottom="0.98425196850393748" header="0" footer="0.31496062992125973"/>
  <pageSetup paperSize="9" scale="65" orientation="landscape" r:id="rId1"/>
  <headerFooter alignWithMargins="0">
    <oddHeader>&amp;C&amp;"Calibri"&amp;12&amp;KFF0000 OFFICIAL&amp;1#_x000D_&amp;"Arial"&amp;8&amp;K000000&amp;B&amp;"Arial"&amp;12&amp;Kff0000​‌OFFICIAL‌​</oddHeader>
    <oddFooter>&amp;C&amp;"Arial,Bold"&amp;8Sheet m.
Page &amp;P of &amp;N&amp;L&amp;"Arial,Bold"&amp;7&amp;F
&amp;A
Printed: &amp;T on &amp;D</oddFooter>
  </headerFooter>
  <rowBreaks count="2" manualBreakCount="2">
    <brk id="50" min="1" max="23" man="1"/>
    <brk id="79" min="1" max="23" man="1"/>
  </rowBreaks>
  <ignoredErrors>
    <ignoredError sqref="AC20:AG20"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5">
    <pageSetUpPr autoPageBreaks="0"/>
  </sheetPr>
  <dimension ref="A1:AH325"/>
  <sheetViews>
    <sheetView showGridLines="0" zoomScaleNormal="100" workbookViewId="0">
      <pane xSplit="9" ySplit="7" topLeftCell="J62" activePane="bottomRight" state="frozen"/>
      <selection activeCell="R43" sqref="R43"/>
      <selection pane="topRight" activeCell="R43" sqref="R43"/>
      <selection pane="bottomLeft" activeCell="R43" sqref="R43"/>
      <selection pane="bottomRight" activeCell="AE88" sqref="AE88"/>
    </sheetView>
  </sheetViews>
  <sheetFormatPr defaultColWidth="10.83203125" defaultRowHeight="12" outlineLevelCol="1"/>
  <cols>
    <col min="1" max="5" width="3.83203125" style="70" customWidth="1"/>
    <col min="6" max="8" width="10.83203125" style="70" customWidth="1"/>
    <col min="9" max="9" width="14.83203125" style="70" customWidth="1"/>
    <col min="10" max="10" width="6.5" style="70" customWidth="1"/>
    <col min="11" max="14" width="10.83203125" style="70" hidden="1" customWidth="1" outlineLevel="1"/>
    <col min="15" max="15" width="10.83203125" style="70" customWidth="1" collapsed="1"/>
    <col min="16" max="30" width="10.83203125" style="70" customWidth="1"/>
    <col min="31" max="33" width="10.83203125" style="70"/>
    <col min="34" max="34" width="5.6640625" style="70" customWidth="1"/>
    <col min="35" max="16384" width="10.83203125" style="70"/>
  </cols>
  <sheetData>
    <row r="1" spans="1:34" ht="15">
      <c r="A1" s="152">
        <v>80</v>
      </c>
      <c r="B1" s="153" t="s">
        <v>347</v>
      </c>
      <c r="K1" s="74"/>
      <c r="L1" s="74"/>
      <c r="M1" s="74"/>
      <c r="N1" s="74"/>
      <c r="O1" s="103"/>
      <c r="P1" s="349"/>
      <c r="Q1" s="349"/>
      <c r="Y1" s="232"/>
      <c r="Z1" s="232"/>
    </row>
    <row r="2" spans="1:34" ht="12.75">
      <c r="B2" s="155" t="str">
        <f>+Contents!H7</f>
        <v>North East Water</v>
      </c>
      <c r="K2" s="74"/>
      <c r="L2" s="74"/>
      <c r="M2" s="74"/>
      <c r="N2" s="74"/>
      <c r="O2" s="349"/>
      <c r="P2" s="349"/>
      <c r="Q2" s="349"/>
    </row>
    <row r="3" spans="1:34">
      <c r="B3" s="2212" t="s">
        <v>0</v>
      </c>
      <c r="C3" s="2212"/>
      <c r="D3" s="2212"/>
      <c r="E3" s="2212"/>
      <c r="F3" s="2212"/>
      <c r="G3" s="71"/>
      <c r="K3" s="74"/>
      <c r="L3" s="74"/>
      <c r="M3" s="74"/>
      <c r="N3" s="74"/>
      <c r="O3" s="74"/>
      <c r="P3" s="74"/>
      <c r="Q3" s="74"/>
    </row>
    <row r="4" spans="1:34">
      <c r="A4" s="160"/>
      <c r="B4" s="72"/>
      <c r="C4" s="73"/>
      <c r="F4" s="60"/>
      <c r="I4" s="63"/>
      <c r="J4" s="64"/>
      <c r="K4" s="63"/>
      <c r="L4" s="149"/>
      <c r="M4" s="149" t="s">
        <v>274</v>
      </c>
      <c r="N4" s="149"/>
      <c r="O4" s="149"/>
      <c r="P4" s="1619"/>
      <c r="Q4" s="150"/>
      <c r="R4" s="150"/>
      <c r="S4" s="150"/>
      <c r="T4" s="1619" t="s">
        <v>334</v>
      </c>
      <c r="U4" s="150"/>
      <c r="V4" s="150"/>
      <c r="W4" s="150"/>
      <c r="X4" s="1619"/>
      <c r="Y4" s="150"/>
      <c r="Z4" s="150" t="s">
        <v>465</v>
      </c>
      <c r="AA4" s="150"/>
      <c r="AB4" s="62"/>
      <c r="AC4" s="64"/>
      <c r="AD4" s="64"/>
      <c r="AE4" s="150" t="s">
        <v>949</v>
      </c>
      <c r="AF4" s="63"/>
      <c r="AG4" s="62"/>
    </row>
    <row r="6" spans="1:34">
      <c r="B6" s="161"/>
      <c r="F6" s="162" t="s">
        <v>62</v>
      </c>
      <c r="I6" s="66">
        <v>2014</v>
      </c>
      <c r="J6" s="66">
        <v>2015</v>
      </c>
      <c r="K6" s="66">
        <v>2016</v>
      </c>
      <c r="L6" s="66">
        <v>2017</v>
      </c>
      <c r="M6" s="66">
        <v>2018</v>
      </c>
      <c r="N6" s="66">
        <v>2019</v>
      </c>
      <c r="O6" s="66">
        <v>2020</v>
      </c>
      <c r="P6" s="66">
        <v>2021</v>
      </c>
      <c r="Q6" s="66">
        <v>2022</v>
      </c>
      <c r="R6" s="66">
        <v>2023</v>
      </c>
      <c r="S6" s="67">
        <v>2024</v>
      </c>
      <c r="T6" s="67">
        <v>2025</v>
      </c>
      <c r="U6" s="67">
        <v>2026</v>
      </c>
      <c r="V6" s="67">
        <v>2027</v>
      </c>
      <c r="W6" s="67">
        <v>2028</v>
      </c>
      <c r="X6" s="67">
        <f>W6+1</f>
        <v>2029</v>
      </c>
      <c r="Y6" s="67">
        <f>X6+1</f>
        <v>2030</v>
      </c>
      <c r="Z6" s="67">
        <f t="shared" ref="Z6:AG6" si="0">Y6+1</f>
        <v>2031</v>
      </c>
      <c r="AA6" s="67">
        <f t="shared" si="0"/>
        <v>2032</v>
      </c>
      <c r="AB6" s="67">
        <f t="shared" si="0"/>
        <v>2033</v>
      </c>
      <c r="AC6" s="67">
        <f t="shared" si="0"/>
        <v>2034</v>
      </c>
      <c r="AD6" s="67">
        <f t="shared" si="0"/>
        <v>2035</v>
      </c>
      <c r="AE6" s="67">
        <f t="shared" si="0"/>
        <v>2036</v>
      </c>
      <c r="AF6" s="67">
        <f t="shared" si="0"/>
        <v>2037</v>
      </c>
      <c r="AG6" s="67">
        <f t="shared" si="0"/>
        <v>2038</v>
      </c>
    </row>
    <row r="7" spans="1:34">
      <c r="B7" s="74" t="str">
        <f>RevenuePriceCap_FO!$C$7</f>
        <v>$m, 01/01/26</v>
      </c>
      <c r="C7" s="75"/>
      <c r="D7" s="75"/>
      <c r="E7" s="75"/>
      <c r="F7" s="165" t="s">
        <v>63</v>
      </c>
      <c r="G7" s="75"/>
      <c r="H7" s="75"/>
      <c r="K7" s="342" t="str">
        <f t="shared" ref="K7:X7" si="1">+CONCATENATE(I6-1,"-",RIGHT(I6,2))</f>
        <v>2013-14</v>
      </c>
      <c r="L7" s="342" t="str">
        <f t="shared" si="1"/>
        <v>2014-15</v>
      </c>
      <c r="M7" s="342" t="str">
        <f t="shared" si="1"/>
        <v>2015-16</v>
      </c>
      <c r="N7" s="342" t="str">
        <f t="shared" si="1"/>
        <v>2016-17</v>
      </c>
      <c r="O7" s="342" t="str">
        <f t="shared" si="1"/>
        <v>2017-18</v>
      </c>
      <c r="P7" s="342" t="str">
        <f t="shared" si="1"/>
        <v>2018-19</v>
      </c>
      <c r="Q7" s="342" t="str">
        <f t="shared" si="1"/>
        <v>2019-20</v>
      </c>
      <c r="R7" s="342" t="str">
        <f t="shared" si="1"/>
        <v>2020-21</v>
      </c>
      <c r="S7" s="342" t="str">
        <f t="shared" si="1"/>
        <v>2021-22</v>
      </c>
      <c r="T7" s="342" t="str">
        <f t="shared" si="1"/>
        <v>2022-23</v>
      </c>
      <c r="U7" s="342" t="str">
        <f t="shared" si="1"/>
        <v>2023-24</v>
      </c>
      <c r="V7" s="342" t="str">
        <f t="shared" si="1"/>
        <v>2024-25</v>
      </c>
      <c r="W7" s="342" t="str">
        <f t="shared" si="1"/>
        <v>2025-26</v>
      </c>
      <c r="X7" s="2129" t="str">
        <f t="shared" si="1"/>
        <v>2026-27</v>
      </c>
      <c r="Y7" s="342" t="str">
        <f t="shared" ref="Y7:AG7" si="2">+CONCATENATE(W6-1,"-",RIGHT(W6,2))</f>
        <v>2027-28</v>
      </c>
      <c r="Z7" s="342" t="str">
        <f t="shared" si="2"/>
        <v>2028-29</v>
      </c>
      <c r="AA7" s="342" t="str">
        <f t="shared" si="2"/>
        <v>2029-30</v>
      </c>
      <c r="AB7" s="342" t="str">
        <f t="shared" si="2"/>
        <v>2030-31</v>
      </c>
      <c r="AC7" s="342" t="str">
        <f t="shared" si="2"/>
        <v>2031-32</v>
      </c>
      <c r="AD7" s="342" t="str">
        <f t="shared" si="2"/>
        <v>2032-33</v>
      </c>
      <c r="AE7" s="342" t="str">
        <f t="shared" si="2"/>
        <v>2033-34</v>
      </c>
      <c r="AF7" s="342" t="str">
        <f t="shared" si="2"/>
        <v>2034-35</v>
      </c>
      <c r="AG7" s="342" t="str">
        <f t="shared" si="2"/>
        <v>2035-36</v>
      </c>
    </row>
    <row r="8" spans="1:34" ht="12.75" thickBot="1"/>
    <row r="9" spans="1:34">
      <c r="C9" s="166"/>
      <c r="D9" s="167"/>
      <c r="E9" s="167"/>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c r="AF9" s="167"/>
      <c r="AG9" s="167"/>
      <c r="AH9" s="168"/>
    </row>
    <row r="10" spans="1:34">
      <c r="C10" s="169"/>
      <c r="D10" s="170" t="s">
        <v>348</v>
      </c>
      <c r="AH10" s="171"/>
    </row>
    <row r="11" spans="1:34">
      <c r="C11" s="169"/>
      <c r="AH11" s="171"/>
    </row>
    <row r="12" spans="1:34">
      <c r="C12" s="169"/>
      <c r="E12" s="70" t="s">
        <v>68</v>
      </c>
      <c r="K12" s="608">
        <f t="shared" ref="K12:AG12" ca="1" si="3">+SUMIF($D$31:$G$1989,$E12,K$31:K$1989)</f>
        <v>0</v>
      </c>
      <c r="L12" s="608">
        <f t="shared" ca="1" si="3"/>
        <v>0</v>
      </c>
      <c r="M12" s="608">
        <f t="shared" ca="1" si="3"/>
        <v>0</v>
      </c>
      <c r="N12" s="608">
        <f t="shared" ca="1" si="3"/>
        <v>0</v>
      </c>
      <c r="O12" s="608">
        <f ca="1">+SUMIF($D$31:$G$1989,$E12,O$31:O$1989)</f>
        <v>0.99826968325791843</v>
      </c>
      <c r="P12" s="608">
        <f t="shared" ca="1" si="3"/>
        <v>2.7802619893428062</v>
      </c>
      <c r="Q12" s="608">
        <f t="shared" ca="1" si="3"/>
        <v>2.5488773006134968</v>
      </c>
      <c r="R12" s="608">
        <f t="shared" ca="1" si="3"/>
        <v>2.5376680960548881</v>
      </c>
      <c r="S12" s="608">
        <f t="shared" ca="1" si="3"/>
        <v>1.2960152671755725</v>
      </c>
      <c r="T12" s="608">
        <f t="shared" ca="1" si="3"/>
        <v>1.2139491525423729</v>
      </c>
      <c r="U12" s="608">
        <f t="shared" ca="1" si="3"/>
        <v>1.3995723981900454</v>
      </c>
      <c r="V12" s="608">
        <f t="shared" ca="1" si="3"/>
        <v>2.3198060982532747</v>
      </c>
      <c r="W12" s="608">
        <f t="shared" ca="1" si="3"/>
        <v>1.335</v>
      </c>
      <c r="X12" s="608">
        <f t="shared" ca="1" si="3"/>
        <v>1.2849999999999999</v>
      </c>
      <c r="Y12" s="608">
        <f t="shared" ca="1" si="3"/>
        <v>1.2849999999999999</v>
      </c>
      <c r="Z12" s="608">
        <f t="shared" ca="1" si="3"/>
        <v>1.2849999999999999</v>
      </c>
      <c r="AA12" s="608">
        <f t="shared" ca="1" si="3"/>
        <v>1.2849999999999999</v>
      </c>
      <c r="AB12" s="608">
        <f t="shared" ca="1" si="3"/>
        <v>1.2849999999999999</v>
      </c>
      <c r="AC12" s="608">
        <f t="shared" ca="1" si="3"/>
        <v>1.2849999999999999</v>
      </c>
      <c r="AD12" s="608">
        <f t="shared" ca="1" si="3"/>
        <v>1.2849999999999999</v>
      </c>
      <c r="AE12" s="608">
        <f t="shared" ca="1" si="3"/>
        <v>1.2849999999999999</v>
      </c>
      <c r="AF12" s="608">
        <f t="shared" ca="1" si="3"/>
        <v>1.2849999999999999</v>
      </c>
      <c r="AG12" s="608">
        <f t="shared" ca="1" si="3"/>
        <v>1.2849999999999999</v>
      </c>
      <c r="AH12" s="171"/>
    </row>
    <row r="13" spans="1:34">
      <c r="C13" s="169"/>
      <c r="K13" s="608"/>
      <c r="L13" s="608"/>
      <c r="M13" s="608"/>
      <c r="N13" s="608"/>
      <c r="O13" s="608"/>
      <c r="P13" s="608"/>
      <c r="Q13" s="608"/>
      <c r="R13" s="608"/>
      <c r="S13" s="608"/>
      <c r="T13" s="608"/>
      <c r="U13" s="608"/>
      <c r="V13" s="608"/>
      <c r="W13" s="608"/>
      <c r="X13" s="608"/>
      <c r="Y13" s="608"/>
      <c r="Z13" s="608"/>
      <c r="AA13" s="608"/>
      <c r="AB13" s="608"/>
      <c r="AC13" s="608"/>
      <c r="AD13" s="608"/>
      <c r="AE13" s="608"/>
      <c r="AF13" s="608"/>
      <c r="AG13" s="608"/>
      <c r="AH13" s="171"/>
    </row>
    <row r="14" spans="1:34">
      <c r="C14" s="169"/>
      <c r="E14" s="647" t="s">
        <v>26</v>
      </c>
      <c r="K14" s="608">
        <f t="shared" ref="K14:AG14" ca="1" si="4">+SUMIF($D$31:$G$1989,$E14,K$31:K$1989)</f>
        <v>0</v>
      </c>
      <c r="L14" s="608">
        <f t="shared" ca="1" si="4"/>
        <v>0</v>
      </c>
      <c r="M14" s="608">
        <f t="shared" ca="1" si="4"/>
        <v>0</v>
      </c>
      <c r="N14" s="608">
        <f t="shared" ca="1" si="4"/>
        <v>0</v>
      </c>
      <c r="O14" s="608">
        <f t="shared" ca="1" si="4"/>
        <v>1.1918117647058823</v>
      </c>
      <c r="P14" s="608">
        <f t="shared" ca="1" si="4"/>
        <v>1.198324156305506</v>
      </c>
      <c r="Q14" s="608">
        <f t="shared" ca="1" si="4"/>
        <v>0.98157055214723932</v>
      </c>
      <c r="R14" s="608">
        <f t="shared" ca="1" si="4"/>
        <v>0.88209005145797592</v>
      </c>
      <c r="S14" s="608">
        <f t="shared" ca="1" si="4"/>
        <v>0.95948091603053431</v>
      </c>
      <c r="T14" s="608">
        <f t="shared" ca="1" si="4"/>
        <v>1.4263050847457626</v>
      </c>
      <c r="U14" s="608">
        <f t="shared" ca="1" si="4"/>
        <v>1.3401515837104072</v>
      </c>
      <c r="V14" s="608">
        <f t="shared" ca="1" si="4"/>
        <v>0.57856986899563312</v>
      </c>
      <c r="W14" s="608">
        <f t="shared" ca="1" si="4"/>
        <v>0.95</v>
      </c>
      <c r="X14" s="608">
        <f t="shared" ca="1" si="4"/>
        <v>0.95</v>
      </c>
      <c r="Y14" s="608">
        <f t="shared" ca="1" si="4"/>
        <v>0.95</v>
      </c>
      <c r="Z14" s="608">
        <f t="shared" ca="1" si="4"/>
        <v>0.95</v>
      </c>
      <c r="AA14" s="608">
        <f t="shared" ca="1" si="4"/>
        <v>0.95</v>
      </c>
      <c r="AB14" s="608">
        <f t="shared" ca="1" si="4"/>
        <v>0.95</v>
      </c>
      <c r="AC14" s="608">
        <f t="shared" ca="1" si="4"/>
        <v>0.95</v>
      </c>
      <c r="AD14" s="608">
        <f t="shared" ca="1" si="4"/>
        <v>0.95</v>
      </c>
      <c r="AE14" s="608">
        <f t="shared" ca="1" si="4"/>
        <v>0.95</v>
      </c>
      <c r="AF14" s="608">
        <f t="shared" ca="1" si="4"/>
        <v>0.95</v>
      </c>
      <c r="AG14" s="608">
        <f t="shared" ca="1" si="4"/>
        <v>0.95</v>
      </c>
      <c r="AH14" s="171"/>
    </row>
    <row r="15" spans="1:34">
      <c r="C15" s="169"/>
      <c r="E15" s="647"/>
      <c r="K15" s="608"/>
      <c r="L15" s="608"/>
      <c r="M15" s="608"/>
      <c r="N15" s="608"/>
      <c r="O15" s="608"/>
      <c r="P15" s="608"/>
      <c r="Q15" s="608"/>
      <c r="R15" s="608"/>
      <c r="S15" s="608"/>
      <c r="T15" s="608"/>
      <c r="U15" s="608"/>
      <c r="V15" s="608"/>
      <c r="W15" s="608"/>
      <c r="X15" s="608"/>
      <c r="Y15" s="608"/>
      <c r="Z15" s="608"/>
      <c r="AA15" s="608"/>
      <c r="AB15" s="608"/>
      <c r="AC15" s="608"/>
      <c r="AD15" s="608"/>
      <c r="AE15" s="608"/>
      <c r="AF15" s="608"/>
      <c r="AG15" s="608"/>
      <c r="AH15" s="171"/>
    </row>
    <row r="16" spans="1:34">
      <c r="C16" s="169"/>
      <c r="E16" s="591" t="s">
        <v>23</v>
      </c>
      <c r="K16" s="608">
        <f t="shared" ref="K16:T18" ca="1" si="5">+SUMIF($D$31:$G$1989,$E16,K$31:K$1989)</f>
        <v>0</v>
      </c>
      <c r="L16" s="608">
        <f t="shared" ca="1" si="5"/>
        <v>0</v>
      </c>
      <c r="M16" s="608">
        <f t="shared" ca="1" si="5"/>
        <v>0</v>
      </c>
      <c r="N16" s="608">
        <f t="shared" ca="1" si="5"/>
        <v>0</v>
      </c>
      <c r="O16" s="608">
        <f ca="1">+SUMIF($D$31:$G$1989,$E16,O$31:O$1989)</f>
        <v>0</v>
      </c>
      <c r="P16" s="608">
        <f t="shared" ca="1" si="5"/>
        <v>0</v>
      </c>
      <c r="Q16" s="608">
        <f t="shared" ca="1" si="5"/>
        <v>0</v>
      </c>
      <c r="R16" s="608">
        <f t="shared" ca="1" si="5"/>
        <v>0</v>
      </c>
      <c r="S16" s="608">
        <f t="shared" ca="1" si="5"/>
        <v>0</v>
      </c>
      <c r="T16" s="608">
        <f t="shared" ca="1" si="5"/>
        <v>0</v>
      </c>
      <c r="U16" s="608">
        <f t="shared" ref="U16:AG18" ca="1" si="6">+SUMIF($D$31:$G$1989,$E16,U$31:U$1989)</f>
        <v>0</v>
      </c>
      <c r="V16" s="608">
        <f t="shared" ca="1" si="6"/>
        <v>0</v>
      </c>
      <c r="W16" s="608">
        <f t="shared" ca="1" si="6"/>
        <v>0</v>
      </c>
      <c r="X16" s="608">
        <f t="shared" ca="1" si="6"/>
        <v>0</v>
      </c>
      <c r="Y16" s="608">
        <f t="shared" ca="1" si="6"/>
        <v>0</v>
      </c>
      <c r="Z16" s="608">
        <f t="shared" ca="1" si="6"/>
        <v>0</v>
      </c>
      <c r="AA16" s="608">
        <f t="shared" ca="1" si="6"/>
        <v>0</v>
      </c>
      <c r="AB16" s="608">
        <f t="shared" ca="1" si="6"/>
        <v>0</v>
      </c>
      <c r="AC16" s="608">
        <f t="shared" ca="1" si="6"/>
        <v>0</v>
      </c>
      <c r="AD16" s="608">
        <f t="shared" ca="1" si="6"/>
        <v>0</v>
      </c>
      <c r="AE16" s="608">
        <f t="shared" ca="1" si="6"/>
        <v>0</v>
      </c>
      <c r="AF16" s="608">
        <f t="shared" ca="1" si="6"/>
        <v>0</v>
      </c>
      <c r="AG16" s="608">
        <f t="shared" ca="1" si="6"/>
        <v>0</v>
      </c>
      <c r="AH16" s="171"/>
    </row>
    <row r="17" spans="2:34">
      <c r="C17" s="169"/>
      <c r="E17" s="591" t="s">
        <v>19</v>
      </c>
      <c r="K17" s="608">
        <f t="shared" ca="1" si="5"/>
        <v>0</v>
      </c>
      <c r="L17" s="608">
        <f t="shared" ca="1" si="5"/>
        <v>0</v>
      </c>
      <c r="M17" s="608">
        <f t="shared" ca="1" si="5"/>
        <v>0</v>
      </c>
      <c r="N17" s="608">
        <f t="shared" ca="1" si="5"/>
        <v>0</v>
      </c>
      <c r="O17" s="608">
        <f ca="1">+SUMIF($D$31:$G$1989,$E17,O$31:O$1989)</f>
        <v>0</v>
      </c>
      <c r="P17" s="608">
        <f t="shared" ca="1" si="5"/>
        <v>0</v>
      </c>
      <c r="Q17" s="608">
        <f t="shared" ca="1" si="5"/>
        <v>0</v>
      </c>
      <c r="R17" s="608">
        <f t="shared" ca="1" si="5"/>
        <v>0</v>
      </c>
      <c r="S17" s="608">
        <f t="shared" ca="1" si="5"/>
        <v>0</v>
      </c>
      <c r="T17" s="608">
        <f t="shared" ca="1" si="5"/>
        <v>0</v>
      </c>
      <c r="U17" s="608">
        <f t="shared" ca="1" si="6"/>
        <v>0</v>
      </c>
      <c r="V17" s="608">
        <f t="shared" ca="1" si="6"/>
        <v>0</v>
      </c>
      <c r="W17" s="608">
        <f t="shared" ca="1" si="6"/>
        <v>0</v>
      </c>
      <c r="X17" s="608">
        <f t="shared" ca="1" si="6"/>
        <v>0</v>
      </c>
      <c r="Y17" s="608">
        <f t="shared" ca="1" si="6"/>
        <v>0</v>
      </c>
      <c r="Z17" s="608">
        <f t="shared" ca="1" si="6"/>
        <v>0</v>
      </c>
      <c r="AA17" s="608">
        <f t="shared" ca="1" si="6"/>
        <v>0</v>
      </c>
      <c r="AB17" s="608">
        <f t="shared" ca="1" si="6"/>
        <v>0</v>
      </c>
      <c r="AC17" s="608">
        <f t="shared" ca="1" si="6"/>
        <v>0</v>
      </c>
      <c r="AD17" s="608">
        <f t="shared" ca="1" si="6"/>
        <v>0</v>
      </c>
      <c r="AE17" s="608">
        <f t="shared" ca="1" si="6"/>
        <v>0</v>
      </c>
      <c r="AF17" s="608">
        <f t="shared" ca="1" si="6"/>
        <v>0</v>
      </c>
      <c r="AG17" s="608">
        <f t="shared" ca="1" si="6"/>
        <v>0</v>
      </c>
      <c r="AH17" s="171"/>
    </row>
    <row r="18" spans="2:34">
      <c r="C18" s="169"/>
      <c r="E18" s="591" t="s">
        <v>22</v>
      </c>
      <c r="K18" s="608">
        <f t="shared" ca="1" si="5"/>
        <v>0</v>
      </c>
      <c r="L18" s="608">
        <f t="shared" ca="1" si="5"/>
        <v>0</v>
      </c>
      <c r="M18" s="608">
        <f t="shared" ca="1" si="5"/>
        <v>0</v>
      </c>
      <c r="N18" s="608">
        <f t="shared" ca="1" si="5"/>
        <v>0</v>
      </c>
      <c r="O18" s="608">
        <f ca="1">+SUMIF($D$31:$G$1989,$E18,O$31:O$1989)</f>
        <v>0</v>
      </c>
      <c r="P18" s="608">
        <f t="shared" ca="1" si="5"/>
        <v>0</v>
      </c>
      <c r="Q18" s="608">
        <f t="shared" ca="1" si="5"/>
        <v>0</v>
      </c>
      <c r="R18" s="608">
        <f t="shared" ca="1" si="5"/>
        <v>0</v>
      </c>
      <c r="S18" s="608">
        <f t="shared" ca="1" si="5"/>
        <v>0</v>
      </c>
      <c r="T18" s="608">
        <f t="shared" ca="1" si="5"/>
        <v>0</v>
      </c>
      <c r="U18" s="608">
        <f t="shared" ca="1" si="6"/>
        <v>0</v>
      </c>
      <c r="V18" s="608">
        <f t="shared" ca="1" si="6"/>
        <v>0</v>
      </c>
      <c r="W18" s="608">
        <f t="shared" ca="1" si="6"/>
        <v>0</v>
      </c>
      <c r="X18" s="608">
        <f t="shared" ca="1" si="6"/>
        <v>0</v>
      </c>
      <c r="Y18" s="608">
        <f t="shared" ca="1" si="6"/>
        <v>0</v>
      </c>
      <c r="Z18" s="608">
        <f t="shared" ca="1" si="6"/>
        <v>0</v>
      </c>
      <c r="AA18" s="608">
        <f t="shared" ca="1" si="6"/>
        <v>0</v>
      </c>
      <c r="AB18" s="608">
        <f t="shared" ca="1" si="6"/>
        <v>0</v>
      </c>
      <c r="AC18" s="608">
        <f t="shared" ca="1" si="6"/>
        <v>0</v>
      </c>
      <c r="AD18" s="608">
        <f t="shared" ca="1" si="6"/>
        <v>0</v>
      </c>
      <c r="AE18" s="608">
        <f t="shared" ca="1" si="6"/>
        <v>0</v>
      </c>
      <c r="AF18" s="608">
        <f t="shared" ca="1" si="6"/>
        <v>0</v>
      </c>
      <c r="AG18" s="608">
        <f t="shared" ca="1" si="6"/>
        <v>0</v>
      </c>
      <c r="AH18" s="171"/>
    </row>
    <row r="19" spans="2:34" ht="12.75" thickBot="1">
      <c r="C19" s="169"/>
      <c r="E19" s="614" t="s">
        <v>265</v>
      </c>
      <c r="K19" s="660">
        <f ca="1">+K16-K17-K18</f>
        <v>0</v>
      </c>
      <c r="L19" s="660">
        <f t="shared" ref="L19:W19" ca="1" si="7">+L16-L17-L18</f>
        <v>0</v>
      </c>
      <c r="M19" s="660">
        <f t="shared" ca="1" si="7"/>
        <v>0</v>
      </c>
      <c r="N19" s="660">
        <f t="shared" ca="1" si="7"/>
        <v>0</v>
      </c>
      <c r="O19" s="660">
        <f ca="1">+O16-O17-O18</f>
        <v>0</v>
      </c>
      <c r="P19" s="660">
        <f t="shared" ca="1" si="7"/>
        <v>0</v>
      </c>
      <c r="Q19" s="660">
        <f t="shared" ca="1" si="7"/>
        <v>0</v>
      </c>
      <c r="R19" s="660">
        <f t="shared" ca="1" si="7"/>
        <v>0</v>
      </c>
      <c r="S19" s="660">
        <f t="shared" ca="1" si="7"/>
        <v>0</v>
      </c>
      <c r="T19" s="660">
        <f t="shared" ca="1" si="7"/>
        <v>0</v>
      </c>
      <c r="U19" s="660">
        <f t="shared" ca="1" si="7"/>
        <v>0</v>
      </c>
      <c r="V19" s="660">
        <f t="shared" ca="1" si="7"/>
        <v>0</v>
      </c>
      <c r="W19" s="660">
        <f t="shared" ca="1" si="7"/>
        <v>0</v>
      </c>
      <c r="X19" s="660">
        <f t="shared" ref="X19:AG19" ca="1" si="8">+X16-X17-X18</f>
        <v>0</v>
      </c>
      <c r="Y19" s="660">
        <f t="shared" ca="1" si="8"/>
        <v>0</v>
      </c>
      <c r="Z19" s="660">
        <f t="shared" ca="1" si="8"/>
        <v>0</v>
      </c>
      <c r="AA19" s="660">
        <f t="shared" ca="1" si="8"/>
        <v>0</v>
      </c>
      <c r="AB19" s="660">
        <f t="shared" ca="1" si="8"/>
        <v>0</v>
      </c>
      <c r="AC19" s="660">
        <f t="shared" ca="1" si="8"/>
        <v>0</v>
      </c>
      <c r="AD19" s="660">
        <f t="shared" ca="1" si="8"/>
        <v>0</v>
      </c>
      <c r="AE19" s="660">
        <f t="shared" ca="1" si="8"/>
        <v>0</v>
      </c>
      <c r="AF19" s="660">
        <f t="shared" ca="1" si="8"/>
        <v>0</v>
      </c>
      <c r="AG19" s="660">
        <f t="shared" ca="1" si="8"/>
        <v>0</v>
      </c>
      <c r="AH19" s="171"/>
    </row>
    <row r="20" spans="2:34">
      <c r="C20" s="169"/>
      <c r="E20" s="614"/>
      <c r="K20" s="608"/>
      <c r="L20" s="608"/>
      <c r="M20" s="608"/>
      <c r="N20" s="608"/>
      <c r="O20" s="608"/>
      <c r="P20" s="608"/>
      <c r="Q20" s="608"/>
      <c r="R20" s="608"/>
      <c r="S20" s="608"/>
      <c r="T20" s="608"/>
      <c r="U20" s="608"/>
      <c r="V20" s="608"/>
      <c r="W20" s="608"/>
      <c r="X20" s="608"/>
      <c r="Y20" s="608"/>
      <c r="Z20" s="608"/>
      <c r="AA20" s="608"/>
      <c r="AB20" s="608"/>
      <c r="AC20" s="608"/>
      <c r="AD20" s="608"/>
      <c r="AE20" s="608"/>
      <c r="AF20" s="608"/>
      <c r="AG20" s="608"/>
      <c r="AH20" s="171"/>
    </row>
    <row r="21" spans="2:34">
      <c r="C21" s="169"/>
      <c r="E21" s="591" t="s">
        <v>61</v>
      </c>
      <c r="K21" s="608">
        <f t="shared" ref="K21:T22" ca="1" si="9">+SUMIF($D$31:$G$1989,$E21,K$31:K$1989)</f>
        <v>0</v>
      </c>
      <c r="L21" s="608">
        <f t="shared" ca="1" si="9"/>
        <v>0</v>
      </c>
      <c r="M21" s="608">
        <f t="shared" ca="1" si="9"/>
        <v>0</v>
      </c>
      <c r="N21" s="608">
        <f t="shared" ca="1" si="9"/>
        <v>0</v>
      </c>
      <c r="O21" s="608">
        <f ca="1">+SUMIF($D$31:$G$1989,$E21,O$31:O$1989)</f>
        <v>0</v>
      </c>
      <c r="P21" s="608">
        <f t="shared" ca="1" si="9"/>
        <v>0</v>
      </c>
      <c r="Q21" s="608">
        <f t="shared" ca="1" si="9"/>
        <v>0</v>
      </c>
      <c r="R21" s="608">
        <f t="shared" ca="1" si="9"/>
        <v>0</v>
      </c>
      <c r="S21" s="608">
        <f t="shared" ca="1" si="9"/>
        <v>0</v>
      </c>
      <c r="T21" s="608">
        <f t="shared" ca="1" si="9"/>
        <v>0</v>
      </c>
      <c r="U21" s="608">
        <f t="shared" ref="U21:AG22" ca="1" si="10">+SUMIF($D$31:$G$1989,$E21,U$31:U$1989)</f>
        <v>0</v>
      </c>
      <c r="V21" s="608">
        <f t="shared" ca="1" si="10"/>
        <v>0</v>
      </c>
      <c r="W21" s="608">
        <f t="shared" ca="1" si="10"/>
        <v>0</v>
      </c>
      <c r="X21" s="608">
        <f t="shared" ca="1" si="10"/>
        <v>0</v>
      </c>
      <c r="Y21" s="608">
        <f t="shared" ca="1" si="10"/>
        <v>0</v>
      </c>
      <c r="Z21" s="608">
        <f t="shared" ca="1" si="10"/>
        <v>0</v>
      </c>
      <c r="AA21" s="608">
        <f t="shared" ca="1" si="10"/>
        <v>0</v>
      </c>
      <c r="AB21" s="608">
        <f t="shared" ca="1" si="10"/>
        <v>0</v>
      </c>
      <c r="AC21" s="608">
        <f t="shared" ca="1" si="10"/>
        <v>0</v>
      </c>
      <c r="AD21" s="608">
        <f t="shared" ca="1" si="10"/>
        <v>0</v>
      </c>
      <c r="AE21" s="608">
        <f t="shared" ca="1" si="10"/>
        <v>0</v>
      </c>
      <c r="AF21" s="608">
        <f t="shared" ca="1" si="10"/>
        <v>0</v>
      </c>
      <c r="AG21" s="608">
        <f t="shared" ca="1" si="10"/>
        <v>0</v>
      </c>
      <c r="AH21" s="171"/>
    </row>
    <row r="22" spans="2:34">
      <c r="C22" s="169"/>
      <c r="E22" s="591" t="s">
        <v>18</v>
      </c>
      <c r="K22" s="608">
        <f t="shared" ca="1" si="9"/>
        <v>0</v>
      </c>
      <c r="L22" s="608">
        <f t="shared" ca="1" si="9"/>
        <v>0</v>
      </c>
      <c r="M22" s="608">
        <f t="shared" ca="1" si="9"/>
        <v>0</v>
      </c>
      <c r="N22" s="608">
        <f t="shared" ca="1" si="9"/>
        <v>0</v>
      </c>
      <c r="O22" s="608">
        <f t="shared" ca="1" si="9"/>
        <v>0</v>
      </c>
      <c r="P22" s="608">
        <f t="shared" ca="1" si="9"/>
        <v>0</v>
      </c>
      <c r="Q22" s="608">
        <f t="shared" ca="1" si="9"/>
        <v>0</v>
      </c>
      <c r="R22" s="608">
        <f t="shared" ca="1" si="9"/>
        <v>0</v>
      </c>
      <c r="S22" s="608">
        <f t="shared" ca="1" si="9"/>
        <v>0</v>
      </c>
      <c r="T22" s="608">
        <f t="shared" ca="1" si="9"/>
        <v>0</v>
      </c>
      <c r="U22" s="608">
        <f t="shared" ca="1" si="10"/>
        <v>0</v>
      </c>
      <c r="V22" s="608">
        <f t="shared" ca="1" si="10"/>
        <v>0</v>
      </c>
      <c r="W22" s="608">
        <f t="shared" ca="1" si="10"/>
        <v>0</v>
      </c>
      <c r="X22" s="608">
        <f t="shared" ca="1" si="10"/>
        <v>0</v>
      </c>
      <c r="Y22" s="608">
        <f t="shared" ca="1" si="10"/>
        <v>0</v>
      </c>
      <c r="Z22" s="608">
        <f t="shared" ca="1" si="10"/>
        <v>0</v>
      </c>
      <c r="AA22" s="608">
        <f t="shared" ca="1" si="10"/>
        <v>0</v>
      </c>
      <c r="AB22" s="608">
        <f t="shared" ca="1" si="10"/>
        <v>0</v>
      </c>
      <c r="AC22" s="608">
        <f t="shared" ca="1" si="10"/>
        <v>0</v>
      </c>
      <c r="AD22" s="608">
        <f t="shared" ca="1" si="10"/>
        <v>0</v>
      </c>
      <c r="AE22" s="608">
        <f t="shared" ca="1" si="10"/>
        <v>0</v>
      </c>
      <c r="AF22" s="608">
        <f t="shared" ca="1" si="10"/>
        <v>0</v>
      </c>
      <c r="AG22" s="608">
        <f t="shared" ca="1" si="10"/>
        <v>0</v>
      </c>
      <c r="AH22" s="171"/>
    </row>
    <row r="23" spans="2:34" ht="12.75" thickBot="1">
      <c r="C23" s="182"/>
      <c r="D23" s="183"/>
      <c r="E23" s="183"/>
      <c r="F23" s="183"/>
      <c r="G23" s="183"/>
      <c r="H23" s="183"/>
      <c r="I23" s="183"/>
      <c r="J23" s="183"/>
      <c r="K23" s="565"/>
      <c r="L23" s="565"/>
      <c r="M23" s="565"/>
      <c r="N23" s="565"/>
      <c r="O23" s="565"/>
      <c r="P23" s="565"/>
      <c r="Q23" s="565"/>
      <c r="R23" s="565"/>
      <c r="S23" s="565"/>
      <c r="T23" s="565"/>
      <c r="U23" s="565"/>
      <c r="V23" s="565"/>
      <c r="W23" s="565"/>
      <c r="X23" s="565"/>
      <c r="Y23" s="565"/>
      <c r="Z23" s="565"/>
      <c r="AA23" s="565"/>
      <c r="AB23" s="565"/>
      <c r="AC23" s="565"/>
      <c r="AD23" s="565"/>
      <c r="AE23" s="565"/>
      <c r="AF23" s="565"/>
      <c r="AG23" s="565"/>
      <c r="AH23" s="186"/>
    </row>
    <row r="24" spans="2:34">
      <c r="C24" s="308" t="s">
        <v>837</v>
      </c>
      <c r="D24" s="308"/>
      <c r="E24" s="308"/>
      <c r="F24" s="308"/>
      <c r="G24" s="308"/>
      <c r="H24" s="308"/>
      <c r="I24" s="308"/>
      <c r="J24" s="308"/>
      <c r="K24" s="1236"/>
      <c r="L24" s="1236"/>
      <c r="M24" s="1236"/>
      <c r="N24" s="1236"/>
      <c r="O24" s="1236"/>
      <c r="P24" s="1979" t="str">
        <f ca="1">IF(P12&gt;=P14,"OK","FLAG")</f>
        <v>OK</v>
      </c>
      <c r="Q24" s="1979" t="str">
        <f ca="1">IF(Q12&gt;=Q14,"OK","FLAG")</f>
        <v>OK</v>
      </c>
      <c r="R24" s="1979" t="str">
        <f ca="1">IF(R12&gt;=R14,"OK","FLAG")</f>
        <v>OK</v>
      </c>
      <c r="S24" s="1979" t="str">
        <f t="shared" ref="S24:AG24" ca="1" si="11">IF(S12&gt;=S14,"OK","FLAG")</f>
        <v>OK</v>
      </c>
      <c r="T24" s="1979" t="str">
        <f t="shared" ca="1" si="11"/>
        <v>FLAG</v>
      </c>
      <c r="U24" s="1979" t="str">
        <f t="shared" ca="1" si="11"/>
        <v>OK</v>
      </c>
      <c r="V24" s="1979" t="str">
        <f t="shared" ca="1" si="11"/>
        <v>OK</v>
      </c>
      <c r="W24" s="1979" t="str">
        <f t="shared" ca="1" si="11"/>
        <v>OK</v>
      </c>
      <c r="X24" s="1979" t="str">
        <f t="shared" ca="1" si="11"/>
        <v>OK</v>
      </c>
      <c r="Y24" s="1979" t="str">
        <f t="shared" ca="1" si="11"/>
        <v>OK</v>
      </c>
      <c r="Z24" s="1979" t="str">
        <f t="shared" ca="1" si="11"/>
        <v>OK</v>
      </c>
      <c r="AA24" s="1979" t="str">
        <f t="shared" ca="1" si="11"/>
        <v>OK</v>
      </c>
      <c r="AB24" s="1979" t="str">
        <f t="shared" ca="1" si="11"/>
        <v>OK</v>
      </c>
      <c r="AC24" s="1979" t="str">
        <f t="shared" ca="1" si="11"/>
        <v>OK</v>
      </c>
      <c r="AD24" s="1979" t="str">
        <f t="shared" ca="1" si="11"/>
        <v>OK</v>
      </c>
      <c r="AE24" s="1979" t="str">
        <f t="shared" ca="1" si="11"/>
        <v>OK</v>
      </c>
      <c r="AF24" s="1979" t="str">
        <f t="shared" ca="1" si="11"/>
        <v>OK</v>
      </c>
      <c r="AG24" s="1979" t="str">
        <f t="shared" ca="1" si="11"/>
        <v>OK</v>
      </c>
    </row>
    <row r="25" spans="2:34">
      <c r="C25" s="308" t="s">
        <v>691</v>
      </c>
      <c r="D25" s="308"/>
      <c r="E25" s="308"/>
      <c r="F25" s="308"/>
      <c r="G25" s="308"/>
      <c r="H25" s="308"/>
      <c r="I25" s="308"/>
      <c r="J25" s="308"/>
      <c r="K25" s="1237"/>
      <c r="L25" s="1237"/>
      <c r="M25" s="1237"/>
      <c r="N25" s="1237"/>
      <c r="O25" s="1237"/>
      <c r="P25" s="1237">
        <f ca="1">P12-P14</f>
        <v>1.5819378330373002</v>
      </c>
      <c r="Q25" s="1237">
        <f ca="1">Q12-Q14</f>
        <v>1.5673067484662575</v>
      </c>
      <c r="R25" s="1237">
        <f ca="1">R12-R14</f>
        <v>1.6555780445969122</v>
      </c>
      <c r="S25" s="1237">
        <f t="shared" ref="S25:AG25" ca="1" si="12">S12-S14</f>
        <v>0.33653435114503816</v>
      </c>
      <c r="T25" s="1237">
        <f t="shared" ca="1" si="12"/>
        <v>-0.21235593220338966</v>
      </c>
      <c r="U25" s="1237">
        <f t="shared" ca="1" si="12"/>
        <v>5.9420814479638207E-2</v>
      </c>
      <c r="V25" s="1237">
        <f t="shared" ca="1" si="12"/>
        <v>1.7412362292576415</v>
      </c>
      <c r="W25" s="1237">
        <f t="shared" ca="1" si="12"/>
        <v>0.38500000000000001</v>
      </c>
      <c r="X25" s="1237">
        <f t="shared" ca="1" si="12"/>
        <v>0.33499999999999996</v>
      </c>
      <c r="Y25" s="1237">
        <f t="shared" ca="1" si="12"/>
        <v>0.33499999999999996</v>
      </c>
      <c r="Z25" s="1237">
        <f t="shared" ca="1" si="12"/>
        <v>0.33499999999999996</v>
      </c>
      <c r="AA25" s="1237">
        <f t="shared" ca="1" si="12"/>
        <v>0.33499999999999996</v>
      </c>
      <c r="AB25" s="1237">
        <f t="shared" ca="1" si="12"/>
        <v>0.33499999999999996</v>
      </c>
      <c r="AC25" s="1237">
        <f t="shared" ca="1" si="12"/>
        <v>0.33499999999999996</v>
      </c>
      <c r="AD25" s="1237">
        <f t="shared" ca="1" si="12"/>
        <v>0.33499999999999996</v>
      </c>
      <c r="AE25" s="1237">
        <f t="shared" ca="1" si="12"/>
        <v>0.33499999999999996</v>
      </c>
      <c r="AF25" s="1237">
        <f t="shared" ca="1" si="12"/>
        <v>0.33499999999999996</v>
      </c>
      <c r="AG25" s="1237">
        <f t="shared" ca="1" si="12"/>
        <v>0.33499999999999996</v>
      </c>
    </row>
    <row r="26" spans="2:34">
      <c r="B26" s="377" t="s">
        <v>67</v>
      </c>
      <c r="K26" s="831"/>
      <c r="L26" s="573"/>
      <c r="M26" s="573"/>
      <c r="N26" s="573"/>
      <c r="O26" s="573"/>
      <c r="P26" s="573"/>
      <c r="Q26" s="573"/>
      <c r="R26" s="573"/>
      <c r="S26" s="375"/>
      <c r="T26" s="375"/>
      <c r="U26" s="375"/>
      <c r="V26" s="375"/>
      <c r="W26" s="375"/>
      <c r="X26" s="573"/>
      <c r="Y26" s="573"/>
      <c r="Z26" s="573"/>
      <c r="AA26" s="573"/>
      <c r="AB26" s="573"/>
      <c r="AC26" s="74"/>
      <c r="AD26" s="74"/>
      <c r="AE26" s="74"/>
      <c r="AF26" s="74"/>
      <c r="AG26" s="74"/>
    </row>
    <row r="27" spans="2:34">
      <c r="K27" s="573"/>
      <c r="L27" s="573"/>
      <c r="M27" s="573"/>
      <c r="N27" s="573"/>
      <c r="O27" s="573"/>
      <c r="P27" s="573"/>
      <c r="Q27" s="573"/>
      <c r="R27" s="573"/>
      <c r="S27" s="375"/>
      <c r="T27" s="375"/>
      <c r="U27" s="375"/>
      <c r="V27" s="375"/>
      <c r="W27" s="375"/>
      <c r="X27" s="375"/>
      <c r="Y27" s="375"/>
      <c r="Z27" s="375"/>
      <c r="AA27" s="375"/>
      <c r="AB27" s="375"/>
    </row>
    <row r="28" spans="2:34">
      <c r="C28" s="643"/>
      <c r="K28" s="573"/>
      <c r="L28" s="573"/>
      <c r="M28" s="573"/>
      <c r="N28" s="573"/>
      <c r="O28" s="573"/>
      <c r="P28" s="573"/>
      <c r="Q28" s="573"/>
      <c r="R28" s="573"/>
      <c r="S28" s="382"/>
      <c r="T28" s="382"/>
      <c r="U28" s="382"/>
      <c r="V28" s="382"/>
      <c r="W28" s="382"/>
      <c r="X28" s="382"/>
      <c r="Y28" s="382"/>
      <c r="Z28" s="382"/>
      <c r="AA28" s="382"/>
      <c r="AB28" s="382"/>
    </row>
    <row r="29" spans="2:34">
      <c r="C29" s="76"/>
      <c r="D29" s="2283" t="s">
        <v>1285</v>
      </c>
      <c r="E29" s="2284"/>
      <c r="F29" s="2284"/>
      <c r="G29" s="2284"/>
      <c r="H29" s="2285"/>
      <c r="I29" s="77"/>
      <c r="J29" s="77"/>
      <c r="K29" s="385"/>
      <c r="L29" s="385"/>
      <c r="M29" s="385"/>
      <c r="N29" s="832"/>
      <c r="O29" s="832"/>
      <c r="P29" s="832"/>
      <c r="Q29" s="832"/>
      <c r="R29" s="832"/>
      <c r="S29" s="832"/>
      <c r="T29" s="832"/>
      <c r="U29" s="832"/>
      <c r="V29" s="832"/>
      <c r="W29" s="832"/>
      <c r="X29" s="832"/>
      <c r="Y29" s="832"/>
      <c r="Z29" s="832"/>
      <c r="AA29" s="832"/>
      <c r="AB29" s="832"/>
      <c r="AC29" s="832"/>
      <c r="AD29" s="832"/>
      <c r="AE29" s="832"/>
      <c r="AF29" s="832"/>
      <c r="AG29" s="832"/>
      <c r="AH29" s="80"/>
    </row>
    <row r="30" spans="2:34">
      <c r="C30" s="82"/>
      <c r="D30" s="647"/>
      <c r="E30" s="647"/>
      <c r="F30" s="647"/>
      <c r="G30" s="647"/>
      <c r="K30" s="349"/>
      <c r="L30" s="349"/>
      <c r="M30" s="349"/>
      <c r="N30" s="378"/>
      <c r="O30" s="378"/>
      <c r="P30" s="378"/>
      <c r="Q30" s="378"/>
      <c r="R30" s="378"/>
      <c r="S30" s="378"/>
      <c r="T30" s="378"/>
      <c r="U30" s="378"/>
      <c r="V30" s="378"/>
      <c r="W30" s="378"/>
      <c r="X30" s="378"/>
      <c r="Y30" s="378"/>
      <c r="Z30" s="378"/>
      <c r="AA30" s="378"/>
      <c r="AB30" s="378"/>
      <c r="AC30" s="378"/>
      <c r="AD30" s="378"/>
      <c r="AE30" s="378"/>
      <c r="AF30" s="378"/>
      <c r="AG30" s="378"/>
      <c r="AH30" s="81"/>
    </row>
    <row r="31" spans="2:34">
      <c r="C31" s="82"/>
      <c r="D31" s="647" t="s">
        <v>68</v>
      </c>
      <c r="E31" s="647"/>
      <c r="F31" s="647"/>
      <c r="G31" s="647"/>
      <c r="K31" s="400"/>
      <c r="L31" s="401"/>
      <c r="M31" s="401"/>
      <c r="N31" s="400"/>
      <c r="O31" s="440">
        <v>0.925691402714932</v>
      </c>
      <c r="P31" s="438">
        <v>1.5369538188277085</v>
      </c>
      <c r="Q31" s="438">
        <v>1.3145153374233129</v>
      </c>
      <c r="R31" s="438">
        <v>1.1620420240137219</v>
      </c>
      <c r="S31" s="438">
        <v>1.1838371501272265</v>
      </c>
      <c r="T31" s="438">
        <v>1.0458813559322033</v>
      </c>
      <c r="U31" s="438">
        <v>1.1226289592760181</v>
      </c>
      <c r="V31" s="438">
        <v>1.2339410480349344</v>
      </c>
      <c r="W31" s="439">
        <v>0.95</v>
      </c>
      <c r="X31" s="437">
        <v>0.95</v>
      </c>
      <c r="Y31" s="438">
        <v>0.95</v>
      </c>
      <c r="Z31" s="438">
        <v>0.95</v>
      </c>
      <c r="AA31" s="438">
        <v>0.95</v>
      </c>
      <c r="AB31" s="439">
        <v>0.95</v>
      </c>
      <c r="AC31" s="438">
        <v>0.95</v>
      </c>
      <c r="AD31" s="438">
        <v>0.95</v>
      </c>
      <c r="AE31" s="438">
        <v>0.95</v>
      </c>
      <c r="AF31" s="438">
        <v>0.95</v>
      </c>
      <c r="AG31" s="439">
        <v>0.95</v>
      </c>
      <c r="AH31" s="81"/>
    </row>
    <row r="32" spans="2:34">
      <c r="C32" s="82"/>
      <c r="D32" s="647"/>
      <c r="E32" s="647"/>
      <c r="F32" s="647"/>
      <c r="G32" s="647"/>
      <c r="K32" s="349"/>
      <c r="L32" s="349"/>
      <c r="M32" s="349"/>
      <c r="N32" s="349"/>
      <c r="O32" s="1712"/>
      <c r="P32" s="835"/>
      <c r="Q32" s="835"/>
      <c r="R32" s="835"/>
      <c r="S32" s="835"/>
      <c r="T32" s="835"/>
      <c r="U32" s="835"/>
      <c r="V32" s="835"/>
      <c r="W32" s="835"/>
      <c r="X32" s="835"/>
      <c r="Y32" s="835"/>
      <c r="Z32" s="835"/>
      <c r="AA32" s="835"/>
      <c r="AB32" s="1558"/>
      <c r="AC32" s="835"/>
      <c r="AD32" s="835"/>
      <c r="AE32" s="835"/>
      <c r="AF32" s="835"/>
      <c r="AG32" s="1558"/>
      <c r="AH32" s="81"/>
    </row>
    <row r="33" spans="3:34">
      <c r="C33" s="82"/>
      <c r="D33" s="647" t="s">
        <v>26</v>
      </c>
      <c r="E33" s="647"/>
      <c r="F33" s="647"/>
      <c r="G33" s="647"/>
      <c r="K33" s="400"/>
      <c r="L33" s="401"/>
      <c r="M33" s="401"/>
      <c r="N33" s="400"/>
      <c r="O33" s="440">
        <v>1.1918117647058823</v>
      </c>
      <c r="P33" s="438">
        <v>1.198324156305506</v>
      </c>
      <c r="Q33" s="438">
        <v>0.98157055214723932</v>
      </c>
      <c r="R33" s="438">
        <v>0.88209005145797592</v>
      </c>
      <c r="S33" s="438">
        <v>0.95948091603053431</v>
      </c>
      <c r="T33" s="438">
        <v>1.4263050847457626</v>
      </c>
      <c r="U33" s="438">
        <v>1.3401515837104072</v>
      </c>
      <c r="V33" s="438">
        <v>0.57856986899563312</v>
      </c>
      <c r="W33" s="439">
        <v>0.95</v>
      </c>
      <c r="X33" s="437">
        <v>0.95</v>
      </c>
      <c r="Y33" s="438">
        <v>0.95</v>
      </c>
      <c r="Z33" s="438">
        <v>0.95</v>
      </c>
      <c r="AA33" s="438">
        <v>0.95</v>
      </c>
      <c r="AB33" s="439">
        <v>0.95</v>
      </c>
      <c r="AC33" s="438">
        <v>0.95</v>
      </c>
      <c r="AD33" s="438">
        <v>0.95</v>
      </c>
      <c r="AE33" s="438">
        <v>0.95</v>
      </c>
      <c r="AF33" s="438">
        <v>0.95</v>
      </c>
      <c r="AG33" s="439">
        <v>0.95</v>
      </c>
      <c r="AH33" s="81"/>
    </row>
    <row r="34" spans="3:34">
      <c r="C34" s="82"/>
      <c r="D34" s="647"/>
      <c r="E34" s="647"/>
      <c r="F34" s="647"/>
      <c r="G34" s="647"/>
      <c r="K34" s="349"/>
      <c r="L34" s="349"/>
      <c r="M34" s="349"/>
      <c r="N34" s="349"/>
      <c r="O34" s="835"/>
      <c r="P34" s="835"/>
      <c r="Q34" s="835"/>
      <c r="R34" s="835"/>
      <c r="S34" s="835"/>
      <c r="T34" s="835"/>
      <c r="U34" s="835"/>
      <c r="V34" s="835"/>
      <c r="W34" s="835"/>
      <c r="X34" s="835"/>
      <c r="Y34" s="835"/>
      <c r="Z34" s="835"/>
      <c r="AA34" s="835"/>
      <c r="AB34" s="835"/>
      <c r="AC34" s="835"/>
      <c r="AD34" s="835"/>
      <c r="AE34" s="835"/>
      <c r="AF34" s="835"/>
      <c r="AG34" s="835"/>
      <c r="AH34" s="81"/>
    </row>
    <row r="35" spans="3:34">
      <c r="C35" s="82"/>
      <c r="D35" s="591" t="s">
        <v>23</v>
      </c>
      <c r="K35" s="384"/>
      <c r="L35" s="385"/>
      <c r="M35" s="386"/>
      <c r="N35" s="385"/>
      <c r="O35" s="592"/>
      <c r="P35" s="429"/>
      <c r="Q35" s="429"/>
      <c r="R35" s="429"/>
      <c r="S35" s="429"/>
      <c r="T35" s="429"/>
      <c r="U35" s="429"/>
      <c r="V35" s="429"/>
      <c r="W35" s="430"/>
      <c r="X35" s="428"/>
      <c r="Y35" s="429"/>
      <c r="Z35" s="429"/>
      <c r="AA35" s="429"/>
      <c r="AB35" s="430"/>
      <c r="AC35" s="428"/>
      <c r="AD35" s="429"/>
      <c r="AE35" s="429"/>
      <c r="AF35" s="429"/>
      <c r="AG35" s="430"/>
      <c r="AH35" s="81"/>
    </row>
    <row r="36" spans="3:34">
      <c r="C36" s="833"/>
      <c r="D36" s="591" t="s">
        <v>19</v>
      </c>
      <c r="K36" s="387"/>
      <c r="L36" s="349"/>
      <c r="M36" s="388"/>
      <c r="N36" s="349"/>
      <c r="O36" s="593"/>
      <c r="P36" s="432"/>
      <c r="Q36" s="432"/>
      <c r="R36" s="432"/>
      <c r="S36" s="432"/>
      <c r="T36" s="432"/>
      <c r="U36" s="432"/>
      <c r="V36" s="432"/>
      <c r="W36" s="433"/>
      <c r="X36" s="431"/>
      <c r="Y36" s="432"/>
      <c r="Z36" s="432"/>
      <c r="AA36" s="432"/>
      <c r="AB36" s="433"/>
      <c r="AC36" s="431"/>
      <c r="AD36" s="432"/>
      <c r="AE36" s="432"/>
      <c r="AF36" s="432"/>
      <c r="AG36" s="433"/>
      <c r="AH36" s="81"/>
    </row>
    <row r="37" spans="3:34">
      <c r="C37" s="82"/>
      <c r="D37" s="591" t="s">
        <v>22</v>
      </c>
      <c r="K37" s="392"/>
      <c r="L37" s="393"/>
      <c r="M37" s="394"/>
      <c r="N37" s="393"/>
      <c r="O37" s="594"/>
      <c r="P37" s="435"/>
      <c r="Q37" s="435"/>
      <c r="R37" s="435"/>
      <c r="S37" s="435"/>
      <c r="T37" s="435"/>
      <c r="U37" s="435"/>
      <c r="V37" s="435"/>
      <c r="W37" s="436"/>
      <c r="X37" s="434"/>
      <c r="Y37" s="435"/>
      <c r="Z37" s="435"/>
      <c r="AA37" s="435"/>
      <c r="AB37" s="436"/>
      <c r="AC37" s="434"/>
      <c r="AD37" s="435"/>
      <c r="AE37" s="435"/>
      <c r="AF37" s="435"/>
      <c r="AG37" s="436"/>
      <c r="AH37" s="81"/>
    </row>
    <row r="38" spans="3:34">
      <c r="C38" s="82"/>
      <c r="D38" s="614" t="s">
        <v>24</v>
      </c>
      <c r="E38" s="104"/>
      <c r="F38" s="104"/>
      <c r="G38" s="104"/>
      <c r="H38" s="104"/>
      <c r="I38" s="104"/>
      <c r="J38" s="104"/>
      <c r="K38" s="349">
        <f t="shared" ref="K38:W38" si="13">+K35-K36-K37</f>
        <v>0</v>
      </c>
      <c r="L38" s="349">
        <f t="shared" si="13"/>
        <v>0</v>
      </c>
      <c r="M38" s="349">
        <f t="shared" si="13"/>
        <v>0</v>
      </c>
      <c r="N38" s="349">
        <f t="shared" si="13"/>
        <v>0</v>
      </c>
      <c r="O38" s="378">
        <f>+O35-O36-O37</f>
        <v>0</v>
      </c>
      <c r="P38" s="378">
        <f>+P35-P36-P37</f>
        <v>0</v>
      </c>
      <c r="Q38" s="378">
        <f>+Q35-Q36-Q37</f>
        <v>0</v>
      </c>
      <c r="R38" s="378">
        <f t="shared" si="13"/>
        <v>0</v>
      </c>
      <c r="S38" s="378">
        <f t="shared" si="13"/>
        <v>0</v>
      </c>
      <c r="T38" s="378">
        <f t="shared" si="13"/>
        <v>0</v>
      </c>
      <c r="U38" s="378">
        <f t="shared" si="13"/>
        <v>0</v>
      </c>
      <c r="V38" s="378">
        <f t="shared" si="13"/>
        <v>0</v>
      </c>
      <c r="W38" s="378">
        <f t="shared" si="13"/>
        <v>0</v>
      </c>
      <c r="X38" s="378">
        <f t="shared" ref="X38:AG38" si="14">+X35-X36-X37</f>
        <v>0</v>
      </c>
      <c r="Y38" s="378">
        <f t="shared" si="14"/>
        <v>0</v>
      </c>
      <c r="Z38" s="378">
        <f t="shared" si="14"/>
        <v>0</v>
      </c>
      <c r="AA38" s="378">
        <f t="shared" si="14"/>
        <v>0</v>
      </c>
      <c r="AB38" s="378">
        <f t="shared" si="14"/>
        <v>0</v>
      </c>
      <c r="AC38" s="378">
        <f t="shared" si="14"/>
        <v>0</v>
      </c>
      <c r="AD38" s="378">
        <f t="shared" si="14"/>
        <v>0</v>
      </c>
      <c r="AE38" s="378">
        <f t="shared" si="14"/>
        <v>0</v>
      </c>
      <c r="AF38" s="378">
        <f t="shared" si="14"/>
        <v>0</v>
      </c>
      <c r="AG38" s="378">
        <f t="shared" si="14"/>
        <v>0</v>
      </c>
      <c r="AH38" s="81"/>
    </row>
    <row r="39" spans="3:34">
      <c r="C39" s="82"/>
      <c r="D39" s="614"/>
      <c r="E39" s="104"/>
      <c r="F39" s="104"/>
      <c r="G39" s="104"/>
      <c r="H39" s="104"/>
      <c r="I39" s="104"/>
      <c r="J39" s="104"/>
      <c r="K39" s="349"/>
      <c r="L39" s="349"/>
      <c r="M39" s="349"/>
      <c r="N39" s="349"/>
      <c r="O39" s="378"/>
      <c r="P39" s="378"/>
      <c r="Q39" s="378"/>
      <c r="R39" s="378"/>
      <c r="S39" s="378"/>
      <c r="T39" s="378"/>
      <c r="U39" s="378"/>
      <c r="V39" s="378"/>
      <c r="W39" s="378"/>
      <c r="X39" s="378"/>
      <c r="Y39" s="378"/>
      <c r="Z39" s="378"/>
      <c r="AA39" s="378"/>
      <c r="AB39" s="378"/>
      <c r="AC39" s="378"/>
      <c r="AD39" s="378"/>
      <c r="AE39" s="378"/>
      <c r="AF39" s="378"/>
      <c r="AG39" s="378"/>
      <c r="AH39" s="81"/>
    </row>
    <row r="40" spans="3:34">
      <c r="C40" s="82"/>
      <c r="D40" s="591" t="s">
        <v>61</v>
      </c>
      <c r="E40" s="104"/>
      <c r="F40" s="104"/>
      <c r="G40" s="104"/>
      <c r="H40" s="104"/>
      <c r="I40" s="104"/>
      <c r="J40" s="104"/>
      <c r="K40" s="384"/>
      <c r="L40" s="385"/>
      <c r="M40" s="386"/>
      <c r="N40" s="385"/>
      <c r="O40" s="592"/>
      <c r="P40" s="429"/>
      <c r="Q40" s="429"/>
      <c r="R40" s="429"/>
      <c r="S40" s="429"/>
      <c r="T40" s="429"/>
      <c r="U40" s="429"/>
      <c r="V40" s="429"/>
      <c r="W40" s="430"/>
      <c r="X40" s="428"/>
      <c r="Y40" s="429"/>
      <c r="Z40" s="429"/>
      <c r="AA40" s="429"/>
      <c r="AB40" s="430"/>
      <c r="AC40" s="428"/>
      <c r="AD40" s="429"/>
      <c r="AE40" s="429"/>
      <c r="AF40" s="429"/>
      <c r="AG40" s="430"/>
      <c r="AH40" s="81"/>
    </row>
    <row r="41" spans="3:34">
      <c r="C41" s="82"/>
      <c r="D41" s="591" t="s">
        <v>18</v>
      </c>
      <c r="E41" s="104"/>
      <c r="F41" s="104"/>
      <c r="G41" s="104"/>
      <c r="H41" s="104"/>
      <c r="I41" s="104"/>
      <c r="J41" s="104"/>
      <c r="K41" s="392"/>
      <c r="L41" s="393"/>
      <c r="M41" s="394"/>
      <c r="N41" s="393"/>
      <c r="O41" s="594"/>
      <c r="P41" s="435"/>
      <c r="Q41" s="435"/>
      <c r="R41" s="435"/>
      <c r="S41" s="435"/>
      <c r="T41" s="435"/>
      <c r="U41" s="435"/>
      <c r="V41" s="435"/>
      <c r="W41" s="436"/>
      <c r="X41" s="434"/>
      <c r="Y41" s="435"/>
      <c r="Z41" s="435"/>
      <c r="AA41" s="435"/>
      <c r="AB41" s="436"/>
      <c r="AC41" s="434"/>
      <c r="AD41" s="435"/>
      <c r="AE41" s="435"/>
      <c r="AF41" s="435"/>
      <c r="AG41" s="436"/>
      <c r="AH41" s="81"/>
    </row>
    <row r="42" spans="3:34">
      <c r="C42" s="92"/>
      <c r="D42" s="75"/>
      <c r="E42" s="75"/>
      <c r="F42" s="75"/>
      <c r="G42" s="75"/>
      <c r="H42" s="75"/>
      <c r="I42" s="75"/>
      <c r="J42" s="75"/>
      <c r="K42" s="393"/>
      <c r="L42" s="393"/>
      <c r="M42" s="393"/>
      <c r="N42" s="393"/>
      <c r="O42" s="834"/>
      <c r="P42" s="834"/>
      <c r="Q42" s="834"/>
      <c r="R42" s="834"/>
      <c r="S42" s="834"/>
      <c r="T42" s="834"/>
      <c r="U42" s="834"/>
      <c r="V42" s="834"/>
      <c r="W42" s="834"/>
      <c r="X42" s="834"/>
      <c r="Y42" s="834"/>
      <c r="Z42" s="834"/>
      <c r="AA42" s="834"/>
      <c r="AB42" s="834"/>
      <c r="AC42" s="834"/>
      <c r="AD42" s="834"/>
      <c r="AE42" s="834"/>
      <c r="AF42" s="834"/>
      <c r="AG42" s="834"/>
      <c r="AH42" s="94"/>
    </row>
    <row r="43" spans="3:34">
      <c r="K43" s="349"/>
      <c r="L43" s="349"/>
      <c r="M43" s="349"/>
      <c r="N43" s="349"/>
      <c r="O43" s="378"/>
      <c r="P43" s="378"/>
      <c r="Q43" s="378"/>
      <c r="R43" s="378"/>
      <c r="S43" s="378"/>
      <c r="T43" s="378"/>
      <c r="U43" s="378"/>
      <c r="V43" s="378"/>
      <c r="W43" s="378"/>
      <c r="X43" s="378"/>
      <c r="Y43" s="378"/>
      <c r="Z43" s="378"/>
      <c r="AA43" s="378"/>
      <c r="AB43" s="378"/>
      <c r="AC43" s="378"/>
      <c r="AD43" s="378"/>
      <c r="AE43" s="378"/>
      <c r="AF43" s="378"/>
      <c r="AG43" s="378"/>
    </row>
    <row r="44" spans="3:34">
      <c r="C44" s="76"/>
      <c r="D44" s="2283" t="s">
        <v>1286</v>
      </c>
      <c r="E44" s="2284"/>
      <c r="F44" s="2284"/>
      <c r="G44" s="2284"/>
      <c r="H44" s="2285"/>
      <c r="I44" s="77"/>
      <c r="J44" s="77"/>
      <c r="K44" s="385"/>
      <c r="L44" s="385"/>
      <c r="M44" s="385"/>
      <c r="N44" s="385"/>
      <c r="O44" s="832"/>
      <c r="P44" s="832"/>
      <c r="Q44" s="832"/>
      <c r="R44" s="832"/>
      <c r="S44" s="832"/>
      <c r="T44" s="832"/>
      <c r="U44" s="832"/>
      <c r="V44" s="832"/>
      <c r="W44" s="832"/>
      <c r="X44" s="832"/>
      <c r="Y44" s="832"/>
      <c r="Z44" s="832"/>
      <c r="AA44" s="832"/>
      <c r="AB44" s="832"/>
      <c r="AC44" s="832"/>
      <c r="AD44" s="832"/>
      <c r="AE44" s="832"/>
      <c r="AF44" s="832"/>
      <c r="AG44" s="832"/>
      <c r="AH44" s="80"/>
    </row>
    <row r="45" spans="3:34">
      <c r="C45" s="82"/>
      <c r="D45" s="647"/>
      <c r="E45" s="647"/>
      <c r="F45" s="647"/>
      <c r="G45" s="647"/>
      <c r="K45" s="349"/>
      <c r="L45" s="349"/>
      <c r="M45" s="349"/>
      <c r="N45" s="349"/>
      <c r="O45" s="378"/>
      <c r="P45" s="378"/>
      <c r="Q45" s="378"/>
      <c r="R45" s="378"/>
      <c r="S45" s="378"/>
      <c r="T45" s="378"/>
      <c r="U45" s="378"/>
      <c r="V45" s="378"/>
      <c r="W45" s="378"/>
      <c r="X45" s="378"/>
      <c r="Y45" s="378"/>
      <c r="Z45" s="378"/>
      <c r="AA45" s="378"/>
      <c r="AB45" s="378"/>
      <c r="AC45" s="378"/>
      <c r="AD45" s="378"/>
      <c r="AE45" s="378"/>
      <c r="AF45" s="378"/>
      <c r="AG45" s="378"/>
      <c r="AH45" s="81"/>
    </row>
    <row r="46" spans="3:34">
      <c r="C46" s="82"/>
      <c r="D46" s="647" t="s">
        <v>68</v>
      </c>
      <c r="E46" s="647"/>
      <c r="F46" s="647"/>
      <c r="G46" s="647"/>
      <c r="K46" s="400"/>
      <c r="L46" s="401"/>
      <c r="M46" s="402"/>
      <c r="N46" s="400"/>
      <c r="O46" s="437">
        <v>0</v>
      </c>
      <c r="P46" s="437">
        <v>0.97090497335701598</v>
      </c>
      <c r="Q46" s="438">
        <v>1.0210306748466258</v>
      </c>
      <c r="R46" s="438">
        <v>1.2151363636363635</v>
      </c>
      <c r="S46" s="438">
        <v>1.3127226463104325E-2</v>
      </c>
      <c r="T46" s="438">
        <v>4.2016949152542366E-2</v>
      </c>
      <c r="U46" s="438">
        <v>0.11247511312217194</v>
      </c>
      <c r="V46" s="438">
        <v>0.91997422052401734</v>
      </c>
      <c r="W46" s="439">
        <v>0.3</v>
      </c>
      <c r="X46" s="437">
        <v>0.25</v>
      </c>
      <c r="Y46" s="438">
        <v>0.25</v>
      </c>
      <c r="Z46" s="438">
        <v>0.25</v>
      </c>
      <c r="AA46" s="438">
        <v>0.25</v>
      </c>
      <c r="AB46" s="439">
        <v>0.25</v>
      </c>
      <c r="AC46" s="437">
        <v>0.25</v>
      </c>
      <c r="AD46" s="438">
        <v>0.25</v>
      </c>
      <c r="AE46" s="438">
        <v>0.25</v>
      </c>
      <c r="AF46" s="438">
        <v>0.25</v>
      </c>
      <c r="AG46" s="439">
        <v>0.25</v>
      </c>
      <c r="AH46" s="81"/>
    </row>
    <row r="47" spans="3:34">
      <c r="C47" s="82"/>
      <c r="D47" s="647"/>
      <c r="E47" s="647"/>
      <c r="F47" s="647"/>
      <c r="G47" s="647"/>
      <c r="K47" s="349"/>
      <c r="L47" s="349"/>
      <c r="M47" s="349"/>
      <c r="N47" s="349"/>
      <c r="O47" s="835"/>
      <c r="P47" s="835"/>
      <c r="Q47" s="835"/>
      <c r="R47" s="835"/>
      <c r="S47" s="835"/>
      <c r="T47" s="835"/>
      <c r="U47" s="835"/>
      <c r="V47" s="835"/>
      <c r="W47" s="835"/>
      <c r="X47" s="835"/>
      <c r="Y47" s="835"/>
      <c r="Z47" s="835"/>
      <c r="AA47" s="835"/>
      <c r="AB47" s="835"/>
      <c r="AC47" s="835"/>
      <c r="AD47" s="835"/>
      <c r="AE47" s="835"/>
      <c r="AF47" s="835"/>
      <c r="AG47" s="835"/>
      <c r="AH47" s="81"/>
    </row>
    <row r="48" spans="3:34">
      <c r="C48" s="82"/>
      <c r="D48" s="647" t="s">
        <v>26</v>
      </c>
      <c r="E48" s="647"/>
      <c r="F48" s="647"/>
      <c r="G48" s="647"/>
      <c r="K48" s="400"/>
      <c r="L48" s="401"/>
      <c r="M48" s="402"/>
      <c r="N48" s="400"/>
      <c r="O48" s="437"/>
      <c r="P48" s="437"/>
      <c r="Q48" s="438"/>
      <c r="R48" s="438"/>
      <c r="S48" s="438"/>
      <c r="T48" s="438"/>
      <c r="U48" s="438"/>
      <c r="V48" s="438"/>
      <c r="W48" s="439"/>
      <c r="X48" s="437"/>
      <c r="Y48" s="438"/>
      <c r="Z48" s="438"/>
      <c r="AA48" s="438"/>
      <c r="AB48" s="439"/>
      <c r="AC48" s="437"/>
      <c r="AD48" s="438"/>
      <c r="AE48" s="438"/>
      <c r="AF48" s="438"/>
      <c r="AG48" s="439"/>
      <c r="AH48" s="81"/>
    </row>
    <row r="49" spans="3:34">
      <c r="C49" s="82"/>
      <c r="D49" s="647"/>
      <c r="E49" s="647"/>
      <c r="F49" s="647"/>
      <c r="G49" s="647"/>
      <c r="K49" s="349"/>
      <c r="L49" s="349"/>
      <c r="M49" s="349"/>
      <c r="N49" s="349"/>
      <c r="O49" s="835"/>
      <c r="P49" s="835"/>
      <c r="Q49" s="835"/>
      <c r="R49" s="835"/>
      <c r="S49" s="835"/>
      <c r="T49" s="835"/>
      <c r="U49" s="835"/>
      <c r="V49" s="835"/>
      <c r="W49" s="835"/>
      <c r="X49" s="835"/>
      <c r="Y49" s="835"/>
      <c r="Z49" s="835"/>
      <c r="AA49" s="835"/>
      <c r="AB49" s="835"/>
      <c r="AC49" s="835"/>
      <c r="AD49" s="835"/>
      <c r="AE49" s="835"/>
      <c r="AF49" s="835"/>
      <c r="AG49" s="835"/>
      <c r="AH49" s="81"/>
    </row>
    <row r="50" spans="3:34">
      <c r="C50" s="82"/>
      <c r="D50" s="591" t="s">
        <v>23</v>
      </c>
      <c r="K50" s="384"/>
      <c r="L50" s="385"/>
      <c r="M50" s="386"/>
      <c r="N50" s="385"/>
      <c r="O50" s="428"/>
      <c r="P50" s="428"/>
      <c r="Q50" s="429"/>
      <c r="R50" s="429"/>
      <c r="S50" s="429"/>
      <c r="T50" s="429"/>
      <c r="U50" s="429"/>
      <c r="V50" s="429"/>
      <c r="W50" s="430"/>
      <c r="X50" s="428"/>
      <c r="Y50" s="429"/>
      <c r="Z50" s="429"/>
      <c r="AA50" s="429"/>
      <c r="AB50" s="430"/>
      <c r="AC50" s="428"/>
      <c r="AD50" s="429"/>
      <c r="AE50" s="429"/>
      <c r="AF50" s="429"/>
      <c r="AG50" s="430"/>
      <c r="AH50" s="81"/>
    </row>
    <row r="51" spans="3:34">
      <c r="C51" s="833"/>
      <c r="D51" s="591" t="s">
        <v>19</v>
      </c>
      <c r="K51" s="387"/>
      <c r="L51" s="349"/>
      <c r="M51" s="388"/>
      <c r="N51" s="349"/>
      <c r="O51" s="431"/>
      <c r="P51" s="431"/>
      <c r="Q51" s="432"/>
      <c r="R51" s="432"/>
      <c r="S51" s="432"/>
      <c r="T51" s="432"/>
      <c r="U51" s="432"/>
      <c r="V51" s="432"/>
      <c r="W51" s="433"/>
      <c r="X51" s="431"/>
      <c r="Y51" s="432"/>
      <c r="Z51" s="432"/>
      <c r="AA51" s="432"/>
      <c r="AB51" s="433"/>
      <c r="AC51" s="431"/>
      <c r="AD51" s="432"/>
      <c r="AE51" s="432"/>
      <c r="AF51" s="432"/>
      <c r="AG51" s="433"/>
      <c r="AH51" s="81"/>
    </row>
    <row r="52" spans="3:34">
      <c r="C52" s="82"/>
      <c r="D52" s="591" t="s">
        <v>22</v>
      </c>
      <c r="K52" s="392"/>
      <c r="L52" s="393"/>
      <c r="M52" s="394"/>
      <c r="N52" s="393"/>
      <c r="O52" s="434"/>
      <c r="P52" s="434"/>
      <c r="Q52" s="435"/>
      <c r="R52" s="435"/>
      <c r="S52" s="435"/>
      <c r="T52" s="435"/>
      <c r="U52" s="435"/>
      <c r="V52" s="435"/>
      <c r="W52" s="436"/>
      <c r="X52" s="434"/>
      <c r="Y52" s="435"/>
      <c r="Z52" s="435"/>
      <c r="AA52" s="435"/>
      <c r="AB52" s="436"/>
      <c r="AC52" s="434"/>
      <c r="AD52" s="435"/>
      <c r="AE52" s="435"/>
      <c r="AF52" s="435"/>
      <c r="AG52" s="436"/>
      <c r="AH52" s="81"/>
    </row>
    <row r="53" spans="3:34">
      <c r="C53" s="82"/>
      <c r="D53" s="614" t="s">
        <v>24</v>
      </c>
      <c r="E53" s="104"/>
      <c r="F53" s="104"/>
      <c r="G53" s="104"/>
      <c r="H53" s="104"/>
      <c r="I53" s="104"/>
      <c r="J53" s="104"/>
      <c r="K53" s="349">
        <f t="shared" ref="K53:AA53" si="15">+K50-K51-K52</f>
        <v>0</v>
      </c>
      <c r="L53" s="349">
        <f t="shared" si="15"/>
        <v>0</v>
      </c>
      <c r="M53" s="349">
        <f t="shared" si="15"/>
        <v>0</v>
      </c>
      <c r="N53" s="349">
        <f>+N50-N51-N52</f>
        <v>0</v>
      </c>
      <c r="O53" s="378">
        <f>+O50-O51-O52</f>
        <v>0</v>
      </c>
      <c r="P53" s="378">
        <f>+P50-P51-P52</f>
        <v>0</v>
      </c>
      <c r="Q53" s="378">
        <f>+Q50-Q51-Q52</f>
        <v>0</v>
      </c>
      <c r="R53" s="378">
        <f>+R50-R51-R52</f>
        <v>0</v>
      </c>
      <c r="S53" s="378">
        <f t="shared" si="15"/>
        <v>0</v>
      </c>
      <c r="T53" s="378">
        <f t="shared" si="15"/>
        <v>0</v>
      </c>
      <c r="U53" s="378">
        <f t="shared" si="15"/>
        <v>0</v>
      </c>
      <c r="V53" s="378">
        <f t="shared" si="15"/>
        <v>0</v>
      </c>
      <c r="W53" s="378">
        <f t="shared" si="15"/>
        <v>0</v>
      </c>
      <c r="X53" s="378">
        <f t="shared" si="15"/>
        <v>0</v>
      </c>
      <c r="Y53" s="378">
        <f t="shared" si="15"/>
        <v>0</v>
      </c>
      <c r="Z53" s="378">
        <f t="shared" si="15"/>
        <v>0</v>
      </c>
      <c r="AA53" s="378">
        <f t="shared" si="15"/>
        <v>0</v>
      </c>
      <c r="AB53" s="378">
        <f t="shared" ref="AB53:AG53" si="16">+AB50-AB51-AB52</f>
        <v>0</v>
      </c>
      <c r="AC53" s="378">
        <f t="shared" si="16"/>
        <v>0</v>
      </c>
      <c r="AD53" s="378">
        <f t="shared" si="16"/>
        <v>0</v>
      </c>
      <c r="AE53" s="378">
        <f t="shared" si="16"/>
        <v>0</v>
      </c>
      <c r="AF53" s="378">
        <f t="shared" si="16"/>
        <v>0</v>
      </c>
      <c r="AG53" s="378">
        <f t="shared" si="16"/>
        <v>0</v>
      </c>
      <c r="AH53" s="81"/>
    </row>
    <row r="54" spans="3:34">
      <c r="C54" s="82"/>
      <c r="D54" s="614"/>
      <c r="E54" s="104"/>
      <c r="F54" s="104"/>
      <c r="G54" s="104"/>
      <c r="H54" s="104"/>
      <c r="I54" s="104"/>
      <c r="J54" s="104"/>
      <c r="K54" s="349"/>
      <c r="L54" s="349"/>
      <c r="M54" s="349"/>
      <c r="N54" s="349"/>
      <c r="O54" s="378"/>
      <c r="P54" s="378"/>
      <c r="Q54" s="378"/>
      <c r="R54" s="378"/>
      <c r="S54" s="378"/>
      <c r="T54" s="378"/>
      <c r="U54" s="378"/>
      <c r="V54" s="378"/>
      <c r="W54" s="378"/>
      <c r="X54" s="378"/>
      <c r="Y54" s="378"/>
      <c r="Z54" s="378"/>
      <c r="AA54" s="378"/>
      <c r="AB54" s="378"/>
      <c r="AC54" s="378"/>
      <c r="AD54" s="378"/>
      <c r="AE54" s="378"/>
      <c r="AF54" s="378"/>
      <c r="AG54" s="378"/>
      <c r="AH54" s="81"/>
    </row>
    <row r="55" spans="3:34">
      <c r="C55" s="82"/>
      <c r="D55" s="591" t="s">
        <v>61</v>
      </c>
      <c r="E55" s="104"/>
      <c r="F55" s="104"/>
      <c r="G55" s="104"/>
      <c r="H55" s="104"/>
      <c r="I55" s="104"/>
      <c r="J55" s="104"/>
      <c r="K55" s="384"/>
      <c r="L55" s="385"/>
      <c r="M55" s="386"/>
      <c r="N55" s="385"/>
      <c r="O55" s="428"/>
      <c r="P55" s="428"/>
      <c r="Q55" s="429"/>
      <c r="R55" s="429"/>
      <c r="S55" s="429"/>
      <c r="T55" s="429"/>
      <c r="U55" s="429"/>
      <c r="V55" s="429"/>
      <c r="W55" s="430"/>
      <c r="X55" s="428"/>
      <c r="Y55" s="429"/>
      <c r="Z55" s="429"/>
      <c r="AA55" s="429"/>
      <c r="AB55" s="430"/>
      <c r="AC55" s="428"/>
      <c r="AD55" s="429"/>
      <c r="AE55" s="429"/>
      <c r="AF55" s="429"/>
      <c r="AG55" s="430"/>
      <c r="AH55" s="81"/>
    </row>
    <row r="56" spans="3:34">
      <c r="C56" s="82"/>
      <c r="D56" s="591" t="s">
        <v>18</v>
      </c>
      <c r="E56" s="104"/>
      <c r="F56" s="104"/>
      <c r="G56" s="104"/>
      <c r="H56" s="104"/>
      <c r="I56" s="104"/>
      <c r="J56" s="104"/>
      <c r="K56" s="392"/>
      <c r="L56" s="393"/>
      <c r="M56" s="394"/>
      <c r="N56" s="393"/>
      <c r="O56" s="434"/>
      <c r="P56" s="434"/>
      <c r="Q56" s="435"/>
      <c r="R56" s="435"/>
      <c r="S56" s="435"/>
      <c r="T56" s="435"/>
      <c r="U56" s="435"/>
      <c r="V56" s="435"/>
      <c r="W56" s="436"/>
      <c r="X56" s="434"/>
      <c r="Y56" s="435"/>
      <c r="Z56" s="435"/>
      <c r="AA56" s="435"/>
      <c r="AB56" s="436"/>
      <c r="AC56" s="434"/>
      <c r="AD56" s="435"/>
      <c r="AE56" s="435"/>
      <c r="AF56" s="435"/>
      <c r="AG56" s="436"/>
      <c r="AH56" s="81"/>
    </row>
    <row r="57" spans="3:34">
      <c r="C57" s="92"/>
      <c r="D57" s="75"/>
      <c r="E57" s="75"/>
      <c r="F57" s="75"/>
      <c r="G57" s="75"/>
      <c r="H57" s="75"/>
      <c r="I57" s="75"/>
      <c r="J57" s="75"/>
      <c r="K57" s="393"/>
      <c r="L57" s="393"/>
      <c r="M57" s="393"/>
      <c r="N57" s="393"/>
      <c r="O57" s="834"/>
      <c r="P57" s="834"/>
      <c r="Q57" s="834"/>
      <c r="R57" s="834"/>
      <c r="S57" s="834"/>
      <c r="T57" s="834"/>
      <c r="U57" s="834"/>
      <c r="V57" s="834"/>
      <c r="W57" s="834"/>
      <c r="X57" s="834"/>
      <c r="Y57" s="834"/>
      <c r="Z57" s="834"/>
      <c r="AA57" s="834"/>
      <c r="AB57" s="834"/>
      <c r="AC57" s="834"/>
      <c r="AD57" s="834"/>
      <c r="AE57" s="834"/>
      <c r="AF57" s="834"/>
      <c r="AG57" s="834"/>
      <c r="AH57" s="94"/>
    </row>
    <row r="58" spans="3:34">
      <c r="K58" s="573"/>
      <c r="L58" s="573"/>
      <c r="M58" s="573"/>
      <c r="N58" s="573"/>
      <c r="O58" s="375"/>
      <c r="P58" s="375"/>
      <c r="Q58" s="375"/>
      <c r="R58" s="375"/>
      <c r="S58" s="375"/>
      <c r="T58" s="375"/>
      <c r="U58" s="375"/>
      <c r="V58" s="375"/>
      <c r="W58" s="375"/>
      <c r="X58" s="375"/>
      <c r="Y58" s="375"/>
      <c r="Z58" s="375"/>
      <c r="AA58" s="375"/>
      <c r="AB58" s="375"/>
      <c r="AC58" s="375"/>
      <c r="AD58" s="375"/>
      <c r="AE58" s="375"/>
      <c r="AF58" s="375"/>
      <c r="AG58" s="375"/>
    </row>
    <row r="59" spans="3:34">
      <c r="C59" s="76"/>
      <c r="D59" s="2283" t="s">
        <v>1287</v>
      </c>
      <c r="E59" s="2284"/>
      <c r="F59" s="2284"/>
      <c r="G59" s="2284"/>
      <c r="H59" s="2285"/>
      <c r="I59" s="77"/>
      <c r="J59" s="77"/>
      <c r="K59" s="385"/>
      <c r="L59" s="385"/>
      <c r="M59" s="385"/>
      <c r="N59" s="385"/>
      <c r="O59" s="832"/>
      <c r="P59" s="832"/>
      <c r="Q59" s="832"/>
      <c r="R59" s="832"/>
      <c r="S59" s="832"/>
      <c r="T59" s="832"/>
      <c r="U59" s="832"/>
      <c r="V59" s="832"/>
      <c r="W59" s="832"/>
      <c r="X59" s="832"/>
      <c r="Y59" s="832"/>
      <c r="Z59" s="832"/>
      <c r="AA59" s="832"/>
      <c r="AB59" s="832"/>
      <c r="AC59" s="832"/>
      <c r="AD59" s="832"/>
      <c r="AE59" s="832"/>
      <c r="AF59" s="832"/>
      <c r="AG59" s="832"/>
      <c r="AH59" s="80"/>
    </row>
    <row r="60" spans="3:34">
      <c r="C60" s="82"/>
      <c r="D60" s="647"/>
      <c r="E60" s="647"/>
      <c r="F60" s="647"/>
      <c r="G60" s="647"/>
      <c r="K60" s="349"/>
      <c r="L60" s="349"/>
      <c r="M60" s="349"/>
      <c r="N60" s="349"/>
      <c r="O60" s="378"/>
      <c r="P60" s="378"/>
      <c r="Q60" s="378"/>
      <c r="R60" s="378"/>
      <c r="S60" s="378"/>
      <c r="T60" s="378"/>
      <c r="U60" s="378"/>
      <c r="V60" s="378"/>
      <c r="W60" s="378"/>
      <c r="X60" s="378"/>
      <c r="Y60" s="378"/>
      <c r="Z60" s="378"/>
      <c r="AA60" s="378"/>
      <c r="AB60" s="378"/>
      <c r="AC60" s="378"/>
      <c r="AD60" s="378"/>
      <c r="AE60" s="378"/>
      <c r="AF60" s="378"/>
      <c r="AG60" s="378"/>
      <c r="AH60" s="81"/>
    </row>
    <row r="61" spans="3:34">
      <c r="C61" s="82"/>
      <c r="D61" s="647" t="s">
        <v>68</v>
      </c>
      <c r="E61" s="647"/>
      <c r="F61" s="647"/>
      <c r="G61" s="647"/>
      <c r="K61" s="400"/>
      <c r="L61" s="401"/>
      <c r="M61" s="401"/>
      <c r="N61" s="400"/>
      <c r="O61" s="437">
        <v>7.2578280542986415E-2</v>
      </c>
      <c r="P61" s="437">
        <v>9.3716696269982233E-2</v>
      </c>
      <c r="Q61" s="438">
        <v>6.2889570552147236E-2</v>
      </c>
      <c r="R61" s="438">
        <v>1.8100343053173238E-2</v>
      </c>
      <c r="S61" s="438">
        <v>1.6707379134860052E-2</v>
      </c>
      <c r="T61" s="438">
        <v>4.2016949152542366E-2</v>
      </c>
      <c r="U61" s="438">
        <v>4.9871040723981901E-2</v>
      </c>
      <c r="V61" s="438">
        <v>5.6320960698689949E-2</v>
      </c>
      <c r="W61" s="439">
        <v>2.5000000000000001E-2</v>
      </c>
      <c r="X61" s="437">
        <v>2.5000000000000001E-2</v>
      </c>
      <c r="Y61" s="438">
        <v>2.5000000000000001E-2</v>
      </c>
      <c r="Z61" s="438">
        <v>2.5000000000000001E-2</v>
      </c>
      <c r="AA61" s="438">
        <v>2.5000000000000001E-2</v>
      </c>
      <c r="AB61" s="439">
        <v>2.5000000000000001E-2</v>
      </c>
      <c r="AC61" s="437">
        <v>2.5000000000000001E-2</v>
      </c>
      <c r="AD61" s="438">
        <v>2.5000000000000001E-2</v>
      </c>
      <c r="AE61" s="438">
        <v>2.5000000000000001E-2</v>
      </c>
      <c r="AF61" s="438">
        <v>2.5000000000000001E-2</v>
      </c>
      <c r="AG61" s="439">
        <v>2.5000000000000001E-2</v>
      </c>
      <c r="AH61" s="81"/>
    </row>
    <row r="62" spans="3:34">
      <c r="C62" s="82"/>
      <c r="D62" s="647"/>
      <c r="E62" s="647"/>
      <c r="F62" s="647"/>
      <c r="G62" s="647"/>
      <c r="K62" s="349"/>
      <c r="L62" s="349"/>
      <c r="M62" s="349"/>
      <c r="N62" s="349"/>
      <c r="O62" s="835"/>
      <c r="P62" s="835"/>
      <c r="Q62" s="835"/>
      <c r="R62" s="835"/>
      <c r="S62" s="835"/>
      <c r="T62" s="835"/>
      <c r="U62" s="835"/>
      <c r="V62" s="835"/>
      <c r="W62" s="835"/>
      <c r="X62" s="835"/>
      <c r="Y62" s="835"/>
      <c r="Z62" s="835"/>
      <c r="AA62" s="835"/>
      <c r="AB62" s="835"/>
      <c r="AC62" s="835"/>
      <c r="AD62" s="835"/>
      <c r="AE62" s="835"/>
      <c r="AF62" s="835"/>
      <c r="AG62" s="835"/>
      <c r="AH62" s="81"/>
    </row>
    <row r="63" spans="3:34">
      <c r="C63" s="82"/>
      <c r="D63" s="647" t="s">
        <v>26</v>
      </c>
      <c r="E63" s="647"/>
      <c r="F63" s="647"/>
      <c r="G63" s="647"/>
      <c r="K63" s="400"/>
      <c r="L63" s="401"/>
      <c r="M63" s="401"/>
      <c r="N63" s="400"/>
      <c r="O63" s="437"/>
      <c r="P63" s="437"/>
      <c r="Q63" s="438"/>
      <c r="R63" s="438"/>
      <c r="S63" s="438"/>
      <c r="T63" s="438"/>
      <c r="U63" s="438"/>
      <c r="V63" s="438"/>
      <c r="W63" s="439"/>
      <c r="X63" s="437"/>
      <c r="Y63" s="438"/>
      <c r="Z63" s="438"/>
      <c r="AA63" s="438"/>
      <c r="AB63" s="439"/>
      <c r="AC63" s="437"/>
      <c r="AD63" s="438"/>
      <c r="AE63" s="438"/>
      <c r="AF63" s="438"/>
      <c r="AG63" s="439"/>
      <c r="AH63" s="81"/>
    </row>
    <row r="64" spans="3:34">
      <c r="C64" s="82"/>
      <c r="D64" s="647"/>
      <c r="E64" s="647"/>
      <c r="F64" s="647"/>
      <c r="G64" s="647"/>
      <c r="K64" s="349"/>
      <c r="L64" s="349"/>
      <c r="M64" s="349"/>
      <c r="N64" s="349"/>
      <c r="O64" s="835"/>
      <c r="P64" s="835"/>
      <c r="Q64" s="835"/>
      <c r="R64" s="835"/>
      <c r="S64" s="835"/>
      <c r="T64" s="835"/>
      <c r="U64" s="835"/>
      <c r="V64" s="835"/>
      <c r="W64" s="835"/>
      <c r="X64" s="835"/>
      <c r="Y64" s="835"/>
      <c r="Z64" s="835"/>
      <c r="AA64" s="835"/>
      <c r="AB64" s="835"/>
      <c r="AC64" s="835"/>
      <c r="AD64" s="835"/>
      <c r="AE64" s="835"/>
      <c r="AF64" s="835"/>
      <c r="AG64" s="835"/>
      <c r="AH64" s="81"/>
    </row>
    <row r="65" spans="3:34">
      <c r="C65" s="82"/>
      <c r="D65" s="591" t="s">
        <v>23</v>
      </c>
      <c r="K65" s="384"/>
      <c r="L65" s="385"/>
      <c r="M65" s="386"/>
      <c r="N65" s="385"/>
      <c r="O65" s="428"/>
      <c r="P65" s="428"/>
      <c r="Q65" s="429"/>
      <c r="R65" s="429"/>
      <c r="S65" s="429"/>
      <c r="T65" s="429"/>
      <c r="U65" s="429"/>
      <c r="V65" s="429"/>
      <c r="W65" s="430"/>
      <c r="X65" s="428"/>
      <c r="Y65" s="429"/>
      <c r="Z65" s="429"/>
      <c r="AA65" s="429"/>
      <c r="AB65" s="430"/>
      <c r="AC65" s="428"/>
      <c r="AD65" s="429"/>
      <c r="AE65" s="429"/>
      <c r="AF65" s="429"/>
      <c r="AG65" s="430"/>
      <c r="AH65" s="81"/>
    </row>
    <row r="66" spans="3:34">
      <c r="C66" s="833"/>
      <c r="D66" s="591" t="s">
        <v>19</v>
      </c>
      <c r="K66" s="387"/>
      <c r="L66" s="349"/>
      <c r="M66" s="388"/>
      <c r="N66" s="349"/>
      <c r="O66" s="431"/>
      <c r="P66" s="431"/>
      <c r="Q66" s="432"/>
      <c r="R66" s="432"/>
      <c r="S66" s="432"/>
      <c r="T66" s="432"/>
      <c r="U66" s="432"/>
      <c r="V66" s="432"/>
      <c r="W66" s="433"/>
      <c r="X66" s="431"/>
      <c r="Y66" s="432"/>
      <c r="Z66" s="432"/>
      <c r="AA66" s="432"/>
      <c r="AB66" s="433"/>
      <c r="AC66" s="431"/>
      <c r="AD66" s="432"/>
      <c r="AE66" s="432"/>
      <c r="AF66" s="432"/>
      <c r="AG66" s="433"/>
      <c r="AH66" s="81"/>
    </row>
    <row r="67" spans="3:34">
      <c r="C67" s="82"/>
      <c r="D67" s="591" t="s">
        <v>22</v>
      </c>
      <c r="K67" s="392"/>
      <c r="L67" s="393"/>
      <c r="M67" s="394"/>
      <c r="N67" s="393"/>
      <c r="O67" s="434"/>
      <c r="P67" s="434"/>
      <c r="Q67" s="435"/>
      <c r="R67" s="435"/>
      <c r="S67" s="435"/>
      <c r="T67" s="435"/>
      <c r="U67" s="435"/>
      <c r="V67" s="435"/>
      <c r="W67" s="436"/>
      <c r="X67" s="434"/>
      <c r="Y67" s="435"/>
      <c r="Z67" s="435"/>
      <c r="AA67" s="435"/>
      <c r="AB67" s="436"/>
      <c r="AC67" s="434"/>
      <c r="AD67" s="435"/>
      <c r="AE67" s="435"/>
      <c r="AF67" s="435"/>
      <c r="AG67" s="436"/>
      <c r="AH67" s="81"/>
    </row>
    <row r="68" spans="3:34">
      <c r="C68" s="82"/>
      <c r="D68" s="614" t="s">
        <v>24</v>
      </c>
      <c r="E68" s="104"/>
      <c r="F68" s="104"/>
      <c r="G68" s="104"/>
      <c r="H68" s="104"/>
      <c r="I68" s="104"/>
      <c r="J68" s="104"/>
      <c r="K68" s="349">
        <f t="shared" ref="K68:AA68" si="17">+K65-K66-K67</f>
        <v>0</v>
      </c>
      <c r="L68" s="349">
        <f t="shared" si="17"/>
        <v>0</v>
      </c>
      <c r="M68" s="349">
        <f t="shared" si="17"/>
        <v>0</v>
      </c>
      <c r="N68" s="349">
        <f>+N65-N66-N67</f>
        <v>0</v>
      </c>
      <c r="O68" s="378">
        <f>+O65-O66-O67</f>
        <v>0</v>
      </c>
      <c r="P68" s="378">
        <f>+P65-P66-P67</f>
        <v>0</v>
      </c>
      <c r="Q68" s="378">
        <f>+Q65-Q66-Q67</f>
        <v>0</v>
      </c>
      <c r="R68" s="378">
        <f>+R65-R66-R67</f>
        <v>0</v>
      </c>
      <c r="S68" s="378">
        <f t="shared" si="17"/>
        <v>0</v>
      </c>
      <c r="T68" s="378">
        <f t="shared" si="17"/>
        <v>0</v>
      </c>
      <c r="U68" s="378">
        <f t="shared" si="17"/>
        <v>0</v>
      </c>
      <c r="V68" s="378">
        <f t="shared" si="17"/>
        <v>0</v>
      </c>
      <c r="W68" s="378">
        <f t="shared" si="17"/>
        <v>0</v>
      </c>
      <c r="X68" s="378">
        <f t="shared" si="17"/>
        <v>0</v>
      </c>
      <c r="Y68" s="378">
        <f t="shared" si="17"/>
        <v>0</v>
      </c>
      <c r="Z68" s="378">
        <f t="shared" si="17"/>
        <v>0</v>
      </c>
      <c r="AA68" s="378">
        <f t="shared" si="17"/>
        <v>0</v>
      </c>
      <c r="AB68" s="378">
        <f t="shared" ref="AB68:AG68" si="18">+AB65-AB66-AB67</f>
        <v>0</v>
      </c>
      <c r="AC68" s="378">
        <f t="shared" si="18"/>
        <v>0</v>
      </c>
      <c r="AD68" s="378">
        <f t="shared" si="18"/>
        <v>0</v>
      </c>
      <c r="AE68" s="378">
        <f t="shared" si="18"/>
        <v>0</v>
      </c>
      <c r="AF68" s="378">
        <f t="shared" si="18"/>
        <v>0</v>
      </c>
      <c r="AG68" s="378">
        <f t="shared" si="18"/>
        <v>0</v>
      </c>
      <c r="AH68" s="81"/>
    </row>
    <row r="69" spans="3:34">
      <c r="C69" s="82"/>
      <c r="D69" s="614"/>
      <c r="E69" s="104"/>
      <c r="F69" s="104"/>
      <c r="G69" s="104"/>
      <c r="H69" s="104"/>
      <c r="I69" s="104"/>
      <c r="J69" s="104"/>
      <c r="K69" s="349"/>
      <c r="L69" s="349"/>
      <c r="M69" s="349"/>
      <c r="N69" s="349"/>
      <c r="O69" s="378"/>
      <c r="P69" s="378"/>
      <c r="Q69" s="378"/>
      <c r="R69" s="378"/>
      <c r="S69" s="378"/>
      <c r="T69" s="378"/>
      <c r="U69" s="378"/>
      <c r="V69" s="378"/>
      <c r="W69" s="378"/>
      <c r="X69" s="378"/>
      <c r="Y69" s="378"/>
      <c r="Z69" s="378"/>
      <c r="AA69" s="378"/>
      <c r="AB69" s="378"/>
      <c r="AC69" s="378"/>
      <c r="AD69" s="378"/>
      <c r="AE69" s="378"/>
      <c r="AF69" s="378"/>
      <c r="AG69" s="378"/>
      <c r="AH69" s="81"/>
    </row>
    <row r="70" spans="3:34">
      <c r="C70" s="82"/>
      <c r="D70" s="591" t="s">
        <v>61</v>
      </c>
      <c r="E70" s="104"/>
      <c r="F70" s="104"/>
      <c r="G70" s="104"/>
      <c r="H70" s="104"/>
      <c r="I70" s="104"/>
      <c r="J70" s="104"/>
      <c r="K70" s="384"/>
      <c r="L70" s="385"/>
      <c r="M70" s="386"/>
      <c r="N70" s="385"/>
      <c r="O70" s="428"/>
      <c r="P70" s="428"/>
      <c r="Q70" s="429"/>
      <c r="R70" s="429"/>
      <c r="S70" s="429"/>
      <c r="T70" s="429"/>
      <c r="U70" s="429"/>
      <c r="V70" s="429"/>
      <c r="W70" s="430"/>
      <c r="X70" s="428"/>
      <c r="Y70" s="429"/>
      <c r="Z70" s="429"/>
      <c r="AA70" s="429"/>
      <c r="AB70" s="430"/>
      <c r="AC70" s="428"/>
      <c r="AD70" s="429"/>
      <c r="AE70" s="429"/>
      <c r="AF70" s="429"/>
      <c r="AG70" s="430"/>
      <c r="AH70" s="81"/>
    </row>
    <row r="71" spans="3:34">
      <c r="C71" s="82"/>
      <c r="D71" s="591" t="s">
        <v>18</v>
      </c>
      <c r="E71" s="104"/>
      <c r="F71" s="104"/>
      <c r="G71" s="104"/>
      <c r="H71" s="104"/>
      <c r="I71" s="104"/>
      <c r="J71" s="104"/>
      <c r="K71" s="392"/>
      <c r="L71" s="393"/>
      <c r="M71" s="394"/>
      <c r="N71" s="393"/>
      <c r="O71" s="434"/>
      <c r="P71" s="434"/>
      <c r="Q71" s="435"/>
      <c r="R71" s="435"/>
      <c r="S71" s="435"/>
      <c r="T71" s="435"/>
      <c r="U71" s="435"/>
      <c r="V71" s="435"/>
      <c r="W71" s="436"/>
      <c r="X71" s="434"/>
      <c r="Y71" s="435"/>
      <c r="Z71" s="435"/>
      <c r="AA71" s="435"/>
      <c r="AB71" s="436"/>
      <c r="AC71" s="434"/>
      <c r="AD71" s="435"/>
      <c r="AE71" s="435"/>
      <c r="AF71" s="435"/>
      <c r="AG71" s="436"/>
      <c r="AH71" s="81"/>
    </row>
    <row r="72" spans="3:34">
      <c r="C72" s="92"/>
      <c r="D72" s="75"/>
      <c r="E72" s="75"/>
      <c r="F72" s="75"/>
      <c r="G72" s="75"/>
      <c r="H72" s="75"/>
      <c r="I72" s="75"/>
      <c r="J72" s="75"/>
      <c r="K72" s="393"/>
      <c r="L72" s="393"/>
      <c r="M72" s="393"/>
      <c r="N72" s="393"/>
      <c r="O72" s="834"/>
      <c r="P72" s="834"/>
      <c r="Q72" s="834"/>
      <c r="R72" s="834"/>
      <c r="S72" s="834"/>
      <c r="T72" s="834"/>
      <c r="U72" s="834"/>
      <c r="V72" s="834"/>
      <c r="W72" s="834"/>
      <c r="X72" s="834"/>
      <c r="Y72" s="834"/>
      <c r="Z72" s="834"/>
      <c r="AA72" s="834"/>
      <c r="AB72" s="834"/>
      <c r="AC72" s="834"/>
      <c r="AD72" s="834"/>
      <c r="AE72" s="834"/>
      <c r="AF72" s="834"/>
      <c r="AG72" s="834"/>
      <c r="AH72" s="94"/>
    </row>
    <row r="73" spans="3:34">
      <c r="K73" s="573"/>
      <c r="L73" s="573"/>
      <c r="M73" s="573"/>
      <c r="N73" s="573"/>
      <c r="O73" s="375"/>
      <c r="P73" s="375"/>
      <c r="Q73" s="375"/>
      <c r="R73" s="375"/>
      <c r="S73" s="375"/>
      <c r="T73" s="375"/>
      <c r="U73" s="375"/>
      <c r="V73" s="375"/>
      <c r="W73" s="375"/>
      <c r="X73" s="375"/>
      <c r="Y73" s="375"/>
      <c r="Z73" s="375"/>
      <c r="AA73" s="375"/>
      <c r="AB73" s="375"/>
      <c r="AC73" s="375"/>
      <c r="AD73" s="375"/>
      <c r="AE73" s="375"/>
      <c r="AF73" s="375"/>
      <c r="AG73" s="375"/>
    </row>
    <row r="74" spans="3:34">
      <c r="C74" s="76"/>
      <c r="D74" s="2283" t="s">
        <v>1288</v>
      </c>
      <c r="E74" s="2284"/>
      <c r="F74" s="2284"/>
      <c r="G74" s="2284"/>
      <c r="H74" s="2285"/>
      <c r="I74" s="77"/>
      <c r="J74" s="77"/>
      <c r="K74" s="385"/>
      <c r="L74" s="385"/>
      <c r="M74" s="385"/>
      <c r="N74" s="385"/>
      <c r="O74" s="832"/>
      <c r="P74" s="832"/>
      <c r="Q74" s="832"/>
      <c r="R74" s="832"/>
      <c r="S74" s="832"/>
      <c r="T74" s="832"/>
      <c r="U74" s="832"/>
      <c r="V74" s="832"/>
      <c r="W74" s="832"/>
      <c r="X74" s="832"/>
      <c r="Y74" s="832"/>
      <c r="Z74" s="832"/>
      <c r="AA74" s="832"/>
      <c r="AB74" s="832"/>
      <c r="AC74" s="832"/>
      <c r="AD74" s="832"/>
      <c r="AE74" s="832"/>
      <c r="AF74" s="832"/>
      <c r="AG74" s="832"/>
      <c r="AH74" s="80"/>
    </row>
    <row r="75" spans="3:34">
      <c r="C75" s="82"/>
      <c r="D75" s="647"/>
      <c r="E75" s="647"/>
      <c r="F75" s="647"/>
      <c r="G75" s="647"/>
      <c r="K75" s="349"/>
      <c r="L75" s="349"/>
      <c r="M75" s="349"/>
      <c r="N75" s="349"/>
      <c r="O75" s="378"/>
      <c r="P75" s="378"/>
      <c r="Q75" s="378"/>
      <c r="R75" s="378"/>
      <c r="S75" s="378"/>
      <c r="T75" s="378"/>
      <c r="U75" s="378"/>
      <c r="V75" s="378"/>
      <c r="W75" s="378"/>
      <c r="X75" s="378"/>
      <c r="Y75" s="378"/>
      <c r="Z75" s="378"/>
      <c r="AA75" s="378"/>
      <c r="AB75" s="378"/>
      <c r="AC75" s="378"/>
      <c r="AD75" s="378"/>
      <c r="AE75" s="378"/>
      <c r="AF75" s="378"/>
      <c r="AG75" s="378"/>
      <c r="AH75" s="81"/>
    </row>
    <row r="76" spans="3:34">
      <c r="C76" s="82"/>
      <c r="D76" s="647" t="s">
        <v>68</v>
      </c>
      <c r="E76" s="647"/>
      <c r="F76" s="647"/>
      <c r="G76" s="647"/>
      <c r="K76" s="400"/>
      <c r="L76" s="401"/>
      <c r="M76" s="401"/>
      <c r="N76" s="400"/>
      <c r="O76" s="437">
        <v>0</v>
      </c>
      <c r="P76" s="437">
        <v>0.17868650088809943</v>
      </c>
      <c r="Q76" s="438">
        <v>0.15044171779141105</v>
      </c>
      <c r="R76" s="438">
        <v>0.14238936535162949</v>
      </c>
      <c r="S76" s="438">
        <v>8.2343511450381685E-2</v>
      </c>
      <c r="T76" s="438">
        <v>8.4033898305084731E-2</v>
      </c>
      <c r="U76" s="438">
        <v>0.1145972850678733</v>
      </c>
      <c r="V76" s="438">
        <v>0.10956986899563317</v>
      </c>
      <c r="W76" s="439">
        <v>0.06</v>
      </c>
      <c r="X76" s="437">
        <v>0.06</v>
      </c>
      <c r="Y76" s="438">
        <v>0.06</v>
      </c>
      <c r="Z76" s="438">
        <v>0.06</v>
      </c>
      <c r="AA76" s="438">
        <v>0.06</v>
      </c>
      <c r="AB76" s="439">
        <v>0.06</v>
      </c>
      <c r="AC76" s="437">
        <v>0.06</v>
      </c>
      <c r="AD76" s="438">
        <v>0.06</v>
      </c>
      <c r="AE76" s="438">
        <v>0.06</v>
      </c>
      <c r="AF76" s="438">
        <v>0.06</v>
      </c>
      <c r="AG76" s="439">
        <v>0.06</v>
      </c>
      <c r="AH76" s="81"/>
    </row>
    <row r="77" spans="3:34">
      <c r="C77" s="82"/>
      <c r="D77" s="647"/>
      <c r="E77" s="647"/>
      <c r="F77" s="647"/>
      <c r="G77" s="647"/>
      <c r="K77" s="349"/>
      <c r="L77" s="349"/>
      <c r="M77" s="349"/>
      <c r="N77" s="349"/>
      <c r="O77" s="835"/>
      <c r="P77" s="835"/>
      <c r="Q77" s="835"/>
      <c r="R77" s="835"/>
      <c r="S77" s="835"/>
      <c r="T77" s="835"/>
      <c r="U77" s="835"/>
      <c r="V77" s="835"/>
      <c r="W77" s="835"/>
      <c r="X77" s="835"/>
      <c r="Y77" s="835"/>
      <c r="Z77" s="835"/>
      <c r="AA77" s="835"/>
      <c r="AB77" s="835"/>
      <c r="AC77" s="835"/>
      <c r="AD77" s="835"/>
      <c r="AE77" s="835"/>
      <c r="AF77" s="835"/>
      <c r="AG77" s="835"/>
      <c r="AH77" s="81"/>
    </row>
    <row r="78" spans="3:34">
      <c r="C78" s="82"/>
      <c r="D78" s="647" t="s">
        <v>26</v>
      </c>
      <c r="E78" s="647"/>
      <c r="F78" s="647"/>
      <c r="G78" s="647"/>
      <c r="K78" s="400"/>
      <c r="L78" s="401"/>
      <c r="M78" s="401"/>
      <c r="N78" s="400"/>
      <c r="O78" s="437"/>
      <c r="P78" s="437"/>
      <c r="Q78" s="438"/>
      <c r="R78" s="438"/>
      <c r="S78" s="438"/>
      <c r="T78" s="438"/>
      <c r="U78" s="438"/>
      <c r="V78" s="438"/>
      <c r="W78" s="439"/>
      <c r="X78" s="437"/>
      <c r="Y78" s="438"/>
      <c r="Z78" s="438"/>
      <c r="AA78" s="438"/>
      <c r="AB78" s="439"/>
      <c r="AC78" s="437"/>
      <c r="AD78" s="438"/>
      <c r="AE78" s="438"/>
      <c r="AF78" s="438"/>
      <c r="AG78" s="439"/>
      <c r="AH78" s="81"/>
    </row>
    <row r="79" spans="3:34">
      <c r="C79" s="82"/>
      <c r="D79" s="647"/>
      <c r="E79" s="647"/>
      <c r="F79" s="647"/>
      <c r="G79" s="647"/>
      <c r="K79" s="349"/>
      <c r="L79" s="349"/>
      <c r="M79" s="349"/>
      <c r="N79" s="349"/>
      <c r="O79" s="835"/>
      <c r="P79" s="835"/>
      <c r="Q79" s="835"/>
      <c r="R79" s="835"/>
      <c r="S79" s="835"/>
      <c r="T79" s="835"/>
      <c r="U79" s="835"/>
      <c r="V79" s="835"/>
      <c r="W79" s="835"/>
      <c r="X79" s="835"/>
      <c r="Y79" s="835"/>
      <c r="Z79" s="835"/>
      <c r="AA79" s="835"/>
      <c r="AB79" s="835"/>
      <c r="AC79" s="835"/>
      <c r="AD79" s="835"/>
      <c r="AE79" s="835"/>
      <c r="AF79" s="835"/>
      <c r="AG79" s="835"/>
      <c r="AH79" s="81"/>
    </row>
    <row r="80" spans="3:34">
      <c r="C80" s="82"/>
      <c r="D80" s="591" t="s">
        <v>23</v>
      </c>
      <c r="K80" s="384"/>
      <c r="L80" s="385"/>
      <c r="M80" s="386"/>
      <c r="N80" s="385"/>
      <c r="O80" s="428"/>
      <c r="P80" s="428"/>
      <c r="Q80" s="429"/>
      <c r="R80" s="429"/>
      <c r="S80" s="429"/>
      <c r="T80" s="429"/>
      <c r="U80" s="429"/>
      <c r="V80" s="429"/>
      <c r="W80" s="430"/>
      <c r="X80" s="428"/>
      <c r="Y80" s="429"/>
      <c r="Z80" s="429"/>
      <c r="AA80" s="429"/>
      <c r="AB80" s="430"/>
      <c r="AC80" s="428"/>
      <c r="AD80" s="429"/>
      <c r="AE80" s="429"/>
      <c r="AF80" s="429"/>
      <c r="AG80" s="430"/>
      <c r="AH80" s="81"/>
    </row>
    <row r="81" spans="3:34">
      <c r="C81" s="833"/>
      <c r="D81" s="591" t="s">
        <v>19</v>
      </c>
      <c r="K81" s="387"/>
      <c r="L81" s="349"/>
      <c r="M81" s="388"/>
      <c r="N81" s="349"/>
      <c r="O81" s="431"/>
      <c r="P81" s="431"/>
      <c r="Q81" s="432"/>
      <c r="R81" s="432"/>
      <c r="S81" s="432"/>
      <c r="T81" s="432"/>
      <c r="U81" s="432"/>
      <c r="V81" s="432"/>
      <c r="W81" s="433"/>
      <c r="X81" s="431"/>
      <c r="Y81" s="432"/>
      <c r="Z81" s="432"/>
      <c r="AA81" s="432"/>
      <c r="AB81" s="433"/>
      <c r="AC81" s="431"/>
      <c r="AD81" s="432"/>
      <c r="AE81" s="432"/>
      <c r="AF81" s="432"/>
      <c r="AG81" s="433"/>
      <c r="AH81" s="81"/>
    </row>
    <row r="82" spans="3:34">
      <c r="C82" s="82"/>
      <c r="D82" s="591" t="s">
        <v>22</v>
      </c>
      <c r="K82" s="392"/>
      <c r="L82" s="393"/>
      <c r="M82" s="394"/>
      <c r="N82" s="393"/>
      <c r="O82" s="434"/>
      <c r="P82" s="434"/>
      <c r="Q82" s="435"/>
      <c r="R82" s="435"/>
      <c r="S82" s="435"/>
      <c r="T82" s="435"/>
      <c r="U82" s="435"/>
      <c r="V82" s="435"/>
      <c r="W82" s="436"/>
      <c r="X82" s="434"/>
      <c r="Y82" s="435"/>
      <c r="Z82" s="435"/>
      <c r="AA82" s="435"/>
      <c r="AB82" s="436"/>
      <c r="AC82" s="434"/>
      <c r="AD82" s="435"/>
      <c r="AE82" s="435"/>
      <c r="AF82" s="435"/>
      <c r="AG82" s="436"/>
      <c r="AH82" s="81"/>
    </row>
    <row r="83" spans="3:34">
      <c r="C83" s="82"/>
      <c r="D83" s="614" t="s">
        <v>24</v>
      </c>
      <c r="E83" s="104"/>
      <c r="F83" s="104"/>
      <c r="G83" s="104"/>
      <c r="H83" s="104"/>
      <c r="I83" s="104"/>
      <c r="J83" s="104"/>
      <c r="K83" s="349">
        <f t="shared" ref="K83:AA83" si="19">+K80-K81-K82</f>
        <v>0</v>
      </c>
      <c r="L83" s="349">
        <f t="shared" si="19"/>
        <v>0</v>
      </c>
      <c r="M83" s="349">
        <f t="shared" si="19"/>
        <v>0</v>
      </c>
      <c r="N83" s="349">
        <f>+N80-N81-N82</f>
        <v>0</v>
      </c>
      <c r="O83" s="378">
        <f>+O80-O81-O82</f>
        <v>0</v>
      </c>
      <c r="P83" s="378">
        <f>+P80-P81-P82</f>
        <v>0</v>
      </c>
      <c r="Q83" s="378">
        <f>+Q80-Q81-Q82</f>
        <v>0</v>
      </c>
      <c r="R83" s="378">
        <f>+R80-R81-R82</f>
        <v>0</v>
      </c>
      <c r="S83" s="378">
        <f t="shared" si="19"/>
        <v>0</v>
      </c>
      <c r="T83" s="378">
        <f t="shared" si="19"/>
        <v>0</v>
      </c>
      <c r="U83" s="378">
        <f t="shared" si="19"/>
        <v>0</v>
      </c>
      <c r="V83" s="378">
        <f t="shared" si="19"/>
        <v>0</v>
      </c>
      <c r="W83" s="378">
        <f t="shared" si="19"/>
        <v>0</v>
      </c>
      <c r="X83" s="378">
        <f t="shared" si="19"/>
        <v>0</v>
      </c>
      <c r="Y83" s="378">
        <f t="shared" si="19"/>
        <v>0</v>
      </c>
      <c r="Z83" s="378">
        <f t="shared" si="19"/>
        <v>0</v>
      </c>
      <c r="AA83" s="378">
        <f t="shared" si="19"/>
        <v>0</v>
      </c>
      <c r="AB83" s="378">
        <f t="shared" ref="AB83:AG83" si="20">+AB80-AB81-AB82</f>
        <v>0</v>
      </c>
      <c r="AC83" s="378">
        <f t="shared" si="20"/>
        <v>0</v>
      </c>
      <c r="AD83" s="378">
        <f t="shared" si="20"/>
        <v>0</v>
      </c>
      <c r="AE83" s="378">
        <f t="shared" si="20"/>
        <v>0</v>
      </c>
      <c r="AF83" s="378">
        <f t="shared" si="20"/>
        <v>0</v>
      </c>
      <c r="AG83" s="378">
        <f t="shared" si="20"/>
        <v>0</v>
      </c>
      <c r="AH83" s="81"/>
    </row>
    <row r="84" spans="3:34">
      <c r="C84" s="82"/>
      <c r="D84" s="614"/>
      <c r="E84" s="104"/>
      <c r="F84" s="104"/>
      <c r="G84" s="104"/>
      <c r="H84" s="104"/>
      <c r="I84" s="104"/>
      <c r="J84" s="104"/>
      <c r="K84" s="349"/>
      <c r="L84" s="349"/>
      <c r="M84" s="349"/>
      <c r="N84" s="349"/>
      <c r="O84" s="378"/>
      <c r="P84" s="378"/>
      <c r="Q84" s="378"/>
      <c r="R84" s="378"/>
      <c r="S84" s="378"/>
      <c r="T84" s="378"/>
      <c r="U84" s="378"/>
      <c r="V84" s="378"/>
      <c r="W84" s="378"/>
      <c r="X84" s="378"/>
      <c r="Y84" s="378"/>
      <c r="Z84" s="378"/>
      <c r="AA84" s="378"/>
      <c r="AB84" s="378"/>
      <c r="AC84" s="378"/>
      <c r="AD84" s="378"/>
      <c r="AE84" s="378"/>
      <c r="AF84" s="378"/>
      <c r="AG84" s="378"/>
      <c r="AH84" s="81"/>
    </row>
    <row r="85" spans="3:34">
      <c r="C85" s="82"/>
      <c r="D85" s="591" t="s">
        <v>61</v>
      </c>
      <c r="E85" s="104"/>
      <c r="F85" s="104"/>
      <c r="G85" s="104"/>
      <c r="H85" s="104"/>
      <c r="I85" s="104"/>
      <c r="J85" s="104"/>
      <c r="K85" s="384"/>
      <c r="L85" s="385"/>
      <c r="M85" s="386"/>
      <c r="N85" s="385"/>
      <c r="O85" s="428"/>
      <c r="P85" s="428"/>
      <c r="Q85" s="429"/>
      <c r="R85" s="429"/>
      <c r="S85" s="429"/>
      <c r="T85" s="429"/>
      <c r="U85" s="429"/>
      <c r="V85" s="429"/>
      <c r="W85" s="430"/>
      <c r="X85" s="428"/>
      <c r="Y85" s="429"/>
      <c r="Z85" s="429"/>
      <c r="AA85" s="429"/>
      <c r="AB85" s="430"/>
      <c r="AC85" s="428"/>
      <c r="AD85" s="429"/>
      <c r="AE85" s="429"/>
      <c r="AF85" s="429"/>
      <c r="AG85" s="430"/>
      <c r="AH85" s="81"/>
    </row>
    <row r="86" spans="3:34">
      <c r="C86" s="82"/>
      <c r="D86" s="591" t="s">
        <v>18</v>
      </c>
      <c r="E86" s="104"/>
      <c r="F86" s="104"/>
      <c r="G86" s="104"/>
      <c r="H86" s="104"/>
      <c r="I86" s="104"/>
      <c r="J86" s="104"/>
      <c r="K86" s="392"/>
      <c r="L86" s="393"/>
      <c r="M86" s="394"/>
      <c r="N86" s="393"/>
      <c r="O86" s="434"/>
      <c r="P86" s="434"/>
      <c r="Q86" s="435"/>
      <c r="R86" s="435"/>
      <c r="S86" s="435"/>
      <c r="T86" s="435"/>
      <c r="U86" s="435"/>
      <c r="V86" s="435"/>
      <c r="W86" s="436"/>
      <c r="X86" s="434"/>
      <c r="Y86" s="435"/>
      <c r="Z86" s="435"/>
      <c r="AA86" s="435"/>
      <c r="AB86" s="436"/>
      <c r="AC86" s="434"/>
      <c r="AD86" s="435"/>
      <c r="AE86" s="435"/>
      <c r="AF86" s="435"/>
      <c r="AG86" s="436"/>
      <c r="AH86" s="81"/>
    </row>
    <row r="87" spans="3:34">
      <c r="C87" s="92"/>
      <c r="D87" s="75"/>
      <c r="E87" s="75"/>
      <c r="F87" s="75"/>
      <c r="G87" s="75"/>
      <c r="H87" s="75"/>
      <c r="I87" s="75"/>
      <c r="J87" s="75"/>
      <c r="K87" s="393"/>
      <c r="L87" s="393"/>
      <c r="M87" s="393"/>
      <c r="N87" s="393"/>
      <c r="O87" s="834"/>
      <c r="P87" s="834"/>
      <c r="Q87" s="834"/>
      <c r="R87" s="834"/>
      <c r="S87" s="834"/>
      <c r="T87" s="834"/>
      <c r="U87" s="834"/>
      <c r="V87" s="834"/>
      <c r="W87" s="834"/>
      <c r="X87" s="834"/>
      <c r="Y87" s="834"/>
      <c r="Z87" s="834"/>
      <c r="AA87" s="834"/>
      <c r="AB87" s="834"/>
      <c r="AC87" s="834"/>
      <c r="AD87" s="834"/>
      <c r="AE87" s="834"/>
      <c r="AF87" s="834"/>
      <c r="AG87" s="834"/>
      <c r="AH87" s="94"/>
    </row>
    <row r="88" spans="3:34">
      <c r="K88" s="349"/>
      <c r="L88" s="349"/>
      <c r="M88" s="349"/>
      <c r="N88" s="349"/>
      <c r="O88" s="378"/>
      <c r="P88" s="378"/>
      <c r="Q88" s="378"/>
      <c r="R88" s="378"/>
      <c r="S88" s="378"/>
      <c r="T88" s="378"/>
      <c r="U88" s="378"/>
      <c r="V88" s="378"/>
      <c r="W88" s="378"/>
      <c r="X88" s="378"/>
      <c r="Y88" s="378"/>
      <c r="Z88" s="378"/>
      <c r="AA88" s="378"/>
      <c r="AB88" s="378"/>
      <c r="AC88" s="378"/>
      <c r="AD88" s="378"/>
      <c r="AE88" s="378"/>
      <c r="AF88" s="378"/>
      <c r="AG88" s="378"/>
    </row>
    <row r="89" spans="3:34">
      <c r="C89" s="76"/>
      <c r="D89" s="2283"/>
      <c r="E89" s="2284"/>
      <c r="F89" s="2284"/>
      <c r="G89" s="2284"/>
      <c r="H89" s="2285"/>
      <c r="I89" s="77"/>
      <c r="J89" s="77"/>
      <c r="K89" s="385"/>
      <c r="L89" s="385"/>
      <c r="M89" s="385"/>
      <c r="N89" s="385"/>
      <c r="O89" s="832"/>
      <c r="P89" s="832"/>
      <c r="Q89" s="832"/>
      <c r="R89" s="832"/>
      <c r="S89" s="832"/>
      <c r="T89" s="832"/>
      <c r="U89" s="832"/>
      <c r="V89" s="832"/>
      <c r="W89" s="832"/>
      <c r="X89" s="832"/>
      <c r="Y89" s="832"/>
      <c r="Z89" s="832"/>
      <c r="AA89" s="832"/>
      <c r="AB89" s="832"/>
      <c r="AC89" s="832"/>
      <c r="AD89" s="832"/>
      <c r="AE89" s="832"/>
      <c r="AF89" s="832"/>
      <c r="AG89" s="832"/>
      <c r="AH89" s="80"/>
    </row>
    <row r="90" spans="3:34">
      <c r="C90" s="82"/>
      <c r="D90" s="647"/>
      <c r="E90" s="647"/>
      <c r="F90" s="647"/>
      <c r="G90" s="647"/>
      <c r="K90" s="349"/>
      <c r="L90" s="349"/>
      <c r="M90" s="349"/>
      <c r="N90" s="349"/>
      <c r="O90" s="378"/>
      <c r="P90" s="378"/>
      <c r="Q90" s="378"/>
      <c r="R90" s="378"/>
      <c r="S90" s="378"/>
      <c r="T90" s="378"/>
      <c r="U90" s="378"/>
      <c r="V90" s="378"/>
      <c r="W90" s="378"/>
      <c r="X90" s="378"/>
      <c r="Y90" s="378"/>
      <c r="Z90" s="378"/>
      <c r="AA90" s="378"/>
      <c r="AB90" s="378"/>
      <c r="AC90" s="378"/>
      <c r="AD90" s="378"/>
      <c r="AE90" s="378"/>
      <c r="AF90" s="378"/>
      <c r="AG90" s="378"/>
      <c r="AH90" s="81"/>
    </row>
    <row r="91" spans="3:34">
      <c r="C91" s="82"/>
      <c r="D91" s="647" t="s">
        <v>68</v>
      </c>
      <c r="E91" s="647"/>
      <c r="F91" s="647"/>
      <c r="G91" s="647"/>
      <c r="K91" s="400"/>
      <c r="L91" s="401"/>
      <c r="M91" s="401"/>
      <c r="N91" s="400"/>
      <c r="O91" s="437"/>
      <c r="P91" s="437"/>
      <c r="Q91" s="438"/>
      <c r="R91" s="438"/>
      <c r="S91" s="438"/>
      <c r="T91" s="438"/>
      <c r="U91" s="438"/>
      <c r="V91" s="438"/>
      <c r="W91" s="439"/>
      <c r="X91" s="437"/>
      <c r="Y91" s="438"/>
      <c r="Z91" s="438"/>
      <c r="AA91" s="438"/>
      <c r="AB91" s="439"/>
      <c r="AC91" s="437"/>
      <c r="AD91" s="438"/>
      <c r="AE91" s="438"/>
      <c r="AF91" s="438"/>
      <c r="AG91" s="439"/>
      <c r="AH91" s="81"/>
    </row>
    <row r="92" spans="3:34">
      <c r="C92" s="82"/>
      <c r="D92" s="647"/>
      <c r="E92" s="647"/>
      <c r="F92" s="647"/>
      <c r="G92" s="647"/>
      <c r="K92" s="349"/>
      <c r="L92" s="349"/>
      <c r="M92" s="349"/>
      <c r="N92" s="349"/>
      <c r="O92" s="378"/>
      <c r="P92" s="378"/>
      <c r="Q92" s="378"/>
      <c r="R92" s="378"/>
      <c r="S92" s="378"/>
      <c r="T92" s="378"/>
      <c r="U92" s="378"/>
      <c r="V92" s="378"/>
      <c r="W92" s="378"/>
      <c r="X92" s="378"/>
      <c r="Y92" s="378"/>
      <c r="Z92" s="378"/>
      <c r="AA92" s="378"/>
      <c r="AB92" s="378"/>
      <c r="AC92" s="378"/>
      <c r="AD92" s="378"/>
      <c r="AE92" s="378"/>
      <c r="AF92" s="378"/>
      <c r="AG92" s="378"/>
      <c r="AH92" s="81"/>
    </row>
    <row r="93" spans="3:34">
      <c r="C93" s="82"/>
      <c r="D93" s="647" t="s">
        <v>26</v>
      </c>
      <c r="E93" s="647"/>
      <c r="F93" s="647"/>
      <c r="G93" s="647"/>
      <c r="K93" s="400"/>
      <c r="L93" s="401"/>
      <c r="M93" s="401"/>
      <c r="N93" s="400"/>
      <c r="O93" s="437"/>
      <c r="P93" s="437"/>
      <c r="Q93" s="438"/>
      <c r="R93" s="438"/>
      <c r="S93" s="438"/>
      <c r="T93" s="438"/>
      <c r="U93" s="438"/>
      <c r="V93" s="438"/>
      <c r="W93" s="439"/>
      <c r="X93" s="437"/>
      <c r="Y93" s="438"/>
      <c r="Z93" s="438"/>
      <c r="AA93" s="438"/>
      <c r="AB93" s="439"/>
      <c r="AC93" s="437"/>
      <c r="AD93" s="438"/>
      <c r="AE93" s="438"/>
      <c r="AF93" s="438"/>
      <c r="AG93" s="439"/>
      <c r="AH93" s="81"/>
    </row>
    <row r="94" spans="3:34">
      <c r="C94" s="82"/>
      <c r="D94" s="647"/>
      <c r="E94" s="647"/>
      <c r="F94" s="647"/>
      <c r="G94" s="647"/>
      <c r="K94" s="349"/>
      <c r="L94" s="349"/>
      <c r="M94" s="349"/>
      <c r="N94" s="349"/>
      <c r="O94" s="378"/>
      <c r="P94" s="378"/>
      <c r="Q94" s="378"/>
      <c r="R94" s="378"/>
      <c r="S94" s="378"/>
      <c r="T94" s="378"/>
      <c r="U94" s="378"/>
      <c r="V94" s="378"/>
      <c r="W94" s="378"/>
      <c r="X94" s="378"/>
      <c r="Y94" s="378"/>
      <c r="Z94" s="378"/>
      <c r="AA94" s="378"/>
      <c r="AB94" s="378"/>
      <c r="AC94" s="378"/>
      <c r="AD94" s="378"/>
      <c r="AE94" s="378"/>
      <c r="AF94" s="378"/>
      <c r="AG94" s="378"/>
      <c r="AH94" s="81"/>
    </row>
    <row r="95" spans="3:34">
      <c r="C95" s="82"/>
      <c r="D95" s="591" t="s">
        <v>23</v>
      </c>
      <c r="K95" s="384"/>
      <c r="L95" s="385"/>
      <c r="M95" s="386"/>
      <c r="N95" s="385"/>
      <c r="O95" s="428"/>
      <c r="P95" s="428"/>
      <c r="Q95" s="429"/>
      <c r="R95" s="429"/>
      <c r="S95" s="429"/>
      <c r="T95" s="429"/>
      <c r="U95" s="429"/>
      <c r="V95" s="429"/>
      <c r="W95" s="430"/>
      <c r="X95" s="428"/>
      <c r="Y95" s="429"/>
      <c r="Z95" s="429"/>
      <c r="AA95" s="429"/>
      <c r="AB95" s="430"/>
      <c r="AC95" s="428"/>
      <c r="AD95" s="429"/>
      <c r="AE95" s="429"/>
      <c r="AF95" s="429"/>
      <c r="AG95" s="430"/>
      <c r="AH95" s="81"/>
    </row>
    <row r="96" spans="3:34">
      <c r="C96" s="833"/>
      <c r="D96" s="591" t="s">
        <v>19</v>
      </c>
      <c r="K96" s="387"/>
      <c r="L96" s="349"/>
      <c r="M96" s="388"/>
      <c r="N96" s="349"/>
      <c r="O96" s="431"/>
      <c r="P96" s="431"/>
      <c r="Q96" s="432"/>
      <c r="R96" s="432"/>
      <c r="S96" s="432"/>
      <c r="T96" s="432"/>
      <c r="U96" s="432"/>
      <c r="V96" s="432"/>
      <c r="W96" s="433"/>
      <c r="X96" s="431"/>
      <c r="Y96" s="432"/>
      <c r="Z96" s="432"/>
      <c r="AA96" s="432"/>
      <c r="AB96" s="433"/>
      <c r="AC96" s="431"/>
      <c r="AD96" s="432"/>
      <c r="AE96" s="432"/>
      <c r="AF96" s="432"/>
      <c r="AG96" s="433"/>
      <c r="AH96" s="81"/>
    </row>
    <row r="97" spans="3:34">
      <c r="C97" s="82"/>
      <c r="D97" s="591" t="s">
        <v>22</v>
      </c>
      <c r="K97" s="392"/>
      <c r="L97" s="393"/>
      <c r="M97" s="394"/>
      <c r="N97" s="393"/>
      <c r="O97" s="434"/>
      <c r="P97" s="434"/>
      <c r="Q97" s="435"/>
      <c r="R97" s="435"/>
      <c r="S97" s="435"/>
      <c r="T97" s="435"/>
      <c r="U97" s="435"/>
      <c r="V97" s="435"/>
      <c r="W97" s="436"/>
      <c r="X97" s="434"/>
      <c r="Y97" s="435"/>
      <c r="Z97" s="435"/>
      <c r="AA97" s="435"/>
      <c r="AB97" s="436"/>
      <c r="AC97" s="434"/>
      <c r="AD97" s="435"/>
      <c r="AE97" s="435"/>
      <c r="AF97" s="435"/>
      <c r="AG97" s="436"/>
      <c r="AH97" s="81"/>
    </row>
    <row r="98" spans="3:34">
      <c r="C98" s="82"/>
      <c r="D98" s="614" t="s">
        <v>24</v>
      </c>
      <c r="E98" s="104"/>
      <c r="F98" s="104"/>
      <c r="G98" s="104"/>
      <c r="H98" s="104"/>
      <c r="I98" s="104"/>
      <c r="J98" s="104"/>
      <c r="K98" s="349">
        <f t="shared" ref="K98:AA98" si="21">+K95-K96-K97</f>
        <v>0</v>
      </c>
      <c r="L98" s="349">
        <f t="shared" si="21"/>
        <v>0</v>
      </c>
      <c r="M98" s="349">
        <f t="shared" si="21"/>
        <v>0</v>
      </c>
      <c r="N98" s="349">
        <f>+N95-N96-N97</f>
        <v>0</v>
      </c>
      <c r="O98" s="378">
        <f>+O95-O96-O97</f>
        <v>0</v>
      </c>
      <c r="P98" s="378">
        <f>+P95-P96-P97</f>
        <v>0</v>
      </c>
      <c r="Q98" s="378">
        <f>+Q95-Q96-Q97</f>
        <v>0</v>
      </c>
      <c r="R98" s="378">
        <f>+R95-R96-R97</f>
        <v>0</v>
      </c>
      <c r="S98" s="378">
        <f t="shared" si="21"/>
        <v>0</v>
      </c>
      <c r="T98" s="378">
        <f t="shared" si="21"/>
        <v>0</v>
      </c>
      <c r="U98" s="378">
        <f t="shared" si="21"/>
        <v>0</v>
      </c>
      <c r="V98" s="378">
        <f t="shared" si="21"/>
        <v>0</v>
      </c>
      <c r="W98" s="378">
        <f t="shared" si="21"/>
        <v>0</v>
      </c>
      <c r="X98" s="378">
        <f t="shared" si="21"/>
        <v>0</v>
      </c>
      <c r="Y98" s="378">
        <f t="shared" si="21"/>
        <v>0</v>
      </c>
      <c r="Z98" s="378">
        <f t="shared" si="21"/>
        <v>0</v>
      </c>
      <c r="AA98" s="378">
        <f t="shared" si="21"/>
        <v>0</v>
      </c>
      <c r="AB98" s="378">
        <f t="shared" ref="AB98:AG98" si="22">+AB95-AB96-AB97</f>
        <v>0</v>
      </c>
      <c r="AC98" s="378">
        <f t="shared" si="22"/>
        <v>0</v>
      </c>
      <c r="AD98" s="378">
        <f t="shared" si="22"/>
        <v>0</v>
      </c>
      <c r="AE98" s="378">
        <f t="shared" si="22"/>
        <v>0</v>
      </c>
      <c r="AF98" s="378">
        <f t="shared" si="22"/>
        <v>0</v>
      </c>
      <c r="AG98" s="378">
        <f t="shared" si="22"/>
        <v>0</v>
      </c>
      <c r="AH98" s="81"/>
    </row>
    <row r="99" spans="3:34">
      <c r="C99" s="82"/>
      <c r="D99" s="614"/>
      <c r="E99" s="104"/>
      <c r="F99" s="104"/>
      <c r="G99" s="104"/>
      <c r="H99" s="104"/>
      <c r="I99" s="104"/>
      <c r="J99" s="104"/>
      <c r="K99" s="349"/>
      <c r="L99" s="349"/>
      <c r="M99" s="349"/>
      <c r="N99" s="349"/>
      <c r="O99" s="378"/>
      <c r="P99" s="378"/>
      <c r="Q99" s="378"/>
      <c r="R99" s="378"/>
      <c r="S99" s="378"/>
      <c r="T99" s="378"/>
      <c r="U99" s="378"/>
      <c r="V99" s="378"/>
      <c r="W99" s="378"/>
      <c r="X99" s="378"/>
      <c r="Y99" s="378"/>
      <c r="Z99" s="378"/>
      <c r="AA99" s="378"/>
      <c r="AB99" s="378"/>
      <c r="AC99" s="378"/>
      <c r="AD99" s="378"/>
      <c r="AE99" s="378"/>
      <c r="AF99" s="378"/>
      <c r="AG99" s="378"/>
      <c r="AH99" s="81"/>
    </row>
    <row r="100" spans="3:34">
      <c r="C100" s="82"/>
      <c r="D100" s="591" t="s">
        <v>61</v>
      </c>
      <c r="E100" s="104"/>
      <c r="F100" s="104"/>
      <c r="G100" s="104"/>
      <c r="H100" s="104"/>
      <c r="I100" s="104"/>
      <c r="J100" s="104"/>
      <c r="K100" s="384"/>
      <c r="L100" s="385"/>
      <c r="M100" s="386"/>
      <c r="N100" s="385"/>
      <c r="O100" s="428"/>
      <c r="P100" s="428"/>
      <c r="Q100" s="429"/>
      <c r="R100" s="429"/>
      <c r="S100" s="429"/>
      <c r="T100" s="429"/>
      <c r="U100" s="429"/>
      <c r="V100" s="429"/>
      <c r="W100" s="430"/>
      <c r="X100" s="428"/>
      <c r="Y100" s="429"/>
      <c r="Z100" s="429"/>
      <c r="AA100" s="429"/>
      <c r="AB100" s="430"/>
      <c r="AC100" s="428"/>
      <c r="AD100" s="429"/>
      <c r="AE100" s="429"/>
      <c r="AF100" s="429"/>
      <c r="AG100" s="430"/>
      <c r="AH100" s="81"/>
    </row>
    <row r="101" spans="3:34">
      <c r="C101" s="82"/>
      <c r="D101" s="591" t="s">
        <v>18</v>
      </c>
      <c r="E101" s="104"/>
      <c r="F101" s="104"/>
      <c r="G101" s="104"/>
      <c r="H101" s="104"/>
      <c r="I101" s="104"/>
      <c r="J101" s="104"/>
      <c r="K101" s="392"/>
      <c r="L101" s="393"/>
      <c r="M101" s="394"/>
      <c r="N101" s="393"/>
      <c r="O101" s="434"/>
      <c r="P101" s="434"/>
      <c r="Q101" s="435"/>
      <c r="R101" s="435"/>
      <c r="S101" s="435"/>
      <c r="T101" s="435"/>
      <c r="U101" s="435"/>
      <c r="V101" s="435"/>
      <c r="W101" s="436"/>
      <c r="X101" s="434"/>
      <c r="Y101" s="435"/>
      <c r="Z101" s="435"/>
      <c r="AA101" s="435"/>
      <c r="AB101" s="436"/>
      <c r="AC101" s="434"/>
      <c r="AD101" s="435"/>
      <c r="AE101" s="435"/>
      <c r="AF101" s="435"/>
      <c r="AG101" s="436"/>
      <c r="AH101" s="81"/>
    </row>
    <row r="102" spans="3:34">
      <c r="C102" s="92"/>
      <c r="D102" s="75"/>
      <c r="E102" s="75"/>
      <c r="F102" s="75"/>
      <c r="G102" s="75"/>
      <c r="H102" s="75"/>
      <c r="I102" s="75"/>
      <c r="J102" s="75"/>
      <c r="K102" s="393"/>
      <c r="L102" s="393"/>
      <c r="M102" s="393"/>
      <c r="N102" s="393"/>
      <c r="O102" s="834"/>
      <c r="P102" s="834"/>
      <c r="Q102" s="834"/>
      <c r="R102" s="834"/>
      <c r="S102" s="834"/>
      <c r="T102" s="834"/>
      <c r="U102" s="834"/>
      <c r="V102" s="834"/>
      <c r="W102" s="834"/>
      <c r="X102" s="834"/>
      <c r="Y102" s="834"/>
      <c r="Z102" s="834"/>
      <c r="AA102" s="834"/>
      <c r="AB102" s="834"/>
      <c r="AC102" s="834"/>
      <c r="AD102" s="834"/>
      <c r="AE102" s="834"/>
      <c r="AF102" s="834"/>
      <c r="AG102" s="834"/>
      <c r="AH102" s="94"/>
    </row>
    <row r="103" spans="3:34">
      <c r="K103" s="573"/>
      <c r="L103" s="573"/>
      <c r="M103" s="573"/>
      <c r="N103" s="573"/>
      <c r="O103" s="375"/>
      <c r="P103" s="375"/>
      <c r="Q103" s="375"/>
      <c r="R103" s="375"/>
      <c r="S103" s="375"/>
      <c r="T103" s="375"/>
      <c r="U103" s="375"/>
      <c r="V103" s="375"/>
      <c r="W103" s="375"/>
      <c r="X103" s="375"/>
      <c r="Y103" s="375"/>
      <c r="Z103" s="375"/>
      <c r="AA103" s="375"/>
      <c r="AB103" s="375"/>
      <c r="AC103" s="375"/>
      <c r="AD103" s="375"/>
      <c r="AE103" s="375"/>
      <c r="AF103" s="375"/>
      <c r="AG103" s="375"/>
    </row>
    <row r="104" spans="3:34">
      <c r="C104" s="76"/>
      <c r="D104" s="2283" t="s">
        <v>395</v>
      </c>
      <c r="E104" s="2284"/>
      <c r="F104" s="2284"/>
      <c r="G104" s="2284"/>
      <c r="H104" s="2285"/>
      <c r="I104" s="77"/>
      <c r="J104" s="77"/>
      <c r="K104" s="385"/>
      <c r="L104" s="385"/>
      <c r="M104" s="385"/>
      <c r="N104" s="385"/>
      <c r="O104" s="832"/>
      <c r="P104" s="832"/>
      <c r="Q104" s="832"/>
      <c r="R104" s="832"/>
      <c r="S104" s="832"/>
      <c r="T104" s="832"/>
      <c r="U104" s="832"/>
      <c r="V104" s="832"/>
      <c r="W104" s="832"/>
      <c r="X104" s="832"/>
      <c r="Y104" s="832"/>
      <c r="Z104" s="832"/>
      <c r="AA104" s="832"/>
      <c r="AB104" s="832"/>
      <c r="AC104" s="832"/>
      <c r="AD104" s="832"/>
      <c r="AE104" s="832"/>
      <c r="AF104" s="832"/>
      <c r="AG104" s="832"/>
      <c r="AH104" s="80"/>
    </row>
    <row r="105" spans="3:34">
      <c r="C105" s="82"/>
      <c r="D105" s="647"/>
      <c r="E105" s="647"/>
      <c r="F105" s="647"/>
      <c r="G105" s="647"/>
      <c r="K105" s="349"/>
      <c r="L105" s="349"/>
      <c r="M105" s="349"/>
      <c r="N105" s="349"/>
      <c r="O105" s="378"/>
      <c r="P105" s="378"/>
      <c r="Q105" s="378"/>
      <c r="R105" s="378"/>
      <c r="S105" s="378"/>
      <c r="T105" s="378"/>
      <c r="U105" s="378"/>
      <c r="V105" s="378"/>
      <c r="W105" s="378"/>
      <c r="X105" s="378"/>
      <c r="Y105" s="378"/>
      <c r="Z105" s="378"/>
      <c r="AA105" s="378"/>
      <c r="AB105" s="378"/>
      <c r="AC105" s="378"/>
      <c r="AD105" s="378"/>
      <c r="AE105" s="378"/>
      <c r="AF105" s="378"/>
      <c r="AG105" s="378"/>
      <c r="AH105" s="81"/>
    </row>
    <row r="106" spans="3:34">
      <c r="C106" s="82"/>
      <c r="D106" s="647" t="s">
        <v>68</v>
      </c>
      <c r="E106" s="647"/>
      <c r="F106" s="647"/>
      <c r="G106" s="647"/>
      <c r="K106" s="400"/>
      <c r="L106" s="401"/>
      <c r="M106" s="401"/>
      <c r="N106" s="400"/>
      <c r="O106" s="437"/>
      <c r="P106" s="437"/>
      <c r="Q106" s="438"/>
      <c r="R106" s="438"/>
      <c r="S106" s="438"/>
      <c r="T106" s="438"/>
      <c r="U106" s="438"/>
      <c r="V106" s="438"/>
      <c r="W106" s="439"/>
      <c r="X106" s="437"/>
      <c r="Y106" s="438"/>
      <c r="Z106" s="438"/>
      <c r="AA106" s="438"/>
      <c r="AB106" s="439"/>
      <c r="AC106" s="437"/>
      <c r="AD106" s="438"/>
      <c r="AE106" s="438"/>
      <c r="AF106" s="438"/>
      <c r="AG106" s="439"/>
      <c r="AH106" s="81"/>
    </row>
    <row r="107" spans="3:34">
      <c r="C107" s="82"/>
      <c r="D107" s="647"/>
      <c r="E107" s="647"/>
      <c r="F107" s="647"/>
      <c r="G107" s="647"/>
      <c r="K107" s="349"/>
      <c r="L107" s="349"/>
      <c r="M107" s="349"/>
      <c r="N107" s="349"/>
      <c r="O107" s="835"/>
      <c r="P107" s="835"/>
      <c r="Q107" s="835"/>
      <c r="R107" s="835"/>
      <c r="S107" s="835"/>
      <c r="T107" s="835"/>
      <c r="U107" s="835"/>
      <c r="V107" s="835"/>
      <c r="W107" s="835"/>
      <c r="X107" s="835"/>
      <c r="Y107" s="835"/>
      <c r="Z107" s="835"/>
      <c r="AA107" s="835"/>
      <c r="AB107" s="835"/>
      <c r="AC107" s="835"/>
      <c r="AD107" s="835"/>
      <c r="AE107" s="835"/>
      <c r="AF107" s="835"/>
      <c r="AG107" s="835"/>
      <c r="AH107" s="81"/>
    </row>
    <row r="108" spans="3:34">
      <c r="C108" s="82"/>
      <c r="D108" s="647" t="s">
        <v>26</v>
      </c>
      <c r="E108" s="647"/>
      <c r="F108" s="647"/>
      <c r="G108" s="647"/>
      <c r="K108" s="400"/>
      <c r="L108" s="401"/>
      <c r="M108" s="401"/>
      <c r="N108" s="400"/>
      <c r="O108" s="437"/>
      <c r="P108" s="437"/>
      <c r="Q108" s="438"/>
      <c r="R108" s="438"/>
      <c r="S108" s="438"/>
      <c r="T108" s="438"/>
      <c r="U108" s="438"/>
      <c r="V108" s="438"/>
      <c r="W108" s="439"/>
      <c r="X108" s="437"/>
      <c r="Y108" s="438"/>
      <c r="Z108" s="438"/>
      <c r="AA108" s="438"/>
      <c r="AB108" s="439"/>
      <c r="AC108" s="437"/>
      <c r="AD108" s="438"/>
      <c r="AE108" s="438"/>
      <c r="AF108" s="438"/>
      <c r="AG108" s="439"/>
      <c r="AH108" s="81"/>
    </row>
    <row r="109" spans="3:34">
      <c r="C109" s="82"/>
      <c r="D109" s="647"/>
      <c r="E109" s="647"/>
      <c r="F109" s="647"/>
      <c r="G109" s="647"/>
      <c r="K109" s="349"/>
      <c r="L109" s="349"/>
      <c r="M109" s="349"/>
      <c r="N109" s="349"/>
      <c r="O109" s="835"/>
      <c r="P109" s="835"/>
      <c r="Q109" s="835"/>
      <c r="R109" s="835"/>
      <c r="S109" s="835"/>
      <c r="T109" s="835"/>
      <c r="U109" s="835"/>
      <c r="V109" s="835"/>
      <c r="W109" s="835"/>
      <c r="X109" s="835"/>
      <c r="Y109" s="835"/>
      <c r="Z109" s="835"/>
      <c r="AA109" s="835"/>
      <c r="AB109" s="835"/>
      <c r="AC109" s="835"/>
      <c r="AD109" s="835"/>
      <c r="AE109" s="835"/>
      <c r="AF109" s="835"/>
      <c r="AG109" s="835"/>
      <c r="AH109" s="81"/>
    </row>
    <row r="110" spans="3:34">
      <c r="C110" s="82"/>
      <c r="D110" s="591" t="s">
        <v>23</v>
      </c>
      <c r="K110" s="384"/>
      <c r="L110" s="385"/>
      <c r="M110" s="386"/>
      <c r="N110" s="385"/>
      <c r="O110" s="428"/>
      <c r="P110" s="428"/>
      <c r="Q110" s="429"/>
      <c r="R110" s="429"/>
      <c r="S110" s="429"/>
      <c r="T110" s="429"/>
      <c r="U110" s="429"/>
      <c r="V110" s="429"/>
      <c r="W110" s="430"/>
      <c r="X110" s="428"/>
      <c r="Y110" s="429"/>
      <c r="Z110" s="429"/>
      <c r="AA110" s="429"/>
      <c r="AB110" s="430"/>
      <c r="AC110" s="428"/>
      <c r="AD110" s="429"/>
      <c r="AE110" s="429"/>
      <c r="AF110" s="429"/>
      <c r="AG110" s="430"/>
      <c r="AH110" s="81"/>
    </row>
    <row r="111" spans="3:34">
      <c r="C111" s="833"/>
      <c r="D111" s="591" t="s">
        <v>19</v>
      </c>
      <c r="K111" s="387"/>
      <c r="L111" s="349"/>
      <c r="M111" s="388"/>
      <c r="N111" s="349"/>
      <c r="O111" s="431"/>
      <c r="P111" s="431"/>
      <c r="Q111" s="432"/>
      <c r="R111" s="432"/>
      <c r="S111" s="432"/>
      <c r="T111" s="432"/>
      <c r="U111" s="432"/>
      <c r="V111" s="432"/>
      <c r="W111" s="433"/>
      <c r="X111" s="431"/>
      <c r="Y111" s="432"/>
      <c r="Z111" s="432"/>
      <c r="AA111" s="432"/>
      <c r="AB111" s="433"/>
      <c r="AC111" s="431"/>
      <c r="AD111" s="432"/>
      <c r="AE111" s="432"/>
      <c r="AF111" s="432"/>
      <c r="AG111" s="433"/>
      <c r="AH111" s="81"/>
    </row>
    <row r="112" spans="3:34">
      <c r="C112" s="82"/>
      <c r="D112" s="591" t="s">
        <v>22</v>
      </c>
      <c r="K112" s="392"/>
      <c r="L112" s="393"/>
      <c r="M112" s="394"/>
      <c r="N112" s="393"/>
      <c r="O112" s="434"/>
      <c r="P112" s="434"/>
      <c r="Q112" s="435"/>
      <c r="R112" s="435"/>
      <c r="S112" s="435"/>
      <c r="T112" s="435"/>
      <c r="U112" s="435"/>
      <c r="V112" s="435"/>
      <c r="W112" s="436"/>
      <c r="X112" s="434"/>
      <c r="Y112" s="435"/>
      <c r="Z112" s="435"/>
      <c r="AA112" s="435"/>
      <c r="AB112" s="436"/>
      <c r="AC112" s="434"/>
      <c r="AD112" s="435"/>
      <c r="AE112" s="435"/>
      <c r="AF112" s="435"/>
      <c r="AG112" s="436"/>
      <c r="AH112" s="81"/>
    </row>
    <row r="113" spans="3:34">
      <c r="C113" s="82"/>
      <c r="D113" s="614" t="s">
        <v>24</v>
      </c>
      <c r="E113" s="104"/>
      <c r="F113" s="104"/>
      <c r="G113" s="104"/>
      <c r="H113" s="104"/>
      <c r="I113" s="104"/>
      <c r="J113" s="104"/>
      <c r="K113" s="349">
        <f t="shared" ref="K113:AA113" si="23">+K110-K111-K112</f>
        <v>0</v>
      </c>
      <c r="L113" s="349">
        <f t="shared" si="23"/>
        <v>0</v>
      </c>
      <c r="M113" s="349">
        <f t="shared" si="23"/>
        <v>0</v>
      </c>
      <c r="N113" s="349">
        <f>+N110-N111-N112</f>
        <v>0</v>
      </c>
      <c r="O113" s="378">
        <f>+O110-O111-O112</f>
        <v>0</v>
      </c>
      <c r="P113" s="378">
        <f>+P110-P111-P112</f>
        <v>0</v>
      </c>
      <c r="Q113" s="378">
        <f>+Q110-Q111-Q112</f>
        <v>0</v>
      </c>
      <c r="R113" s="378">
        <f>+R110-R111-R112</f>
        <v>0</v>
      </c>
      <c r="S113" s="378">
        <f t="shared" si="23"/>
        <v>0</v>
      </c>
      <c r="T113" s="378">
        <f t="shared" si="23"/>
        <v>0</v>
      </c>
      <c r="U113" s="378">
        <f t="shared" si="23"/>
        <v>0</v>
      </c>
      <c r="V113" s="378">
        <f t="shared" si="23"/>
        <v>0</v>
      </c>
      <c r="W113" s="378">
        <f t="shared" si="23"/>
        <v>0</v>
      </c>
      <c r="X113" s="378">
        <f t="shared" si="23"/>
        <v>0</v>
      </c>
      <c r="Y113" s="378">
        <f t="shared" si="23"/>
        <v>0</v>
      </c>
      <c r="Z113" s="378">
        <f t="shared" si="23"/>
        <v>0</v>
      </c>
      <c r="AA113" s="378">
        <f t="shared" si="23"/>
        <v>0</v>
      </c>
      <c r="AB113" s="378">
        <f t="shared" ref="AB113:AG113" si="24">+AB110-AB111-AB112</f>
        <v>0</v>
      </c>
      <c r="AC113" s="378">
        <f t="shared" si="24"/>
        <v>0</v>
      </c>
      <c r="AD113" s="378">
        <f t="shared" si="24"/>
        <v>0</v>
      </c>
      <c r="AE113" s="378">
        <f t="shared" si="24"/>
        <v>0</v>
      </c>
      <c r="AF113" s="378">
        <f t="shared" si="24"/>
        <v>0</v>
      </c>
      <c r="AG113" s="378">
        <f t="shared" si="24"/>
        <v>0</v>
      </c>
      <c r="AH113" s="81"/>
    </row>
    <row r="114" spans="3:34">
      <c r="C114" s="82"/>
      <c r="D114" s="614"/>
      <c r="E114" s="104"/>
      <c r="F114" s="104"/>
      <c r="G114" s="104"/>
      <c r="H114" s="104"/>
      <c r="I114" s="104"/>
      <c r="J114" s="104"/>
      <c r="K114" s="349"/>
      <c r="L114" s="349"/>
      <c r="M114" s="349"/>
      <c r="N114" s="349"/>
      <c r="O114" s="378"/>
      <c r="P114" s="378"/>
      <c r="Q114" s="378"/>
      <c r="R114" s="378"/>
      <c r="S114" s="378"/>
      <c r="T114" s="378"/>
      <c r="U114" s="378"/>
      <c r="V114" s="378"/>
      <c r="W114" s="378"/>
      <c r="X114" s="378"/>
      <c r="Y114" s="378"/>
      <c r="Z114" s="378"/>
      <c r="AA114" s="378"/>
      <c r="AB114" s="378"/>
      <c r="AC114" s="378"/>
      <c r="AD114" s="378"/>
      <c r="AE114" s="378"/>
      <c r="AF114" s="378"/>
      <c r="AG114" s="378"/>
      <c r="AH114" s="81"/>
    </row>
    <row r="115" spans="3:34">
      <c r="C115" s="82"/>
      <c r="D115" s="591" t="s">
        <v>61</v>
      </c>
      <c r="E115" s="104"/>
      <c r="F115" s="104"/>
      <c r="G115" s="104"/>
      <c r="H115" s="104"/>
      <c r="I115" s="104"/>
      <c r="J115" s="104"/>
      <c r="K115" s="385"/>
      <c r="L115" s="385"/>
      <c r="M115" s="386"/>
      <c r="N115" s="385"/>
      <c r="O115" s="428"/>
      <c r="P115" s="428"/>
      <c r="Q115" s="429"/>
      <c r="R115" s="429"/>
      <c r="S115" s="429"/>
      <c r="T115" s="429"/>
      <c r="U115" s="429"/>
      <c r="V115" s="429"/>
      <c r="W115" s="430"/>
      <c r="X115" s="428"/>
      <c r="Y115" s="429"/>
      <c r="Z115" s="429"/>
      <c r="AA115" s="429"/>
      <c r="AB115" s="430"/>
      <c r="AC115" s="428"/>
      <c r="AD115" s="429"/>
      <c r="AE115" s="429"/>
      <c r="AF115" s="429"/>
      <c r="AG115" s="430"/>
      <c r="AH115" s="81"/>
    </row>
    <row r="116" spans="3:34">
      <c r="C116" s="82"/>
      <c r="D116" s="591" t="s">
        <v>18</v>
      </c>
      <c r="E116" s="104"/>
      <c r="F116" s="104"/>
      <c r="G116" s="104"/>
      <c r="H116" s="104"/>
      <c r="I116" s="104"/>
      <c r="J116" s="104"/>
      <c r="K116" s="393"/>
      <c r="L116" s="393"/>
      <c r="M116" s="394"/>
      <c r="N116" s="393"/>
      <c r="O116" s="434"/>
      <c r="P116" s="434"/>
      <c r="Q116" s="435"/>
      <c r="R116" s="435"/>
      <c r="S116" s="435"/>
      <c r="T116" s="435"/>
      <c r="U116" s="435"/>
      <c r="V116" s="435"/>
      <c r="W116" s="436"/>
      <c r="X116" s="434"/>
      <c r="Y116" s="435"/>
      <c r="Z116" s="435"/>
      <c r="AA116" s="435"/>
      <c r="AB116" s="436"/>
      <c r="AC116" s="434"/>
      <c r="AD116" s="435"/>
      <c r="AE116" s="435"/>
      <c r="AF116" s="435"/>
      <c r="AG116" s="436"/>
      <c r="AH116" s="81"/>
    </row>
    <row r="117" spans="3:34">
      <c r="C117" s="92"/>
      <c r="D117" s="75"/>
      <c r="E117" s="75"/>
      <c r="F117" s="75"/>
      <c r="G117" s="75"/>
      <c r="H117" s="75"/>
      <c r="I117" s="75"/>
      <c r="J117" s="75"/>
      <c r="K117" s="393"/>
      <c r="L117" s="393"/>
      <c r="M117" s="393"/>
      <c r="N117" s="393"/>
      <c r="O117" s="834"/>
      <c r="P117" s="834"/>
      <c r="Q117" s="834"/>
      <c r="R117" s="834"/>
      <c r="S117" s="834"/>
      <c r="T117" s="834"/>
      <c r="U117" s="834"/>
      <c r="V117" s="834"/>
      <c r="W117" s="834"/>
      <c r="X117" s="834"/>
      <c r="Y117" s="834"/>
      <c r="Z117" s="834"/>
      <c r="AA117" s="834"/>
      <c r="AB117" s="834"/>
      <c r="AC117" s="834"/>
      <c r="AD117" s="834"/>
      <c r="AE117" s="834"/>
      <c r="AF117" s="834"/>
      <c r="AG117" s="834"/>
      <c r="AH117" s="94"/>
    </row>
    <row r="118" spans="3:34">
      <c r="K118" s="573"/>
      <c r="L118" s="573"/>
      <c r="M118" s="573"/>
      <c r="N118" s="573"/>
      <c r="O118" s="375"/>
      <c r="P118" s="375"/>
      <c r="Q118" s="375"/>
      <c r="R118" s="375"/>
      <c r="S118" s="375"/>
      <c r="T118" s="375"/>
      <c r="U118" s="375"/>
      <c r="V118" s="375"/>
      <c r="W118" s="375"/>
      <c r="X118" s="375"/>
      <c r="Y118" s="375"/>
      <c r="Z118" s="375"/>
      <c r="AA118" s="375"/>
      <c r="AB118" s="375"/>
      <c r="AC118" s="375"/>
      <c r="AD118" s="375"/>
      <c r="AE118" s="375"/>
      <c r="AF118" s="375"/>
      <c r="AG118" s="375"/>
    </row>
    <row r="119" spans="3:34">
      <c r="C119" s="76"/>
      <c r="D119" s="2283" t="s">
        <v>394</v>
      </c>
      <c r="E119" s="2284"/>
      <c r="F119" s="2284"/>
      <c r="G119" s="2284"/>
      <c r="H119" s="2285"/>
      <c r="I119" s="77"/>
      <c r="J119" s="77"/>
      <c r="K119" s="385"/>
      <c r="L119" s="385"/>
      <c r="M119" s="385"/>
      <c r="N119" s="385"/>
      <c r="O119" s="832"/>
      <c r="P119" s="832"/>
      <c r="Q119" s="832"/>
      <c r="R119" s="832"/>
      <c r="S119" s="832"/>
      <c r="T119" s="832"/>
      <c r="U119" s="832"/>
      <c r="V119" s="832"/>
      <c r="W119" s="832"/>
      <c r="X119" s="832"/>
      <c r="Y119" s="832"/>
      <c r="Z119" s="832"/>
      <c r="AA119" s="832"/>
      <c r="AB119" s="832"/>
      <c r="AC119" s="832"/>
      <c r="AD119" s="832"/>
      <c r="AE119" s="832"/>
      <c r="AF119" s="832"/>
      <c r="AG119" s="832"/>
      <c r="AH119" s="80"/>
    </row>
    <row r="120" spans="3:34">
      <c r="C120" s="82"/>
      <c r="D120" s="647"/>
      <c r="E120" s="647"/>
      <c r="F120" s="647"/>
      <c r="G120" s="647"/>
      <c r="K120" s="349"/>
      <c r="L120" s="349"/>
      <c r="M120" s="349"/>
      <c r="N120" s="349"/>
      <c r="O120" s="378"/>
      <c r="P120" s="378"/>
      <c r="Q120" s="378"/>
      <c r="R120" s="378"/>
      <c r="S120" s="378"/>
      <c r="T120" s="378"/>
      <c r="U120" s="378"/>
      <c r="V120" s="378"/>
      <c r="W120" s="378"/>
      <c r="X120" s="378"/>
      <c r="Y120" s="378"/>
      <c r="Z120" s="378"/>
      <c r="AA120" s="378"/>
      <c r="AB120" s="378"/>
      <c r="AC120" s="378"/>
      <c r="AD120" s="378"/>
      <c r="AE120" s="378"/>
      <c r="AF120" s="378"/>
      <c r="AG120" s="378"/>
      <c r="AH120" s="81"/>
    </row>
    <row r="121" spans="3:34">
      <c r="C121" s="82"/>
      <c r="D121" s="647" t="s">
        <v>68</v>
      </c>
      <c r="E121" s="647"/>
      <c r="F121" s="647"/>
      <c r="G121" s="647"/>
      <c r="K121" s="400"/>
      <c r="L121" s="401"/>
      <c r="M121" s="401"/>
      <c r="N121" s="400"/>
      <c r="O121" s="437"/>
      <c r="P121" s="437"/>
      <c r="Q121" s="438"/>
      <c r="R121" s="438"/>
      <c r="S121" s="438"/>
      <c r="T121" s="438"/>
      <c r="U121" s="438"/>
      <c r="V121" s="438"/>
      <c r="W121" s="439"/>
      <c r="X121" s="437"/>
      <c r="Y121" s="438"/>
      <c r="Z121" s="438"/>
      <c r="AA121" s="438"/>
      <c r="AB121" s="439"/>
      <c r="AC121" s="437"/>
      <c r="AD121" s="438"/>
      <c r="AE121" s="438"/>
      <c r="AF121" s="438"/>
      <c r="AG121" s="439"/>
      <c r="AH121" s="81"/>
    </row>
    <row r="122" spans="3:34">
      <c r="C122" s="82"/>
      <c r="D122" s="647"/>
      <c r="E122" s="647"/>
      <c r="F122" s="647"/>
      <c r="G122" s="647"/>
      <c r="K122" s="349"/>
      <c r="L122" s="349"/>
      <c r="M122" s="349"/>
      <c r="N122" s="349"/>
      <c r="O122" s="835"/>
      <c r="P122" s="835"/>
      <c r="Q122" s="835"/>
      <c r="R122" s="835"/>
      <c r="S122" s="835"/>
      <c r="T122" s="835"/>
      <c r="U122" s="835"/>
      <c r="V122" s="835"/>
      <c r="W122" s="835"/>
      <c r="X122" s="835"/>
      <c r="Y122" s="835"/>
      <c r="Z122" s="835"/>
      <c r="AA122" s="835"/>
      <c r="AB122" s="835"/>
      <c r="AC122" s="835"/>
      <c r="AD122" s="835"/>
      <c r="AE122" s="835"/>
      <c r="AF122" s="835"/>
      <c r="AG122" s="835"/>
      <c r="AH122" s="81"/>
    </row>
    <row r="123" spans="3:34">
      <c r="C123" s="82"/>
      <c r="D123" s="647" t="s">
        <v>26</v>
      </c>
      <c r="E123" s="647"/>
      <c r="F123" s="647"/>
      <c r="G123" s="647"/>
      <c r="K123" s="400"/>
      <c r="L123" s="401"/>
      <c r="M123" s="401"/>
      <c r="N123" s="400"/>
      <c r="O123" s="437"/>
      <c r="P123" s="437"/>
      <c r="Q123" s="438"/>
      <c r="R123" s="438"/>
      <c r="S123" s="438"/>
      <c r="T123" s="438"/>
      <c r="U123" s="438"/>
      <c r="V123" s="438"/>
      <c r="W123" s="439"/>
      <c r="X123" s="437"/>
      <c r="Y123" s="438"/>
      <c r="Z123" s="438"/>
      <c r="AA123" s="438"/>
      <c r="AB123" s="439"/>
      <c r="AC123" s="437"/>
      <c r="AD123" s="438"/>
      <c r="AE123" s="438"/>
      <c r="AF123" s="438"/>
      <c r="AG123" s="439"/>
      <c r="AH123" s="81"/>
    </row>
    <row r="124" spans="3:34">
      <c r="C124" s="82"/>
      <c r="D124" s="647"/>
      <c r="E124" s="647"/>
      <c r="F124" s="647"/>
      <c r="G124" s="647"/>
      <c r="K124" s="349"/>
      <c r="L124" s="349"/>
      <c r="M124" s="349"/>
      <c r="N124" s="349"/>
      <c r="O124" s="835"/>
      <c r="P124" s="835"/>
      <c r="Q124" s="835"/>
      <c r="R124" s="835"/>
      <c r="S124" s="835"/>
      <c r="T124" s="835"/>
      <c r="U124" s="835"/>
      <c r="V124" s="835"/>
      <c r="W124" s="835"/>
      <c r="X124" s="835"/>
      <c r="Y124" s="835"/>
      <c r="Z124" s="835"/>
      <c r="AA124" s="835"/>
      <c r="AB124" s="835"/>
      <c r="AC124" s="835"/>
      <c r="AD124" s="835"/>
      <c r="AE124" s="835"/>
      <c r="AF124" s="835"/>
      <c r="AG124" s="835"/>
      <c r="AH124" s="81"/>
    </row>
    <row r="125" spans="3:34">
      <c r="C125" s="82"/>
      <c r="D125" s="591" t="s">
        <v>23</v>
      </c>
      <c r="K125" s="384"/>
      <c r="L125" s="385"/>
      <c r="M125" s="386"/>
      <c r="N125" s="385"/>
      <c r="O125" s="428"/>
      <c r="P125" s="428"/>
      <c r="Q125" s="429"/>
      <c r="R125" s="429"/>
      <c r="S125" s="429"/>
      <c r="T125" s="429"/>
      <c r="U125" s="429"/>
      <c r="V125" s="429"/>
      <c r="W125" s="430"/>
      <c r="X125" s="428"/>
      <c r="Y125" s="429"/>
      <c r="Z125" s="429"/>
      <c r="AA125" s="429"/>
      <c r="AB125" s="430"/>
      <c r="AC125" s="428"/>
      <c r="AD125" s="429"/>
      <c r="AE125" s="429"/>
      <c r="AF125" s="429"/>
      <c r="AG125" s="430"/>
      <c r="AH125" s="81"/>
    </row>
    <row r="126" spans="3:34">
      <c r="C126" s="833"/>
      <c r="D126" s="591" t="s">
        <v>19</v>
      </c>
      <c r="K126" s="387"/>
      <c r="L126" s="349"/>
      <c r="M126" s="388"/>
      <c r="N126" s="349"/>
      <c r="O126" s="431"/>
      <c r="P126" s="431"/>
      <c r="Q126" s="432"/>
      <c r="R126" s="432"/>
      <c r="S126" s="432"/>
      <c r="T126" s="432"/>
      <c r="U126" s="432"/>
      <c r="V126" s="432"/>
      <c r="W126" s="433"/>
      <c r="X126" s="431"/>
      <c r="Y126" s="432"/>
      <c r="Z126" s="432"/>
      <c r="AA126" s="432"/>
      <c r="AB126" s="433"/>
      <c r="AC126" s="431"/>
      <c r="AD126" s="432"/>
      <c r="AE126" s="432"/>
      <c r="AF126" s="432"/>
      <c r="AG126" s="433"/>
      <c r="AH126" s="81"/>
    </row>
    <row r="127" spans="3:34">
      <c r="C127" s="82"/>
      <c r="D127" s="591" t="s">
        <v>22</v>
      </c>
      <c r="K127" s="392"/>
      <c r="L127" s="393"/>
      <c r="M127" s="394"/>
      <c r="N127" s="393"/>
      <c r="O127" s="434"/>
      <c r="P127" s="434"/>
      <c r="Q127" s="435"/>
      <c r="R127" s="435"/>
      <c r="S127" s="435"/>
      <c r="T127" s="435"/>
      <c r="U127" s="435"/>
      <c r="V127" s="435"/>
      <c r="W127" s="436"/>
      <c r="X127" s="434"/>
      <c r="Y127" s="435"/>
      <c r="Z127" s="435"/>
      <c r="AA127" s="435"/>
      <c r="AB127" s="436"/>
      <c r="AC127" s="434"/>
      <c r="AD127" s="435"/>
      <c r="AE127" s="435"/>
      <c r="AF127" s="435"/>
      <c r="AG127" s="436"/>
      <c r="AH127" s="81"/>
    </row>
    <row r="128" spans="3:34">
      <c r="C128" s="82"/>
      <c r="D128" s="614" t="s">
        <v>24</v>
      </c>
      <c r="E128" s="104"/>
      <c r="F128" s="104"/>
      <c r="G128" s="104"/>
      <c r="H128" s="104"/>
      <c r="I128" s="104"/>
      <c r="J128" s="104"/>
      <c r="K128" s="349">
        <f t="shared" ref="K128:AA128" si="25">+K125-K126-K127</f>
        <v>0</v>
      </c>
      <c r="L128" s="349">
        <f t="shared" si="25"/>
        <v>0</v>
      </c>
      <c r="M128" s="349">
        <f t="shared" si="25"/>
        <v>0</v>
      </c>
      <c r="N128" s="349">
        <f>+N125-N126-N127</f>
        <v>0</v>
      </c>
      <c r="O128" s="378">
        <f>+O125-O126-O127</f>
        <v>0</v>
      </c>
      <c r="P128" s="378">
        <f>+P125-P126-P127</f>
        <v>0</v>
      </c>
      <c r="Q128" s="378">
        <f>+Q125-Q126-Q127</f>
        <v>0</v>
      </c>
      <c r="R128" s="378">
        <f>+R125-R126-R127</f>
        <v>0</v>
      </c>
      <c r="S128" s="378">
        <f t="shared" si="25"/>
        <v>0</v>
      </c>
      <c r="T128" s="378">
        <f t="shared" si="25"/>
        <v>0</v>
      </c>
      <c r="U128" s="378">
        <f t="shared" si="25"/>
        <v>0</v>
      </c>
      <c r="V128" s="378">
        <f t="shared" si="25"/>
        <v>0</v>
      </c>
      <c r="W128" s="378">
        <f t="shared" si="25"/>
        <v>0</v>
      </c>
      <c r="X128" s="378">
        <f t="shared" si="25"/>
        <v>0</v>
      </c>
      <c r="Y128" s="378">
        <f t="shared" si="25"/>
        <v>0</v>
      </c>
      <c r="Z128" s="378">
        <f t="shared" si="25"/>
        <v>0</v>
      </c>
      <c r="AA128" s="378">
        <f t="shared" si="25"/>
        <v>0</v>
      </c>
      <c r="AB128" s="378">
        <f t="shared" ref="AB128:AG128" si="26">+AB125-AB126-AB127</f>
        <v>0</v>
      </c>
      <c r="AC128" s="378">
        <f t="shared" si="26"/>
        <v>0</v>
      </c>
      <c r="AD128" s="378">
        <f t="shared" si="26"/>
        <v>0</v>
      </c>
      <c r="AE128" s="378">
        <f t="shared" si="26"/>
        <v>0</v>
      </c>
      <c r="AF128" s="378">
        <f t="shared" si="26"/>
        <v>0</v>
      </c>
      <c r="AG128" s="378">
        <f t="shared" si="26"/>
        <v>0</v>
      </c>
      <c r="AH128" s="81"/>
    </row>
    <row r="129" spans="3:34">
      <c r="C129" s="82"/>
      <c r="D129" s="614"/>
      <c r="E129" s="104"/>
      <c r="F129" s="104"/>
      <c r="G129" s="104"/>
      <c r="H129" s="104"/>
      <c r="I129" s="104"/>
      <c r="J129" s="104"/>
      <c r="K129" s="349"/>
      <c r="L129" s="349"/>
      <c r="M129" s="349"/>
      <c r="N129" s="349"/>
      <c r="O129" s="378"/>
      <c r="P129" s="378"/>
      <c r="Q129" s="378"/>
      <c r="R129" s="378"/>
      <c r="S129" s="378"/>
      <c r="T129" s="378"/>
      <c r="U129" s="378"/>
      <c r="V129" s="378"/>
      <c r="W129" s="378"/>
      <c r="X129" s="378"/>
      <c r="Y129" s="378"/>
      <c r="Z129" s="378"/>
      <c r="AA129" s="378"/>
      <c r="AB129" s="378"/>
      <c r="AC129" s="378"/>
      <c r="AD129" s="378"/>
      <c r="AE129" s="378"/>
      <c r="AF129" s="378"/>
      <c r="AG129" s="378"/>
      <c r="AH129" s="81"/>
    </row>
    <row r="130" spans="3:34">
      <c r="C130" s="82"/>
      <c r="D130" s="591" t="s">
        <v>61</v>
      </c>
      <c r="E130" s="104"/>
      <c r="F130" s="104"/>
      <c r="G130" s="104"/>
      <c r="H130" s="104"/>
      <c r="I130" s="104"/>
      <c r="J130" s="104"/>
      <c r="K130" s="384"/>
      <c r="L130" s="385"/>
      <c r="M130" s="386"/>
      <c r="N130" s="385"/>
      <c r="O130" s="428"/>
      <c r="P130" s="428"/>
      <c r="Q130" s="429"/>
      <c r="R130" s="429"/>
      <c r="S130" s="429"/>
      <c r="T130" s="429"/>
      <c r="U130" s="429"/>
      <c r="V130" s="429"/>
      <c r="W130" s="430"/>
      <c r="X130" s="428"/>
      <c r="Y130" s="429"/>
      <c r="Z130" s="429"/>
      <c r="AA130" s="429"/>
      <c r="AB130" s="430"/>
      <c r="AC130" s="428"/>
      <c r="AD130" s="429"/>
      <c r="AE130" s="429"/>
      <c r="AF130" s="429"/>
      <c r="AG130" s="430"/>
      <c r="AH130" s="81"/>
    </row>
    <row r="131" spans="3:34">
      <c r="C131" s="82"/>
      <c r="D131" s="591" t="s">
        <v>18</v>
      </c>
      <c r="E131" s="104"/>
      <c r="F131" s="104"/>
      <c r="G131" s="104"/>
      <c r="H131" s="104"/>
      <c r="I131" s="104"/>
      <c r="J131" s="104"/>
      <c r="K131" s="392"/>
      <c r="L131" s="393"/>
      <c r="M131" s="394"/>
      <c r="N131" s="393"/>
      <c r="O131" s="434"/>
      <c r="P131" s="434"/>
      <c r="Q131" s="435"/>
      <c r="R131" s="435"/>
      <c r="S131" s="435"/>
      <c r="T131" s="435"/>
      <c r="U131" s="435"/>
      <c r="V131" s="435"/>
      <c r="W131" s="436"/>
      <c r="X131" s="434"/>
      <c r="Y131" s="435"/>
      <c r="Z131" s="435"/>
      <c r="AA131" s="435"/>
      <c r="AB131" s="436"/>
      <c r="AC131" s="434"/>
      <c r="AD131" s="435"/>
      <c r="AE131" s="435"/>
      <c r="AF131" s="435"/>
      <c r="AG131" s="436"/>
      <c r="AH131" s="81"/>
    </row>
    <row r="132" spans="3:34">
      <c r="C132" s="92"/>
      <c r="D132" s="75"/>
      <c r="E132" s="75"/>
      <c r="F132" s="75"/>
      <c r="G132" s="75"/>
      <c r="H132" s="75"/>
      <c r="I132" s="75"/>
      <c r="J132" s="75"/>
      <c r="K132" s="393"/>
      <c r="L132" s="393"/>
      <c r="M132" s="393"/>
      <c r="N132" s="393"/>
      <c r="O132" s="834"/>
      <c r="P132" s="834"/>
      <c r="Q132" s="834"/>
      <c r="R132" s="834"/>
      <c r="S132" s="834"/>
      <c r="T132" s="834"/>
      <c r="U132" s="834"/>
      <c r="V132" s="834"/>
      <c r="W132" s="834"/>
      <c r="X132" s="834"/>
      <c r="Y132" s="834"/>
      <c r="Z132" s="834"/>
      <c r="AA132" s="834"/>
      <c r="AB132" s="834"/>
      <c r="AC132" s="834"/>
      <c r="AD132" s="834"/>
      <c r="AE132" s="834"/>
      <c r="AF132" s="834"/>
      <c r="AG132" s="834"/>
      <c r="AH132" s="94"/>
    </row>
    <row r="133" spans="3:34">
      <c r="K133" s="349"/>
      <c r="L133" s="349"/>
      <c r="M133" s="349"/>
      <c r="N133" s="349"/>
      <c r="O133" s="378"/>
      <c r="P133" s="378"/>
      <c r="Q133" s="378"/>
      <c r="R133" s="378"/>
      <c r="S133" s="378"/>
      <c r="T133" s="378"/>
      <c r="U133" s="378"/>
      <c r="V133" s="378"/>
      <c r="W133" s="378"/>
      <c r="X133" s="378"/>
      <c r="Y133" s="378"/>
      <c r="Z133" s="378"/>
      <c r="AA133" s="378"/>
      <c r="AB133" s="378"/>
      <c r="AC133" s="378"/>
      <c r="AD133" s="378"/>
      <c r="AE133" s="378"/>
      <c r="AF133" s="378"/>
      <c r="AG133" s="378"/>
    </row>
    <row r="134" spans="3:34">
      <c r="C134" s="76"/>
      <c r="D134" s="2283" t="s">
        <v>393</v>
      </c>
      <c r="E134" s="2284"/>
      <c r="F134" s="2284"/>
      <c r="G134" s="2284"/>
      <c r="H134" s="2285"/>
      <c r="I134" s="77"/>
      <c r="J134" s="77"/>
      <c r="K134" s="385"/>
      <c r="L134" s="385"/>
      <c r="M134" s="385"/>
      <c r="N134" s="385"/>
      <c r="O134" s="832"/>
      <c r="P134" s="832"/>
      <c r="Q134" s="832"/>
      <c r="R134" s="832"/>
      <c r="S134" s="832"/>
      <c r="T134" s="832"/>
      <c r="U134" s="832"/>
      <c r="V134" s="832"/>
      <c r="W134" s="832"/>
      <c r="X134" s="832"/>
      <c r="Y134" s="832"/>
      <c r="Z134" s="832"/>
      <c r="AA134" s="832"/>
      <c r="AB134" s="832"/>
      <c r="AC134" s="832"/>
      <c r="AD134" s="832"/>
      <c r="AE134" s="832"/>
      <c r="AF134" s="832"/>
      <c r="AG134" s="832"/>
      <c r="AH134" s="80"/>
    </row>
    <row r="135" spans="3:34">
      <c r="C135" s="82"/>
      <c r="D135" s="647"/>
      <c r="E135" s="647"/>
      <c r="F135" s="647"/>
      <c r="G135" s="647"/>
      <c r="K135" s="349"/>
      <c r="L135" s="349"/>
      <c r="M135" s="349"/>
      <c r="N135" s="349"/>
      <c r="O135" s="378"/>
      <c r="P135" s="378"/>
      <c r="Q135" s="378"/>
      <c r="R135" s="378"/>
      <c r="S135" s="378"/>
      <c r="T135" s="378"/>
      <c r="U135" s="378"/>
      <c r="V135" s="378"/>
      <c r="W135" s="378"/>
      <c r="X135" s="378"/>
      <c r="Y135" s="378"/>
      <c r="Z135" s="378"/>
      <c r="AA135" s="378"/>
      <c r="AB135" s="378"/>
      <c r="AC135" s="378"/>
      <c r="AD135" s="378"/>
      <c r="AE135" s="378"/>
      <c r="AF135" s="378"/>
      <c r="AG135" s="378"/>
      <c r="AH135" s="81"/>
    </row>
    <row r="136" spans="3:34">
      <c r="C136" s="82"/>
      <c r="D136" s="647" t="s">
        <v>68</v>
      </c>
      <c r="E136" s="647"/>
      <c r="F136" s="647"/>
      <c r="G136" s="647"/>
      <c r="K136" s="400"/>
      <c r="L136" s="401"/>
      <c r="M136" s="401"/>
      <c r="N136" s="400"/>
      <c r="O136" s="437"/>
      <c r="P136" s="437"/>
      <c r="Q136" s="438"/>
      <c r="R136" s="438"/>
      <c r="S136" s="438"/>
      <c r="T136" s="438"/>
      <c r="U136" s="438"/>
      <c r="V136" s="438"/>
      <c r="W136" s="439"/>
      <c r="X136" s="437"/>
      <c r="Y136" s="438"/>
      <c r="Z136" s="438"/>
      <c r="AA136" s="438"/>
      <c r="AB136" s="439"/>
      <c r="AC136" s="437"/>
      <c r="AD136" s="438"/>
      <c r="AE136" s="438"/>
      <c r="AF136" s="438"/>
      <c r="AG136" s="439"/>
      <c r="AH136" s="81"/>
    </row>
    <row r="137" spans="3:34">
      <c r="C137" s="82"/>
      <c r="D137" s="647"/>
      <c r="E137" s="647"/>
      <c r="F137" s="647"/>
      <c r="G137" s="647"/>
      <c r="K137" s="349"/>
      <c r="L137" s="349"/>
      <c r="M137" s="349"/>
      <c r="N137" s="349"/>
      <c r="O137" s="835"/>
      <c r="P137" s="835"/>
      <c r="Q137" s="835"/>
      <c r="R137" s="835"/>
      <c r="S137" s="835"/>
      <c r="T137" s="835"/>
      <c r="U137" s="835"/>
      <c r="V137" s="835"/>
      <c r="W137" s="835"/>
      <c r="X137" s="835"/>
      <c r="Y137" s="835"/>
      <c r="Z137" s="835"/>
      <c r="AA137" s="835"/>
      <c r="AB137" s="835"/>
      <c r="AC137" s="835"/>
      <c r="AD137" s="835"/>
      <c r="AE137" s="835"/>
      <c r="AF137" s="835"/>
      <c r="AG137" s="835"/>
      <c r="AH137" s="81"/>
    </row>
    <row r="138" spans="3:34">
      <c r="C138" s="82"/>
      <c r="D138" s="647" t="s">
        <v>26</v>
      </c>
      <c r="E138" s="647"/>
      <c r="F138" s="647"/>
      <c r="G138" s="647"/>
      <c r="K138" s="400"/>
      <c r="L138" s="401"/>
      <c r="M138" s="401"/>
      <c r="N138" s="400"/>
      <c r="O138" s="437"/>
      <c r="P138" s="437"/>
      <c r="Q138" s="438"/>
      <c r="R138" s="438"/>
      <c r="S138" s="438"/>
      <c r="T138" s="438"/>
      <c r="U138" s="438"/>
      <c r="V138" s="438"/>
      <c r="W138" s="439"/>
      <c r="X138" s="437"/>
      <c r="Y138" s="438"/>
      <c r="Z138" s="438"/>
      <c r="AA138" s="438"/>
      <c r="AB138" s="439"/>
      <c r="AC138" s="437"/>
      <c r="AD138" s="438"/>
      <c r="AE138" s="438"/>
      <c r="AF138" s="438"/>
      <c r="AG138" s="439"/>
      <c r="AH138" s="81"/>
    </row>
    <row r="139" spans="3:34">
      <c r="C139" s="82"/>
      <c r="D139" s="647"/>
      <c r="E139" s="647"/>
      <c r="F139" s="647"/>
      <c r="G139" s="647"/>
      <c r="K139" s="349"/>
      <c r="L139" s="349"/>
      <c r="M139" s="349"/>
      <c r="N139" s="349"/>
      <c r="O139" s="835"/>
      <c r="P139" s="835"/>
      <c r="Q139" s="835"/>
      <c r="R139" s="835"/>
      <c r="S139" s="835"/>
      <c r="T139" s="835"/>
      <c r="U139" s="835"/>
      <c r="V139" s="835"/>
      <c r="W139" s="835"/>
      <c r="X139" s="835"/>
      <c r="Y139" s="835"/>
      <c r="Z139" s="835"/>
      <c r="AA139" s="835"/>
      <c r="AB139" s="835"/>
      <c r="AC139" s="835"/>
      <c r="AD139" s="835"/>
      <c r="AE139" s="835"/>
      <c r="AF139" s="835"/>
      <c r="AG139" s="835"/>
      <c r="AH139" s="81"/>
    </row>
    <row r="140" spans="3:34">
      <c r="C140" s="82"/>
      <c r="D140" s="591" t="s">
        <v>23</v>
      </c>
      <c r="K140" s="384"/>
      <c r="L140" s="385"/>
      <c r="M140" s="386"/>
      <c r="N140" s="385"/>
      <c r="O140" s="428"/>
      <c r="P140" s="428"/>
      <c r="Q140" s="429"/>
      <c r="R140" s="429"/>
      <c r="S140" s="429"/>
      <c r="T140" s="429"/>
      <c r="U140" s="429"/>
      <c r="V140" s="429"/>
      <c r="W140" s="430"/>
      <c r="X140" s="428"/>
      <c r="Y140" s="429"/>
      <c r="Z140" s="429"/>
      <c r="AA140" s="429"/>
      <c r="AB140" s="430"/>
      <c r="AC140" s="428"/>
      <c r="AD140" s="429"/>
      <c r="AE140" s="429"/>
      <c r="AF140" s="429"/>
      <c r="AG140" s="430"/>
      <c r="AH140" s="81"/>
    </row>
    <row r="141" spans="3:34">
      <c r="C141" s="833"/>
      <c r="D141" s="591" t="s">
        <v>19</v>
      </c>
      <c r="K141" s="387"/>
      <c r="L141" s="349"/>
      <c r="M141" s="388"/>
      <c r="N141" s="349"/>
      <c r="O141" s="431"/>
      <c r="P141" s="431"/>
      <c r="Q141" s="432"/>
      <c r="R141" s="432"/>
      <c r="S141" s="432"/>
      <c r="T141" s="432"/>
      <c r="U141" s="432"/>
      <c r="V141" s="432"/>
      <c r="W141" s="433"/>
      <c r="X141" s="431"/>
      <c r="Y141" s="432"/>
      <c r="Z141" s="432"/>
      <c r="AA141" s="432"/>
      <c r="AB141" s="433"/>
      <c r="AC141" s="431"/>
      <c r="AD141" s="432"/>
      <c r="AE141" s="432"/>
      <c r="AF141" s="432"/>
      <c r="AG141" s="433"/>
      <c r="AH141" s="81"/>
    </row>
    <row r="142" spans="3:34">
      <c r="C142" s="82"/>
      <c r="D142" s="591" t="s">
        <v>22</v>
      </c>
      <c r="K142" s="392"/>
      <c r="L142" s="393"/>
      <c r="M142" s="394"/>
      <c r="N142" s="393"/>
      <c r="O142" s="434"/>
      <c r="P142" s="434"/>
      <c r="Q142" s="435"/>
      <c r="R142" s="435"/>
      <c r="S142" s="435"/>
      <c r="T142" s="435"/>
      <c r="U142" s="435"/>
      <c r="V142" s="435"/>
      <c r="W142" s="436"/>
      <c r="X142" s="434"/>
      <c r="Y142" s="435"/>
      <c r="Z142" s="435"/>
      <c r="AA142" s="435"/>
      <c r="AB142" s="436"/>
      <c r="AC142" s="434"/>
      <c r="AD142" s="435"/>
      <c r="AE142" s="435"/>
      <c r="AF142" s="435"/>
      <c r="AG142" s="436"/>
      <c r="AH142" s="81"/>
    </row>
    <row r="143" spans="3:34">
      <c r="C143" s="82"/>
      <c r="D143" s="614" t="s">
        <v>24</v>
      </c>
      <c r="E143" s="104"/>
      <c r="F143" s="104"/>
      <c r="G143" s="104"/>
      <c r="H143" s="104"/>
      <c r="I143" s="104"/>
      <c r="J143" s="104"/>
      <c r="K143" s="349">
        <f t="shared" ref="K143:AA143" si="27">+K140-K141-K142</f>
        <v>0</v>
      </c>
      <c r="L143" s="349">
        <f t="shared" si="27"/>
        <v>0</v>
      </c>
      <c r="M143" s="349">
        <f t="shared" si="27"/>
        <v>0</v>
      </c>
      <c r="N143" s="349">
        <f>+N140-N141-N142</f>
        <v>0</v>
      </c>
      <c r="O143" s="378">
        <f>+O140-O141-O142</f>
        <v>0</v>
      </c>
      <c r="P143" s="378">
        <f>+P140-P141-P142</f>
        <v>0</v>
      </c>
      <c r="Q143" s="378">
        <f>+Q140-Q141-Q142</f>
        <v>0</v>
      </c>
      <c r="R143" s="378">
        <f>+R140-R141-R142</f>
        <v>0</v>
      </c>
      <c r="S143" s="378">
        <f t="shared" si="27"/>
        <v>0</v>
      </c>
      <c r="T143" s="378">
        <f t="shared" si="27"/>
        <v>0</v>
      </c>
      <c r="U143" s="378">
        <f t="shared" si="27"/>
        <v>0</v>
      </c>
      <c r="V143" s="378">
        <f t="shared" si="27"/>
        <v>0</v>
      </c>
      <c r="W143" s="378">
        <f t="shared" si="27"/>
        <v>0</v>
      </c>
      <c r="X143" s="378">
        <f t="shared" si="27"/>
        <v>0</v>
      </c>
      <c r="Y143" s="378">
        <f t="shared" si="27"/>
        <v>0</v>
      </c>
      <c r="Z143" s="378">
        <f t="shared" si="27"/>
        <v>0</v>
      </c>
      <c r="AA143" s="378">
        <f t="shared" si="27"/>
        <v>0</v>
      </c>
      <c r="AB143" s="378">
        <f t="shared" ref="AB143:AG143" si="28">+AB140-AB141-AB142</f>
        <v>0</v>
      </c>
      <c r="AC143" s="378">
        <f t="shared" si="28"/>
        <v>0</v>
      </c>
      <c r="AD143" s="378">
        <f t="shared" si="28"/>
        <v>0</v>
      </c>
      <c r="AE143" s="378">
        <f t="shared" si="28"/>
        <v>0</v>
      </c>
      <c r="AF143" s="378">
        <f t="shared" si="28"/>
        <v>0</v>
      </c>
      <c r="AG143" s="378">
        <f t="shared" si="28"/>
        <v>0</v>
      </c>
      <c r="AH143" s="81"/>
    </row>
    <row r="144" spans="3:34">
      <c r="C144" s="82"/>
      <c r="D144" s="614"/>
      <c r="E144" s="104"/>
      <c r="F144" s="104"/>
      <c r="G144" s="104"/>
      <c r="H144" s="104"/>
      <c r="I144" s="104"/>
      <c r="J144" s="104"/>
      <c r="K144" s="349"/>
      <c r="L144" s="349"/>
      <c r="M144" s="349"/>
      <c r="N144" s="349"/>
      <c r="O144" s="378"/>
      <c r="P144" s="378"/>
      <c r="Q144" s="378"/>
      <c r="R144" s="378"/>
      <c r="S144" s="378"/>
      <c r="T144" s="378"/>
      <c r="U144" s="378"/>
      <c r="V144" s="378"/>
      <c r="W144" s="378"/>
      <c r="X144" s="378"/>
      <c r="Y144" s="378"/>
      <c r="Z144" s="378"/>
      <c r="AA144" s="378"/>
      <c r="AB144" s="378"/>
      <c r="AC144" s="378"/>
      <c r="AD144" s="378"/>
      <c r="AE144" s="378"/>
      <c r="AF144" s="378"/>
      <c r="AG144" s="378"/>
      <c r="AH144" s="81"/>
    </row>
    <row r="145" spans="3:34">
      <c r="C145" s="82"/>
      <c r="D145" s="591" t="s">
        <v>61</v>
      </c>
      <c r="E145" s="104"/>
      <c r="F145" s="104"/>
      <c r="G145" s="104"/>
      <c r="H145" s="104"/>
      <c r="I145" s="104"/>
      <c r="J145" s="104"/>
      <c r="K145" s="385"/>
      <c r="L145" s="385"/>
      <c r="M145" s="386"/>
      <c r="N145" s="385"/>
      <c r="O145" s="428"/>
      <c r="P145" s="428"/>
      <c r="Q145" s="429"/>
      <c r="R145" s="429"/>
      <c r="S145" s="429"/>
      <c r="T145" s="429"/>
      <c r="U145" s="429"/>
      <c r="V145" s="429"/>
      <c r="W145" s="430"/>
      <c r="X145" s="428"/>
      <c r="Y145" s="429"/>
      <c r="Z145" s="429"/>
      <c r="AA145" s="429"/>
      <c r="AB145" s="430"/>
      <c r="AC145" s="428"/>
      <c r="AD145" s="429"/>
      <c r="AE145" s="429"/>
      <c r="AF145" s="429"/>
      <c r="AG145" s="430"/>
      <c r="AH145" s="81"/>
    </row>
    <row r="146" spans="3:34">
      <c r="C146" s="82"/>
      <c r="D146" s="591" t="s">
        <v>18</v>
      </c>
      <c r="E146" s="104"/>
      <c r="F146" s="104"/>
      <c r="G146" s="104"/>
      <c r="H146" s="104"/>
      <c r="I146" s="104"/>
      <c r="J146" s="104"/>
      <c r="K146" s="393"/>
      <c r="L146" s="393"/>
      <c r="M146" s="394"/>
      <c r="N146" s="393"/>
      <c r="O146" s="434"/>
      <c r="P146" s="434"/>
      <c r="Q146" s="435"/>
      <c r="R146" s="435"/>
      <c r="S146" s="435"/>
      <c r="T146" s="435"/>
      <c r="U146" s="435"/>
      <c r="V146" s="435"/>
      <c r="W146" s="436"/>
      <c r="X146" s="434"/>
      <c r="Y146" s="435"/>
      <c r="Z146" s="435"/>
      <c r="AA146" s="435"/>
      <c r="AB146" s="436"/>
      <c r="AC146" s="434"/>
      <c r="AD146" s="435"/>
      <c r="AE146" s="435"/>
      <c r="AF146" s="435"/>
      <c r="AG146" s="436"/>
      <c r="AH146" s="81"/>
    </row>
    <row r="147" spans="3:34">
      <c r="C147" s="92"/>
      <c r="D147" s="75"/>
      <c r="E147" s="75"/>
      <c r="F147" s="75"/>
      <c r="G147" s="75"/>
      <c r="H147" s="75"/>
      <c r="I147" s="75"/>
      <c r="J147" s="75"/>
      <c r="K147" s="393"/>
      <c r="L147" s="393"/>
      <c r="M147" s="393"/>
      <c r="N147" s="393"/>
      <c r="O147" s="834"/>
      <c r="P147" s="834"/>
      <c r="Q147" s="834"/>
      <c r="R147" s="834"/>
      <c r="S147" s="834"/>
      <c r="T147" s="834"/>
      <c r="U147" s="834"/>
      <c r="V147" s="834"/>
      <c r="W147" s="834"/>
      <c r="X147" s="834"/>
      <c r="Y147" s="834"/>
      <c r="Z147" s="834"/>
      <c r="AA147" s="834"/>
      <c r="AB147" s="834"/>
      <c r="AC147" s="834"/>
      <c r="AD147" s="834"/>
      <c r="AE147" s="834"/>
      <c r="AF147" s="834"/>
      <c r="AG147" s="834"/>
      <c r="AH147" s="94"/>
    </row>
    <row r="148" spans="3:34">
      <c r="K148" s="573"/>
      <c r="L148" s="573"/>
      <c r="M148" s="573"/>
      <c r="N148" s="573"/>
      <c r="O148" s="375"/>
      <c r="P148" s="375"/>
      <c r="Q148" s="375"/>
      <c r="R148" s="375"/>
      <c r="S148" s="375"/>
      <c r="T148" s="375"/>
      <c r="U148" s="375"/>
      <c r="V148" s="375"/>
      <c r="W148" s="375"/>
      <c r="X148" s="375"/>
      <c r="Y148" s="375"/>
      <c r="Z148" s="375"/>
      <c r="AA148" s="375"/>
      <c r="AB148" s="375"/>
      <c r="AC148" s="375"/>
      <c r="AD148" s="375"/>
      <c r="AE148" s="375"/>
      <c r="AF148" s="375"/>
      <c r="AG148" s="375"/>
    </row>
    <row r="149" spans="3:34">
      <c r="C149" s="76"/>
      <c r="D149" s="2283" t="s">
        <v>392</v>
      </c>
      <c r="E149" s="2284"/>
      <c r="F149" s="2284"/>
      <c r="G149" s="2284"/>
      <c r="H149" s="2285"/>
      <c r="I149" s="77"/>
      <c r="J149" s="77"/>
      <c r="K149" s="385"/>
      <c r="L149" s="385"/>
      <c r="M149" s="385"/>
      <c r="N149" s="385"/>
      <c r="O149" s="832"/>
      <c r="P149" s="832"/>
      <c r="Q149" s="832"/>
      <c r="R149" s="832"/>
      <c r="S149" s="832"/>
      <c r="T149" s="832"/>
      <c r="U149" s="832"/>
      <c r="V149" s="832"/>
      <c r="W149" s="832"/>
      <c r="X149" s="832"/>
      <c r="Y149" s="832"/>
      <c r="Z149" s="832"/>
      <c r="AA149" s="832"/>
      <c r="AB149" s="832"/>
      <c r="AC149" s="832"/>
      <c r="AD149" s="832"/>
      <c r="AE149" s="832"/>
      <c r="AF149" s="832"/>
      <c r="AG149" s="832"/>
      <c r="AH149" s="80"/>
    </row>
    <row r="150" spans="3:34">
      <c r="C150" s="82"/>
      <c r="D150" s="647"/>
      <c r="E150" s="647"/>
      <c r="F150" s="647"/>
      <c r="G150" s="647"/>
      <c r="K150" s="349"/>
      <c r="L150" s="349"/>
      <c r="M150" s="349"/>
      <c r="N150" s="349"/>
      <c r="O150" s="378"/>
      <c r="P150" s="378"/>
      <c r="Q150" s="378"/>
      <c r="R150" s="378"/>
      <c r="S150" s="378"/>
      <c r="T150" s="378"/>
      <c r="U150" s="378"/>
      <c r="V150" s="378"/>
      <c r="W150" s="378"/>
      <c r="X150" s="378"/>
      <c r="Y150" s="378"/>
      <c r="Z150" s="378"/>
      <c r="AA150" s="378"/>
      <c r="AB150" s="378"/>
      <c r="AC150" s="378"/>
      <c r="AD150" s="378"/>
      <c r="AE150" s="378"/>
      <c r="AF150" s="378"/>
      <c r="AG150" s="378"/>
      <c r="AH150" s="81"/>
    </row>
    <row r="151" spans="3:34">
      <c r="C151" s="82"/>
      <c r="D151" s="647" t="s">
        <v>68</v>
      </c>
      <c r="E151" s="647"/>
      <c r="F151" s="647"/>
      <c r="G151" s="647"/>
      <c r="K151" s="400"/>
      <c r="L151" s="401"/>
      <c r="M151" s="401"/>
      <c r="N151" s="400"/>
      <c r="O151" s="437"/>
      <c r="P151" s="437"/>
      <c r="Q151" s="438"/>
      <c r="R151" s="438"/>
      <c r="S151" s="438"/>
      <c r="T151" s="438"/>
      <c r="U151" s="438"/>
      <c r="V151" s="438"/>
      <c r="W151" s="439"/>
      <c r="X151" s="437"/>
      <c r="Y151" s="438"/>
      <c r="Z151" s="438"/>
      <c r="AA151" s="438"/>
      <c r="AB151" s="439"/>
      <c r="AC151" s="437"/>
      <c r="AD151" s="438"/>
      <c r="AE151" s="438"/>
      <c r="AF151" s="438"/>
      <c r="AG151" s="439"/>
      <c r="AH151" s="81"/>
    </row>
    <row r="152" spans="3:34">
      <c r="C152" s="82"/>
      <c r="D152" s="647"/>
      <c r="E152" s="647"/>
      <c r="F152" s="647"/>
      <c r="G152" s="647"/>
      <c r="K152" s="349"/>
      <c r="L152" s="349"/>
      <c r="M152" s="349"/>
      <c r="N152" s="349"/>
      <c r="O152" s="835"/>
      <c r="P152" s="835"/>
      <c r="Q152" s="835"/>
      <c r="R152" s="835"/>
      <c r="S152" s="835"/>
      <c r="T152" s="835"/>
      <c r="U152" s="835"/>
      <c r="V152" s="835"/>
      <c r="W152" s="835"/>
      <c r="X152" s="835"/>
      <c r="Y152" s="835"/>
      <c r="Z152" s="835"/>
      <c r="AA152" s="835"/>
      <c r="AB152" s="835"/>
      <c r="AC152" s="835"/>
      <c r="AD152" s="835"/>
      <c r="AE152" s="835"/>
      <c r="AF152" s="835"/>
      <c r="AG152" s="835"/>
      <c r="AH152" s="81"/>
    </row>
    <row r="153" spans="3:34">
      <c r="C153" s="82"/>
      <c r="D153" s="647" t="s">
        <v>26</v>
      </c>
      <c r="E153" s="647"/>
      <c r="F153" s="647"/>
      <c r="G153" s="647"/>
      <c r="K153" s="400"/>
      <c r="L153" s="401"/>
      <c r="M153" s="401"/>
      <c r="N153" s="400"/>
      <c r="O153" s="437"/>
      <c r="P153" s="437"/>
      <c r="Q153" s="438"/>
      <c r="R153" s="438"/>
      <c r="S153" s="438"/>
      <c r="T153" s="438"/>
      <c r="U153" s="438"/>
      <c r="V153" s="438"/>
      <c r="W153" s="439"/>
      <c r="X153" s="437"/>
      <c r="Y153" s="438"/>
      <c r="Z153" s="438"/>
      <c r="AA153" s="438"/>
      <c r="AB153" s="439"/>
      <c r="AC153" s="437"/>
      <c r="AD153" s="438"/>
      <c r="AE153" s="438"/>
      <c r="AF153" s="438"/>
      <c r="AG153" s="439"/>
      <c r="AH153" s="81"/>
    </row>
    <row r="154" spans="3:34">
      <c r="C154" s="82"/>
      <c r="D154" s="647"/>
      <c r="E154" s="647"/>
      <c r="F154" s="647"/>
      <c r="G154" s="647"/>
      <c r="K154" s="349"/>
      <c r="L154" s="349"/>
      <c r="M154" s="349"/>
      <c r="N154" s="349"/>
      <c r="O154" s="835"/>
      <c r="P154" s="835"/>
      <c r="Q154" s="835"/>
      <c r="R154" s="835"/>
      <c r="S154" s="835"/>
      <c r="T154" s="835"/>
      <c r="U154" s="835"/>
      <c r="V154" s="835"/>
      <c r="W154" s="835"/>
      <c r="X154" s="835"/>
      <c r="Y154" s="835"/>
      <c r="Z154" s="835"/>
      <c r="AA154" s="835"/>
      <c r="AB154" s="835"/>
      <c r="AC154" s="835"/>
      <c r="AD154" s="835"/>
      <c r="AE154" s="835"/>
      <c r="AF154" s="835"/>
      <c r="AG154" s="835"/>
      <c r="AH154" s="81"/>
    </row>
    <row r="155" spans="3:34">
      <c r="C155" s="82"/>
      <c r="D155" s="591" t="s">
        <v>23</v>
      </c>
      <c r="K155" s="384"/>
      <c r="L155" s="385"/>
      <c r="M155" s="386"/>
      <c r="N155" s="385"/>
      <c r="O155" s="428"/>
      <c r="P155" s="428"/>
      <c r="Q155" s="429"/>
      <c r="R155" s="429"/>
      <c r="S155" s="429"/>
      <c r="T155" s="429"/>
      <c r="U155" s="429"/>
      <c r="V155" s="429"/>
      <c r="W155" s="430"/>
      <c r="X155" s="428"/>
      <c r="Y155" s="429"/>
      <c r="Z155" s="429"/>
      <c r="AA155" s="429"/>
      <c r="AB155" s="430"/>
      <c r="AC155" s="428"/>
      <c r="AD155" s="429"/>
      <c r="AE155" s="429"/>
      <c r="AF155" s="429"/>
      <c r="AG155" s="430"/>
      <c r="AH155" s="81"/>
    </row>
    <row r="156" spans="3:34">
      <c r="C156" s="833"/>
      <c r="D156" s="591" t="s">
        <v>19</v>
      </c>
      <c r="K156" s="387"/>
      <c r="L156" s="349"/>
      <c r="M156" s="388"/>
      <c r="N156" s="349"/>
      <c r="O156" s="431"/>
      <c r="P156" s="431"/>
      <c r="Q156" s="432"/>
      <c r="R156" s="432"/>
      <c r="S156" s="432"/>
      <c r="T156" s="432"/>
      <c r="U156" s="432"/>
      <c r="V156" s="432"/>
      <c r="W156" s="433"/>
      <c r="X156" s="431"/>
      <c r="Y156" s="432"/>
      <c r="Z156" s="432"/>
      <c r="AA156" s="432"/>
      <c r="AB156" s="433"/>
      <c r="AC156" s="431"/>
      <c r="AD156" s="432"/>
      <c r="AE156" s="432"/>
      <c r="AF156" s="432"/>
      <c r="AG156" s="433"/>
      <c r="AH156" s="81"/>
    </row>
    <row r="157" spans="3:34">
      <c r="C157" s="82"/>
      <c r="D157" s="591" t="s">
        <v>22</v>
      </c>
      <c r="K157" s="392"/>
      <c r="L157" s="393"/>
      <c r="M157" s="394"/>
      <c r="N157" s="393"/>
      <c r="O157" s="434"/>
      <c r="P157" s="434"/>
      <c r="Q157" s="435"/>
      <c r="R157" s="435"/>
      <c r="S157" s="435"/>
      <c r="T157" s="435"/>
      <c r="U157" s="435"/>
      <c r="V157" s="435"/>
      <c r="W157" s="436"/>
      <c r="X157" s="434"/>
      <c r="Y157" s="435"/>
      <c r="Z157" s="435"/>
      <c r="AA157" s="435"/>
      <c r="AB157" s="436"/>
      <c r="AC157" s="434"/>
      <c r="AD157" s="435"/>
      <c r="AE157" s="435"/>
      <c r="AF157" s="435"/>
      <c r="AG157" s="436"/>
      <c r="AH157" s="81"/>
    </row>
    <row r="158" spans="3:34">
      <c r="C158" s="82"/>
      <c r="D158" s="614" t="s">
        <v>24</v>
      </c>
      <c r="E158" s="104"/>
      <c r="F158" s="104"/>
      <c r="G158" s="104"/>
      <c r="H158" s="104"/>
      <c r="I158" s="104"/>
      <c r="J158" s="104"/>
      <c r="K158" s="349">
        <f t="shared" ref="K158:AA158" si="29">+K155-K156-K157</f>
        <v>0</v>
      </c>
      <c r="L158" s="349">
        <f t="shared" si="29"/>
        <v>0</v>
      </c>
      <c r="M158" s="349">
        <f t="shared" si="29"/>
        <v>0</v>
      </c>
      <c r="N158" s="349">
        <f>+N155-N156-N157</f>
        <v>0</v>
      </c>
      <c r="O158" s="378">
        <f>+O155-O156-O157</f>
        <v>0</v>
      </c>
      <c r="P158" s="378">
        <f>+P155-P156-P157</f>
        <v>0</v>
      </c>
      <c r="Q158" s="378">
        <f>+Q155-Q156-Q157</f>
        <v>0</v>
      </c>
      <c r="R158" s="378">
        <f>+R155-R156-R157</f>
        <v>0</v>
      </c>
      <c r="S158" s="378">
        <f t="shared" si="29"/>
        <v>0</v>
      </c>
      <c r="T158" s="378">
        <f t="shared" si="29"/>
        <v>0</v>
      </c>
      <c r="U158" s="378">
        <f t="shared" si="29"/>
        <v>0</v>
      </c>
      <c r="V158" s="378">
        <f t="shared" si="29"/>
        <v>0</v>
      </c>
      <c r="W158" s="378">
        <f t="shared" si="29"/>
        <v>0</v>
      </c>
      <c r="X158" s="378">
        <f t="shared" si="29"/>
        <v>0</v>
      </c>
      <c r="Y158" s="378">
        <f t="shared" si="29"/>
        <v>0</v>
      </c>
      <c r="Z158" s="378">
        <f t="shared" si="29"/>
        <v>0</v>
      </c>
      <c r="AA158" s="378">
        <f t="shared" si="29"/>
        <v>0</v>
      </c>
      <c r="AB158" s="378">
        <f t="shared" ref="AB158:AG158" si="30">+AB155-AB156-AB157</f>
        <v>0</v>
      </c>
      <c r="AC158" s="378">
        <f t="shared" si="30"/>
        <v>0</v>
      </c>
      <c r="AD158" s="378">
        <f t="shared" si="30"/>
        <v>0</v>
      </c>
      <c r="AE158" s="378">
        <f t="shared" si="30"/>
        <v>0</v>
      </c>
      <c r="AF158" s="378">
        <f t="shared" si="30"/>
        <v>0</v>
      </c>
      <c r="AG158" s="378">
        <f t="shared" si="30"/>
        <v>0</v>
      </c>
      <c r="AH158" s="81"/>
    </row>
    <row r="159" spans="3:34">
      <c r="C159" s="82"/>
      <c r="D159" s="614"/>
      <c r="E159" s="104"/>
      <c r="F159" s="104"/>
      <c r="G159" s="104"/>
      <c r="H159" s="104"/>
      <c r="I159" s="104"/>
      <c r="J159" s="104"/>
      <c r="K159" s="349"/>
      <c r="L159" s="349"/>
      <c r="M159" s="349"/>
      <c r="N159" s="349"/>
      <c r="O159" s="378"/>
      <c r="P159" s="378"/>
      <c r="Q159" s="378"/>
      <c r="R159" s="378"/>
      <c r="S159" s="378"/>
      <c r="T159" s="378"/>
      <c r="U159" s="378"/>
      <c r="V159" s="378"/>
      <c r="W159" s="378"/>
      <c r="X159" s="378"/>
      <c r="Y159" s="378"/>
      <c r="Z159" s="378"/>
      <c r="AA159" s="378"/>
      <c r="AB159" s="378"/>
      <c r="AC159" s="378"/>
      <c r="AD159" s="378"/>
      <c r="AE159" s="378"/>
      <c r="AF159" s="378"/>
      <c r="AG159" s="378"/>
      <c r="AH159" s="81"/>
    </row>
    <row r="160" spans="3:34">
      <c r="C160" s="82"/>
      <c r="D160" s="591" t="s">
        <v>61</v>
      </c>
      <c r="E160" s="104"/>
      <c r="F160" s="104"/>
      <c r="G160" s="104"/>
      <c r="H160" s="104"/>
      <c r="I160" s="104"/>
      <c r="J160" s="104"/>
      <c r="K160" s="384"/>
      <c r="L160" s="385"/>
      <c r="M160" s="386"/>
      <c r="N160" s="385"/>
      <c r="O160" s="428"/>
      <c r="P160" s="428"/>
      <c r="Q160" s="429"/>
      <c r="R160" s="429"/>
      <c r="S160" s="429"/>
      <c r="T160" s="429"/>
      <c r="U160" s="429"/>
      <c r="V160" s="429"/>
      <c r="W160" s="430"/>
      <c r="X160" s="428"/>
      <c r="Y160" s="429"/>
      <c r="Z160" s="429"/>
      <c r="AA160" s="429"/>
      <c r="AB160" s="430"/>
      <c r="AC160" s="428"/>
      <c r="AD160" s="429"/>
      <c r="AE160" s="429"/>
      <c r="AF160" s="429"/>
      <c r="AG160" s="430"/>
      <c r="AH160" s="81"/>
    </row>
    <row r="161" spans="3:34">
      <c r="C161" s="82"/>
      <c r="D161" s="591" t="s">
        <v>18</v>
      </c>
      <c r="E161" s="104"/>
      <c r="F161" s="104"/>
      <c r="G161" s="104"/>
      <c r="H161" s="104"/>
      <c r="I161" s="104"/>
      <c r="J161" s="104"/>
      <c r="K161" s="392"/>
      <c r="L161" s="393"/>
      <c r="M161" s="394"/>
      <c r="N161" s="393"/>
      <c r="O161" s="434"/>
      <c r="P161" s="434"/>
      <c r="Q161" s="435"/>
      <c r="R161" s="435"/>
      <c r="S161" s="435"/>
      <c r="T161" s="435"/>
      <c r="U161" s="435"/>
      <c r="V161" s="435"/>
      <c r="W161" s="436"/>
      <c r="X161" s="434"/>
      <c r="Y161" s="435"/>
      <c r="Z161" s="435"/>
      <c r="AA161" s="435"/>
      <c r="AB161" s="436"/>
      <c r="AC161" s="434"/>
      <c r="AD161" s="435"/>
      <c r="AE161" s="435"/>
      <c r="AF161" s="435"/>
      <c r="AG161" s="436"/>
      <c r="AH161" s="81"/>
    </row>
    <row r="162" spans="3:34">
      <c r="C162" s="92"/>
      <c r="D162" s="75"/>
      <c r="E162" s="75"/>
      <c r="F162" s="75"/>
      <c r="G162" s="75"/>
      <c r="H162" s="75"/>
      <c r="I162" s="75"/>
      <c r="J162" s="75"/>
      <c r="K162" s="393"/>
      <c r="L162" s="393"/>
      <c r="M162" s="393"/>
      <c r="N162" s="393"/>
      <c r="O162" s="834"/>
      <c r="P162" s="834"/>
      <c r="Q162" s="834"/>
      <c r="R162" s="834"/>
      <c r="S162" s="834"/>
      <c r="T162" s="834"/>
      <c r="U162" s="834"/>
      <c r="V162" s="834"/>
      <c r="W162" s="834"/>
      <c r="X162" s="834"/>
      <c r="Y162" s="834"/>
      <c r="Z162" s="834"/>
      <c r="AA162" s="834"/>
      <c r="AB162" s="834"/>
      <c r="AC162" s="834"/>
      <c r="AD162" s="834"/>
      <c r="AE162" s="834"/>
      <c r="AF162" s="834"/>
      <c r="AG162" s="834"/>
      <c r="AH162" s="94"/>
    </row>
    <row r="163" spans="3:34">
      <c r="K163" s="573"/>
      <c r="L163" s="573"/>
      <c r="M163" s="573"/>
      <c r="N163" s="573"/>
      <c r="O163" s="375"/>
      <c r="P163" s="375"/>
      <c r="Q163" s="375"/>
      <c r="R163" s="375"/>
      <c r="S163" s="375"/>
      <c r="T163" s="375"/>
      <c r="U163" s="375"/>
      <c r="V163" s="375"/>
      <c r="W163" s="375"/>
      <c r="X163" s="375"/>
      <c r="Y163" s="375"/>
      <c r="Z163" s="375"/>
      <c r="AA163" s="375"/>
      <c r="AB163" s="375"/>
      <c r="AC163" s="375"/>
      <c r="AD163" s="375"/>
      <c r="AE163" s="375"/>
      <c r="AF163" s="375"/>
      <c r="AG163" s="375"/>
    </row>
    <row r="164" spans="3:34">
      <c r="C164" s="76"/>
      <c r="D164" s="2283" t="s">
        <v>285</v>
      </c>
      <c r="E164" s="2284"/>
      <c r="F164" s="2284"/>
      <c r="G164" s="2284"/>
      <c r="H164" s="2285"/>
      <c r="I164" s="77"/>
      <c r="J164" s="77"/>
      <c r="K164" s="385"/>
      <c r="L164" s="385"/>
      <c r="M164" s="385"/>
      <c r="N164" s="385"/>
      <c r="O164" s="832"/>
      <c r="P164" s="832"/>
      <c r="Q164" s="832"/>
      <c r="R164" s="832"/>
      <c r="S164" s="832"/>
      <c r="T164" s="832"/>
      <c r="U164" s="832"/>
      <c r="V164" s="832"/>
      <c r="W164" s="832"/>
      <c r="X164" s="832"/>
      <c r="Y164" s="832"/>
      <c r="Z164" s="832"/>
      <c r="AA164" s="832"/>
      <c r="AB164" s="832"/>
      <c r="AC164" s="832"/>
      <c r="AD164" s="832"/>
      <c r="AE164" s="832"/>
      <c r="AF164" s="832"/>
      <c r="AG164" s="832"/>
      <c r="AH164" s="80"/>
    </row>
    <row r="165" spans="3:34">
      <c r="C165" s="82"/>
      <c r="D165" s="647"/>
      <c r="E165" s="647"/>
      <c r="F165" s="647"/>
      <c r="G165" s="647"/>
      <c r="K165" s="349"/>
      <c r="L165" s="349"/>
      <c r="M165" s="349"/>
      <c r="N165" s="349"/>
      <c r="O165" s="378"/>
      <c r="P165" s="378"/>
      <c r="Q165" s="378"/>
      <c r="R165" s="378"/>
      <c r="S165" s="378"/>
      <c r="T165" s="378"/>
      <c r="U165" s="378"/>
      <c r="V165" s="378"/>
      <c r="W165" s="378"/>
      <c r="X165" s="378"/>
      <c r="Y165" s="378"/>
      <c r="Z165" s="378"/>
      <c r="AA165" s="378"/>
      <c r="AB165" s="378"/>
      <c r="AC165" s="378"/>
      <c r="AD165" s="378"/>
      <c r="AE165" s="378"/>
      <c r="AF165" s="378"/>
      <c r="AG165" s="378"/>
      <c r="AH165" s="81"/>
    </row>
    <row r="166" spans="3:34">
      <c r="C166" s="82"/>
      <c r="D166" s="647" t="s">
        <v>68</v>
      </c>
      <c r="E166" s="647"/>
      <c r="F166" s="647"/>
      <c r="G166" s="647"/>
      <c r="K166" s="400"/>
      <c r="L166" s="401"/>
      <c r="M166" s="401"/>
      <c r="N166" s="400"/>
      <c r="O166" s="437"/>
      <c r="P166" s="437"/>
      <c r="Q166" s="438"/>
      <c r="R166" s="438"/>
      <c r="S166" s="438"/>
      <c r="T166" s="438"/>
      <c r="U166" s="438"/>
      <c r="V166" s="438"/>
      <c r="W166" s="439"/>
      <c r="X166" s="437"/>
      <c r="Y166" s="438"/>
      <c r="Z166" s="438"/>
      <c r="AA166" s="438"/>
      <c r="AB166" s="439"/>
      <c r="AC166" s="437"/>
      <c r="AD166" s="438"/>
      <c r="AE166" s="438"/>
      <c r="AF166" s="438"/>
      <c r="AG166" s="439"/>
      <c r="AH166" s="81"/>
    </row>
    <row r="167" spans="3:34">
      <c r="C167" s="82"/>
      <c r="D167" s="647"/>
      <c r="E167" s="647"/>
      <c r="F167" s="647"/>
      <c r="G167" s="647"/>
      <c r="K167" s="349"/>
      <c r="L167" s="349"/>
      <c r="M167" s="349"/>
      <c r="N167" s="349"/>
      <c r="O167" s="835"/>
      <c r="P167" s="835"/>
      <c r="Q167" s="835"/>
      <c r="R167" s="835"/>
      <c r="S167" s="835"/>
      <c r="T167" s="835"/>
      <c r="U167" s="835"/>
      <c r="V167" s="835"/>
      <c r="W167" s="835"/>
      <c r="X167" s="835"/>
      <c r="Y167" s="835"/>
      <c r="Z167" s="835"/>
      <c r="AA167" s="835"/>
      <c r="AB167" s="835"/>
      <c r="AC167" s="835"/>
      <c r="AD167" s="835"/>
      <c r="AE167" s="835"/>
      <c r="AF167" s="835"/>
      <c r="AG167" s="835"/>
      <c r="AH167" s="81"/>
    </row>
    <row r="168" spans="3:34">
      <c r="C168" s="82"/>
      <c r="D168" s="647" t="s">
        <v>26</v>
      </c>
      <c r="E168" s="647"/>
      <c r="F168" s="647"/>
      <c r="G168" s="647"/>
      <c r="K168" s="400"/>
      <c r="L168" s="401"/>
      <c r="M168" s="401"/>
      <c r="N168" s="400"/>
      <c r="O168" s="437"/>
      <c r="P168" s="437"/>
      <c r="Q168" s="438"/>
      <c r="R168" s="438"/>
      <c r="S168" s="438"/>
      <c r="T168" s="438"/>
      <c r="U168" s="438"/>
      <c r="V168" s="438"/>
      <c r="W168" s="439"/>
      <c r="X168" s="437"/>
      <c r="Y168" s="438"/>
      <c r="Z168" s="438"/>
      <c r="AA168" s="438"/>
      <c r="AB168" s="439"/>
      <c r="AC168" s="437"/>
      <c r="AD168" s="438"/>
      <c r="AE168" s="438"/>
      <c r="AF168" s="438"/>
      <c r="AG168" s="439"/>
      <c r="AH168" s="81"/>
    </row>
    <row r="169" spans="3:34">
      <c r="C169" s="82"/>
      <c r="D169" s="647"/>
      <c r="E169" s="647"/>
      <c r="F169" s="647"/>
      <c r="G169" s="647"/>
      <c r="K169" s="349"/>
      <c r="L169" s="349"/>
      <c r="M169" s="349"/>
      <c r="N169" s="349"/>
      <c r="O169" s="835"/>
      <c r="P169" s="835"/>
      <c r="Q169" s="835"/>
      <c r="R169" s="835"/>
      <c r="S169" s="835"/>
      <c r="T169" s="835"/>
      <c r="U169" s="835"/>
      <c r="V169" s="835"/>
      <c r="W169" s="835"/>
      <c r="X169" s="835"/>
      <c r="Y169" s="835"/>
      <c r="Z169" s="835"/>
      <c r="AA169" s="835"/>
      <c r="AB169" s="835"/>
      <c r="AC169" s="835"/>
      <c r="AD169" s="835"/>
      <c r="AE169" s="835"/>
      <c r="AF169" s="835"/>
      <c r="AG169" s="835"/>
      <c r="AH169" s="81"/>
    </row>
    <row r="170" spans="3:34">
      <c r="C170" s="82"/>
      <c r="D170" s="591" t="s">
        <v>23</v>
      </c>
      <c r="K170" s="384"/>
      <c r="L170" s="385"/>
      <c r="M170" s="386"/>
      <c r="N170" s="385"/>
      <c r="O170" s="428"/>
      <c r="P170" s="428"/>
      <c r="Q170" s="429"/>
      <c r="R170" s="429"/>
      <c r="S170" s="429"/>
      <c r="T170" s="429"/>
      <c r="U170" s="429"/>
      <c r="V170" s="429"/>
      <c r="W170" s="430"/>
      <c r="X170" s="428"/>
      <c r="Y170" s="429"/>
      <c r="Z170" s="429"/>
      <c r="AA170" s="429"/>
      <c r="AB170" s="430"/>
      <c r="AC170" s="428"/>
      <c r="AD170" s="429"/>
      <c r="AE170" s="429"/>
      <c r="AF170" s="429"/>
      <c r="AG170" s="430"/>
      <c r="AH170" s="81"/>
    </row>
    <row r="171" spans="3:34">
      <c r="C171" s="833"/>
      <c r="D171" s="591" t="s">
        <v>19</v>
      </c>
      <c r="K171" s="387"/>
      <c r="L171" s="349"/>
      <c r="M171" s="388"/>
      <c r="N171" s="349"/>
      <c r="O171" s="431"/>
      <c r="P171" s="431"/>
      <c r="Q171" s="432"/>
      <c r="R171" s="432"/>
      <c r="S171" s="432"/>
      <c r="T171" s="432"/>
      <c r="U171" s="432"/>
      <c r="V171" s="432"/>
      <c r="W171" s="433"/>
      <c r="X171" s="431"/>
      <c r="Y171" s="432"/>
      <c r="Z171" s="432"/>
      <c r="AA171" s="432"/>
      <c r="AB171" s="433"/>
      <c r="AC171" s="431"/>
      <c r="AD171" s="432"/>
      <c r="AE171" s="432"/>
      <c r="AF171" s="432"/>
      <c r="AG171" s="433"/>
      <c r="AH171" s="81"/>
    </row>
    <row r="172" spans="3:34">
      <c r="C172" s="82"/>
      <c r="D172" s="591" t="s">
        <v>22</v>
      </c>
      <c r="K172" s="392"/>
      <c r="L172" s="393"/>
      <c r="M172" s="394"/>
      <c r="N172" s="393"/>
      <c r="O172" s="434"/>
      <c r="P172" s="434"/>
      <c r="Q172" s="435"/>
      <c r="R172" s="435"/>
      <c r="S172" s="435"/>
      <c r="T172" s="435"/>
      <c r="U172" s="435"/>
      <c r="V172" s="435"/>
      <c r="W172" s="436"/>
      <c r="X172" s="434"/>
      <c r="Y172" s="435"/>
      <c r="Z172" s="435"/>
      <c r="AA172" s="435"/>
      <c r="AB172" s="436"/>
      <c r="AC172" s="434"/>
      <c r="AD172" s="435"/>
      <c r="AE172" s="435"/>
      <c r="AF172" s="435"/>
      <c r="AG172" s="436"/>
      <c r="AH172" s="81"/>
    </row>
    <row r="173" spans="3:34">
      <c r="C173" s="82"/>
      <c r="D173" s="614" t="s">
        <v>24</v>
      </c>
      <c r="E173" s="104"/>
      <c r="F173" s="104"/>
      <c r="G173" s="104"/>
      <c r="H173" s="104"/>
      <c r="I173" s="104"/>
      <c r="J173" s="104"/>
      <c r="K173" s="349">
        <f t="shared" ref="K173:AA173" si="31">+K170-K171-K172</f>
        <v>0</v>
      </c>
      <c r="L173" s="349">
        <f t="shared" si="31"/>
        <v>0</v>
      </c>
      <c r="M173" s="349">
        <f t="shared" si="31"/>
        <v>0</v>
      </c>
      <c r="N173" s="349">
        <f>+N170-N171-N172</f>
        <v>0</v>
      </c>
      <c r="O173" s="378">
        <f>+O170-O171-O172</f>
        <v>0</v>
      </c>
      <c r="P173" s="378">
        <f>+P170-P171-P172</f>
        <v>0</v>
      </c>
      <c r="Q173" s="378">
        <f>+Q170-Q171-Q172</f>
        <v>0</v>
      </c>
      <c r="R173" s="378">
        <f>+R170-R171-R172</f>
        <v>0</v>
      </c>
      <c r="S173" s="378">
        <f t="shared" si="31"/>
        <v>0</v>
      </c>
      <c r="T173" s="378">
        <f t="shared" si="31"/>
        <v>0</v>
      </c>
      <c r="U173" s="378">
        <f t="shared" si="31"/>
        <v>0</v>
      </c>
      <c r="V173" s="378">
        <f t="shared" si="31"/>
        <v>0</v>
      </c>
      <c r="W173" s="378">
        <f t="shared" si="31"/>
        <v>0</v>
      </c>
      <c r="X173" s="378">
        <f t="shared" si="31"/>
        <v>0</v>
      </c>
      <c r="Y173" s="378">
        <f t="shared" si="31"/>
        <v>0</v>
      </c>
      <c r="Z173" s="378">
        <f t="shared" si="31"/>
        <v>0</v>
      </c>
      <c r="AA173" s="378">
        <f t="shared" si="31"/>
        <v>0</v>
      </c>
      <c r="AB173" s="378">
        <f t="shared" ref="AB173:AG173" si="32">+AB170-AB171-AB172</f>
        <v>0</v>
      </c>
      <c r="AC173" s="378">
        <f t="shared" si="32"/>
        <v>0</v>
      </c>
      <c r="AD173" s="378">
        <f t="shared" si="32"/>
        <v>0</v>
      </c>
      <c r="AE173" s="378">
        <f t="shared" si="32"/>
        <v>0</v>
      </c>
      <c r="AF173" s="378">
        <f t="shared" si="32"/>
        <v>0</v>
      </c>
      <c r="AG173" s="378">
        <f t="shared" si="32"/>
        <v>0</v>
      </c>
      <c r="AH173" s="81"/>
    </row>
    <row r="174" spans="3:34">
      <c r="C174" s="82"/>
      <c r="D174" s="614"/>
      <c r="E174" s="104"/>
      <c r="F174" s="104"/>
      <c r="G174" s="104"/>
      <c r="H174" s="104"/>
      <c r="I174" s="104"/>
      <c r="J174" s="104"/>
      <c r="K174" s="349"/>
      <c r="L174" s="349"/>
      <c r="M174" s="349"/>
      <c r="N174" s="349"/>
      <c r="O174" s="378"/>
      <c r="P174" s="378"/>
      <c r="Q174" s="378"/>
      <c r="R174" s="378"/>
      <c r="S174" s="378"/>
      <c r="T174" s="378"/>
      <c r="U174" s="378"/>
      <c r="V174" s="378"/>
      <c r="W174" s="378"/>
      <c r="X174" s="378"/>
      <c r="Y174" s="378"/>
      <c r="Z174" s="378"/>
      <c r="AA174" s="378"/>
      <c r="AB174" s="378"/>
      <c r="AC174" s="378"/>
      <c r="AD174" s="378"/>
      <c r="AE174" s="378"/>
      <c r="AF174" s="378"/>
      <c r="AG174" s="378"/>
      <c r="AH174" s="81"/>
    </row>
    <row r="175" spans="3:34">
      <c r="C175" s="82"/>
      <c r="D175" s="591" t="s">
        <v>61</v>
      </c>
      <c r="E175" s="104"/>
      <c r="F175" s="104"/>
      <c r="G175" s="104"/>
      <c r="H175" s="104"/>
      <c r="I175" s="104"/>
      <c r="J175" s="104"/>
      <c r="K175" s="385"/>
      <c r="L175" s="385"/>
      <c r="M175" s="386"/>
      <c r="N175" s="385"/>
      <c r="O175" s="428"/>
      <c r="P175" s="428"/>
      <c r="Q175" s="429"/>
      <c r="R175" s="429"/>
      <c r="S175" s="429"/>
      <c r="T175" s="429"/>
      <c r="U175" s="429"/>
      <c r="V175" s="429"/>
      <c r="W175" s="430"/>
      <c r="X175" s="428"/>
      <c r="Y175" s="429"/>
      <c r="Z175" s="429"/>
      <c r="AA175" s="429"/>
      <c r="AB175" s="430"/>
      <c r="AC175" s="428"/>
      <c r="AD175" s="429"/>
      <c r="AE175" s="429"/>
      <c r="AF175" s="429"/>
      <c r="AG175" s="430"/>
      <c r="AH175" s="81"/>
    </row>
    <row r="176" spans="3:34">
      <c r="C176" s="82"/>
      <c r="D176" s="591" t="s">
        <v>18</v>
      </c>
      <c r="E176" s="104"/>
      <c r="F176" s="104"/>
      <c r="G176" s="104"/>
      <c r="H176" s="104"/>
      <c r="I176" s="104"/>
      <c r="J176" s="104"/>
      <c r="K176" s="393"/>
      <c r="L176" s="393"/>
      <c r="M176" s="394"/>
      <c r="N176" s="393"/>
      <c r="O176" s="434"/>
      <c r="P176" s="434"/>
      <c r="Q176" s="435"/>
      <c r="R176" s="435"/>
      <c r="S176" s="435"/>
      <c r="T176" s="435"/>
      <c r="U176" s="435"/>
      <c r="V176" s="435"/>
      <c r="W176" s="436"/>
      <c r="X176" s="434"/>
      <c r="Y176" s="435"/>
      <c r="Z176" s="435"/>
      <c r="AA176" s="435"/>
      <c r="AB176" s="436"/>
      <c r="AC176" s="434"/>
      <c r="AD176" s="435"/>
      <c r="AE176" s="435"/>
      <c r="AF176" s="435"/>
      <c r="AG176" s="436"/>
      <c r="AH176" s="81"/>
    </row>
    <row r="177" spans="3:34">
      <c r="C177" s="92"/>
      <c r="D177" s="75"/>
      <c r="E177" s="75"/>
      <c r="F177" s="75"/>
      <c r="G177" s="75"/>
      <c r="H177" s="75"/>
      <c r="I177" s="75"/>
      <c r="J177" s="75"/>
      <c r="K177" s="393"/>
      <c r="L177" s="393"/>
      <c r="M177" s="393"/>
      <c r="N177" s="393"/>
      <c r="O177" s="834"/>
      <c r="P177" s="834"/>
      <c r="Q177" s="834"/>
      <c r="R177" s="834"/>
      <c r="S177" s="834"/>
      <c r="T177" s="834"/>
      <c r="U177" s="834"/>
      <c r="V177" s="834"/>
      <c r="W177" s="834"/>
      <c r="X177" s="834"/>
      <c r="Y177" s="834"/>
      <c r="Z177" s="834"/>
      <c r="AA177" s="834"/>
      <c r="AB177" s="834"/>
      <c r="AC177" s="834"/>
      <c r="AD177" s="834"/>
      <c r="AE177" s="834"/>
      <c r="AF177" s="834"/>
      <c r="AG177" s="834"/>
      <c r="AH177" s="94"/>
    </row>
    <row r="178" spans="3:34">
      <c r="K178" s="573"/>
      <c r="L178" s="573"/>
      <c r="M178" s="573"/>
      <c r="N178" s="349"/>
      <c r="O178" s="378"/>
      <c r="P178" s="378"/>
      <c r="Q178" s="378"/>
      <c r="R178" s="378"/>
      <c r="S178" s="378"/>
      <c r="T178" s="378"/>
      <c r="U178" s="378"/>
      <c r="V178" s="378"/>
      <c r="W178" s="378"/>
      <c r="X178" s="378"/>
      <c r="Y178" s="378"/>
      <c r="Z178" s="378"/>
      <c r="AA178" s="378"/>
      <c r="AB178" s="378"/>
      <c r="AC178" s="378"/>
      <c r="AD178" s="378"/>
      <c r="AE178" s="378"/>
      <c r="AF178" s="378"/>
      <c r="AG178" s="378"/>
    </row>
    <row r="179" spans="3:34">
      <c r="C179" s="76"/>
      <c r="D179" s="2283" t="s">
        <v>286</v>
      </c>
      <c r="E179" s="2284"/>
      <c r="F179" s="2284"/>
      <c r="G179" s="2284"/>
      <c r="H179" s="2285"/>
      <c r="I179" s="77"/>
      <c r="J179" s="77"/>
      <c r="K179" s="385"/>
      <c r="L179" s="385"/>
      <c r="M179" s="385"/>
      <c r="N179" s="385"/>
      <c r="O179" s="832"/>
      <c r="P179" s="832"/>
      <c r="Q179" s="832"/>
      <c r="R179" s="832"/>
      <c r="S179" s="832"/>
      <c r="T179" s="832"/>
      <c r="U179" s="832"/>
      <c r="V179" s="832"/>
      <c r="W179" s="832"/>
      <c r="X179" s="832"/>
      <c r="Y179" s="832"/>
      <c r="Z179" s="832"/>
      <c r="AA179" s="832"/>
      <c r="AB179" s="832"/>
      <c r="AC179" s="832"/>
      <c r="AD179" s="832"/>
      <c r="AE179" s="832"/>
      <c r="AF179" s="832"/>
      <c r="AG179" s="832"/>
      <c r="AH179" s="80"/>
    </row>
    <row r="180" spans="3:34">
      <c r="C180" s="82"/>
      <c r="D180" s="647"/>
      <c r="E180" s="647"/>
      <c r="F180" s="647"/>
      <c r="G180" s="647"/>
      <c r="K180" s="349"/>
      <c r="L180" s="349"/>
      <c r="M180" s="349"/>
      <c r="N180" s="349"/>
      <c r="O180" s="378"/>
      <c r="P180" s="378"/>
      <c r="Q180" s="378"/>
      <c r="R180" s="378"/>
      <c r="S180" s="378"/>
      <c r="T180" s="378"/>
      <c r="U180" s="378"/>
      <c r="V180" s="378"/>
      <c r="W180" s="378"/>
      <c r="X180" s="378"/>
      <c r="Y180" s="378"/>
      <c r="Z180" s="378"/>
      <c r="AA180" s="378"/>
      <c r="AB180" s="378"/>
      <c r="AC180" s="378"/>
      <c r="AD180" s="378"/>
      <c r="AE180" s="378"/>
      <c r="AF180" s="378"/>
      <c r="AG180" s="378"/>
      <c r="AH180" s="81"/>
    </row>
    <row r="181" spans="3:34">
      <c r="C181" s="82"/>
      <c r="D181" s="647" t="s">
        <v>68</v>
      </c>
      <c r="E181" s="647"/>
      <c r="F181" s="647"/>
      <c r="G181" s="647"/>
      <c r="K181" s="400"/>
      <c r="L181" s="401"/>
      <c r="M181" s="401"/>
      <c r="N181" s="400"/>
      <c r="O181" s="437"/>
      <c r="P181" s="437"/>
      <c r="Q181" s="438"/>
      <c r="R181" s="438"/>
      <c r="S181" s="438"/>
      <c r="T181" s="438"/>
      <c r="U181" s="438"/>
      <c r="V181" s="438"/>
      <c r="W181" s="439"/>
      <c r="X181" s="437"/>
      <c r="Y181" s="438"/>
      <c r="Z181" s="438"/>
      <c r="AA181" s="438"/>
      <c r="AB181" s="439"/>
      <c r="AC181" s="437"/>
      <c r="AD181" s="438"/>
      <c r="AE181" s="438"/>
      <c r="AF181" s="438"/>
      <c r="AG181" s="439"/>
      <c r="AH181" s="81"/>
    </row>
    <row r="182" spans="3:34">
      <c r="C182" s="82"/>
      <c r="D182" s="647"/>
      <c r="E182" s="647"/>
      <c r="F182" s="647"/>
      <c r="G182" s="647"/>
      <c r="K182" s="349"/>
      <c r="L182" s="349"/>
      <c r="M182" s="349"/>
      <c r="N182" s="349"/>
      <c r="O182" s="835"/>
      <c r="P182" s="835"/>
      <c r="Q182" s="835"/>
      <c r="R182" s="835"/>
      <c r="S182" s="835"/>
      <c r="T182" s="835"/>
      <c r="U182" s="835"/>
      <c r="V182" s="835"/>
      <c r="W182" s="835"/>
      <c r="X182" s="835"/>
      <c r="Y182" s="835"/>
      <c r="Z182" s="835"/>
      <c r="AA182" s="835"/>
      <c r="AB182" s="835"/>
      <c r="AC182" s="835"/>
      <c r="AD182" s="835"/>
      <c r="AE182" s="835"/>
      <c r="AF182" s="835"/>
      <c r="AG182" s="835"/>
      <c r="AH182" s="81"/>
    </row>
    <row r="183" spans="3:34">
      <c r="C183" s="82"/>
      <c r="D183" s="647" t="s">
        <v>26</v>
      </c>
      <c r="E183" s="647"/>
      <c r="F183" s="647"/>
      <c r="G183" s="647"/>
      <c r="K183" s="400"/>
      <c r="L183" s="401"/>
      <c r="M183" s="401"/>
      <c r="N183" s="400"/>
      <c r="O183" s="437"/>
      <c r="P183" s="437"/>
      <c r="Q183" s="438"/>
      <c r="R183" s="438"/>
      <c r="S183" s="438"/>
      <c r="T183" s="438"/>
      <c r="U183" s="438"/>
      <c r="V183" s="438"/>
      <c r="W183" s="439"/>
      <c r="X183" s="437"/>
      <c r="Y183" s="438"/>
      <c r="Z183" s="438"/>
      <c r="AA183" s="438"/>
      <c r="AB183" s="439"/>
      <c r="AC183" s="437"/>
      <c r="AD183" s="438"/>
      <c r="AE183" s="438"/>
      <c r="AF183" s="438"/>
      <c r="AG183" s="439"/>
      <c r="AH183" s="81"/>
    </row>
    <row r="184" spans="3:34">
      <c r="C184" s="82"/>
      <c r="D184" s="647"/>
      <c r="E184" s="647"/>
      <c r="F184" s="647"/>
      <c r="G184" s="647"/>
      <c r="K184" s="349"/>
      <c r="L184" s="349"/>
      <c r="M184" s="349"/>
      <c r="N184" s="349"/>
      <c r="O184" s="835"/>
      <c r="P184" s="835"/>
      <c r="Q184" s="835"/>
      <c r="R184" s="835"/>
      <c r="S184" s="835"/>
      <c r="T184" s="835"/>
      <c r="U184" s="835"/>
      <c r="V184" s="835"/>
      <c r="W184" s="835"/>
      <c r="X184" s="835"/>
      <c r="Y184" s="835"/>
      <c r="Z184" s="835"/>
      <c r="AA184" s="835"/>
      <c r="AB184" s="835"/>
      <c r="AC184" s="835"/>
      <c r="AD184" s="835"/>
      <c r="AE184" s="835"/>
      <c r="AF184" s="835"/>
      <c r="AG184" s="835"/>
      <c r="AH184" s="81"/>
    </row>
    <row r="185" spans="3:34">
      <c r="C185" s="82"/>
      <c r="D185" s="591" t="s">
        <v>23</v>
      </c>
      <c r="K185" s="384"/>
      <c r="L185" s="385"/>
      <c r="M185" s="386"/>
      <c r="N185" s="385"/>
      <c r="O185" s="428"/>
      <c r="P185" s="428"/>
      <c r="Q185" s="429"/>
      <c r="R185" s="429"/>
      <c r="S185" s="429"/>
      <c r="T185" s="429"/>
      <c r="U185" s="429"/>
      <c r="V185" s="429"/>
      <c r="W185" s="430"/>
      <c r="X185" s="428"/>
      <c r="Y185" s="429"/>
      <c r="Z185" s="429"/>
      <c r="AA185" s="429"/>
      <c r="AB185" s="430"/>
      <c r="AC185" s="428"/>
      <c r="AD185" s="429"/>
      <c r="AE185" s="429"/>
      <c r="AF185" s="429"/>
      <c r="AG185" s="430"/>
      <c r="AH185" s="81"/>
    </row>
    <row r="186" spans="3:34">
      <c r="C186" s="833"/>
      <c r="D186" s="591" t="s">
        <v>19</v>
      </c>
      <c r="K186" s="387"/>
      <c r="L186" s="349"/>
      <c r="M186" s="388"/>
      <c r="N186" s="349"/>
      <c r="O186" s="431"/>
      <c r="P186" s="431"/>
      <c r="Q186" s="432"/>
      <c r="R186" s="432"/>
      <c r="S186" s="432"/>
      <c r="T186" s="432"/>
      <c r="U186" s="432"/>
      <c r="V186" s="432"/>
      <c r="W186" s="433"/>
      <c r="X186" s="431"/>
      <c r="Y186" s="432"/>
      <c r="Z186" s="432"/>
      <c r="AA186" s="432"/>
      <c r="AB186" s="433"/>
      <c r="AC186" s="431"/>
      <c r="AD186" s="432"/>
      <c r="AE186" s="432"/>
      <c r="AF186" s="432"/>
      <c r="AG186" s="433"/>
      <c r="AH186" s="81"/>
    </row>
    <row r="187" spans="3:34">
      <c r="C187" s="82"/>
      <c r="D187" s="591" t="s">
        <v>22</v>
      </c>
      <c r="K187" s="392"/>
      <c r="L187" s="393"/>
      <c r="M187" s="394"/>
      <c r="N187" s="393"/>
      <c r="O187" s="434"/>
      <c r="P187" s="434"/>
      <c r="Q187" s="435"/>
      <c r="R187" s="435"/>
      <c r="S187" s="435"/>
      <c r="T187" s="435"/>
      <c r="U187" s="435"/>
      <c r="V187" s="435"/>
      <c r="W187" s="436"/>
      <c r="X187" s="434"/>
      <c r="Y187" s="435"/>
      <c r="Z187" s="435"/>
      <c r="AA187" s="435"/>
      <c r="AB187" s="436"/>
      <c r="AC187" s="434"/>
      <c r="AD187" s="435"/>
      <c r="AE187" s="435"/>
      <c r="AF187" s="435"/>
      <c r="AG187" s="436"/>
      <c r="AH187" s="81"/>
    </row>
    <row r="188" spans="3:34">
      <c r="C188" s="82"/>
      <c r="D188" s="614" t="s">
        <v>24</v>
      </c>
      <c r="E188" s="104"/>
      <c r="F188" s="104"/>
      <c r="G188" s="104"/>
      <c r="H188" s="104"/>
      <c r="I188" s="104"/>
      <c r="J188" s="104"/>
      <c r="K188" s="349">
        <f t="shared" ref="K188:AA188" si="33">+K185-K186-K187</f>
        <v>0</v>
      </c>
      <c r="L188" s="349">
        <f t="shared" si="33"/>
        <v>0</v>
      </c>
      <c r="M188" s="349">
        <f t="shared" si="33"/>
        <v>0</v>
      </c>
      <c r="N188" s="349">
        <f>+N185-N186-N187</f>
        <v>0</v>
      </c>
      <c r="O188" s="378">
        <f>+O185-O186-O187</f>
        <v>0</v>
      </c>
      <c r="P188" s="378">
        <f>+P185-P186-P187</f>
        <v>0</v>
      </c>
      <c r="Q188" s="378">
        <f>+Q185-Q186-Q187</f>
        <v>0</v>
      </c>
      <c r="R188" s="378">
        <f>+R185-R186-R187</f>
        <v>0</v>
      </c>
      <c r="S188" s="378">
        <f t="shared" si="33"/>
        <v>0</v>
      </c>
      <c r="T188" s="378">
        <f t="shared" si="33"/>
        <v>0</v>
      </c>
      <c r="U188" s="378">
        <f t="shared" si="33"/>
        <v>0</v>
      </c>
      <c r="V188" s="378">
        <f t="shared" si="33"/>
        <v>0</v>
      </c>
      <c r="W188" s="378">
        <f t="shared" si="33"/>
        <v>0</v>
      </c>
      <c r="X188" s="378">
        <f t="shared" si="33"/>
        <v>0</v>
      </c>
      <c r="Y188" s="378">
        <f t="shared" si="33"/>
        <v>0</v>
      </c>
      <c r="Z188" s="378">
        <f t="shared" si="33"/>
        <v>0</v>
      </c>
      <c r="AA188" s="378">
        <f t="shared" si="33"/>
        <v>0</v>
      </c>
      <c r="AB188" s="378">
        <f t="shared" ref="AB188:AG188" si="34">+AB185-AB186-AB187</f>
        <v>0</v>
      </c>
      <c r="AC188" s="378">
        <f t="shared" si="34"/>
        <v>0</v>
      </c>
      <c r="AD188" s="378">
        <f t="shared" si="34"/>
        <v>0</v>
      </c>
      <c r="AE188" s="378">
        <f t="shared" si="34"/>
        <v>0</v>
      </c>
      <c r="AF188" s="378">
        <f t="shared" si="34"/>
        <v>0</v>
      </c>
      <c r="AG188" s="378">
        <f t="shared" si="34"/>
        <v>0</v>
      </c>
      <c r="AH188" s="81"/>
    </row>
    <row r="189" spans="3:34">
      <c r="C189" s="82"/>
      <c r="D189" s="614"/>
      <c r="E189" s="104"/>
      <c r="F189" s="104"/>
      <c r="G189" s="104"/>
      <c r="H189" s="104"/>
      <c r="I189" s="104"/>
      <c r="J189" s="104"/>
      <c r="K189" s="349"/>
      <c r="L189" s="349"/>
      <c r="M189" s="349"/>
      <c r="N189" s="349"/>
      <c r="O189" s="378"/>
      <c r="P189" s="378"/>
      <c r="Q189" s="378"/>
      <c r="R189" s="378"/>
      <c r="S189" s="378"/>
      <c r="T189" s="378"/>
      <c r="U189" s="378"/>
      <c r="V189" s="378"/>
      <c r="W189" s="378"/>
      <c r="X189" s="378"/>
      <c r="Y189" s="378"/>
      <c r="Z189" s="378"/>
      <c r="AA189" s="378"/>
      <c r="AB189" s="378"/>
      <c r="AC189" s="378"/>
      <c r="AD189" s="378"/>
      <c r="AE189" s="378"/>
      <c r="AF189" s="378"/>
      <c r="AG189" s="378"/>
      <c r="AH189" s="81"/>
    </row>
    <row r="190" spans="3:34">
      <c r="C190" s="82"/>
      <c r="D190" s="591" t="s">
        <v>61</v>
      </c>
      <c r="E190" s="104"/>
      <c r="F190" s="104"/>
      <c r="G190" s="104"/>
      <c r="H190" s="104"/>
      <c r="I190" s="104"/>
      <c r="J190" s="104"/>
      <c r="K190" s="384"/>
      <c r="L190" s="385"/>
      <c r="M190" s="386"/>
      <c r="N190" s="385"/>
      <c r="O190" s="428"/>
      <c r="P190" s="428"/>
      <c r="Q190" s="429"/>
      <c r="R190" s="429"/>
      <c r="S190" s="429"/>
      <c r="T190" s="429"/>
      <c r="U190" s="429"/>
      <c r="V190" s="429"/>
      <c r="W190" s="430"/>
      <c r="X190" s="428"/>
      <c r="Y190" s="429"/>
      <c r="Z190" s="429"/>
      <c r="AA190" s="429"/>
      <c r="AB190" s="430"/>
      <c r="AC190" s="428"/>
      <c r="AD190" s="429"/>
      <c r="AE190" s="429"/>
      <c r="AF190" s="429"/>
      <c r="AG190" s="430"/>
      <c r="AH190" s="81"/>
    </row>
    <row r="191" spans="3:34">
      <c r="C191" s="82"/>
      <c r="D191" s="591" t="s">
        <v>18</v>
      </c>
      <c r="E191" s="104"/>
      <c r="F191" s="104"/>
      <c r="G191" s="104"/>
      <c r="H191" s="104"/>
      <c r="I191" s="104"/>
      <c r="J191" s="104"/>
      <c r="K191" s="392"/>
      <c r="L191" s="393"/>
      <c r="M191" s="394"/>
      <c r="N191" s="393"/>
      <c r="O191" s="434"/>
      <c r="P191" s="434"/>
      <c r="Q191" s="435"/>
      <c r="R191" s="435"/>
      <c r="S191" s="435"/>
      <c r="T191" s="435"/>
      <c r="U191" s="435"/>
      <c r="V191" s="435"/>
      <c r="W191" s="436"/>
      <c r="X191" s="434"/>
      <c r="Y191" s="435"/>
      <c r="Z191" s="435"/>
      <c r="AA191" s="435"/>
      <c r="AB191" s="436"/>
      <c r="AC191" s="434"/>
      <c r="AD191" s="435"/>
      <c r="AE191" s="435"/>
      <c r="AF191" s="435"/>
      <c r="AG191" s="436"/>
      <c r="AH191" s="81"/>
    </row>
    <row r="192" spans="3:34">
      <c r="C192" s="92"/>
      <c r="D192" s="75"/>
      <c r="E192" s="75"/>
      <c r="F192" s="75"/>
      <c r="G192" s="75"/>
      <c r="H192" s="75"/>
      <c r="I192" s="75"/>
      <c r="J192" s="75"/>
      <c r="K192" s="393"/>
      <c r="L192" s="393"/>
      <c r="M192" s="393"/>
      <c r="N192" s="393"/>
      <c r="O192" s="834"/>
      <c r="P192" s="834"/>
      <c r="Q192" s="834"/>
      <c r="R192" s="834"/>
      <c r="S192" s="834"/>
      <c r="T192" s="834"/>
      <c r="U192" s="834"/>
      <c r="V192" s="834"/>
      <c r="W192" s="834"/>
      <c r="X192" s="834"/>
      <c r="Y192" s="834"/>
      <c r="Z192" s="834"/>
      <c r="AA192" s="834"/>
      <c r="AB192" s="834"/>
      <c r="AC192" s="834"/>
      <c r="AD192" s="834"/>
      <c r="AE192" s="834"/>
      <c r="AF192" s="834"/>
      <c r="AG192" s="834"/>
      <c r="AH192" s="94"/>
    </row>
    <row r="193" spans="3:34">
      <c r="K193" s="573"/>
      <c r="L193" s="573"/>
      <c r="M193" s="573"/>
      <c r="N193" s="573"/>
      <c r="O193" s="375"/>
      <c r="P193" s="375"/>
      <c r="Q193" s="375"/>
      <c r="R193" s="375"/>
      <c r="S193" s="375"/>
      <c r="T193" s="375"/>
      <c r="U193" s="375"/>
      <c r="V193" s="375"/>
      <c r="W193" s="375"/>
      <c r="X193" s="375"/>
      <c r="Y193" s="375"/>
      <c r="Z193" s="375"/>
      <c r="AA193" s="375"/>
      <c r="AB193" s="375"/>
      <c r="AC193" s="375"/>
      <c r="AD193" s="375"/>
      <c r="AE193" s="375"/>
      <c r="AF193" s="375"/>
      <c r="AG193" s="375"/>
    </row>
    <row r="194" spans="3:34">
      <c r="C194" s="76"/>
      <c r="D194" s="2283" t="s">
        <v>287</v>
      </c>
      <c r="E194" s="2284"/>
      <c r="F194" s="2284"/>
      <c r="G194" s="2284"/>
      <c r="H194" s="2285"/>
      <c r="I194" s="77"/>
      <c r="J194" s="77"/>
      <c r="K194" s="385"/>
      <c r="L194" s="385"/>
      <c r="M194" s="385"/>
      <c r="N194" s="385"/>
      <c r="O194" s="832"/>
      <c r="P194" s="832"/>
      <c r="Q194" s="832"/>
      <c r="R194" s="832"/>
      <c r="S194" s="832"/>
      <c r="T194" s="832"/>
      <c r="U194" s="832"/>
      <c r="V194" s="832"/>
      <c r="W194" s="832"/>
      <c r="X194" s="832"/>
      <c r="Y194" s="832"/>
      <c r="Z194" s="832"/>
      <c r="AA194" s="832"/>
      <c r="AB194" s="832"/>
      <c r="AC194" s="832"/>
      <c r="AD194" s="832"/>
      <c r="AE194" s="832"/>
      <c r="AF194" s="832"/>
      <c r="AG194" s="832"/>
      <c r="AH194" s="80"/>
    </row>
    <row r="195" spans="3:34">
      <c r="C195" s="82"/>
      <c r="D195" s="647"/>
      <c r="E195" s="647"/>
      <c r="F195" s="647"/>
      <c r="G195" s="647"/>
      <c r="K195" s="349"/>
      <c r="L195" s="349"/>
      <c r="M195" s="349"/>
      <c r="N195" s="349"/>
      <c r="O195" s="378"/>
      <c r="P195" s="378"/>
      <c r="Q195" s="378"/>
      <c r="R195" s="378"/>
      <c r="S195" s="378"/>
      <c r="T195" s="378"/>
      <c r="U195" s="378"/>
      <c r="V195" s="378"/>
      <c r="W195" s="378"/>
      <c r="X195" s="378"/>
      <c r="Y195" s="378"/>
      <c r="Z195" s="378"/>
      <c r="AA195" s="378"/>
      <c r="AB195" s="378"/>
      <c r="AC195" s="378"/>
      <c r="AD195" s="378"/>
      <c r="AE195" s="378"/>
      <c r="AF195" s="378"/>
      <c r="AG195" s="378"/>
      <c r="AH195" s="81"/>
    </row>
    <row r="196" spans="3:34">
      <c r="C196" s="82"/>
      <c r="D196" s="647" t="s">
        <v>68</v>
      </c>
      <c r="E196" s="647"/>
      <c r="F196" s="647"/>
      <c r="G196" s="647"/>
      <c r="K196" s="400"/>
      <c r="L196" s="401"/>
      <c r="M196" s="401"/>
      <c r="N196" s="400"/>
      <c r="O196" s="437"/>
      <c r="P196" s="437"/>
      <c r="Q196" s="438"/>
      <c r="R196" s="438"/>
      <c r="S196" s="438"/>
      <c r="T196" s="438"/>
      <c r="U196" s="438"/>
      <c r="V196" s="438"/>
      <c r="W196" s="439"/>
      <c r="X196" s="437"/>
      <c r="Y196" s="438"/>
      <c r="Z196" s="438"/>
      <c r="AA196" s="438"/>
      <c r="AB196" s="439"/>
      <c r="AC196" s="437"/>
      <c r="AD196" s="438"/>
      <c r="AE196" s="438"/>
      <c r="AF196" s="438"/>
      <c r="AG196" s="439"/>
      <c r="AH196" s="81"/>
    </row>
    <row r="197" spans="3:34">
      <c r="C197" s="82"/>
      <c r="D197" s="647"/>
      <c r="E197" s="647"/>
      <c r="F197" s="647"/>
      <c r="G197" s="647"/>
      <c r="K197" s="349"/>
      <c r="L197" s="349"/>
      <c r="M197" s="349"/>
      <c r="N197" s="349"/>
      <c r="O197" s="835"/>
      <c r="P197" s="835"/>
      <c r="Q197" s="835"/>
      <c r="R197" s="835"/>
      <c r="S197" s="835"/>
      <c r="T197" s="835"/>
      <c r="U197" s="835"/>
      <c r="V197" s="835"/>
      <c r="W197" s="835"/>
      <c r="X197" s="835"/>
      <c r="Y197" s="835"/>
      <c r="Z197" s="835"/>
      <c r="AA197" s="835"/>
      <c r="AB197" s="835"/>
      <c r="AC197" s="835"/>
      <c r="AD197" s="835"/>
      <c r="AE197" s="835"/>
      <c r="AF197" s="835"/>
      <c r="AG197" s="835"/>
      <c r="AH197" s="81"/>
    </row>
    <row r="198" spans="3:34">
      <c r="C198" s="82"/>
      <c r="D198" s="647" t="s">
        <v>26</v>
      </c>
      <c r="E198" s="647"/>
      <c r="F198" s="647"/>
      <c r="G198" s="647"/>
      <c r="K198" s="400"/>
      <c r="L198" s="401"/>
      <c r="M198" s="401"/>
      <c r="N198" s="400"/>
      <c r="O198" s="437"/>
      <c r="P198" s="437"/>
      <c r="Q198" s="438"/>
      <c r="R198" s="438"/>
      <c r="S198" s="438"/>
      <c r="T198" s="438"/>
      <c r="U198" s="438"/>
      <c r="V198" s="438"/>
      <c r="W198" s="439"/>
      <c r="X198" s="437"/>
      <c r="Y198" s="438"/>
      <c r="Z198" s="438"/>
      <c r="AA198" s="438"/>
      <c r="AB198" s="439"/>
      <c r="AC198" s="437"/>
      <c r="AD198" s="438"/>
      <c r="AE198" s="438"/>
      <c r="AF198" s="438"/>
      <c r="AG198" s="439"/>
      <c r="AH198" s="81"/>
    </row>
    <row r="199" spans="3:34">
      <c r="C199" s="82"/>
      <c r="D199" s="647"/>
      <c r="E199" s="647"/>
      <c r="F199" s="647"/>
      <c r="G199" s="647"/>
      <c r="K199" s="349"/>
      <c r="L199" s="349"/>
      <c r="M199" s="349"/>
      <c r="N199" s="349"/>
      <c r="O199" s="835"/>
      <c r="P199" s="835"/>
      <c r="Q199" s="835"/>
      <c r="R199" s="835"/>
      <c r="S199" s="835"/>
      <c r="T199" s="835"/>
      <c r="U199" s="835"/>
      <c r="V199" s="835"/>
      <c r="W199" s="835"/>
      <c r="X199" s="835"/>
      <c r="Y199" s="835"/>
      <c r="Z199" s="835"/>
      <c r="AA199" s="835"/>
      <c r="AB199" s="835"/>
      <c r="AC199" s="835"/>
      <c r="AD199" s="835"/>
      <c r="AE199" s="835"/>
      <c r="AF199" s="835"/>
      <c r="AG199" s="835"/>
      <c r="AH199" s="81"/>
    </row>
    <row r="200" spans="3:34">
      <c r="C200" s="82"/>
      <c r="D200" s="591" t="s">
        <v>23</v>
      </c>
      <c r="K200" s="384"/>
      <c r="L200" s="385"/>
      <c r="M200" s="386"/>
      <c r="N200" s="385"/>
      <c r="O200" s="428"/>
      <c r="P200" s="428"/>
      <c r="Q200" s="429"/>
      <c r="R200" s="429"/>
      <c r="S200" s="429"/>
      <c r="T200" s="429"/>
      <c r="U200" s="429"/>
      <c r="V200" s="429"/>
      <c r="W200" s="430"/>
      <c r="X200" s="428"/>
      <c r="Y200" s="429"/>
      <c r="Z200" s="429"/>
      <c r="AA200" s="429"/>
      <c r="AB200" s="430"/>
      <c r="AC200" s="428"/>
      <c r="AD200" s="429"/>
      <c r="AE200" s="429"/>
      <c r="AF200" s="429"/>
      <c r="AG200" s="430"/>
      <c r="AH200" s="81"/>
    </row>
    <row r="201" spans="3:34">
      <c r="C201" s="833"/>
      <c r="D201" s="591" t="s">
        <v>19</v>
      </c>
      <c r="K201" s="387"/>
      <c r="L201" s="349"/>
      <c r="M201" s="388"/>
      <c r="N201" s="349"/>
      <c r="O201" s="431"/>
      <c r="P201" s="431"/>
      <c r="Q201" s="432"/>
      <c r="R201" s="432"/>
      <c r="S201" s="432"/>
      <c r="T201" s="432"/>
      <c r="U201" s="432"/>
      <c r="V201" s="432"/>
      <c r="W201" s="433"/>
      <c r="X201" s="431"/>
      <c r="Y201" s="432"/>
      <c r="Z201" s="432"/>
      <c r="AA201" s="432"/>
      <c r="AB201" s="433"/>
      <c r="AC201" s="431"/>
      <c r="AD201" s="432"/>
      <c r="AE201" s="432"/>
      <c r="AF201" s="432"/>
      <c r="AG201" s="433"/>
      <c r="AH201" s="81"/>
    </row>
    <row r="202" spans="3:34">
      <c r="C202" s="82"/>
      <c r="D202" s="591" t="s">
        <v>22</v>
      </c>
      <c r="K202" s="392"/>
      <c r="L202" s="393"/>
      <c r="M202" s="394"/>
      <c r="N202" s="393"/>
      <c r="O202" s="434"/>
      <c r="P202" s="434"/>
      <c r="Q202" s="435"/>
      <c r="R202" s="435"/>
      <c r="S202" s="435"/>
      <c r="T202" s="435"/>
      <c r="U202" s="435"/>
      <c r="V202" s="435"/>
      <c r="W202" s="436"/>
      <c r="X202" s="434"/>
      <c r="Y202" s="435"/>
      <c r="Z202" s="435"/>
      <c r="AA202" s="435"/>
      <c r="AB202" s="436"/>
      <c r="AC202" s="434"/>
      <c r="AD202" s="435"/>
      <c r="AE202" s="435"/>
      <c r="AF202" s="435"/>
      <c r="AG202" s="436"/>
      <c r="AH202" s="81"/>
    </row>
    <row r="203" spans="3:34">
      <c r="C203" s="82"/>
      <c r="D203" s="614" t="s">
        <v>24</v>
      </c>
      <c r="E203" s="104"/>
      <c r="F203" s="104"/>
      <c r="G203" s="104"/>
      <c r="H203" s="104"/>
      <c r="I203" s="104"/>
      <c r="J203" s="104"/>
      <c r="K203" s="349">
        <f t="shared" ref="K203:AA203" si="35">+K200-K201-K202</f>
        <v>0</v>
      </c>
      <c r="L203" s="349">
        <f t="shared" si="35"/>
        <v>0</v>
      </c>
      <c r="M203" s="349">
        <f t="shared" si="35"/>
        <v>0</v>
      </c>
      <c r="N203" s="349">
        <f>+N200-N201-N202</f>
        <v>0</v>
      </c>
      <c r="O203" s="378">
        <f>+O200-O201-O202</f>
        <v>0</v>
      </c>
      <c r="P203" s="378">
        <f>+P200-P201-P202</f>
        <v>0</v>
      </c>
      <c r="Q203" s="378">
        <f>+Q200-Q201-Q202</f>
        <v>0</v>
      </c>
      <c r="R203" s="378">
        <f>+R200-R201-R202</f>
        <v>0</v>
      </c>
      <c r="S203" s="378">
        <f t="shared" si="35"/>
        <v>0</v>
      </c>
      <c r="T203" s="378">
        <f t="shared" si="35"/>
        <v>0</v>
      </c>
      <c r="U203" s="378">
        <f t="shared" si="35"/>
        <v>0</v>
      </c>
      <c r="V203" s="378">
        <f t="shared" si="35"/>
        <v>0</v>
      </c>
      <c r="W203" s="378">
        <f t="shared" si="35"/>
        <v>0</v>
      </c>
      <c r="X203" s="378">
        <f t="shared" si="35"/>
        <v>0</v>
      </c>
      <c r="Y203" s="378">
        <f t="shared" si="35"/>
        <v>0</v>
      </c>
      <c r="Z203" s="378">
        <f t="shared" si="35"/>
        <v>0</v>
      </c>
      <c r="AA203" s="378">
        <f t="shared" si="35"/>
        <v>0</v>
      </c>
      <c r="AB203" s="378">
        <f t="shared" ref="AB203:AG203" si="36">+AB200-AB201-AB202</f>
        <v>0</v>
      </c>
      <c r="AC203" s="378">
        <f t="shared" si="36"/>
        <v>0</v>
      </c>
      <c r="AD203" s="378">
        <f t="shared" si="36"/>
        <v>0</v>
      </c>
      <c r="AE203" s="378">
        <f t="shared" si="36"/>
        <v>0</v>
      </c>
      <c r="AF203" s="378">
        <f t="shared" si="36"/>
        <v>0</v>
      </c>
      <c r="AG203" s="378">
        <f t="shared" si="36"/>
        <v>0</v>
      </c>
      <c r="AH203" s="81"/>
    </row>
    <row r="204" spans="3:34">
      <c r="C204" s="82"/>
      <c r="D204" s="614"/>
      <c r="E204" s="104"/>
      <c r="F204" s="104"/>
      <c r="G204" s="104"/>
      <c r="H204" s="104"/>
      <c r="I204" s="104"/>
      <c r="J204" s="104"/>
      <c r="K204" s="349"/>
      <c r="L204" s="349"/>
      <c r="M204" s="349"/>
      <c r="N204" s="349"/>
      <c r="O204" s="378"/>
      <c r="P204" s="378"/>
      <c r="Q204" s="378"/>
      <c r="R204" s="378"/>
      <c r="S204" s="378"/>
      <c r="T204" s="378"/>
      <c r="U204" s="378"/>
      <c r="V204" s="378"/>
      <c r="W204" s="378"/>
      <c r="X204" s="378"/>
      <c r="Y204" s="378"/>
      <c r="Z204" s="378"/>
      <c r="AA204" s="378"/>
      <c r="AB204" s="378"/>
      <c r="AC204" s="378"/>
      <c r="AD204" s="378"/>
      <c r="AE204" s="378"/>
      <c r="AF204" s="378"/>
      <c r="AG204" s="378"/>
      <c r="AH204" s="81"/>
    </row>
    <row r="205" spans="3:34">
      <c r="C205" s="82"/>
      <c r="D205" s="591" t="s">
        <v>61</v>
      </c>
      <c r="E205" s="104"/>
      <c r="F205" s="104"/>
      <c r="G205" s="104"/>
      <c r="H205" s="104"/>
      <c r="I205" s="104"/>
      <c r="J205" s="104"/>
      <c r="K205" s="385"/>
      <c r="L205" s="385"/>
      <c r="M205" s="386"/>
      <c r="N205" s="385"/>
      <c r="O205" s="428"/>
      <c r="P205" s="428"/>
      <c r="Q205" s="429"/>
      <c r="R205" s="429"/>
      <c r="S205" s="429"/>
      <c r="T205" s="429"/>
      <c r="U205" s="429"/>
      <c r="V205" s="429"/>
      <c r="W205" s="430"/>
      <c r="X205" s="428"/>
      <c r="Y205" s="429"/>
      <c r="Z205" s="429"/>
      <c r="AA205" s="429"/>
      <c r="AB205" s="430"/>
      <c r="AC205" s="428"/>
      <c r="AD205" s="429"/>
      <c r="AE205" s="429"/>
      <c r="AF205" s="429"/>
      <c r="AG205" s="430"/>
      <c r="AH205" s="81"/>
    </row>
    <row r="206" spans="3:34">
      <c r="C206" s="82"/>
      <c r="D206" s="591" t="s">
        <v>18</v>
      </c>
      <c r="E206" s="104"/>
      <c r="F206" s="104"/>
      <c r="G206" s="104"/>
      <c r="H206" s="104"/>
      <c r="I206" s="104"/>
      <c r="J206" s="104"/>
      <c r="K206" s="393"/>
      <c r="L206" s="393"/>
      <c r="M206" s="394"/>
      <c r="N206" s="393"/>
      <c r="O206" s="434"/>
      <c r="P206" s="434"/>
      <c r="Q206" s="435"/>
      <c r="R206" s="435"/>
      <c r="S206" s="435"/>
      <c r="T206" s="435"/>
      <c r="U206" s="435"/>
      <c r="V206" s="435"/>
      <c r="W206" s="436"/>
      <c r="X206" s="434"/>
      <c r="Y206" s="435"/>
      <c r="Z206" s="435"/>
      <c r="AA206" s="435"/>
      <c r="AB206" s="436"/>
      <c r="AC206" s="434"/>
      <c r="AD206" s="435"/>
      <c r="AE206" s="435"/>
      <c r="AF206" s="435"/>
      <c r="AG206" s="436"/>
      <c r="AH206" s="81"/>
    </row>
    <row r="207" spans="3:34">
      <c r="C207" s="92"/>
      <c r="D207" s="75"/>
      <c r="E207" s="75"/>
      <c r="F207" s="75"/>
      <c r="G207" s="75"/>
      <c r="H207" s="75"/>
      <c r="I207" s="75"/>
      <c r="J207" s="75"/>
      <c r="K207" s="393"/>
      <c r="L207" s="393"/>
      <c r="M207" s="393"/>
      <c r="N207" s="393"/>
      <c r="O207" s="834"/>
      <c r="P207" s="834"/>
      <c r="Q207" s="834"/>
      <c r="R207" s="834"/>
      <c r="S207" s="834"/>
      <c r="T207" s="834"/>
      <c r="U207" s="834"/>
      <c r="V207" s="834"/>
      <c r="W207" s="834"/>
      <c r="X207" s="834"/>
      <c r="Y207" s="834"/>
      <c r="Z207" s="834"/>
      <c r="AA207" s="834"/>
      <c r="AB207" s="834"/>
      <c r="AC207" s="834"/>
      <c r="AD207" s="834"/>
      <c r="AE207" s="834"/>
      <c r="AF207" s="834"/>
      <c r="AG207" s="834"/>
      <c r="AH207" s="94"/>
    </row>
    <row r="208" spans="3:34">
      <c r="K208" s="573"/>
      <c r="L208" s="573"/>
      <c r="M208" s="573"/>
      <c r="N208" s="573"/>
      <c r="O208" s="375"/>
      <c r="P208" s="375"/>
      <c r="Q208" s="375"/>
      <c r="R208" s="375"/>
      <c r="S208" s="375"/>
      <c r="T208" s="375"/>
      <c r="U208" s="375"/>
      <c r="V208" s="375"/>
      <c r="W208" s="375"/>
      <c r="X208" s="375"/>
      <c r="Y208" s="375"/>
      <c r="Z208" s="375"/>
      <c r="AA208" s="375"/>
      <c r="AB208" s="375"/>
      <c r="AC208" s="375"/>
      <c r="AD208" s="375"/>
      <c r="AE208" s="375"/>
      <c r="AF208" s="375"/>
      <c r="AG208" s="375"/>
    </row>
    <row r="209" spans="3:34">
      <c r="C209" s="76"/>
      <c r="D209" s="2283" t="s">
        <v>288</v>
      </c>
      <c r="E209" s="2284"/>
      <c r="F209" s="2284"/>
      <c r="G209" s="2284"/>
      <c r="H209" s="2285"/>
      <c r="I209" s="77"/>
      <c r="J209" s="77"/>
      <c r="K209" s="385"/>
      <c r="L209" s="385"/>
      <c r="M209" s="385"/>
      <c r="N209" s="385"/>
      <c r="O209" s="832"/>
      <c r="P209" s="832"/>
      <c r="Q209" s="832"/>
      <c r="R209" s="832"/>
      <c r="S209" s="832"/>
      <c r="T209" s="832"/>
      <c r="U209" s="832"/>
      <c r="V209" s="832"/>
      <c r="W209" s="832"/>
      <c r="X209" s="832"/>
      <c r="Y209" s="832"/>
      <c r="Z209" s="832"/>
      <c r="AA209" s="832"/>
      <c r="AB209" s="832"/>
      <c r="AC209" s="832"/>
      <c r="AD209" s="832"/>
      <c r="AE209" s="832"/>
      <c r="AF209" s="832"/>
      <c r="AG209" s="832"/>
      <c r="AH209" s="80"/>
    </row>
    <row r="210" spans="3:34">
      <c r="C210" s="82"/>
      <c r="D210" s="647"/>
      <c r="E210" s="647"/>
      <c r="F210" s="647"/>
      <c r="G210" s="647"/>
      <c r="K210" s="349"/>
      <c r="L210" s="349"/>
      <c r="M210" s="349"/>
      <c r="N210" s="349"/>
      <c r="O210" s="378"/>
      <c r="P210" s="378"/>
      <c r="Q210" s="378"/>
      <c r="R210" s="378"/>
      <c r="S210" s="378"/>
      <c r="T210" s="378"/>
      <c r="U210" s="378"/>
      <c r="V210" s="378"/>
      <c r="W210" s="378"/>
      <c r="X210" s="378"/>
      <c r="Y210" s="378"/>
      <c r="Z210" s="378"/>
      <c r="AA210" s="378"/>
      <c r="AB210" s="378"/>
      <c r="AC210" s="378"/>
      <c r="AD210" s="378"/>
      <c r="AE210" s="378"/>
      <c r="AF210" s="378"/>
      <c r="AG210" s="378"/>
      <c r="AH210" s="81"/>
    </row>
    <row r="211" spans="3:34">
      <c r="C211" s="82"/>
      <c r="D211" s="647" t="s">
        <v>68</v>
      </c>
      <c r="E211" s="647"/>
      <c r="F211" s="647"/>
      <c r="G211" s="647"/>
      <c r="K211" s="400"/>
      <c r="L211" s="401"/>
      <c r="M211" s="401"/>
      <c r="N211" s="400"/>
      <c r="O211" s="437"/>
      <c r="P211" s="437"/>
      <c r="Q211" s="438"/>
      <c r="R211" s="438"/>
      <c r="S211" s="438"/>
      <c r="T211" s="438"/>
      <c r="U211" s="438"/>
      <c r="V211" s="438"/>
      <c r="W211" s="439"/>
      <c r="X211" s="437"/>
      <c r="Y211" s="438"/>
      <c r="Z211" s="438"/>
      <c r="AA211" s="438"/>
      <c r="AB211" s="439"/>
      <c r="AC211" s="437"/>
      <c r="AD211" s="438"/>
      <c r="AE211" s="438"/>
      <c r="AF211" s="438"/>
      <c r="AG211" s="439"/>
      <c r="AH211" s="81"/>
    </row>
    <row r="212" spans="3:34">
      <c r="C212" s="82"/>
      <c r="D212" s="647"/>
      <c r="E212" s="647"/>
      <c r="F212" s="647"/>
      <c r="G212" s="647"/>
      <c r="K212" s="349"/>
      <c r="L212" s="349"/>
      <c r="M212" s="349"/>
      <c r="N212" s="349"/>
      <c r="O212" s="835"/>
      <c r="P212" s="835"/>
      <c r="Q212" s="835"/>
      <c r="R212" s="835"/>
      <c r="S212" s="835"/>
      <c r="T212" s="835"/>
      <c r="U212" s="835"/>
      <c r="V212" s="835"/>
      <c r="W212" s="835"/>
      <c r="X212" s="835"/>
      <c r="Y212" s="835"/>
      <c r="Z212" s="835"/>
      <c r="AA212" s="835"/>
      <c r="AB212" s="835"/>
      <c r="AC212" s="835"/>
      <c r="AD212" s="835"/>
      <c r="AE212" s="835"/>
      <c r="AF212" s="835"/>
      <c r="AG212" s="835"/>
      <c r="AH212" s="81"/>
    </row>
    <row r="213" spans="3:34">
      <c r="C213" s="82"/>
      <c r="D213" s="647" t="s">
        <v>26</v>
      </c>
      <c r="E213" s="647"/>
      <c r="F213" s="647"/>
      <c r="G213" s="647"/>
      <c r="K213" s="400"/>
      <c r="L213" s="401"/>
      <c r="M213" s="401"/>
      <c r="N213" s="400"/>
      <c r="O213" s="437"/>
      <c r="P213" s="437"/>
      <c r="Q213" s="438"/>
      <c r="R213" s="438"/>
      <c r="S213" s="438"/>
      <c r="T213" s="438"/>
      <c r="U213" s="438"/>
      <c r="V213" s="438"/>
      <c r="W213" s="439"/>
      <c r="X213" s="437"/>
      <c r="Y213" s="438"/>
      <c r="Z213" s="438"/>
      <c r="AA213" s="438"/>
      <c r="AB213" s="439"/>
      <c r="AC213" s="437"/>
      <c r="AD213" s="438"/>
      <c r="AE213" s="438"/>
      <c r="AF213" s="438"/>
      <c r="AG213" s="439"/>
      <c r="AH213" s="81"/>
    </row>
    <row r="214" spans="3:34">
      <c r="C214" s="82"/>
      <c r="D214" s="647"/>
      <c r="E214" s="647"/>
      <c r="F214" s="647"/>
      <c r="G214" s="647"/>
      <c r="K214" s="349"/>
      <c r="L214" s="349"/>
      <c r="M214" s="349"/>
      <c r="N214" s="349"/>
      <c r="O214" s="835"/>
      <c r="P214" s="835"/>
      <c r="Q214" s="835"/>
      <c r="R214" s="835"/>
      <c r="S214" s="835"/>
      <c r="T214" s="835"/>
      <c r="U214" s="835"/>
      <c r="V214" s="835"/>
      <c r="W214" s="835"/>
      <c r="X214" s="835"/>
      <c r="Y214" s="835"/>
      <c r="Z214" s="835"/>
      <c r="AA214" s="835"/>
      <c r="AB214" s="835"/>
      <c r="AC214" s="835"/>
      <c r="AD214" s="835"/>
      <c r="AE214" s="835"/>
      <c r="AF214" s="835"/>
      <c r="AG214" s="835"/>
      <c r="AH214" s="81"/>
    </row>
    <row r="215" spans="3:34">
      <c r="C215" s="82"/>
      <c r="D215" s="591" t="s">
        <v>23</v>
      </c>
      <c r="K215" s="384"/>
      <c r="L215" s="385"/>
      <c r="M215" s="386"/>
      <c r="N215" s="385"/>
      <c r="O215" s="428"/>
      <c r="P215" s="428"/>
      <c r="Q215" s="429"/>
      <c r="R215" s="429"/>
      <c r="S215" s="429"/>
      <c r="T215" s="429"/>
      <c r="U215" s="429"/>
      <c r="V215" s="429"/>
      <c r="W215" s="430"/>
      <c r="X215" s="428"/>
      <c r="Y215" s="429"/>
      <c r="Z215" s="429"/>
      <c r="AA215" s="429"/>
      <c r="AB215" s="430"/>
      <c r="AC215" s="428"/>
      <c r="AD215" s="429"/>
      <c r="AE215" s="429"/>
      <c r="AF215" s="429"/>
      <c r="AG215" s="430"/>
      <c r="AH215" s="81"/>
    </row>
    <row r="216" spans="3:34">
      <c r="C216" s="833"/>
      <c r="D216" s="591" t="s">
        <v>19</v>
      </c>
      <c r="K216" s="387"/>
      <c r="L216" s="349"/>
      <c r="M216" s="388"/>
      <c r="N216" s="349"/>
      <c r="O216" s="431"/>
      <c r="P216" s="431"/>
      <c r="Q216" s="432"/>
      <c r="R216" s="432"/>
      <c r="S216" s="432"/>
      <c r="T216" s="432"/>
      <c r="U216" s="432"/>
      <c r="V216" s="432"/>
      <c r="W216" s="433"/>
      <c r="X216" s="431"/>
      <c r="Y216" s="432"/>
      <c r="Z216" s="432"/>
      <c r="AA216" s="432"/>
      <c r="AB216" s="433"/>
      <c r="AC216" s="431"/>
      <c r="AD216" s="432"/>
      <c r="AE216" s="432"/>
      <c r="AF216" s="432"/>
      <c r="AG216" s="433"/>
      <c r="AH216" s="81"/>
    </row>
    <row r="217" spans="3:34">
      <c r="C217" s="82"/>
      <c r="D217" s="591" t="s">
        <v>22</v>
      </c>
      <c r="K217" s="392"/>
      <c r="L217" s="393"/>
      <c r="M217" s="394"/>
      <c r="N217" s="393"/>
      <c r="O217" s="434"/>
      <c r="P217" s="434"/>
      <c r="Q217" s="435"/>
      <c r="R217" s="435"/>
      <c r="S217" s="435"/>
      <c r="T217" s="435"/>
      <c r="U217" s="435"/>
      <c r="V217" s="435"/>
      <c r="W217" s="436"/>
      <c r="X217" s="434"/>
      <c r="Y217" s="435"/>
      <c r="Z217" s="435"/>
      <c r="AA217" s="435"/>
      <c r="AB217" s="436"/>
      <c r="AC217" s="434"/>
      <c r="AD217" s="435"/>
      <c r="AE217" s="435"/>
      <c r="AF217" s="435"/>
      <c r="AG217" s="436"/>
      <c r="AH217" s="81"/>
    </row>
    <row r="218" spans="3:34">
      <c r="C218" s="82"/>
      <c r="D218" s="614" t="s">
        <v>24</v>
      </c>
      <c r="E218" s="104"/>
      <c r="F218" s="104"/>
      <c r="G218" s="104"/>
      <c r="H218" s="104"/>
      <c r="I218" s="104"/>
      <c r="J218" s="104"/>
      <c r="K218" s="349">
        <f t="shared" ref="K218:AA218" si="37">+K215-K216-K217</f>
        <v>0</v>
      </c>
      <c r="L218" s="349">
        <f t="shared" si="37"/>
        <v>0</v>
      </c>
      <c r="M218" s="349">
        <f t="shared" si="37"/>
        <v>0</v>
      </c>
      <c r="N218" s="349">
        <f>+N215-N216-N217</f>
        <v>0</v>
      </c>
      <c r="O218" s="378">
        <f>+O215-O216-O217</f>
        <v>0</v>
      </c>
      <c r="P218" s="378">
        <f>+P215-P216-P217</f>
        <v>0</v>
      </c>
      <c r="Q218" s="378">
        <f>+Q215-Q216-Q217</f>
        <v>0</v>
      </c>
      <c r="R218" s="378">
        <f>+R215-R216-R217</f>
        <v>0</v>
      </c>
      <c r="S218" s="378">
        <f t="shared" si="37"/>
        <v>0</v>
      </c>
      <c r="T218" s="378">
        <f t="shared" si="37"/>
        <v>0</v>
      </c>
      <c r="U218" s="378">
        <f t="shared" si="37"/>
        <v>0</v>
      </c>
      <c r="V218" s="378">
        <f t="shared" si="37"/>
        <v>0</v>
      </c>
      <c r="W218" s="378">
        <f t="shared" si="37"/>
        <v>0</v>
      </c>
      <c r="X218" s="378">
        <f t="shared" si="37"/>
        <v>0</v>
      </c>
      <c r="Y218" s="378">
        <f t="shared" si="37"/>
        <v>0</v>
      </c>
      <c r="Z218" s="378">
        <f t="shared" si="37"/>
        <v>0</v>
      </c>
      <c r="AA218" s="378">
        <f t="shared" si="37"/>
        <v>0</v>
      </c>
      <c r="AB218" s="378">
        <f t="shared" ref="AB218:AG218" si="38">+AB215-AB216-AB217</f>
        <v>0</v>
      </c>
      <c r="AC218" s="378">
        <f t="shared" si="38"/>
        <v>0</v>
      </c>
      <c r="AD218" s="378">
        <f t="shared" si="38"/>
        <v>0</v>
      </c>
      <c r="AE218" s="378">
        <f t="shared" si="38"/>
        <v>0</v>
      </c>
      <c r="AF218" s="378">
        <f t="shared" si="38"/>
        <v>0</v>
      </c>
      <c r="AG218" s="378">
        <f t="shared" si="38"/>
        <v>0</v>
      </c>
      <c r="AH218" s="81"/>
    </row>
    <row r="219" spans="3:34">
      <c r="C219" s="82"/>
      <c r="D219" s="614"/>
      <c r="E219" s="104"/>
      <c r="F219" s="104"/>
      <c r="G219" s="104"/>
      <c r="H219" s="104"/>
      <c r="I219" s="104"/>
      <c r="J219" s="104"/>
      <c r="K219" s="349"/>
      <c r="L219" s="349"/>
      <c r="M219" s="349"/>
      <c r="N219" s="349"/>
      <c r="O219" s="378"/>
      <c r="P219" s="378"/>
      <c r="Q219" s="378"/>
      <c r="R219" s="378"/>
      <c r="S219" s="378"/>
      <c r="T219" s="378"/>
      <c r="U219" s="378"/>
      <c r="V219" s="378"/>
      <c r="W219" s="378"/>
      <c r="X219" s="378"/>
      <c r="Y219" s="378"/>
      <c r="Z219" s="378"/>
      <c r="AA219" s="378"/>
      <c r="AB219" s="378"/>
      <c r="AC219" s="378"/>
      <c r="AD219" s="378"/>
      <c r="AE219" s="378"/>
      <c r="AF219" s="378"/>
      <c r="AG219" s="378"/>
      <c r="AH219" s="81"/>
    </row>
    <row r="220" spans="3:34">
      <c r="C220" s="82"/>
      <c r="D220" s="591" t="s">
        <v>61</v>
      </c>
      <c r="E220" s="104"/>
      <c r="F220" s="104"/>
      <c r="G220" s="104"/>
      <c r="H220" s="104"/>
      <c r="I220" s="104"/>
      <c r="J220" s="104"/>
      <c r="K220" s="384"/>
      <c r="L220" s="385"/>
      <c r="M220" s="386"/>
      <c r="N220" s="385"/>
      <c r="O220" s="428"/>
      <c r="P220" s="428"/>
      <c r="Q220" s="429"/>
      <c r="R220" s="429"/>
      <c r="S220" s="429"/>
      <c r="T220" s="429"/>
      <c r="U220" s="429"/>
      <c r="V220" s="429"/>
      <c r="W220" s="430"/>
      <c r="X220" s="428"/>
      <c r="Y220" s="429"/>
      <c r="Z220" s="429"/>
      <c r="AA220" s="429"/>
      <c r="AB220" s="430"/>
      <c r="AC220" s="428"/>
      <c r="AD220" s="429"/>
      <c r="AE220" s="429"/>
      <c r="AF220" s="429"/>
      <c r="AG220" s="430"/>
      <c r="AH220" s="81"/>
    </row>
    <row r="221" spans="3:34">
      <c r="C221" s="82"/>
      <c r="D221" s="591" t="s">
        <v>18</v>
      </c>
      <c r="E221" s="104"/>
      <c r="F221" s="104"/>
      <c r="G221" s="104"/>
      <c r="H221" s="104"/>
      <c r="I221" s="104"/>
      <c r="J221" s="104"/>
      <c r="K221" s="392"/>
      <c r="L221" s="393"/>
      <c r="M221" s="394"/>
      <c r="N221" s="393"/>
      <c r="O221" s="434"/>
      <c r="P221" s="434"/>
      <c r="Q221" s="435"/>
      <c r="R221" s="435"/>
      <c r="S221" s="435"/>
      <c r="T221" s="435"/>
      <c r="U221" s="435"/>
      <c r="V221" s="435"/>
      <c r="W221" s="436"/>
      <c r="X221" s="434"/>
      <c r="Y221" s="435"/>
      <c r="Z221" s="435"/>
      <c r="AA221" s="435"/>
      <c r="AB221" s="436"/>
      <c r="AC221" s="434"/>
      <c r="AD221" s="435"/>
      <c r="AE221" s="435"/>
      <c r="AF221" s="435"/>
      <c r="AG221" s="436"/>
      <c r="AH221" s="81"/>
    </row>
    <row r="222" spans="3:34">
      <c r="C222" s="92"/>
      <c r="D222" s="75"/>
      <c r="E222" s="75"/>
      <c r="F222" s="75"/>
      <c r="G222" s="75"/>
      <c r="H222" s="75"/>
      <c r="I222" s="75"/>
      <c r="J222" s="75"/>
      <c r="K222" s="393"/>
      <c r="L222" s="393"/>
      <c r="M222" s="393"/>
      <c r="N222" s="393"/>
      <c r="O222" s="834"/>
      <c r="P222" s="834"/>
      <c r="Q222" s="834"/>
      <c r="R222" s="834"/>
      <c r="S222" s="834"/>
      <c r="T222" s="834"/>
      <c r="U222" s="834"/>
      <c r="V222" s="834"/>
      <c r="W222" s="834"/>
      <c r="X222" s="834"/>
      <c r="Y222" s="834"/>
      <c r="Z222" s="834"/>
      <c r="AA222" s="834"/>
      <c r="AB222" s="834"/>
      <c r="AC222" s="834"/>
      <c r="AD222" s="834"/>
      <c r="AE222" s="834"/>
      <c r="AF222" s="834"/>
      <c r="AG222" s="834"/>
      <c r="AH222" s="94"/>
    </row>
    <row r="223" spans="3:34">
      <c r="K223" s="349"/>
      <c r="L223" s="349"/>
      <c r="M223" s="349"/>
      <c r="N223" s="349"/>
      <c r="O223" s="378"/>
      <c r="P223" s="378"/>
      <c r="Q223" s="378"/>
      <c r="R223" s="378"/>
      <c r="S223" s="378"/>
      <c r="T223" s="378"/>
      <c r="U223" s="378"/>
      <c r="V223" s="378"/>
      <c r="W223" s="378"/>
      <c r="X223" s="378"/>
      <c r="Y223" s="378"/>
      <c r="Z223" s="378"/>
      <c r="AA223" s="378"/>
      <c r="AB223" s="378"/>
      <c r="AC223" s="378"/>
      <c r="AD223" s="378"/>
      <c r="AE223" s="378"/>
      <c r="AF223" s="378"/>
      <c r="AG223" s="378"/>
    </row>
    <row r="224" spans="3:34">
      <c r="C224" s="76"/>
      <c r="D224" s="2283" t="s">
        <v>289</v>
      </c>
      <c r="E224" s="2284"/>
      <c r="F224" s="2284"/>
      <c r="G224" s="2284"/>
      <c r="H224" s="2285"/>
      <c r="I224" s="77"/>
      <c r="J224" s="77"/>
      <c r="K224" s="385"/>
      <c r="L224" s="385"/>
      <c r="M224" s="385"/>
      <c r="N224" s="385"/>
      <c r="O224" s="832"/>
      <c r="P224" s="832"/>
      <c r="Q224" s="832"/>
      <c r="R224" s="832"/>
      <c r="S224" s="832"/>
      <c r="T224" s="832"/>
      <c r="U224" s="832"/>
      <c r="V224" s="832"/>
      <c r="W224" s="832"/>
      <c r="X224" s="832"/>
      <c r="Y224" s="832"/>
      <c r="Z224" s="832"/>
      <c r="AA224" s="832"/>
      <c r="AB224" s="832"/>
      <c r="AC224" s="832"/>
      <c r="AD224" s="832"/>
      <c r="AE224" s="832"/>
      <c r="AF224" s="832"/>
      <c r="AG224" s="832"/>
      <c r="AH224" s="80"/>
    </row>
    <row r="225" spans="3:34">
      <c r="C225" s="82"/>
      <c r="D225" s="647"/>
      <c r="E225" s="647"/>
      <c r="F225" s="647"/>
      <c r="G225" s="647"/>
      <c r="K225" s="349"/>
      <c r="L225" s="349"/>
      <c r="M225" s="349"/>
      <c r="N225" s="349"/>
      <c r="O225" s="378"/>
      <c r="P225" s="378"/>
      <c r="Q225" s="378"/>
      <c r="R225" s="378"/>
      <c r="S225" s="378"/>
      <c r="T225" s="378"/>
      <c r="U225" s="378"/>
      <c r="V225" s="378"/>
      <c r="W225" s="378"/>
      <c r="X225" s="378"/>
      <c r="Y225" s="378"/>
      <c r="Z225" s="378"/>
      <c r="AA225" s="378"/>
      <c r="AB225" s="378"/>
      <c r="AC225" s="378"/>
      <c r="AD225" s="378"/>
      <c r="AE225" s="378"/>
      <c r="AF225" s="378"/>
      <c r="AG225" s="378"/>
      <c r="AH225" s="81"/>
    </row>
    <row r="226" spans="3:34">
      <c r="C226" s="82"/>
      <c r="D226" s="647" t="s">
        <v>68</v>
      </c>
      <c r="E226" s="647"/>
      <c r="F226" s="647"/>
      <c r="G226" s="647"/>
      <c r="K226" s="400"/>
      <c r="L226" s="401"/>
      <c r="M226" s="401"/>
      <c r="N226" s="400"/>
      <c r="O226" s="437"/>
      <c r="P226" s="437"/>
      <c r="Q226" s="438"/>
      <c r="R226" s="438"/>
      <c r="S226" s="438"/>
      <c r="T226" s="438"/>
      <c r="U226" s="438"/>
      <c r="V226" s="438"/>
      <c r="W226" s="439"/>
      <c r="X226" s="437"/>
      <c r="Y226" s="438"/>
      <c r="Z226" s="438"/>
      <c r="AA226" s="438"/>
      <c r="AB226" s="439"/>
      <c r="AC226" s="437"/>
      <c r="AD226" s="438"/>
      <c r="AE226" s="438"/>
      <c r="AF226" s="438"/>
      <c r="AG226" s="439"/>
      <c r="AH226" s="81"/>
    </row>
    <row r="227" spans="3:34">
      <c r="C227" s="82"/>
      <c r="D227" s="647"/>
      <c r="E227" s="647"/>
      <c r="F227" s="647"/>
      <c r="G227" s="647"/>
      <c r="K227" s="349"/>
      <c r="L227" s="349"/>
      <c r="M227" s="349"/>
      <c r="N227" s="349"/>
      <c r="O227" s="835"/>
      <c r="P227" s="835"/>
      <c r="Q227" s="835"/>
      <c r="R227" s="835"/>
      <c r="S227" s="835"/>
      <c r="T227" s="835"/>
      <c r="U227" s="835"/>
      <c r="V227" s="835"/>
      <c r="W227" s="835"/>
      <c r="X227" s="835"/>
      <c r="Y227" s="835"/>
      <c r="Z227" s="835"/>
      <c r="AA227" s="835"/>
      <c r="AB227" s="835"/>
      <c r="AC227" s="835"/>
      <c r="AD227" s="835"/>
      <c r="AE227" s="835"/>
      <c r="AF227" s="835"/>
      <c r="AG227" s="835"/>
      <c r="AH227" s="81"/>
    </row>
    <row r="228" spans="3:34">
      <c r="C228" s="82"/>
      <c r="D228" s="647" t="s">
        <v>26</v>
      </c>
      <c r="E228" s="647"/>
      <c r="F228" s="647"/>
      <c r="G228" s="647"/>
      <c r="K228" s="400"/>
      <c r="L228" s="401"/>
      <c r="M228" s="401"/>
      <c r="N228" s="400"/>
      <c r="O228" s="437"/>
      <c r="P228" s="437"/>
      <c r="Q228" s="438"/>
      <c r="R228" s="438"/>
      <c r="S228" s="438"/>
      <c r="T228" s="438"/>
      <c r="U228" s="438"/>
      <c r="V228" s="438"/>
      <c r="W228" s="439"/>
      <c r="X228" s="437"/>
      <c r="Y228" s="438"/>
      <c r="Z228" s="438"/>
      <c r="AA228" s="438"/>
      <c r="AB228" s="439"/>
      <c r="AC228" s="437"/>
      <c r="AD228" s="438"/>
      <c r="AE228" s="438"/>
      <c r="AF228" s="438"/>
      <c r="AG228" s="439"/>
      <c r="AH228" s="81"/>
    </row>
    <row r="229" spans="3:34">
      <c r="C229" s="82"/>
      <c r="D229" s="647"/>
      <c r="E229" s="647"/>
      <c r="F229" s="647"/>
      <c r="G229" s="647"/>
      <c r="K229" s="349"/>
      <c r="L229" s="349"/>
      <c r="M229" s="349"/>
      <c r="N229" s="349"/>
      <c r="O229" s="835"/>
      <c r="P229" s="835"/>
      <c r="Q229" s="835"/>
      <c r="R229" s="835"/>
      <c r="S229" s="835"/>
      <c r="T229" s="835"/>
      <c r="U229" s="835"/>
      <c r="V229" s="835"/>
      <c r="W229" s="835"/>
      <c r="X229" s="835"/>
      <c r="Y229" s="835"/>
      <c r="Z229" s="835"/>
      <c r="AA229" s="835"/>
      <c r="AB229" s="835"/>
      <c r="AC229" s="835"/>
      <c r="AD229" s="835"/>
      <c r="AE229" s="835"/>
      <c r="AF229" s="835"/>
      <c r="AG229" s="835"/>
      <c r="AH229" s="81"/>
    </row>
    <row r="230" spans="3:34">
      <c r="C230" s="82"/>
      <c r="D230" s="591" t="s">
        <v>23</v>
      </c>
      <c r="K230" s="384"/>
      <c r="L230" s="385"/>
      <c r="M230" s="386"/>
      <c r="N230" s="385"/>
      <c r="O230" s="428"/>
      <c r="P230" s="428"/>
      <c r="Q230" s="429"/>
      <c r="R230" s="429"/>
      <c r="S230" s="429"/>
      <c r="T230" s="429"/>
      <c r="U230" s="429"/>
      <c r="V230" s="429"/>
      <c r="W230" s="430"/>
      <c r="X230" s="428"/>
      <c r="Y230" s="429"/>
      <c r="Z230" s="429"/>
      <c r="AA230" s="429"/>
      <c r="AB230" s="430"/>
      <c r="AC230" s="428"/>
      <c r="AD230" s="429"/>
      <c r="AE230" s="429"/>
      <c r="AF230" s="429"/>
      <c r="AG230" s="430"/>
      <c r="AH230" s="81"/>
    </row>
    <row r="231" spans="3:34">
      <c r="C231" s="833"/>
      <c r="D231" s="591" t="s">
        <v>19</v>
      </c>
      <c r="K231" s="387"/>
      <c r="L231" s="349"/>
      <c r="M231" s="388"/>
      <c r="N231" s="349"/>
      <c r="O231" s="431"/>
      <c r="P231" s="431"/>
      <c r="Q231" s="432"/>
      <c r="R231" s="432"/>
      <c r="S231" s="432"/>
      <c r="T231" s="432"/>
      <c r="U231" s="432"/>
      <c r="V231" s="432"/>
      <c r="W231" s="433"/>
      <c r="X231" s="431"/>
      <c r="Y231" s="432"/>
      <c r="Z231" s="432"/>
      <c r="AA231" s="432"/>
      <c r="AB231" s="433"/>
      <c r="AC231" s="431"/>
      <c r="AD231" s="432"/>
      <c r="AE231" s="432"/>
      <c r="AF231" s="432"/>
      <c r="AG231" s="433"/>
      <c r="AH231" s="81"/>
    </row>
    <row r="232" spans="3:34">
      <c r="C232" s="82"/>
      <c r="D232" s="591" t="s">
        <v>22</v>
      </c>
      <c r="K232" s="392"/>
      <c r="L232" s="393"/>
      <c r="M232" s="394"/>
      <c r="N232" s="393"/>
      <c r="O232" s="434"/>
      <c r="P232" s="434"/>
      <c r="Q232" s="435"/>
      <c r="R232" s="435"/>
      <c r="S232" s="435"/>
      <c r="T232" s="435"/>
      <c r="U232" s="435"/>
      <c r="V232" s="435"/>
      <c r="W232" s="436"/>
      <c r="X232" s="434"/>
      <c r="Y232" s="435"/>
      <c r="Z232" s="435"/>
      <c r="AA232" s="435"/>
      <c r="AB232" s="436"/>
      <c r="AC232" s="434"/>
      <c r="AD232" s="435"/>
      <c r="AE232" s="435"/>
      <c r="AF232" s="435"/>
      <c r="AG232" s="436"/>
      <c r="AH232" s="81"/>
    </row>
    <row r="233" spans="3:34">
      <c r="C233" s="82"/>
      <c r="D233" s="614" t="s">
        <v>24</v>
      </c>
      <c r="E233" s="104"/>
      <c r="F233" s="104"/>
      <c r="G233" s="104"/>
      <c r="H233" s="104"/>
      <c r="I233" s="104"/>
      <c r="J233" s="104"/>
      <c r="K233" s="349">
        <f t="shared" ref="K233:AA233" si="39">+K230-K231-K232</f>
        <v>0</v>
      </c>
      <c r="L233" s="349">
        <f t="shared" si="39"/>
        <v>0</v>
      </c>
      <c r="M233" s="349">
        <f t="shared" si="39"/>
        <v>0</v>
      </c>
      <c r="N233" s="349">
        <f>+N230-N231-N232</f>
        <v>0</v>
      </c>
      <c r="O233" s="378">
        <f>+O230-O231-O232</f>
        <v>0</v>
      </c>
      <c r="P233" s="378">
        <f>+P230-P231-P232</f>
        <v>0</v>
      </c>
      <c r="Q233" s="378">
        <f>+Q230-Q231-Q232</f>
        <v>0</v>
      </c>
      <c r="R233" s="378">
        <f>+R230-R231-R232</f>
        <v>0</v>
      </c>
      <c r="S233" s="378">
        <f t="shared" si="39"/>
        <v>0</v>
      </c>
      <c r="T233" s="378">
        <f t="shared" si="39"/>
        <v>0</v>
      </c>
      <c r="U233" s="378">
        <f t="shared" si="39"/>
        <v>0</v>
      </c>
      <c r="V233" s="378">
        <f t="shared" si="39"/>
        <v>0</v>
      </c>
      <c r="W233" s="378">
        <f t="shared" si="39"/>
        <v>0</v>
      </c>
      <c r="X233" s="378">
        <f t="shared" si="39"/>
        <v>0</v>
      </c>
      <c r="Y233" s="378">
        <f t="shared" si="39"/>
        <v>0</v>
      </c>
      <c r="Z233" s="378">
        <f t="shared" si="39"/>
        <v>0</v>
      </c>
      <c r="AA233" s="378">
        <f t="shared" si="39"/>
        <v>0</v>
      </c>
      <c r="AB233" s="378">
        <f t="shared" ref="AB233:AG233" si="40">+AB230-AB231-AB232</f>
        <v>0</v>
      </c>
      <c r="AC233" s="378">
        <f t="shared" si="40"/>
        <v>0</v>
      </c>
      <c r="AD233" s="378">
        <f t="shared" si="40"/>
        <v>0</v>
      </c>
      <c r="AE233" s="378">
        <f t="shared" si="40"/>
        <v>0</v>
      </c>
      <c r="AF233" s="378">
        <f t="shared" si="40"/>
        <v>0</v>
      </c>
      <c r="AG233" s="378">
        <f t="shared" si="40"/>
        <v>0</v>
      </c>
      <c r="AH233" s="81"/>
    </row>
    <row r="234" spans="3:34">
      <c r="C234" s="82"/>
      <c r="D234" s="614"/>
      <c r="E234" s="104"/>
      <c r="F234" s="104"/>
      <c r="G234" s="104"/>
      <c r="H234" s="104"/>
      <c r="I234" s="104"/>
      <c r="J234" s="104"/>
      <c r="K234" s="349"/>
      <c r="L234" s="349"/>
      <c r="M234" s="349"/>
      <c r="N234" s="349"/>
      <c r="O234" s="378"/>
      <c r="P234" s="378"/>
      <c r="Q234" s="378"/>
      <c r="R234" s="378"/>
      <c r="S234" s="378"/>
      <c r="T234" s="378"/>
      <c r="U234" s="378"/>
      <c r="V234" s="378"/>
      <c r="W234" s="378"/>
      <c r="X234" s="378"/>
      <c r="Y234" s="378"/>
      <c r="Z234" s="378"/>
      <c r="AA234" s="378"/>
      <c r="AB234" s="378"/>
      <c r="AC234" s="378"/>
      <c r="AD234" s="378"/>
      <c r="AE234" s="378"/>
      <c r="AF234" s="378"/>
      <c r="AG234" s="378"/>
      <c r="AH234" s="81"/>
    </row>
    <row r="235" spans="3:34">
      <c r="C235" s="82"/>
      <c r="D235" s="591" t="s">
        <v>61</v>
      </c>
      <c r="E235" s="104"/>
      <c r="F235" s="104"/>
      <c r="G235" s="104"/>
      <c r="H235" s="104"/>
      <c r="I235" s="104"/>
      <c r="J235" s="104"/>
      <c r="K235" s="385"/>
      <c r="L235" s="385"/>
      <c r="M235" s="386"/>
      <c r="N235" s="385"/>
      <c r="O235" s="428"/>
      <c r="P235" s="428"/>
      <c r="Q235" s="429"/>
      <c r="R235" s="429"/>
      <c r="S235" s="429"/>
      <c r="T235" s="429"/>
      <c r="U235" s="429"/>
      <c r="V235" s="429"/>
      <c r="W235" s="430"/>
      <c r="X235" s="428"/>
      <c r="Y235" s="429"/>
      <c r="Z235" s="429"/>
      <c r="AA235" s="429"/>
      <c r="AB235" s="430"/>
      <c r="AC235" s="428"/>
      <c r="AD235" s="429"/>
      <c r="AE235" s="429"/>
      <c r="AF235" s="429"/>
      <c r="AG235" s="430"/>
      <c r="AH235" s="81"/>
    </row>
    <row r="236" spans="3:34">
      <c r="C236" s="82"/>
      <c r="D236" s="591" t="s">
        <v>18</v>
      </c>
      <c r="E236" s="104"/>
      <c r="F236" s="104"/>
      <c r="G236" s="104"/>
      <c r="H236" s="104"/>
      <c r="I236" s="104"/>
      <c r="J236" s="104"/>
      <c r="K236" s="393"/>
      <c r="L236" s="393"/>
      <c r="M236" s="394"/>
      <c r="N236" s="393"/>
      <c r="O236" s="434"/>
      <c r="P236" s="434"/>
      <c r="Q236" s="435"/>
      <c r="R236" s="435"/>
      <c r="S236" s="435"/>
      <c r="T236" s="435"/>
      <c r="U236" s="435"/>
      <c r="V236" s="435"/>
      <c r="W236" s="436"/>
      <c r="X236" s="434"/>
      <c r="Y236" s="435"/>
      <c r="Z236" s="435"/>
      <c r="AA236" s="435"/>
      <c r="AB236" s="436"/>
      <c r="AC236" s="434"/>
      <c r="AD236" s="435"/>
      <c r="AE236" s="435"/>
      <c r="AF236" s="435"/>
      <c r="AG236" s="436"/>
      <c r="AH236" s="81"/>
    </row>
    <row r="237" spans="3:34">
      <c r="C237" s="92"/>
      <c r="D237" s="75"/>
      <c r="E237" s="75"/>
      <c r="F237" s="75"/>
      <c r="G237" s="75"/>
      <c r="H237" s="75"/>
      <c r="I237" s="75"/>
      <c r="J237" s="75"/>
      <c r="K237" s="393"/>
      <c r="L237" s="393"/>
      <c r="M237" s="393"/>
      <c r="N237" s="393"/>
      <c r="O237" s="834"/>
      <c r="P237" s="834"/>
      <c r="Q237" s="834"/>
      <c r="R237" s="834"/>
      <c r="S237" s="834"/>
      <c r="T237" s="834"/>
      <c r="U237" s="834"/>
      <c r="V237" s="834"/>
      <c r="W237" s="834"/>
      <c r="X237" s="834"/>
      <c r="Y237" s="834"/>
      <c r="Z237" s="834"/>
      <c r="AA237" s="834"/>
      <c r="AB237" s="834"/>
      <c r="AC237" s="834"/>
      <c r="AD237" s="834"/>
      <c r="AE237" s="834"/>
      <c r="AF237" s="834"/>
      <c r="AG237" s="834"/>
      <c r="AH237" s="94"/>
    </row>
    <row r="238" spans="3:34">
      <c r="K238" s="573"/>
      <c r="L238" s="573"/>
      <c r="M238" s="573"/>
      <c r="N238" s="573"/>
      <c r="O238" s="375"/>
      <c r="P238" s="375"/>
      <c r="Q238" s="375"/>
      <c r="R238" s="375"/>
      <c r="S238" s="375"/>
      <c r="T238" s="375"/>
      <c r="U238" s="375"/>
      <c r="V238" s="375"/>
      <c r="W238" s="375"/>
      <c r="X238" s="375"/>
      <c r="Y238" s="375"/>
      <c r="Z238" s="375"/>
      <c r="AA238" s="375"/>
      <c r="AB238" s="375"/>
      <c r="AC238" s="375"/>
      <c r="AD238" s="375"/>
      <c r="AE238" s="375"/>
      <c r="AF238" s="375"/>
      <c r="AG238" s="375"/>
    </row>
    <row r="239" spans="3:34">
      <c r="C239" s="76"/>
      <c r="D239" s="2283" t="s">
        <v>290</v>
      </c>
      <c r="E239" s="2284"/>
      <c r="F239" s="2284"/>
      <c r="G239" s="2284"/>
      <c r="H239" s="2285"/>
      <c r="I239" s="77"/>
      <c r="J239" s="77"/>
      <c r="K239" s="385"/>
      <c r="L239" s="385"/>
      <c r="M239" s="385"/>
      <c r="N239" s="385"/>
      <c r="O239" s="832"/>
      <c r="P239" s="832"/>
      <c r="Q239" s="832"/>
      <c r="R239" s="832"/>
      <c r="S239" s="832"/>
      <c r="T239" s="832"/>
      <c r="U239" s="832"/>
      <c r="V239" s="832"/>
      <c r="W239" s="832"/>
      <c r="X239" s="832"/>
      <c r="Y239" s="832"/>
      <c r="Z239" s="832"/>
      <c r="AA239" s="832"/>
      <c r="AB239" s="832"/>
      <c r="AC239" s="832"/>
      <c r="AD239" s="832"/>
      <c r="AE239" s="832"/>
      <c r="AF239" s="832"/>
      <c r="AG239" s="832"/>
      <c r="AH239" s="80"/>
    </row>
    <row r="240" spans="3:34">
      <c r="C240" s="82"/>
      <c r="D240" s="647"/>
      <c r="E240" s="647"/>
      <c r="F240" s="647"/>
      <c r="G240" s="647"/>
      <c r="K240" s="349"/>
      <c r="L240" s="349"/>
      <c r="M240" s="349"/>
      <c r="N240" s="349"/>
      <c r="O240" s="378"/>
      <c r="P240" s="378"/>
      <c r="Q240" s="378"/>
      <c r="R240" s="378"/>
      <c r="S240" s="378"/>
      <c r="T240" s="378"/>
      <c r="U240" s="378"/>
      <c r="V240" s="378"/>
      <c r="W240" s="378"/>
      <c r="X240" s="378"/>
      <c r="Y240" s="378"/>
      <c r="Z240" s="378"/>
      <c r="AA240" s="378"/>
      <c r="AB240" s="378"/>
      <c r="AC240" s="378"/>
      <c r="AD240" s="378"/>
      <c r="AE240" s="378"/>
      <c r="AF240" s="378"/>
      <c r="AG240" s="378"/>
      <c r="AH240" s="81"/>
    </row>
    <row r="241" spans="3:34">
      <c r="C241" s="82"/>
      <c r="D241" s="647" t="s">
        <v>68</v>
      </c>
      <c r="E241" s="647"/>
      <c r="F241" s="647"/>
      <c r="G241" s="647"/>
      <c r="K241" s="400"/>
      <c r="L241" s="401"/>
      <c r="M241" s="401"/>
      <c r="N241" s="400"/>
      <c r="O241" s="437"/>
      <c r="P241" s="437"/>
      <c r="Q241" s="438"/>
      <c r="R241" s="438"/>
      <c r="S241" s="438"/>
      <c r="T241" s="438"/>
      <c r="U241" s="438"/>
      <c r="V241" s="438"/>
      <c r="W241" s="439"/>
      <c r="X241" s="437"/>
      <c r="Y241" s="438"/>
      <c r="Z241" s="438"/>
      <c r="AA241" s="438"/>
      <c r="AB241" s="439"/>
      <c r="AC241" s="437"/>
      <c r="AD241" s="438"/>
      <c r="AE241" s="438"/>
      <c r="AF241" s="438"/>
      <c r="AG241" s="439"/>
      <c r="AH241" s="81"/>
    </row>
    <row r="242" spans="3:34">
      <c r="C242" s="82"/>
      <c r="D242" s="647"/>
      <c r="E242" s="647"/>
      <c r="F242" s="647"/>
      <c r="G242" s="647"/>
      <c r="K242" s="349"/>
      <c r="L242" s="349"/>
      <c r="M242" s="349"/>
      <c r="N242" s="349"/>
      <c r="O242" s="835"/>
      <c r="P242" s="835"/>
      <c r="Q242" s="835"/>
      <c r="R242" s="835"/>
      <c r="S242" s="835"/>
      <c r="T242" s="835"/>
      <c r="U242" s="835"/>
      <c r="V242" s="835"/>
      <c r="W242" s="835"/>
      <c r="X242" s="835"/>
      <c r="Y242" s="835"/>
      <c r="Z242" s="835"/>
      <c r="AA242" s="835"/>
      <c r="AB242" s="835"/>
      <c r="AC242" s="835"/>
      <c r="AD242" s="835"/>
      <c r="AE242" s="835"/>
      <c r="AF242" s="835"/>
      <c r="AG242" s="835"/>
      <c r="AH242" s="81"/>
    </row>
    <row r="243" spans="3:34">
      <c r="C243" s="82"/>
      <c r="D243" s="647" t="s">
        <v>26</v>
      </c>
      <c r="E243" s="647"/>
      <c r="F243" s="647"/>
      <c r="G243" s="647"/>
      <c r="K243" s="400"/>
      <c r="L243" s="401"/>
      <c r="M243" s="401"/>
      <c r="N243" s="400"/>
      <c r="O243" s="437"/>
      <c r="P243" s="437"/>
      <c r="Q243" s="438"/>
      <c r="R243" s="438"/>
      <c r="S243" s="438"/>
      <c r="T243" s="438"/>
      <c r="U243" s="438"/>
      <c r="V243" s="438"/>
      <c r="W243" s="439"/>
      <c r="X243" s="437"/>
      <c r="Y243" s="438"/>
      <c r="Z243" s="438"/>
      <c r="AA243" s="438"/>
      <c r="AB243" s="439"/>
      <c r="AC243" s="437"/>
      <c r="AD243" s="438"/>
      <c r="AE243" s="438"/>
      <c r="AF243" s="438"/>
      <c r="AG243" s="439"/>
      <c r="AH243" s="81"/>
    </row>
    <row r="244" spans="3:34">
      <c r="C244" s="82"/>
      <c r="D244" s="647"/>
      <c r="E244" s="647"/>
      <c r="F244" s="647"/>
      <c r="G244" s="647"/>
      <c r="K244" s="349"/>
      <c r="L244" s="349"/>
      <c r="M244" s="349"/>
      <c r="N244" s="349"/>
      <c r="O244" s="835"/>
      <c r="P244" s="835"/>
      <c r="Q244" s="835"/>
      <c r="R244" s="835"/>
      <c r="S244" s="835"/>
      <c r="T244" s="835"/>
      <c r="U244" s="835"/>
      <c r="V244" s="835"/>
      <c r="W244" s="835"/>
      <c r="X244" s="835"/>
      <c r="Y244" s="835"/>
      <c r="Z244" s="835"/>
      <c r="AA244" s="835"/>
      <c r="AB244" s="835"/>
      <c r="AC244" s="835"/>
      <c r="AD244" s="835"/>
      <c r="AE244" s="835"/>
      <c r="AF244" s="835"/>
      <c r="AG244" s="835"/>
      <c r="AH244" s="81"/>
    </row>
    <row r="245" spans="3:34">
      <c r="C245" s="82"/>
      <c r="D245" s="591" t="s">
        <v>23</v>
      </c>
      <c r="K245" s="384"/>
      <c r="L245" s="385"/>
      <c r="M245" s="386"/>
      <c r="N245" s="385"/>
      <c r="O245" s="428"/>
      <c r="P245" s="428"/>
      <c r="Q245" s="429"/>
      <c r="R245" s="429"/>
      <c r="S245" s="429"/>
      <c r="T245" s="429"/>
      <c r="U245" s="429"/>
      <c r="V245" s="429"/>
      <c r="W245" s="430"/>
      <c r="X245" s="428"/>
      <c r="Y245" s="429"/>
      <c r="Z245" s="429"/>
      <c r="AA245" s="429"/>
      <c r="AB245" s="430"/>
      <c r="AC245" s="428"/>
      <c r="AD245" s="429"/>
      <c r="AE245" s="429"/>
      <c r="AF245" s="429"/>
      <c r="AG245" s="430"/>
      <c r="AH245" s="81"/>
    </row>
    <row r="246" spans="3:34">
      <c r="C246" s="833"/>
      <c r="D246" s="591" t="s">
        <v>19</v>
      </c>
      <c r="K246" s="387"/>
      <c r="L246" s="349"/>
      <c r="M246" s="388"/>
      <c r="N246" s="349"/>
      <c r="O246" s="431"/>
      <c r="P246" s="431"/>
      <c r="Q246" s="432"/>
      <c r="R246" s="432"/>
      <c r="S246" s="432"/>
      <c r="T246" s="432"/>
      <c r="U246" s="432"/>
      <c r="V246" s="432"/>
      <c r="W246" s="433"/>
      <c r="X246" s="431"/>
      <c r="Y246" s="432"/>
      <c r="Z246" s="432"/>
      <c r="AA246" s="432"/>
      <c r="AB246" s="433"/>
      <c r="AC246" s="431"/>
      <c r="AD246" s="432"/>
      <c r="AE246" s="432"/>
      <c r="AF246" s="432"/>
      <c r="AG246" s="433"/>
      <c r="AH246" s="81"/>
    </row>
    <row r="247" spans="3:34">
      <c r="C247" s="82"/>
      <c r="D247" s="591" t="s">
        <v>22</v>
      </c>
      <c r="K247" s="392"/>
      <c r="L247" s="393"/>
      <c r="M247" s="394"/>
      <c r="N247" s="393"/>
      <c r="O247" s="434"/>
      <c r="P247" s="434"/>
      <c r="Q247" s="435"/>
      <c r="R247" s="435"/>
      <c r="S247" s="435"/>
      <c r="T247" s="435"/>
      <c r="U247" s="435"/>
      <c r="V247" s="435"/>
      <c r="W247" s="436"/>
      <c r="X247" s="434"/>
      <c r="Y247" s="435"/>
      <c r="Z247" s="435"/>
      <c r="AA247" s="435"/>
      <c r="AB247" s="436"/>
      <c r="AC247" s="434"/>
      <c r="AD247" s="435"/>
      <c r="AE247" s="435"/>
      <c r="AF247" s="435"/>
      <c r="AG247" s="436"/>
      <c r="AH247" s="81"/>
    </row>
    <row r="248" spans="3:34">
      <c r="C248" s="82"/>
      <c r="D248" s="614" t="s">
        <v>24</v>
      </c>
      <c r="E248" s="104"/>
      <c r="F248" s="104"/>
      <c r="G248" s="104"/>
      <c r="H248" s="104"/>
      <c r="I248" s="104"/>
      <c r="J248" s="104"/>
      <c r="K248" s="349">
        <f t="shared" ref="K248:AA248" si="41">+K245-K246-K247</f>
        <v>0</v>
      </c>
      <c r="L248" s="349">
        <f t="shared" si="41"/>
        <v>0</v>
      </c>
      <c r="M248" s="349">
        <f t="shared" si="41"/>
        <v>0</v>
      </c>
      <c r="N248" s="349">
        <f>+N245-N246-N247</f>
        <v>0</v>
      </c>
      <c r="O248" s="378">
        <f>+O245-O246-O247</f>
        <v>0</v>
      </c>
      <c r="P248" s="378">
        <f>+P245-P246-P247</f>
        <v>0</v>
      </c>
      <c r="Q248" s="378">
        <f>+Q245-Q246-Q247</f>
        <v>0</v>
      </c>
      <c r="R248" s="378">
        <f>+R245-R246-R247</f>
        <v>0</v>
      </c>
      <c r="S248" s="378">
        <f t="shared" si="41"/>
        <v>0</v>
      </c>
      <c r="T248" s="378">
        <f t="shared" si="41"/>
        <v>0</v>
      </c>
      <c r="U248" s="378">
        <f t="shared" si="41"/>
        <v>0</v>
      </c>
      <c r="V248" s="378">
        <f t="shared" si="41"/>
        <v>0</v>
      </c>
      <c r="W248" s="378">
        <f t="shared" si="41"/>
        <v>0</v>
      </c>
      <c r="X248" s="378">
        <f t="shared" si="41"/>
        <v>0</v>
      </c>
      <c r="Y248" s="378">
        <f t="shared" si="41"/>
        <v>0</v>
      </c>
      <c r="Z248" s="378">
        <f t="shared" si="41"/>
        <v>0</v>
      </c>
      <c r="AA248" s="378">
        <f t="shared" si="41"/>
        <v>0</v>
      </c>
      <c r="AB248" s="378">
        <f t="shared" ref="AB248:AG248" si="42">+AB245-AB246-AB247</f>
        <v>0</v>
      </c>
      <c r="AC248" s="378">
        <f t="shared" si="42"/>
        <v>0</v>
      </c>
      <c r="AD248" s="378">
        <f t="shared" si="42"/>
        <v>0</v>
      </c>
      <c r="AE248" s="378">
        <f t="shared" si="42"/>
        <v>0</v>
      </c>
      <c r="AF248" s="378">
        <f t="shared" si="42"/>
        <v>0</v>
      </c>
      <c r="AG248" s="378">
        <f t="shared" si="42"/>
        <v>0</v>
      </c>
      <c r="AH248" s="81"/>
    </row>
    <row r="249" spans="3:34">
      <c r="C249" s="82"/>
      <c r="D249" s="614"/>
      <c r="E249" s="104"/>
      <c r="F249" s="104"/>
      <c r="G249" s="104"/>
      <c r="H249" s="104"/>
      <c r="I249" s="104"/>
      <c r="J249" s="104"/>
      <c r="K249" s="349"/>
      <c r="L249" s="349"/>
      <c r="M249" s="349"/>
      <c r="N249" s="349"/>
      <c r="O249" s="378"/>
      <c r="P249" s="378"/>
      <c r="Q249" s="378"/>
      <c r="R249" s="378"/>
      <c r="S249" s="378"/>
      <c r="T249" s="378"/>
      <c r="U249" s="378"/>
      <c r="V249" s="378"/>
      <c r="W249" s="378"/>
      <c r="X249" s="378"/>
      <c r="Y249" s="378"/>
      <c r="Z249" s="378"/>
      <c r="AA249" s="378"/>
      <c r="AB249" s="378"/>
      <c r="AC249" s="378"/>
      <c r="AD249" s="378"/>
      <c r="AE249" s="378"/>
      <c r="AF249" s="378"/>
      <c r="AG249" s="378"/>
      <c r="AH249" s="81"/>
    </row>
    <row r="250" spans="3:34">
      <c r="C250" s="82"/>
      <c r="D250" s="591" t="s">
        <v>61</v>
      </c>
      <c r="E250" s="104"/>
      <c r="F250" s="104"/>
      <c r="G250" s="104"/>
      <c r="H250" s="104"/>
      <c r="I250" s="104"/>
      <c r="J250" s="104"/>
      <c r="K250" s="385"/>
      <c r="L250" s="385"/>
      <c r="M250" s="386"/>
      <c r="N250" s="385"/>
      <c r="O250" s="428"/>
      <c r="P250" s="428"/>
      <c r="Q250" s="429"/>
      <c r="R250" s="429"/>
      <c r="S250" s="429"/>
      <c r="T250" s="429"/>
      <c r="U250" s="429"/>
      <c r="V250" s="429"/>
      <c r="W250" s="430"/>
      <c r="X250" s="428"/>
      <c r="Y250" s="429"/>
      <c r="Z250" s="429"/>
      <c r="AA250" s="429"/>
      <c r="AB250" s="430"/>
      <c r="AC250" s="428"/>
      <c r="AD250" s="429"/>
      <c r="AE250" s="429"/>
      <c r="AF250" s="429"/>
      <c r="AG250" s="430"/>
      <c r="AH250" s="81"/>
    </row>
    <row r="251" spans="3:34">
      <c r="C251" s="82"/>
      <c r="D251" s="591" t="s">
        <v>18</v>
      </c>
      <c r="E251" s="104"/>
      <c r="F251" s="104"/>
      <c r="G251" s="104"/>
      <c r="H251" s="104"/>
      <c r="I251" s="104"/>
      <c r="J251" s="104"/>
      <c r="K251" s="393"/>
      <c r="L251" s="393"/>
      <c r="M251" s="394"/>
      <c r="N251" s="393"/>
      <c r="O251" s="434"/>
      <c r="P251" s="434"/>
      <c r="Q251" s="435"/>
      <c r="R251" s="435"/>
      <c r="S251" s="435"/>
      <c r="T251" s="435"/>
      <c r="U251" s="435"/>
      <c r="V251" s="435"/>
      <c r="W251" s="436"/>
      <c r="X251" s="434"/>
      <c r="Y251" s="435"/>
      <c r="Z251" s="435"/>
      <c r="AA251" s="435"/>
      <c r="AB251" s="436"/>
      <c r="AC251" s="434"/>
      <c r="AD251" s="435"/>
      <c r="AE251" s="435"/>
      <c r="AF251" s="435"/>
      <c r="AG251" s="436"/>
      <c r="AH251" s="81"/>
    </row>
    <row r="252" spans="3:34">
      <c r="C252" s="92"/>
      <c r="D252" s="75"/>
      <c r="E252" s="75"/>
      <c r="F252" s="75"/>
      <c r="G252" s="75"/>
      <c r="H252" s="75"/>
      <c r="I252" s="75"/>
      <c r="J252" s="75"/>
      <c r="K252" s="393"/>
      <c r="L252" s="393"/>
      <c r="M252" s="393"/>
      <c r="N252" s="393"/>
      <c r="O252" s="393"/>
      <c r="P252" s="393"/>
      <c r="Q252" s="393"/>
      <c r="R252" s="393"/>
      <c r="S252" s="834"/>
      <c r="T252" s="834"/>
      <c r="U252" s="834"/>
      <c r="V252" s="834"/>
      <c r="W252" s="834"/>
      <c r="X252" s="834"/>
      <c r="Y252" s="834"/>
      <c r="Z252" s="834"/>
      <c r="AA252" s="834"/>
      <c r="AB252" s="834"/>
      <c r="AC252" s="834"/>
      <c r="AD252" s="834"/>
      <c r="AE252" s="834"/>
      <c r="AF252" s="834"/>
      <c r="AG252" s="834"/>
      <c r="AH252" s="94"/>
    </row>
    <row r="253" spans="3:34">
      <c r="K253" s="573"/>
      <c r="L253" s="573"/>
      <c r="M253" s="573"/>
      <c r="N253" s="573"/>
      <c r="O253" s="573"/>
      <c r="P253" s="573"/>
      <c r="Q253" s="573"/>
      <c r="R253" s="573"/>
      <c r="S253" s="375"/>
      <c r="T253" s="375"/>
      <c r="U253" s="375"/>
      <c r="V253" s="375"/>
      <c r="W253" s="375"/>
      <c r="X253" s="375"/>
      <c r="Y253" s="375"/>
      <c r="Z253" s="375"/>
      <c r="AA253" s="375"/>
      <c r="AB253" s="375"/>
      <c r="AC253" s="375"/>
      <c r="AD253" s="375"/>
      <c r="AE253" s="375"/>
      <c r="AF253" s="375"/>
      <c r="AG253" s="375"/>
    </row>
    <row r="254" spans="3:34">
      <c r="K254" s="404"/>
      <c r="L254" s="404"/>
      <c r="M254" s="404"/>
      <c r="N254" s="404"/>
      <c r="O254" s="404"/>
      <c r="P254" s="404"/>
      <c r="Q254" s="404"/>
      <c r="R254" s="404"/>
      <c r="S254" s="405"/>
      <c r="T254" s="405"/>
      <c r="U254" s="405"/>
      <c r="V254" s="405"/>
      <c r="W254" s="405"/>
      <c r="X254" s="405"/>
      <c r="Y254" s="405"/>
      <c r="Z254" s="405"/>
      <c r="AA254" s="405"/>
      <c r="AB254" s="405"/>
    </row>
    <row r="255" spans="3:34">
      <c r="K255" s="404"/>
      <c r="L255" s="404"/>
      <c r="M255" s="404"/>
      <c r="N255" s="404"/>
      <c r="O255" s="404"/>
      <c r="P255" s="404"/>
      <c r="Q255" s="404"/>
      <c r="R255" s="404"/>
      <c r="S255" s="405"/>
      <c r="T255" s="405"/>
      <c r="U255" s="405"/>
      <c r="V255" s="405"/>
      <c r="W255" s="405"/>
      <c r="X255" s="405"/>
      <c r="Y255" s="405"/>
      <c r="Z255" s="405"/>
      <c r="AA255" s="405"/>
      <c r="AB255" s="405"/>
    </row>
    <row r="256" spans="3:34">
      <c r="K256" s="404"/>
      <c r="L256" s="404"/>
      <c r="M256" s="404"/>
      <c r="N256" s="404"/>
      <c r="O256" s="404"/>
      <c r="P256" s="404"/>
      <c r="Q256" s="404"/>
      <c r="R256" s="404"/>
      <c r="S256" s="405"/>
      <c r="T256" s="405"/>
      <c r="U256" s="405"/>
      <c r="V256" s="405"/>
      <c r="W256" s="405"/>
      <c r="X256" s="405"/>
      <c r="Y256" s="405"/>
      <c r="Z256" s="405"/>
      <c r="AA256" s="405"/>
      <c r="AB256" s="405"/>
    </row>
    <row r="257" spans="11:28">
      <c r="K257" s="404"/>
      <c r="L257" s="404"/>
      <c r="M257" s="404"/>
      <c r="N257" s="404"/>
      <c r="O257" s="404"/>
      <c r="P257" s="404"/>
      <c r="Q257" s="404"/>
      <c r="R257" s="404"/>
      <c r="S257" s="405"/>
      <c r="T257" s="405"/>
      <c r="U257" s="405"/>
      <c r="V257" s="405"/>
      <c r="W257" s="405"/>
      <c r="X257" s="405"/>
      <c r="Y257" s="405"/>
      <c r="Z257" s="405"/>
      <c r="AA257" s="405"/>
      <c r="AB257" s="405"/>
    </row>
    <row r="258" spans="11:28">
      <c r="K258" s="404"/>
      <c r="L258" s="404"/>
      <c r="M258" s="404"/>
      <c r="N258" s="404"/>
      <c r="O258" s="404"/>
      <c r="P258" s="404"/>
      <c r="Q258" s="404"/>
      <c r="R258" s="404"/>
      <c r="S258" s="405"/>
      <c r="T258" s="405"/>
      <c r="U258" s="405"/>
      <c r="V258" s="405"/>
      <c r="W258" s="405"/>
      <c r="X258" s="405"/>
      <c r="Y258" s="405"/>
      <c r="Z258" s="405"/>
      <c r="AA258" s="405"/>
      <c r="AB258" s="405"/>
    </row>
    <row r="259" spans="11:28">
      <c r="K259" s="404"/>
      <c r="L259" s="404"/>
      <c r="M259" s="404"/>
      <c r="N259" s="404"/>
      <c r="O259" s="404"/>
      <c r="P259" s="404"/>
      <c r="Q259" s="404"/>
      <c r="R259" s="404"/>
      <c r="S259" s="405"/>
      <c r="T259" s="405"/>
      <c r="U259" s="405"/>
      <c r="V259" s="405"/>
      <c r="W259" s="405"/>
      <c r="X259" s="405"/>
      <c r="Y259" s="405"/>
      <c r="Z259" s="405"/>
      <c r="AA259" s="405"/>
      <c r="AB259" s="405"/>
    </row>
    <row r="260" spans="11:28">
      <c r="K260" s="404"/>
      <c r="L260" s="404"/>
      <c r="M260" s="404"/>
      <c r="N260" s="404"/>
      <c r="O260" s="404"/>
      <c r="P260" s="404"/>
      <c r="Q260" s="404"/>
      <c r="R260" s="404"/>
      <c r="S260" s="405"/>
      <c r="T260" s="405"/>
      <c r="U260" s="405"/>
      <c r="V260" s="405"/>
      <c r="W260" s="405"/>
      <c r="X260" s="405"/>
      <c r="Y260" s="405"/>
      <c r="Z260" s="405"/>
      <c r="AA260" s="405"/>
      <c r="AB260" s="405"/>
    </row>
    <row r="261" spans="11:28">
      <c r="K261" s="404"/>
      <c r="L261" s="404"/>
      <c r="M261" s="404"/>
      <c r="N261" s="404"/>
      <c r="O261" s="404"/>
      <c r="P261" s="404"/>
      <c r="Q261" s="404"/>
      <c r="R261" s="404"/>
      <c r="S261" s="405"/>
      <c r="T261" s="405"/>
      <c r="U261" s="405"/>
      <c r="V261" s="405"/>
      <c r="W261" s="405"/>
      <c r="X261" s="405"/>
      <c r="Y261" s="405"/>
      <c r="Z261" s="405"/>
      <c r="AA261" s="405"/>
      <c r="AB261" s="405"/>
    </row>
    <row r="262" spans="11:28">
      <c r="K262" s="404"/>
      <c r="L262" s="404"/>
      <c r="M262" s="404"/>
      <c r="N262" s="404"/>
      <c r="O262" s="404"/>
      <c r="P262" s="404"/>
      <c r="Q262" s="404"/>
      <c r="R262" s="404"/>
      <c r="S262" s="405"/>
      <c r="T262" s="405"/>
      <c r="U262" s="405"/>
      <c r="V262" s="405"/>
      <c r="W262" s="405"/>
      <c r="X262" s="405"/>
      <c r="Y262" s="405"/>
      <c r="Z262" s="405"/>
      <c r="AA262" s="405"/>
      <c r="AB262" s="405"/>
    </row>
    <row r="263" spans="11:28">
      <c r="K263" s="404"/>
      <c r="L263" s="404"/>
      <c r="M263" s="404"/>
      <c r="N263" s="404"/>
      <c r="O263" s="404"/>
      <c r="P263" s="404"/>
      <c r="Q263" s="404"/>
      <c r="R263" s="404"/>
      <c r="S263" s="405"/>
      <c r="T263" s="405"/>
      <c r="U263" s="405"/>
      <c r="V263" s="405"/>
      <c r="W263" s="405"/>
      <c r="X263" s="405"/>
      <c r="Y263" s="405"/>
      <c r="Z263" s="405"/>
      <c r="AA263" s="405"/>
      <c r="AB263" s="405"/>
    </row>
    <row r="264" spans="11:28">
      <c r="K264" s="404"/>
      <c r="L264" s="404"/>
      <c r="M264" s="404"/>
      <c r="N264" s="404"/>
      <c r="O264" s="404"/>
      <c r="P264" s="404"/>
      <c r="Q264" s="404"/>
      <c r="R264" s="404"/>
      <c r="S264" s="405"/>
      <c r="T264" s="405"/>
      <c r="U264" s="405"/>
      <c r="V264" s="405"/>
      <c r="W264" s="405"/>
      <c r="X264" s="405"/>
      <c r="Y264" s="405"/>
      <c r="Z264" s="405"/>
      <c r="AA264" s="405"/>
      <c r="AB264" s="405"/>
    </row>
    <row r="265" spans="11:28">
      <c r="K265" s="404"/>
      <c r="L265" s="404"/>
      <c r="M265" s="404"/>
      <c r="N265" s="404"/>
      <c r="O265" s="404"/>
      <c r="P265" s="404"/>
      <c r="Q265" s="404"/>
      <c r="R265" s="404"/>
      <c r="S265" s="405"/>
      <c r="T265" s="405"/>
      <c r="U265" s="405"/>
      <c r="V265" s="405"/>
      <c r="W265" s="405"/>
      <c r="X265" s="405"/>
      <c r="Y265" s="405"/>
      <c r="Z265" s="405"/>
      <c r="AA265" s="405"/>
      <c r="AB265" s="405"/>
    </row>
    <row r="266" spans="11:28">
      <c r="K266" s="404"/>
      <c r="L266" s="404"/>
      <c r="M266" s="404"/>
      <c r="N266" s="404"/>
      <c r="O266" s="404"/>
      <c r="P266" s="404"/>
      <c r="Q266" s="404"/>
      <c r="R266" s="404"/>
      <c r="S266" s="405"/>
      <c r="T266" s="405"/>
      <c r="U266" s="405"/>
      <c r="V266" s="405"/>
      <c r="W266" s="405"/>
      <c r="X266" s="405"/>
      <c r="Y266" s="405"/>
      <c r="Z266" s="405"/>
      <c r="AA266" s="405"/>
      <c r="AB266" s="405"/>
    </row>
    <row r="267" spans="11:28">
      <c r="K267" s="74"/>
      <c r="L267" s="74"/>
      <c r="M267" s="74"/>
      <c r="N267" s="74"/>
      <c r="O267" s="74"/>
      <c r="P267" s="74"/>
      <c r="Q267" s="74"/>
      <c r="R267" s="74"/>
    </row>
    <row r="268" spans="11:28">
      <c r="K268" s="74"/>
      <c r="L268" s="74"/>
      <c r="M268" s="74"/>
      <c r="N268" s="74"/>
      <c r="O268" s="74"/>
      <c r="P268" s="74"/>
      <c r="Q268" s="74"/>
      <c r="R268" s="74"/>
    </row>
    <row r="269" spans="11:28">
      <c r="K269" s="74"/>
      <c r="L269" s="74"/>
      <c r="M269" s="74"/>
      <c r="N269" s="74"/>
      <c r="O269" s="74"/>
      <c r="P269" s="74"/>
      <c r="Q269" s="74"/>
      <c r="R269" s="74"/>
    </row>
    <row r="270" spans="11:28">
      <c r="K270" s="74"/>
      <c r="L270" s="74"/>
      <c r="M270" s="74"/>
      <c r="N270" s="74"/>
      <c r="O270" s="74"/>
      <c r="P270" s="74"/>
      <c r="Q270" s="74"/>
      <c r="R270" s="74"/>
    </row>
    <row r="271" spans="11:28">
      <c r="K271" s="74"/>
      <c r="L271" s="74"/>
      <c r="M271" s="74"/>
      <c r="N271" s="74"/>
      <c r="O271" s="74"/>
      <c r="P271" s="74"/>
      <c r="Q271" s="74"/>
      <c r="R271" s="74"/>
    </row>
    <row r="272" spans="11:28">
      <c r="K272" s="74"/>
      <c r="L272" s="74"/>
      <c r="M272" s="74"/>
      <c r="N272" s="74"/>
      <c r="O272" s="74"/>
      <c r="P272" s="74"/>
      <c r="Q272" s="74"/>
      <c r="R272" s="74"/>
    </row>
    <row r="273" spans="11:18">
      <c r="K273" s="74"/>
      <c r="L273" s="74"/>
      <c r="M273" s="74"/>
      <c r="N273" s="74"/>
      <c r="O273" s="74"/>
      <c r="P273" s="74"/>
      <c r="Q273" s="74"/>
      <c r="R273" s="74"/>
    </row>
    <row r="274" spans="11:18">
      <c r="K274" s="74"/>
      <c r="L274" s="74"/>
      <c r="M274" s="74"/>
      <c r="N274" s="74"/>
      <c r="O274" s="74"/>
      <c r="P274" s="74"/>
      <c r="Q274" s="74"/>
      <c r="R274" s="74"/>
    </row>
    <row r="275" spans="11:18">
      <c r="K275" s="74"/>
      <c r="L275" s="74"/>
      <c r="M275" s="74"/>
      <c r="N275" s="74"/>
      <c r="O275" s="74"/>
      <c r="P275" s="74"/>
      <c r="Q275" s="74"/>
      <c r="R275" s="74"/>
    </row>
    <row r="276" spans="11:18">
      <c r="K276" s="74"/>
      <c r="L276" s="74"/>
      <c r="M276" s="74"/>
      <c r="N276" s="74"/>
      <c r="O276" s="74"/>
      <c r="P276" s="74"/>
      <c r="Q276" s="74"/>
      <c r="R276" s="74"/>
    </row>
    <row r="277" spans="11:18">
      <c r="K277" s="74"/>
      <c r="L277" s="74"/>
      <c r="M277" s="74"/>
      <c r="N277" s="74"/>
      <c r="O277" s="74"/>
      <c r="P277" s="74"/>
      <c r="Q277" s="74"/>
      <c r="R277" s="74"/>
    </row>
    <row r="278" spans="11:18">
      <c r="K278" s="232"/>
      <c r="L278" s="232"/>
      <c r="M278" s="232"/>
    </row>
    <row r="279" spans="11:18">
      <c r="K279" s="232"/>
      <c r="L279" s="232"/>
      <c r="M279" s="232"/>
    </row>
    <row r="280" spans="11:18">
      <c r="K280" s="232"/>
      <c r="L280" s="232"/>
      <c r="M280" s="232"/>
    </row>
    <row r="281" spans="11:18">
      <c r="K281" s="232"/>
      <c r="L281" s="232"/>
      <c r="M281" s="232"/>
    </row>
    <row r="282" spans="11:18">
      <c r="K282" s="232"/>
      <c r="L282" s="232"/>
      <c r="M282" s="232"/>
    </row>
    <row r="283" spans="11:18">
      <c r="K283" s="232"/>
      <c r="L283" s="232"/>
      <c r="M283" s="232"/>
    </row>
    <row r="284" spans="11:18">
      <c r="K284" s="232"/>
      <c r="L284" s="232"/>
      <c r="M284" s="232"/>
    </row>
    <row r="285" spans="11:18">
      <c r="K285" s="232"/>
      <c r="L285" s="232"/>
      <c r="M285" s="232"/>
    </row>
    <row r="286" spans="11:18">
      <c r="K286" s="232"/>
      <c r="L286" s="232"/>
      <c r="M286" s="232"/>
    </row>
    <row r="287" spans="11:18">
      <c r="K287" s="232"/>
      <c r="L287" s="232"/>
      <c r="M287" s="232"/>
    </row>
    <row r="288" spans="11:18">
      <c r="K288" s="232"/>
      <c r="L288" s="232"/>
      <c r="M288" s="232"/>
    </row>
    <row r="289" spans="11:13">
      <c r="K289" s="232"/>
      <c r="L289" s="232"/>
      <c r="M289" s="232"/>
    </row>
    <row r="290" spans="11:13">
      <c r="K290" s="232"/>
      <c r="L290" s="232"/>
      <c r="M290" s="232"/>
    </row>
    <row r="291" spans="11:13">
      <c r="K291" s="232"/>
      <c r="L291" s="232"/>
      <c r="M291" s="232"/>
    </row>
    <row r="292" spans="11:13">
      <c r="K292" s="232"/>
      <c r="L292" s="232"/>
      <c r="M292" s="232"/>
    </row>
    <row r="293" spans="11:13">
      <c r="K293" s="232"/>
      <c r="L293" s="232"/>
      <c r="M293" s="232"/>
    </row>
    <row r="294" spans="11:13">
      <c r="K294" s="232"/>
      <c r="L294" s="232"/>
      <c r="M294" s="232"/>
    </row>
    <row r="295" spans="11:13">
      <c r="K295" s="232"/>
      <c r="L295" s="232"/>
      <c r="M295" s="232"/>
    </row>
    <row r="296" spans="11:13">
      <c r="K296" s="232"/>
      <c r="L296" s="232"/>
      <c r="M296" s="232"/>
    </row>
    <row r="297" spans="11:13">
      <c r="K297" s="232"/>
      <c r="L297" s="232"/>
      <c r="M297" s="232"/>
    </row>
    <row r="298" spans="11:13">
      <c r="K298" s="232"/>
      <c r="L298" s="232"/>
      <c r="M298" s="232"/>
    </row>
    <row r="299" spans="11:13">
      <c r="K299" s="232"/>
      <c r="L299" s="232"/>
      <c r="M299" s="232"/>
    </row>
    <row r="300" spans="11:13">
      <c r="K300" s="232"/>
      <c r="L300" s="232"/>
      <c r="M300" s="232"/>
    </row>
    <row r="301" spans="11:13">
      <c r="K301" s="232"/>
      <c r="L301" s="232"/>
      <c r="M301" s="232"/>
    </row>
    <row r="302" spans="11:13">
      <c r="K302" s="232"/>
      <c r="L302" s="232"/>
      <c r="M302" s="232"/>
    </row>
    <row r="303" spans="11:13">
      <c r="K303" s="232"/>
      <c r="L303" s="232"/>
      <c r="M303" s="232"/>
    </row>
    <row r="304" spans="11:13">
      <c r="K304" s="232"/>
      <c r="L304" s="232"/>
      <c r="M304" s="232"/>
    </row>
    <row r="305" spans="11:13">
      <c r="K305" s="232"/>
      <c r="L305" s="232"/>
      <c r="M305" s="232"/>
    </row>
    <row r="306" spans="11:13">
      <c r="K306" s="232"/>
      <c r="L306" s="232"/>
      <c r="M306" s="232"/>
    </row>
    <row r="307" spans="11:13">
      <c r="K307" s="232"/>
      <c r="L307" s="232"/>
      <c r="M307" s="232"/>
    </row>
    <row r="308" spans="11:13">
      <c r="K308" s="232"/>
      <c r="L308" s="232"/>
      <c r="M308" s="232"/>
    </row>
    <row r="309" spans="11:13">
      <c r="K309" s="232"/>
      <c r="L309" s="232"/>
      <c r="M309" s="232"/>
    </row>
    <row r="310" spans="11:13">
      <c r="K310" s="232"/>
      <c r="L310" s="232"/>
      <c r="M310" s="232"/>
    </row>
    <row r="311" spans="11:13">
      <c r="K311" s="232"/>
      <c r="L311" s="232"/>
      <c r="M311" s="232"/>
    </row>
    <row r="312" spans="11:13">
      <c r="K312" s="232"/>
      <c r="L312" s="232"/>
      <c r="M312" s="232"/>
    </row>
    <row r="313" spans="11:13">
      <c r="K313" s="232"/>
      <c r="L313" s="232"/>
      <c r="M313" s="232"/>
    </row>
    <row r="314" spans="11:13">
      <c r="K314" s="232"/>
      <c r="L314" s="232"/>
      <c r="M314" s="232"/>
    </row>
    <row r="315" spans="11:13">
      <c r="K315" s="232"/>
      <c r="L315" s="232"/>
      <c r="M315" s="232"/>
    </row>
    <row r="316" spans="11:13">
      <c r="K316" s="232"/>
      <c r="L316" s="232"/>
      <c r="M316" s="232"/>
    </row>
    <row r="317" spans="11:13">
      <c r="K317" s="232"/>
      <c r="L317" s="232"/>
      <c r="M317" s="232"/>
    </row>
    <row r="318" spans="11:13">
      <c r="K318" s="232"/>
      <c r="L318" s="232"/>
      <c r="M318" s="232"/>
    </row>
    <row r="319" spans="11:13">
      <c r="K319" s="232"/>
      <c r="L319" s="232"/>
      <c r="M319" s="232"/>
    </row>
    <row r="320" spans="11:13">
      <c r="K320" s="232"/>
      <c r="L320" s="232"/>
      <c r="M320" s="232"/>
    </row>
    <row r="321" spans="11:13">
      <c r="K321" s="232"/>
      <c r="L321" s="232"/>
      <c r="M321" s="232"/>
    </row>
    <row r="322" spans="11:13">
      <c r="K322" s="232"/>
      <c r="L322" s="232"/>
      <c r="M322" s="232"/>
    </row>
    <row r="323" spans="11:13">
      <c r="K323" s="232"/>
      <c r="L323" s="232"/>
      <c r="M323" s="232"/>
    </row>
    <row r="324" spans="11:13">
      <c r="K324" s="232"/>
      <c r="L324" s="232"/>
      <c r="M324" s="232"/>
    </row>
    <row r="325" spans="11:13">
      <c r="K325" s="232"/>
      <c r="L325" s="232"/>
      <c r="M325" s="232"/>
    </row>
  </sheetData>
  <sheetProtection algorithmName="SHA-512" hashValue="4cwA+/q1LQTfxSshz8jvQllTw2J67tFPg1E7DOq3x/RN8qt8zB3MRzpEDqq33FnLtFJAwcQ3DPAL3ILV47hVlg==" saltValue="2U6rLuzit9YpwhgUL/YaJQ==" spinCount="100000" sheet="1" objects="1" scenarios="1"/>
  <mergeCells count="16">
    <mergeCell ref="B3:F3"/>
    <mergeCell ref="D149:H149"/>
    <mergeCell ref="D164:H164"/>
    <mergeCell ref="D194:H194"/>
    <mergeCell ref="D74:H74"/>
    <mergeCell ref="D89:H89"/>
    <mergeCell ref="D119:H119"/>
    <mergeCell ref="D104:H104"/>
    <mergeCell ref="D29:H29"/>
    <mergeCell ref="D44:H44"/>
    <mergeCell ref="D59:H59"/>
    <mergeCell ref="D209:H209"/>
    <mergeCell ref="D224:H224"/>
    <mergeCell ref="D239:H239"/>
    <mergeCell ref="D179:H179"/>
    <mergeCell ref="D134:H134"/>
  </mergeCells>
  <phoneticPr fontId="0" type="noConversion"/>
  <conditionalFormatting sqref="P24:AG24">
    <cfRule type="cellIs" dxfId="20" priority="1" operator="equal">
      <formula>"OK"</formula>
    </cfRule>
    <cfRule type="cellIs" dxfId="19" priority="2" operator="equal">
      <formula>"FLAG"</formula>
    </cfRule>
    <cfRule type="containsText" dxfId="18" priority="3" operator="containsText" text="FLAG">
      <formula>NOT(ISERROR(SEARCH("FLAG",P24)))</formula>
    </cfRule>
  </conditionalFormatting>
  <hyperlinks>
    <hyperlink ref="B3" location="HL_Home" tooltip="Go to Table of Contents" display="HL_Home" xr:uid="{00000000-0004-0000-0D00-000000000000}"/>
  </hyperlinks>
  <pageMargins left="0.39370078740157499" right="0.39370078740157499" top="0.59055118110236249" bottom="0.98425196850393748" header="0" footer="0.31496062992125973"/>
  <pageSetup paperSize="9" scale="73" orientation="landscape" r:id="rId1"/>
  <headerFooter alignWithMargins="0">
    <oddHeader>&amp;C&amp;"Calibri"&amp;12&amp;KFF0000 OFFICIAL&amp;1#_x000D_&amp;"Arial"&amp;8&amp;K000000&amp;B&amp;"Arial"&amp;12&amp;Kff0000​‌OFFICIAL‌​</oddHeader>
    <oddFooter>&amp;C&amp;"Arial,Bold"&amp;8Sheet n.
Page &amp;P of &amp;N&amp;L&amp;"Arial,Bold"&amp;7&amp;F
&amp;A
Printed: &amp;T on &amp;D</oddFooter>
  </headerFooter>
  <rowBreaks count="7" manualBreakCount="7">
    <brk id="57" min="1" max="23" man="1"/>
    <brk id="87" min="1" max="23" man="1"/>
    <brk id="117" min="1" max="23" man="1"/>
    <brk id="147" min="1" max="23" man="1"/>
    <brk id="177" min="1" max="23" man="1"/>
    <brk id="207" min="1" max="23" man="1"/>
    <brk id="237" min="1"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9">
    <pageSetUpPr autoPageBreaks="0"/>
  </sheetPr>
  <dimension ref="A1:AI358"/>
  <sheetViews>
    <sheetView showGridLines="0" zoomScaleNormal="100" workbookViewId="0">
      <pane xSplit="9" ySplit="7" topLeftCell="O17" activePane="bottomRight" state="frozen"/>
      <selection activeCell="R43" sqref="R43"/>
      <selection pane="topRight" activeCell="R43" sqref="R43"/>
      <selection pane="bottomLeft" activeCell="R43" sqref="R43"/>
      <selection pane="bottomRight" activeCell="P52" sqref="P52"/>
    </sheetView>
  </sheetViews>
  <sheetFormatPr defaultColWidth="10.83203125" defaultRowHeight="12" outlineLevelCol="1"/>
  <cols>
    <col min="1" max="4" width="3.83203125" style="70" customWidth="1"/>
    <col min="5" max="5" width="4.6640625" style="70" customWidth="1"/>
    <col min="6" max="6" width="15.1640625" style="70" customWidth="1"/>
    <col min="7" max="7" width="12.33203125" style="70" customWidth="1"/>
    <col min="8" max="8" width="12.6640625" style="405" bestFit="1" customWidth="1"/>
    <col min="9" max="9" width="11.1640625" style="70" customWidth="1"/>
    <col min="10" max="10" width="11.1640625" style="70" hidden="1" customWidth="1" outlineLevel="1"/>
    <col min="11" max="14" width="10.83203125" style="70" hidden="1" customWidth="1" outlineLevel="1"/>
    <col min="15" max="15" width="10.83203125" style="70" customWidth="1" collapsed="1"/>
    <col min="16" max="17" width="10.83203125" style="70" customWidth="1"/>
    <col min="18" max="18" width="11.83203125" style="70" customWidth="1"/>
    <col min="19" max="22" width="10.83203125" style="70" customWidth="1"/>
    <col min="23" max="23" width="11.33203125" style="70" customWidth="1"/>
    <col min="24" max="28" width="10.83203125" style="70" customWidth="1"/>
    <col min="29" max="30" width="10.33203125" style="70" customWidth="1"/>
    <col min="31" max="33" width="10.83203125" style="70"/>
    <col min="34" max="34" width="4.5" style="70" customWidth="1"/>
    <col min="35" max="16384" width="10.83203125" style="70"/>
  </cols>
  <sheetData>
    <row r="1" spans="1:34" ht="15">
      <c r="A1" s="152">
        <v>80</v>
      </c>
      <c r="B1" s="153" t="s">
        <v>123</v>
      </c>
      <c r="M1" s="232"/>
      <c r="N1" s="232"/>
      <c r="O1" s="232"/>
      <c r="P1" s="399"/>
      <c r="Q1" s="349"/>
      <c r="S1" s="381"/>
      <c r="W1" s="232"/>
      <c r="X1" s="232"/>
    </row>
    <row r="2" spans="1:34" ht="12.75">
      <c r="B2" s="155" t="str">
        <f>+Contents!H7</f>
        <v>North East Water</v>
      </c>
      <c r="M2" s="232"/>
      <c r="N2" s="232"/>
      <c r="O2" s="232"/>
      <c r="P2" s="381"/>
      <c r="Q2" s="573"/>
      <c r="S2" s="381"/>
    </row>
    <row r="3" spans="1:34">
      <c r="B3" s="2212" t="s">
        <v>0</v>
      </c>
      <c r="C3" s="2212"/>
      <c r="D3" s="2212"/>
      <c r="E3" s="2212"/>
      <c r="F3" s="2212"/>
      <c r="G3" s="159"/>
      <c r="Q3" s="74"/>
    </row>
    <row r="4" spans="1:34">
      <c r="A4" s="160"/>
      <c r="B4" s="72"/>
      <c r="C4" s="73"/>
      <c r="F4" s="60"/>
      <c r="K4" s="63"/>
      <c r="L4" s="149"/>
      <c r="M4" s="149" t="s">
        <v>274</v>
      </c>
      <c r="N4" s="149"/>
      <c r="O4" s="149"/>
      <c r="P4" s="1619"/>
      <c r="Q4" s="150"/>
      <c r="R4" s="150"/>
      <c r="S4" s="150"/>
      <c r="T4" s="1619" t="s">
        <v>334</v>
      </c>
      <c r="U4" s="150"/>
      <c r="V4" s="150"/>
      <c r="W4" s="150"/>
      <c r="X4" s="1619"/>
      <c r="Y4" s="150"/>
      <c r="Z4" s="150" t="s">
        <v>465</v>
      </c>
      <c r="AA4" s="150"/>
      <c r="AB4" s="62"/>
      <c r="AC4" s="64"/>
      <c r="AD4" s="64"/>
      <c r="AE4" s="150" t="s">
        <v>949</v>
      </c>
      <c r="AF4" s="63"/>
      <c r="AG4" s="62"/>
    </row>
    <row r="6" spans="1:34">
      <c r="B6" s="161"/>
      <c r="F6" s="162" t="s">
        <v>62</v>
      </c>
      <c r="I6" s="66">
        <v>2014</v>
      </c>
      <c r="J6" s="66">
        <v>2015</v>
      </c>
      <c r="K6" s="66">
        <v>2016</v>
      </c>
      <c r="L6" s="66">
        <v>2017</v>
      </c>
      <c r="M6" s="66">
        <v>2018</v>
      </c>
      <c r="N6" s="66">
        <v>2019</v>
      </c>
      <c r="O6" s="66">
        <v>2020</v>
      </c>
      <c r="P6" s="66">
        <v>2021</v>
      </c>
      <c r="Q6" s="66">
        <v>2022</v>
      </c>
      <c r="R6" s="66">
        <v>2023</v>
      </c>
      <c r="S6" s="67">
        <v>2024</v>
      </c>
      <c r="T6" s="67">
        <v>2025</v>
      </c>
      <c r="U6" s="67">
        <v>2026</v>
      </c>
      <c r="V6" s="67">
        <v>2027</v>
      </c>
      <c r="W6" s="67">
        <v>2028</v>
      </c>
      <c r="X6" s="67">
        <f>W6+1</f>
        <v>2029</v>
      </c>
      <c r="Y6" s="67">
        <f>X6+1</f>
        <v>2030</v>
      </c>
      <c r="Z6" s="67">
        <f t="shared" ref="Z6:AG6" si="0">Y6+1</f>
        <v>2031</v>
      </c>
      <c r="AA6" s="67">
        <f t="shared" si="0"/>
        <v>2032</v>
      </c>
      <c r="AB6" s="67">
        <f t="shared" si="0"/>
        <v>2033</v>
      </c>
      <c r="AC6" s="67">
        <f t="shared" si="0"/>
        <v>2034</v>
      </c>
      <c r="AD6" s="67">
        <f t="shared" si="0"/>
        <v>2035</v>
      </c>
      <c r="AE6" s="67">
        <f t="shared" si="0"/>
        <v>2036</v>
      </c>
      <c r="AF6" s="67">
        <f t="shared" si="0"/>
        <v>2037</v>
      </c>
      <c r="AG6" s="67">
        <f t="shared" si="0"/>
        <v>2038</v>
      </c>
    </row>
    <row r="7" spans="1:34">
      <c r="B7" s="164"/>
      <c r="C7" s="75"/>
      <c r="D7" s="75"/>
      <c r="E7" s="75"/>
      <c r="F7" s="165" t="s">
        <v>63</v>
      </c>
      <c r="G7" s="75"/>
      <c r="H7" s="596"/>
      <c r="K7" s="342" t="str">
        <f t="shared" ref="K7:X7" si="1">+CONCATENATE(I6-1,"-",RIGHT(I6,2))</f>
        <v>2013-14</v>
      </c>
      <c r="L7" s="342" t="str">
        <f t="shared" si="1"/>
        <v>2014-15</v>
      </c>
      <c r="M7" s="342" t="str">
        <f t="shared" si="1"/>
        <v>2015-16</v>
      </c>
      <c r="N7" s="342" t="str">
        <f t="shared" si="1"/>
        <v>2016-17</v>
      </c>
      <c r="O7" s="342" t="str">
        <f t="shared" si="1"/>
        <v>2017-18</v>
      </c>
      <c r="P7" s="342" t="str">
        <f t="shared" si="1"/>
        <v>2018-19</v>
      </c>
      <c r="Q7" s="342" t="str">
        <f t="shared" si="1"/>
        <v>2019-20</v>
      </c>
      <c r="R7" s="342" t="str">
        <f t="shared" si="1"/>
        <v>2020-21</v>
      </c>
      <c r="S7" s="342" t="str">
        <f t="shared" si="1"/>
        <v>2021-22</v>
      </c>
      <c r="T7" s="342" t="str">
        <f t="shared" si="1"/>
        <v>2022-23</v>
      </c>
      <c r="U7" s="342" t="str">
        <f t="shared" si="1"/>
        <v>2023-24</v>
      </c>
      <c r="V7" s="342" t="str">
        <f t="shared" si="1"/>
        <v>2024-25</v>
      </c>
      <c r="W7" s="342" t="str">
        <f t="shared" si="1"/>
        <v>2025-26</v>
      </c>
      <c r="X7" s="2129" t="str">
        <f t="shared" si="1"/>
        <v>2026-27</v>
      </c>
      <c r="Y7" s="342" t="str">
        <f t="shared" ref="Y7:AG7" si="2">+CONCATENATE(W6-1,"-",RIGHT(W6,2))</f>
        <v>2027-28</v>
      </c>
      <c r="Z7" s="342" t="str">
        <f t="shared" si="2"/>
        <v>2028-29</v>
      </c>
      <c r="AA7" s="342" t="str">
        <f t="shared" si="2"/>
        <v>2029-30</v>
      </c>
      <c r="AB7" s="342" t="str">
        <f t="shared" si="2"/>
        <v>2030-31</v>
      </c>
      <c r="AC7" s="342" t="str">
        <f t="shared" si="2"/>
        <v>2031-32</v>
      </c>
      <c r="AD7" s="342" t="str">
        <f t="shared" si="2"/>
        <v>2032-33</v>
      </c>
      <c r="AE7" s="342" t="str">
        <f t="shared" si="2"/>
        <v>2033-34</v>
      </c>
      <c r="AF7" s="342" t="str">
        <f t="shared" si="2"/>
        <v>2034-35</v>
      </c>
      <c r="AG7" s="342" t="str">
        <f t="shared" si="2"/>
        <v>2035-36</v>
      </c>
    </row>
    <row r="8" spans="1:34" ht="12.75" thickBot="1">
      <c r="I8" s="232"/>
      <c r="J8" s="232"/>
      <c r="S8" s="636"/>
      <c r="T8" s="636"/>
      <c r="U8" s="636"/>
      <c r="V8" s="636"/>
      <c r="W8" s="636"/>
      <c r="X8" s="2130">
        <v>1</v>
      </c>
      <c r="Y8" s="2130">
        <v>2</v>
      </c>
      <c r="Z8" s="2130">
        <v>3</v>
      </c>
      <c r="AA8" s="2130">
        <v>4</v>
      </c>
      <c r="AB8" s="2130">
        <v>5</v>
      </c>
      <c r="AC8" s="2130">
        <v>6</v>
      </c>
      <c r="AD8" s="2130">
        <v>7</v>
      </c>
      <c r="AE8" s="2130">
        <v>8</v>
      </c>
      <c r="AF8" s="2130">
        <v>9</v>
      </c>
      <c r="AG8" s="2130">
        <v>10</v>
      </c>
    </row>
    <row r="9" spans="1:34">
      <c r="C9" s="166"/>
      <c r="D9" s="167"/>
      <c r="E9" s="167"/>
      <c r="F9" s="167"/>
      <c r="G9" s="167"/>
      <c r="H9" s="836"/>
      <c r="I9" s="837"/>
      <c r="J9" s="837"/>
      <c r="K9" s="167"/>
      <c r="L9" s="167"/>
      <c r="M9" s="167"/>
      <c r="N9" s="167"/>
      <c r="O9" s="167"/>
      <c r="P9" s="167"/>
      <c r="Q9" s="167"/>
      <c r="R9" s="167"/>
      <c r="S9" s="167"/>
      <c r="T9" s="167"/>
      <c r="U9" s="167"/>
      <c r="V9" s="167"/>
      <c r="W9" s="167"/>
      <c r="X9" s="167"/>
      <c r="Y9" s="167"/>
      <c r="Z9" s="167"/>
      <c r="AA9" s="167"/>
      <c r="AB9" s="167"/>
      <c r="AC9" s="167"/>
      <c r="AD9" s="167"/>
      <c r="AE9" s="167"/>
      <c r="AF9" s="167"/>
      <c r="AG9" s="167"/>
      <c r="AH9" s="168"/>
    </row>
    <row r="10" spans="1:34">
      <c r="C10" s="169"/>
      <c r="D10" s="170" t="s">
        <v>118</v>
      </c>
      <c r="H10" s="180"/>
      <c r="I10" s="232"/>
      <c r="J10" s="232"/>
      <c r="AH10" s="171"/>
    </row>
    <row r="11" spans="1:34">
      <c r="C11" s="169"/>
      <c r="H11" s="180"/>
      <c r="I11" s="232"/>
      <c r="J11" s="232"/>
      <c r="AH11" s="171"/>
    </row>
    <row r="12" spans="1:34">
      <c r="C12" s="169"/>
      <c r="E12" s="647" t="s">
        <v>113</v>
      </c>
      <c r="H12" s="180"/>
      <c r="I12" s="399"/>
      <c r="J12" s="399"/>
      <c r="K12" s="608">
        <f t="shared" ref="K12:W12" si="3">+K26</f>
        <v>0</v>
      </c>
      <c r="L12" s="608">
        <f t="shared" si="3"/>
        <v>0</v>
      </c>
      <c r="M12" s="608">
        <f t="shared" si="3"/>
        <v>0</v>
      </c>
      <c r="N12" s="608">
        <f t="shared" si="3"/>
        <v>0</v>
      </c>
      <c r="O12" s="608">
        <f t="shared" si="3"/>
        <v>2.9464235294117644</v>
      </c>
      <c r="P12" s="608">
        <f t="shared" si="3"/>
        <v>1.7518774422735344</v>
      </c>
      <c r="Q12" s="608">
        <f t="shared" si="3"/>
        <v>5.281490797546013</v>
      </c>
      <c r="R12" s="608">
        <f t="shared" si="3"/>
        <v>2.128600343053173</v>
      </c>
      <c r="S12" s="608">
        <f t="shared" si="3"/>
        <v>1.8091704834605598</v>
      </c>
      <c r="T12" s="608">
        <f t="shared" si="3"/>
        <v>0.89825423728813547</v>
      </c>
      <c r="U12" s="608">
        <f t="shared" si="3"/>
        <v>0.16128506787330316</v>
      </c>
      <c r="V12" s="608">
        <f t="shared" si="3"/>
        <v>1.3373668122270741</v>
      </c>
      <c r="W12" s="608">
        <f t="shared" si="3"/>
        <v>0.39900000000000002</v>
      </c>
      <c r="X12" s="608">
        <f t="shared" ref="X12:AG13" si="4">+X26</f>
        <v>0.46600000000000003</v>
      </c>
      <c r="Y12" s="608">
        <f t="shared" si="4"/>
        <v>0.39900000000000002</v>
      </c>
      <c r="Z12" s="608">
        <f t="shared" si="4"/>
        <v>0.245</v>
      </c>
      <c r="AA12" s="608">
        <f t="shared" si="4"/>
        <v>0.316</v>
      </c>
      <c r="AB12" s="608">
        <f t="shared" si="4"/>
        <v>0.42399999999999999</v>
      </c>
      <c r="AC12" s="608">
        <f t="shared" si="4"/>
        <v>0.3</v>
      </c>
      <c r="AD12" s="608">
        <f t="shared" si="4"/>
        <v>0.56799999999999995</v>
      </c>
      <c r="AE12" s="608">
        <f t="shared" si="4"/>
        <v>0.22600000000000001</v>
      </c>
      <c r="AF12" s="608">
        <f t="shared" si="4"/>
        <v>0.21</v>
      </c>
      <c r="AG12" s="608">
        <f t="shared" si="4"/>
        <v>0.84799999999999998</v>
      </c>
      <c r="AH12" s="171"/>
    </row>
    <row r="13" spans="1:34">
      <c r="C13" s="169"/>
      <c r="E13" s="647" t="s">
        <v>114</v>
      </c>
      <c r="H13" s="180"/>
      <c r="I13" s="399"/>
      <c r="J13" s="399"/>
      <c r="K13" s="608">
        <f t="shared" ref="K13:W13" si="5">+K27</f>
        <v>0</v>
      </c>
      <c r="L13" s="608">
        <f t="shared" si="5"/>
        <v>0</v>
      </c>
      <c r="M13" s="608">
        <f t="shared" si="5"/>
        <v>0</v>
      </c>
      <c r="N13" s="608">
        <f t="shared" si="5"/>
        <v>0</v>
      </c>
      <c r="O13" s="608">
        <f t="shared" si="5"/>
        <v>4.5838914027149312E-2</v>
      </c>
      <c r="P13" s="608">
        <f t="shared" si="5"/>
        <v>6.9975133214920063E-2</v>
      </c>
      <c r="Q13" s="608">
        <f t="shared" si="5"/>
        <v>8.6319018404907976E-3</v>
      </c>
      <c r="R13" s="608">
        <f t="shared" si="5"/>
        <v>0</v>
      </c>
      <c r="S13" s="608">
        <f>+S27</f>
        <v>2.3867684478371502E-3</v>
      </c>
      <c r="T13" s="608">
        <f t="shared" si="5"/>
        <v>3.1796610169491521E-2</v>
      </c>
      <c r="U13" s="608">
        <f t="shared" si="5"/>
        <v>4.2443438914027153E-2</v>
      </c>
      <c r="V13" s="608">
        <f t="shared" si="5"/>
        <v>5.6320960698689949E-2</v>
      </c>
      <c r="W13" s="608">
        <f t="shared" si="5"/>
        <v>2.5000000000000001E-2</v>
      </c>
      <c r="X13" s="608">
        <f t="shared" si="4"/>
        <v>2.5000000000000001E-2</v>
      </c>
      <c r="Y13" s="608">
        <f t="shared" si="4"/>
        <v>2.5000000000000001E-2</v>
      </c>
      <c r="Z13" s="608">
        <f t="shared" si="4"/>
        <v>2.5000000000000001E-2</v>
      </c>
      <c r="AA13" s="608">
        <f t="shared" si="4"/>
        <v>2.5000000000000001E-2</v>
      </c>
      <c r="AB13" s="608">
        <f t="shared" si="4"/>
        <v>2.5000000000000001E-2</v>
      </c>
      <c r="AC13" s="608">
        <f t="shared" si="4"/>
        <v>2.5000000000000001E-2</v>
      </c>
      <c r="AD13" s="608">
        <f t="shared" si="4"/>
        <v>2.5000000000000001E-2</v>
      </c>
      <c r="AE13" s="608">
        <f t="shared" si="4"/>
        <v>2.5000000000000001E-2</v>
      </c>
      <c r="AF13" s="608">
        <f t="shared" si="4"/>
        <v>2.5000000000000001E-2</v>
      </c>
      <c r="AG13" s="608">
        <f t="shared" si="4"/>
        <v>2.5000000000000001E-2</v>
      </c>
      <c r="AH13" s="171"/>
    </row>
    <row r="14" spans="1:34">
      <c r="C14" s="169"/>
      <c r="E14" s="591" t="s">
        <v>115</v>
      </c>
      <c r="H14" s="180"/>
      <c r="I14" s="399"/>
      <c r="J14" s="399"/>
      <c r="K14" s="608">
        <f t="shared" ref="K14:W14" si="6">+K29</f>
        <v>0</v>
      </c>
      <c r="L14" s="608">
        <f t="shared" si="6"/>
        <v>0</v>
      </c>
      <c r="M14" s="608">
        <f t="shared" si="6"/>
        <v>0</v>
      </c>
      <c r="N14" s="608">
        <f t="shared" si="6"/>
        <v>0</v>
      </c>
      <c r="O14" s="608">
        <f t="shared" si="6"/>
        <v>30.24095022624434</v>
      </c>
      <c r="P14" s="608">
        <f t="shared" si="6"/>
        <v>26.553063943161632</v>
      </c>
      <c r="Q14" s="608">
        <f t="shared" si="6"/>
        <v>18.80521472392638</v>
      </c>
      <c r="R14" s="608">
        <f t="shared" si="6"/>
        <v>18.402015437392794</v>
      </c>
      <c r="S14" s="608">
        <f t="shared" si="6"/>
        <v>20.585877862595417</v>
      </c>
      <c r="T14" s="608">
        <f t="shared" si="6"/>
        <v>43.436440677966097</v>
      </c>
      <c r="U14" s="608">
        <f t="shared" si="6"/>
        <v>68.174773755656105</v>
      </c>
      <c r="V14" s="608">
        <f t="shared" si="6"/>
        <v>90.113537117903917</v>
      </c>
      <c r="W14" s="608">
        <f t="shared" si="6"/>
        <v>138.25</v>
      </c>
      <c r="X14" s="608">
        <f t="shared" ref="X14:AG15" si="7">+X29</f>
        <v>207</v>
      </c>
      <c r="Y14" s="608">
        <f t="shared" si="7"/>
        <v>238.75</v>
      </c>
      <c r="Z14" s="608">
        <f t="shared" si="7"/>
        <v>370.75</v>
      </c>
      <c r="AA14" s="608">
        <f t="shared" si="7"/>
        <v>381.75</v>
      </c>
      <c r="AB14" s="608">
        <f t="shared" si="7"/>
        <v>294.25</v>
      </c>
      <c r="AC14" s="608">
        <f t="shared" si="7"/>
        <v>324.25</v>
      </c>
      <c r="AD14" s="608">
        <f t="shared" si="7"/>
        <v>343.5</v>
      </c>
      <c r="AE14" s="608">
        <f t="shared" si="7"/>
        <v>361</v>
      </c>
      <c r="AF14" s="608">
        <f t="shared" si="7"/>
        <v>364</v>
      </c>
      <c r="AG14" s="608">
        <f t="shared" si="7"/>
        <v>379</v>
      </c>
      <c r="AH14" s="171"/>
    </row>
    <row r="15" spans="1:34">
      <c r="C15" s="169"/>
      <c r="E15" s="591" t="s">
        <v>116</v>
      </c>
      <c r="H15" s="180"/>
      <c r="I15" s="399"/>
      <c r="J15" s="399"/>
      <c r="K15" s="608">
        <f t="shared" ref="K15:W15" si="8">+K30</f>
        <v>0</v>
      </c>
      <c r="L15" s="608">
        <f t="shared" si="8"/>
        <v>0</v>
      </c>
      <c r="M15" s="608">
        <f t="shared" si="8"/>
        <v>0</v>
      </c>
      <c r="N15" s="608">
        <f t="shared" si="8"/>
        <v>0</v>
      </c>
      <c r="O15" s="608">
        <f t="shared" si="8"/>
        <v>1.3407882352941174</v>
      </c>
      <c r="P15" s="608">
        <f t="shared" si="8"/>
        <v>1.3970035523978686</v>
      </c>
      <c r="Q15" s="608">
        <f t="shared" si="8"/>
        <v>0.77317177914110424</v>
      </c>
      <c r="R15" s="608">
        <f t="shared" si="8"/>
        <v>0.62868524871355058</v>
      </c>
      <c r="S15" s="608">
        <f t="shared" si="8"/>
        <v>0.62175318066157759</v>
      </c>
      <c r="T15" s="608">
        <f t="shared" si="8"/>
        <v>2.3154745762711864</v>
      </c>
      <c r="U15" s="608">
        <f t="shared" si="8"/>
        <v>3.4209411764705884</v>
      </c>
      <c r="V15" s="608">
        <f t="shared" si="8"/>
        <v>5.052502183406113</v>
      </c>
      <c r="W15" s="608">
        <f t="shared" si="8"/>
        <v>7.5060000000000002</v>
      </c>
      <c r="X15" s="608">
        <f t="shared" si="7"/>
        <v>9.1809999999999992</v>
      </c>
      <c r="Y15" s="608">
        <f t="shared" si="7"/>
        <v>10.004</v>
      </c>
      <c r="Z15" s="608">
        <f t="shared" si="7"/>
        <v>10.618</v>
      </c>
      <c r="AA15" s="608">
        <f t="shared" si="7"/>
        <v>10.551</v>
      </c>
      <c r="AB15" s="608">
        <f t="shared" si="7"/>
        <v>11.292</v>
      </c>
      <c r="AC15" s="608">
        <f t="shared" si="7"/>
        <v>11.891999999999999</v>
      </c>
      <c r="AD15" s="608">
        <f t="shared" si="7"/>
        <v>15.189</v>
      </c>
      <c r="AE15" s="608">
        <f t="shared" si="7"/>
        <v>15.959</v>
      </c>
      <c r="AF15" s="608">
        <f t="shared" si="7"/>
        <v>16.091000000000001</v>
      </c>
      <c r="AG15" s="608">
        <f t="shared" si="7"/>
        <v>16.751000000000001</v>
      </c>
      <c r="AH15" s="171"/>
    </row>
    <row r="16" spans="1:34">
      <c r="C16" s="169"/>
      <c r="E16" s="591"/>
      <c r="H16" s="180"/>
      <c r="I16" s="399"/>
      <c r="J16" s="399"/>
      <c r="K16" s="608"/>
      <c r="L16" s="608"/>
      <c r="M16" s="608"/>
      <c r="N16" s="608"/>
      <c r="O16" s="608"/>
      <c r="P16" s="608"/>
      <c r="Q16" s="608"/>
      <c r="R16" s="608"/>
      <c r="S16" s="608"/>
      <c r="T16" s="608"/>
      <c r="U16" s="608"/>
      <c r="V16" s="608"/>
      <c r="W16" s="608"/>
      <c r="X16" s="608"/>
      <c r="Y16" s="608"/>
      <c r="Z16" s="608"/>
      <c r="AA16" s="608"/>
      <c r="AB16" s="608"/>
      <c r="AC16" s="608"/>
      <c r="AD16" s="608"/>
      <c r="AE16" s="608"/>
      <c r="AF16" s="608"/>
      <c r="AG16" s="608"/>
      <c r="AH16" s="171"/>
    </row>
    <row r="17" spans="3:34">
      <c r="C17" s="169"/>
      <c r="E17" s="591" t="s">
        <v>117</v>
      </c>
      <c r="H17" s="180"/>
      <c r="I17" s="399"/>
      <c r="J17" s="399"/>
      <c r="K17" s="608">
        <f t="shared" ref="K17:W17" si="9">+K37</f>
        <v>0</v>
      </c>
      <c r="L17" s="608">
        <f t="shared" si="9"/>
        <v>0</v>
      </c>
      <c r="M17" s="608">
        <f t="shared" si="9"/>
        <v>0</v>
      </c>
      <c r="N17" s="608">
        <f t="shared" si="9"/>
        <v>0</v>
      </c>
      <c r="O17" s="608">
        <f t="shared" si="9"/>
        <v>21.901</v>
      </c>
      <c r="P17" s="608">
        <f t="shared" si="9"/>
        <v>22.113</v>
      </c>
      <c r="Q17" s="608">
        <f t="shared" si="9"/>
        <v>22.491</v>
      </c>
      <c r="R17" s="608">
        <f t="shared" si="9"/>
        <v>22.593</v>
      </c>
      <c r="S17" s="608">
        <f t="shared" si="9"/>
        <v>26.315999999999999</v>
      </c>
      <c r="T17" s="608">
        <f t="shared" si="9"/>
        <v>25.622</v>
      </c>
      <c r="U17" s="608">
        <f t="shared" si="9"/>
        <v>27.199000000000002</v>
      </c>
      <c r="V17" s="608">
        <f t="shared" si="9"/>
        <v>28.5</v>
      </c>
      <c r="W17" s="608">
        <f t="shared" si="9"/>
        <v>30.1</v>
      </c>
      <c r="X17" s="608">
        <f t="shared" ref="X17:AG17" si="10">+X37</f>
        <v>31.847999999999999</v>
      </c>
      <c r="Y17" s="608">
        <f t="shared" si="10"/>
        <v>33.030299999999997</v>
      </c>
      <c r="Z17" s="608">
        <f t="shared" si="10"/>
        <v>34.206000000000003</v>
      </c>
      <c r="AA17" s="608">
        <f t="shared" si="10"/>
        <v>35.323</v>
      </c>
      <c r="AB17" s="608">
        <f t="shared" si="10"/>
        <v>36.609000000000002</v>
      </c>
      <c r="AC17" s="608">
        <f t="shared" si="10"/>
        <v>38.058999999999997</v>
      </c>
      <c r="AD17" s="608">
        <f t="shared" si="10"/>
        <v>39.509</v>
      </c>
      <c r="AE17" s="608">
        <f t="shared" si="10"/>
        <v>40.959000000000003</v>
      </c>
      <c r="AF17" s="608">
        <f t="shared" si="10"/>
        <v>42.408999999999999</v>
      </c>
      <c r="AG17" s="608">
        <f t="shared" si="10"/>
        <v>43.859000000000002</v>
      </c>
      <c r="AH17" s="171"/>
    </row>
    <row r="18" spans="3:34">
      <c r="C18" s="169"/>
      <c r="E18" s="591" t="s">
        <v>120</v>
      </c>
      <c r="H18" s="180"/>
      <c r="I18" s="399"/>
      <c r="J18" s="399"/>
      <c r="K18" s="608">
        <f t="shared" ref="K18:W18" si="11">+K39</f>
        <v>0</v>
      </c>
      <c r="L18" s="608">
        <f t="shared" si="11"/>
        <v>0</v>
      </c>
      <c r="M18" s="608">
        <f t="shared" si="11"/>
        <v>0</v>
      </c>
      <c r="N18" s="608">
        <f t="shared" si="11"/>
        <v>0</v>
      </c>
      <c r="O18" s="608">
        <f t="shared" si="11"/>
        <v>10.176</v>
      </c>
      <c r="P18" s="608">
        <f t="shared" si="11"/>
        <v>8.2959999999999994</v>
      </c>
      <c r="Q18" s="608">
        <f t="shared" si="11"/>
        <v>8.5760000000000005</v>
      </c>
      <c r="R18" s="608">
        <f t="shared" si="11"/>
        <v>8.843</v>
      </c>
      <c r="S18" s="608">
        <f t="shared" si="11"/>
        <v>9.298</v>
      </c>
      <c r="T18" s="608">
        <f t="shared" si="11"/>
        <v>9.3989999999999991</v>
      </c>
      <c r="U18" s="608">
        <f t="shared" si="11"/>
        <v>10.446</v>
      </c>
      <c r="V18" s="608">
        <f t="shared" si="11"/>
        <v>10.446</v>
      </c>
      <c r="W18" s="608">
        <f t="shared" si="11"/>
        <v>10.446</v>
      </c>
      <c r="X18" s="608">
        <f t="shared" ref="X18:AG18" si="12">+X39</f>
        <v>10.446</v>
      </c>
      <c r="Y18" s="608">
        <f t="shared" si="12"/>
        <v>10.446</v>
      </c>
      <c r="Z18" s="608">
        <f t="shared" si="12"/>
        <v>10.446</v>
      </c>
      <c r="AA18" s="608">
        <f t="shared" si="12"/>
        <v>10.446</v>
      </c>
      <c r="AB18" s="608">
        <f t="shared" si="12"/>
        <v>10.446</v>
      </c>
      <c r="AC18" s="608">
        <f t="shared" si="12"/>
        <v>10.446</v>
      </c>
      <c r="AD18" s="608">
        <f t="shared" si="12"/>
        <v>10.446</v>
      </c>
      <c r="AE18" s="608">
        <f t="shared" si="12"/>
        <v>10.446</v>
      </c>
      <c r="AF18" s="608">
        <f t="shared" si="12"/>
        <v>10.446</v>
      </c>
      <c r="AG18" s="608">
        <f t="shared" si="12"/>
        <v>10.446</v>
      </c>
      <c r="AH18" s="171"/>
    </row>
    <row r="19" spans="3:34">
      <c r="C19" s="169"/>
      <c r="E19" s="591" t="s">
        <v>545</v>
      </c>
      <c r="H19" s="180"/>
      <c r="I19" s="399"/>
      <c r="J19" s="399"/>
      <c r="K19" s="349"/>
      <c r="L19" s="349"/>
      <c r="M19" s="349"/>
      <c r="N19" s="349"/>
      <c r="O19" s="349"/>
      <c r="P19" s="349"/>
      <c r="Q19" s="349"/>
      <c r="R19" s="349"/>
      <c r="S19" s="349"/>
      <c r="T19" s="349"/>
      <c r="U19" s="349"/>
      <c r="V19" s="349"/>
      <c r="W19" s="349"/>
      <c r="X19" s="608">
        <f ca="1">X42+X45</f>
        <v>0.86499341503749982</v>
      </c>
      <c r="Y19" s="608">
        <f ca="1">Y42+Y45</f>
        <v>2.6440715340724998</v>
      </c>
      <c r="Z19" s="608">
        <f t="shared" ref="Z19:AG19" ca="1" si="13">Z42+Z45</f>
        <v>4.3514026414196971</v>
      </c>
      <c r="AA19" s="608">
        <f t="shared" ca="1" si="13"/>
        <v>6.0001198454919509</v>
      </c>
      <c r="AB19" s="608">
        <f t="shared" ca="1" si="13"/>
        <v>7.9000953431513778</v>
      </c>
      <c r="AC19" s="608">
        <f t="shared" ca="1" si="13"/>
        <v>9.8660410818590858</v>
      </c>
      <c r="AD19" s="608">
        <f t="shared" ca="1" si="13"/>
        <v>11.689124648047882</v>
      </c>
      <c r="AE19" s="608">
        <f t="shared" ca="1" si="13"/>
        <v>13.32480960040164</v>
      </c>
      <c r="AF19" s="608">
        <f t="shared" ca="1" si="13"/>
        <v>15.067203580871832</v>
      </c>
      <c r="AG19" s="608">
        <f t="shared" ca="1" si="13"/>
        <v>17.02996603691258</v>
      </c>
      <c r="AH19" s="171"/>
    </row>
    <row r="20" spans="3:34">
      <c r="C20" s="169"/>
      <c r="E20" s="232" t="s">
        <v>108</v>
      </c>
      <c r="H20" s="180"/>
      <c r="I20" s="399"/>
      <c r="J20" s="399"/>
      <c r="K20" s="608">
        <f>K35</f>
        <v>0</v>
      </c>
      <c r="L20" s="608"/>
      <c r="M20" s="608"/>
      <c r="N20" s="608">
        <f>+N35</f>
        <v>0</v>
      </c>
      <c r="O20" s="180"/>
      <c r="P20" s="399">
        <f>+P35</f>
        <v>27.082000000000001</v>
      </c>
      <c r="Q20" s="180"/>
      <c r="R20" s="180"/>
      <c r="T20" s="180"/>
      <c r="U20" s="180"/>
      <c r="V20" s="180"/>
      <c r="W20" s="180"/>
      <c r="X20" s="349">
        <f>+X35</f>
        <v>11.083</v>
      </c>
      <c r="Y20" s="180"/>
      <c r="Z20" s="180"/>
      <c r="AA20" s="180"/>
      <c r="AB20" s="180"/>
      <c r="AC20" s="399"/>
      <c r="AD20" s="180"/>
      <c r="AE20" s="180"/>
      <c r="AF20" s="180"/>
      <c r="AG20" s="180"/>
      <c r="AH20" s="171"/>
    </row>
    <row r="21" spans="3:34" ht="12.75" thickBot="1">
      <c r="C21" s="182"/>
      <c r="D21" s="183"/>
      <c r="E21" s="183"/>
      <c r="F21" s="183"/>
      <c r="G21" s="183"/>
      <c r="H21" s="184"/>
      <c r="I21" s="838"/>
      <c r="J21" s="838"/>
      <c r="K21" s="602"/>
      <c r="L21" s="602"/>
      <c r="M21" s="602"/>
      <c r="N21" s="602"/>
      <c r="O21" s="602"/>
      <c r="P21" s="602"/>
      <c r="Q21" s="602"/>
      <c r="R21" s="602"/>
      <c r="S21" s="602"/>
      <c r="T21" s="602"/>
      <c r="U21" s="602"/>
      <c r="V21" s="602"/>
      <c r="W21" s="602"/>
      <c r="X21" s="602"/>
      <c r="Y21" s="602"/>
      <c r="Z21" s="602"/>
      <c r="AA21" s="602"/>
      <c r="AB21" s="602"/>
      <c r="AC21" s="602"/>
      <c r="AD21" s="602"/>
      <c r="AE21" s="602"/>
      <c r="AF21" s="602"/>
      <c r="AG21" s="602"/>
      <c r="AH21" s="186"/>
    </row>
    <row r="22" spans="3:34">
      <c r="I22" s="232"/>
      <c r="J22" s="232"/>
      <c r="K22" s="663"/>
      <c r="L22" s="663"/>
      <c r="M22" s="663"/>
      <c r="N22" s="663"/>
      <c r="O22" s="663"/>
      <c r="P22" s="663"/>
      <c r="Q22" s="663"/>
      <c r="R22" s="663"/>
      <c r="S22" s="663"/>
      <c r="T22" s="663"/>
      <c r="U22" s="663"/>
      <c r="V22" s="663"/>
      <c r="W22" s="663"/>
      <c r="X22" s="663"/>
      <c r="Y22" s="663"/>
      <c r="Z22" s="663"/>
      <c r="AA22" s="663"/>
      <c r="AB22" s="663"/>
    </row>
    <row r="23" spans="3:34">
      <c r="I23" s="232"/>
      <c r="J23" s="232"/>
      <c r="K23" s="232"/>
      <c r="L23" s="232"/>
      <c r="M23" s="232"/>
    </row>
    <row r="24" spans="3:34">
      <c r="C24" s="377" t="s">
        <v>119</v>
      </c>
      <c r="G24" s="74" t="str">
        <f>NotPres_FO!$B$7</f>
        <v>$m, 01/01/26</v>
      </c>
      <c r="I24" s="232"/>
      <c r="J24" s="232"/>
      <c r="K24" s="74"/>
      <c r="L24" s="74"/>
      <c r="M24" s="74"/>
    </row>
    <row r="25" spans="3:34">
      <c r="I25" s="232"/>
      <c r="J25" s="232"/>
      <c r="K25" s="74"/>
      <c r="L25" s="74"/>
      <c r="M25" s="74"/>
      <c r="N25" s="74"/>
      <c r="O25" s="74"/>
      <c r="P25" s="74"/>
      <c r="Q25" s="74"/>
    </row>
    <row r="26" spans="3:34">
      <c r="D26" s="70" t="s">
        <v>113</v>
      </c>
      <c r="I26" s="672"/>
      <c r="J26" s="672"/>
      <c r="K26" s="839"/>
      <c r="L26" s="840"/>
      <c r="M26" s="840"/>
      <c r="N26" s="840"/>
      <c r="O26" s="861">
        <v>2.9464235294117644</v>
      </c>
      <c r="P26" s="859">
        <v>1.7518774422735344</v>
      </c>
      <c r="Q26" s="860">
        <v>5.281490797546013</v>
      </c>
      <c r="R26" s="860">
        <v>2.128600343053173</v>
      </c>
      <c r="S26" s="860">
        <v>1.8091704834605598</v>
      </c>
      <c r="T26" s="860">
        <v>0.89825423728813547</v>
      </c>
      <c r="U26" s="860">
        <v>0.16128506787330316</v>
      </c>
      <c r="V26" s="860">
        <v>1.3373668122270741</v>
      </c>
      <c r="W26" s="861">
        <v>0.39900000000000002</v>
      </c>
      <c r="X26" s="859">
        <v>0.46600000000000003</v>
      </c>
      <c r="Y26" s="860">
        <v>0.39900000000000002</v>
      </c>
      <c r="Z26" s="860">
        <v>0.245</v>
      </c>
      <c r="AA26" s="860">
        <v>0.316</v>
      </c>
      <c r="AB26" s="861">
        <v>0.42399999999999999</v>
      </c>
      <c r="AC26" s="860">
        <v>0.3</v>
      </c>
      <c r="AD26" s="860">
        <v>0.56799999999999995</v>
      </c>
      <c r="AE26" s="860">
        <v>0.22600000000000001</v>
      </c>
      <c r="AF26" s="860">
        <v>0.21</v>
      </c>
      <c r="AG26" s="861">
        <v>0.84799999999999998</v>
      </c>
    </row>
    <row r="27" spans="3:34">
      <c r="D27" s="70" t="s">
        <v>114</v>
      </c>
      <c r="I27" s="672"/>
      <c r="J27" s="672"/>
      <c r="K27" s="841"/>
      <c r="L27" s="842"/>
      <c r="M27" s="842"/>
      <c r="N27" s="842"/>
      <c r="O27" s="864">
        <v>4.5838914027149312E-2</v>
      </c>
      <c r="P27" s="862">
        <v>6.9975133214920063E-2</v>
      </c>
      <c r="Q27" s="863">
        <v>8.6319018404907976E-3</v>
      </c>
      <c r="R27" s="863">
        <v>0</v>
      </c>
      <c r="S27" s="863">
        <v>2.3867684478371502E-3</v>
      </c>
      <c r="T27" s="863">
        <v>3.1796610169491521E-2</v>
      </c>
      <c r="U27" s="863">
        <v>4.2443438914027153E-2</v>
      </c>
      <c r="V27" s="863">
        <v>5.6320960698689949E-2</v>
      </c>
      <c r="W27" s="864">
        <v>2.5000000000000001E-2</v>
      </c>
      <c r="X27" s="862">
        <v>2.5000000000000001E-2</v>
      </c>
      <c r="Y27" s="863">
        <v>2.5000000000000001E-2</v>
      </c>
      <c r="Z27" s="863">
        <v>2.5000000000000001E-2</v>
      </c>
      <c r="AA27" s="863">
        <v>2.5000000000000001E-2</v>
      </c>
      <c r="AB27" s="864">
        <v>2.5000000000000001E-2</v>
      </c>
      <c r="AC27" s="863">
        <v>2.5000000000000001E-2</v>
      </c>
      <c r="AD27" s="863">
        <v>2.5000000000000001E-2</v>
      </c>
      <c r="AE27" s="863">
        <v>2.5000000000000001E-2</v>
      </c>
      <c r="AF27" s="863">
        <v>2.5000000000000001E-2</v>
      </c>
      <c r="AG27" s="864">
        <v>2.5000000000000001E-2</v>
      </c>
    </row>
    <row r="28" spans="3:34">
      <c r="I28" s="672"/>
      <c r="J28" s="672"/>
      <c r="K28" s="123"/>
      <c r="L28" s="123"/>
      <c r="M28" s="123"/>
      <c r="N28" s="123"/>
      <c r="O28" s="865"/>
      <c r="P28" s="123"/>
      <c r="Q28" s="123"/>
      <c r="R28" s="865"/>
      <c r="S28" s="865"/>
      <c r="T28" s="865"/>
      <c r="U28" s="865"/>
      <c r="V28" s="865"/>
      <c r="W28" s="865"/>
      <c r="X28" s="865"/>
      <c r="Y28" s="865"/>
      <c r="Z28" s="865"/>
      <c r="AA28" s="865"/>
      <c r="AB28" s="865"/>
      <c r="AC28" s="865"/>
      <c r="AD28" s="865"/>
      <c r="AE28" s="865"/>
      <c r="AF28" s="865"/>
      <c r="AG28" s="865"/>
    </row>
    <row r="29" spans="3:34">
      <c r="D29" s="70" t="s">
        <v>115</v>
      </c>
      <c r="I29" s="672"/>
      <c r="J29" s="2073"/>
      <c r="K29" s="2074"/>
      <c r="L29" s="2075"/>
      <c r="M29" s="2075"/>
      <c r="N29" s="2075"/>
      <c r="O29" s="861">
        <v>30.24095022624434</v>
      </c>
      <c r="P29" s="859">
        <v>26.553063943161632</v>
      </c>
      <c r="Q29" s="860">
        <v>18.80521472392638</v>
      </c>
      <c r="R29" s="860">
        <v>18.402015437392794</v>
      </c>
      <c r="S29" s="860">
        <v>20.585877862595417</v>
      </c>
      <c r="T29" s="860">
        <v>43.436440677966097</v>
      </c>
      <c r="U29" s="860">
        <v>68.174773755656105</v>
      </c>
      <c r="V29" s="860">
        <v>90.113537117903917</v>
      </c>
      <c r="W29" s="861">
        <v>138.25</v>
      </c>
      <c r="X29" s="859">
        <v>207</v>
      </c>
      <c r="Y29" s="860">
        <v>238.75</v>
      </c>
      <c r="Z29" s="860">
        <v>370.75</v>
      </c>
      <c r="AA29" s="860">
        <v>381.75</v>
      </c>
      <c r="AB29" s="861">
        <v>294.25</v>
      </c>
      <c r="AC29" s="860">
        <v>324.25</v>
      </c>
      <c r="AD29" s="860">
        <v>343.5</v>
      </c>
      <c r="AE29" s="860">
        <v>361</v>
      </c>
      <c r="AF29" s="860">
        <v>364</v>
      </c>
      <c r="AG29" s="861">
        <v>379</v>
      </c>
    </row>
    <row r="30" spans="3:34">
      <c r="D30" s="70" t="s">
        <v>116</v>
      </c>
      <c r="I30" s="672"/>
      <c r="J30" s="2073"/>
      <c r="K30" s="2076"/>
      <c r="L30" s="2077"/>
      <c r="M30" s="2077"/>
      <c r="N30" s="2077"/>
      <c r="O30" s="864">
        <v>1.3407882352941174</v>
      </c>
      <c r="P30" s="862">
        <v>1.3970035523978686</v>
      </c>
      <c r="Q30" s="863">
        <v>0.77317177914110424</v>
      </c>
      <c r="R30" s="863">
        <v>0.62868524871355058</v>
      </c>
      <c r="S30" s="863">
        <v>0.62175318066157759</v>
      </c>
      <c r="T30" s="863">
        <v>2.3154745762711864</v>
      </c>
      <c r="U30" s="863">
        <v>3.4209411764705884</v>
      </c>
      <c r="V30" s="863">
        <v>5.052502183406113</v>
      </c>
      <c r="W30" s="864">
        <v>7.5060000000000002</v>
      </c>
      <c r="X30" s="862">
        <v>9.1809999999999992</v>
      </c>
      <c r="Y30" s="863">
        <v>10.004</v>
      </c>
      <c r="Z30" s="863">
        <v>10.618</v>
      </c>
      <c r="AA30" s="863">
        <v>10.551</v>
      </c>
      <c r="AB30" s="864">
        <v>11.292</v>
      </c>
      <c r="AC30" s="863">
        <v>11.891999999999999</v>
      </c>
      <c r="AD30" s="863">
        <v>15.189</v>
      </c>
      <c r="AE30" s="863">
        <v>15.959</v>
      </c>
      <c r="AF30" s="863">
        <v>16.091000000000001</v>
      </c>
      <c r="AG30" s="864">
        <v>16.751000000000001</v>
      </c>
    </row>
    <row r="31" spans="3:34">
      <c r="I31" s="672"/>
      <c r="J31" s="672"/>
      <c r="K31" s="123"/>
      <c r="L31" s="123"/>
      <c r="M31" s="123"/>
      <c r="N31" s="123"/>
      <c r="O31" s="123"/>
      <c r="P31" s="123"/>
      <c r="Q31" s="123"/>
      <c r="R31" s="128"/>
      <c r="S31" s="128"/>
      <c r="T31" s="128"/>
      <c r="U31" s="128"/>
      <c r="V31" s="128"/>
      <c r="W31" s="128"/>
      <c r="X31" s="128"/>
      <c r="Y31" s="128"/>
      <c r="Z31" s="128"/>
      <c r="AA31" s="128"/>
      <c r="AB31" s="128"/>
      <c r="AC31" s="128"/>
      <c r="AD31" s="128"/>
      <c r="AE31" s="128"/>
      <c r="AF31" s="128"/>
      <c r="AG31" s="128"/>
    </row>
    <row r="32" spans="3:34">
      <c r="I32" s="672"/>
      <c r="J32" s="672"/>
      <c r="K32" s="123"/>
      <c r="L32" s="123"/>
      <c r="M32" s="123"/>
      <c r="N32" s="123"/>
      <c r="O32" s="123"/>
      <c r="P32" s="123"/>
      <c r="Q32" s="123"/>
      <c r="R32" s="128"/>
      <c r="S32" s="128"/>
      <c r="T32" s="128"/>
      <c r="U32" s="128"/>
      <c r="V32" s="128"/>
      <c r="W32" s="128"/>
      <c r="X32" s="128"/>
      <c r="Y32" s="128"/>
      <c r="Z32" s="128"/>
      <c r="AA32" s="128"/>
      <c r="AB32" s="128"/>
      <c r="AC32" s="128"/>
      <c r="AD32" s="128"/>
      <c r="AE32" s="128"/>
      <c r="AF32" s="128"/>
      <c r="AG32" s="128"/>
    </row>
    <row r="33" spans="3:35">
      <c r="C33" s="377" t="s">
        <v>25</v>
      </c>
      <c r="G33" s="70" t="s">
        <v>125</v>
      </c>
      <c r="H33" s="843"/>
      <c r="I33" s="672"/>
      <c r="J33" s="672"/>
      <c r="K33" s="123"/>
      <c r="L33" s="123"/>
      <c r="M33" s="123"/>
      <c r="N33" s="123"/>
      <c r="O33" s="123"/>
      <c r="P33" s="123"/>
      <c r="Q33" s="123"/>
      <c r="R33" s="128"/>
      <c r="S33" s="128"/>
      <c r="T33" s="128"/>
      <c r="U33" s="128"/>
      <c r="V33" s="128"/>
      <c r="W33" s="128"/>
      <c r="X33" s="128"/>
      <c r="Y33" s="128"/>
      <c r="Z33" s="128"/>
      <c r="AA33" s="128"/>
      <c r="AB33" s="128"/>
      <c r="AC33" s="128"/>
      <c r="AD33" s="128"/>
      <c r="AE33" s="128"/>
      <c r="AF33" s="128"/>
      <c r="AG33" s="128"/>
    </row>
    <row r="34" spans="3:35">
      <c r="I34" s="672"/>
      <c r="J34" s="672"/>
      <c r="K34" s="123"/>
      <c r="L34" s="123"/>
      <c r="M34" s="123"/>
      <c r="N34" s="123"/>
      <c r="O34" s="123"/>
      <c r="P34" s="123"/>
      <c r="Q34" s="123"/>
      <c r="R34" s="128"/>
      <c r="S34" s="128"/>
      <c r="T34" s="123"/>
      <c r="U34" s="128"/>
      <c r="V34" s="128"/>
      <c r="W34" s="128"/>
      <c r="X34" s="128"/>
      <c r="Y34" s="128"/>
      <c r="Z34" s="128"/>
      <c r="AA34" s="128"/>
      <c r="AB34" s="128"/>
      <c r="AC34" s="128"/>
      <c r="AD34" s="128"/>
      <c r="AE34" s="128"/>
      <c r="AF34" s="128"/>
      <c r="AG34" s="128"/>
    </row>
    <row r="35" spans="3:35">
      <c r="D35" s="70" t="s">
        <v>264</v>
      </c>
      <c r="I35" s="672"/>
      <c r="J35" s="672"/>
      <c r="K35" s="123"/>
      <c r="L35" s="123"/>
      <c r="M35" s="123"/>
      <c r="N35" s="123"/>
      <c r="O35" s="123"/>
      <c r="P35" s="866">
        <v>27.082000000000001</v>
      </c>
      <c r="Q35" s="1976" t="s">
        <v>1099</v>
      </c>
      <c r="R35" s="1976"/>
      <c r="S35" s="74"/>
      <c r="T35" s="123"/>
      <c r="U35" s="128"/>
      <c r="V35" s="1976"/>
      <c r="W35" s="1977" t="s">
        <v>1100</v>
      </c>
      <c r="X35" s="866">
        <v>11.083</v>
      </c>
      <c r="Y35" s="128"/>
      <c r="Z35" s="128"/>
      <c r="AA35" s="128"/>
      <c r="AB35" s="128"/>
      <c r="AC35" s="128"/>
      <c r="AD35" s="128"/>
      <c r="AE35" s="128"/>
      <c r="AF35" s="128"/>
      <c r="AG35" s="128"/>
    </row>
    <row r="36" spans="3:35">
      <c r="I36" s="672"/>
      <c r="J36" s="672"/>
      <c r="K36" s="123"/>
      <c r="L36" s="123"/>
      <c r="M36" s="123"/>
      <c r="N36" s="123"/>
      <c r="O36" s="123"/>
      <c r="P36" s="123"/>
      <c r="Q36" s="123"/>
      <c r="R36" s="128"/>
      <c r="S36" s="128"/>
      <c r="T36" s="128"/>
      <c r="U36" s="128"/>
      <c r="V36" s="128"/>
      <c r="W36" s="128"/>
      <c r="X36" s="128"/>
      <c r="Y36" s="128"/>
      <c r="Z36" s="128"/>
      <c r="AA36" s="128"/>
      <c r="AB36" s="128"/>
      <c r="AC36" s="128"/>
      <c r="AD36" s="128"/>
      <c r="AE36" s="128"/>
      <c r="AF36" s="128"/>
      <c r="AG36" s="128"/>
    </row>
    <row r="37" spans="3:35">
      <c r="D37" s="70" t="s">
        <v>117</v>
      </c>
      <c r="I37" s="672"/>
      <c r="J37" s="672"/>
      <c r="K37" s="114"/>
      <c r="L37" s="115"/>
      <c r="M37" s="115"/>
      <c r="N37" s="115"/>
      <c r="O37" s="631">
        <v>21.901</v>
      </c>
      <c r="P37" s="630">
        <v>22.113</v>
      </c>
      <c r="Q37" s="631">
        <v>22.491</v>
      </c>
      <c r="R37" s="631">
        <v>22.593</v>
      </c>
      <c r="S37" s="631">
        <v>26.315999999999999</v>
      </c>
      <c r="T37" s="631">
        <v>25.622</v>
      </c>
      <c r="U37" s="631">
        <v>27.199000000000002</v>
      </c>
      <c r="V37" s="631">
        <v>28.5</v>
      </c>
      <c r="W37" s="631">
        <v>30.1</v>
      </c>
      <c r="X37" s="630">
        <v>31.847999999999999</v>
      </c>
      <c r="Y37" s="631">
        <v>33.030299999999997</v>
      </c>
      <c r="Z37" s="631">
        <v>34.206000000000003</v>
      </c>
      <c r="AA37" s="631">
        <v>35.323</v>
      </c>
      <c r="AB37" s="632">
        <v>36.609000000000002</v>
      </c>
      <c r="AC37" s="631">
        <v>38.058999999999997</v>
      </c>
      <c r="AD37" s="631">
        <v>39.509</v>
      </c>
      <c r="AE37" s="631">
        <v>40.959000000000003</v>
      </c>
      <c r="AF37" s="631">
        <v>42.408999999999999</v>
      </c>
      <c r="AG37" s="632">
        <v>43.859000000000002</v>
      </c>
    </row>
    <row r="38" spans="3:35">
      <c r="I38" s="672"/>
      <c r="J38" s="672"/>
      <c r="K38" s="123"/>
      <c r="L38" s="123"/>
      <c r="M38" s="123"/>
      <c r="N38" s="123"/>
      <c r="O38" s="123"/>
      <c r="P38" s="123"/>
      <c r="Q38" s="123"/>
      <c r="R38" s="865"/>
      <c r="S38" s="865"/>
      <c r="T38" s="865"/>
      <c r="U38" s="865"/>
      <c r="V38" s="865"/>
      <c r="W38" s="865"/>
      <c r="X38" s="865"/>
      <c r="Y38" s="865"/>
      <c r="Z38" s="865"/>
      <c r="AA38" s="865"/>
      <c r="AB38" s="865"/>
      <c r="AC38" s="865"/>
      <c r="AD38" s="865"/>
      <c r="AE38" s="865"/>
      <c r="AF38" s="865"/>
      <c r="AG38" s="865"/>
    </row>
    <row r="39" spans="3:35">
      <c r="D39" s="70" t="s">
        <v>547</v>
      </c>
      <c r="I39" s="672"/>
      <c r="J39" s="672"/>
      <c r="K39" s="114"/>
      <c r="L39" s="115"/>
      <c r="M39" s="115"/>
      <c r="N39" s="115"/>
      <c r="O39" s="630">
        <v>10.176</v>
      </c>
      <c r="P39" s="630">
        <v>8.2959999999999994</v>
      </c>
      <c r="Q39" s="631">
        <v>8.5760000000000005</v>
      </c>
      <c r="R39" s="631">
        <v>8.843</v>
      </c>
      <c r="S39" s="631">
        <v>9.298</v>
      </c>
      <c r="T39" s="631">
        <v>9.3989999999999991</v>
      </c>
      <c r="U39" s="631">
        <v>10.446</v>
      </c>
      <c r="V39" s="631">
        <v>10.446</v>
      </c>
      <c r="W39" s="631">
        <v>10.446</v>
      </c>
      <c r="X39" s="630">
        <v>10.446</v>
      </c>
      <c r="Y39" s="631">
        <v>10.446</v>
      </c>
      <c r="Z39" s="631">
        <v>10.446</v>
      </c>
      <c r="AA39" s="631">
        <v>10.446</v>
      </c>
      <c r="AB39" s="632">
        <v>10.446</v>
      </c>
      <c r="AC39" s="631">
        <v>10.446</v>
      </c>
      <c r="AD39" s="631">
        <v>10.446</v>
      </c>
      <c r="AE39" s="631">
        <v>10.446</v>
      </c>
      <c r="AF39" s="631">
        <v>10.446</v>
      </c>
      <c r="AG39" s="632">
        <v>10.446</v>
      </c>
    </row>
    <row r="40" spans="3:35">
      <c r="I40" s="128"/>
      <c r="J40" s="128"/>
      <c r="K40" s="123"/>
      <c r="L40" s="123"/>
      <c r="M40" s="123"/>
      <c r="N40" s="123"/>
      <c r="O40" s="2081"/>
      <c r="P40" s="2081"/>
      <c r="Q40" s="2081"/>
      <c r="R40" s="2081"/>
      <c r="S40" s="2081"/>
      <c r="T40" s="2081"/>
      <c r="U40" s="2081"/>
      <c r="V40" s="2081"/>
      <c r="W40" s="2081"/>
      <c r="X40" s="2081"/>
      <c r="Y40" s="2081"/>
      <c r="Z40" s="2081"/>
      <c r="AA40" s="2081"/>
      <c r="AB40" s="2081"/>
      <c r="AC40" s="2081"/>
      <c r="AD40" s="2081"/>
      <c r="AE40" s="2081"/>
      <c r="AF40" s="2081"/>
      <c r="AG40" s="2081"/>
    </row>
    <row r="41" spans="3:35">
      <c r="I41" s="128"/>
      <c r="J41" s="128"/>
      <c r="K41" s="123"/>
      <c r="L41" s="123"/>
      <c r="M41" s="844"/>
      <c r="N41" s="844"/>
      <c r="O41" s="2081"/>
      <c r="P41" s="2081"/>
      <c r="Q41" s="2081"/>
      <c r="R41" s="2081"/>
      <c r="S41" s="2081"/>
      <c r="T41" s="2081"/>
      <c r="U41" s="2081"/>
      <c r="V41" s="2081"/>
      <c r="W41" s="2081"/>
      <c r="X41" s="2081"/>
      <c r="Y41" s="2081"/>
      <c r="Z41" s="2081"/>
      <c r="AA41" s="2081"/>
      <c r="AB41" s="2081"/>
      <c r="AC41" s="2081"/>
      <c r="AD41" s="2081"/>
      <c r="AE41" s="2081"/>
      <c r="AF41" s="2081"/>
      <c r="AG41" s="2081"/>
    </row>
    <row r="42" spans="3:35">
      <c r="D42" s="599" t="s">
        <v>546</v>
      </c>
      <c r="H42" s="70"/>
      <c r="I42" s="128"/>
      <c r="J42" s="128"/>
      <c r="K42" s="573"/>
      <c r="L42" s="573"/>
      <c r="M42" s="573"/>
      <c r="N42" s="573"/>
      <c r="O42" s="573"/>
      <c r="P42" s="573"/>
      <c r="Q42" s="573"/>
      <c r="R42" s="573"/>
      <c r="S42" s="382"/>
      <c r="T42" s="382"/>
      <c r="U42" s="573"/>
      <c r="V42" s="573"/>
      <c r="W42" s="573" t="s">
        <v>597</v>
      </c>
      <c r="X42" s="434"/>
      <c r="Y42" s="435"/>
      <c r="Z42" s="435"/>
      <c r="AA42" s="435"/>
      <c r="AB42" s="435"/>
      <c r="AC42" s="435"/>
      <c r="AD42" s="435"/>
      <c r="AE42" s="435"/>
      <c r="AF42" s="435"/>
      <c r="AG42" s="436"/>
      <c r="AH42" s="382"/>
    </row>
    <row r="43" spans="3:35">
      <c r="H43" s="70"/>
      <c r="K43" s="74"/>
      <c r="L43" s="74"/>
      <c r="M43" s="74"/>
      <c r="N43" s="74"/>
      <c r="O43" s="74"/>
      <c r="P43" s="74"/>
      <c r="Q43" s="74"/>
      <c r="R43" s="74"/>
      <c r="U43" s="74"/>
      <c r="V43" s="74"/>
      <c r="W43" s="679"/>
      <c r="X43" s="679"/>
      <c r="Y43" s="679"/>
      <c r="Z43" s="679"/>
      <c r="AA43" s="679"/>
      <c r="AB43" s="679"/>
      <c r="AC43" s="679"/>
      <c r="AD43" s="679"/>
      <c r="AE43" s="679"/>
      <c r="AF43" s="679"/>
      <c r="AG43" s="679"/>
      <c r="AH43" s="679"/>
      <c r="AI43" s="679"/>
    </row>
    <row r="44" spans="3:35" ht="12.75" thickBot="1">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row>
    <row r="45" spans="3:35" ht="24.75" thickBot="1">
      <c r="C45" s="74"/>
      <c r="D45" s="508" t="str">
        <f>+'Capex_FO input'!C42</f>
        <v>Project/program Name</v>
      </c>
      <c r="E45" s="511"/>
      <c r="F45" s="845"/>
      <c r="G45" s="845"/>
      <c r="H45" s="845"/>
      <c r="I45" s="846" t="str">
        <f>+'Capex_FO input'!M42</f>
        <v>Asset life (Tax)</v>
      </c>
      <c r="J45" s="847"/>
      <c r="K45" s="845"/>
      <c r="L45" s="845"/>
      <c r="M45" s="845"/>
      <c r="N45" s="845"/>
      <c r="O45" s="848"/>
      <c r="P45" s="845"/>
      <c r="Q45" s="845"/>
      <c r="R45" s="845"/>
      <c r="S45" s="845"/>
      <c r="T45" s="845"/>
      <c r="U45" s="845"/>
      <c r="V45" s="845"/>
      <c r="W45" s="845"/>
      <c r="X45" s="516">
        <f ca="1">SUM(X46:X1055)</f>
        <v>0.86499341503749982</v>
      </c>
      <c r="Y45" s="517">
        <f t="shared" ref="Y45:AG45" ca="1" si="14">SUM(Y46:Y1055)</f>
        <v>2.6440715340724998</v>
      </c>
      <c r="Z45" s="517">
        <f t="shared" ca="1" si="14"/>
        <v>4.3514026414196971</v>
      </c>
      <c r="AA45" s="517">
        <f t="shared" ca="1" si="14"/>
        <v>6.0001198454919509</v>
      </c>
      <c r="AB45" s="518">
        <f t="shared" ca="1" si="14"/>
        <v>7.9000953431513778</v>
      </c>
      <c r="AC45" s="517">
        <f t="shared" ca="1" si="14"/>
        <v>9.8660410818590858</v>
      </c>
      <c r="AD45" s="517">
        <f t="shared" ca="1" si="14"/>
        <v>11.689124648047882</v>
      </c>
      <c r="AE45" s="517">
        <f t="shared" ca="1" si="14"/>
        <v>13.32480960040164</v>
      </c>
      <c r="AF45" s="517">
        <f t="shared" ca="1" si="14"/>
        <v>15.067203580871832</v>
      </c>
      <c r="AG45" s="518">
        <f t="shared" ca="1" si="14"/>
        <v>17.02996603691258</v>
      </c>
    </row>
    <row r="46" spans="3:35">
      <c r="C46" s="74"/>
      <c r="D46" s="2289" t="str">
        <f>+'Capex_FO input'!C43</f>
        <v>Wodonga Sewerage Transfer Capacity</v>
      </c>
      <c r="E46" s="2290"/>
      <c r="F46" s="2290"/>
      <c r="G46" s="2290"/>
      <c r="H46" s="2291"/>
      <c r="I46" s="849">
        <f>+'Capex_FO input'!M43</f>
        <v>80</v>
      </c>
      <c r="J46" s="292"/>
      <c r="K46" s="292"/>
      <c r="L46" s="292"/>
      <c r="M46" s="292"/>
      <c r="N46" s="292"/>
      <c r="O46" s="2210"/>
      <c r="P46" s="292"/>
      <c r="Q46" s="292"/>
      <c r="R46" s="292"/>
      <c r="S46" s="292"/>
      <c r="T46" s="292"/>
      <c r="U46" s="292"/>
      <c r="V46" s="292"/>
      <c r="W46" s="344"/>
      <c r="X46" s="532">
        <f ca="1">+'Capex_FO input'!CN43</f>
        <v>3.2156249999999997E-3</v>
      </c>
      <c r="Y46" s="533">
        <f ca="1">+'Capex_FO input'!CO43</f>
        <v>6.4312499999999995E-3</v>
      </c>
      <c r="Z46" s="533">
        <f ca="1">+'Capex_FO input'!CP43</f>
        <v>6.4312499999999995E-3</v>
      </c>
      <c r="AA46" s="533">
        <f ca="1">+'Capex_FO input'!CQ43</f>
        <v>5.6952813364100054E-2</v>
      </c>
      <c r="AB46" s="534">
        <f ca="1">+'Capex_FO input'!CR43</f>
        <v>0.2938621579955904</v>
      </c>
      <c r="AC46" s="532">
        <f ca="1">+'Capex_FO input'!CS43</f>
        <v>0.67642044726585815</v>
      </c>
      <c r="AD46" s="533">
        <f ca="1">+'Capex_FO input'!CT43</f>
        <v>1.1016296686593872</v>
      </c>
      <c r="AE46" s="533">
        <f ca="1">+'Capex_FO input'!CU43</f>
        <v>1.5613763524877529</v>
      </c>
      <c r="AF46" s="533">
        <f ca="1">+'Capex_FO input'!CV43</f>
        <v>1.872922849700557</v>
      </c>
      <c r="AG46" s="534">
        <f ca="1">+'Capex_FO input'!CW43</f>
        <v>1.9537613764756476</v>
      </c>
      <c r="AI46" s="128"/>
    </row>
    <row r="47" spans="3:35">
      <c r="C47" s="74"/>
      <c r="D47" s="2286" t="str">
        <f>+'Capex_FO input'!C44</f>
        <v>Rutherglen Reuse Expansion</v>
      </c>
      <c r="E47" s="2287"/>
      <c r="F47" s="2287"/>
      <c r="G47" s="2287"/>
      <c r="H47" s="2288"/>
      <c r="I47" s="850">
        <f>+'Capex_FO input'!M44</f>
        <v>30</v>
      </c>
      <c r="J47" s="74"/>
      <c r="K47" s="74"/>
      <c r="L47" s="74"/>
      <c r="M47" s="74"/>
      <c r="N47" s="74"/>
      <c r="O47" s="106"/>
      <c r="P47" s="74"/>
      <c r="Q47" s="74"/>
      <c r="R47" s="74"/>
      <c r="S47" s="74"/>
      <c r="T47" s="74"/>
      <c r="U47" s="74"/>
      <c r="V47" s="74"/>
      <c r="W47" s="195"/>
      <c r="X47" s="524">
        <f ca="1">+'Capex_FO input'!CN44</f>
        <v>9.9092699999999978E-2</v>
      </c>
      <c r="Y47" s="525">
        <f ca="1">+'Capex_FO input'!CO44</f>
        <v>0.28642214999999993</v>
      </c>
      <c r="Z47" s="525">
        <f ca="1">+'Capex_FO input'!CP44</f>
        <v>0.37465889999999996</v>
      </c>
      <c r="AA47" s="525">
        <f ca="1">+'Capex_FO input'!CQ44</f>
        <v>0.37465889999999996</v>
      </c>
      <c r="AB47" s="526">
        <f ca="1">+'Capex_FO input'!CR44</f>
        <v>0.37465889999999996</v>
      </c>
      <c r="AC47" s="524">
        <f ca="1">+'Capex_FO input'!CS44</f>
        <v>0.37465889999999996</v>
      </c>
      <c r="AD47" s="525">
        <f ca="1">+'Capex_FO input'!CT44</f>
        <v>0.37465889999999996</v>
      </c>
      <c r="AE47" s="525">
        <f ca="1">+'Capex_FO input'!CU44</f>
        <v>0.37465889999999996</v>
      </c>
      <c r="AF47" s="525">
        <f ca="1">+'Capex_FO input'!CV44</f>
        <v>0.37465889999999996</v>
      </c>
      <c r="AG47" s="526">
        <f ca="1">+'Capex_FO input'!CW44</f>
        <v>0.37465889999999996</v>
      </c>
      <c r="AI47" s="128"/>
    </row>
    <row r="48" spans="3:35">
      <c r="C48" s="74"/>
      <c r="D48" s="2286" t="str">
        <f>+'Capex_FO input'!C45</f>
        <v>Wangaratta WTP Upgrade (Major Renewal)</v>
      </c>
      <c r="E48" s="2287"/>
      <c r="F48" s="2287"/>
      <c r="G48" s="2287"/>
      <c r="H48" s="2288"/>
      <c r="I48" s="850">
        <f>+'Capex_FO input'!M45</f>
        <v>30</v>
      </c>
      <c r="J48" s="74"/>
      <c r="K48" s="74"/>
      <c r="L48" s="74"/>
      <c r="M48" s="74"/>
      <c r="N48" s="74"/>
      <c r="O48" s="106"/>
      <c r="P48" s="74"/>
      <c r="Q48" s="74"/>
      <c r="R48" s="74"/>
      <c r="S48" s="74"/>
      <c r="T48" s="74"/>
      <c r="U48" s="74"/>
      <c r="V48" s="74"/>
      <c r="W48" s="195"/>
      <c r="X48" s="524">
        <f ca="1">+'Capex_FO input'!CN45</f>
        <v>2.5724999999999997E-3</v>
      </c>
      <c r="Y48" s="525">
        <f ca="1">+'Capex_FO input'!CO45</f>
        <v>6.9097349999999993E-3</v>
      </c>
      <c r="Z48" s="525">
        <f ca="1">+'Capex_FO input'!CP45</f>
        <v>7.0415488709999988E-2</v>
      </c>
      <c r="AA48" s="525">
        <f ca="1">+'Capex_FO input'!CQ45</f>
        <v>0.32088245840563495</v>
      </c>
      <c r="AB48" s="526">
        <f ca="1">+'Capex_FO input'!CR45</f>
        <v>0.61728310443677714</v>
      </c>
      <c r="AC48" s="524">
        <f ca="1">+'Capex_FO input'!CS45</f>
        <v>0.72495779948228434</v>
      </c>
      <c r="AD48" s="525">
        <f ca="1">+'Capex_FO input'!CT45</f>
        <v>0.72495779948228434</v>
      </c>
      <c r="AE48" s="525">
        <f ca="1">+'Capex_FO input'!CU45</f>
        <v>0.72495779948228434</v>
      </c>
      <c r="AF48" s="525">
        <f ca="1">+'Capex_FO input'!CV45</f>
        <v>0.72495779948228434</v>
      </c>
      <c r="AG48" s="526">
        <f ca="1">+'Capex_FO input'!CW45</f>
        <v>0.72495779948228434</v>
      </c>
      <c r="AI48" s="128"/>
    </row>
    <row r="49" spans="3:35">
      <c r="C49" s="74"/>
      <c r="D49" s="2286" t="str">
        <f>+'Capex_FO input'!C46</f>
        <v>Yarrawonga 5ML CWS</v>
      </c>
      <c r="E49" s="2287"/>
      <c r="F49" s="2287"/>
      <c r="G49" s="2287"/>
      <c r="H49" s="2288"/>
      <c r="I49" s="850">
        <f>+'Capex_FO input'!M46</f>
        <v>50</v>
      </c>
      <c r="J49" s="74"/>
      <c r="K49" s="74"/>
      <c r="L49" s="74"/>
      <c r="M49" s="74"/>
      <c r="N49" s="74"/>
      <c r="O49" s="106"/>
      <c r="P49" s="74"/>
      <c r="Q49" s="74"/>
      <c r="R49" s="74"/>
      <c r="S49" s="74"/>
      <c r="T49" s="74"/>
      <c r="U49" s="74"/>
      <c r="V49" s="74"/>
      <c r="W49" s="195"/>
      <c r="X49" s="524">
        <f ca="1">+'Capex_FO input'!CN46</f>
        <v>4.6304999999999992E-3</v>
      </c>
      <c r="Y49" s="525">
        <f ca="1">+'Capex_FO input'!CO46</f>
        <v>3.0120167699999999E-2</v>
      </c>
      <c r="Z49" s="525">
        <f ca="1">+'Capex_FO input'!CP46</f>
        <v>5.0979335399999999E-2</v>
      </c>
      <c r="AA49" s="525">
        <f ca="1">+'Capex_FO input'!CQ46</f>
        <v>5.0979335399999999E-2</v>
      </c>
      <c r="AB49" s="526">
        <f ca="1">+'Capex_FO input'!CR46</f>
        <v>5.0979335399999999E-2</v>
      </c>
      <c r="AC49" s="524">
        <f ca="1">+'Capex_FO input'!CS46</f>
        <v>5.0979335399999999E-2</v>
      </c>
      <c r="AD49" s="525">
        <f ca="1">+'Capex_FO input'!CT46</f>
        <v>5.0979335399999999E-2</v>
      </c>
      <c r="AE49" s="525">
        <f ca="1">+'Capex_FO input'!CU46</f>
        <v>5.0979335399999999E-2</v>
      </c>
      <c r="AF49" s="525">
        <f ca="1">+'Capex_FO input'!CV46</f>
        <v>5.0979335399999999E-2</v>
      </c>
      <c r="AG49" s="526">
        <f ca="1">+'Capex_FO input'!CW46</f>
        <v>5.0979335399999999E-2</v>
      </c>
      <c r="AI49" s="128"/>
    </row>
    <row r="50" spans="3:35" ht="11.25" customHeight="1">
      <c r="C50" s="74"/>
      <c r="D50" s="2286" t="str">
        <f>+'Capex_FO input'!C47</f>
        <v>Yarrawonga WTP Renewal and UV installation</v>
      </c>
      <c r="E50" s="2287"/>
      <c r="F50" s="2287"/>
      <c r="G50" s="2287"/>
      <c r="H50" s="2288"/>
      <c r="I50" s="850">
        <f>+'Capex_FO input'!M47</f>
        <v>25</v>
      </c>
      <c r="J50" s="74"/>
      <c r="K50" s="74"/>
      <c r="L50" s="74"/>
      <c r="M50" s="74"/>
      <c r="N50" s="74"/>
      <c r="O50" s="106"/>
      <c r="P50" s="74"/>
      <c r="Q50" s="74"/>
      <c r="R50" s="74"/>
      <c r="S50" s="74"/>
      <c r="T50" s="74"/>
      <c r="U50" s="74"/>
      <c r="V50" s="74"/>
      <c r="W50" s="195"/>
      <c r="X50" s="524">
        <f ca="1">+'Capex_FO input'!CN47</f>
        <v>1.0289999999999999E-2</v>
      </c>
      <c r="Y50" s="525">
        <f ca="1">+'Capex_FO input'!CO47</f>
        <v>4.2392124599999997E-2</v>
      </c>
      <c r="Z50" s="525">
        <f ca="1">+'Capex_FO input'!CP47</f>
        <v>0.19494993587999998</v>
      </c>
      <c r="AA50" s="525">
        <f ca="1">+'Capex_FO input'!CQ47</f>
        <v>0.32793791108656195</v>
      </c>
      <c r="AB50" s="526">
        <f ca="1">+'Capex_FO input'!CR47</f>
        <v>0.33248751450695624</v>
      </c>
      <c r="AC50" s="524">
        <f ca="1">+'Capex_FO input'!CS47</f>
        <v>0.33479482940078858</v>
      </c>
      <c r="AD50" s="525">
        <f ca="1">+'Capex_FO input'!CT47</f>
        <v>0.33479482940078858</v>
      </c>
      <c r="AE50" s="525">
        <f ca="1">+'Capex_FO input'!CU47</f>
        <v>0.33479482940078858</v>
      </c>
      <c r="AF50" s="525">
        <f ca="1">+'Capex_FO input'!CV47</f>
        <v>0.33479482940078858</v>
      </c>
      <c r="AG50" s="526">
        <f ca="1">+'Capex_FO input'!CW47</f>
        <v>0.33479482940078858</v>
      </c>
      <c r="AI50" s="128"/>
    </row>
    <row r="51" spans="3:35" ht="11.25" customHeight="1">
      <c r="C51" s="74"/>
      <c r="D51" s="2286" t="str">
        <f>+'Capex_FO input'!C48</f>
        <v>Tangambalanga Water System Upgrade Water</v>
      </c>
      <c r="E51" s="2287"/>
      <c r="F51" s="2287"/>
      <c r="G51" s="2287"/>
      <c r="H51" s="2288"/>
      <c r="I51" s="850">
        <f>+'Capex_FO input'!M48</f>
        <v>50</v>
      </c>
      <c r="J51" s="74"/>
      <c r="K51" s="74"/>
      <c r="L51" s="74"/>
      <c r="M51" s="74"/>
      <c r="N51" s="74"/>
      <c r="O51" s="106"/>
      <c r="P51" s="74"/>
      <c r="Q51" s="74"/>
      <c r="R51" s="74"/>
      <c r="S51" s="74"/>
      <c r="T51" s="74"/>
      <c r="U51" s="74"/>
      <c r="V51" s="74"/>
      <c r="W51" s="195"/>
      <c r="X51" s="524">
        <f ca="1">+'Capex_FO input'!CN48</f>
        <v>0</v>
      </c>
      <c r="Y51" s="525">
        <f ca="1">+'Capex_FO input'!CO48</f>
        <v>0</v>
      </c>
      <c r="Z51" s="525">
        <f ca="1">+'Capex_FO input'!CP48</f>
        <v>5.1448427708579991E-2</v>
      </c>
      <c r="AA51" s="525">
        <f ca="1">+'Capex_FO input'!CQ48</f>
        <v>0.14523126279865053</v>
      </c>
      <c r="AB51" s="526">
        <f ca="1">+'Capex_FO input'!CR48</f>
        <v>0.20838918709697757</v>
      </c>
      <c r="AC51" s="524">
        <f ca="1">+'Capex_FO input'!CS48</f>
        <v>0.22921270401381405</v>
      </c>
      <c r="AD51" s="525">
        <f ca="1">+'Capex_FO input'!CT48</f>
        <v>0.22921270401381405</v>
      </c>
      <c r="AE51" s="525">
        <f ca="1">+'Capex_FO input'!CU48</f>
        <v>0.22921270401381405</v>
      </c>
      <c r="AF51" s="525">
        <f ca="1">+'Capex_FO input'!CV48</f>
        <v>0.22921270401381405</v>
      </c>
      <c r="AG51" s="526">
        <f ca="1">+'Capex_FO input'!CW48</f>
        <v>0.22921270401381405</v>
      </c>
      <c r="AI51" s="128"/>
    </row>
    <row r="52" spans="3:35" ht="11.25" customHeight="1">
      <c r="C52" s="74"/>
      <c r="D52" s="2286" t="str">
        <f>+'Capex_FO input'!C49</f>
        <v>Tangambalanga Water System Upgrade Sewer</v>
      </c>
      <c r="E52" s="2287"/>
      <c r="F52" s="2287"/>
      <c r="G52" s="2287"/>
      <c r="H52" s="2288"/>
      <c r="I52" s="850">
        <f>+'Capex_FO input'!M49</f>
        <v>50</v>
      </c>
      <c r="J52" s="74"/>
      <c r="K52" s="74"/>
      <c r="L52" s="74"/>
      <c r="M52" s="74"/>
      <c r="N52" s="74"/>
      <c r="O52" s="106"/>
      <c r="P52" s="74"/>
      <c r="Q52" s="74"/>
      <c r="R52" s="74"/>
      <c r="S52" s="74"/>
      <c r="T52" s="74"/>
      <c r="U52" s="74"/>
      <c r="V52" s="74"/>
      <c r="W52" s="195"/>
      <c r="X52" s="524">
        <f ca="1">+'Capex_FO input'!CN49</f>
        <v>0</v>
      </c>
      <c r="Y52" s="525">
        <f ca="1">+'Capex_FO input'!CO49</f>
        <v>0</v>
      </c>
      <c r="Z52" s="525">
        <f ca="1">+'Capex_FO input'!CP49</f>
        <v>0</v>
      </c>
      <c r="AA52" s="525">
        <f ca="1">+'Capex_FO input'!CQ49</f>
        <v>2.7692263303040695E-2</v>
      </c>
      <c r="AB52" s="526">
        <f ca="1">+'Capex_FO input'!CR49</f>
        <v>9.1136370886012841E-2</v>
      </c>
      <c r="AC52" s="524">
        <f ca="1">+'Capex_FO input'!CS49</f>
        <v>0.12688821516594431</v>
      </c>
      <c r="AD52" s="525">
        <f ca="1">+'Capex_FO input'!CT49</f>
        <v>0.12688821516594431</v>
      </c>
      <c r="AE52" s="525">
        <f ca="1">+'Capex_FO input'!CU49</f>
        <v>0.12688821516594431</v>
      </c>
      <c r="AF52" s="525">
        <f ca="1">+'Capex_FO input'!CV49</f>
        <v>0.12688821516594431</v>
      </c>
      <c r="AG52" s="526">
        <f ca="1">+'Capex_FO input'!CW49</f>
        <v>0.12688821516594431</v>
      </c>
      <c r="AI52" s="128"/>
    </row>
    <row r="53" spans="3:35" ht="11.25" customHeight="1">
      <c r="C53" s="74"/>
      <c r="D53" s="2286" t="str">
        <f>+'Capex_FO input'!C50</f>
        <v>Benalla WWTP Upgrade Stage 1</v>
      </c>
      <c r="E53" s="2287"/>
      <c r="F53" s="2287"/>
      <c r="G53" s="2287"/>
      <c r="H53" s="2288"/>
      <c r="I53" s="850">
        <f>+'Capex_FO input'!M50</f>
        <v>40</v>
      </c>
      <c r="J53" s="74"/>
      <c r="K53" s="74"/>
      <c r="L53" s="74"/>
      <c r="M53" s="74"/>
      <c r="N53" s="74"/>
      <c r="O53" s="106"/>
      <c r="P53" s="74"/>
      <c r="Q53" s="74"/>
      <c r="R53" s="74"/>
      <c r="S53" s="74"/>
      <c r="T53" s="74"/>
      <c r="U53" s="74"/>
      <c r="V53" s="74"/>
      <c r="W53" s="195"/>
      <c r="X53" s="524">
        <f ca="1">+'Capex_FO input'!CN50</f>
        <v>0</v>
      </c>
      <c r="Y53" s="525">
        <f ca="1">+'Capex_FO input'!CO50</f>
        <v>0</v>
      </c>
      <c r="Z53" s="525">
        <f ca="1">+'Capex_FO input'!CP50</f>
        <v>2.7238684724999997E-2</v>
      </c>
      <c r="AA53" s="525">
        <f ca="1">+'Capex_FO input'!CQ50</f>
        <v>7.1995248563765615E-2</v>
      </c>
      <c r="AB53" s="526">
        <f ca="1">+'Capex_FO input'!CR50</f>
        <v>0.12556492289366089</v>
      </c>
      <c r="AC53" s="524">
        <f ca="1">+'Capex_FO input'!CS50</f>
        <v>0.16161671810979053</v>
      </c>
      <c r="AD53" s="525">
        <f ca="1">+'Capex_FO input'!CT50</f>
        <v>0.16161671810979053</v>
      </c>
      <c r="AE53" s="525">
        <f ca="1">+'Capex_FO input'!CU50</f>
        <v>0.16161671810979053</v>
      </c>
      <c r="AF53" s="525">
        <f ca="1">+'Capex_FO input'!CV50</f>
        <v>0.16161671810979053</v>
      </c>
      <c r="AG53" s="526">
        <f ca="1">+'Capex_FO input'!CW50</f>
        <v>0.16161671810979053</v>
      </c>
      <c r="AI53" s="128"/>
    </row>
    <row r="54" spans="3:35" ht="11.25" customHeight="1">
      <c r="C54" s="74"/>
      <c r="D54" s="2286" t="str">
        <f>+'Capex_FO input'!C51</f>
        <v>Wodonga Leneva Water</v>
      </c>
      <c r="E54" s="2287"/>
      <c r="F54" s="2287"/>
      <c r="G54" s="2287"/>
      <c r="H54" s="2288"/>
      <c r="I54" s="850">
        <f>+'Capex_FO input'!M51</f>
        <v>60</v>
      </c>
      <c r="J54" s="74"/>
      <c r="K54" s="74"/>
      <c r="L54" s="74"/>
      <c r="M54" s="74"/>
      <c r="N54" s="74"/>
      <c r="O54" s="106"/>
      <c r="P54" s="74"/>
      <c r="Q54" s="74"/>
      <c r="R54" s="74"/>
      <c r="S54" s="74"/>
      <c r="T54" s="74"/>
      <c r="U54" s="74"/>
      <c r="V54" s="74"/>
      <c r="W54" s="195"/>
      <c r="X54" s="524">
        <f ca="1">+'Capex_FO input'!CN51</f>
        <v>2.5724999999999998E-2</v>
      </c>
      <c r="Y54" s="525">
        <f ca="1">+'Capex_FO input'!CO51</f>
        <v>8.0479890749999991E-2</v>
      </c>
      <c r="Z54" s="525">
        <f ca="1">+'Capex_FO input'!CP51</f>
        <v>0.14165142947549997</v>
      </c>
      <c r="AA54" s="525">
        <f ca="1">+'Capex_FO input'!CQ51</f>
        <v>0.21620970207846446</v>
      </c>
      <c r="AB54" s="526">
        <f ca="1">+'Capex_FO input'!CR51</f>
        <v>0.30669538699410182</v>
      </c>
      <c r="AC54" s="524">
        <f ca="1">+'Capex_FO input'!CS51</f>
        <v>0.36465705988958064</v>
      </c>
      <c r="AD54" s="525">
        <f ca="1">+'Capex_FO input'!CT51</f>
        <v>0.47532670638877333</v>
      </c>
      <c r="AE54" s="525">
        <f ca="1">+'Capex_FO input'!CU51</f>
        <v>0.58657844410639248</v>
      </c>
      <c r="AF54" s="525">
        <f ca="1">+'Capex_FO input'!CV51</f>
        <v>0.59705314793212494</v>
      </c>
      <c r="AG54" s="526">
        <f ca="1">+'Capex_FO input'!CW51</f>
        <v>0.59705314793212494</v>
      </c>
      <c r="AI54" s="128"/>
    </row>
    <row r="55" spans="3:35" ht="11.25" customHeight="1" thickBot="1">
      <c r="C55" s="74"/>
      <c r="D55" s="2286" t="str">
        <f>+'Capex_FO input'!C52</f>
        <v>Wodonga Leneva Wastewater</v>
      </c>
      <c r="E55" s="2287"/>
      <c r="F55" s="2287"/>
      <c r="G55" s="2287"/>
      <c r="H55" s="2288"/>
      <c r="I55" s="850">
        <f>+'Capex_FO input'!M52</f>
        <v>60</v>
      </c>
      <c r="J55" s="199"/>
      <c r="K55" s="199"/>
      <c r="L55" s="199"/>
      <c r="M55" s="199"/>
      <c r="N55" s="199"/>
      <c r="O55" s="106"/>
      <c r="P55" s="74"/>
      <c r="Q55" s="74"/>
      <c r="R55" s="74"/>
      <c r="S55" s="74"/>
      <c r="T55" s="74"/>
      <c r="U55" s="74"/>
      <c r="V55" s="74"/>
      <c r="W55" s="195"/>
      <c r="X55" s="524">
        <f ca="1">+'Capex_FO input'!CN52</f>
        <v>4.2874999999999996E-2</v>
      </c>
      <c r="Y55" s="525">
        <f ca="1">+'Capex_FO input'!CO52</f>
        <v>0.11663286249999999</v>
      </c>
      <c r="Z55" s="525">
        <f ca="1">+'Capex_FO input'!CP52</f>
        <v>0.14751572499999999</v>
      </c>
      <c r="AA55" s="525">
        <f ca="1">+'Capex_FO input'!CQ52</f>
        <v>0.14751572499999999</v>
      </c>
      <c r="AB55" s="526">
        <f ca="1">+'Capex_FO input'!CR52</f>
        <v>0.14751572499999999</v>
      </c>
      <c r="AC55" s="524">
        <f ca="1">+'Capex_FO input'!CS52</f>
        <v>0.29827914113534304</v>
      </c>
      <c r="AD55" s="525">
        <f ca="1">+'Capex_FO input'!CT52</f>
        <v>0.46431180483006285</v>
      </c>
      <c r="AE55" s="525">
        <f ca="1">+'Capex_FO input'!CU52</f>
        <v>0.49529310812803834</v>
      </c>
      <c r="AF55" s="525">
        <f ca="1">+'Capex_FO input'!CV52</f>
        <v>0.51100516386663708</v>
      </c>
      <c r="AG55" s="526">
        <f ca="1">+'Capex_FO input'!CW52</f>
        <v>0.51100516386663708</v>
      </c>
      <c r="AI55" s="128"/>
    </row>
    <row r="56" spans="3:35" ht="11.25" customHeight="1">
      <c r="C56" s="74"/>
      <c r="D56" s="2286" t="str">
        <f>+'Capex_FO input'!C53</f>
        <v>Beechworth WWTP Upgrade</v>
      </c>
      <c r="E56" s="2287"/>
      <c r="F56" s="2287"/>
      <c r="G56" s="2287"/>
      <c r="H56" s="2288"/>
      <c r="I56" s="850">
        <f>+'Capex_FO input'!M53</f>
        <v>40</v>
      </c>
      <c r="J56" s="74"/>
      <c r="K56" s="74"/>
      <c r="L56" s="74"/>
      <c r="M56" s="74"/>
      <c r="N56" s="74"/>
      <c r="O56" s="106"/>
      <c r="P56" s="74"/>
      <c r="Q56" s="74"/>
      <c r="R56" s="74"/>
      <c r="S56" s="74"/>
      <c r="T56" s="74"/>
      <c r="U56" s="74"/>
      <c r="V56" s="74"/>
      <c r="W56" s="195"/>
      <c r="X56" s="524">
        <f ca="1">+'Capex_FO input'!CN53</f>
        <v>6.2383124999999998E-2</v>
      </c>
      <c r="Y56" s="525">
        <f ca="1">+'Capex_FO input'!CO53</f>
        <v>0.25063597387500003</v>
      </c>
      <c r="Z56" s="525">
        <f ca="1">+'Capex_FO input'!CP53</f>
        <v>0.39965857976624997</v>
      </c>
      <c r="AA56" s="525">
        <f ca="1">+'Capex_FO input'!CQ53</f>
        <v>0.42827704006599482</v>
      </c>
      <c r="AB56" s="526">
        <f ca="1">+'Capex_FO input'!CR53</f>
        <v>0.43374261834948974</v>
      </c>
      <c r="AC56" s="524">
        <f ca="1">+'Capex_FO input'!CS53</f>
        <v>0.43374261834948974</v>
      </c>
      <c r="AD56" s="525">
        <f ca="1">+'Capex_FO input'!CT53</f>
        <v>0.43374261834948974</v>
      </c>
      <c r="AE56" s="525">
        <f ca="1">+'Capex_FO input'!CU53</f>
        <v>0.43374261834948974</v>
      </c>
      <c r="AF56" s="525">
        <f ca="1">+'Capex_FO input'!CV53</f>
        <v>0.43374261834948974</v>
      </c>
      <c r="AG56" s="526">
        <f ca="1">+'Capex_FO input'!CW53</f>
        <v>0.43374261834948974</v>
      </c>
      <c r="AI56" s="128"/>
    </row>
    <row r="57" spans="3:35" ht="11.25" customHeight="1">
      <c r="C57" s="74"/>
      <c r="D57" s="2286" t="str">
        <f>+'Capex_FO input'!C54</f>
        <v>Bright WWTP Upgrade</v>
      </c>
      <c r="E57" s="2287"/>
      <c r="F57" s="2287"/>
      <c r="G57" s="2287"/>
      <c r="H57" s="2288"/>
      <c r="I57" s="850">
        <f>+'Capex_FO input'!M54</f>
        <v>40</v>
      </c>
      <c r="J57" s="74"/>
      <c r="K57" s="74"/>
      <c r="L57" s="74"/>
      <c r="M57" s="74"/>
      <c r="N57" s="74"/>
      <c r="O57" s="106"/>
      <c r="P57" s="74"/>
      <c r="Q57" s="74"/>
      <c r="R57" s="74"/>
      <c r="S57" s="74"/>
      <c r="T57" s="74"/>
      <c r="U57" s="74"/>
      <c r="V57" s="74"/>
      <c r="W57" s="195"/>
      <c r="X57" s="524">
        <f ca="1">+'Capex_FO input'!CN54</f>
        <v>5.6594999999999996E-3</v>
      </c>
      <c r="Y57" s="525">
        <f ca="1">+'Capex_FO input'!CO54</f>
        <v>0.16564507574999998</v>
      </c>
      <c r="Z57" s="525">
        <f ca="1">+'Capex_FO input'!CP54</f>
        <v>0.42947066409449997</v>
      </c>
      <c r="AA57" s="525">
        <f ca="1">+'Capex_FO input'!CQ54</f>
        <v>0.53897017668899994</v>
      </c>
      <c r="AB57" s="526">
        <f ca="1">+'Capex_FO input'!CR54</f>
        <v>0.53897017668899994</v>
      </c>
      <c r="AC57" s="524">
        <f ca="1">+'Capex_FO input'!CS54</f>
        <v>0.53897017668899994</v>
      </c>
      <c r="AD57" s="525">
        <f ca="1">+'Capex_FO input'!CT54</f>
        <v>0.53897017668899994</v>
      </c>
      <c r="AE57" s="525">
        <f ca="1">+'Capex_FO input'!CU54</f>
        <v>0.53897017668899994</v>
      </c>
      <c r="AF57" s="525">
        <f ca="1">+'Capex_FO input'!CV54</f>
        <v>0.53897017668899994</v>
      </c>
      <c r="AG57" s="526">
        <f ca="1">+'Capex_FO input'!CW54</f>
        <v>0.53897017668899994</v>
      </c>
      <c r="AI57" s="128"/>
    </row>
    <row r="58" spans="3:35" ht="11.25" customHeight="1" thickBot="1">
      <c r="C58" s="74"/>
      <c r="D58" s="2292" t="str">
        <f>+'Capex_FO input'!C55</f>
        <v>Wodonga South Bandiana SPS (Whytes Road)</v>
      </c>
      <c r="E58" s="2293"/>
      <c r="F58" s="2293"/>
      <c r="G58" s="2293"/>
      <c r="H58" s="2294"/>
      <c r="I58" s="851">
        <f>+'Capex_FO input'!M55</f>
        <v>50</v>
      </c>
      <c r="J58" s="199"/>
      <c r="K58" s="199"/>
      <c r="L58" s="199"/>
      <c r="M58" s="199"/>
      <c r="N58" s="199"/>
      <c r="O58" s="853"/>
      <c r="P58" s="199"/>
      <c r="Q58" s="199"/>
      <c r="R58" s="199"/>
      <c r="S58" s="199"/>
      <c r="T58" s="199"/>
      <c r="U58" s="199"/>
      <c r="V58" s="199"/>
      <c r="W58" s="201"/>
      <c r="X58" s="524">
        <f ca="1">+'Capex_FO input'!CN55</f>
        <v>3.0869999999999998E-2</v>
      </c>
      <c r="Y58" s="525">
        <f ca="1">+'Capex_FO input'!CO55</f>
        <v>8.6199227099999998E-2</v>
      </c>
      <c r="Z58" s="525">
        <f ca="1">+'Capex_FO input'!CP55</f>
        <v>0.11065845419999999</v>
      </c>
      <c r="AA58" s="525">
        <f ca="1">+'Capex_FO input'!CQ55</f>
        <v>0.11065845419999999</v>
      </c>
      <c r="AB58" s="526">
        <f ca="1">+'Capex_FO input'!CR55</f>
        <v>0.11065845419999999</v>
      </c>
      <c r="AC58" s="524">
        <f ca="1">+'Capex_FO input'!CS55</f>
        <v>0.11065845419999999</v>
      </c>
      <c r="AD58" s="525">
        <f ca="1">+'Capex_FO input'!CT55</f>
        <v>0.11065845419999999</v>
      </c>
      <c r="AE58" s="525">
        <f ca="1">+'Capex_FO input'!CU55</f>
        <v>0.11065845419999999</v>
      </c>
      <c r="AF58" s="525">
        <f ca="1">+'Capex_FO input'!CV55</f>
        <v>0.11065845419999999</v>
      </c>
      <c r="AG58" s="526">
        <f ca="1">+'Capex_FO input'!CW55</f>
        <v>0.11065845419999999</v>
      </c>
      <c r="AI58" s="128"/>
    </row>
    <row r="59" spans="3:35" ht="11.25" customHeight="1" thickBot="1">
      <c r="H59" s="70"/>
      <c r="I59" s="854"/>
      <c r="L59" s="74"/>
      <c r="M59" s="74"/>
      <c r="N59" s="74"/>
      <c r="O59" s="74"/>
      <c r="P59" s="74"/>
      <c r="Q59" s="74"/>
      <c r="R59" s="74"/>
      <c r="S59" s="74"/>
      <c r="T59" s="74"/>
      <c r="U59" s="74"/>
      <c r="V59" s="74"/>
      <c r="W59" s="74"/>
      <c r="X59" s="531"/>
      <c r="Y59" s="531"/>
      <c r="Z59" s="531"/>
      <c r="AA59" s="531"/>
      <c r="AB59" s="531"/>
      <c r="AC59" s="531"/>
      <c r="AD59" s="531"/>
      <c r="AE59" s="531"/>
      <c r="AF59" s="531"/>
      <c r="AG59" s="531"/>
      <c r="AI59" s="128"/>
    </row>
    <row r="60" spans="3:35" ht="11.25" customHeight="1">
      <c r="C60" s="74"/>
      <c r="D60" s="2289" t="str">
        <f>+'Capex_FO input'!C57</f>
        <v>Wodonga WWTP Capacity  &amp; Emissions Reduction</v>
      </c>
      <c r="E60" s="2290"/>
      <c r="F60" s="2290"/>
      <c r="G60" s="2290"/>
      <c r="H60" s="2291"/>
      <c r="I60" s="849">
        <f>+'Capex_FO input'!M57</f>
        <v>20</v>
      </c>
      <c r="J60" s="292"/>
      <c r="K60" s="292"/>
      <c r="L60" s="292"/>
      <c r="M60" s="292"/>
      <c r="N60" s="292"/>
      <c r="O60" s="292"/>
      <c r="P60" s="855"/>
      <c r="Q60" s="292"/>
      <c r="R60" s="292"/>
      <c r="S60" s="292"/>
      <c r="T60" s="292"/>
      <c r="U60" s="292"/>
      <c r="V60" s="292"/>
      <c r="W60" s="292"/>
      <c r="X60" s="521">
        <f ca="1">+'Capex_FO input'!CN57</f>
        <v>5.9167499999999998E-2</v>
      </c>
      <c r="Y60" s="522">
        <f ca="1">+'Capex_FO input'!CO57</f>
        <v>0.118335</v>
      </c>
      <c r="Z60" s="522">
        <f ca="1">+'Capex_FO input'!CP57</f>
        <v>0.118335</v>
      </c>
      <c r="AA60" s="522">
        <f ca="1">+'Capex_FO input'!CQ57</f>
        <v>0.118335</v>
      </c>
      <c r="AB60" s="523">
        <f ca="1">+'Capex_FO input'!CR57</f>
        <v>0.118335</v>
      </c>
      <c r="AC60" s="521">
        <f ca="1">+'Capex_FO input'!CS57</f>
        <v>0.118335</v>
      </c>
      <c r="AD60" s="522">
        <f ca="1">+'Capex_FO input'!CT57</f>
        <v>0.118335</v>
      </c>
      <c r="AE60" s="522">
        <f ca="1">+'Capex_FO input'!CU57</f>
        <v>0.118335</v>
      </c>
      <c r="AF60" s="522">
        <f ca="1">+'Capex_FO input'!CV57</f>
        <v>0.118335</v>
      </c>
      <c r="AG60" s="523">
        <f ca="1">+'Capex_FO input'!CW57</f>
        <v>0.118335</v>
      </c>
      <c r="AI60" s="128"/>
    </row>
    <row r="61" spans="3:35" ht="11.25" customHeight="1">
      <c r="C61" s="74"/>
      <c r="D61" s="2286" t="str">
        <f>+'Capex_FO input'!C58</f>
        <v>Wangaratta Works Depot Relocation</v>
      </c>
      <c r="E61" s="2287"/>
      <c r="F61" s="2287"/>
      <c r="G61" s="2287"/>
      <c r="H61" s="2288"/>
      <c r="I61" s="850">
        <f>+'Capex_FO input'!M58</f>
        <v>20</v>
      </c>
      <c r="J61" s="74"/>
      <c r="K61" s="74"/>
      <c r="L61" s="74"/>
      <c r="M61" s="74"/>
      <c r="N61" s="74"/>
      <c r="O61" s="74"/>
      <c r="P61" s="148"/>
      <c r="Q61" s="74"/>
      <c r="R61" s="74"/>
      <c r="S61" s="74"/>
      <c r="T61" s="74"/>
      <c r="U61" s="74"/>
      <c r="V61" s="74"/>
      <c r="W61" s="74"/>
      <c r="X61" s="532">
        <f ca="1">+'Capex_FO input'!CN58</f>
        <v>0</v>
      </c>
      <c r="Y61" s="533">
        <f ca="1">+'Capex_FO input'!CO58</f>
        <v>0</v>
      </c>
      <c r="Z61" s="533">
        <f ca="1">+'Capex_FO input'!CP58</f>
        <v>0</v>
      </c>
      <c r="AA61" s="533">
        <f ca="1">+'Capex_FO input'!CQ58</f>
        <v>1.206146618462307E-2</v>
      </c>
      <c r="AB61" s="534">
        <f ca="1">+'Capex_FO input'!CR58</f>
        <v>5.2964368542149858E-2</v>
      </c>
      <c r="AC61" s="532">
        <f ca="1">+'Capex_FO input'!CS58</f>
        <v>8.1805804715053582E-2</v>
      </c>
      <c r="AD61" s="533">
        <f ca="1">+'Capex_FO input'!CT58</f>
        <v>8.1805804715053582E-2</v>
      </c>
      <c r="AE61" s="533">
        <f ca="1">+'Capex_FO input'!CU58</f>
        <v>8.1805804715053582E-2</v>
      </c>
      <c r="AF61" s="533">
        <f ca="1">+'Capex_FO input'!CV58</f>
        <v>8.1805804715053582E-2</v>
      </c>
      <c r="AG61" s="534">
        <f ca="1">+'Capex_FO input'!CW58</f>
        <v>8.1805804715053582E-2</v>
      </c>
      <c r="AI61" s="128"/>
    </row>
    <row r="62" spans="3:35" ht="11.25" customHeight="1">
      <c r="C62" s="74"/>
      <c r="D62" s="2286" t="str">
        <f>+'Capex_FO input'!C59</f>
        <v xml:space="preserve">Region Wide Digital Business Sustainability </v>
      </c>
      <c r="E62" s="2287"/>
      <c r="F62" s="2287"/>
      <c r="G62" s="2287"/>
      <c r="H62" s="2288"/>
      <c r="I62" s="850">
        <f>+'Capex_FO input'!M59</f>
        <v>10</v>
      </c>
      <c r="J62" s="74"/>
      <c r="K62" s="74"/>
      <c r="L62" s="74"/>
      <c r="M62" s="74"/>
      <c r="N62" s="74"/>
      <c r="O62" s="74"/>
      <c r="P62" s="148"/>
      <c r="Q62" s="74"/>
      <c r="R62" s="74"/>
      <c r="S62" s="74"/>
      <c r="T62" s="74"/>
      <c r="U62" s="74"/>
      <c r="V62" s="74"/>
      <c r="W62" s="74"/>
      <c r="X62" s="532">
        <f ca="1">+'Capex_FO input'!CN59</f>
        <v>2.5461215849999996E-2</v>
      </c>
      <c r="Y62" s="533">
        <f ca="1">+'Capex_FO input'!CO59</f>
        <v>5.0922431699999993E-2</v>
      </c>
      <c r="Z62" s="533">
        <f ca="1">+'Capex_FO input'!CP59</f>
        <v>5.0922431699999993E-2</v>
      </c>
      <c r="AA62" s="533">
        <f ca="1">+'Capex_FO input'!CQ59</f>
        <v>5.0922431699999993E-2</v>
      </c>
      <c r="AB62" s="534">
        <f ca="1">+'Capex_FO input'!CR59</f>
        <v>6.4541357860845125E-2</v>
      </c>
      <c r="AC62" s="532">
        <f ca="1">+'Capex_FO input'!CS59</f>
        <v>9.2999202932649225E-2</v>
      </c>
      <c r="AD62" s="533">
        <f ca="1">+'Capex_FO input'!CT59</f>
        <v>0.12310736940298496</v>
      </c>
      <c r="AE62" s="533">
        <f ca="1">+'Capex_FO input'!CU59</f>
        <v>0.15408867270096044</v>
      </c>
      <c r="AF62" s="533">
        <f ca="1">+'Capex_FO input'!CV59</f>
        <v>0.18596843379457717</v>
      </c>
      <c r="AG62" s="534">
        <f ca="1">+'Capex_FO input'!CW59</f>
        <v>0.2187727079599088</v>
      </c>
      <c r="AI62" s="128"/>
    </row>
    <row r="63" spans="3:35">
      <c r="C63" s="74"/>
      <c r="D63" s="2286" t="str">
        <f>+'Capex_FO input'!C60</f>
        <v xml:space="preserve">Region Wide ICT Infrastructure </v>
      </c>
      <c r="E63" s="2287"/>
      <c r="F63" s="2287"/>
      <c r="G63" s="2287"/>
      <c r="H63" s="2288"/>
      <c r="I63" s="850">
        <f>+'Capex_FO input'!M60</f>
        <v>10</v>
      </c>
      <c r="J63" s="74"/>
      <c r="K63" s="74"/>
      <c r="L63" s="74"/>
      <c r="M63" s="74"/>
      <c r="N63" s="74"/>
      <c r="O63" s="74"/>
      <c r="P63" s="148"/>
      <c r="Q63" s="74"/>
      <c r="R63" s="74"/>
      <c r="S63" s="74"/>
      <c r="T63" s="74"/>
      <c r="U63" s="74"/>
      <c r="V63" s="74"/>
      <c r="W63" s="74"/>
      <c r="X63" s="532">
        <f ca="1">+'Capex_FO input'!CN60</f>
        <v>1.2991124999999997E-2</v>
      </c>
      <c r="Y63" s="533">
        <f ca="1">+'Capex_FO input'!CO60</f>
        <v>4.4856090824999993E-2</v>
      </c>
      <c r="Z63" s="533">
        <f ca="1">+'Capex_FO input'!CP60</f>
        <v>7.8487851034004991E-2</v>
      </c>
      <c r="AA63" s="533">
        <f ca="1">+'Capex_FO input'!CQ60</f>
        <v>0.11440736838743887</v>
      </c>
      <c r="AB63" s="534">
        <f ca="1">+'Capex_FO input'!CR60</f>
        <v>0.16253570917853269</v>
      </c>
      <c r="AC63" s="532">
        <f ca="1">+'Capex_FO input'!CS60</f>
        <v>0.21205760874485532</v>
      </c>
      <c r="AD63" s="533">
        <f ca="1">+'Capex_FO input'!CT60</f>
        <v>0.2578220217797656</v>
      </c>
      <c r="AE63" s="533">
        <f ca="1">+'Capex_FO input'!CU60</f>
        <v>0.30491360279268831</v>
      </c>
      <c r="AF63" s="533">
        <f ca="1">+'Capex_FO input'!CV60</f>
        <v>0.35337083965498578</v>
      </c>
      <c r="AG63" s="534">
        <f ca="1">+'Capex_FO input'!CW60</f>
        <v>0.40323333638628989</v>
      </c>
      <c r="AI63" s="128"/>
    </row>
    <row r="64" spans="3:35">
      <c r="C64" s="74"/>
      <c r="D64" s="2286" t="str">
        <f>+'Capex_FO input'!C61</f>
        <v>Region Wide Health &amp; Safety Improvements</v>
      </c>
      <c r="E64" s="2287"/>
      <c r="F64" s="2287"/>
      <c r="G64" s="2287"/>
      <c r="H64" s="2288"/>
      <c r="I64" s="850">
        <f>+'Capex_FO input'!M61</f>
        <v>10</v>
      </c>
      <c r="J64" s="74"/>
      <c r="K64" s="74"/>
      <c r="L64" s="74"/>
      <c r="M64" s="74"/>
      <c r="N64" s="74"/>
      <c r="O64" s="74"/>
      <c r="P64" s="148"/>
      <c r="Q64" s="74"/>
      <c r="R64" s="74"/>
      <c r="S64" s="74"/>
      <c r="T64" s="74"/>
      <c r="U64" s="74"/>
      <c r="V64" s="74"/>
      <c r="W64" s="74"/>
      <c r="X64" s="532">
        <f ca="1">+'Capex_FO input'!CN61</f>
        <v>6.1739999999999989E-3</v>
      </c>
      <c r="Y64" s="533">
        <f ca="1">+'Capex_FO input'!CO61</f>
        <v>1.8701045999999999E-2</v>
      </c>
      <c r="Z64" s="533">
        <f ca="1">+'Capex_FO input'!CP61</f>
        <v>3.1591376333999992E-2</v>
      </c>
      <c r="AA64" s="533">
        <f ca="1">+'Capex_FO input'!CQ61</f>
        <v>4.485552624768599E-2</v>
      </c>
      <c r="AB64" s="534">
        <f ca="1">+'Capex_FO input'!CR61</f>
        <v>5.8504336508868882E-2</v>
      </c>
      <c r="AC64" s="532">
        <f ca="1">+'Capex_FO input'!CS61</f>
        <v>7.2548962267626083E-2</v>
      </c>
      <c r="AD64" s="533">
        <f ca="1">+'Capex_FO input'!CT61</f>
        <v>8.7000882173387237E-2</v>
      </c>
      <c r="AE64" s="533">
        <f ca="1">+'Capex_FO input'!CU61</f>
        <v>0.10187190775641546</v>
      </c>
      <c r="AF64" s="533">
        <f ca="1">+'Capex_FO input'!CV61</f>
        <v>0.11717419308135149</v>
      </c>
      <c r="AG64" s="534">
        <f ca="1">+'Capex_FO input'!CW61</f>
        <v>0.13292024468071068</v>
      </c>
      <c r="AI64" s="128"/>
    </row>
    <row r="65" spans="3:35">
      <c r="C65" s="74"/>
      <c r="D65" s="2286" t="str">
        <f>+'Capex_FO input'!C62</f>
        <v>Region Wide Water System Improvement</v>
      </c>
      <c r="E65" s="2287"/>
      <c r="F65" s="2287"/>
      <c r="G65" s="2287"/>
      <c r="H65" s="2288"/>
      <c r="I65" s="850">
        <f>+'Capex_FO input'!M62</f>
        <v>25</v>
      </c>
      <c r="J65" s="74"/>
      <c r="K65" s="74"/>
      <c r="L65" s="74"/>
      <c r="M65" s="74"/>
      <c r="N65" s="74"/>
      <c r="O65" s="74"/>
      <c r="P65" s="148"/>
      <c r="Q65" s="74"/>
      <c r="R65" s="74"/>
      <c r="S65" s="74"/>
      <c r="T65" s="74"/>
      <c r="U65" s="74"/>
      <c r="V65" s="74"/>
      <c r="W65" s="74"/>
      <c r="X65" s="532">
        <f ca="1">+'Capex_FO input'!CN62</f>
        <v>2.0579999999999999E-3</v>
      </c>
      <c r="Y65" s="533">
        <f ca="1">+'Capex_FO input'!CO62</f>
        <v>6.2336819999999999E-3</v>
      </c>
      <c r="Z65" s="533">
        <f ca="1">+'Capex_FO input'!CP62</f>
        <v>1.0530458777999997E-2</v>
      </c>
      <c r="AA65" s="533">
        <f ca="1">+'Capex_FO input'!CQ62</f>
        <v>1.4951842082561999E-2</v>
      </c>
      <c r="AB65" s="534">
        <f ca="1">+'Capex_FO input'!CR62</f>
        <v>1.9501445502956297E-2</v>
      </c>
      <c r="AC65" s="532">
        <f ca="1">+'Capex_FO input'!CS62</f>
        <v>2.4182987422542029E-2</v>
      </c>
      <c r="AD65" s="533">
        <f ca="1">+'Capex_FO input'!CT62</f>
        <v>2.9000294057795747E-2</v>
      </c>
      <c r="AE65" s="533">
        <f ca="1">+'Capex_FO input'!CU62</f>
        <v>3.3957302585471819E-2</v>
      </c>
      <c r="AF65" s="533">
        <f ca="1">+'Capex_FO input'!CV62</f>
        <v>3.9058064360450499E-2</v>
      </c>
      <c r="AG65" s="534">
        <f ca="1">+'Capex_FO input'!CW62</f>
        <v>4.4306748226903558E-2</v>
      </c>
      <c r="AI65" s="128"/>
    </row>
    <row r="66" spans="3:35">
      <c r="C66" s="74"/>
      <c r="D66" s="2286" t="str">
        <f>+'Capex_FO input'!C63</f>
        <v>Region Wide Scada System Upgrades</v>
      </c>
      <c r="E66" s="2287"/>
      <c r="F66" s="2287"/>
      <c r="G66" s="2287"/>
      <c r="H66" s="2288"/>
      <c r="I66" s="850">
        <f>+'Capex_FO input'!M63</f>
        <v>10</v>
      </c>
      <c r="J66" s="74"/>
      <c r="K66" s="74"/>
      <c r="L66" s="74"/>
      <c r="M66" s="74"/>
      <c r="N66" s="74"/>
      <c r="O66" s="74"/>
      <c r="P66" s="148"/>
      <c r="Q66" s="74"/>
      <c r="R66" s="74"/>
      <c r="S66" s="74"/>
      <c r="T66" s="74"/>
      <c r="U66" s="74"/>
      <c r="V66" s="74"/>
      <c r="W66" s="74"/>
      <c r="X66" s="532">
        <f ca="1">+'Capex_FO input'!CN63</f>
        <v>3.8587499999999997E-2</v>
      </c>
      <c r="Y66" s="533">
        <f ca="1">+'Capex_FO input'!CO63</f>
        <v>0.11688153749999999</v>
      </c>
      <c r="Z66" s="533">
        <f ca="1">+'Capex_FO input'!CP63</f>
        <v>0.19744610208749999</v>
      </c>
      <c r="AA66" s="533">
        <f ca="1">+'Capex_FO input'!CQ63</f>
        <v>0.32238994892107498</v>
      </c>
      <c r="AB66" s="534">
        <f ca="1">+'Capex_FO input'!CR63</f>
        <v>0.49300007718586114</v>
      </c>
      <c r="AC66" s="532">
        <f ca="1">+'Capex_FO input'!CS63</f>
        <v>0.66855789917032593</v>
      </c>
      <c r="AD66" s="533">
        <f ca="1">+'Capex_FO input'!CT63</f>
        <v>0.8492068979923405</v>
      </c>
      <c r="AE66" s="533">
        <f ca="1">+'Capex_FO input'!CU63</f>
        <v>1.0350947177801932</v>
      </c>
      <c r="AF66" s="533">
        <f ca="1">+'Capex_FO input'!CV63</f>
        <v>1.2263732843418937</v>
      </c>
      <c r="AG66" s="534">
        <f ca="1">+'Capex_FO input'!CW63</f>
        <v>1.4231989293338834</v>
      </c>
      <c r="AI66" s="128"/>
    </row>
    <row r="67" spans="3:35">
      <c r="C67" s="74"/>
      <c r="D67" s="2286" t="str">
        <f>+'Capex_FO input'!C64</f>
        <v>Region Wide Securing the Integrity of Our Services</v>
      </c>
      <c r="E67" s="2287"/>
      <c r="F67" s="2287"/>
      <c r="G67" s="2287"/>
      <c r="H67" s="2288"/>
      <c r="I67" s="850">
        <f>+'Capex_FO input'!M64</f>
        <v>10</v>
      </c>
      <c r="J67" s="74"/>
      <c r="K67" s="74"/>
      <c r="L67" s="74"/>
      <c r="M67" s="74"/>
      <c r="N67" s="74"/>
      <c r="O67" s="74"/>
      <c r="P67" s="148"/>
      <c r="Q67" s="74"/>
      <c r="R67" s="74"/>
      <c r="S67" s="74"/>
      <c r="T67" s="74"/>
      <c r="U67" s="74"/>
      <c r="V67" s="74"/>
      <c r="W67" s="74"/>
      <c r="X67" s="532">
        <f ca="1">+'Capex_FO input'!CN64</f>
        <v>7.460249999999999E-3</v>
      </c>
      <c r="Y67" s="533">
        <f ca="1">+'Capex_FO input'!CO64</f>
        <v>2.2597097249999996E-2</v>
      </c>
      <c r="Z67" s="533">
        <f ca="1">+'Capex_FO input'!CP64</f>
        <v>3.8172913070249989E-2</v>
      </c>
      <c r="AA67" s="533">
        <f ca="1">+'Capex_FO input'!CQ64</f>
        <v>5.4480713615107486E-2</v>
      </c>
      <c r="AB67" s="534">
        <f ca="1">+'Capex_FO input'!CR64</f>
        <v>7.1541726441586101E-2</v>
      </c>
      <c r="AC67" s="532">
        <f ca="1">+'Capex_FO input'!CS64</f>
        <v>8.9097508640032602E-2</v>
      </c>
      <c r="AD67" s="533">
        <f ca="1">+'Capex_FO input'!CT64</f>
        <v>0.10716240852223405</v>
      </c>
      <c r="AE67" s="533">
        <f ca="1">+'Capex_FO input'!CU64</f>
        <v>0.12575119050101932</v>
      </c>
      <c r="AF67" s="533">
        <f ca="1">+'Capex_FO input'!CV64</f>
        <v>0.14487904715718936</v>
      </c>
      <c r="AG67" s="534">
        <f ca="1">+'Capex_FO input'!CW64</f>
        <v>0.16456161165638836</v>
      </c>
      <c r="AI67" s="128"/>
    </row>
    <row r="68" spans="3:35">
      <c r="C68" s="74"/>
      <c r="D68" s="2286" t="str">
        <f>+'Capex_FO input'!C65</f>
        <v>Porepunkah Security of Supply</v>
      </c>
      <c r="E68" s="2287"/>
      <c r="F68" s="2287"/>
      <c r="G68" s="2287"/>
      <c r="H68" s="2288"/>
      <c r="I68" s="850">
        <f>+'Capex_FO input'!M65</f>
        <v>80</v>
      </c>
      <c r="J68" s="74"/>
      <c r="K68" s="74"/>
      <c r="L68" s="74"/>
      <c r="M68" s="74"/>
      <c r="N68" s="74"/>
      <c r="O68" s="74"/>
      <c r="P68" s="148"/>
      <c r="Q68" s="74"/>
      <c r="R68" s="74"/>
      <c r="S68" s="74"/>
      <c r="T68" s="74"/>
      <c r="U68" s="74"/>
      <c r="V68" s="74"/>
      <c r="W68" s="74"/>
      <c r="X68" s="532">
        <f ca="1">+'Capex_FO input'!CN65</f>
        <v>0</v>
      </c>
      <c r="Y68" s="533">
        <f ca="1">+'Capex_FO input'!CO65</f>
        <v>0</v>
      </c>
      <c r="Z68" s="533">
        <f ca="1">+'Capex_FO input'!CP65</f>
        <v>0</v>
      </c>
      <c r="AA68" s="533">
        <f ca="1">+'Capex_FO input'!CQ65</f>
        <v>0</v>
      </c>
      <c r="AB68" s="534">
        <f ca="1">+'Capex_FO input'!CR65</f>
        <v>1.4420718086451859E-2</v>
      </c>
      <c r="AC68" s="532">
        <f ca="1">+'Capex_FO input'!CS65</f>
        <v>2.8841436172903717E-2</v>
      </c>
      <c r="AD68" s="533">
        <f ca="1">+'Capex_FO input'!CT65</f>
        <v>2.8841436172903717E-2</v>
      </c>
      <c r="AE68" s="533">
        <f ca="1">+'Capex_FO input'!CU65</f>
        <v>2.8841436172903717E-2</v>
      </c>
      <c r="AF68" s="533">
        <f ca="1">+'Capex_FO input'!CV65</f>
        <v>2.8841436172903717E-2</v>
      </c>
      <c r="AG68" s="534">
        <f ca="1">+'Capex_FO input'!CW65</f>
        <v>2.8841436172903717E-2</v>
      </c>
      <c r="AI68" s="128"/>
    </row>
    <row r="69" spans="3:35">
      <c r="C69" s="74"/>
      <c r="D69" s="2286" t="str">
        <f>+'Capex_FO input'!C66</f>
        <v>Region Wide Above Ground Asset Renewals Water</v>
      </c>
      <c r="E69" s="2287"/>
      <c r="F69" s="2287"/>
      <c r="G69" s="2287"/>
      <c r="H69" s="2288"/>
      <c r="I69" s="850">
        <f>+'Capex_FO input'!M66</f>
        <v>25</v>
      </c>
      <c r="J69" s="74"/>
      <c r="K69" s="74"/>
      <c r="L69" s="74"/>
      <c r="M69" s="74"/>
      <c r="N69" s="74"/>
      <c r="O69" s="74"/>
      <c r="P69" s="148"/>
      <c r="Q69" s="74"/>
      <c r="R69" s="74"/>
      <c r="S69" s="74"/>
      <c r="T69" s="74"/>
      <c r="U69" s="74"/>
      <c r="V69" s="74"/>
      <c r="W69" s="74"/>
      <c r="X69" s="532">
        <f ca="1">+'Capex_FO input'!CN66</f>
        <v>6.0505199999999995E-2</v>
      </c>
      <c r="Y69" s="533">
        <f ca="1">+'Capex_FO input'!CO66</f>
        <v>0.18115256879999997</v>
      </c>
      <c r="Z69" s="533">
        <f ca="1">+'Capex_FO input'!CP66</f>
        <v>0.28901691323819995</v>
      </c>
      <c r="AA69" s="533">
        <f ca="1">+'Capex_FO input'!CQ66</f>
        <v>0.36970073021686134</v>
      </c>
      <c r="AB69" s="534">
        <f ca="1">+'Capex_FO input'!CR66</f>
        <v>0.44050233581617243</v>
      </c>
      <c r="AC69" s="532">
        <f ca="1">+'Capex_FO input'!CS66</f>
        <v>0.59705365136269384</v>
      </c>
      <c r="AD69" s="533">
        <f ca="1">+'Capex_FO input'!CT66</f>
        <v>0.83791898312537971</v>
      </c>
      <c r="AE69" s="533">
        <f ca="1">+'Capex_FO input'!CU66</f>
        <v>1.0857694095091834</v>
      </c>
      <c r="AF69" s="533">
        <f ca="1">+'Capex_FO input'!CV66</f>
        <v>1.3408074982581175</v>
      </c>
      <c r="AG69" s="534">
        <f ca="1">+'Capex_FO input'!CW66</f>
        <v>1.6032416915807708</v>
      </c>
      <c r="AI69" s="128"/>
    </row>
    <row r="70" spans="3:35" ht="11.25" customHeight="1">
      <c r="C70" s="74"/>
      <c r="D70" s="2286" t="str">
        <f>+'Capex_FO input'!C67</f>
        <v>Region Wide Above Ground Asset Renewals Wastewater</v>
      </c>
      <c r="E70" s="2287"/>
      <c r="F70" s="2287"/>
      <c r="G70" s="2287"/>
      <c r="H70" s="2288"/>
      <c r="I70" s="850">
        <f>+'Capex_FO input'!M67</f>
        <v>25</v>
      </c>
      <c r="J70" s="74"/>
      <c r="K70" s="74"/>
      <c r="L70" s="74"/>
      <c r="M70" s="74"/>
      <c r="N70" s="74"/>
      <c r="O70" s="74"/>
      <c r="P70" s="148"/>
      <c r="Q70" s="74"/>
      <c r="R70" s="74"/>
      <c r="S70" s="74"/>
      <c r="T70" s="74"/>
      <c r="U70" s="74"/>
      <c r="V70" s="74"/>
      <c r="W70" s="74"/>
      <c r="X70" s="532">
        <f ca="1">+'Capex_FO input'!CN67</f>
        <v>7.0589399999999997E-2</v>
      </c>
      <c r="Y70" s="533">
        <f ca="1">+'Capex_FO input'!CO67</f>
        <v>0.18183829439999999</v>
      </c>
      <c r="Z70" s="533">
        <f ca="1">+'Capex_FO input'!CP67</f>
        <v>0.26564386540439999</v>
      </c>
      <c r="AA70" s="533">
        <f ca="1">+'Capex_FO input'!CQ67</f>
        <v>0.36865904566800539</v>
      </c>
      <c r="AB70" s="534">
        <f ca="1">+'Capex_FO input'!CR67</f>
        <v>0.50536173529182637</v>
      </c>
      <c r="AC70" s="532">
        <f ca="1">+'Capex_FO input'!CS67</f>
        <v>0.65342213202904476</v>
      </c>
      <c r="AD70" s="533">
        <f ca="1">+'Capex_FO input'!CT67</f>
        <v>0.79794133108665632</v>
      </c>
      <c r="AE70" s="533">
        <f ca="1">+'Capex_FO input'!CU67</f>
        <v>0.94665158691693851</v>
      </c>
      <c r="AF70" s="533">
        <f ca="1">+'Capex_FO input'!CV67</f>
        <v>1.0996744401662988</v>
      </c>
      <c r="AG70" s="534">
        <f ca="1">+'Capex_FO input'!CW67</f>
        <v>1.2571349561598908</v>
      </c>
      <c r="AI70" s="128"/>
    </row>
    <row r="71" spans="3:35" ht="11.25" customHeight="1">
      <c r="C71" s="74"/>
      <c r="D71" s="2286" t="str">
        <f>+'Capex_FO input'!C68</f>
        <v>Region Wide Below Ground Asset Renewals Water</v>
      </c>
      <c r="E71" s="2287"/>
      <c r="F71" s="2287"/>
      <c r="G71" s="2287"/>
      <c r="H71" s="2288"/>
      <c r="I71" s="850">
        <f>+'Capex_FO input'!M68</f>
        <v>80</v>
      </c>
      <c r="J71" s="74"/>
      <c r="K71" s="74"/>
      <c r="L71" s="74"/>
      <c r="M71" s="74"/>
      <c r="N71" s="74"/>
      <c r="O71" s="74"/>
      <c r="P71" s="148"/>
      <c r="Q71" s="74"/>
      <c r="R71" s="74"/>
      <c r="S71" s="74"/>
      <c r="T71" s="74"/>
      <c r="U71" s="74"/>
      <c r="V71" s="74"/>
      <c r="W71" s="74"/>
      <c r="X71" s="532">
        <f ca="1">+'Capex_FO input'!CN68</f>
        <v>1.9293749999999998E-2</v>
      </c>
      <c r="Y71" s="533">
        <f ca="1">+'Capex_FO input'!CO68</f>
        <v>5.8440768749999997E-2</v>
      </c>
      <c r="Z71" s="533">
        <f ca="1">+'Capex_FO input'!CP68</f>
        <v>9.8723051043749996E-2</v>
      </c>
      <c r="AA71" s="533">
        <f ca="1">+'Capex_FO input'!CQ68</f>
        <v>0.14017351952401874</v>
      </c>
      <c r="AB71" s="534">
        <f ca="1">+'Capex_FO input'!CR68</f>
        <v>0.18282605159021528</v>
      </c>
      <c r="AC71" s="532">
        <f ca="1">+'Capex_FO input'!CS68</f>
        <v>0.23413496654181101</v>
      </c>
      <c r="AD71" s="533">
        <f ca="1">+'Capex_FO input'!CT68</f>
        <v>0.29435129948248251</v>
      </c>
      <c r="AE71" s="533">
        <f ca="1">+'Capex_FO input'!CU68</f>
        <v>0.35631390607843338</v>
      </c>
      <c r="AF71" s="533">
        <f ca="1">+'Capex_FO input'!CV68</f>
        <v>0.4200734282656669</v>
      </c>
      <c r="AG71" s="534">
        <f ca="1">+'Capex_FO input'!CW68</f>
        <v>0.48568197659633017</v>
      </c>
      <c r="AI71" s="128"/>
    </row>
    <row r="72" spans="3:35" ht="11.25" customHeight="1">
      <c r="C72" s="74"/>
      <c r="D72" s="2286" t="str">
        <f>+'Capex_FO input'!C69</f>
        <v>Region Wide Below Ground Asset Renewals Wastewater</v>
      </c>
      <c r="E72" s="2287"/>
      <c r="F72" s="2287"/>
      <c r="G72" s="2287"/>
      <c r="H72" s="2288"/>
      <c r="I72" s="850">
        <f>+'Capex_FO input'!M69</f>
        <v>80</v>
      </c>
      <c r="J72" s="74"/>
      <c r="K72" s="74"/>
      <c r="L72" s="74"/>
      <c r="M72" s="74"/>
      <c r="N72" s="74"/>
      <c r="O72" s="74"/>
      <c r="P72" s="148"/>
      <c r="Q72" s="74"/>
      <c r="R72" s="74"/>
      <c r="S72" s="74"/>
      <c r="T72" s="74"/>
      <c r="U72" s="74"/>
      <c r="V72" s="74"/>
      <c r="W72" s="74"/>
      <c r="X72" s="532">
        <f ca="1">+'Capex_FO input'!CN69</f>
        <v>1.6206749999999999E-2</v>
      </c>
      <c r="Y72" s="533">
        <f ca="1">+'Capex_FO input'!CO69</f>
        <v>4.9090245749999997E-2</v>
      </c>
      <c r="Z72" s="533">
        <f ca="1">+'Capex_FO input'!CP69</f>
        <v>8.2927362876749997E-2</v>
      </c>
      <c r="AA72" s="533">
        <f ca="1">+'Capex_FO input'!CQ69</f>
        <v>0.11774575640017575</v>
      </c>
      <c r="AB72" s="534">
        <f ca="1">+'Capex_FO input'!CR69</f>
        <v>0.15357388333578081</v>
      </c>
      <c r="AC72" s="532">
        <f ca="1">+'Capex_FO input'!CS69</f>
        <v>0.1940023664911486</v>
      </c>
      <c r="AD72" s="533">
        <f ca="1">+'Capex_FO input'!CT69</f>
        <v>0.23916461619665222</v>
      </c>
      <c r="AE72" s="533">
        <f ca="1">+'Capex_FO input'!CU69</f>
        <v>0.2856365711436154</v>
      </c>
      <c r="AF72" s="533">
        <f ca="1">+'Capex_FO input'!CV69</f>
        <v>0.33345621278404053</v>
      </c>
      <c r="AG72" s="534">
        <f ca="1">+'Capex_FO input'!CW69</f>
        <v>0.38266262403203793</v>
      </c>
      <c r="AI72" s="128"/>
    </row>
    <row r="73" spans="3:35" ht="11.25" customHeight="1">
      <c r="C73" s="74"/>
      <c r="D73" s="2286" t="str">
        <f>+'Capex_FO input'!C70</f>
        <v xml:space="preserve">Region Wide Strategic Land Acquisitions </v>
      </c>
      <c r="E73" s="2287"/>
      <c r="F73" s="2287"/>
      <c r="G73" s="2287"/>
      <c r="H73" s="2288"/>
      <c r="I73" s="850">
        <f>+'Capex_FO input'!M70</f>
        <v>0</v>
      </c>
      <c r="J73" s="74"/>
      <c r="K73" s="74"/>
      <c r="L73" s="74"/>
      <c r="M73" s="74"/>
      <c r="N73" s="74"/>
      <c r="O73" s="74"/>
      <c r="P73" s="148"/>
      <c r="Q73" s="74"/>
      <c r="R73" s="74"/>
      <c r="S73" s="74"/>
      <c r="T73" s="74"/>
      <c r="U73" s="74"/>
      <c r="V73" s="74"/>
      <c r="W73" s="74"/>
      <c r="X73" s="532">
        <f ca="1">+'Capex_FO input'!CN70</f>
        <v>0</v>
      </c>
      <c r="Y73" s="533">
        <f ca="1">+'Capex_FO input'!CO70</f>
        <v>0</v>
      </c>
      <c r="Z73" s="533">
        <f ca="1">+'Capex_FO input'!CP70</f>
        <v>0</v>
      </c>
      <c r="AA73" s="533">
        <f ca="1">+'Capex_FO input'!CQ70</f>
        <v>0</v>
      </c>
      <c r="AB73" s="534">
        <f ca="1">+'Capex_FO input'!CR70</f>
        <v>0</v>
      </c>
      <c r="AC73" s="532">
        <f ca="1">+'Capex_FO input'!CS70</f>
        <v>0</v>
      </c>
      <c r="AD73" s="533">
        <f ca="1">+'Capex_FO input'!CT70</f>
        <v>0</v>
      </c>
      <c r="AE73" s="533">
        <f ca="1">+'Capex_FO input'!CU70</f>
        <v>0</v>
      </c>
      <c r="AF73" s="533">
        <f ca="1">+'Capex_FO input'!CV70</f>
        <v>0</v>
      </c>
      <c r="AG73" s="534">
        <f ca="1">+'Capex_FO input'!CW70</f>
        <v>0</v>
      </c>
      <c r="AI73" s="128"/>
    </row>
    <row r="74" spans="3:35" ht="11.25" customHeight="1">
      <c r="C74" s="74"/>
      <c r="D74" s="2286" t="str">
        <f>+'Capex_FO input'!C71</f>
        <v>Mount Beauty Raw Water West Kiewa Offtake Upgrade (Security of Supply)</v>
      </c>
      <c r="E74" s="2287"/>
      <c r="F74" s="2287"/>
      <c r="G74" s="2287"/>
      <c r="H74" s="2288"/>
      <c r="I74" s="850">
        <f>+'Capex_FO input'!M71</f>
        <v>80</v>
      </c>
      <c r="J74" s="74"/>
      <c r="K74" s="74"/>
      <c r="L74" s="74"/>
      <c r="M74" s="74"/>
      <c r="N74" s="74"/>
      <c r="O74" s="74"/>
      <c r="P74" s="148"/>
      <c r="Q74" s="74"/>
      <c r="R74" s="74"/>
      <c r="S74" s="74"/>
      <c r="T74" s="74"/>
      <c r="U74" s="74"/>
      <c r="V74" s="74"/>
      <c r="W74" s="74"/>
      <c r="X74" s="532">
        <f ca="1">+'Capex_FO input'!CN71</f>
        <v>1.9679624999999999E-2</v>
      </c>
      <c r="Y74" s="533">
        <f ca="1">+'Capex_FO input'!CO71</f>
        <v>3.9359249999999998E-2</v>
      </c>
      <c r="Z74" s="533">
        <f ca="1">+'Capex_FO input'!CP71</f>
        <v>3.9359249999999998E-2</v>
      </c>
      <c r="AA74" s="533">
        <f ca="1">+'Capex_FO input'!CQ71</f>
        <v>3.9359249999999998E-2</v>
      </c>
      <c r="AB74" s="534">
        <f ca="1">+'Capex_FO input'!CR71</f>
        <v>3.9359249999999998E-2</v>
      </c>
      <c r="AC74" s="532">
        <f ca="1">+'Capex_FO input'!CS71</f>
        <v>3.9359249999999998E-2</v>
      </c>
      <c r="AD74" s="533">
        <f ca="1">+'Capex_FO input'!CT71</f>
        <v>3.9359249999999998E-2</v>
      </c>
      <c r="AE74" s="533">
        <f ca="1">+'Capex_FO input'!CU71</f>
        <v>3.9359249999999998E-2</v>
      </c>
      <c r="AF74" s="533">
        <f ca="1">+'Capex_FO input'!CV71</f>
        <v>3.9359249999999998E-2</v>
      </c>
      <c r="AG74" s="534">
        <f ca="1">+'Capex_FO input'!CW71</f>
        <v>3.9359249999999998E-2</v>
      </c>
      <c r="AI74" s="128"/>
    </row>
    <row r="75" spans="3:35" ht="11.25" customHeight="1">
      <c r="C75" s="74"/>
      <c r="D75" s="2286" t="str">
        <f>+'Capex_FO input'!C72</f>
        <v>Region Wide Customer Online Applications</v>
      </c>
      <c r="E75" s="2287"/>
      <c r="F75" s="2287"/>
      <c r="G75" s="2287"/>
      <c r="H75" s="2288"/>
      <c r="I75" s="850">
        <f>+'Capex_FO input'!M72</f>
        <v>10</v>
      </c>
      <c r="J75" s="74"/>
      <c r="K75" s="74"/>
      <c r="L75" s="74"/>
      <c r="M75" s="74"/>
      <c r="N75" s="74"/>
      <c r="O75" s="74"/>
      <c r="P75" s="148"/>
      <c r="Q75" s="74"/>
      <c r="R75" s="74"/>
      <c r="S75" s="74"/>
      <c r="T75" s="74"/>
      <c r="U75" s="74"/>
      <c r="V75" s="74"/>
      <c r="W75" s="74"/>
      <c r="X75" s="532">
        <f ca="1">+'Capex_FO input'!CN72</f>
        <v>2.5724999999999997E-3</v>
      </c>
      <c r="Y75" s="533">
        <f ca="1">+'Capex_FO input'!CO72</f>
        <v>5.1449999999999994E-3</v>
      </c>
      <c r="Z75" s="533">
        <f ca="1">+'Capex_FO input'!CP72</f>
        <v>5.1449999999999994E-3</v>
      </c>
      <c r="AA75" s="533">
        <f ca="1">+'Capex_FO input'!CQ72</f>
        <v>5.1449999999999994E-3</v>
      </c>
      <c r="AB75" s="534">
        <f ca="1">+'Capex_FO input'!CR72</f>
        <v>5.1449999999999994E-3</v>
      </c>
      <c r="AC75" s="532">
        <f ca="1">+'Capex_FO input'!CS72</f>
        <v>1.1080567564383585E-2</v>
      </c>
      <c r="AD75" s="533">
        <f ca="1">+'Capex_FO input'!CT72</f>
        <v>2.3123834152517876E-2</v>
      </c>
      <c r="AE75" s="533">
        <f ca="1">+'Capex_FO input'!CU72</f>
        <v>3.5516355471708068E-2</v>
      </c>
      <c r="AF75" s="533">
        <f ca="1">+'Capex_FO input'!CV72</f>
        <v>4.8268259909154773E-2</v>
      </c>
      <c r="AG75" s="534">
        <f ca="1">+'Capex_FO input'!CW72</f>
        <v>6.1389969575287431E-2</v>
      </c>
      <c r="AI75" s="128"/>
    </row>
    <row r="76" spans="3:35" ht="11.25" customHeight="1">
      <c r="C76" s="74"/>
      <c r="D76" s="2286" t="str">
        <f>+'Capex_FO input'!C73</f>
        <v>Region Wide Information Security Compliance</v>
      </c>
      <c r="E76" s="2287"/>
      <c r="F76" s="2287"/>
      <c r="G76" s="2287"/>
      <c r="H76" s="2288"/>
      <c r="I76" s="850">
        <f>+'Capex_FO input'!M73</f>
        <v>10</v>
      </c>
      <c r="J76" s="74"/>
      <c r="K76" s="74"/>
      <c r="L76" s="74"/>
      <c r="M76" s="74"/>
      <c r="N76" s="74"/>
      <c r="O76" s="74"/>
      <c r="P76" s="148"/>
      <c r="Q76" s="74"/>
      <c r="R76" s="74"/>
      <c r="S76" s="74"/>
      <c r="T76" s="74"/>
      <c r="U76" s="74"/>
      <c r="V76" s="74"/>
      <c r="W76" s="74"/>
      <c r="X76" s="532">
        <f ca="1">+'Capex_FO input'!CN73</f>
        <v>0</v>
      </c>
      <c r="Y76" s="533">
        <f ca="1">+'Capex_FO input'!CO73</f>
        <v>0</v>
      </c>
      <c r="Z76" s="533">
        <f ca="1">+'Capex_FO input'!CP73</f>
        <v>0</v>
      </c>
      <c r="AA76" s="533">
        <f ca="1">+'Capex_FO input'!CQ73</f>
        <v>0</v>
      </c>
      <c r="AB76" s="534">
        <f ca="1">+'Capex_FO input'!CR73</f>
        <v>0</v>
      </c>
      <c r="AC76" s="532">
        <f ca="1">+'Capex_FO input'!CS73</f>
        <v>1.4838918910958962E-2</v>
      </c>
      <c r="AD76" s="533">
        <f ca="1">+'Capex_FO input'!CT73</f>
        <v>4.4947085381294695E-2</v>
      </c>
      <c r="AE76" s="533">
        <f ca="1">+'Capex_FO input'!CU73</f>
        <v>7.5928388679270153E-2</v>
      </c>
      <c r="AF76" s="533">
        <f ca="1">+'Capex_FO input'!CV73</f>
        <v>0.10780814977288691</v>
      </c>
      <c r="AG76" s="534">
        <f ca="1">+'Capex_FO input'!CW73</f>
        <v>0.14061242393821854</v>
      </c>
      <c r="AI76" s="128"/>
    </row>
    <row r="77" spans="3:35" ht="11.25" customHeight="1">
      <c r="C77" s="74"/>
      <c r="D77" s="2286" t="str">
        <f>+'Capex_FO input'!C74</f>
        <v>Region Wide Water Trunk Mains Construction</v>
      </c>
      <c r="E77" s="2287"/>
      <c r="F77" s="2287"/>
      <c r="G77" s="2287"/>
      <c r="H77" s="2288"/>
      <c r="I77" s="850">
        <f>+'Capex_FO input'!M74</f>
        <v>80</v>
      </c>
      <c r="J77" s="74"/>
      <c r="K77" s="74"/>
      <c r="L77" s="74"/>
      <c r="M77" s="74"/>
      <c r="N77" s="74"/>
      <c r="O77" s="74"/>
      <c r="P77" s="148"/>
      <c r="Q77" s="74"/>
      <c r="R77" s="74"/>
      <c r="S77" s="74"/>
      <c r="T77" s="74"/>
      <c r="U77" s="74"/>
      <c r="V77" s="74"/>
      <c r="W77" s="74"/>
      <c r="X77" s="532">
        <f ca="1">+'Capex_FO input'!CN74</f>
        <v>2.2061116874999998E-3</v>
      </c>
      <c r="Y77" s="533">
        <f ca="1">+'Capex_FO input'!CO74</f>
        <v>5.0739989999999992E-3</v>
      </c>
      <c r="Z77" s="533">
        <f ca="1">+'Capex_FO input'!CP74</f>
        <v>6.4167417431249991E-3</v>
      </c>
      <c r="AA77" s="533">
        <f ca="1">+'Capex_FO input'!CQ74</f>
        <v>7.7984240258006238E-3</v>
      </c>
      <c r="AB77" s="534">
        <f ca="1">+'Capex_FO input'!CR74</f>
        <v>9.2201750946738405E-3</v>
      </c>
      <c r="AC77" s="532">
        <f ca="1">+'Capex_FO input'!CS74</f>
        <v>1.0683156944544383E-2</v>
      </c>
      <c r="AD77" s="533">
        <f ca="1">+'Capex_FO input'!CT74</f>
        <v>1.2188565268061169E-2</v>
      </c>
      <c r="AE77" s="533">
        <f ca="1">+'Capex_FO input'!CU74</f>
        <v>1.3737630432959943E-2</v>
      </c>
      <c r="AF77" s="533">
        <f ca="1">+'Capex_FO input'!CV74</f>
        <v>1.533161848764078E-2</v>
      </c>
      <c r="AG77" s="534">
        <f ca="1">+'Capex_FO input'!CW74</f>
        <v>1.6971832195907362E-2</v>
      </c>
      <c r="AI77" s="128"/>
    </row>
    <row r="78" spans="3:35" ht="11.25" customHeight="1">
      <c r="C78" s="74"/>
      <c r="D78" s="2286" t="str">
        <f>+'Capex_FO input'!C75</f>
        <v>Digital metering</v>
      </c>
      <c r="E78" s="2287"/>
      <c r="F78" s="2287"/>
      <c r="G78" s="2287"/>
      <c r="H78" s="2288"/>
      <c r="I78" s="850">
        <f>+'Capex_FO input'!M75</f>
        <v>10</v>
      </c>
      <c r="J78" s="74"/>
      <c r="K78" s="74"/>
      <c r="L78" s="74"/>
      <c r="M78" s="74"/>
      <c r="N78" s="74"/>
      <c r="O78" s="74"/>
      <c r="P78" s="148"/>
      <c r="Q78" s="74"/>
      <c r="R78" s="74"/>
      <c r="S78" s="74"/>
      <c r="T78" s="74"/>
      <c r="U78" s="74"/>
      <c r="V78" s="74"/>
      <c r="W78" s="74"/>
      <c r="X78" s="532">
        <f ca="1">+'Capex_FO input'!CN75</f>
        <v>7.7689499999999993E-3</v>
      </c>
      <c r="Y78" s="533">
        <f ca="1">+'Capex_FO input'!CO75</f>
        <v>2.9128124234999997E-2</v>
      </c>
      <c r="Z78" s="533">
        <f ca="1">+'Capex_FO input'!CP75</f>
        <v>5.9170514043899988E-2</v>
      </c>
      <c r="AA78" s="533">
        <f ca="1">+'Capex_FO input'!CQ75</f>
        <v>7.5622679617799976E-2</v>
      </c>
      <c r="AB78" s="534">
        <f ca="1">+'Capex_FO input'!CR75</f>
        <v>7.5622679617799976E-2</v>
      </c>
      <c r="AC78" s="532">
        <f ca="1">+'Capex_FO input'!CS75</f>
        <v>7.5622679617799976E-2</v>
      </c>
      <c r="AD78" s="533">
        <f ca="1">+'Capex_FO input'!CT75</f>
        <v>7.5622679617799976E-2</v>
      </c>
      <c r="AE78" s="533">
        <f ca="1">+'Capex_FO input'!CU75</f>
        <v>7.5622679617799976E-2</v>
      </c>
      <c r="AF78" s="533">
        <f ca="1">+'Capex_FO input'!CV75</f>
        <v>7.5622679617799976E-2</v>
      </c>
      <c r="AG78" s="534">
        <f ca="1">+'Capex_FO input'!CW75</f>
        <v>7.5622679617799976E-2</v>
      </c>
      <c r="AI78" s="128"/>
    </row>
    <row r="79" spans="3:35" ht="11.25" customHeight="1">
      <c r="C79" s="74"/>
      <c r="D79" s="2286" t="str">
        <f>+'Capex_FO input'!C76</f>
        <v>Wangaratta  Trade waste Plant Upgrade Project</v>
      </c>
      <c r="E79" s="2287"/>
      <c r="F79" s="2287"/>
      <c r="G79" s="2287"/>
      <c r="H79" s="2288"/>
      <c r="I79" s="850">
        <f>+'Capex_FO input'!M76</f>
        <v>25</v>
      </c>
      <c r="J79" s="74"/>
      <c r="K79" s="74"/>
      <c r="L79" s="74"/>
      <c r="M79" s="74"/>
      <c r="N79" s="74"/>
      <c r="O79" s="74"/>
      <c r="P79" s="148"/>
      <c r="Q79" s="74"/>
      <c r="R79" s="74"/>
      <c r="S79" s="74"/>
      <c r="T79" s="74"/>
      <c r="U79" s="74"/>
      <c r="V79" s="74"/>
      <c r="W79" s="74"/>
      <c r="X79" s="532">
        <f ca="1">+'Capex_FO input'!CN76</f>
        <v>0</v>
      </c>
      <c r="Y79" s="533">
        <f ca="1">+'Capex_FO input'!CO76</f>
        <v>0</v>
      </c>
      <c r="Z79" s="533">
        <f ca="1">+'Capex_FO input'!CP76</f>
        <v>0</v>
      </c>
      <c r="AA79" s="533">
        <f ca="1">+'Capex_FO input'!CQ76</f>
        <v>9.4176118115603981E-3</v>
      </c>
      <c r="AB79" s="534">
        <f ca="1">+'Capex_FO input'!CR76</f>
        <v>4.1908372561443766E-2</v>
      </c>
      <c r="AC79" s="532">
        <f ca="1">+'Capex_FO input'!CS76</f>
        <v>6.4981521499766742E-2</v>
      </c>
      <c r="AD79" s="533">
        <f ca="1">+'Capex_FO input'!CT76</f>
        <v>6.4981521499766742E-2</v>
      </c>
      <c r="AE79" s="533">
        <f ca="1">+'Capex_FO input'!CU76</f>
        <v>6.4981521499766742E-2</v>
      </c>
      <c r="AF79" s="533">
        <f ca="1">+'Capex_FO input'!CV76</f>
        <v>6.4981521499766742E-2</v>
      </c>
      <c r="AG79" s="534">
        <f ca="1">+'Capex_FO input'!CW76</f>
        <v>6.4981521499766742E-2</v>
      </c>
      <c r="AI79" s="128"/>
    </row>
    <row r="80" spans="3:35">
      <c r="C80" s="74"/>
      <c r="D80" s="2286" t="str">
        <f>+'Capex_FO input'!C77</f>
        <v>Region Wide Wastewater Trunk Mains Construction</v>
      </c>
      <c r="E80" s="2287"/>
      <c r="F80" s="2287"/>
      <c r="G80" s="2287"/>
      <c r="H80" s="2288"/>
      <c r="I80" s="850">
        <f>+'Capex_FO input'!M77</f>
        <v>80</v>
      </c>
      <c r="J80" s="74"/>
      <c r="K80" s="74"/>
      <c r="L80" s="74"/>
      <c r="M80" s="74"/>
      <c r="N80" s="74"/>
      <c r="O80" s="74"/>
      <c r="P80" s="148"/>
      <c r="Q80" s="74"/>
      <c r="R80" s="74"/>
      <c r="S80" s="74"/>
      <c r="T80" s="74"/>
      <c r="U80" s="74"/>
      <c r="V80" s="74"/>
      <c r="W80" s="74"/>
      <c r="X80" s="532">
        <f ca="1">+'Capex_FO input'!CN77</f>
        <v>9.6468749999999994E-4</v>
      </c>
      <c r="Y80" s="533">
        <f ca="1">+'Capex_FO input'!CO77</f>
        <v>2.9220384374999998E-3</v>
      </c>
      <c r="Z80" s="533">
        <f ca="1">+'Capex_FO input'!CP77</f>
        <v>4.9361525521874998E-3</v>
      </c>
      <c r="AA80" s="533">
        <f ca="1">+'Capex_FO input'!CQ77</f>
        <v>7.0086759762009367E-3</v>
      </c>
      <c r="AB80" s="534">
        <f ca="1">+'Capex_FO input'!CR77</f>
        <v>9.1413025795107645E-3</v>
      </c>
      <c r="AC80" s="532">
        <f ca="1">+'Capex_FO input'!CS77</f>
        <v>1.1335775354316575E-2</v>
      </c>
      <c r="AD80" s="533">
        <f ca="1">+'Capex_FO input'!CT77</f>
        <v>1.3593887839591756E-2</v>
      </c>
      <c r="AE80" s="533">
        <f ca="1">+'Capex_FO input'!CU77</f>
        <v>1.5917485586939915E-2</v>
      </c>
      <c r="AF80" s="533">
        <f ca="1">+'Capex_FO input'!CV77</f>
        <v>1.830846766896117E-2</v>
      </c>
      <c r="AG80" s="534">
        <f ca="1">+'Capex_FO input'!CW77</f>
        <v>2.0768788231361045E-2</v>
      </c>
      <c r="AI80" s="128"/>
    </row>
    <row r="81" spans="3:35">
      <c r="C81" s="74"/>
      <c r="D81" s="2286" t="str">
        <f>+'Capex_FO input'!C78</f>
        <v>Region Wide Bulk Water Purchases</v>
      </c>
      <c r="E81" s="2287"/>
      <c r="F81" s="2287"/>
      <c r="G81" s="2287"/>
      <c r="H81" s="2288"/>
      <c r="I81" s="850">
        <f>+'Capex_FO input'!M78</f>
        <v>0</v>
      </c>
      <c r="J81" s="74"/>
      <c r="K81" s="74"/>
      <c r="L81" s="74"/>
      <c r="M81" s="74"/>
      <c r="N81" s="74"/>
      <c r="O81" s="74"/>
      <c r="P81" s="148"/>
      <c r="Q81" s="74"/>
      <c r="R81" s="74"/>
      <c r="S81" s="74"/>
      <c r="T81" s="74"/>
      <c r="U81" s="74"/>
      <c r="V81" s="74"/>
      <c r="W81" s="74"/>
      <c r="X81" s="532">
        <f ca="1">+'Capex_FO input'!CN78</f>
        <v>0</v>
      </c>
      <c r="Y81" s="533">
        <f ca="1">+'Capex_FO input'!CO78</f>
        <v>0</v>
      </c>
      <c r="Z81" s="533">
        <f ca="1">+'Capex_FO input'!CP78</f>
        <v>0</v>
      </c>
      <c r="AA81" s="533">
        <f ca="1">+'Capex_FO input'!CQ78</f>
        <v>0</v>
      </c>
      <c r="AB81" s="534">
        <f ca="1">+'Capex_FO input'!CR78</f>
        <v>0</v>
      </c>
      <c r="AC81" s="532">
        <f ca="1">+'Capex_FO input'!CS78</f>
        <v>0</v>
      </c>
      <c r="AD81" s="533">
        <f ca="1">+'Capex_FO input'!CT78</f>
        <v>0</v>
      </c>
      <c r="AE81" s="533">
        <f ca="1">+'Capex_FO input'!CU78</f>
        <v>0</v>
      </c>
      <c r="AF81" s="533">
        <f ca="1">+'Capex_FO input'!CV78</f>
        <v>0</v>
      </c>
      <c r="AG81" s="534">
        <f ca="1">+'Capex_FO input'!CW78</f>
        <v>0</v>
      </c>
      <c r="AI81" s="128"/>
    </row>
    <row r="82" spans="3:35">
      <c r="C82" s="74"/>
      <c r="D82" s="2286" t="str">
        <f>+'Capex_FO input'!C79</f>
        <v>Region Wide Minor Works, Plant &amp; Equipment</v>
      </c>
      <c r="E82" s="2287"/>
      <c r="F82" s="2287"/>
      <c r="G82" s="2287"/>
      <c r="H82" s="2288"/>
      <c r="I82" s="850">
        <f>+'Capex_FO input'!M79</f>
        <v>10</v>
      </c>
      <c r="J82" s="74"/>
      <c r="K82" s="74"/>
      <c r="L82" s="74"/>
      <c r="M82" s="74"/>
      <c r="N82" s="74"/>
      <c r="O82" s="74"/>
      <c r="P82" s="148"/>
      <c r="Q82" s="74"/>
      <c r="R82" s="74"/>
      <c r="S82" s="74"/>
      <c r="T82" s="74"/>
      <c r="U82" s="74"/>
      <c r="V82" s="74"/>
      <c r="W82" s="74"/>
      <c r="X82" s="532">
        <f ca="1">+'Capex_FO input'!CN79</f>
        <v>1.2862499999999999E-2</v>
      </c>
      <c r="Y82" s="533">
        <f ca="1">+'Capex_FO input'!CO79</f>
        <v>3.8960512499999995E-2</v>
      </c>
      <c r="Z82" s="533">
        <f ca="1">+'Capex_FO input'!CP79</f>
        <v>6.5815367362500002E-2</v>
      </c>
      <c r="AA82" s="533">
        <f ca="1">+'Capex_FO input'!CQ79</f>
        <v>9.3449013016012494E-2</v>
      </c>
      <c r="AB82" s="534">
        <f ca="1">+'Capex_FO input'!CR79</f>
        <v>0.12188403439347685</v>
      </c>
      <c r="AC82" s="532">
        <f ca="1">+'Capex_FO input'!CS79</f>
        <v>0.15114367139088766</v>
      </c>
      <c r="AD82" s="533">
        <f ca="1">+'Capex_FO input'!CT79</f>
        <v>0.18125183786122342</v>
      </c>
      <c r="AE82" s="533">
        <f ca="1">+'Capex_FO input'!CU79</f>
        <v>0.21223314115919886</v>
      </c>
      <c r="AF82" s="533">
        <f ca="1">+'Capex_FO input'!CV79</f>
        <v>0.24411290225281565</v>
      </c>
      <c r="AG82" s="534">
        <f ca="1">+'Capex_FO input'!CW79</f>
        <v>0.27691717641814728</v>
      </c>
      <c r="AI82" s="128"/>
    </row>
    <row r="83" spans="3:35">
      <c r="C83" s="74"/>
      <c r="D83" s="2286" t="str">
        <f>+'Capex_FO input'!C80</f>
        <v>Region Wide Fleet</v>
      </c>
      <c r="E83" s="2287"/>
      <c r="F83" s="2287"/>
      <c r="G83" s="2287"/>
      <c r="H83" s="2288"/>
      <c r="I83" s="850">
        <f>+'Capex_FO input'!M80</f>
        <v>7</v>
      </c>
      <c r="J83" s="74"/>
      <c r="K83" s="74"/>
      <c r="L83" s="74"/>
      <c r="M83" s="74"/>
      <c r="N83" s="74"/>
      <c r="O83" s="74"/>
      <c r="P83" s="148"/>
      <c r="Q83" s="74"/>
      <c r="R83" s="74"/>
      <c r="S83" s="74"/>
      <c r="T83" s="74"/>
      <c r="U83" s="74"/>
      <c r="V83" s="74"/>
      <c r="W83" s="74"/>
      <c r="X83" s="532">
        <f ca="1">+'Capex_FO input'!CN80</f>
        <v>9.5549999999999996E-2</v>
      </c>
      <c r="Y83" s="533">
        <f ca="1">+'Capex_FO input'!CO80</f>
        <v>0.28942095000000001</v>
      </c>
      <c r="Z83" s="533">
        <f ca="1">+'Capex_FO input'!CP80</f>
        <v>0.48891415754999995</v>
      </c>
      <c r="AA83" s="533">
        <f ca="1">+'Capex_FO input'!CQ80</f>
        <v>0.69419266811894986</v>
      </c>
      <c r="AB83" s="534">
        <f ca="1">+'Capex_FO input'!CR80</f>
        <v>0.90542425549439942</v>
      </c>
      <c r="AC83" s="532">
        <f ca="1">+'Capex_FO input'!CS80</f>
        <v>1.1227815589037369</v>
      </c>
      <c r="AD83" s="533">
        <f ca="1">+'Capex_FO input'!CT80</f>
        <v>1.3464422241119451</v>
      </c>
      <c r="AE83" s="533">
        <f ca="1">+'Capex_FO input'!CU80</f>
        <v>1.4810390486111915</v>
      </c>
      <c r="AF83" s="533">
        <f ca="1">+'Capex_FO input'!CV80</f>
        <v>1.5239891810209161</v>
      </c>
      <c r="AG83" s="534">
        <f ca="1">+'Capex_FO input'!CW80</f>
        <v>1.5681848672705225</v>
      </c>
      <c r="AI83" s="128"/>
    </row>
    <row r="84" spans="3:35">
      <c r="C84" s="74"/>
      <c r="D84" s="2286" t="str">
        <f>+'Capex_FO input'!C81</f>
        <v>Corporate Office Furniture and Minor Equipment</v>
      </c>
      <c r="E84" s="2287"/>
      <c r="F84" s="2287"/>
      <c r="G84" s="2287"/>
      <c r="H84" s="2288"/>
      <c r="I84" s="850">
        <f>+'Capex_FO input'!M81</f>
        <v>10</v>
      </c>
      <c r="J84" s="74"/>
      <c r="K84" s="74"/>
      <c r="L84" s="74"/>
      <c r="M84" s="74"/>
      <c r="N84" s="74"/>
      <c r="O84" s="74"/>
      <c r="P84" s="148"/>
      <c r="Q84" s="74"/>
      <c r="R84" s="74"/>
      <c r="S84" s="74"/>
      <c r="T84" s="74"/>
      <c r="U84" s="74"/>
      <c r="V84" s="74"/>
      <c r="W84" s="74"/>
      <c r="X84" s="532">
        <f ca="1">+'Capex_FO input'!CN81</f>
        <v>4.630499999999999E-4</v>
      </c>
      <c r="Y84" s="533">
        <f ca="1">+'Capex_FO input'!CO81</f>
        <v>1.4025784499999997E-3</v>
      </c>
      <c r="Z84" s="533">
        <f ca="1">+'Capex_FO input'!CP81</f>
        <v>2.3693532250499997E-3</v>
      </c>
      <c r="AA84" s="533">
        <f ca="1">+'Capex_FO input'!CQ81</f>
        <v>3.3641644685764496E-3</v>
      </c>
      <c r="AB84" s="534">
        <f ca="1">+'Capex_FO input'!CR81</f>
        <v>4.3878252381651661E-3</v>
      </c>
      <c r="AC84" s="532">
        <f ca="1">+'Capex_FO input'!CS81</f>
        <v>5.4411721700719558E-3</v>
      </c>
      <c r="AD84" s="533">
        <f ca="1">+'Capex_FO input'!CT81</f>
        <v>6.5250661630040412E-3</v>
      </c>
      <c r="AE84" s="533">
        <f ca="1">+'Capex_FO input'!CU81</f>
        <v>7.6403930817311588E-3</v>
      </c>
      <c r="AF84" s="533">
        <f ca="1">+'Capex_FO input'!CV81</f>
        <v>8.7880644811013618E-3</v>
      </c>
      <c r="AG84" s="534">
        <f ca="1">+'Capex_FO input'!CW81</f>
        <v>9.9690183510532989E-3</v>
      </c>
      <c r="AI84" s="128"/>
    </row>
    <row r="85" spans="3:35">
      <c r="C85" s="74"/>
      <c r="D85" s="2286" t="str">
        <f>+'Capex_FO input'!C82</f>
        <v>Bright WTP upgrade (UV &amp; Capacity)</v>
      </c>
      <c r="E85" s="2287"/>
      <c r="F85" s="2287"/>
      <c r="G85" s="2287"/>
      <c r="H85" s="2288"/>
      <c r="I85" s="850">
        <f>+'Capex_FO input'!M82</f>
        <v>15</v>
      </c>
      <c r="J85" s="74"/>
      <c r="K85" s="74"/>
      <c r="L85" s="74"/>
      <c r="M85" s="74"/>
      <c r="N85" s="74"/>
      <c r="O85" s="74"/>
      <c r="P85" s="148"/>
      <c r="Q85" s="74"/>
      <c r="R85" s="74"/>
      <c r="S85" s="74"/>
      <c r="T85" s="74"/>
      <c r="U85" s="74"/>
      <c r="V85" s="74"/>
      <c r="W85" s="74"/>
      <c r="X85" s="532">
        <f ca="1">+'Capex_FO input'!CN82</f>
        <v>0</v>
      </c>
      <c r="Y85" s="533">
        <f ca="1">+'Capex_FO input'!CO82</f>
        <v>0</v>
      </c>
      <c r="Z85" s="533">
        <f ca="1">+'Capex_FO input'!CP82</f>
        <v>0</v>
      </c>
      <c r="AA85" s="533">
        <f ca="1">+'Capex_FO input'!CQ82</f>
        <v>8.2217245973939986E-3</v>
      </c>
      <c r="AB85" s="534">
        <f ca="1">+'Capex_FO input'!CR82</f>
        <v>1.6443449194787997E-2</v>
      </c>
      <c r="AC85" s="532">
        <f ca="1">+'Capex_FO input'!CS82</f>
        <v>1.6443449194787997E-2</v>
      </c>
      <c r="AD85" s="533">
        <f ca="1">+'Capex_FO input'!CT82</f>
        <v>1.6443449194787997E-2</v>
      </c>
      <c r="AE85" s="533">
        <f ca="1">+'Capex_FO input'!CU82</f>
        <v>1.6443449194787997E-2</v>
      </c>
      <c r="AF85" s="533">
        <f ca="1">+'Capex_FO input'!CV82</f>
        <v>1.6443449194787997E-2</v>
      </c>
      <c r="AG85" s="534">
        <f ca="1">+'Capex_FO input'!CW82</f>
        <v>1.6443449194787997E-2</v>
      </c>
      <c r="AI85" s="128"/>
    </row>
    <row r="86" spans="3:35">
      <c r="C86" s="74"/>
      <c r="D86" s="2286" t="str">
        <f>+'Capex_FO input'!C83</f>
        <v>Corryong Hamilton Hill Dam Safety Upgrade</v>
      </c>
      <c r="E86" s="2287"/>
      <c r="F86" s="2287"/>
      <c r="G86" s="2287"/>
      <c r="H86" s="2288"/>
      <c r="I86" s="850">
        <f>+'Capex_FO input'!M83</f>
        <v>50</v>
      </c>
      <c r="J86" s="74"/>
      <c r="K86" s="74"/>
      <c r="L86" s="74"/>
      <c r="M86" s="74"/>
      <c r="N86" s="74"/>
      <c r="O86" s="74"/>
      <c r="P86" s="148"/>
      <c r="Q86" s="74"/>
      <c r="R86" s="74"/>
      <c r="S86" s="74"/>
      <c r="T86" s="74"/>
      <c r="U86" s="74"/>
      <c r="V86" s="74"/>
      <c r="W86" s="74"/>
      <c r="X86" s="532">
        <f ca="1">+'Capex_FO input'!CN83</f>
        <v>8.2319999999999995E-4</v>
      </c>
      <c r="Y86" s="533">
        <f ca="1">+'Capex_FO input'!CO83</f>
        <v>5.0346912000000001E-3</v>
      </c>
      <c r="Z86" s="533">
        <f ca="1">+'Capex_FO input'!CP83</f>
        <v>8.4229823999999991E-3</v>
      </c>
      <c r="AA86" s="533">
        <f ca="1">+'Capex_FO input'!CQ83</f>
        <v>8.4229823999999991E-3</v>
      </c>
      <c r="AB86" s="534">
        <f ca="1">+'Capex_FO input'!CR83</f>
        <v>8.4229823999999991E-3</v>
      </c>
      <c r="AC86" s="532">
        <f ca="1">+'Capex_FO input'!CS83</f>
        <v>8.4229823999999991E-3</v>
      </c>
      <c r="AD86" s="533">
        <f ca="1">+'Capex_FO input'!CT83</f>
        <v>8.4229823999999991E-3</v>
      </c>
      <c r="AE86" s="533">
        <f ca="1">+'Capex_FO input'!CU83</f>
        <v>8.4229823999999991E-3</v>
      </c>
      <c r="AF86" s="533">
        <f ca="1">+'Capex_FO input'!CV83</f>
        <v>8.4229823999999991E-3</v>
      </c>
      <c r="AG86" s="534">
        <f ca="1">+'Capex_FO input'!CW83</f>
        <v>8.4229823999999991E-3</v>
      </c>
      <c r="AI86" s="128"/>
    </row>
    <row r="87" spans="3:35" ht="11.25" customHeight="1">
      <c r="C87" s="74"/>
      <c r="D87" s="2286" t="str">
        <f>+'Capex_FO input'!C84</f>
        <v>Harretville WTP UV Installation</v>
      </c>
      <c r="E87" s="2287"/>
      <c r="F87" s="2287"/>
      <c r="G87" s="2287"/>
      <c r="H87" s="2288"/>
      <c r="I87" s="850">
        <f>+'Capex_FO input'!M84</f>
        <v>15</v>
      </c>
      <c r="J87" s="74"/>
      <c r="K87" s="74"/>
      <c r="L87" s="74"/>
      <c r="M87" s="74"/>
      <c r="N87" s="74"/>
      <c r="O87" s="74"/>
      <c r="P87" s="148"/>
      <c r="Q87" s="74"/>
      <c r="R87" s="74"/>
      <c r="S87" s="74"/>
      <c r="T87" s="74"/>
      <c r="U87" s="74"/>
      <c r="V87" s="74"/>
      <c r="W87" s="74"/>
      <c r="X87" s="532">
        <f ca="1">+'Capex_FO input'!CN84</f>
        <v>0</v>
      </c>
      <c r="Y87" s="533">
        <f ca="1">+'Capex_FO input'!CO84</f>
        <v>0</v>
      </c>
      <c r="Z87" s="533">
        <f ca="1">+'Capex_FO input'!CP84</f>
        <v>0</v>
      </c>
      <c r="AA87" s="533">
        <f ca="1">+'Capex_FO input'!CQ84</f>
        <v>2.2422885265619996E-3</v>
      </c>
      <c r="AB87" s="534">
        <f ca="1">+'Capex_FO input'!CR84</f>
        <v>4.4845770531239991E-3</v>
      </c>
      <c r="AC87" s="532">
        <f ca="1">+'Capex_FO input'!CS84</f>
        <v>4.4845770531239991E-3</v>
      </c>
      <c r="AD87" s="533">
        <f ca="1">+'Capex_FO input'!CT84</f>
        <v>4.4845770531239991E-3</v>
      </c>
      <c r="AE87" s="533">
        <f ca="1">+'Capex_FO input'!CU84</f>
        <v>4.4845770531239991E-3</v>
      </c>
      <c r="AF87" s="533">
        <f ca="1">+'Capex_FO input'!CV84</f>
        <v>4.4845770531239991E-3</v>
      </c>
      <c r="AG87" s="534">
        <f ca="1">+'Capex_FO input'!CW84</f>
        <v>4.4845770531239991E-3</v>
      </c>
      <c r="AI87" s="128"/>
    </row>
    <row r="88" spans="3:35" ht="11.25" customHeight="1">
      <c r="C88" s="74"/>
      <c r="D88" s="2286" t="str">
        <f>+'Capex_FO input'!C85</f>
        <v>Tallangatta Estate Contribution</v>
      </c>
      <c r="E88" s="2287"/>
      <c r="F88" s="2287"/>
      <c r="G88" s="2287"/>
      <c r="H88" s="2288"/>
      <c r="I88" s="850">
        <f>+'Capex_FO input'!M85</f>
        <v>50</v>
      </c>
      <c r="J88" s="74"/>
      <c r="K88" s="74"/>
      <c r="L88" s="74"/>
      <c r="M88" s="74"/>
      <c r="N88" s="74"/>
      <c r="O88" s="74"/>
      <c r="P88" s="148"/>
      <c r="Q88" s="74"/>
      <c r="R88" s="74"/>
      <c r="S88" s="74"/>
      <c r="T88" s="74"/>
      <c r="U88" s="74"/>
      <c r="V88" s="74"/>
      <c r="W88" s="74"/>
      <c r="X88" s="532">
        <f ca="1">+'Capex_FO input'!CN85</f>
        <v>0</v>
      </c>
      <c r="Y88" s="533">
        <f ca="1">+'Capex_FO input'!CO85</f>
        <v>0</v>
      </c>
      <c r="Z88" s="533">
        <f ca="1">+'Capex_FO input'!CP85</f>
        <v>0</v>
      </c>
      <c r="AA88" s="533">
        <f ca="1">+'Capex_FO input'!CQ85</f>
        <v>0</v>
      </c>
      <c r="AB88" s="534">
        <f ca="1">+'Capex_FO input'!CR85</f>
        <v>8.6524308518711162E-3</v>
      </c>
      <c r="AC88" s="532">
        <f ca="1">+'Capex_FO input'!CS85</f>
        <v>1.7304861703742232E-2</v>
      </c>
      <c r="AD88" s="533">
        <f ca="1">+'Capex_FO input'!CT85</f>
        <v>1.7304861703742232E-2</v>
      </c>
      <c r="AE88" s="533">
        <f ca="1">+'Capex_FO input'!CU85</f>
        <v>1.7304861703742232E-2</v>
      </c>
      <c r="AF88" s="533">
        <f ca="1">+'Capex_FO input'!CV85</f>
        <v>1.7304861703742232E-2</v>
      </c>
      <c r="AG88" s="534">
        <f ca="1">+'Capex_FO input'!CW85</f>
        <v>1.7304861703742232E-2</v>
      </c>
      <c r="AI88" s="128"/>
    </row>
    <row r="89" spans="3:35" ht="11.25" customHeight="1">
      <c r="C89" s="74"/>
      <c r="D89" s="2286" t="str">
        <f>+'Capex_FO input'!C86</f>
        <v>Wangaratta - Abbotoirs dedicated main to Graham Ave SPS</v>
      </c>
      <c r="E89" s="2287"/>
      <c r="F89" s="2287"/>
      <c r="G89" s="2287"/>
      <c r="H89" s="2288"/>
      <c r="I89" s="850">
        <f>+'Capex_FO input'!M86</f>
        <v>80</v>
      </c>
      <c r="J89" s="74"/>
      <c r="K89" s="74"/>
      <c r="L89" s="74"/>
      <c r="M89" s="74"/>
      <c r="N89" s="74"/>
      <c r="O89" s="74"/>
      <c r="P89" s="148"/>
      <c r="Q89" s="74"/>
      <c r="R89" s="74"/>
      <c r="S89" s="74"/>
      <c r="T89" s="74"/>
      <c r="U89" s="74"/>
      <c r="V89" s="74"/>
      <c r="W89" s="74"/>
      <c r="X89" s="532">
        <f ca="1">+'Capex_FO input'!CN86</f>
        <v>0</v>
      </c>
      <c r="Y89" s="533">
        <f ca="1">+'Capex_FO input'!CO86</f>
        <v>0</v>
      </c>
      <c r="Z89" s="533">
        <f ca="1">+'Capex_FO input'!CP86</f>
        <v>0</v>
      </c>
      <c r="AA89" s="533">
        <f ca="1">+'Capex_FO input'!CQ86</f>
        <v>7.0071516455062488E-3</v>
      </c>
      <c r="AB89" s="534">
        <f ca="1">+'Capex_FO input'!CR86</f>
        <v>1.4014303291012498E-2</v>
      </c>
      <c r="AC89" s="532">
        <f ca="1">+'Capex_FO input'!CS86</f>
        <v>1.4014303291012498E-2</v>
      </c>
      <c r="AD89" s="533">
        <f ca="1">+'Capex_FO input'!CT86</f>
        <v>1.4014303291012498E-2</v>
      </c>
      <c r="AE89" s="533">
        <f ca="1">+'Capex_FO input'!CU86</f>
        <v>1.4014303291012498E-2</v>
      </c>
      <c r="AF89" s="533">
        <f ca="1">+'Capex_FO input'!CV86</f>
        <v>1.4014303291012498E-2</v>
      </c>
      <c r="AG89" s="534">
        <f ca="1">+'Capex_FO input'!CW86</f>
        <v>1.4014303291012498E-2</v>
      </c>
      <c r="AI89" s="128"/>
    </row>
    <row r="90" spans="3:35" ht="11.25" customHeight="1">
      <c r="C90" s="74"/>
      <c r="D90" s="2286" t="str">
        <f>+'Capex_FO input'!C87</f>
        <v>Wangaratta Ryan Ave 450 water main and Phillipson St CWS Upgrade</v>
      </c>
      <c r="E90" s="2287"/>
      <c r="F90" s="2287"/>
      <c r="G90" s="2287"/>
      <c r="H90" s="2288"/>
      <c r="I90" s="850">
        <f>+'Capex_FO input'!M87</f>
        <v>80</v>
      </c>
      <c r="J90" s="74"/>
      <c r="K90" s="74"/>
      <c r="L90" s="74"/>
      <c r="M90" s="74"/>
      <c r="N90" s="74"/>
      <c r="O90" s="74"/>
      <c r="P90" s="148"/>
      <c r="Q90" s="74"/>
      <c r="R90" s="74"/>
      <c r="S90" s="74"/>
      <c r="T90" s="74"/>
      <c r="U90" s="74"/>
      <c r="V90" s="74"/>
      <c r="W90" s="74"/>
      <c r="X90" s="532">
        <f ca="1">+'Capex_FO input'!CN87</f>
        <v>0</v>
      </c>
      <c r="Y90" s="533">
        <f ca="1">+'Capex_FO input'!CO87</f>
        <v>0</v>
      </c>
      <c r="Z90" s="533">
        <f ca="1">+'Capex_FO input'!CP87</f>
        <v>1.3619342362499998E-3</v>
      </c>
      <c r="AA90" s="533">
        <f ca="1">+'Capex_FO input'!CQ87</f>
        <v>1.1833165611658123E-2</v>
      </c>
      <c r="AB90" s="534">
        <f ca="1">+'Capex_FO input'!CR87</f>
        <v>2.8152821794042174E-2</v>
      </c>
      <c r="AC90" s="532">
        <f ca="1">+'Capex_FO input'!CS87</f>
        <v>3.5363180837268103E-2</v>
      </c>
      <c r="AD90" s="533">
        <f ca="1">+'Capex_FO input'!CT87</f>
        <v>3.5363180837268103E-2</v>
      </c>
      <c r="AE90" s="533">
        <f ca="1">+'Capex_FO input'!CU87</f>
        <v>3.5363180837268103E-2</v>
      </c>
      <c r="AF90" s="533">
        <f ca="1">+'Capex_FO input'!CV87</f>
        <v>3.5363180837268103E-2</v>
      </c>
      <c r="AG90" s="534">
        <f ca="1">+'Capex_FO input'!CW87</f>
        <v>3.5363180837268103E-2</v>
      </c>
      <c r="AI90" s="128"/>
    </row>
    <row r="91" spans="3:35" ht="11.25" customHeight="1">
      <c r="C91" s="74"/>
      <c r="D91" s="2286" t="str">
        <f>+'Capex_FO input'!C88</f>
        <v>Region Wide Wastewater Systems and Environment</v>
      </c>
      <c r="E91" s="2287"/>
      <c r="F91" s="2287"/>
      <c r="G91" s="2287"/>
      <c r="H91" s="2288"/>
      <c r="I91" s="850">
        <f>+'Capex_FO input'!M88</f>
        <v>10</v>
      </c>
      <c r="J91" s="74"/>
      <c r="K91" s="74"/>
      <c r="L91" s="74"/>
      <c r="M91" s="74"/>
      <c r="N91" s="74"/>
      <c r="O91" s="74"/>
      <c r="P91" s="148"/>
      <c r="Q91" s="74"/>
      <c r="R91" s="74"/>
      <c r="S91" s="74"/>
      <c r="T91" s="74"/>
      <c r="U91" s="74"/>
      <c r="V91" s="74"/>
      <c r="W91" s="74"/>
      <c r="X91" s="532">
        <f ca="1">+'Capex_FO input'!CN88</f>
        <v>5.1449999999999994E-3</v>
      </c>
      <c r="Y91" s="533">
        <f ca="1">+'Capex_FO input'!CO88</f>
        <v>1.5584204999999999E-2</v>
      </c>
      <c r="Z91" s="533">
        <f ca="1">+'Capex_FO input'!CP88</f>
        <v>2.6326146944999997E-2</v>
      </c>
      <c r="AA91" s="533">
        <f ca="1">+'Capex_FO input'!CQ88</f>
        <v>3.7379605206405001E-2</v>
      </c>
      <c r="AB91" s="534">
        <f ca="1">+'Capex_FO input'!CR88</f>
        <v>4.8753613757390735E-2</v>
      </c>
      <c r="AC91" s="532">
        <f ca="1">+'Capex_FO input'!CS88</f>
        <v>6.0457468556355067E-2</v>
      </c>
      <c r="AD91" s="533">
        <f ca="1">+'Capex_FO input'!CT88</f>
        <v>7.2500735144489362E-2</v>
      </c>
      <c r="AE91" s="533">
        <f ca="1">+'Capex_FO input'!CU88</f>
        <v>8.4893256463679539E-2</v>
      </c>
      <c r="AF91" s="533">
        <f ca="1">+'Capex_FO input'!CV88</f>
        <v>9.7645160901126252E-2</v>
      </c>
      <c r="AG91" s="534">
        <f ca="1">+'Capex_FO input'!CW88</f>
        <v>0.1107668705672589</v>
      </c>
      <c r="AI91" s="128"/>
    </row>
    <row r="92" spans="3:35" ht="11.25" customHeight="1">
      <c r="C92" s="74"/>
      <c r="D92" s="2286" t="str">
        <f>+'Capex_FO input'!C89</f>
        <v>Wodonga Huon Hill CWS</v>
      </c>
      <c r="E92" s="2287"/>
      <c r="F92" s="2287"/>
      <c r="G92" s="2287"/>
      <c r="H92" s="2288"/>
      <c r="I92" s="850">
        <f>+'Capex_FO input'!M89</f>
        <v>50</v>
      </c>
      <c r="J92" s="74"/>
      <c r="K92" s="74"/>
      <c r="L92" s="74"/>
      <c r="M92" s="74"/>
      <c r="N92" s="74"/>
      <c r="O92" s="74"/>
      <c r="P92" s="148"/>
      <c r="Q92" s="74"/>
      <c r="R92" s="74"/>
      <c r="S92" s="74"/>
      <c r="T92" s="74"/>
      <c r="U92" s="74"/>
      <c r="V92" s="74"/>
      <c r="W92" s="74"/>
      <c r="X92" s="532">
        <f ca="1">+'Capex_FO input'!CN89</f>
        <v>2.5724999999999997E-3</v>
      </c>
      <c r="Y92" s="533">
        <f ca="1">+'Capex_FO input'!CO89</f>
        <v>5.1449999999999994E-3</v>
      </c>
      <c r="Z92" s="533">
        <f ca="1">+'Capex_FO input'!CP89</f>
        <v>5.1449999999999994E-3</v>
      </c>
      <c r="AA92" s="533">
        <f ca="1">+'Capex_FO input'!CQ89</f>
        <v>5.1449999999999994E-3</v>
      </c>
      <c r="AB92" s="534">
        <f ca="1">+'Capex_FO input'!CR89</f>
        <v>5.1449999999999994E-3</v>
      </c>
      <c r="AC92" s="532">
        <f ca="1">+'Capex_FO input'!CS89</f>
        <v>5.1449999999999994E-3</v>
      </c>
      <c r="AD92" s="533">
        <f ca="1">+'Capex_FO input'!CT89</f>
        <v>5.1449999999999994E-3</v>
      </c>
      <c r="AE92" s="533">
        <f ca="1">+'Capex_FO input'!CU89</f>
        <v>5.1449999999999994E-3</v>
      </c>
      <c r="AF92" s="533">
        <f ca="1">+'Capex_FO input'!CV89</f>
        <v>5.1449999999999994E-3</v>
      </c>
      <c r="AG92" s="534">
        <f ca="1">+'Capex_FO input'!CW89</f>
        <v>5.1449999999999994E-3</v>
      </c>
      <c r="AI92" s="128"/>
    </row>
    <row r="93" spans="3:35" ht="11.25" customHeight="1">
      <c r="C93" s="74"/>
      <c r="D93" s="2286" t="str">
        <f>+'Capex_FO input'!C90</f>
        <v>Yackandandah WTP UV Installation</v>
      </c>
      <c r="E93" s="2287"/>
      <c r="F93" s="2287"/>
      <c r="G93" s="2287"/>
      <c r="H93" s="2288"/>
      <c r="I93" s="850">
        <f>+'Capex_FO input'!M90</f>
        <v>15</v>
      </c>
      <c r="J93" s="74"/>
      <c r="K93" s="74"/>
      <c r="L93" s="74"/>
      <c r="M93" s="74"/>
      <c r="N93" s="74"/>
      <c r="O93" s="74"/>
      <c r="P93" s="148"/>
      <c r="Q93" s="74"/>
      <c r="R93" s="74"/>
      <c r="S93" s="74"/>
      <c r="T93" s="74"/>
      <c r="U93" s="74"/>
      <c r="V93" s="74"/>
      <c r="W93" s="74"/>
      <c r="X93" s="532">
        <f ca="1">+'Capex_FO input'!CN90</f>
        <v>0</v>
      </c>
      <c r="Y93" s="533">
        <f ca="1">+'Capex_FO input'!CO90</f>
        <v>0</v>
      </c>
      <c r="Z93" s="533">
        <f ca="1">+'Capex_FO input'!CP90</f>
        <v>0</v>
      </c>
      <c r="AA93" s="533">
        <f ca="1">+'Capex_FO input'!CQ90</f>
        <v>1.8685737721349997E-3</v>
      </c>
      <c r="AB93" s="534">
        <f ca="1">+'Capex_FO input'!CR90</f>
        <v>1.335095960190457E-2</v>
      </c>
      <c r="AC93" s="532">
        <f ca="1">+'Capex_FO input'!CS90</f>
        <v>2.2964771659539144E-2</v>
      </c>
      <c r="AD93" s="533">
        <f ca="1">+'Capex_FO input'!CT90</f>
        <v>2.2964771659539144E-2</v>
      </c>
      <c r="AE93" s="533">
        <f ca="1">+'Capex_FO input'!CU90</f>
        <v>2.2964771659539144E-2</v>
      </c>
      <c r="AF93" s="533">
        <f ca="1">+'Capex_FO input'!CV90</f>
        <v>2.2964771659539144E-2</v>
      </c>
      <c r="AG93" s="534">
        <f ca="1">+'Capex_FO input'!CW90</f>
        <v>2.2964771659539144E-2</v>
      </c>
      <c r="AI93" s="128"/>
    </row>
    <row r="94" spans="3:35" ht="11.25" customHeight="1">
      <c r="C94" s="74"/>
      <c r="D94" s="2286" t="str">
        <f>+'Capex_FO input'!C91</f>
        <v>Yarrawonga Southern Sewer Pump station</v>
      </c>
      <c r="E94" s="2287"/>
      <c r="F94" s="2287"/>
      <c r="G94" s="2287"/>
      <c r="H94" s="2288"/>
      <c r="I94" s="850">
        <f>+'Capex_FO input'!M91</f>
        <v>50</v>
      </c>
      <c r="J94" s="74"/>
      <c r="K94" s="74"/>
      <c r="L94" s="74"/>
      <c r="M94" s="74"/>
      <c r="N94" s="74"/>
      <c r="O94" s="74"/>
      <c r="P94" s="148"/>
      <c r="Q94" s="74"/>
      <c r="R94" s="74"/>
      <c r="S94" s="74"/>
      <c r="T94" s="74"/>
      <c r="U94" s="74"/>
      <c r="V94" s="74"/>
      <c r="W94" s="74"/>
      <c r="X94" s="532">
        <f ca="1">+'Capex_FO input'!CN91</f>
        <v>0</v>
      </c>
      <c r="Y94" s="533">
        <f ca="1">+'Capex_FO input'!CO91</f>
        <v>0</v>
      </c>
      <c r="Z94" s="533">
        <f ca="1">+'Capex_FO input'!CP91</f>
        <v>0</v>
      </c>
      <c r="AA94" s="533">
        <f ca="1">+'Capex_FO input'!CQ91</f>
        <v>2.7019576745072098E-2</v>
      </c>
      <c r="AB94" s="534">
        <f ca="1">+'Capex_FO input'!CR91</f>
        <v>8.8648876897628653E-2</v>
      </c>
      <c r="AC94" s="532">
        <f ca="1">+'Capex_FO input'!CS91</f>
        <v>0.12325860030511311</v>
      </c>
      <c r="AD94" s="533">
        <f ca="1">+'Capex_FO input'!CT91</f>
        <v>0.12325860030511311</v>
      </c>
      <c r="AE94" s="533">
        <f ca="1">+'Capex_FO input'!CU91</f>
        <v>0.12325860030511311</v>
      </c>
      <c r="AF94" s="533">
        <f ca="1">+'Capex_FO input'!CV91</f>
        <v>0.12325860030511311</v>
      </c>
      <c r="AG94" s="534">
        <f ca="1">+'Capex_FO input'!CW91</f>
        <v>0.12325860030511311</v>
      </c>
      <c r="AI94" s="128"/>
    </row>
    <row r="95" spans="3:35" ht="11.25" customHeight="1">
      <c r="C95" s="74"/>
      <c r="D95" s="2286" t="str">
        <f>+'Capex_FO input'!C92</f>
        <v>Wodonga - WTP - Chemical Upgrade</v>
      </c>
      <c r="E95" s="2287"/>
      <c r="F95" s="2287"/>
      <c r="G95" s="2287"/>
      <c r="H95" s="2288"/>
      <c r="I95" s="850">
        <f>+'Capex_FO input'!M92</f>
        <v>25</v>
      </c>
      <c r="J95" s="74"/>
      <c r="K95" s="74"/>
      <c r="L95" s="74"/>
      <c r="M95" s="74"/>
      <c r="N95" s="74"/>
      <c r="O95" s="74"/>
      <c r="P95" s="148"/>
      <c r="Q95" s="74"/>
      <c r="R95" s="74"/>
      <c r="S95" s="74"/>
      <c r="T95" s="74"/>
      <c r="U95" s="74"/>
      <c r="V95" s="74"/>
      <c r="W95" s="74"/>
      <c r="X95" s="532">
        <f ca="1">+'Capex_FO input'!CN92</f>
        <v>3.0869999999999998E-2</v>
      </c>
      <c r="Y95" s="533">
        <f ca="1">+'Capex_FO input'!CO92</f>
        <v>6.1739999999999996E-2</v>
      </c>
      <c r="Z95" s="533">
        <f ca="1">+'Capex_FO input'!CP92</f>
        <v>6.1739999999999996E-2</v>
      </c>
      <c r="AA95" s="533">
        <f ca="1">+'Capex_FO input'!CQ92</f>
        <v>6.1739999999999996E-2</v>
      </c>
      <c r="AB95" s="534">
        <f ca="1">+'Capex_FO input'!CR92</f>
        <v>6.1739999999999996E-2</v>
      </c>
      <c r="AC95" s="532">
        <f ca="1">+'Capex_FO input'!CS92</f>
        <v>6.1739999999999996E-2</v>
      </c>
      <c r="AD95" s="533">
        <f ca="1">+'Capex_FO input'!CT92</f>
        <v>6.1739999999999996E-2</v>
      </c>
      <c r="AE95" s="533">
        <f ca="1">+'Capex_FO input'!CU92</f>
        <v>6.1739999999999996E-2</v>
      </c>
      <c r="AF95" s="533">
        <f ca="1">+'Capex_FO input'!CV92</f>
        <v>6.1739999999999996E-2</v>
      </c>
      <c r="AG95" s="534">
        <f ca="1">+'Capex_FO input'!CW92</f>
        <v>6.1739999999999996E-2</v>
      </c>
      <c r="AI95" s="128"/>
    </row>
    <row r="96" spans="3:35" ht="11.25" customHeight="1">
      <c r="C96" s="74"/>
      <c r="D96" s="2286" t="str">
        <f>+'Capex_FO input'!C93</f>
        <v>Mt Beauty CWS</v>
      </c>
      <c r="E96" s="2287"/>
      <c r="F96" s="2287"/>
      <c r="G96" s="2287"/>
      <c r="H96" s="2288"/>
      <c r="I96" s="850">
        <f>+'Capex_FO input'!M93</f>
        <v>50</v>
      </c>
      <c r="J96" s="74"/>
      <c r="K96" s="74"/>
      <c r="L96" s="74"/>
      <c r="M96" s="74"/>
      <c r="N96" s="74"/>
      <c r="O96" s="74"/>
      <c r="P96" s="148"/>
      <c r="Q96" s="74"/>
      <c r="R96" s="74"/>
      <c r="S96" s="74"/>
      <c r="T96" s="74"/>
      <c r="U96" s="74"/>
      <c r="V96" s="74"/>
      <c r="W96" s="74"/>
      <c r="X96" s="532">
        <f ca="1">+'Capex_FO input'!CN93</f>
        <v>1.14219E-2</v>
      </c>
      <c r="Y96" s="533">
        <f ca="1">+'Capex_FO input'!CO93</f>
        <v>5.0161897800000001E-2</v>
      </c>
      <c r="Z96" s="533">
        <f ca="1">+'Capex_FO input'!CP93</f>
        <v>7.7479995600000004E-2</v>
      </c>
      <c r="AA96" s="533">
        <f ca="1">+'Capex_FO input'!CQ93</f>
        <v>7.7479995600000004E-2</v>
      </c>
      <c r="AB96" s="534">
        <f ca="1">+'Capex_FO input'!CR93</f>
        <v>7.7479995600000004E-2</v>
      </c>
      <c r="AC96" s="532">
        <f ca="1">+'Capex_FO input'!CS93</f>
        <v>7.7479995600000004E-2</v>
      </c>
      <c r="AD96" s="533">
        <f ca="1">+'Capex_FO input'!CT93</f>
        <v>7.7479995600000004E-2</v>
      </c>
      <c r="AE96" s="533">
        <f ca="1">+'Capex_FO input'!CU93</f>
        <v>7.7479995600000004E-2</v>
      </c>
      <c r="AF96" s="533">
        <f ca="1">+'Capex_FO input'!CV93</f>
        <v>7.7479995600000004E-2</v>
      </c>
      <c r="AG96" s="534">
        <f ca="1">+'Capex_FO input'!CW93</f>
        <v>7.7479995600000004E-2</v>
      </c>
      <c r="AI96" s="128"/>
    </row>
    <row r="97" spans="3:35">
      <c r="C97" s="74"/>
      <c r="D97" s="2286" t="str">
        <f>+'Capex_FO input'!C94</f>
        <v>Myrtleford WWTP Upgrade</v>
      </c>
      <c r="E97" s="2287"/>
      <c r="F97" s="2287"/>
      <c r="G97" s="2287"/>
      <c r="H97" s="2288"/>
      <c r="I97" s="850">
        <f>+'Capex_FO input'!M94</f>
        <v>30</v>
      </c>
      <c r="J97" s="74"/>
      <c r="K97" s="74"/>
      <c r="L97" s="74"/>
      <c r="M97" s="74"/>
      <c r="N97" s="74"/>
      <c r="O97" s="74"/>
      <c r="P97" s="148"/>
      <c r="Q97" s="74"/>
      <c r="R97" s="74"/>
      <c r="S97" s="74"/>
      <c r="T97" s="74"/>
      <c r="U97" s="74"/>
      <c r="V97" s="74"/>
      <c r="W97" s="74"/>
      <c r="X97" s="532">
        <f ca="1">+'Capex_FO input'!CN94</f>
        <v>0</v>
      </c>
      <c r="Y97" s="533">
        <f ca="1">+'Capex_FO input'!CO94</f>
        <v>0</v>
      </c>
      <c r="Z97" s="533">
        <f ca="1">+'Capex_FO input'!CP94</f>
        <v>0</v>
      </c>
      <c r="AA97" s="533">
        <f ca="1">+'Capex_FO input'!CQ94</f>
        <v>4.6714344303374995E-3</v>
      </c>
      <c r="AB97" s="534">
        <f ca="1">+'Capex_FO input'!CR94</f>
        <v>9.342868860674999E-3</v>
      </c>
      <c r="AC97" s="532">
        <f ca="1">+'Capex_FO input'!CS94</f>
        <v>9.342868860674999E-3</v>
      </c>
      <c r="AD97" s="533">
        <f ca="1">+'Capex_FO input'!CT94</f>
        <v>9.342868860674999E-3</v>
      </c>
      <c r="AE97" s="533">
        <f ca="1">+'Capex_FO input'!CU94</f>
        <v>9.342868860674999E-3</v>
      </c>
      <c r="AF97" s="533">
        <f ca="1">+'Capex_FO input'!CV94</f>
        <v>9.342868860674999E-3</v>
      </c>
      <c r="AG97" s="534">
        <f ca="1">+'Capex_FO input'!CW94</f>
        <v>9.342868860674999E-3</v>
      </c>
      <c r="AI97" s="128"/>
    </row>
    <row r="98" spans="3:35">
      <c r="C98" s="74"/>
      <c r="D98" s="2286" t="str">
        <f>+'Capex_FO input'!C95</f>
        <v>Wodonga WWTP Outfall Pipeline</v>
      </c>
      <c r="E98" s="2287"/>
      <c r="F98" s="2287"/>
      <c r="G98" s="2287"/>
      <c r="H98" s="2288"/>
      <c r="I98" s="850">
        <f>+'Capex_FO input'!M95</f>
        <v>50</v>
      </c>
      <c r="J98" s="74"/>
      <c r="K98" s="74"/>
      <c r="L98" s="74"/>
      <c r="M98" s="74"/>
      <c r="N98" s="74"/>
      <c r="O98" s="74"/>
      <c r="P98" s="148"/>
      <c r="Q98" s="74"/>
      <c r="R98" s="74"/>
      <c r="S98" s="74"/>
      <c r="T98" s="74"/>
      <c r="U98" s="74"/>
      <c r="V98" s="74"/>
      <c r="W98" s="74"/>
      <c r="X98" s="532">
        <f ca="1">+'Capex_FO input'!CN95</f>
        <v>3.6014999999999998E-2</v>
      </c>
      <c r="Y98" s="533">
        <f ca="1">+'Capex_FO input'!CO95</f>
        <v>8.2618410000000003E-2</v>
      </c>
      <c r="Z98" s="533">
        <f ca="1">+'Capex_FO input'!CP95</f>
        <v>9.3206819999999996E-2</v>
      </c>
      <c r="AA98" s="533">
        <f ca="1">+'Capex_FO input'!CQ95</f>
        <v>9.3206819999999996E-2</v>
      </c>
      <c r="AB98" s="534">
        <f ca="1">+'Capex_FO input'!CR95</f>
        <v>9.3206819999999996E-2</v>
      </c>
      <c r="AC98" s="532">
        <f ca="1">+'Capex_FO input'!CS95</f>
        <v>9.3206819999999996E-2</v>
      </c>
      <c r="AD98" s="533">
        <f ca="1">+'Capex_FO input'!CT95</f>
        <v>9.3206819999999996E-2</v>
      </c>
      <c r="AE98" s="533">
        <f ca="1">+'Capex_FO input'!CU95</f>
        <v>9.3206819999999996E-2</v>
      </c>
      <c r="AF98" s="533">
        <f ca="1">+'Capex_FO input'!CV95</f>
        <v>9.3206819999999996E-2</v>
      </c>
      <c r="AG98" s="534">
        <f ca="1">+'Capex_FO input'!CW95</f>
        <v>9.3206819999999996E-2</v>
      </c>
      <c r="AI98" s="128"/>
    </row>
    <row r="99" spans="3:35">
      <c r="C99" s="74"/>
      <c r="D99" s="2286" t="str">
        <f>+'Capex_FO input'!C96</f>
        <v>Wodonga WWTP Laboratory &amp; Shed upgrade</v>
      </c>
      <c r="E99" s="2287"/>
      <c r="F99" s="2287"/>
      <c r="G99" s="2287"/>
      <c r="H99" s="2288"/>
      <c r="I99" s="850">
        <f>+'Capex_FO input'!M96</f>
        <v>40</v>
      </c>
      <c r="J99" s="74"/>
      <c r="K99" s="74"/>
      <c r="L99" s="74"/>
      <c r="M99" s="74"/>
      <c r="N99" s="74"/>
      <c r="O99" s="74"/>
      <c r="P99" s="148"/>
      <c r="Q99" s="74"/>
      <c r="R99" s="74"/>
      <c r="S99" s="74"/>
      <c r="T99" s="74"/>
      <c r="U99" s="74"/>
      <c r="V99" s="74"/>
      <c r="W99" s="74"/>
      <c r="X99" s="532">
        <f ca="1">+'Capex_FO input'!CN96</f>
        <v>1.1061749999999999E-2</v>
      </c>
      <c r="Y99" s="533">
        <f ca="1">+'Capex_FO input'!CO96</f>
        <v>2.2123499999999997E-2</v>
      </c>
      <c r="Z99" s="533">
        <f ca="1">+'Capex_FO input'!CP96</f>
        <v>2.2123499999999997E-2</v>
      </c>
      <c r="AA99" s="533">
        <f ca="1">+'Capex_FO input'!CQ96</f>
        <v>2.2123499999999997E-2</v>
      </c>
      <c r="AB99" s="534">
        <f ca="1">+'Capex_FO input'!CR96</f>
        <v>2.2123499999999997E-2</v>
      </c>
      <c r="AC99" s="532">
        <f ca="1">+'Capex_FO input'!CS96</f>
        <v>2.2123499999999997E-2</v>
      </c>
      <c r="AD99" s="533">
        <f ca="1">+'Capex_FO input'!CT96</f>
        <v>2.2123499999999997E-2</v>
      </c>
      <c r="AE99" s="533">
        <f ca="1">+'Capex_FO input'!CU96</f>
        <v>2.2123499999999997E-2</v>
      </c>
      <c r="AF99" s="533">
        <f ca="1">+'Capex_FO input'!CV96</f>
        <v>2.2123499999999997E-2</v>
      </c>
      <c r="AG99" s="534">
        <f ca="1">+'Capex_FO input'!CW96</f>
        <v>2.2123499999999997E-2</v>
      </c>
      <c r="AI99" s="128"/>
    </row>
    <row r="100" spans="3:35">
      <c r="C100" s="74"/>
      <c r="D100" s="2286" t="str">
        <f>+'Capex_FO input'!C97</f>
        <v>Tallangatta CWS replacement</v>
      </c>
      <c r="E100" s="2287"/>
      <c r="F100" s="2287"/>
      <c r="G100" s="2287"/>
      <c r="H100" s="2288"/>
      <c r="I100" s="850">
        <f>+'Capex_FO input'!M97</f>
        <v>50</v>
      </c>
      <c r="J100" s="74"/>
      <c r="K100" s="74"/>
      <c r="L100" s="74"/>
      <c r="M100" s="74"/>
      <c r="N100" s="74"/>
      <c r="O100" s="74"/>
      <c r="P100" s="148"/>
      <c r="Q100" s="74"/>
      <c r="R100" s="74"/>
      <c r="S100" s="74"/>
      <c r="T100" s="74"/>
      <c r="U100" s="74"/>
      <c r="V100" s="74"/>
      <c r="W100" s="74"/>
      <c r="X100" s="532">
        <f ca="1">+'Capex_FO input'!CN97</f>
        <v>0</v>
      </c>
      <c r="Y100" s="533">
        <f ca="1">+'Capex_FO input'!CO97</f>
        <v>0</v>
      </c>
      <c r="Z100" s="533">
        <f ca="1">+'Capex_FO input'!CP97</f>
        <v>0</v>
      </c>
      <c r="AA100" s="533">
        <f ca="1">+'Capex_FO input'!CQ97</f>
        <v>0</v>
      </c>
      <c r="AB100" s="534">
        <f ca="1">+'Capex_FO input'!CR97</f>
        <v>3.4609723407484465E-2</v>
      </c>
      <c r="AC100" s="532">
        <f ca="1">+'Capex_FO input'!CS97</f>
        <v>6.921944681496893E-2</v>
      </c>
      <c r="AD100" s="533">
        <f ca="1">+'Capex_FO input'!CT97</f>
        <v>6.921944681496893E-2</v>
      </c>
      <c r="AE100" s="533">
        <f ca="1">+'Capex_FO input'!CU97</f>
        <v>6.921944681496893E-2</v>
      </c>
      <c r="AF100" s="533">
        <f ca="1">+'Capex_FO input'!CV97</f>
        <v>6.921944681496893E-2</v>
      </c>
      <c r="AG100" s="534">
        <f ca="1">+'Capex_FO input'!CW97</f>
        <v>6.921944681496893E-2</v>
      </c>
      <c r="AI100" s="128"/>
    </row>
    <row r="101" spans="3:35">
      <c r="C101" s="74"/>
      <c r="D101" s="2286" t="str">
        <f>+'Capex_FO input'!C98</f>
        <v>Wodonga Beechworth Road WPS Upgrade</v>
      </c>
      <c r="E101" s="2287"/>
      <c r="F101" s="2287"/>
      <c r="G101" s="2287"/>
      <c r="H101" s="2288"/>
      <c r="I101" s="850">
        <f>+'Capex_FO input'!M98</f>
        <v>30</v>
      </c>
      <c r="J101" s="74"/>
      <c r="K101" s="74"/>
      <c r="L101" s="74"/>
      <c r="M101" s="74"/>
      <c r="N101" s="74"/>
      <c r="O101" s="74"/>
      <c r="P101" s="148"/>
      <c r="Q101" s="74"/>
      <c r="R101" s="74"/>
      <c r="S101" s="74"/>
      <c r="T101" s="74"/>
      <c r="U101" s="74"/>
      <c r="V101" s="74"/>
      <c r="W101" s="74"/>
      <c r="X101" s="532">
        <f ca="1">+'Capex_FO input'!CN98</f>
        <v>0</v>
      </c>
      <c r="Y101" s="533">
        <f ca="1">+'Capex_FO input'!CO98</f>
        <v>1.5035542199999998E-2</v>
      </c>
      <c r="Z101" s="533">
        <f ca="1">+'Capex_FO input'!CP98</f>
        <v>3.0071084399999996E-2</v>
      </c>
      <c r="AA101" s="533">
        <f ca="1">+'Capex_FO input'!CQ98</f>
        <v>3.0071084399999996E-2</v>
      </c>
      <c r="AB101" s="534">
        <f ca="1">+'Capex_FO input'!CR98</f>
        <v>3.0071084399999996E-2</v>
      </c>
      <c r="AC101" s="532">
        <f ca="1">+'Capex_FO input'!CS98</f>
        <v>3.0071084399999996E-2</v>
      </c>
      <c r="AD101" s="533">
        <f ca="1">+'Capex_FO input'!CT98</f>
        <v>3.0071084399999996E-2</v>
      </c>
      <c r="AE101" s="533">
        <f ca="1">+'Capex_FO input'!CU98</f>
        <v>3.0071084399999996E-2</v>
      </c>
      <c r="AF101" s="533">
        <f ca="1">+'Capex_FO input'!CV98</f>
        <v>3.0071084399999996E-2</v>
      </c>
      <c r="AG101" s="534">
        <f ca="1">+'Capex_FO input'!CW98</f>
        <v>3.0071084399999996E-2</v>
      </c>
      <c r="AI101" s="128"/>
    </row>
    <row r="102" spans="3:35">
      <c r="C102" s="74"/>
      <c r="D102" s="2286" t="str">
        <f>+'Capex_FO input'!C99</f>
        <v>Wangaratta Ovens River SPS</v>
      </c>
      <c r="E102" s="2287"/>
      <c r="F102" s="2287"/>
      <c r="G102" s="2287"/>
      <c r="H102" s="2288"/>
      <c r="I102" s="850">
        <f>+'Capex_FO input'!M99</f>
        <v>50</v>
      </c>
      <c r="J102" s="74"/>
      <c r="K102" s="74"/>
      <c r="L102" s="74"/>
      <c r="M102" s="74"/>
      <c r="N102" s="74"/>
      <c r="O102" s="74"/>
      <c r="P102" s="148"/>
      <c r="Q102" s="74"/>
      <c r="R102" s="74"/>
      <c r="S102" s="74"/>
      <c r="T102" s="74"/>
      <c r="U102" s="74"/>
      <c r="V102" s="74"/>
      <c r="W102" s="74"/>
      <c r="X102" s="532">
        <f ca="1">+'Capex_FO input'!CN99</f>
        <v>0</v>
      </c>
      <c r="Y102" s="533">
        <f ca="1">+'Capex_FO input'!CO99</f>
        <v>0</v>
      </c>
      <c r="Z102" s="533">
        <f ca="1">+'Capex_FO input'!CP99</f>
        <v>0</v>
      </c>
      <c r="AA102" s="533">
        <f ca="1">+'Capex_FO input'!CQ99</f>
        <v>0</v>
      </c>
      <c r="AB102" s="534">
        <f ca="1">+'Capex_FO input'!CR99</f>
        <v>0</v>
      </c>
      <c r="AC102" s="532">
        <f ca="1">+'Capex_FO input'!CS99</f>
        <v>0</v>
      </c>
      <c r="AD102" s="533">
        <f ca="1">+'Capex_FO input'!CT99</f>
        <v>0</v>
      </c>
      <c r="AE102" s="533">
        <f ca="1">+'Capex_FO input'!CU99</f>
        <v>0</v>
      </c>
      <c r="AF102" s="533">
        <f ca="1">+'Capex_FO input'!CV99</f>
        <v>0.43329450351448384</v>
      </c>
      <c r="AG102" s="534">
        <f ca="1">+'Capex_FO input'!CW99</f>
        <v>1.3124490511453715</v>
      </c>
      <c r="AI102" s="128"/>
    </row>
    <row r="103" spans="3:35">
      <c r="C103" s="74"/>
      <c r="D103" s="2286" t="str">
        <f>+'Capex_FO input'!C100</f>
        <v>Wodonga WTP upgrade and UV</v>
      </c>
      <c r="E103" s="2287"/>
      <c r="F103" s="2287"/>
      <c r="G103" s="2287"/>
      <c r="H103" s="2288"/>
      <c r="I103" s="850">
        <f>+'Capex_FO input'!M100</f>
        <v>30</v>
      </c>
      <c r="J103" s="74"/>
      <c r="K103" s="74"/>
      <c r="L103" s="74"/>
      <c r="M103" s="74"/>
      <c r="N103" s="74"/>
      <c r="O103" s="74"/>
      <c r="P103" s="148"/>
      <c r="Q103" s="74"/>
      <c r="R103" s="74"/>
      <c r="S103" s="74"/>
      <c r="T103" s="74"/>
      <c r="U103" s="74"/>
      <c r="V103" s="74"/>
      <c r="W103" s="74"/>
      <c r="X103" s="532">
        <f ca="1">+'Capex_FO input'!CN100</f>
        <v>1.7149999999999999E-3</v>
      </c>
      <c r="Y103" s="533">
        <f ca="1">+'Capex_FO input'!CO100</f>
        <v>3.4299999999999999E-3</v>
      </c>
      <c r="Z103" s="533">
        <f ca="1">+'Capex_FO input'!CP100</f>
        <v>3.4299999999999999E-3</v>
      </c>
      <c r="AA103" s="533">
        <f ca="1">+'Capex_FO input'!CQ100</f>
        <v>3.4299999999999999E-3</v>
      </c>
      <c r="AB103" s="534">
        <f ca="1">+'Capex_FO input'!CR100</f>
        <v>3.4299999999999999E-3</v>
      </c>
      <c r="AC103" s="532">
        <f ca="1">+'Capex_FO input'!CS100</f>
        <v>3.4299999999999999E-3</v>
      </c>
      <c r="AD103" s="533">
        <f ca="1">+'Capex_FO input'!CT100</f>
        <v>3.4299999999999999E-3</v>
      </c>
      <c r="AE103" s="533">
        <f ca="1">+'Capex_FO input'!CU100</f>
        <v>3.4299999999999999E-3</v>
      </c>
      <c r="AF103" s="533">
        <f ca="1">+'Capex_FO input'!CV100</f>
        <v>3.4299999999999999E-3</v>
      </c>
      <c r="AG103" s="534">
        <f ca="1">+'Capex_FO input'!CW100</f>
        <v>3.4299999999999999E-3</v>
      </c>
      <c r="AI103" s="128"/>
    </row>
    <row r="104" spans="3:35" ht="11.25" customHeight="1">
      <c r="C104" s="74"/>
      <c r="D104" s="2286" t="str">
        <f>+'Capex_FO input'!C101</f>
        <v>Wodonga WWTP Stage 2</v>
      </c>
      <c r="E104" s="2287"/>
      <c r="F104" s="2287"/>
      <c r="G104" s="2287"/>
      <c r="H104" s="2288"/>
      <c r="I104" s="850">
        <f>+'Capex_FO input'!M101</f>
        <v>25</v>
      </c>
      <c r="J104" s="74"/>
      <c r="K104" s="74"/>
      <c r="L104" s="74"/>
      <c r="M104" s="74"/>
      <c r="N104" s="74"/>
      <c r="O104" s="74"/>
      <c r="P104" s="148"/>
      <c r="Q104" s="74"/>
      <c r="R104" s="74"/>
      <c r="S104" s="74"/>
      <c r="T104" s="74"/>
      <c r="U104" s="74"/>
      <c r="V104" s="74"/>
      <c r="W104" s="74"/>
      <c r="X104" s="532">
        <f ca="1">+'Capex_FO input'!CN101</f>
        <v>2.0579999999999999E-3</v>
      </c>
      <c r="Y104" s="533">
        <f ca="1">+'Capex_FO input'!CO101</f>
        <v>4.1159999999999999E-3</v>
      </c>
      <c r="Z104" s="533">
        <f ca="1">+'Capex_FO input'!CP101</f>
        <v>4.1159999999999999E-3</v>
      </c>
      <c r="AA104" s="533">
        <f ca="1">+'Capex_FO input'!CQ101</f>
        <v>4.1159999999999999E-3</v>
      </c>
      <c r="AB104" s="534">
        <f ca="1">+'Capex_FO input'!CR101</f>
        <v>4.1159999999999999E-3</v>
      </c>
      <c r="AC104" s="532">
        <f ca="1">+'Capex_FO input'!CS101</f>
        <v>4.1159999999999999E-3</v>
      </c>
      <c r="AD104" s="533">
        <f ca="1">+'Capex_FO input'!CT101</f>
        <v>4.1159999999999999E-3</v>
      </c>
      <c r="AE104" s="533">
        <f ca="1">+'Capex_FO input'!CU101</f>
        <v>4.1159999999999999E-3</v>
      </c>
      <c r="AF104" s="533">
        <f ca="1">+'Capex_FO input'!CV101</f>
        <v>4.1159999999999999E-3</v>
      </c>
      <c r="AG104" s="534">
        <f ca="1">+'Capex_FO input'!CW101</f>
        <v>4.1159999999999999E-3</v>
      </c>
      <c r="AI104" s="128"/>
    </row>
    <row r="105" spans="3:35" ht="11.25" customHeight="1">
      <c r="C105" s="74"/>
      <c r="D105" s="2286" t="str">
        <f>+'Capex_FO input'!C102</f>
        <v>Region-wide - Bulk Entitlement metering improvement program</v>
      </c>
      <c r="E105" s="2287"/>
      <c r="F105" s="2287"/>
      <c r="G105" s="2287"/>
      <c r="H105" s="2288"/>
      <c r="I105" s="850">
        <f>+'Capex_FO input'!M102</f>
        <v>10</v>
      </c>
      <c r="J105" s="74"/>
      <c r="K105" s="74"/>
      <c r="L105" s="74"/>
      <c r="M105" s="74"/>
      <c r="N105" s="74"/>
      <c r="O105" s="74"/>
      <c r="P105" s="148"/>
      <c r="Q105" s="74"/>
      <c r="R105" s="74"/>
      <c r="S105" s="74"/>
      <c r="T105" s="74"/>
      <c r="U105" s="74"/>
      <c r="V105" s="74"/>
      <c r="W105" s="74"/>
      <c r="X105" s="532">
        <f ca="1">+'Capex_FO input'!CN102</f>
        <v>0</v>
      </c>
      <c r="Y105" s="533">
        <f ca="1">+'Capex_FO input'!CO102</f>
        <v>0</v>
      </c>
      <c r="Z105" s="533">
        <f ca="1">+'Capex_FO input'!CP102</f>
        <v>0</v>
      </c>
      <c r="AA105" s="533">
        <f ca="1">+'Capex_FO input'!CQ102</f>
        <v>0</v>
      </c>
      <c r="AB105" s="534">
        <f ca="1">+'Capex_FO input'!CR102</f>
        <v>0</v>
      </c>
      <c r="AC105" s="532">
        <f ca="1">+'Capex_FO input'!CS102</f>
        <v>0</v>
      </c>
      <c r="AD105" s="533">
        <f ca="1">+'Capex_FO input'!CT102</f>
        <v>0</v>
      </c>
      <c r="AE105" s="533">
        <f ca="1">+'Capex_FO input'!CU102</f>
        <v>0</v>
      </c>
      <c r="AF105" s="533">
        <f ca="1">+'Capex_FO input'!CV102</f>
        <v>3.2335410710036113E-3</v>
      </c>
      <c r="AG105" s="534">
        <f ca="1">+'Capex_FO input'!CW102</f>
        <v>9.7943959040699378E-3</v>
      </c>
      <c r="AI105" s="128"/>
    </row>
    <row r="106" spans="3:35" ht="11.25" customHeight="1">
      <c r="C106" s="74"/>
      <c r="D106" s="2286" t="str">
        <f>+'Capex_FO input'!C103</f>
        <v>Region-wide - Customer Billing System ongoing development</v>
      </c>
      <c r="E106" s="2287"/>
      <c r="F106" s="2287"/>
      <c r="G106" s="2287"/>
      <c r="H106" s="2288"/>
      <c r="I106" s="850">
        <f>+'Capex_FO input'!M103</f>
        <v>10</v>
      </c>
      <c r="J106" s="74"/>
      <c r="K106" s="74"/>
      <c r="L106" s="74"/>
      <c r="M106" s="74"/>
      <c r="N106" s="74"/>
      <c r="O106" s="74"/>
      <c r="P106" s="148"/>
      <c r="Q106" s="74"/>
      <c r="R106" s="74"/>
      <c r="S106" s="74"/>
      <c r="T106" s="74"/>
      <c r="U106" s="74"/>
      <c r="V106" s="74"/>
      <c r="W106" s="74"/>
      <c r="X106" s="532">
        <f ca="1">+'Capex_FO input'!CN103</f>
        <v>0</v>
      </c>
      <c r="Y106" s="533">
        <f ca="1">+'Capex_FO input'!CO103</f>
        <v>0</v>
      </c>
      <c r="Z106" s="533">
        <f ca="1">+'Capex_FO input'!CP103</f>
        <v>0</v>
      </c>
      <c r="AA106" s="533">
        <f ca="1">+'Capex_FO input'!CQ103</f>
        <v>0</v>
      </c>
      <c r="AB106" s="534">
        <f ca="1">+'Capex_FO input'!CR103</f>
        <v>0</v>
      </c>
      <c r="AC106" s="532">
        <f ca="1">+'Capex_FO input'!CS103</f>
        <v>0</v>
      </c>
      <c r="AD106" s="533">
        <f ca="1">+'Capex_FO input'!CT103</f>
        <v>0</v>
      </c>
      <c r="AE106" s="533">
        <f ca="1">+'Capex_FO input'!CU103</f>
        <v>0</v>
      </c>
      <c r="AF106" s="533">
        <f ca="1">+'Capex_FO input'!CV103</f>
        <v>0</v>
      </c>
      <c r="AG106" s="534">
        <f ca="1">+'Capex_FO input'!CW103</f>
        <v>0</v>
      </c>
      <c r="AI106" s="128"/>
    </row>
    <row r="107" spans="3:35" ht="11.25" customHeight="1">
      <c r="C107" s="74"/>
      <c r="D107" s="2286" t="str">
        <f>+'Capex_FO input'!C104</f>
        <v>Wangaratta - Waldara Rising main</v>
      </c>
      <c r="E107" s="2287"/>
      <c r="F107" s="2287"/>
      <c r="G107" s="2287"/>
      <c r="H107" s="2288"/>
      <c r="I107" s="850">
        <f>+'Capex_FO input'!M104</f>
        <v>80</v>
      </c>
      <c r="J107" s="74"/>
      <c r="K107" s="74"/>
      <c r="L107" s="74"/>
      <c r="M107" s="74"/>
      <c r="N107" s="74"/>
      <c r="O107" s="74"/>
      <c r="P107" s="148"/>
      <c r="Q107" s="74"/>
      <c r="R107" s="74"/>
      <c r="S107" s="74"/>
      <c r="T107" s="74"/>
      <c r="U107" s="74"/>
      <c r="V107" s="74"/>
      <c r="W107" s="74"/>
      <c r="X107" s="532">
        <f ca="1">+'Capex_FO input'!CN104</f>
        <v>0</v>
      </c>
      <c r="Y107" s="533">
        <f ca="1">+'Capex_FO input'!CO104</f>
        <v>0</v>
      </c>
      <c r="Z107" s="533">
        <f ca="1">+'Capex_FO input'!CP104</f>
        <v>0</v>
      </c>
      <c r="AA107" s="533">
        <f ca="1">+'Capex_FO input'!CQ104</f>
        <v>0</v>
      </c>
      <c r="AB107" s="534">
        <f ca="1">+'Capex_FO input'!CR104</f>
        <v>0</v>
      </c>
      <c r="AC107" s="532">
        <f ca="1">+'Capex_FO input'!CS104</f>
        <v>0</v>
      </c>
      <c r="AD107" s="533">
        <f ca="1">+'Capex_FO input'!CT104</f>
        <v>0</v>
      </c>
      <c r="AE107" s="533">
        <f ca="1">+'Capex_FO input'!CU104</f>
        <v>0</v>
      </c>
      <c r="AF107" s="533">
        <f ca="1">+'Capex_FO input'!CV104</f>
        <v>0</v>
      </c>
      <c r="AG107" s="534">
        <f ca="1">+'Capex_FO input'!CW104</f>
        <v>0</v>
      </c>
      <c r="AI107" s="128"/>
    </row>
    <row r="108" spans="3:35" ht="11.25" customHeight="1">
      <c r="C108" s="74"/>
      <c r="D108" s="2286" t="str">
        <f>+'Capex_FO input'!C105</f>
        <v>Wangaratta Groundwater bores - construction and pipework</v>
      </c>
      <c r="E108" s="2287"/>
      <c r="F108" s="2287"/>
      <c r="G108" s="2287"/>
      <c r="H108" s="2288"/>
      <c r="I108" s="850">
        <f>+'Capex_FO input'!M105</f>
        <v>50</v>
      </c>
      <c r="J108" s="74"/>
      <c r="K108" s="74"/>
      <c r="L108" s="74"/>
      <c r="M108" s="74"/>
      <c r="N108" s="74"/>
      <c r="O108" s="74"/>
      <c r="P108" s="148"/>
      <c r="Q108" s="74"/>
      <c r="R108" s="74"/>
      <c r="S108" s="74"/>
      <c r="T108" s="74"/>
      <c r="U108" s="74"/>
      <c r="V108" s="74"/>
      <c r="W108" s="74"/>
      <c r="X108" s="532">
        <f ca="1">+'Capex_FO input'!CN105</f>
        <v>0</v>
      </c>
      <c r="Y108" s="533">
        <f ca="1">+'Capex_FO input'!CO105</f>
        <v>0</v>
      </c>
      <c r="Z108" s="533">
        <f ca="1">+'Capex_FO input'!CP105</f>
        <v>0</v>
      </c>
      <c r="AA108" s="533">
        <f ca="1">+'Capex_FO input'!CQ105</f>
        <v>0</v>
      </c>
      <c r="AB108" s="534">
        <f ca="1">+'Capex_FO input'!CR105</f>
        <v>0</v>
      </c>
      <c r="AC108" s="532">
        <f ca="1">+'Capex_FO input'!CS105</f>
        <v>0</v>
      </c>
      <c r="AD108" s="533">
        <f ca="1">+'Capex_FO input'!CT105</f>
        <v>0</v>
      </c>
      <c r="AE108" s="533">
        <f ca="1">+'Capex_FO input'!CU105</f>
        <v>0</v>
      </c>
      <c r="AF108" s="533">
        <f ca="1">+'Capex_FO input'!CV105</f>
        <v>0</v>
      </c>
      <c r="AG108" s="534">
        <f ca="1">+'Capex_FO input'!CW105</f>
        <v>0</v>
      </c>
      <c r="AI108" s="128"/>
    </row>
    <row r="109" spans="3:35" ht="11.25" customHeight="1">
      <c r="C109" s="74"/>
      <c r="D109" s="2286" t="str">
        <f>+'Capex_FO input'!C106</f>
        <v>Wangaratta Growth Areas Trunk Mains</v>
      </c>
      <c r="E109" s="2287"/>
      <c r="F109" s="2287"/>
      <c r="G109" s="2287"/>
      <c r="H109" s="2288"/>
      <c r="I109" s="850">
        <f>+'Capex_FO input'!M106</f>
        <v>80</v>
      </c>
      <c r="J109" s="74"/>
      <c r="K109" s="74"/>
      <c r="L109" s="74"/>
      <c r="M109" s="74"/>
      <c r="N109" s="74"/>
      <c r="O109" s="74"/>
      <c r="P109" s="148"/>
      <c r="Q109" s="74"/>
      <c r="R109" s="74"/>
      <c r="S109" s="74"/>
      <c r="T109" s="74"/>
      <c r="U109" s="74"/>
      <c r="V109" s="74"/>
      <c r="W109" s="74"/>
      <c r="X109" s="532">
        <f ca="1">+'Capex_FO input'!CN106</f>
        <v>0</v>
      </c>
      <c r="Y109" s="533">
        <f ca="1">+'Capex_FO input'!CO106</f>
        <v>0</v>
      </c>
      <c r="Z109" s="533">
        <f ca="1">+'Capex_FO input'!CP106</f>
        <v>0</v>
      </c>
      <c r="AA109" s="533">
        <f ca="1">+'Capex_FO input'!CQ106</f>
        <v>0</v>
      </c>
      <c r="AB109" s="534">
        <f ca="1">+'Capex_FO input'!CR106</f>
        <v>0</v>
      </c>
      <c r="AC109" s="532">
        <f ca="1">+'Capex_FO input'!CS106</f>
        <v>0</v>
      </c>
      <c r="AD109" s="533">
        <f ca="1">+'Capex_FO input'!CT106</f>
        <v>0</v>
      </c>
      <c r="AE109" s="533">
        <f ca="1">+'Capex_FO input'!CU106</f>
        <v>0</v>
      </c>
      <c r="AF109" s="533">
        <f ca="1">+'Capex_FO input'!CV106</f>
        <v>0</v>
      </c>
      <c r="AG109" s="534">
        <f ca="1">+'Capex_FO input'!CW106</f>
        <v>0</v>
      </c>
      <c r="AI109" s="128"/>
    </row>
    <row r="110" spans="3:35" ht="11.25" customHeight="1">
      <c r="C110" s="74"/>
      <c r="D110" s="2286" t="str">
        <f>+'Capex_FO input'!C107</f>
        <v>Wangaratta Kerr St WTP Expansion - to take groundwater</v>
      </c>
      <c r="E110" s="2287"/>
      <c r="F110" s="2287"/>
      <c r="G110" s="2287"/>
      <c r="H110" s="2288"/>
      <c r="I110" s="850">
        <f>+'Capex_FO input'!M107</f>
        <v>50</v>
      </c>
      <c r="J110" s="74"/>
      <c r="K110" s="74"/>
      <c r="L110" s="74"/>
      <c r="M110" s="74"/>
      <c r="N110" s="74"/>
      <c r="O110" s="74"/>
      <c r="P110" s="148"/>
      <c r="Q110" s="74"/>
      <c r="R110" s="74"/>
      <c r="S110" s="74"/>
      <c r="T110" s="74"/>
      <c r="U110" s="74"/>
      <c r="V110" s="74"/>
      <c r="W110" s="74"/>
      <c r="X110" s="532">
        <f ca="1">+'Capex_FO input'!CN107</f>
        <v>0</v>
      </c>
      <c r="Y110" s="533">
        <f ca="1">+'Capex_FO input'!CO107</f>
        <v>0</v>
      </c>
      <c r="Z110" s="533">
        <f ca="1">+'Capex_FO input'!CP107</f>
        <v>0</v>
      </c>
      <c r="AA110" s="533">
        <f ca="1">+'Capex_FO input'!CQ107</f>
        <v>0</v>
      </c>
      <c r="AB110" s="534">
        <f ca="1">+'Capex_FO input'!CR107</f>
        <v>0</v>
      </c>
      <c r="AC110" s="532">
        <f ca="1">+'Capex_FO input'!CS107</f>
        <v>0</v>
      </c>
      <c r="AD110" s="533">
        <f ca="1">+'Capex_FO input'!CT107</f>
        <v>0</v>
      </c>
      <c r="AE110" s="533">
        <f ca="1">+'Capex_FO input'!CU107</f>
        <v>0</v>
      </c>
      <c r="AF110" s="533">
        <f ca="1">+'Capex_FO input'!CV107</f>
        <v>0</v>
      </c>
      <c r="AG110" s="534">
        <f ca="1">+'Capex_FO input'!CW107</f>
        <v>0</v>
      </c>
      <c r="AI110" s="128"/>
    </row>
    <row r="111" spans="3:35" ht="11.25" customHeight="1">
      <c r="C111" s="74"/>
      <c r="D111" s="2286" t="str">
        <f>+'Capex_FO input'!C108</f>
        <v>Wangaratta Phillipson St Trunk Main</v>
      </c>
      <c r="E111" s="2287"/>
      <c r="F111" s="2287"/>
      <c r="G111" s="2287"/>
      <c r="H111" s="2288"/>
      <c r="I111" s="850">
        <f>+'Capex_FO input'!M108</f>
        <v>50</v>
      </c>
      <c r="J111" s="74"/>
      <c r="K111" s="74"/>
      <c r="L111" s="74"/>
      <c r="M111" s="74"/>
      <c r="N111" s="74"/>
      <c r="O111" s="74"/>
      <c r="P111" s="148"/>
      <c r="Q111" s="74"/>
      <c r="R111" s="74"/>
      <c r="S111" s="74"/>
      <c r="T111" s="74"/>
      <c r="U111" s="74"/>
      <c r="V111" s="74"/>
      <c r="W111" s="74"/>
      <c r="X111" s="532">
        <f ca="1">+'Capex_FO input'!CN108</f>
        <v>0</v>
      </c>
      <c r="Y111" s="533">
        <f ca="1">+'Capex_FO input'!CO108</f>
        <v>0</v>
      </c>
      <c r="Z111" s="533">
        <f ca="1">+'Capex_FO input'!CP108</f>
        <v>0</v>
      </c>
      <c r="AA111" s="533">
        <f ca="1">+'Capex_FO input'!CQ108</f>
        <v>0</v>
      </c>
      <c r="AB111" s="534">
        <f ca="1">+'Capex_FO input'!CR108</f>
        <v>0</v>
      </c>
      <c r="AC111" s="532">
        <f ca="1">+'Capex_FO input'!CS108</f>
        <v>0</v>
      </c>
      <c r="AD111" s="533">
        <f ca="1">+'Capex_FO input'!CT108</f>
        <v>0</v>
      </c>
      <c r="AE111" s="533">
        <f ca="1">+'Capex_FO input'!CU108</f>
        <v>0</v>
      </c>
      <c r="AF111" s="533">
        <f ca="1">+'Capex_FO input'!CV108</f>
        <v>0</v>
      </c>
      <c r="AG111" s="534">
        <f ca="1">+'Capex_FO input'!CW108</f>
        <v>0</v>
      </c>
      <c r="AI111" s="128"/>
    </row>
    <row r="112" spans="3:35" ht="11.25" customHeight="1">
      <c r="C112" s="74"/>
      <c r="D112" s="2286" t="str">
        <f>+'Capex_FO input'!C109</f>
        <v>Wangaratta Rattray Ave SPS &amp; Gravity Sewer</v>
      </c>
      <c r="E112" s="2287"/>
      <c r="F112" s="2287"/>
      <c r="G112" s="2287"/>
      <c r="H112" s="2288"/>
      <c r="I112" s="850">
        <f>+'Capex_FO input'!M109</f>
        <v>50</v>
      </c>
      <c r="J112" s="74"/>
      <c r="K112" s="74"/>
      <c r="L112" s="74"/>
      <c r="M112" s="74"/>
      <c r="N112" s="74"/>
      <c r="O112" s="74"/>
      <c r="P112" s="148"/>
      <c r="Q112" s="74"/>
      <c r="R112" s="74"/>
      <c r="S112" s="74"/>
      <c r="T112" s="74"/>
      <c r="U112" s="74"/>
      <c r="V112" s="74"/>
      <c r="W112" s="74"/>
      <c r="X112" s="532">
        <f ca="1">+'Capex_FO input'!CN109</f>
        <v>0</v>
      </c>
      <c r="Y112" s="533">
        <f ca="1">+'Capex_FO input'!CO109</f>
        <v>0</v>
      </c>
      <c r="Z112" s="533">
        <f ca="1">+'Capex_FO input'!CP109</f>
        <v>0</v>
      </c>
      <c r="AA112" s="533">
        <f ca="1">+'Capex_FO input'!CQ109</f>
        <v>0</v>
      </c>
      <c r="AB112" s="534">
        <f ca="1">+'Capex_FO input'!CR109</f>
        <v>0</v>
      </c>
      <c r="AC112" s="532">
        <f ca="1">+'Capex_FO input'!CS109</f>
        <v>0</v>
      </c>
      <c r="AD112" s="533">
        <f ca="1">+'Capex_FO input'!CT109</f>
        <v>0</v>
      </c>
      <c r="AE112" s="533">
        <f ca="1">+'Capex_FO input'!CU109</f>
        <v>0</v>
      </c>
      <c r="AF112" s="533">
        <f ca="1">+'Capex_FO input'!CV109</f>
        <v>0</v>
      </c>
      <c r="AG112" s="534">
        <f ca="1">+'Capex_FO input'!CW109</f>
        <v>0</v>
      </c>
      <c r="AI112" s="128"/>
    </row>
    <row r="113" spans="3:35" ht="11.25" customHeight="1">
      <c r="C113" s="74"/>
      <c r="D113" s="2286" t="str">
        <f>+'Capex_FO input'!C110</f>
        <v>Wangaratta Vincent Rd SPS</v>
      </c>
      <c r="E113" s="2287"/>
      <c r="F113" s="2287"/>
      <c r="G113" s="2287"/>
      <c r="H113" s="2288"/>
      <c r="I113" s="850">
        <f>+'Capex_FO input'!M110</f>
        <v>50</v>
      </c>
      <c r="J113" s="74"/>
      <c r="K113" s="74"/>
      <c r="L113" s="74"/>
      <c r="M113" s="74"/>
      <c r="N113" s="74"/>
      <c r="O113" s="74"/>
      <c r="P113" s="148"/>
      <c r="Q113" s="74"/>
      <c r="R113" s="74"/>
      <c r="S113" s="74"/>
      <c r="T113" s="74"/>
      <c r="U113" s="74"/>
      <c r="V113" s="74"/>
      <c r="W113" s="74"/>
      <c r="X113" s="532">
        <f ca="1">+'Capex_FO input'!CN110</f>
        <v>0</v>
      </c>
      <c r="Y113" s="533">
        <f ca="1">+'Capex_FO input'!CO110</f>
        <v>0</v>
      </c>
      <c r="Z113" s="533">
        <f ca="1">+'Capex_FO input'!CP110</f>
        <v>0</v>
      </c>
      <c r="AA113" s="533">
        <f ca="1">+'Capex_FO input'!CQ110</f>
        <v>0</v>
      </c>
      <c r="AB113" s="534">
        <f ca="1">+'Capex_FO input'!CR110</f>
        <v>0</v>
      </c>
      <c r="AC113" s="532">
        <f ca="1">+'Capex_FO input'!CS110</f>
        <v>0</v>
      </c>
      <c r="AD113" s="533">
        <f ca="1">+'Capex_FO input'!CT110</f>
        <v>0</v>
      </c>
      <c r="AE113" s="533">
        <f ca="1">+'Capex_FO input'!CU110</f>
        <v>0</v>
      </c>
      <c r="AF113" s="533">
        <f ca="1">+'Capex_FO input'!CV110</f>
        <v>0</v>
      </c>
      <c r="AG113" s="534">
        <f ca="1">+'Capex_FO input'!CW110</f>
        <v>0</v>
      </c>
      <c r="AI113" s="128"/>
    </row>
    <row r="114" spans="3:35">
      <c r="C114" s="74"/>
      <c r="D114" s="2286" t="str">
        <f>+'Capex_FO input'!C111</f>
        <v>Wangaratta Wareena Park SPS</v>
      </c>
      <c r="E114" s="2287"/>
      <c r="F114" s="2287"/>
      <c r="G114" s="2287"/>
      <c r="H114" s="2288"/>
      <c r="I114" s="850">
        <f>+'Capex_FO input'!M111</f>
        <v>50</v>
      </c>
      <c r="J114" s="74"/>
      <c r="K114" s="74"/>
      <c r="L114" s="74"/>
      <c r="M114" s="74"/>
      <c r="N114" s="74"/>
      <c r="O114" s="74"/>
      <c r="P114" s="148"/>
      <c r="Q114" s="74"/>
      <c r="R114" s="74"/>
      <c r="S114" s="74"/>
      <c r="T114" s="74"/>
      <c r="U114" s="74"/>
      <c r="V114" s="74"/>
      <c r="W114" s="74"/>
      <c r="X114" s="532">
        <f ca="1">+'Capex_FO input'!CN111</f>
        <v>0</v>
      </c>
      <c r="Y114" s="533">
        <f ca="1">+'Capex_FO input'!CO111</f>
        <v>0</v>
      </c>
      <c r="Z114" s="533">
        <f ca="1">+'Capex_FO input'!CP111</f>
        <v>0</v>
      </c>
      <c r="AA114" s="533">
        <f ca="1">+'Capex_FO input'!CQ111</f>
        <v>0</v>
      </c>
      <c r="AB114" s="534">
        <f ca="1">+'Capex_FO input'!CR111</f>
        <v>0</v>
      </c>
      <c r="AC114" s="532">
        <f ca="1">+'Capex_FO input'!CS111</f>
        <v>0</v>
      </c>
      <c r="AD114" s="533">
        <f ca="1">+'Capex_FO input'!CT111</f>
        <v>0</v>
      </c>
      <c r="AE114" s="533">
        <f ca="1">+'Capex_FO input'!CU111</f>
        <v>0</v>
      </c>
      <c r="AF114" s="533">
        <f ca="1">+'Capex_FO input'!CV111</f>
        <v>0</v>
      </c>
      <c r="AG114" s="534">
        <f ca="1">+'Capex_FO input'!CW111</f>
        <v>0</v>
      </c>
      <c r="AI114" s="128"/>
    </row>
    <row r="115" spans="3:35">
      <c r="C115" s="74"/>
      <c r="D115" s="2286" t="str">
        <f>+'Capex_FO input'!C112</f>
        <v>Wangaratta Williams Rd SPS Rising Main</v>
      </c>
      <c r="E115" s="2287"/>
      <c r="F115" s="2287"/>
      <c r="G115" s="2287"/>
      <c r="H115" s="2288"/>
      <c r="I115" s="850">
        <f>+'Capex_FO input'!M112</f>
        <v>50</v>
      </c>
      <c r="J115" s="74"/>
      <c r="K115" s="74"/>
      <c r="L115" s="74"/>
      <c r="M115" s="74"/>
      <c r="N115" s="74"/>
      <c r="O115" s="74"/>
      <c r="P115" s="148"/>
      <c r="Q115" s="74"/>
      <c r="R115" s="74"/>
      <c r="S115" s="74"/>
      <c r="T115" s="74"/>
      <c r="U115" s="74"/>
      <c r="V115" s="74"/>
      <c r="W115" s="74"/>
      <c r="X115" s="532">
        <f ca="1">+'Capex_FO input'!CN112</f>
        <v>0</v>
      </c>
      <c r="Y115" s="533">
        <f ca="1">+'Capex_FO input'!CO112</f>
        <v>0</v>
      </c>
      <c r="Z115" s="533">
        <f ca="1">+'Capex_FO input'!CP112</f>
        <v>0</v>
      </c>
      <c r="AA115" s="533">
        <f ca="1">+'Capex_FO input'!CQ112</f>
        <v>0</v>
      </c>
      <c r="AB115" s="534">
        <f ca="1">+'Capex_FO input'!CR112</f>
        <v>0</v>
      </c>
      <c r="AC115" s="532">
        <f ca="1">+'Capex_FO input'!CS112</f>
        <v>0</v>
      </c>
      <c r="AD115" s="533">
        <f ca="1">+'Capex_FO input'!CT112</f>
        <v>0</v>
      </c>
      <c r="AE115" s="533">
        <f ca="1">+'Capex_FO input'!CU112</f>
        <v>0</v>
      </c>
      <c r="AF115" s="533">
        <f ca="1">+'Capex_FO input'!CV112</f>
        <v>0</v>
      </c>
      <c r="AG115" s="534">
        <f ca="1">+'Capex_FO input'!CW112</f>
        <v>0</v>
      </c>
      <c r="AI115" s="128"/>
    </row>
    <row r="116" spans="3:35">
      <c r="C116" s="74"/>
      <c r="D116" s="2286" t="str">
        <f>+'Capex_FO input'!C113</f>
        <v>Wangaratta WTP - new plant (inc offtake and raw water pipeline)</v>
      </c>
      <c r="E116" s="2287"/>
      <c r="F116" s="2287"/>
      <c r="G116" s="2287"/>
      <c r="H116" s="2288"/>
      <c r="I116" s="850">
        <f>+'Capex_FO input'!M113</f>
        <v>50</v>
      </c>
      <c r="J116" s="74"/>
      <c r="K116" s="74"/>
      <c r="L116" s="74"/>
      <c r="M116" s="74"/>
      <c r="N116" s="74"/>
      <c r="O116" s="74"/>
      <c r="P116" s="148"/>
      <c r="Q116" s="74"/>
      <c r="R116" s="74"/>
      <c r="S116" s="74"/>
      <c r="T116" s="74"/>
      <c r="U116" s="74"/>
      <c r="V116" s="74"/>
      <c r="W116" s="74"/>
      <c r="X116" s="532">
        <f ca="1">+'Capex_FO input'!CN113</f>
        <v>0</v>
      </c>
      <c r="Y116" s="533">
        <f ca="1">+'Capex_FO input'!CO113</f>
        <v>0</v>
      </c>
      <c r="Z116" s="533">
        <f ca="1">+'Capex_FO input'!CP113</f>
        <v>0</v>
      </c>
      <c r="AA116" s="533">
        <f ca="1">+'Capex_FO input'!CQ113</f>
        <v>0</v>
      </c>
      <c r="AB116" s="534">
        <f ca="1">+'Capex_FO input'!CR113</f>
        <v>0</v>
      </c>
      <c r="AC116" s="532">
        <f ca="1">+'Capex_FO input'!CS113</f>
        <v>0</v>
      </c>
      <c r="AD116" s="533">
        <f ca="1">+'Capex_FO input'!CT113</f>
        <v>0</v>
      </c>
      <c r="AE116" s="533">
        <f ca="1">+'Capex_FO input'!CU113</f>
        <v>0</v>
      </c>
      <c r="AF116" s="533">
        <f ca="1">+'Capex_FO input'!CV113</f>
        <v>0</v>
      </c>
      <c r="AG116" s="534">
        <f ca="1">+'Capex_FO input'!CW113</f>
        <v>0</v>
      </c>
      <c r="AI116" s="128"/>
    </row>
    <row r="117" spans="3:35">
      <c r="C117" s="74"/>
      <c r="D117" s="2286" t="str">
        <f>+'Capex_FO input'!C114</f>
        <v>Wangaratta WWTP Upgrade (Polishing Plant Augmentation)</v>
      </c>
      <c r="E117" s="2287"/>
      <c r="F117" s="2287"/>
      <c r="G117" s="2287"/>
      <c r="H117" s="2288"/>
      <c r="I117" s="850">
        <f>+'Capex_FO input'!M114</f>
        <v>25</v>
      </c>
      <c r="J117" s="74"/>
      <c r="K117" s="74"/>
      <c r="L117" s="74"/>
      <c r="M117" s="74"/>
      <c r="N117" s="74"/>
      <c r="O117" s="74"/>
      <c r="P117" s="148"/>
      <c r="Q117" s="74"/>
      <c r="R117" s="74"/>
      <c r="S117" s="74"/>
      <c r="T117" s="74"/>
      <c r="U117" s="74"/>
      <c r="V117" s="74"/>
      <c r="W117" s="74"/>
      <c r="X117" s="532">
        <f ca="1">+'Capex_FO input'!CN114</f>
        <v>0</v>
      </c>
      <c r="Y117" s="533">
        <f ca="1">+'Capex_FO input'!CO114</f>
        <v>0</v>
      </c>
      <c r="Z117" s="533">
        <f ca="1">+'Capex_FO input'!CP114</f>
        <v>0</v>
      </c>
      <c r="AA117" s="533">
        <f ca="1">+'Capex_FO input'!CQ114</f>
        <v>0</v>
      </c>
      <c r="AB117" s="534">
        <f ca="1">+'Capex_FO input'!CR114</f>
        <v>0</v>
      </c>
      <c r="AC117" s="532">
        <f ca="1">+'Capex_FO input'!CS114</f>
        <v>0</v>
      </c>
      <c r="AD117" s="533">
        <f ca="1">+'Capex_FO input'!CT114</f>
        <v>0</v>
      </c>
      <c r="AE117" s="533">
        <f ca="1">+'Capex_FO input'!CU114</f>
        <v>0</v>
      </c>
      <c r="AF117" s="533">
        <f ca="1">+'Capex_FO input'!CV114</f>
        <v>0</v>
      </c>
      <c r="AG117" s="534">
        <f ca="1">+'Capex_FO input'!CW114</f>
        <v>0</v>
      </c>
      <c r="AI117" s="128"/>
    </row>
    <row r="118" spans="3:35">
      <c r="C118" s="74"/>
      <c r="D118" s="2286" t="str">
        <f>+'Capex_FO input'!C115</f>
        <v>Benalla WWTP Upgrade Stage 2</v>
      </c>
      <c r="E118" s="2287"/>
      <c r="F118" s="2287"/>
      <c r="G118" s="2287"/>
      <c r="H118" s="2288"/>
      <c r="I118" s="850">
        <f>+'Capex_FO input'!M115</f>
        <v>40</v>
      </c>
      <c r="J118" s="74"/>
      <c r="K118" s="74"/>
      <c r="L118" s="74"/>
      <c r="M118" s="74"/>
      <c r="N118" s="74"/>
      <c r="O118" s="74"/>
      <c r="P118" s="148"/>
      <c r="Q118" s="74"/>
      <c r="R118" s="74"/>
      <c r="S118" s="74"/>
      <c r="T118" s="74"/>
      <c r="U118" s="74"/>
      <c r="V118" s="74"/>
      <c r="W118" s="74"/>
      <c r="X118" s="532">
        <f ca="1">+'Capex_FO input'!CN115</f>
        <v>0</v>
      </c>
      <c r="Y118" s="533">
        <f ca="1">+'Capex_FO input'!CO115</f>
        <v>0</v>
      </c>
      <c r="Z118" s="533">
        <f ca="1">+'Capex_FO input'!CP115</f>
        <v>0</v>
      </c>
      <c r="AA118" s="533">
        <f ca="1">+'Capex_FO input'!CQ115</f>
        <v>0</v>
      </c>
      <c r="AB118" s="534">
        <f ca="1">+'Capex_FO input'!CR115</f>
        <v>0</v>
      </c>
      <c r="AC118" s="532">
        <f ca="1">+'Capex_FO input'!CS115</f>
        <v>0</v>
      </c>
      <c r="AD118" s="533">
        <f ca="1">+'Capex_FO input'!CT115</f>
        <v>0</v>
      </c>
      <c r="AE118" s="533">
        <f ca="1">+'Capex_FO input'!CU115</f>
        <v>0</v>
      </c>
      <c r="AF118" s="533">
        <f ca="1">+'Capex_FO input'!CV115</f>
        <v>0</v>
      </c>
      <c r="AG118" s="534">
        <f ca="1">+'Capex_FO input'!CW115</f>
        <v>0</v>
      </c>
      <c r="AI118" s="128"/>
    </row>
    <row r="119" spans="3:35">
      <c r="C119" s="74"/>
      <c r="D119" s="2286" t="str">
        <f>+'Capex_FO input'!C116</f>
        <v>Mt Beauty WTP Stage 1</v>
      </c>
      <c r="E119" s="2287"/>
      <c r="F119" s="2287"/>
      <c r="G119" s="2287"/>
      <c r="H119" s="2288"/>
      <c r="I119" s="850">
        <f>+'Capex_FO input'!M116</f>
        <v>25</v>
      </c>
      <c r="J119" s="74"/>
      <c r="K119" s="74"/>
      <c r="L119" s="74"/>
      <c r="M119" s="74"/>
      <c r="N119" s="74"/>
      <c r="O119" s="74"/>
      <c r="P119" s="148"/>
      <c r="Q119" s="74"/>
      <c r="R119" s="74"/>
      <c r="S119" s="74"/>
      <c r="T119" s="74"/>
      <c r="U119" s="74"/>
      <c r="V119" s="74"/>
      <c r="W119" s="74"/>
      <c r="X119" s="532">
        <f ca="1">+'Capex_FO input'!CN116</f>
        <v>0</v>
      </c>
      <c r="Y119" s="533">
        <f ca="1">+'Capex_FO input'!CO116</f>
        <v>0</v>
      </c>
      <c r="Z119" s="533">
        <f ca="1">+'Capex_FO input'!CP116</f>
        <v>0</v>
      </c>
      <c r="AA119" s="533">
        <f ca="1">+'Capex_FO input'!CQ116</f>
        <v>0</v>
      </c>
      <c r="AB119" s="534">
        <f ca="1">+'Capex_FO input'!CR116</f>
        <v>0</v>
      </c>
      <c r="AC119" s="532">
        <f ca="1">+'Capex_FO input'!CS116</f>
        <v>2.374227025753434E-2</v>
      </c>
      <c r="AD119" s="533">
        <f ca="1">+'Capex_FO input'!CT116</f>
        <v>4.7484540515068681E-2</v>
      </c>
      <c r="AE119" s="533">
        <f ca="1">+'Capex_FO input'!CU116</f>
        <v>4.7484540515068681E-2</v>
      </c>
      <c r="AF119" s="533">
        <f ca="1">+'Capex_FO input'!CV116</f>
        <v>4.7484540515068681E-2</v>
      </c>
      <c r="AG119" s="534">
        <f ca="1">+'Capex_FO input'!CW116</f>
        <v>4.7484540515068681E-2</v>
      </c>
      <c r="AI119" s="128"/>
    </row>
    <row r="120" spans="3:35">
      <c r="C120" s="74"/>
      <c r="D120" s="2286" t="str">
        <f>+'Capex_FO input'!C117</f>
        <v>Masterplanning</v>
      </c>
      <c r="E120" s="2287"/>
      <c r="F120" s="2287"/>
      <c r="G120" s="2287"/>
      <c r="H120" s="2288"/>
      <c r="I120" s="850">
        <f>+'Capex_FO input'!M117</f>
        <v>10</v>
      </c>
      <c r="J120" s="74"/>
      <c r="K120" s="74"/>
      <c r="L120" s="74"/>
      <c r="M120" s="74"/>
      <c r="N120" s="74"/>
      <c r="O120" s="74"/>
      <c r="P120" s="148"/>
      <c r="Q120" s="74"/>
      <c r="R120" s="74"/>
      <c r="S120" s="74"/>
      <c r="T120" s="74"/>
      <c r="U120" s="74"/>
      <c r="V120" s="74"/>
      <c r="W120" s="74"/>
      <c r="X120" s="532">
        <f ca="1">+'Capex_FO input'!CN117</f>
        <v>1.5434999999999999E-2</v>
      </c>
      <c r="Y120" s="533">
        <f ca="1">+'Capex_FO input'!CO117</f>
        <v>4.6752614999999997E-2</v>
      </c>
      <c r="Z120" s="533">
        <f ca="1">+'Capex_FO input'!CP117</f>
        <v>7.8978440834999997E-2</v>
      </c>
      <c r="AA120" s="533">
        <f ca="1">+'Capex_FO input'!CQ117</f>
        <v>0.11213881561921499</v>
      </c>
      <c r="AB120" s="534">
        <f ca="1">+'Capex_FO input'!CR117</f>
        <v>0.14626084127217223</v>
      </c>
      <c r="AC120" s="532">
        <f ca="1">+'Capex_FO input'!CS117</f>
        <v>0.16356570297591447</v>
      </c>
      <c r="AD120" s="533">
        <f ca="1">+'Capex_FO input'!CT117</f>
        <v>0.16356570297591447</v>
      </c>
      <c r="AE120" s="533">
        <f ca="1">+'Capex_FO input'!CU117</f>
        <v>0.16356570297591447</v>
      </c>
      <c r="AF120" s="533">
        <f ca="1">+'Capex_FO input'!CV117</f>
        <v>0.16356570297591447</v>
      </c>
      <c r="AG120" s="534">
        <f ca="1">+'Capex_FO input'!CW117</f>
        <v>0.16356570297591447</v>
      </c>
      <c r="AI120" s="128"/>
    </row>
    <row r="121" spans="3:35" ht="11.25" customHeight="1">
      <c r="C121" s="74"/>
      <c r="D121" s="2286" t="str">
        <f>+'Capex_FO input'!C118</f>
        <v xml:space="preserve">Customer contributions </v>
      </c>
      <c r="E121" s="2287"/>
      <c r="F121" s="2287"/>
      <c r="G121" s="2287"/>
      <c r="H121" s="2288"/>
      <c r="I121" s="850">
        <f>+'Capex_FO input'!M118</f>
        <v>0</v>
      </c>
      <c r="J121" s="74"/>
      <c r="K121" s="74"/>
      <c r="L121" s="74"/>
      <c r="M121" s="74"/>
      <c r="N121" s="74"/>
      <c r="O121" s="74"/>
      <c r="P121" s="148"/>
      <c r="Q121" s="74"/>
      <c r="R121" s="74"/>
      <c r="S121" s="74"/>
      <c r="T121" s="74"/>
      <c r="U121" s="74"/>
      <c r="V121" s="74"/>
      <c r="W121" s="74"/>
      <c r="X121" s="532">
        <f ca="1">+'Capex_FO input'!CN118</f>
        <v>0</v>
      </c>
      <c r="Y121" s="533">
        <f ca="1">+'Capex_FO input'!CO118</f>
        <v>0</v>
      </c>
      <c r="Z121" s="533">
        <f ca="1">+'Capex_FO input'!CP118</f>
        <v>0</v>
      </c>
      <c r="AA121" s="533">
        <f ca="1">+'Capex_FO input'!CQ118</f>
        <v>0</v>
      </c>
      <c r="AB121" s="534">
        <f ca="1">+'Capex_FO input'!CR118</f>
        <v>0</v>
      </c>
      <c r="AC121" s="532">
        <f ca="1">+'Capex_FO input'!CS118</f>
        <v>0</v>
      </c>
      <c r="AD121" s="533">
        <f ca="1">+'Capex_FO input'!CT118</f>
        <v>0</v>
      </c>
      <c r="AE121" s="533">
        <f ca="1">+'Capex_FO input'!CU118</f>
        <v>0</v>
      </c>
      <c r="AF121" s="533">
        <f ca="1">+'Capex_FO input'!CV118</f>
        <v>0</v>
      </c>
      <c r="AG121" s="534">
        <f ca="1">+'Capex_FO input'!CW118</f>
        <v>0</v>
      </c>
      <c r="AI121" s="128"/>
    </row>
    <row r="122" spans="3:35" ht="11.25" customHeight="1">
      <c r="C122" s="74"/>
      <c r="D122" s="2286" t="str">
        <f>+'Capex_FO input'!C119</f>
        <v xml:space="preserve">Customer contributions </v>
      </c>
      <c r="E122" s="2287"/>
      <c r="F122" s="2287"/>
      <c r="G122" s="2287"/>
      <c r="H122" s="2288"/>
      <c r="I122" s="850">
        <f>+'Capex_FO input'!M119</f>
        <v>0</v>
      </c>
      <c r="J122" s="74"/>
      <c r="K122" s="74"/>
      <c r="L122" s="74"/>
      <c r="M122" s="74"/>
      <c r="N122" s="74"/>
      <c r="O122" s="74"/>
      <c r="P122" s="148"/>
      <c r="Q122" s="74"/>
      <c r="R122" s="74"/>
      <c r="S122" s="74"/>
      <c r="T122" s="74"/>
      <c r="U122" s="74"/>
      <c r="V122" s="74"/>
      <c r="W122" s="74"/>
      <c r="X122" s="532">
        <f ca="1">+'Capex_FO input'!CN119</f>
        <v>0</v>
      </c>
      <c r="Y122" s="533">
        <f ca="1">+'Capex_FO input'!CO119</f>
        <v>0</v>
      </c>
      <c r="Z122" s="533">
        <f ca="1">+'Capex_FO input'!CP119</f>
        <v>0</v>
      </c>
      <c r="AA122" s="533">
        <f ca="1">+'Capex_FO input'!CQ119</f>
        <v>0</v>
      </c>
      <c r="AB122" s="534">
        <f ca="1">+'Capex_FO input'!CR119</f>
        <v>0</v>
      </c>
      <c r="AC122" s="532">
        <f ca="1">+'Capex_FO input'!CS119</f>
        <v>0</v>
      </c>
      <c r="AD122" s="533">
        <f ca="1">+'Capex_FO input'!CT119</f>
        <v>0</v>
      </c>
      <c r="AE122" s="533">
        <f ca="1">+'Capex_FO input'!CU119</f>
        <v>0</v>
      </c>
      <c r="AF122" s="533">
        <f ca="1">+'Capex_FO input'!CV119</f>
        <v>0</v>
      </c>
      <c r="AG122" s="534">
        <f ca="1">+'Capex_FO input'!CW119</f>
        <v>0</v>
      </c>
      <c r="AI122" s="128"/>
    </row>
    <row r="123" spans="3:35" ht="11.25" customHeight="1">
      <c r="C123" s="74"/>
      <c r="D123" s="2286">
        <f>+'Capex_FO input'!C120</f>
        <v>0</v>
      </c>
      <c r="E123" s="2287"/>
      <c r="F123" s="2287"/>
      <c r="G123" s="2287"/>
      <c r="H123" s="2288"/>
      <c r="I123" s="850">
        <f>+'Capex_FO input'!M120</f>
        <v>0</v>
      </c>
      <c r="J123" s="74"/>
      <c r="K123" s="74"/>
      <c r="L123" s="74"/>
      <c r="M123" s="74"/>
      <c r="N123" s="74"/>
      <c r="O123" s="74"/>
      <c r="P123" s="148"/>
      <c r="Q123" s="74"/>
      <c r="R123" s="74"/>
      <c r="S123" s="74"/>
      <c r="T123" s="74"/>
      <c r="U123" s="74"/>
      <c r="V123" s="74"/>
      <c r="W123" s="74"/>
      <c r="X123" s="532">
        <f ca="1">+'Capex_FO input'!CN120</f>
        <v>0</v>
      </c>
      <c r="Y123" s="533">
        <f ca="1">+'Capex_FO input'!CO120</f>
        <v>0</v>
      </c>
      <c r="Z123" s="533">
        <f ca="1">+'Capex_FO input'!CP120</f>
        <v>0</v>
      </c>
      <c r="AA123" s="533">
        <f ca="1">+'Capex_FO input'!CQ120</f>
        <v>0</v>
      </c>
      <c r="AB123" s="534">
        <f ca="1">+'Capex_FO input'!CR120</f>
        <v>0</v>
      </c>
      <c r="AC123" s="532">
        <f ca="1">+'Capex_FO input'!CS120</f>
        <v>0</v>
      </c>
      <c r="AD123" s="533">
        <f ca="1">+'Capex_FO input'!CT120</f>
        <v>0</v>
      </c>
      <c r="AE123" s="533">
        <f ca="1">+'Capex_FO input'!CU120</f>
        <v>0</v>
      </c>
      <c r="AF123" s="533">
        <f ca="1">+'Capex_FO input'!CV120</f>
        <v>0</v>
      </c>
      <c r="AG123" s="534">
        <f ca="1">+'Capex_FO input'!CW120</f>
        <v>0</v>
      </c>
      <c r="AI123" s="128"/>
    </row>
    <row r="124" spans="3:35" ht="11.25" customHeight="1">
      <c r="C124" s="74"/>
      <c r="D124" s="2286">
        <f>+'Capex_FO input'!C121</f>
        <v>0</v>
      </c>
      <c r="E124" s="2287"/>
      <c r="F124" s="2287"/>
      <c r="G124" s="2287"/>
      <c r="H124" s="2288"/>
      <c r="I124" s="850">
        <f>+'Capex_FO input'!M121</f>
        <v>0</v>
      </c>
      <c r="J124" s="74"/>
      <c r="K124" s="74"/>
      <c r="L124" s="74"/>
      <c r="M124" s="74"/>
      <c r="N124" s="74"/>
      <c r="O124" s="74"/>
      <c r="P124" s="148"/>
      <c r="Q124" s="74"/>
      <c r="R124" s="74"/>
      <c r="S124" s="74"/>
      <c r="T124" s="74"/>
      <c r="U124" s="74"/>
      <c r="V124" s="74"/>
      <c r="W124" s="74"/>
      <c r="X124" s="532">
        <f ca="1">+'Capex_FO input'!CN121</f>
        <v>0</v>
      </c>
      <c r="Y124" s="533">
        <f ca="1">+'Capex_FO input'!CO121</f>
        <v>0</v>
      </c>
      <c r="Z124" s="533">
        <f ca="1">+'Capex_FO input'!CP121</f>
        <v>0</v>
      </c>
      <c r="AA124" s="533">
        <f ca="1">+'Capex_FO input'!CQ121</f>
        <v>0</v>
      </c>
      <c r="AB124" s="534">
        <f ca="1">+'Capex_FO input'!CR121</f>
        <v>0</v>
      </c>
      <c r="AC124" s="532">
        <f ca="1">+'Capex_FO input'!CS121</f>
        <v>0</v>
      </c>
      <c r="AD124" s="533">
        <f ca="1">+'Capex_FO input'!CT121</f>
        <v>0</v>
      </c>
      <c r="AE124" s="533">
        <f ca="1">+'Capex_FO input'!CU121</f>
        <v>0</v>
      </c>
      <c r="AF124" s="533">
        <f ca="1">+'Capex_FO input'!CV121</f>
        <v>0</v>
      </c>
      <c r="AG124" s="534">
        <f ca="1">+'Capex_FO input'!CW121</f>
        <v>0</v>
      </c>
      <c r="AI124" s="128"/>
    </row>
    <row r="125" spans="3:35" ht="11.25" customHeight="1">
      <c r="C125" s="74"/>
      <c r="D125" s="2286">
        <f>+'Capex_FO input'!C122</f>
        <v>0</v>
      </c>
      <c r="E125" s="2287"/>
      <c r="F125" s="2287"/>
      <c r="G125" s="2287"/>
      <c r="H125" s="2288"/>
      <c r="I125" s="850">
        <f>+'Capex_FO input'!M122</f>
        <v>0</v>
      </c>
      <c r="J125" s="74"/>
      <c r="K125" s="74"/>
      <c r="L125" s="74"/>
      <c r="M125" s="74"/>
      <c r="N125" s="74"/>
      <c r="O125" s="74"/>
      <c r="P125" s="148"/>
      <c r="Q125" s="74"/>
      <c r="R125" s="74"/>
      <c r="S125" s="74"/>
      <c r="T125" s="74"/>
      <c r="U125" s="74"/>
      <c r="V125" s="74"/>
      <c r="W125" s="74"/>
      <c r="X125" s="532">
        <f ca="1">+'Capex_FO input'!CN122</f>
        <v>0</v>
      </c>
      <c r="Y125" s="533">
        <f ca="1">+'Capex_FO input'!CO122</f>
        <v>0</v>
      </c>
      <c r="Z125" s="533">
        <f ca="1">+'Capex_FO input'!CP122</f>
        <v>0</v>
      </c>
      <c r="AA125" s="533">
        <f ca="1">+'Capex_FO input'!CQ122</f>
        <v>0</v>
      </c>
      <c r="AB125" s="534">
        <f ca="1">+'Capex_FO input'!CR122</f>
        <v>0</v>
      </c>
      <c r="AC125" s="532">
        <f ca="1">+'Capex_FO input'!CS122</f>
        <v>0</v>
      </c>
      <c r="AD125" s="533">
        <f ca="1">+'Capex_FO input'!CT122</f>
        <v>0</v>
      </c>
      <c r="AE125" s="533">
        <f ca="1">+'Capex_FO input'!CU122</f>
        <v>0</v>
      </c>
      <c r="AF125" s="533">
        <f ca="1">+'Capex_FO input'!CV122</f>
        <v>0</v>
      </c>
      <c r="AG125" s="534">
        <f ca="1">+'Capex_FO input'!CW122</f>
        <v>0</v>
      </c>
      <c r="AI125" s="128"/>
    </row>
    <row r="126" spans="3:35" ht="11.25" customHeight="1">
      <c r="C126" s="74"/>
      <c r="D126" s="2286">
        <f>+'Capex_FO input'!C123</f>
        <v>0</v>
      </c>
      <c r="E126" s="2287"/>
      <c r="F126" s="2287"/>
      <c r="G126" s="2287"/>
      <c r="H126" s="2288"/>
      <c r="I126" s="850">
        <f>+'Capex_FO input'!M123</f>
        <v>0</v>
      </c>
      <c r="J126" s="74"/>
      <c r="K126" s="74"/>
      <c r="L126" s="74"/>
      <c r="M126" s="74"/>
      <c r="N126" s="74"/>
      <c r="O126" s="74"/>
      <c r="P126" s="148"/>
      <c r="Q126" s="74"/>
      <c r="R126" s="74"/>
      <c r="S126" s="74"/>
      <c r="T126" s="74"/>
      <c r="U126" s="74"/>
      <c r="V126" s="74"/>
      <c r="W126" s="74"/>
      <c r="X126" s="532">
        <f ca="1">+'Capex_FO input'!CN123</f>
        <v>0</v>
      </c>
      <c r="Y126" s="533">
        <f ca="1">+'Capex_FO input'!CO123</f>
        <v>0</v>
      </c>
      <c r="Z126" s="533">
        <f ca="1">+'Capex_FO input'!CP123</f>
        <v>0</v>
      </c>
      <c r="AA126" s="533">
        <f ca="1">+'Capex_FO input'!CQ123</f>
        <v>0</v>
      </c>
      <c r="AB126" s="534">
        <f ca="1">+'Capex_FO input'!CR123</f>
        <v>0</v>
      </c>
      <c r="AC126" s="532">
        <f ca="1">+'Capex_FO input'!CS123</f>
        <v>0</v>
      </c>
      <c r="AD126" s="533">
        <f ca="1">+'Capex_FO input'!CT123</f>
        <v>0</v>
      </c>
      <c r="AE126" s="533">
        <f ca="1">+'Capex_FO input'!CU123</f>
        <v>0</v>
      </c>
      <c r="AF126" s="533">
        <f ca="1">+'Capex_FO input'!CV123</f>
        <v>0</v>
      </c>
      <c r="AG126" s="534">
        <f ca="1">+'Capex_FO input'!CW123</f>
        <v>0</v>
      </c>
      <c r="AI126" s="128"/>
    </row>
    <row r="127" spans="3:35" ht="11.25" customHeight="1">
      <c r="C127" s="74"/>
      <c r="D127" s="2286">
        <f>+'Capex_FO input'!C124</f>
        <v>0</v>
      </c>
      <c r="E127" s="2287"/>
      <c r="F127" s="2287"/>
      <c r="G127" s="2287"/>
      <c r="H127" s="2288"/>
      <c r="I127" s="850">
        <f>+'Capex_FO input'!M124</f>
        <v>0</v>
      </c>
      <c r="J127" s="74"/>
      <c r="K127" s="74"/>
      <c r="L127" s="74"/>
      <c r="M127" s="74"/>
      <c r="N127" s="74"/>
      <c r="O127" s="74"/>
      <c r="P127" s="148"/>
      <c r="Q127" s="74"/>
      <c r="R127" s="74"/>
      <c r="S127" s="74"/>
      <c r="T127" s="74"/>
      <c r="U127" s="74"/>
      <c r="V127" s="74"/>
      <c r="W127" s="74"/>
      <c r="X127" s="532">
        <f ca="1">+'Capex_FO input'!CN124</f>
        <v>0</v>
      </c>
      <c r="Y127" s="533">
        <f ca="1">+'Capex_FO input'!CO124</f>
        <v>0</v>
      </c>
      <c r="Z127" s="533">
        <f ca="1">+'Capex_FO input'!CP124</f>
        <v>0</v>
      </c>
      <c r="AA127" s="533">
        <f ca="1">+'Capex_FO input'!CQ124</f>
        <v>0</v>
      </c>
      <c r="AB127" s="534">
        <f ca="1">+'Capex_FO input'!CR124</f>
        <v>0</v>
      </c>
      <c r="AC127" s="532">
        <f ca="1">+'Capex_FO input'!CS124</f>
        <v>0</v>
      </c>
      <c r="AD127" s="533">
        <f ca="1">+'Capex_FO input'!CT124</f>
        <v>0</v>
      </c>
      <c r="AE127" s="533">
        <f ca="1">+'Capex_FO input'!CU124</f>
        <v>0</v>
      </c>
      <c r="AF127" s="533">
        <f ca="1">+'Capex_FO input'!CV124</f>
        <v>0</v>
      </c>
      <c r="AG127" s="534">
        <f ca="1">+'Capex_FO input'!CW124</f>
        <v>0</v>
      </c>
      <c r="AI127" s="128"/>
    </row>
    <row r="128" spans="3:35" ht="11.25" customHeight="1">
      <c r="C128" s="74"/>
      <c r="D128" s="2286">
        <f>+'Capex_FO input'!C125</f>
        <v>0</v>
      </c>
      <c r="E128" s="2287"/>
      <c r="F128" s="2287"/>
      <c r="G128" s="2287"/>
      <c r="H128" s="2288"/>
      <c r="I128" s="850">
        <f>+'Capex_FO input'!M125</f>
        <v>0</v>
      </c>
      <c r="J128" s="74"/>
      <c r="K128" s="74"/>
      <c r="L128" s="74"/>
      <c r="M128" s="74"/>
      <c r="N128" s="74"/>
      <c r="O128" s="74"/>
      <c r="P128" s="148"/>
      <c r="Q128" s="74"/>
      <c r="R128" s="74"/>
      <c r="S128" s="74"/>
      <c r="T128" s="74"/>
      <c r="U128" s="74"/>
      <c r="V128" s="74"/>
      <c r="W128" s="74"/>
      <c r="X128" s="532">
        <f ca="1">+'Capex_FO input'!CN125</f>
        <v>0</v>
      </c>
      <c r="Y128" s="533">
        <f ca="1">+'Capex_FO input'!CO125</f>
        <v>0</v>
      </c>
      <c r="Z128" s="533">
        <f ca="1">+'Capex_FO input'!CP125</f>
        <v>0</v>
      </c>
      <c r="AA128" s="533">
        <f ca="1">+'Capex_FO input'!CQ125</f>
        <v>0</v>
      </c>
      <c r="AB128" s="534">
        <f ca="1">+'Capex_FO input'!CR125</f>
        <v>0</v>
      </c>
      <c r="AC128" s="532">
        <f ca="1">+'Capex_FO input'!CS125</f>
        <v>0</v>
      </c>
      <c r="AD128" s="533">
        <f ca="1">+'Capex_FO input'!CT125</f>
        <v>0</v>
      </c>
      <c r="AE128" s="533">
        <f ca="1">+'Capex_FO input'!CU125</f>
        <v>0</v>
      </c>
      <c r="AF128" s="533">
        <f ca="1">+'Capex_FO input'!CV125</f>
        <v>0</v>
      </c>
      <c r="AG128" s="534">
        <f ca="1">+'Capex_FO input'!CW125</f>
        <v>0</v>
      </c>
      <c r="AI128" s="128"/>
    </row>
    <row r="129" spans="3:35" ht="11.25" customHeight="1">
      <c r="C129" s="74"/>
      <c r="D129" s="2286">
        <f>+'Capex_FO input'!C126</f>
        <v>0</v>
      </c>
      <c r="E129" s="2287"/>
      <c r="F129" s="2287"/>
      <c r="G129" s="2287"/>
      <c r="H129" s="2288"/>
      <c r="I129" s="850">
        <f>+'Capex_FO input'!M126</f>
        <v>0</v>
      </c>
      <c r="J129" s="74"/>
      <c r="K129" s="74"/>
      <c r="L129" s="74"/>
      <c r="M129" s="74"/>
      <c r="N129" s="74"/>
      <c r="O129" s="74"/>
      <c r="P129" s="148"/>
      <c r="Q129" s="74"/>
      <c r="R129" s="74"/>
      <c r="S129" s="74"/>
      <c r="T129" s="74"/>
      <c r="U129" s="74"/>
      <c r="V129" s="74"/>
      <c r="W129" s="74"/>
      <c r="X129" s="532">
        <f ca="1">+'Capex_FO input'!CN126</f>
        <v>0</v>
      </c>
      <c r="Y129" s="533">
        <f ca="1">+'Capex_FO input'!CO126</f>
        <v>0</v>
      </c>
      <c r="Z129" s="533">
        <f ca="1">+'Capex_FO input'!CP126</f>
        <v>0</v>
      </c>
      <c r="AA129" s="533">
        <f ca="1">+'Capex_FO input'!CQ126</f>
        <v>0</v>
      </c>
      <c r="AB129" s="534">
        <f ca="1">+'Capex_FO input'!CR126</f>
        <v>0</v>
      </c>
      <c r="AC129" s="532">
        <f ca="1">+'Capex_FO input'!CS126</f>
        <v>0</v>
      </c>
      <c r="AD129" s="533">
        <f ca="1">+'Capex_FO input'!CT126</f>
        <v>0</v>
      </c>
      <c r="AE129" s="533">
        <f ca="1">+'Capex_FO input'!CU126</f>
        <v>0</v>
      </c>
      <c r="AF129" s="533">
        <f ca="1">+'Capex_FO input'!CV126</f>
        <v>0</v>
      </c>
      <c r="AG129" s="534">
        <f ca="1">+'Capex_FO input'!CW126</f>
        <v>0</v>
      </c>
      <c r="AI129" s="128"/>
    </row>
    <row r="130" spans="3:35" ht="11.25" customHeight="1">
      <c r="C130" s="74"/>
      <c r="D130" s="2286">
        <f>+'Capex_FO input'!C127</f>
        <v>0</v>
      </c>
      <c r="E130" s="2287"/>
      <c r="F130" s="2287"/>
      <c r="G130" s="2287"/>
      <c r="H130" s="2288"/>
      <c r="I130" s="850">
        <f>+'Capex_FO input'!M127</f>
        <v>0</v>
      </c>
      <c r="J130" s="74"/>
      <c r="K130" s="74"/>
      <c r="L130" s="74"/>
      <c r="M130" s="74"/>
      <c r="N130" s="74"/>
      <c r="O130" s="74"/>
      <c r="P130" s="148"/>
      <c r="Q130" s="74"/>
      <c r="R130" s="74"/>
      <c r="S130" s="74"/>
      <c r="T130" s="74"/>
      <c r="U130" s="74"/>
      <c r="V130" s="74"/>
      <c r="W130" s="74"/>
      <c r="X130" s="532">
        <f ca="1">+'Capex_FO input'!CN127</f>
        <v>0</v>
      </c>
      <c r="Y130" s="533">
        <f ca="1">+'Capex_FO input'!CO127</f>
        <v>0</v>
      </c>
      <c r="Z130" s="533">
        <f ca="1">+'Capex_FO input'!CP127</f>
        <v>0</v>
      </c>
      <c r="AA130" s="533">
        <f ca="1">+'Capex_FO input'!CQ127</f>
        <v>0</v>
      </c>
      <c r="AB130" s="534">
        <f ca="1">+'Capex_FO input'!CR127</f>
        <v>0</v>
      </c>
      <c r="AC130" s="532">
        <f ca="1">+'Capex_FO input'!CS127</f>
        <v>0</v>
      </c>
      <c r="AD130" s="533">
        <f ca="1">+'Capex_FO input'!CT127</f>
        <v>0</v>
      </c>
      <c r="AE130" s="533">
        <f ca="1">+'Capex_FO input'!CU127</f>
        <v>0</v>
      </c>
      <c r="AF130" s="533">
        <f ca="1">+'Capex_FO input'!CV127</f>
        <v>0</v>
      </c>
      <c r="AG130" s="534">
        <f ca="1">+'Capex_FO input'!CW127</f>
        <v>0</v>
      </c>
      <c r="AI130" s="128"/>
    </row>
    <row r="131" spans="3:35">
      <c r="C131" s="74"/>
      <c r="D131" s="2286">
        <f>+'Capex_FO input'!C128</f>
        <v>0</v>
      </c>
      <c r="E131" s="2287"/>
      <c r="F131" s="2287"/>
      <c r="G131" s="2287"/>
      <c r="H131" s="2288"/>
      <c r="I131" s="850">
        <f>+'Capex_FO input'!M128</f>
        <v>0</v>
      </c>
      <c r="J131" s="74"/>
      <c r="K131" s="74"/>
      <c r="L131" s="74"/>
      <c r="M131" s="74"/>
      <c r="N131" s="74"/>
      <c r="O131" s="74"/>
      <c r="P131" s="148"/>
      <c r="Q131" s="74"/>
      <c r="R131" s="74"/>
      <c r="S131" s="74"/>
      <c r="T131" s="74"/>
      <c r="U131" s="74"/>
      <c r="V131" s="74"/>
      <c r="W131" s="74"/>
      <c r="X131" s="532">
        <f ca="1">+'Capex_FO input'!CN128</f>
        <v>0</v>
      </c>
      <c r="Y131" s="533">
        <f ca="1">+'Capex_FO input'!CO128</f>
        <v>0</v>
      </c>
      <c r="Z131" s="533">
        <f ca="1">+'Capex_FO input'!CP128</f>
        <v>0</v>
      </c>
      <c r="AA131" s="533">
        <f ca="1">+'Capex_FO input'!CQ128</f>
        <v>0</v>
      </c>
      <c r="AB131" s="534">
        <f ca="1">+'Capex_FO input'!CR128</f>
        <v>0</v>
      </c>
      <c r="AC131" s="532">
        <f ca="1">+'Capex_FO input'!CS128</f>
        <v>0</v>
      </c>
      <c r="AD131" s="533">
        <f ca="1">+'Capex_FO input'!CT128</f>
        <v>0</v>
      </c>
      <c r="AE131" s="533">
        <f ca="1">+'Capex_FO input'!CU128</f>
        <v>0</v>
      </c>
      <c r="AF131" s="533">
        <f ca="1">+'Capex_FO input'!CV128</f>
        <v>0</v>
      </c>
      <c r="AG131" s="534">
        <f ca="1">+'Capex_FO input'!CW128</f>
        <v>0</v>
      </c>
      <c r="AI131" s="128"/>
    </row>
    <row r="132" spans="3:35">
      <c r="C132" s="74"/>
      <c r="D132" s="2286">
        <f>+'Capex_FO input'!C129</f>
        <v>0</v>
      </c>
      <c r="E132" s="2287"/>
      <c r="F132" s="2287"/>
      <c r="G132" s="2287"/>
      <c r="H132" s="2288"/>
      <c r="I132" s="850">
        <f>+'Capex_FO input'!M129</f>
        <v>0</v>
      </c>
      <c r="J132" s="74"/>
      <c r="K132" s="74"/>
      <c r="L132" s="74"/>
      <c r="M132" s="74"/>
      <c r="N132" s="74"/>
      <c r="O132" s="74"/>
      <c r="P132" s="148"/>
      <c r="Q132" s="74"/>
      <c r="R132" s="74"/>
      <c r="S132" s="74"/>
      <c r="T132" s="74"/>
      <c r="U132" s="74"/>
      <c r="V132" s="74"/>
      <c r="W132" s="74"/>
      <c r="X132" s="532">
        <f ca="1">+'Capex_FO input'!CN129</f>
        <v>0</v>
      </c>
      <c r="Y132" s="533">
        <f ca="1">+'Capex_FO input'!CO129</f>
        <v>0</v>
      </c>
      <c r="Z132" s="533">
        <f ca="1">+'Capex_FO input'!CP129</f>
        <v>0</v>
      </c>
      <c r="AA132" s="533">
        <f ca="1">+'Capex_FO input'!CQ129</f>
        <v>0</v>
      </c>
      <c r="AB132" s="534">
        <f ca="1">+'Capex_FO input'!CR129</f>
        <v>0</v>
      </c>
      <c r="AC132" s="532">
        <f ca="1">+'Capex_FO input'!CS129</f>
        <v>0</v>
      </c>
      <c r="AD132" s="533">
        <f ca="1">+'Capex_FO input'!CT129</f>
        <v>0</v>
      </c>
      <c r="AE132" s="533">
        <f ca="1">+'Capex_FO input'!CU129</f>
        <v>0</v>
      </c>
      <c r="AF132" s="533">
        <f ca="1">+'Capex_FO input'!CV129</f>
        <v>0</v>
      </c>
      <c r="AG132" s="534">
        <f ca="1">+'Capex_FO input'!CW129</f>
        <v>0</v>
      </c>
      <c r="AI132" s="128"/>
    </row>
    <row r="133" spans="3:35">
      <c r="C133" s="74"/>
      <c r="D133" s="2286">
        <f>+'Capex_FO input'!C130</f>
        <v>0</v>
      </c>
      <c r="E133" s="2287"/>
      <c r="F133" s="2287"/>
      <c r="G133" s="2287"/>
      <c r="H133" s="2288"/>
      <c r="I133" s="850">
        <f>+'Capex_FO input'!M130</f>
        <v>0</v>
      </c>
      <c r="J133" s="74"/>
      <c r="K133" s="74"/>
      <c r="L133" s="74"/>
      <c r="M133" s="74"/>
      <c r="N133" s="74"/>
      <c r="O133" s="74"/>
      <c r="P133" s="148"/>
      <c r="Q133" s="74"/>
      <c r="R133" s="74"/>
      <c r="S133" s="74"/>
      <c r="T133" s="74"/>
      <c r="U133" s="74"/>
      <c r="V133" s="74"/>
      <c r="W133" s="74"/>
      <c r="X133" s="532">
        <f ca="1">+'Capex_FO input'!CN130</f>
        <v>0</v>
      </c>
      <c r="Y133" s="533">
        <f ca="1">+'Capex_FO input'!CO130</f>
        <v>0</v>
      </c>
      <c r="Z133" s="533">
        <f ca="1">+'Capex_FO input'!CP130</f>
        <v>0</v>
      </c>
      <c r="AA133" s="533">
        <f ca="1">+'Capex_FO input'!CQ130</f>
        <v>0</v>
      </c>
      <c r="AB133" s="534">
        <f ca="1">+'Capex_FO input'!CR130</f>
        <v>0</v>
      </c>
      <c r="AC133" s="532">
        <f ca="1">+'Capex_FO input'!CS130</f>
        <v>0</v>
      </c>
      <c r="AD133" s="533">
        <f ca="1">+'Capex_FO input'!CT130</f>
        <v>0</v>
      </c>
      <c r="AE133" s="533">
        <f ca="1">+'Capex_FO input'!CU130</f>
        <v>0</v>
      </c>
      <c r="AF133" s="533">
        <f ca="1">+'Capex_FO input'!CV130</f>
        <v>0</v>
      </c>
      <c r="AG133" s="534">
        <f ca="1">+'Capex_FO input'!CW130</f>
        <v>0</v>
      </c>
      <c r="AI133" s="128"/>
    </row>
    <row r="134" spans="3:35">
      <c r="C134" s="74"/>
      <c r="D134" s="2286">
        <f>+'Capex_FO input'!C131</f>
        <v>0</v>
      </c>
      <c r="E134" s="2287"/>
      <c r="F134" s="2287"/>
      <c r="G134" s="2287"/>
      <c r="H134" s="2288"/>
      <c r="I134" s="850">
        <f>+'Capex_FO input'!M131</f>
        <v>0</v>
      </c>
      <c r="J134" s="74"/>
      <c r="K134" s="74"/>
      <c r="L134" s="74"/>
      <c r="M134" s="74"/>
      <c r="N134" s="74"/>
      <c r="O134" s="74"/>
      <c r="P134" s="148"/>
      <c r="Q134" s="74"/>
      <c r="R134" s="74"/>
      <c r="S134" s="74"/>
      <c r="T134" s="74"/>
      <c r="U134" s="74"/>
      <c r="V134" s="74"/>
      <c r="W134" s="74"/>
      <c r="X134" s="532">
        <f ca="1">+'Capex_FO input'!CN131</f>
        <v>0</v>
      </c>
      <c r="Y134" s="533">
        <f ca="1">+'Capex_FO input'!CO131</f>
        <v>0</v>
      </c>
      <c r="Z134" s="533">
        <f ca="1">+'Capex_FO input'!CP131</f>
        <v>0</v>
      </c>
      <c r="AA134" s="533">
        <f ca="1">+'Capex_FO input'!CQ131</f>
        <v>0</v>
      </c>
      <c r="AB134" s="534">
        <f ca="1">+'Capex_FO input'!CR131</f>
        <v>0</v>
      </c>
      <c r="AC134" s="532">
        <f ca="1">+'Capex_FO input'!CS131</f>
        <v>0</v>
      </c>
      <c r="AD134" s="533">
        <f ca="1">+'Capex_FO input'!CT131</f>
        <v>0</v>
      </c>
      <c r="AE134" s="533">
        <f ca="1">+'Capex_FO input'!CU131</f>
        <v>0</v>
      </c>
      <c r="AF134" s="533">
        <f ca="1">+'Capex_FO input'!CV131</f>
        <v>0</v>
      </c>
      <c r="AG134" s="534">
        <f ca="1">+'Capex_FO input'!CW131</f>
        <v>0</v>
      </c>
      <c r="AI134" s="128"/>
    </row>
    <row r="135" spans="3:35">
      <c r="C135" s="74"/>
      <c r="D135" s="2286">
        <f>+'Capex_FO input'!C132</f>
        <v>0</v>
      </c>
      <c r="E135" s="2287"/>
      <c r="F135" s="2287"/>
      <c r="G135" s="2287"/>
      <c r="H135" s="2288"/>
      <c r="I135" s="850">
        <f>+'Capex_FO input'!M132</f>
        <v>0</v>
      </c>
      <c r="J135" s="74"/>
      <c r="K135" s="74"/>
      <c r="L135" s="74"/>
      <c r="M135" s="74"/>
      <c r="N135" s="74"/>
      <c r="O135" s="74"/>
      <c r="P135" s="148"/>
      <c r="Q135" s="74"/>
      <c r="R135" s="74"/>
      <c r="S135" s="74"/>
      <c r="T135" s="74"/>
      <c r="U135" s="74"/>
      <c r="V135" s="74"/>
      <c r="W135" s="74"/>
      <c r="X135" s="532">
        <f ca="1">+'Capex_FO input'!CN132</f>
        <v>0</v>
      </c>
      <c r="Y135" s="533">
        <f ca="1">+'Capex_FO input'!CO132</f>
        <v>0</v>
      </c>
      <c r="Z135" s="533">
        <f ca="1">+'Capex_FO input'!CP132</f>
        <v>0</v>
      </c>
      <c r="AA135" s="533">
        <f ca="1">+'Capex_FO input'!CQ132</f>
        <v>0</v>
      </c>
      <c r="AB135" s="534">
        <f ca="1">+'Capex_FO input'!CR132</f>
        <v>0</v>
      </c>
      <c r="AC135" s="532">
        <f ca="1">+'Capex_FO input'!CS132</f>
        <v>0</v>
      </c>
      <c r="AD135" s="533">
        <f ca="1">+'Capex_FO input'!CT132</f>
        <v>0</v>
      </c>
      <c r="AE135" s="533">
        <f ca="1">+'Capex_FO input'!CU132</f>
        <v>0</v>
      </c>
      <c r="AF135" s="533">
        <f ca="1">+'Capex_FO input'!CV132</f>
        <v>0</v>
      </c>
      <c r="AG135" s="534">
        <f ca="1">+'Capex_FO input'!CW132</f>
        <v>0</v>
      </c>
      <c r="AI135" s="128"/>
    </row>
    <row r="136" spans="3:35">
      <c r="C136" s="74"/>
      <c r="D136" s="2286">
        <f>+'Capex_FO input'!C133</f>
        <v>0</v>
      </c>
      <c r="E136" s="2287"/>
      <c r="F136" s="2287"/>
      <c r="G136" s="2287"/>
      <c r="H136" s="2288"/>
      <c r="I136" s="850">
        <f>+'Capex_FO input'!M133</f>
        <v>0</v>
      </c>
      <c r="J136" s="74"/>
      <c r="K136" s="74"/>
      <c r="L136" s="74"/>
      <c r="M136" s="74"/>
      <c r="N136" s="74"/>
      <c r="O136" s="74"/>
      <c r="P136" s="148"/>
      <c r="Q136" s="74"/>
      <c r="R136" s="74"/>
      <c r="S136" s="74"/>
      <c r="T136" s="74"/>
      <c r="U136" s="74"/>
      <c r="V136" s="74"/>
      <c r="W136" s="74"/>
      <c r="X136" s="532">
        <f ca="1">+'Capex_FO input'!CN133</f>
        <v>0</v>
      </c>
      <c r="Y136" s="533">
        <f ca="1">+'Capex_FO input'!CO133</f>
        <v>0</v>
      </c>
      <c r="Z136" s="533">
        <f ca="1">+'Capex_FO input'!CP133</f>
        <v>0</v>
      </c>
      <c r="AA136" s="533">
        <f ca="1">+'Capex_FO input'!CQ133</f>
        <v>0</v>
      </c>
      <c r="AB136" s="534">
        <f ca="1">+'Capex_FO input'!CR133</f>
        <v>0</v>
      </c>
      <c r="AC136" s="532">
        <f ca="1">+'Capex_FO input'!CS133</f>
        <v>0</v>
      </c>
      <c r="AD136" s="533">
        <f ca="1">+'Capex_FO input'!CT133</f>
        <v>0</v>
      </c>
      <c r="AE136" s="533">
        <f ca="1">+'Capex_FO input'!CU133</f>
        <v>0</v>
      </c>
      <c r="AF136" s="533">
        <f ca="1">+'Capex_FO input'!CV133</f>
        <v>0</v>
      </c>
      <c r="AG136" s="534">
        <f ca="1">+'Capex_FO input'!CW133</f>
        <v>0</v>
      </c>
      <c r="AI136" s="128"/>
    </row>
    <row r="137" spans="3:35">
      <c r="C137" s="74"/>
      <c r="D137" s="2286">
        <f>+'Capex_FO input'!C134</f>
        <v>0</v>
      </c>
      <c r="E137" s="2287"/>
      <c r="F137" s="2287"/>
      <c r="G137" s="2287"/>
      <c r="H137" s="2288"/>
      <c r="I137" s="850">
        <f>+'Capex_FO input'!M134</f>
        <v>0</v>
      </c>
      <c r="J137" s="74"/>
      <c r="K137" s="74"/>
      <c r="L137" s="74"/>
      <c r="M137" s="74"/>
      <c r="N137" s="74"/>
      <c r="O137" s="74"/>
      <c r="P137" s="148"/>
      <c r="Q137" s="74"/>
      <c r="R137" s="74"/>
      <c r="S137" s="74"/>
      <c r="T137" s="74"/>
      <c r="U137" s="74"/>
      <c r="V137" s="74"/>
      <c r="W137" s="74"/>
      <c r="X137" s="532">
        <f ca="1">+'Capex_FO input'!CN134</f>
        <v>0</v>
      </c>
      <c r="Y137" s="533">
        <f ca="1">+'Capex_FO input'!CO134</f>
        <v>0</v>
      </c>
      <c r="Z137" s="533">
        <f ca="1">+'Capex_FO input'!CP134</f>
        <v>0</v>
      </c>
      <c r="AA137" s="533">
        <f ca="1">+'Capex_FO input'!CQ134</f>
        <v>0</v>
      </c>
      <c r="AB137" s="534">
        <f ca="1">+'Capex_FO input'!CR134</f>
        <v>0</v>
      </c>
      <c r="AC137" s="532">
        <f ca="1">+'Capex_FO input'!CS134</f>
        <v>0</v>
      </c>
      <c r="AD137" s="533">
        <f ca="1">+'Capex_FO input'!CT134</f>
        <v>0</v>
      </c>
      <c r="AE137" s="533">
        <f ca="1">+'Capex_FO input'!CU134</f>
        <v>0</v>
      </c>
      <c r="AF137" s="533">
        <f ca="1">+'Capex_FO input'!CV134</f>
        <v>0</v>
      </c>
      <c r="AG137" s="534">
        <f ca="1">+'Capex_FO input'!CW134</f>
        <v>0</v>
      </c>
      <c r="AI137" s="128"/>
    </row>
    <row r="138" spans="3:35" ht="11.25" customHeight="1">
      <c r="C138" s="74"/>
      <c r="D138" s="2286">
        <f>+'Capex_FO input'!C135</f>
        <v>0</v>
      </c>
      <c r="E138" s="2287"/>
      <c r="F138" s="2287"/>
      <c r="G138" s="2287"/>
      <c r="H138" s="2288"/>
      <c r="I138" s="850">
        <f>+'Capex_FO input'!M135</f>
        <v>0</v>
      </c>
      <c r="J138" s="74"/>
      <c r="K138" s="74"/>
      <c r="L138" s="74"/>
      <c r="M138" s="74"/>
      <c r="N138" s="74"/>
      <c r="O138" s="74"/>
      <c r="P138" s="148"/>
      <c r="Q138" s="74"/>
      <c r="R138" s="74"/>
      <c r="S138" s="74"/>
      <c r="T138" s="74"/>
      <c r="U138" s="74"/>
      <c r="V138" s="74"/>
      <c r="W138" s="74"/>
      <c r="X138" s="532">
        <f ca="1">+'Capex_FO input'!CN135</f>
        <v>0</v>
      </c>
      <c r="Y138" s="533">
        <f ca="1">+'Capex_FO input'!CO135</f>
        <v>0</v>
      </c>
      <c r="Z138" s="533">
        <f ca="1">+'Capex_FO input'!CP135</f>
        <v>0</v>
      </c>
      <c r="AA138" s="533">
        <f ca="1">+'Capex_FO input'!CQ135</f>
        <v>0</v>
      </c>
      <c r="AB138" s="534">
        <f ca="1">+'Capex_FO input'!CR135</f>
        <v>0</v>
      </c>
      <c r="AC138" s="532">
        <f ca="1">+'Capex_FO input'!CS135</f>
        <v>0</v>
      </c>
      <c r="AD138" s="533">
        <f ca="1">+'Capex_FO input'!CT135</f>
        <v>0</v>
      </c>
      <c r="AE138" s="533">
        <f ca="1">+'Capex_FO input'!CU135</f>
        <v>0</v>
      </c>
      <c r="AF138" s="533">
        <f ca="1">+'Capex_FO input'!CV135</f>
        <v>0</v>
      </c>
      <c r="AG138" s="534">
        <f ca="1">+'Capex_FO input'!CW135</f>
        <v>0</v>
      </c>
      <c r="AI138" s="128"/>
    </row>
    <row r="139" spans="3:35" ht="11.25" customHeight="1">
      <c r="C139" s="74"/>
      <c r="D139" s="2286">
        <f>+'Capex_FO input'!C136</f>
        <v>0</v>
      </c>
      <c r="E139" s="2287"/>
      <c r="F139" s="2287"/>
      <c r="G139" s="2287"/>
      <c r="H139" s="2288"/>
      <c r="I139" s="850">
        <f>+'Capex_FO input'!M136</f>
        <v>0</v>
      </c>
      <c r="J139" s="74"/>
      <c r="K139" s="74"/>
      <c r="L139" s="74"/>
      <c r="M139" s="74"/>
      <c r="N139" s="74"/>
      <c r="O139" s="74"/>
      <c r="P139" s="148"/>
      <c r="Q139" s="74"/>
      <c r="R139" s="74"/>
      <c r="S139" s="74"/>
      <c r="T139" s="74"/>
      <c r="U139" s="74"/>
      <c r="V139" s="74"/>
      <c r="W139" s="74"/>
      <c r="X139" s="532">
        <f ca="1">+'Capex_FO input'!CN136</f>
        <v>0</v>
      </c>
      <c r="Y139" s="533">
        <f ca="1">+'Capex_FO input'!CO136</f>
        <v>0</v>
      </c>
      <c r="Z139" s="533">
        <f ca="1">+'Capex_FO input'!CP136</f>
        <v>0</v>
      </c>
      <c r="AA139" s="533">
        <f ca="1">+'Capex_FO input'!CQ136</f>
        <v>0</v>
      </c>
      <c r="AB139" s="534">
        <f ca="1">+'Capex_FO input'!CR136</f>
        <v>0</v>
      </c>
      <c r="AC139" s="532">
        <f ca="1">+'Capex_FO input'!CS136</f>
        <v>0</v>
      </c>
      <c r="AD139" s="533">
        <f ca="1">+'Capex_FO input'!CT136</f>
        <v>0</v>
      </c>
      <c r="AE139" s="533">
        <f ca="1">+'Capex_FO input'!CU136</f>
        <v>0</v>
      </c>
      <c r="AF139" s="533">
        <f ca="1">+'Capex_FO input'!CV136</f>
        <v>0</v>
      </c>
      <c r="AG139" s="534">
        <f ca="1">+'Capex_FO input'!CW136</f>
        <v>0</v>
      </c>
      <c r="AI139" s="128"/>
    </row>
    <row r="140" spans="3:35" ht="11.25" customHeight="1">
      <c r="C140" s="74"/>
      <c r="D140" s="2286">
        <f>+'Capex_FO input'!C137</f>
        <v>0</v>
      </c>
      <c r="E140" s="2287"/>
      <c r="F140" s="2287"/>
      <c r="G140" s="2287"/>
      <c r="H140" s="2288"/>
      <c r="I140" s="850">
        <f>+'Capex_FO input'!M137</f>
        <v>0</v>
      </c>
      <c r="J140" s="74"/>
      <c r="K140" s="74"/>
      <c r="L140" s="74"/>
      <c r="M140" s="74"/>
      <c r="N140" s="74"/>
      <c r="O140" s="74"/>
      <c r="P140" s="148"/>
      <c r="Q140" s="74"/>
      <c r="R140" s="74"/>
      <c r="S140" s="74"/>
      <c r="T140" s="74"/>
      <c r="U140" s="74"/>
      <c r="V140" s="74"/>
      <c r="W140" s="74"/>
      <c r="X140" s="532">
        <f ca="1">+'Capex_FO input'!CN137</f>
        <v>0</v>
      </c>
      <c r="Y140" s="533">
        <f ca="1">+'Capex_FO input'!CO137</f>
        <v>0</v>
      </c>
      <c r="Z140" s="533">
        <f ca="1">+'Capex_FO input'!CP137</f>
        <v>0</v>
      </c>
      <c r="AA140" s="533">
        <f ca="1">+'Capex_FO input'!CQ137</f>
        <v>0</v>
      </c>
      <c r="AB140" s="534">
        <f ca="1">+'Capex_FO input'!CR137</f>
        <v>0</v>
      </c>
      <c r="AC140" s="532">
        <f ca="1">+'Capex_FO input'!CS137</f>
        <v>0</v>
      </c>
      <c r="AD140" s="533">
        <f ca="1">+'Capex_FO input'!CT137</f>
        <v>0</v>
      </c>
      <c r="AE140" s="533">
        <f ca="1">+'Capex_FO input'!CU137</f>
        <v>0</v>
      </c>
      <c r="AF140" s="533">
        <f ca="1">+'Capex_FO input'!CV137</f>
        <v>0</v>
      </c>
      <c r="AG140" s="534">
        <f ca="1">+'Capex_FO input'!CW137</f>
        <v>0</v>
      </c>
      <c r="AI140" s="128"/>
    </row>
    <row r="141" spans="3:35" ht="11.25" customHeight="1">
      <c r="C141" s="74"/>
      <c r="D141" s="2286">
        <f>+'Capex_FO input'!C138</f>
        <v>0</v>
      </c>
      <c r="E141" s="2287"/>
      <c r="F141" s="2287"/>
      <c r="G141" s="2287"/>
      <c r="H141" s="2288"/>
      <c r="I141" s="850">
        <f>+'Capex_FO input'!M138</f>
        <v>0</v>
      </c>
      <c r="J141" s="74"/>
      <c r="K141" s="74"/>
      <c r="L141" s="74"/>
      <c r="M141" s="74"/>
      <c r="N141" s="74"/>
      <c r="O141" s="74"/>
      <c r="P141" s="148"/>
      <c r="Q141" s="74"/>
      <c r="R141" s="74"/>
      <c r="S141" s="74"/>
      <c r="T141" s="74"/>
      <c r="U141" s="74"/>
      <c r="V141" s="74"/>
      <c r="W141" s="74"/>
      <c r="X141" s="532">
        <f ca="1">+'Capex_FO input'!CN138</f>
        <v>0</v>
      </c>
      <c r="Y141" s="533">
        <f ca="1">+'Capex_FO input'!CO138</f>
        <v>0</v>
      </c>
      <c r="Z141" s="533">
        <f ca="1">+'Capex_FO input'!CP138</f>
        <v>0</v>
      </c>
      <c r="AA141" s="533">
        <f ca="1">+'Capex_FO input'!CQ138</f>
        <v>0</v>
      </c>
      <c r="AB141" s="534">
        <f ca="1">+'Capex_FO input'!CR138</f>
        <v>0</v>
      </c>
      <c r="AC141" s="532">
        <f ca="1">+'Capex_FO input'!CS138</f>
        <v>0</v>
      </c>
      <c r="AD141" s="533">
        <f ca="1">+'Capex_FO input'!CT138</f>
        <v>0</v>
      </c>
      <c r="AE141" s="533">
        <f ca="1">+'Capex_FO input'!CU138</f>
        <v>0</v>
      </c>
      <c r="AF141" s="533">
        <f ca="1">+'Capex_FO input'!CV138</f>
        <v>0</v>
      </c>
      <c r="AG141" s="534">
        <f ca="1">+'Capex_FO input'!CW138</f>
        <v>0</v>
      </c>
      <c r="AI141" s="128"/>
    </row>
    <row r="142" spans="3:35" ht="11.25" customHeight="1">
      <c r="C142" s="74"/>
      <c r="D142" s="2286">
        <f>+'Capex_FO input'!C139</f>
        <v>0</v>
      </c>
      <c r="E142" s="2287"/>
      <c r="F142" s="2287"/>
      <c r="G142" s="2287"/>
      <c r="H142" s="2288"/>
      <c r="I142" s="850">
        <f>+'Capex_FO input'!M139</f>
        <v>0</v>
      </c>
      <c r="J142" s="74"/>
      <c r="K142" s="74"/>
      <c r="L142" s="74"/>
      <c r="M142" s="74"/>
      <c r="N142" s="74"/>
      <c r="O142" s="74"/>
      <c r="P142" s="148"/>
      <c r="Q142" s="74"/>
      <c r="R142" s="74"/>
      <c r="S142" s="74"/>
      <c r="T142" s="74"/>
      <c r="U142" s="74"/>
      <c r="V142" s="74"/>
      <c r="W142" s="74"/>
      <c r="X142" s="532">
        <f ca="1">+'Capex_FO input'!CN139</f>
        <v>0</v>
      </c>
      <c r="Y142" s="533">
        <f ca="1">+'Capex_FO input'!CO139</f>
        <v>0</v>
      </c>
      <c r="Z142" s="533">
        <f ca="1">+'Capex_FO input'!CP139</f>
        <v>0</v>
      </c>
      <c r="AA142" s="533">
        <f ca="1">+'Capex_FO input'!CQ139</f>
        <v>0</v>
      </c>
      <c r="AB142" s="534">
        <f ca="1">+'Capex_FO input'!CR139</f>
        <v>0</v>
      </c>
      <c r="AC142" s="532">
        <f ca="1">+'Capex_FO input'!CS139</f>
        <v>0</v>
      </c>
      <c r="AD142" s="533">
        <f ca="1">+'Capex_FO input'!CT139</f>
        <v>0</v>
      </c>
      <c r="AE142" s="533">
        <f ca="1">+'Capex_FO input'!CU139</f>
        <v>0</v>
      </c>
      <c r="AF142" s="533">
        <f ca="1">+'Capex_FO input'!CV139</f>
        <v>0</v>
      </c>
      <c r="AG142" s="534">
        <f ca="1">+'Capex_FO input'!CW139</f>
        <v>0</v>
      </c>
      <c r="AI142" s="128"/>
    </row>
    <row r="143" spans="3:35" ht="11.25" customHeight="1">
      <c r="C143" s="74"/>
      <c r="D143" s="2286">
        <f>+'Capex_FO input'!C140</f>
        <v>0</v>
      </c>
      <c r="E143" s="2287"/>
      <c r="F143" s="2287"/>
      <c r="G143" s="2287"/>
      <c r="H143" s="2288"/>
      <c r="I143" s="850">
        <f>+'Capex_FO input'!M140</f>
        <v>0</v>
      </c>
      <c r="J143" s="74"/>
      <c r="K143" s="74"/>
      <c r="L143" s="74"/>
      <c r="M143" s="74"/>
      <c r="N143" s="74"/>
      <c r="O143" s="74"/>
      <c r="P143" s="148"/>
      <c r="Q143" s="74"/>
      <c r="R143" s="74"/>
      <c r="S143" s="74"/>
      <c r="T143" s="74"/>
      <c r="U143" s="74"/>
      <c r="V143" s="74"/>
      <c r="W143" s="74"/>
      <c r="X143" s="532">
        <f ca="1">+'Capex_FO input'!CN140</f>
        <v>0</v>
      </c>
      <c r="Y143" s="533">
        <f ca="1">+'Capex_FO input'!CO140</f>
        <v>0</v>
      </c>
      <c r="Z143" s="533">
        <f ca="1">+'Capex_FO input'!CP140</f>
        <v>0</v>
      </c>
      <c r="AA143" s="533">
        <f ca="1">+'Capex_FO input'!CQ140</f>
        <v>0</v>
      </c>
      <c r="AB143" s="534">
        <f ca="1">+'Capex_FO input'!CR140</f>
        <v>0</v>
      </c>
      <c r="AC143" s="532">
        <f ca="1">+'Capex_FO input'!CS140</f>
        <v>0</v>
      </c>
      <c r="AD143" s="533">
        <f ca="1">+'Capex_FO input'!CT140</f>
        <v>0</v>
      </c>
      <c r="AE143" s="533">
        <f ca="1">+'Capex_FO input'!CU140</f>
        <v>0</v>
      </c>
      <c r="AF143" s="533">
        <f ca="1">+'Capex_FO input'!CV140</f>
        <v>0</v>
      </c>
      <c r="AG143" s="534">
        <f ca="1">+'Capex_FO input'!CW140</f>
        <v>0</v>
      </c>
      <c r="AI143" s="128"/>
    </row>
    <row r="144" spans="3:35" ht="11.25" customHeight="1">
      <c r="C144" s="74"/>
      <c r="D144" s="2286">
        <f>+'Capex_FO input'!C141</f>
        <v>0</v>
      </c>
      <c r="E144" s="2287"/>
      <c r="F144" s="2287"/>
      <c r="G144" s="2287"/>
      <c r="H144" s="2288"/>
      <c r="I144" s="850">
        <f>+'Capex_FO input'!M141</f>
        <v>0</v>
      </c>
      <c r="J144" s="74"/>
      <c r="K144" s="74"/>
      <c r="L144" s="74"/>
      <c r="M144" s="74"/>
      <c r="N144" s="74"/>
      <c r="O144" s="74"/>
      <c r="P144" s="148"/>
      <c r="Q144" s="74"/>
      <c r="R144" s="74"/>
      <c r="S144" s="74"/>
      <c r="T144" s="74"/>
      <c r="U144" s="74"/>
      <c r="V144" s="74"/>
      <c r="W144" s="74"/>
      <c r="X144" s="532">
        <f ca="1">+'Capex_FO input'!CN141</f>
        <v>0</v>
      </c>
      <c r="Y144" s="533">
        <f ca="1">+'Capex_FO input'!CO141</f>
        <v>0</v>
      </c>
      <c r="Z144" s="533">
        <f ca="1">+'Capex_FO input'!CP141</f>
        <v>0</v>
      </c>
      <c r="AA144" s="533">
        <f ca="1">+'Capex_FO input'!CQ141</f>
        <v>0</v>
      </c>
      <c r="AB144" s="534">
        <f ca="1">+'Capex_FO input'!CR141</f>
        <v>0</v>
      </c>
      <c r="AC144" s="532">
        <f ca="1">+'Capex_FO input'!CS141</f>
        <v>0</v>
      </c>
      <c r="AD144" s="533">
        <f ca="1">+'Capex_FO input'!CT141</f>
        <v>0</v>
      </c>
      <c r="AE144" s="533">
        <f ca="1">+'Capex_FO input'!CU141</f>
        <v>0</v>
      </c>
      <c r="AF144" s="533">
        <f ca="1">+'Capex_FO input'!CV141</f>
        <v>0</v>
      </c>
      <c r="AG144" s="534">
        <f ca="1">+'Capex_FO input'!CW141</f>
        <v>0</v>
      </c>
      <c r="AI144" s="128"/>
    </row>
    <row r="145" spans="3:35" ht="11.25" customHeight="1">
      <c r="C145" s="74"/>
      <c r="D145" s="2286">
        <f>+'Capex_FO input'!C142</f>
        <v>0</v>
      </c>
      <c r="E145" s="2287"/>
      <c r="F145" s="2287"/>
      <c r="G145" s="2287"/>
      <c r="H145" s="2288"/>
      <c r="I145" s="850">
        <f>+'Capex_FO input'!M142</f>
        <v>0</v>
      </c>
      <c r="J145" s="74"/>
      <c r="K145" s="74"/>
      <c r="L145" s="74"/>
      <c r="M145" s="74"/>
      <c r="N145" s="74"/>
      <c r="O145" s="74"/>
      <c r="P145" s="148"/>
      <c r="Q145" s="74"/>
      <c r="R145" s="74"/>
      <c r="S145" s="74"/>
      <c r="T145" s="74"/>
      <c r="U145" s="74"/>
      <c r="V145" s="74"/>
      <c r="W145" s="74"/>
      <c r="X145" s="532">
        <f ca="1">+'Capex_FO input'!CN142</f>
        <v>0</v>
      </c>
      <c r="Y145" s="533">
        <f ca="1">+'Capex_FO input'!CO142</f>
        <v>0</v>
      </c>
      <c r="Z145" s="533">
        <f ca="1">+'Capex_FO input'!CP142</f>
        <v>0</v>
      </c>
      <c r="AA145" s="533">
        <f ca="1">+'Capex_FO input'!CQ142</f>
        <v>0</v>
      </c>
      <c r="AB145" s="534">
        <f ca="1">+'Capex_FO input'!CR142</f>
        <v>0</v>
      </c>
      <c r="AC145" s="532">
        <f ca="1">+'Capex_FO input'!CS142</f>
        <v>0</v>
      </c>
      <c r="AD145" s="533">
        <f ca="1">+'Capex_FO input'!CT142</f>
        <v>0</v>
      </c>
      <c r="AE145" s="533">
        <f ca="1">+'Capex_FO input'!CU142</f>
        <v>0</v>
      </c>
      <c r="AF145" s="533">
        <f ca="1">+'Capex_FO input'!CV142</f>
        <v>0</v>
      </c>
      <c r="AG145" s="534">
        <f ca="1">+'Capex_FO input'!CW142</f>
        <v>0</v>
      </c>
      <c r="AI145" s="128"/>
    </row>
    <row r="146" spans="3:35" ht="11.25" customHeight="1">
      <c r="C146" s="74"/>
      <c r="D146" s="2286">
        <f>+'Capex_FO input'!C143</f>
        <v>0</v>
      </c>
      <c r="E146" s="2287"/>
      <c r="F146" s="2287"/>
      <c r="G146" s="2287"/>
      <c r="H146" s="2288"/>
      <c r="I146" s="850">
        <f>+'Capex_FO input'!M143</f>
        <v>0</v>
      </c>
      <c r="J146" s="74"/>
      <c r="K146" s="74"/>
      <c r="L146" s="74"/>
      <c r="M146" s="74"/>
      <c r="N146" s="74"/>
      <c r="O146" s="74"/>
      <c r="P146" s="148"/>
      <c r="Q146" s="74"/>
      <c r="R146" s="74"/>
      <c r="S146" s="74"/>
      <c r="T146" s="74"/>
      <c r="U146" s="74"/>
      <c r="V146" s="74"/>
      <c r="W146" s="74"/>
      <c r="X146" s="532">
        <f ca="1">+'Capex_FO input'!CN143</f>
        <v>0</v>
      </c>
      <c r="Y146" s="533">
        <f ca="1">+'Capex_FO input'!CO143</f>
        <v>0</v>
      </c>
      <c r="Z146" s="533">
        <f ca="1">+'Capex_FO input'!CP143</f>
        <v>0</v>
      </c>
      <c r="AA146" s="533">
        <f ca="1">+'Capex_FO input'!CQ143</f>
        <v>0</v>
      </c>
      <c r="AB146" s="534">
        <f ca="1">+'Capex_FO input'!CR143</f>
        <v>0</v>
      </c>
      <c r="AC146" s="532">
        <f ca="1">+'Capex_FO input'!CS143</f>
        <v>0</v>
      </c>
      <c r="AD146" s="533">
        <f ca="1">+'Capex_FO input'!CT143</f>
        <v>0</v>
      </c>
      <c r="AE146" s="533">
        <f ca="1">+'Capex_FO input'!CU143</f>
        <v>0</v>
      </c>
      <c r="AF146" s="533">
        <f ca="1">+'Capex_FO input'!CV143</f>
        <v>0</v>
      </c>
      <c r="AG146" s="534">
        <f ca="1">+'Capex_FO input'!CW143</f>
        <v>0</v>
      </c>
      <c r="AI146" s="128"/>
    </row>
    <row r="147" spans="3:35" ht="11.25" customHeight="1">
      <c r="C147" s="74"/>
      <c r="D147" s="2286">
        <f>+'Capex_FO input'!C144</f>
        <v>0</v>
      </c>
      <c r="E147" s="2287"/>
      <c r="F147" s="2287"/>
      <c r="G147" s="2287"/>
      <c r="H147" s="2288"/>
      <c r="I147" s="850">
        <f>+'Capex_FO input'!M144</f>
        <v>0</v>
      </c>
      <c r="J147" s="74"/>
      <c r="K147" s="74"/>
      <c r="L147" s="74"/>
      <c r="M147" s="74"/>
      <c r="N147" s="74"/>
      <c r="O147" s="74"/>
      <c r="P147" s="148"/>
      <c r="Q147" s="74"/>
      <c r="R147" s="74"/>
      <c r="S147" s="74"/>
      <c r="T147" s="74"/>
      <c r="U147" s="74"/>
      <c r="V147" s="74"/>
      <c r="W147" s="74"/>
      <c r="X147" s="532">
        <f ca="1">+'Capex_FO input'!CN144</f>
        <v>0</v>
      </c>
      <c r="Y147" s="533">
        <f ca="1">+'Capex_FO input'!CO144</f>
        <v>0</v>
      </c>
      <c r="Z147" s="533">
        <f ca="1">+'Capex_FO input'!CP144</f>
        <v>0</v>
      </c>
      <c r="AA147" s="533">
        <f ca="1">+'Capex_FO input'!CQ144</f>
        <v>0</v>
      </c>
      <c r="AB147" s="534">
        <f ca="1">+'Capex_FO input'!CR144</f>
        <v>0</v>
      </c>
      <c r="AC147" s="532">
        <f ca="1">+'Capex_FO input'!CS144</f>
        <v>0</v>
      </c>
      <c r="AD147" s="533">
        <f ca="1">+'Capex_FO input'!CT144</f>
        <v>0</v>
      </c>
      <c r="AE147" s="533">
        <f ca="1">+'Capex_FO input'!CU144</f>
        <v>0</v>
      </c>
      <c r="AF147" s="533">
        <f ca="1">+'Capex_FO input'!CV144</f>
        <v>0</v>
      </c>
      <c r="AG147" s="534">
        <f ca="1">+'Capex_FO input'!CW144</f>
        <v>0</v>
      </c>
      <c r="AI147" s="128"/>
    </row>
    <row r="148" spans="3:35">
      <c r="C148" s="74"/>
      <c r="D148" s="2286">
        <f>+'Capex_FO input'!C145</f>
        <v>0</v>
      </c>
      <c r="E148" s="2287"/>
      <c r="F148" s="2287"/>
      <c r="G148" s="2287"/>
      <c r="H148" s="2288"/>
      <c r="I148" s="850">
        <f>+'Capex_FO input'!M145</f>
        <v>0</v>
      </c>
      <c r="J148" s="74"/>
      <c r="K148" s="74"/>
      <c r="L148" s="74"/>
      <c r="M148" s="74"/>
      <c r="N148" s="74"/>
      <c r="O148" s="74"/>
      <c r="P148" s="148"/>
      <c r="Q148" s="74"/>
      <c r="R148" s="74"/>
      <c r="S148" s="74"/>
      <c r="T148" s="74"/>
      <c r="U148" s="74"/>
      <c r="V148" s="74"/>
      <c r="W148" s="74"/>
      <c r="X148" s="532">
        <f ca="1">+'Capex_FO input'!CN145</f>
        <v>0</v>
      </c>
      <c r="Y148" s="533">
        <f ca="1">+'Capex_FO input'!CO145</f>
        <v>0</v>
      </c>
      <c r="Z148" s="533">
        <f ca="1">+'Capex_FO input'!CP145</f>
        <v>0</v>
      </c>
      <c r="AA148" s="533">
        <f ca="1">+'Capex_FO input'!CQ145</f>
        <v>0</v>
      </c>
      <c r="AB148" s="534">
        <f ca="1">+'Capex_FO input'!CR145</f>
        <v>0</v>
      </c>
      <c r="AC148" s="532">
        <f ca="1">+'Capex_FO input'!CS145</f>
        <v>0</v>
      </c>
      <c r="AD148" s="533">
        <f ca="1">+'Capex_FO input'!CT145</f>
        <v>0</v>
      </c>
      <c r="AE148" s="533">
        <f ca="1">+'Capex_FO input'!CU145</f>
        <v>0</v>
      </c>
      <c r="AF148" s="533">
        <f ca="1">+'Capex_FO input'!CV145</f>
        <v>0</v>
      </c>
      <c r="AG148" s="534">
        <f ca="1">+'Capex_FO input'!CW145</f>
        <v>0</v>
      </c>
      <c r="AI148" s="128"/>
    </row>
    <row r="149" spans="3:35" ht="12.75" thickBot="1">
      <c r="C149" s="74"/>
      <c r="D149" s="2292">
        <f>+'Capex_FO input'!C146</f>
        <v>0</v>
      </c>
      <c r="E149" s="2293"/>
      <c r="F149" s="2293"/>
      <c r="G149" s="2293"/>
      <c r="H149" s="2294"/>
      <c r="I149" s="851">
        <f>+'Capex_FO input'!M146</f>
        <v>0</v>
      </c>
      <c r="J149" s="199"/>
      <c r="K149" s="199"/>
      <c r="L149" s="199"/>
      <c r="M149" s="199"/>
      <c r="N149" s="199"/>
      <c r="O149" s="199"/>
      <c r="P149" s="852"/>
      <c r="Q149" s="199"/>
      <c r="R149" s="199"/>
      <c r="S149" s="199"/>
      <c r="T149" s="199"/>
      <c r="U149" s="199"/>
      <c r="V149" s="199"/>
      <c r="W149" s="199"/>
      <c r="X149" s="856">
        <f ca="1">+'Capex_FO input'!CN146</f>
        <v>0</v>
      </c>
      <c r="Y149" s="857">
        <f ca="1">+'Capex_FO input'!CO146</f>
        <v>0</v>
      </c>
      <c r="Z149" s="857">
        <f ca="1">+'Capex_FO input'!CP146</f>
        <v>0</v>
      </c>
      <c r="AA149" s="857">
        <f ca="1">+'Capex_FO input'!CQ146</f>
        <v>0</v>
      </c>
      <c r="AB149" s="858">
        <f ca="1">+'Capex_FO input'!CR146</f>
        <v>0</v>
      </c>
      <c r="AC149" s="856">
        <f ca="1">+'Capex_FO input'!CS146</f>
        <v>0</v>
      </c>
      <c r="AD149" s="857">
        <f ca="1">+'Capex_FO input'!CT146</f>
        <v>0</v>
      </c>
      <c r="AE149" s="857">
        <f ca="1">+'Capex_FO input'!CU146</f>
        <v>0</v>
      </c>
      <c r="AF149" s="857">
        <f ca="1">+'Capex_FO input'!CV146</f>
        <v>0</v>
      </c>
      <c r="AG149" s="858">
        <f ca="1">+'Capex_FO input'!CW146</f>
        <v>0</v>
      </c>
      <c r="AI149" s="128"/>
    </row>
    <row r="150" spans="3:35">
      <c r="C150" s="74"/>
      <c r="D150" s="74"/>
      <c r="E150" s="74"/>
      <c r="F150" s="74"/>
      <c r="G150" s="74"/>
      <c r="H150" s="74"/>
      <c r="I150" s="74"/>
      <c r="J150" s="74"/>
      <c r="K150" s="74"/>
      <c r="L150" s="74"/>
      <c r="M150" s="74"/>
      <c r="N150" s="74"/>
      <c r="O150" s="74"/>
      <c r="P150" s="74"/>
      <c r="Q150" s="74"/>
      <c r="R150" s="74"/>
      <c r="S150" s="74"/>
      <c r="T150" s="74"/>
      <c r="U150" s="74"/>
      <c r="V150" s="74"/>
      <c r="W150" s="74"/>
      <c r="X150" s="103"/>
      <c r="Y150" s="103"/>
      <c r="Z150" s="103"/>
      <c r="AA150" s="103"/>
      <c r="AB150" s="103"/>
      <c r="AC150" s="103"/>
      <c r="AD150" s="103"/>
      <c r="AE150" s="103"/>
      <c r="AF150" s="103"/>
      <c r="AG150" s="103"/>
    </row>
    <row r="151" spans="3:35">
      <c r="C151" s="74"/>
      <c r="D151" s="74"/>
      <c r="E151" s="74"/>
      <c r="F151" s="74"/>
      <c r="G151" s="74"/>
      <c r="H151" s="74"/>
      <c r="I151" s="74"/>
      <c r="J151" s="74"/>
      <c r="K151" s="74"/>
      <c r="L151" s="74"/>
      <c r="M151" s="74"/>
      <c r="N151" s="74"/>
      <c r="O151" s="74"/>
      <c r="P151" s="74"/>
      <c r="Q151" s="74"/>
      <c r="R151" s="74"/>
      <c r="S151" s="74"/>
      <c r="T151" s="74"/>
      <c r="U151" s="74"/>
      <c r="V151" s="74"/>
      <c r="W151" s="74"/>
      <c r="X151" s="103"/>
      <c r="Y151" s="103"/>
      <c r="Z151" s="103"/>
      <c r="AA151" s="103"/>
      <c r="AB151" s="103"/>
      <c r="AC151" s="103"/>
      <c r="AD151" s="103"/>
      <c r="AE151" s="103"/>
      <c r="AF151" s="103"/>
      <c r="AG151" s="103"/>
    </row>
    <row r="152" spans="3:35">
      <c r="C152" s="74"/>
      <c r="D152" s="74"/>
      <c r="E152" s="74"/>
      <c r="F152" s="74"/>
      <c r="G152" s="74"/>
      <c r="H152" s="74"/>
      <c r="I152" s="74"/>
      <c r="J152" s="74"/>
      <c r="K152" s="74"/>
      <c r="L152" s="74"/>
      <c r="M152" s="74"/>
      <c r="N152" s="74"/>
      <c r="O152" s="74"/>
      <c r="P152" s="74"/>
      <c r="Q152" s="74"/>
      <c r="R152" s="74"/>
      <c r="S152" s="74"/>
      <c r="T152" s="74"/>
      <c r="U152" s="74"/>
      <c r="V152" s="74"/>
      <c r="W152" s="74"/>
      <c r="X152" s="103"/>
      <c r="Y152" s="103"/>
      <c r="Z152" s="103"/>
      <c r="AA152" s="103"/>
      <c r="AB152" s="103"/>
      <c r="AC152" s="103"/>
      <c r="AD152" s="103"/>
      <c r="AE152" s="103"/>
      <c r="AF152" s="103"/>
      <c r="AG152" s="103"/>
    </row>
    <row r="153" spans="3:35">
      <c r="C153" s="74"/>
      <c r="D153" s="74"/>
      <c r="E153" s="74"/>
      <c r="F153" s="74"/>
      <c r="G153" s="74"/>
      <c r="H153" s="74"/>
      <c r="I153" s="74"/>
      <c r="J153" s="74"/>
      <c r="K153" s="74"/>
      <c r="L153" s="74"/>
      <c r="M153" s="74"/>
      <c r="N153" s="74"/>
      <c r="O153" s="74"/>
      <c r="P153" s="74"/>
      <c r="Q153" s="74"/>
      <c r="R153" s="74"/>
      <c r="S153" s="74"/>
      <c r="T153" s="74"/>
      <c r="U153" s="74"/>
      <c r="V153" s="74"/>
      <c r="W153" s="74"/>
      <c r="X153" s="103"/>
      <c r="Y153" s="103"/>
      <c r="Z153" s="103"/>
      <c r="AA153" s="103"/>
      <c r="AB153" s="103"/>
      <c r="AC153" s="103"/>
      <c r="AD153" s="103"/>
      <c r="AE153" s="103"/>
      <c r="AF153" s="103"/>
      <c r="AG153" s="103"/>
    </row>
    <row r="154" spans="3:35">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row>
    <row r="155" spans="3:35" ht="11.25" customHeight="1">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row>
    <row r="156" spans="3:35" ht="11.25" customHeight="1">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row>
    <row r="157" spans="3:35" ht="11.25" customHeight="1">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row>
    <row r="158" spans="3:35" ht="11.25" customHeight="1">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row>
    <row r="159" spans="3:35" ht="11.25" customHeight="1">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row>
    <row r="160" spans="3:35" ht="11.25" customHeight="1">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row>
    <row r="161" spans="3:31" ht="11.25" customHeight="1">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row>
    <row r="162" spans="3:31" ht="11.25" customHeight="1">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row>
    <row r="163" spans="3:31" ht="11.25" customHeight="1">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row>
    <row r="164" spans="3:31" ht="11.25" customHeight="1">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row>
    <row r="165" spans="3:31">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row>
    <row r="166" spans="3:31">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row>
    <row r="167" spans="3:31">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row>
    <row r="168" spans="3:31">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row>
    <row r="169" spans="3:31">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row>
    <row r="170" spans="3:31">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row>
    <row r="171" spans="3:31">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row>
    <row r="172" spans="3:31" ht="11.25" customHeight="1">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row>
    <row r="173" spans="3:31" ht="11.25" customHeight="1">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row>
    <row r="174" spans="3:31" ht="11.25" customHeight="1">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row>
    <row r="175" spans="3:31" ht="11.25" customHeight="1">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row>
    <row r="176" spans="3:31" ht="11.25" customHeight="1">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row>
    <row r="177" spans="3:31" ht="11.25" customHeight="1">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row>
    <row r="178" spans="3:31" ht="11.25" customHeight="1">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row>
    <row r="179" spans="3:31" ht="11.25" customHeight="1">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row>
    <row r="180" spans="3:31" ht="11.25" customHeight="1">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row>
    <row r="181" spans="3:31" ht="11.25" customHeight="1">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row>
    <row r="182" spans="3:31">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row>
    <row r="183" spans="3:31">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row>
    <row r="184" spans="3:31">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row>
    <row r="185" spans="3:31">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row>
    <row r="186" spans="3:31">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row>
    <row r="187" spans="3:31">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row>
    <row r="188" spans="3:31">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row>
    <row r="189" spans="3:31" ht="11.25" customHeight="1">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row>
    <row r="190" spans="3:31" ht="11.25" customHeight="1">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row>
    <row r="191" spans="3:31" ht="11.25" customHeight="1">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row>
    <row r="192" spans="3:31" ht="11.25" customHeight="1">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3" spans="3:31" ht="11.25" customHeight="1">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row>
    <row r="194" spans="3:31" ht="11.25" customHeight="1">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row>
    <row r="195" spans="3:31" ht="11.25" customHeight="1">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row>
    <row r="196" spans="3:31" ht="11.25" customHeight="1">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row>
    <row r="197" spans="3:31" ht="11.25" customHeight="1">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row>
    <row r="198" spans="3:31" ht="11.25" customHeight="1">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row>
    <row r="199" spans="3:31">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row>
    <row r="200" spans="3:31">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row>
    <row r="201" spans="3:31">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row>
    <row r="202" spans="3:31">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row>
    <row r="203" spans="3:31">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row>
    <row r="204" spans="3:31">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row>
    <row r="205" spans="3:31">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row>
    <row r="206" spans="3:31" ht="11.25" customHeight="1">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row>
    <row r="207" spans="3:31" ht="11.25" customHeight="1">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row>
    <row r="208" spans="3:31" ht="11.25" customHeight="1">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row>
    <row r="209" spans="3:31" ht="11.25" customHeight="1">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row>
    <row r="210" spans="3:31" ht="11.25" customHeight="1">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row>
    <row r="211" spans="3:31" ht="11.25" customHeight="1">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row>
    <row r="212" spans="3:31" ht="11.25" customHeight="1">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row>
    <row r="213" spans="3:31" ht="11.25" customHeight="1">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row>
    <row r="214" spans="3:31" ht="11.25" customHeight="1">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row>
    <row r="215" spans="3:31" ht="11.25" customHeight="1">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row>
    <row r="216" spans="3:31">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row>
    <row r="217" spans="3:31">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row>
    <row r="218" spans="3:31">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row>
    <row r="219" spans="3:31">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row>
    <row r="220" spans="3:31">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row>
    <row r="221" spans="3:31">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row>
    <row r="222" spans="3:31">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row>
    <row r="223" spans="3:31" ht="11.25" customHeight="1">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row>
    <row r="224" spans="3:31" ht="11.25" customHeight="1">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row>
    <row r="225" spans="3:31" ht="11.25" customHeight="1">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row>
    <row r="226" spans="3:31" ht="11.25" customHeight="1">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row>
    <row r="227" spans="3:31" ht="11.25" customHeight="1">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row>
    <row r="228" spans="3:31" ht="11.25" customHeight="1">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row>
    <row r="229" spans="3:31" ht="11.25" customHeight="1">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row>
    <row r="230" spans="3:31" ht="11.25" customHeight="1">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row>
    <row r="231" spans="3:31" ht="11.25" customHeight="1">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row>
    <row r="232" spans="3:31" ht="11.25" customHeight="1">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row>
    <row r="233" spans="3:31">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row>
    <row r="234" spans="3:31">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row>
    <row r="235" spans="3:31">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row>
    <row r="236" spans="3:31">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row>
    <row r="237" spans="3:31">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row>
    <row r="238" spans="3:31">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row>
    <row r="239" spans="3:31">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row>
    <row r="240" spans="3:31" ht="11.25" customHeight="1">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row>
    <row r="241" spans="3:31" ht="11.25" customHeight="1">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row>
    <row r="242" spans="3:31" ht="11.25" customHeight="1">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row>
    <row r="243" spans="3:31" ht="11.25" customHeight="1">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row>
    <row r="244" spans="3:31" ht="11.25" customHeight="1">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row>
    <row r="245" spans="3:31" ht="11.25" customHeight="1">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row>
    <row r="246" spans="3:31" ht="11.25" customHeight="1">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row>
    <row r="247" spans="3:31" ht="11.25" customHeight="1">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row>
    <row r="248" spans="3:31" ht="11.25" customHeight="1">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row>
    <row r="249" spans="3:31" ht="11.25" customHeight="1">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row>
    <row r="250" spans="3:31">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row>
    <row r="251" spans="3:31">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row>
    <row r="252" spans="3:31">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row>
    <row r="253" spans="3:31">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row>
    <row r="254" spans="3:31">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row>
    <row r="255" spans="3:31">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row>
    <row r="256" spans="3:31">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row>
    <row r="257" spans="3:31" ht="11.25" customHeight="1">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row>
    <row r="258" spans="3:31" ht="11.25" customHeight="1">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row>
    <row r="259" spans="3:31" ht="11.25" customHeight="1">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row>
    <row r="260" spans="3:31" ht="11.25" customHeight="1">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row>
    <row r="261" spans="3:31" ht="11.25" customHeight="1">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row>
    <row r="262" spans="3:31" ht="11.25" customHeight="1">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row>
    <row r="263" spans="3:31" ht="11.25" customHeight="1">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row>
    <row r="264" spans="3:31" ht="11.25" customHeight="1">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row>
    <row r="265" spans="3:31" ht="11.25" customHeight="1">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row>
    <row r="266" spans="3:31" ht="11.25" customHeight="1">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row>
    <row r="267" spans="3:31">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row>
    <row r="268" spans="3:31">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row>
    <row r="269" spans="3:31">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row>
    <row r="270" spans="3:31">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row>
    <row r="271" spans="3:31">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row>
    <row r="272" spans="3:31">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row>
    <row r="273" spans="3:31">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row>
    <row r="274" spans="3:31" ht="11.25" customHeight="1">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row>
    <row r="275" spans="3:31" ht="11.25" customHeight="1">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row>
    <row r="276" spans="3:31" ht="11.25" customHeight="1">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row>
    <row r="277" spans="3:31" ht="11.25" customHeight="1">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row>
    <row r="278" spans="3:31" ht="11.25" customHeight="1">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row>
    <row r="279" spans="3:31" ht="11.25" customHeight="1">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row>
    <row r="280" spans="3:31" ht="11.25" customHeight="1">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row>
    <row r="281" spans="3:31" ht="11.25" customHeight="1">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row>
    <row r="282" spans="3:31" ht="11.25" customHeight="1">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row>
    <row r="283" spans="3:31" ht="11.25" customHeight="1">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row>
    <row r="284" spans="3:31">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row>
    <row r="285" spans="3:31">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row>
    <row r="286" spans="3:31">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row>
    <row r="287" spans="3:31">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row>
    <row r="288" spans="3:31">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row>
    <row r="289" spans="3:31">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row>
    <row r="290" spans="3:31">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row>
    <row r="291" spans="3:31">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row>
    <row r="292" spans="3:31">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row>
    <row r="293" spans="3:31">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row>
    <row r="294" spans="3:31">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row>
    <row r="295" spans="3:31">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row>
    <row r="296" spans="3:31">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row>
    <row r="297" spans="3:31">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row>
    <row r="298" spans="3:31">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row>
    <row r="299" spans="3:31">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row>
    <row r="300" spans="3:31">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row>
    <row r="301" spans="3:31">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row>
    <row r="302" spans="3:31">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row>
    <row r="303" spans="3:31">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row>
    <row r="304" spans="3:31">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row>
    <row r="305" spans="3:31">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row>
    <row r="306" spans="3:31">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row>
    <row r="307" spans="3:31">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row>
    <row r="308" spans="3:31">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row>
    <row r="309" spans="3:31">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row>
    <row r="310" spans="3:31">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row>
    <row r="311" spans="3:31">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row>
    <row r="312" spans="3:31">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row>
    <row r="313" spans="3:31">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row>
    <row r="314" spans="3:31">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row>
    <row r="315" spans="3:31">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row>
    <row r="316" spans="3:31">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row>
    <row r="317" spans="3:31">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row>
    <row r="318" spans="3:31">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row>
    <row r="319" spans="3:31">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row>
    <row r="320" spans="3:31">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row>
    <row r="321" spans="3:31">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row>
    <row r="322" spans="3:31">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row>
    <row r="323" spans="3:31">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row>
    <row r="324" spans="3:31">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row>
    <row r="325" spans="3:31">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row>
    <row r="326" spans="3:31">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row>
    <row r="327" spans="3:31">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row>
    <row r="328" spans="3:31">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row>
    <row r="329" spans="3:31">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row>
    <row r="330" spans="3:31">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row>
    <row r="331" spans="3:31">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row>
    <row r="332" spans="3:31">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row>
    <row r="333" spans="3:31">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row>
    <row r="334" spans="3:31">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row>
    <row r="335" spans="3:31">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row>
    <row r="336" spans="3:31">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row>
    <row r="337" spans="3:31">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row>
    <row r="338" spans="3:31">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row>
    <row r="339" spans="3:31">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row>
    <row r="340" spans="3:31">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row>
    <row r="341" spans="3:31">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row>
    <row r="342" spans="3:31">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row>
    <row r="343" spans="3:31">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row>
    <row r="344" spans="3:31">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row>
    <row r="345" spans="3:31">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row>
    <row r="346" spans="3:31">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row>
    <row r="347" spans="3:31">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row>
    <row r="348" spans="3:31">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row>
    <row r="349" spans="3:31">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row>
    <row r="350" spans="3:31">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row>
    <row r="351" spans="3:31">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row>
    <row r="352" spans="3:31">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row>
    <row r="353" spans="3:31">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row>
    <row r="354" spans="3:31">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row>
    <row r="355" spans="3:31">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row>
    <row r="356" spans="3:31">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row>
    <row r="357" spans="3:31">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row>
    <row r="358" spans="3:31">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row>
  </sheetData>
  <sheetProtection algorithmName="SHA-512" hashValue="Ts2gSe2kN4sxKPGwEwerStpzWrF2JCoKX7WSqJJOHzrWjdGIgD4S2BS55tIe1nslGGCPkIGi3Au/UudGSsyvvA==" saltValue="WkiuRfCOiocRIXJL9koABQ==" spinCount="100000" sheet="1" objects="1" scenarios="1"/>
  <mergeCells count="104">
    <mergeCell ref="D58:H58"/>
    <mergeCell ref="D56:H56"/>
    <mergeCell ref="D57:H57"/>
    <mergeCell ref="D147:H147"/>
    <mergeCell ref="D148:H148"/>
    <mergeCell ref="D149:H149"/>
    <mergeCell ref="D135:H135"/>
    <mergeCell ref="D136:H136"/>
    <mergeCell ref="D137:H137"/>
    <mergeCell ref="D138:H138"/>
    <mergeCell ref="D139:H139"/>
    <mergeCell ref="D140:H140"/>
    <mergeCell ref="D143:H143"/>
    <mergeCell ref="D144:H144"/>
    <mergeCell ref="D145:H145"/>
    <mergeCell ref="D146:H146"/>
    <mergeCell ref="D141:H141"/>
    <mergeCell ref="D142:H142"/>
    <mergeCell ref="D132:H132"/>
    <mergeCell ref="D133:H133"/>
    <mergeCell ref="D134:H134"/>
    <mergeCell ref="D129:H129"/>
    <mergeCell ref="D130:H130"/>
    <mergeCell ref="D119:H119"/>
    <mergeCell ref="D120:H120"/>
    <mergeCell ref="D121:H121"/>
    <mergeCell ref="D122:H122"/>
    <mergeCell ref="D123:H123"/>
    <mergeCell ref="D124:H124"/>
    <mergeCell ref="D125:H125"/>
    <mergeCell ref="D126:H126"/>
    <mergeCell ref="D127:H127"/>
    <mergeCell ref="D128:H128"/>
    <mergeCell ref="D131:H131"/>
    <mergeCell ref="D113:H113"/>
    <mergeCell ref="D114:H114"/>
    <mergeCell ref="D115:H115"/>
    <mergeCell ref="D116:H116"/>
    <mergeCell ref="D117:H117"/>
    <mergeCell ref="D118:H118"/>
    <mergeCell ref="D80:H80"/>
    <mergeCell ref="D60:H60"/>
    <mergeCell ref="D61:H61"/>
    <mergeCell ref="D62:H62"/>
    <mergeCell ref="D92:H92"/>
    <mergeCell ref="D93:H93"/>
    <mergeCell ref="D94:H94"/>
    <mergeCell ref="D86:H86"/>
    <mergeCell ref="D81:H81"/>
    <mergeCell ref="D82:H82"/>
    <mergeCell ref="D111:H111"/>
    <mergeCell ref="D112:H112"/>
    <mergeCell ref="D71:H71"/>
    <mergeCell ref="D72:H72"/>
    <mergeCell ref="D73:H73"/>
    <mergeCell ref="D74:H74"/>
    <mergeCell ref="D75:H75"/>
    <mergeCell ref="D109:H109"/>
    <mergeCell ref="D110:H110"/>
    <mergeCell ref="D105:H105"/>
    <mergeCell ref="D106:H106"/>
    <mergeCell ref="D95:H95"/>
    <mergeCell ref="D96:H96"/>
    <mergeCell ref="D97:H97"/>
    <mergeCell ref="D98:H98"/>
    <mergeCell ref="D107:H107"/>
    <mergeCell ref="D108:H108"/>
    <mergeCell ref="D69:H69"/>
    <mergeCell ref="D70:H70"/>
    <mergeCell ref="D99:H99"/>
    <mergeCell ref="D100:H100"/>
    <mergeCell ref="D101:H101"/>
    <mergeCell ref="D102:H102"/>
    <mergeCell ref="D103:H103"/>
    <mergeCell ref="D104:H104"/>
    <mergeCell ref="D87:H87"/>
    <mergeCell ref="D89:H89"/>
    <mergeCell ref="D90:H90"/>
    <mergeCell ref="D91:H91"/>
    <mergeCell ref="D88:H88"/>
    <mergeCell ref="B3:F3"/>
    <mergeCell ref="D55:H55"/>
    <mergeCell ref="D83:H83"/>
    <mergeCell ref="D84:H84"/>
    <mergeCell ref="D85:H85"/>
    <mergeCell ref="D46:H46"/>
    <mergeCell ref="D47:H47"/>
    <mergeCell ref="D48:H48"/>
    <mergeCell ref="D49:H49"/>
    <mergeCell ref="D50:H50"/>
    <mergeCell ref="D51:H51"/>
    <mergeCell ref="D52:H52"/>
    <mergeCell ref="D53:H53"/>
    <mergeCell ref="D54:H54"/>
    <mergeCell ref="D63:H63"/>
    <mergeCell ref="D64:H64"/>
    <mergeCell ref="D65:H65"/>
    <mergeCell ref="D66:H66"/>
    <mergeCell ref="D67:H67"/>
    <mergeCell ref="D68:H68"/>
    <mergeCell ref="D76:H76"/>
    <mergeCell ref="D77:H77"/>
    <mergeCell ref="D78:H78"/>
    <mergeCell ref="D79:H79"/>
  </mergeCells>
  <phoneticPr fontId="0" type="noConversion"/>
  <hyperlinks>
    <hyperlink ref="B3" location="HL_Home" tooltip="Go to Table of Contents" display="HL_Home" xr:uid="{00000000-0004-0000-0E00-000000000000}"/>
  </hyperlinks>
  <pageMargins left="0.39370078740157499" right="0.39370078740157499" top="0.59055118110236249" bottom="0.98425196850393748" header="0" footer="0.31496062992125973"/>
  <pageSetup paperSize="9" scale="66" orientation="landscape" r:id="rId1"/>
  <headerFooter alignWithMargins="0">
    <oddHeader>&amp;C&amp;"Calibri"&amp;12&amp;KFF0000 OFFICIAL&amp;1#_x000D_&amp;"Arial"&amp;8&amp;K000000&amp;B&amp;"Arial"&amp;12&amp;Kff0000​‌OFFICIAL‌​</oddHeader>
    <oddFooter>&amp;C&amp;"Arial,Bold"&amp;8Sheet b.
Page &amp;P of &amp;N&amp;L&amp;"Arial,Bold"&amp;7&amp;F
&amp;A
Printed: &amp;T on &amp;D</oddFooter>
  </headerFooter>
  <rowBreaks count="2" manualBreakCount="2">
    <brk id="80" min="1" max="23" man="1"/>
    <brk id="182" min="1" max="2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8">
    <pageSetUpPr autoPageBreaks="0"/>
  </sheetPr>
  <dimension ref="A1:AI315"/>
  <sheetViews>
    <sheetView showGridLines="0" zoomScaleNormal="100" workbookViewId="0">
      <pane xSplit="10" ySplit="7" topLeftCell="P8" activePane="bottomRight" state="frozen"/>
      <selection activeCell="R43" sqref="R43"/>
      <selection pane="topRight" activeCell="R43" sqref="R43"/>
      <selection pane="bottomLeft" activeCell="R43" sqref="R43"/>
      <selection pane="bottomRight" activeCell="AB295" sqref="AB295"/>
    </sheetView>
  </sheetViews>
  <sheetFormatPr defaultColWidth="10.83203125" defaultRowHeight="12" outlineLevelCol="1"/>
  <cols>
    <col min="1" max="4" width="3.83203125" style="70" customWidth="1"/>
    <col min="5" max="5" width="47" style="70" customWidth="1"/>
    <col min="6" max="6" width="12.5" style="70" customWidth="1"/>
    <col min="7" max="7" width="3.83203125" style="70" customWidth="1"/>
    <col min="8" max="8" width="13" style="70" customWidth="1"/>
    <col min="9" max="9" width="3.83203125" style="74" customWidth="1"/>
    <col min="10" max="10" width="12.6640625" style="70" customWidth="1"/>
    <col min="11" max="14" width="11.83203125" style="70" hidden="1" customWidth="1" outlineLevel="1"/>
    <col min="15" max="15" width="11.83203125" style="70" customWidth="1" collapsed="1"/>
    <col min="16" max="28" width="11.83203125" style="70" customWidth="1"/>
    <col min="29" max="29" width="11.5" style="70" bestFit="1" customWidth="1"/>
    <col min="30" max="30" width="10.33203125" style="70" customWidth="1"/>
    <col min="31" max="33" width="10.83203125" style="70"/>
    <col min="34" max="34" width="5.33203125" style="70" customWidth="1"/>
    <col min="35" max="16384" width="10.83203125" style="70"/>
  </cols>
  <sheetData>
    <row r="1" spans="1:35" ht="15">
      <c r="A1" s="152">
        <v>80</v>
      </c>
      <c r="B1" s="153" t="s">
        <v>121</v>
      </c>
      <c r="I1" s="70"/>
      <c r="S1" s="905"/>
      <c r="T1" s="905"/>
      <c r="U1" s="905"/>
      <c r="V1" s="232"/>
      <c r="W1" s="232"/>
      <c r="X1" s="232"/>
      <c r="AB1" s="74"/>
      <c r="AC1" s="74"/>
      <c r="AD1" s="74"/>
      <c r="AE1" s="74"/>
      <c r="AF1" s="74"/>
      <c r="AG1" s="74"/>
      <c r="AH1" s="74"/>
      <c r="AI1" s="74"/>
    </row>
    <row r="2" spans="1:35" ht="12.75">
      <c r="B2" s="155" t="str">
        <f>+Contents!H7</f>
        <v>North East Water</v>
      </c>
      <c r="K2" s="905"/>
      <c r="L2" s="905"/>
      <c r="M2" s="905"/>
      <c r="N2" s="905"/>
      <c r="O2" s="905"/>
      <c r="P2" s="905"/>
      <c r="Q2" s="905"/>
      <c r="R2" s="905"/>
      <c r="AB2" s="74"/>
      <c r="AC2" s="74"/>
      <c r="AD2" s="74"/>
      <c r="AE2" s="74"/>
      <c r="AF2" s="74"/>
      <c r="AG2" s="74"/>
      <c r="AH2" s="74"/>
      <c r="AI2" s="74"/>
    </row>
    <row r="3" spans="1:35">
      <c r="B3" s="2212" t="s">
        <v>0</v>
      </c>
      <c r="C3" s="2212"/>
      <c r="D3" s="2212"/>
      <c r="E3" s="2212"/>
      <c r="F3" s="2212"/>
      <c r="G3" s="71"/>
      <c r="K3" s="905"/>
      <c r="L3" s="905"/>
      <c r="M3" s="905"/>
      <c r="N3" s="905"/>
      <c r="O3" s="905"/>
      <c r="P3" s="905"/>
      <c r="Q3" s="905"/>
      <c r="R3" s="905"/>
    </row>
    <row r="4" spans="1:35">
      <c r="A4" s="160"/>
      <c r="B4" s="72"/>
      <c r="C4" s="73"/>
      <c r="F4" s="60"/>
      <c r="J4" s="74"/>
      <c r="K4" s="63"/>
      <c r="L4" s="149"/>
      <c r="M4" s="149" t="s">
        <v>274</v>
      </c>
      <c r="N4" s="149"/>
      <c r="O4" s="149"/>
      <c r="P4" s="1619"/>
      <c r="Q4" s="150"/>
      <c r="R4" s="150"/>
      <c r="S4" s="150"/>
      <c r="T4" s="1619" t="s">
        <v>334</v>
      </c>
      <c r="U4" s="150"/>
      <c r="V4" s="150"/>
      <c r="W4" s="150"/>
      <c r="X4" s="1619"/>
      <c r="Y4" s="150"/>
      <c r="Z4" s="150" t="s">
        <v>465</v>
      </c>
      <c r="AA4" s="150"/>
      <c r="AB4" s="62"/>
      <c r="AC4" s="64"/>
      <c r="AD4" s="64"/>
      <c r="AE4" s="150" t="s">
        <v>949</v>
      </c>
      <c r="AF4" s="63"/>
      <c r="AG4" s="62"/>
    </row>
    <row r="5" spans="1:35">
      <c r="I5" s="70"/>
    </row>
    <row r="6" spans="1:35">
      <c r="B6" s="161"/>
      <c r="F6" s="162" t="s">
        <v>62</v>
      </c>
      <c r="I6" s="66">
        <v>2014</v>
      </c>
      <c r="J6" s="66">
        <v>2015</v>
      </c>
      <c r="K6" s="66">
        <v>2016</v>
      </c>
      <c r="L6" s="66">
        <v>2017</v>
      </c>
      <c r="M6" s="66">
        <v>2018</v>
      </c>
      <c r="N6" s="66">
        <v>2019</v>
      </c>
      <c r="O6" s="66">
        <v>2020</v>
      </c>
      <c r="P6" s="66">
        <v>2021</v>
      </c>
      <c r="Q6" s="66">
        <v>2022</v>
      </c>
      <c r="R6" s="66">
        <v>2023</v>
      </c>
      <c r="S6" s="67">
        <v>2024</v>
      </c>
      <c r="T6" s="67">
        <v>2025</v>
      </c>
      <c r="U6" s="67">
        <v>2026</v>
      </c>
      <c r="V6" s="67">
        <v>2027</v>
      </c>
      <c r="W6" s="67">
        <v>2028</v>
      </c>
      <c r="X6" s="67">
        <f>W6+1</f>
        <v>2029</v>
      </c>
      <c r="Y6" s="67">
        <f>X6+1</f>
        <v>2030</v>
      </c>
      <c r="Z6" s="67">
        <f t="shared" ref="Z6:AG6" si="0">Y6+1</f>
        <v>2031</v>
      </c>
      <c r="AA6" s="67">
        <f t="shared" si="0"/>
        <v>2032</v>
      </c>
      <c r="AB6" s="67">
        <f t="shared" si="0"/>
        <v>2033</v>
      </c>
      <c r="AC6" s="67">
        <f t="shared" si="0"/>
        <v>2034</v>
      </c>
      <c r="AD6" s="67">
        <f t="shared" si="0"/>
        <v>2035</v>
      </c>
      <c r="AE6" s="67">
        <f t="shared" si="0"/>
        <v>2036</v>
      </c>
      <c r="AF6" s="67">
        <f t="shared" si="0"/>
        <v>2037</v>
      </c>
      <c r="AG6" s="67">
        <f t="shared" si="0"/>
        <v>2038</v>
      </c>
    </row>
    <row r="7" spans="1:35">
      <c r="A7" s="75"/>
      <c r="B7" s="164"/>
      <c r="C7" s="75"/>
      <c r="D7" s="75"/>
      <c r="E7" s="75"/>
      <c r="F7" s="165" t="s">
        <v>63</v>
      </c>
      <c r="G7" s="75"/>
      <c r="H7" s="75"/>
      <c r="I7" s="70"/>
      <c r="K7" s="342" t="str">
        <f t="shared" ref="K7:X7" si="1">+CONCATENATE(I6-1,"-",RIGHT(I6,2))</f>
        <v>2013-14</v>
      </c>
      <c r="L7" s="342" t="str">
        <f t="shared" si="1"/>
        <v>2014-15</v>
      </c>
      <c r="M7" s="342" t="str">
        <f t="shared" si="1"/>
        <v>2015-16</v>
      </c>
      <c r="N7" s="342" t="str">
        <f t="shared" si="1"/>
        <v>2016-17</v>
      </c>
      <c r="O7" s="342" t="str">
        <f t="shared" si="1"/>
        <v>2017-18</v>
      </c>
      <c r="P7" s="342" t="str">
        <f t="shared" si="1"/>
        <v>2018-19</v>
      </c>
      <c r="Q7" s="342" t="str">
        <f t="shared" si="1"/>
        <v>2019-20</v>
      </c>
      <c r="R7" s="342" t="str">
        <f t="shared" si="1"/>
        <v>2020-21</v>
      </c>
      <c r="S7" s="342" t="str">
        <f t="shared" si="1"/>
        <v>2021-22</v>
      </c>
      <c r="T7" s="342" t="str">
        <f t="shared" si="1"/>
        <v>2022-23</v>
      </c>
      <c r="U7" s="342" t="str">
        <f t="shared" si="1"/>
        <v>2023-24</v>
      </c>
      <c r="V7" s="342" t="str">
        <f t="shared" si="1"/>
        <v>2024-25</v>
      </c>
      <c r="W7" s="342" t="str">
        <f t="shared" si="1"/>
        <v>2025-26</v>
      </c>
      <c r="X7" s="2129" t="str">
        <f t="shared" si="1"/>
        <v>2026-27</v>
      </c>
      <c r="Y7" s="342" t="str">
        <f t="shared" ref="Y7:AG7" si="2">+CONCATENATE(W6-1,"-",RIGHT(W6,2))</f>
        <v>2027-28</v>
      </c>
      <c r="Z7" s="342" t="str">
        <f t="shared" si="2"/>
        <v>2028-29</v>
      </c>
      <c r="AA7" s="342" t="str">
        <f t="shared" si="2"/>
        <v>2029-30</v>
      </c>
      <c r="AB7" s="342" t="str">
        <f t="shared" si="2"/>
        <v>2030-31</v>
      </c>
      <c r="AC7" s="342" t="str">
        <f t="shared" si="2"/>
        <v>2031-32</v>
      </c>
      <c r="AD7" s="342" t="str">
        <f t="shared" si="2"/>
        <v>2032-33</v>
      </c>
      <c r="AE7" s="342" t="str">
        <f t="shared" si="2"/>
        <v>2033-34</v>
      </c>
      <c r="AF7" s="342" t="str">
        <f t="shared" si="2"/>
        <v>2034-35</v>
      </c>
      <c r="AG7" s="342" t="str">
        <f t="shared" si="2"/>
        <v>2035-36</v>
      </c>
    </row>
    <row r="8" spans="1:35" ht="12.75" thickBot="1">
      <c r="K8" s="905"/>
      <c r="L8" s="905"/>
      <c r="M8" s="905"/>
      <c r="N8" s="905"/>
      <c r="O8" s="905"/>
      <c r="P8" s="905"/>
      <c r="Q8" s="905"/>
      <c r="R8" s="905"/>
    </row>
    <row r="9" spans="1:35">
      <c r="C9" s="906"/>
      <c r="D9" s="167"/>
      <c r="E9" s="167"/>
      <c r="F9" s="167"/>
      <c r="G9" s="167"/>
      <c r="H9" s="167"/>
      <c r="I9" s="292"/>
      <c r="J9" s="167"/>
      <c r="K9" s="167"/>
      <c r="L9" s="167"/>
      <c r="M9" s="167"/>
      <c r="N9" s="167"/>
      <c r="O9" s="167"/>
      <c r="P9" s="167"/>
      <c r="Q9" s="167"/>
      <c r="R9" s="167"/>
      <c r="S9" s="167"/>
      <c r="T9" s="167"/>
      <c r="U9" s="167"/>
      <c r="V9" s="167"/>
      <c r="W9" s="167"/>
      <c r="X9" s="167"/>
      <c r="Y9" s="167"/>
      <c r="Z9" s="167"/>
      <c r="AA9" s="167"/>
      <c r="AB9" s="167"/>
      <c r="AC9" s="167"/>
      <c r="AD9" s="167"/>
      <c r="AE9" s="167"/>
      <c r="AF9" s="167"/>
      <c r="AG9" s="167"/>
      <c r="AH9" s="168"/>
    </row>
    <row r="10" spans="1:35">
      <c r="C10" s="169"/>
      <c r="D10" s="879" t="s">
        <v>222</v>
      </c>
      <c r="AH10" s="171"/>
    </row>
    <row r="11" spans="1:35">
      <c r="C11" s="169"/>
      <c r="D11" s="879"/>
      <c r="AH11" s="171"/>
    </row>
    <row r="12" spans="1:35">
      <c r="C12" s="169"/>
      <c r="D12" s="1974" t="s">
        <v>228</v>
      </c>
      <c r="E12" s="1974"/>
      <c r="F12" s="1974"/>
      <c r="G12" s="1974"/>
      <c r="H12" s="1974"/>
      <c r="I12" s="1974"/>
      <c r="J12" s="1974"/>
      <c r="K12" s="1974"/>
      <c r="L12" s="1974"/>
      <c r="M12" s="1974"/>
      <c r="N12" s="1974"/>
      <c r="O12" s="1974"/>
      <c r="P12" s="1974"/>
      <c r="Q12" s="1974"/>
      <c r="R12" s="1974"/>
      <c r="S12" s="1974"/>
      <c r="AH12" s="171"/>
    </row>
    <row r="13" spans="1:35">
      <c r="C13" s="169"/>
      <c r="D13" s="1974" t="s">
        <v>223</v>
      </c>
      <c r="E13" s="1974"/>
      <c r="F13" s="1974"/>
      <c r="G13" s="1974"/>
      <c r="H13" s="1974"/>
      <c r="I13" s="1974"/>
      <c r="J13" s="1974"/>
      <c r="K13" s="1974"/>
      <c r="L13" s="1974"/>
      <c r="M13" s="1974"/>
      <c r="N13" s="1974"/>
      <c r="O13" s="1974"/>
      <c r="P13" s="1974"/>
      <c r="Q13" s="1974"/>
      <c r="R13" s="1974"/>
      <c r="S13" s="1974"/>
      <c r="AH13" s="171"/>
    </row>
    <row r="14" spans="1:35">
      <c r="C14" s="169"/>
      <c r="AH14" s="171"/>
    </row>
    <row r="15" spans="1:35">
      <c r="C15" s="907">
        <v>1</v>
      </c>
      <c r="D15" s="104" t="s">
        <v>227</v>
      </c>
      <c r="K15" s="232"/>
      <c r="L15" s="232"/>
      <c r="M15" s="232"/>
      <c r="AH15" s="171"/>
    </row>
    <row r="16" spans="1:35">
      <c r="C16" s="169"/>
      <c r="E16" s="2295" t="s">
        <v>361</v>
      </c>
      <c r="F16" s="2296"/>
      <c r="G16" s="2296"/>
      <c r="H16" s="2296"/>
      <c r="I16" s="2297"/>
      <c r="J16" s="448"/>
      <c r="K16" s="946"/>
      <c r="L16" s="946"/>
      <c r="M16" s="946"/>
      <c r="N16" s="947"/>
      <c r="O16" s="428"/>
      <c r="P16" s="428"/>
      <c r="Q16" s="429"/>
      <c r="R16" s="429"/>
      <c r="S16" s="429"/>
      <c r="T16" s="429"/>
      <c r="U16" s="429"/>
      <c r="V16" s="429"/>
      <c r="W16" s="430"/>
      <c r="X16" s="429"/>
      <c r="Y16" s="429"/>
      <c r="Z16" s="429"/>
      <c r="AA16" s="429"/>
      <c r="AB16" s="430"/>
      <c r="AC16" s="429"/>
      <c r="AD16" s="429"/>
      <c r="AE16" s="429"/>
      <c r="AF16" s="429"/>
      <c r="AG16" s="430"/>
      <c r="AH16" s="171"/>
    </row>
    <row r="17" spans="3:34">
      <c r="C17" s="169"/>
      <c r="E17" s="2298" t="s">
        <v>362</v>
      </c>
      <c r="F17" s="2299"/>
      <c r="G17" s="2299"/>
      <c r="H17" s="2299"/>
      <c r="I17" s="2300"/>
      <c r="J17" s="448"/>
      <c r="K17" s="946"/>
      <c r="L17" s="946"/>
      <c r="M17" s="946"/>
      <c r="N17" s="947"/>
      <c r="O17" s="431"/>
      <c r="P17" s="431"/>
      <c r="Q17" s="432"/>
      <c r="R17" s="432"/>
      <c r="S17" s="432"/>
      <c r="T17" s="432"/>
      <c r="U17" s="432"/>
      <c r="V17" s="432"/>
      <c r="W17" s="433"/>
      <c r="X17" s="432"/>
      <c r="Y17" s="432"/>
      <c r="Z17" s="432"/>
      <c r="AA17" s="432"/>
      <c r="AB17" s="433"/>
      <c r="AC17" s="432"/>
      <c r="AD17" s="432"/>
      <c r="AE17" s="432"/>
      <c r="AF17" s="432"/>
      <c r="AG17" s="433"/>
      <c r="AH17" s="171"/>
    </row>
    <row r="18" spans="3:34">
      <c r="C18" s="169"/>
      <c r="E18" s="2298" t="s">
        <v>363</v>
      </c>
      <c r="F18" s="2299"/>
      <c r="G18" s="2299"/>
      <c r="H18" s="2299"/>
      <c r="I18" s="2300"/>
      <c r="J18" s="448"/>
      <c r="K18" s="946"/>
      <c r="L18" s="946"/>
      <c r="M18" s="946"/>
      <c r="N18" s="947"/>
      <c r="O18" s="431"/>
      <c r="P18" s="431"/>
      <c r="Q18" s="432"/>
      <c r="R18" s="432"/>
      <c r="S18" s="432"/>
      <c r="T18" s="432"/>
      <c r="U18" s="432"/>
      <c r="V18" s="432"/>
      <c r="W18" s="433"/>
      <c r="X18" s="432"/>
      <c r="Y18" s="432"/>
      <c r="Z18" s="432"/>
      <c r="AA18" s="432"/>
      <c r="AB18" s="433"/>
      <c r="AC18" s="432"/>
      <c r="AD18" s="432"/>
      <c r="AE18" s="432"/>
      <c r="AF18" s="432"/>
      <c r="AG18" s="433"/>
      <c r="AH18" s="171"/>
    </row>
    <row r="19" spans="3:34">
      <c r="C19" s="169"/>
      <c r="E19" s="2301" t="s">
        <v>364</v>
      </c>
      <c r="F19" s="2302"/>
      <c r="G19" s="2302"/>
      <c r="H19" s="2302"/>
      <c r="I19" s="2303"/>
      <c r="J19" s="448"/>
      <c r="K19" s="946"/>
      <c r="L19" s="946"/>
      <c r="M19" s="946"/>
      <c r="N19" s="947"/>
      <c r="O19" s="434"/>
      <c r="P19" s="434"/>
      <c r="Q19" s="435"/>
      <c r="R19" s="435"/>
      <c r="S19" s="435"/>
      <c r="T19" s="435"/>
      <c r="U19" s="435"/>
      <c r="V19" s="435"/>
      <c r="W19" s="436"/>
      <c r="X19" s="435"/>
      <c r="Y19" s="435"/>
      <c r="Z19" s="435"/>
      <c r="AA19" s="435"/>
      <c r="AB19" s="436"/>
      <c r="AC19" s="435"/>
      <c r="AD19" s="435"/>
      <c r="AE19" s="435"/>
      <c r="AF19" s="435"/>
      <c r="AG19" s="436"/>
      <c r="AH19" s="171"/>
    </row>
    <row r="20" spans="3:34">
      <c r="C20" s="169"/>
      <c r="D20" s="104" t="str">
        <f>+CONCATENATE("Total ",LOWER(D15))</f>
        <v>Total revenue adjustments</v>
      </c>
      <c r="K20" s="908"/>
      <c r="L20" s="908"/>
      <c r="M20" s="908"/>
      <c r="N20" s="74"/>
      <c r="O20" s="289">
        <f>+SUM(O16:O19)</f>
        <v>0</v>
      </c>
      <c r="P20" s="289">
        <f>+SUM(P16:P19)</f>
        <v>0</v>
      </c>
      <c r="Q20" s="289">
        <f>+SUM(Q16:Q19)</f>
        <v>0</v>
      </c>
      <c r="R20" s="289">
        <f t="shared" ref="R20:W20" si="3">+SUM(R16:R19)</f>
        <v>0</v>
      </c>
      <c r="S20" s="289">
        <f t="shared" si="3"/>
        <v>0</v>
      </c>
      <c r="T20" s="289">
        <f t="shared" si="3"/>
        <v>0</v>
      </c>
      <c r="U20" s="289">
        <f t="shared" si="3"/>
        <v>0</v>
      </c>
      <c r="V20" s="289">
        <f t="shared" si="3"/>
        <v>0</v>
      </c>
      <c r="W20" s="289">
        <f t="shared" si="3"/>
        <v>0</v>
      </c>
      <c r="X20" s="289">
        <f t="shared" ref="X20:AG20" si="4">+SUM(X16:X19)</f>
        <v>0</v>
      </c>
      <c r="Y20" s="289">
        <f t="shared" si="4"/>
        <v>0</v>
      </c>
      <c r="Z20" s="289">
        <f t="shared" si="4"/>
        <v>0</v>
      </c>
      <c r="AA20" s="289">
        <f t="shared" si="4"/>
        <v>0</v>
      </c>
      <c r="AB20" s="289">
        <f t="shared" si="4"/>
        <v>0</v>
      </c>
      <c r="AC20" s="289">
        <f t="shared" si="4"/>
        <v>0</v>
      </c>
      <c r="AD20" s="289">
        <f t="shared" si="4"/>
        <v>0</v>
      </c>
      <c r="AE20" s="289">
        <f t="shared" si="4"/>
        <v>0</v>
      </c>
      <c r="AF20" s="289">
        <f t="shared" si="4"/>
        <v>0</v>
      </c>
      <c r="AG20" s="289">
        <f t="shared" si="4"/>
        <v>0</v>
      </c>
      <c r="AH20" s="171"/>
    </row>
    <row r="21" spans="3:34">
      <c r="C21" s="169"/>
      <c r="K21" s="232"/>
      <c r="L21" s="232"/>
      <c r="M21" s="232"/>
      <c r="N21" s="74"/>
      <c r="O21" s="128"/>
      <c r="P21" s="128"/>
      <c r="Q21" s="128"/>
      <c r="R21" s="128"/>
      <c r="S21" s="128"/>
      <c r="T21" s="128"/>
      <c r="U21" s="128"/>
      <c r="V21" s="128"/>
      <c r="W21" s="128"/>
      <c r="X21" s="128"/>
      <c r="Y21" s="128"/>
      <c r="Z21" s="128"/>
      <c r="AA21" s="128"/>
      <c r="AB21" s="128"/>
      <c r="AC21" s="128"/>
      <c r="AD21" s="128"/>
      <c r="AE21" s="128"/>
      <c r="AF21" s="128"/>
      <c r="AG21" s="128"/>
      <c r="AH21" s="171"/>
    </row>
    <row r="22" spans="3:34">
      <c r="C22" s="169"/>
      <c r="K22" s="232"/>
      <c r="L22" s="232"/>
      <c r="M22" s="232"/>
      <c r="N22" s="74"/>
      <c r="O22" s="128"/>
      <c r="P22" s="128"/>
      <c r="Q22" s="128"/>
      <c r="R22" s="128"/>
      <c r="S22" s="128"/>
      <c r="T22" s="128"/>
      <c r="U22" s="128"/>
      <c r="V22" s="128"/>
      <c r="W22" s="128"/>
      <c r="X22" s="128"/>
      <c r="Y22" s="128"/>
      <c r="Z22" s="128"/>
      <c r="AA22" s="128"/>
      <c r="AB22" s="128"/>
      <c r="AC22" s="128"/>
      <c r="AD22" s="128"/>
      <c r="AE22" s="128"/>
      <c r="AF22" s="128"/>
      <c r="AG22" s="128"/>
      <c r="AH22" s="171"/>
    </row>
    <row r="23" spans="3:34">
      <c r="C23" s="907">
        <v>2</v>
      </c>
      <c r="D23" s="104" t="s">
        <v>224</v>
      </c>
      <c r="K23" s="232"/>
      <c r="L23" s="232"/>
      <c r="M23" s="232"/>
      <c r="N23" s="74"/>
      <c r="O23" s="128"/>
      <c r="P23" s="128"/>
      <c r="Q23" s="128"/>
      <c r="R23" s="128"/>
      <c r="S23" s="128"/>
      <c r="T23" s="128"/>
      <c r="U23" s="128"/>
      <c r="V23" s="128"/>
      <c r="W23" s="128"/>
      <c r="X23" s="128"/>
      <c r="Y23" s="128"/>
      <c r="Z23" s="128"/>
      <c r="AA23" s="128"/>
      <c r="AB23" s="128"/>
      <c r="AC23" s="128"/>
      <c r="AD23" s="128"/>
      <c r="AE23" s="128"/>
      <c r="AF23" s="128"/>
      <c r="AG23" s="128"/>
      <c r="AH23" s="171"/>
    </row>
    <row r="24" spans="3:34">
      <c r="C24" s="169"/>
      <c r="E24" s="2295" t="s">
        <v>361</v>
      </c>
      <c r="F24" s="2296"/>
      <c r="G24" s="2296"/>
      <c r="H24" s="2296"/>
      <c r="I24" s="2297"/>
      <c r="J24" s="448"/>
      <c r="K24" s="946"/>
      <c r="L24" s="946"/>
      <c r="M24" s="946"/>
      <c r="N24" s="947"/>
      <c r="O24" s="428"/>
      <c r="P24" s="428"/>
      <c r="Q24" s="429"/>
      <c r="R24" s="429"/>
      <c r="S24" s="429"/>
      <c r="T24" s="429"/>
      <c r="U24" s="429"/>
      <c r="V24" s="429"/>
      <c r="W24" s="430"/>
      <c r="X24" s="429"/>
      <c r="Y24" s="429"/>
      <c r="Z24" s="429"/>
      <c r="AA24" s="429"/>
      <c r="AB24" s="430"/>
      <c r="AC24" s="429"/>
      <c r="AD24" s="429"/>
      <c r="AE24" s="429"/>
      <c r="AF24" s="429"/>
      <c r="AG24" s="430"/>
      <c r="AH24" s="171"/>
    </row>
    <row r="25" spans="3:34">
      <c r="C25" s="169"/>
      <c r="E25" s="2298" t="s">
        <v>362</v>
      </c>
      <c r="F25" s="2299"/>
      <c r="G25" s="2299"/>
      <c r="H25" s="2299"/>
      <c r="I25" s="2300"/>
      <c r="J25" s="448"/>
      <c r="K25" s="946"/>
      <c r="L25" s="946"/>
      <c r="M25" s="946"/>
      <c r="N25" s="947"/>
      <c r="O25" s="431"/>
      <c r="P25" s="431"/>
      <c r="Q25" s="432"/>
      <c r="R25" s="432"/>
      <c r="S25" s="432"/>
      <c r="T25" s="432"/>
      <c r="U25" s="432"/>
      <c r="V25" s="432"/>
      <c r="W25" s="433"/>
      <c r="X25" s="432"/>
      <c r="Y25" s="432"/>
      <c r="Z25" s="432"/>
      <c r="AA25" s="432"/>
      <c r="AB25" s="433"/>
      <c r="AC25" s="432"/>
      <c r="AD25" s="432"/>
      <c r="AE25" s="432"/>
      <c r="AF25" s="432"/>
      <c r="AG25" s="433"/>
      <c r="AH25" s="171"/>
    </row>
    <row r="26" spans="3:34">
      <c r="C26" s="169"/>
      <c r="E26" s="2298" t="s">
        <v>363</v>
      </c>
      <c r="F26" s="2299"/>
      <c r="G26" s="2299"/>
      <c r="H26" s="2299"/>
      <c r="I26" s="2300"/>
      <c r="J26" s="448"/>
      <c r="K26" s="946"/>
      <c r="L26" s="946"/>
      <c r="M26" s="946"/>
      <c r="N26" s="947"/>
      <c r="O26" s="431"/>
      <c r="P26" s="431"/>
      <c r="Q26" s="432"/>
      <c r="R26" s="432"/>
      <c r="S26" s="432"/>
      <c r="T26" s="432"/>
      <c r="U26" s="432"/>
      <c r="V26" s="432"/>
      <c r="W26" s="433"/>
      <c r="X26" s="432"/>
      <c r="Y26" s="432"/>
      <c r="Z26" s="432"/>
      <c r="AA26" s="432"/>
      <c r="AB26" s="433"/>
      <c r="AC26" s="432"/>
      <c r="AD26" s="432"/>
      <c r="AE26" s="432"/>
      <c r="AF26" s="432"/>
      <c r="AG26" s="433"/>
      <c r="AH26" s="171"/>
    </row>
    <row r="27" spans="3:34">
      <c r="C27" s="169"/>
      <c r="E27" s="2301" t="s">
        <v>364</v>
      </c>
      <c r="F27" s="2302"/>
      <c r="G27" s="2302"/>
      <c r="H27" s="2302"/>
      <c r="I27" s="2303"/>
      <c r="J27" s="448"/>
      <c r="K27" s="946"/>
      <c r="L27" s="946"/>
      <c r="M27" s="946"/>
      <c r="N27" s="947"/>
      <c r="O27" s="434"/>
      <c r="P27" s="434"/>
      <c r="Q27" s="435"/>
      <c r="R27" s="435"/>
      <c r="S27" s="435"/>
      <c r="T27" s="435"/>
      <c r="U27" s="435"/>
      <c r="V27" s="435"/>
      <c r="W27" s="436"/>
      <c r="X27" s="435"/>
      <c r="Y27" s="435"/>
      <c r="Z27" s="435"/>
      <c r="AA27" s="435"/>
      <c r="AB27" s="436"/>
      <c r="AC27" s="435"/>
      <c r="AD27" s="435"/>
      <c r="AE27" s="435"/>
      <c r="AF27" s="435"/>
      <c r="AG27" s="436"/>
      <c r="AH27" s="171"/>
    </row>
    <row r="28" spans="3:34">
      <c r="C28" s="169"/>
      <c r="D28" s="104" t="str">
        <f>+CONCATENATE("Total ",LOWER(D23))</f>
        <v>Total operating expenditure adjustments</v>
      </c>
      <c r="K28" s="908"/>
      <c r="L28" s="908"/>
      <c r="M28" s="908"/>
      <c r="N28" s="74"/>
      <c r="O28" s="289">
        <f>+SUM(O24:O27)</f>
        <v>0</v>
      </c>
      <c r="P28" s="289">
        <f>+SUM(P24:P27)</f>
        <v>0</v>
      </c>
      <c r="Q28" s="289">
        <f>+SUM(Q24:Q27)</f>
        <v>0</v>
      </c>
      <c r="R28" s="289">
        <f t="shared" ref="R28:W28" si="5">+SUM(R24:R27)</f>
        <v>0</v>
      </c>
      <c r="S28" s="289">
        <f t="shared" si="5"/>
        <v>0</v>
      </c>
      <c r="T28" s="289">
        <f t="shared" si="5"/>
        <v>0</v>
      </c>
      <c r="U28" s="289">
        <f t="shared" si="5"/>
        <v>0</v>
      </c>
      <c r="V28" s="289">
        <f t="shared" si="5"/>
        <v>0</v>
      </c>
      <c r="W28" s="289">
        <f t="shared" si="5"/>
        <v>0</v>
      </c>
      <c r="X28" s="289">
        <f t="shared" ref="X28:AG28" si="6">+SUM(X24:X27)</f>
        <v>0</v>
      </c>
      <c r="Y28" s="289">
        <f t="shared" si="6"/>
        <v>0</v>
      </c>
      <c r="Z28" s="289">
        <f t="shared" si="6"/>
        <v>0</v>
      </c>
      <c r="AA28" s="289">
        <f t="shared" si="6"/>
        <v>0</v>
      </c>
      <c r="AB28" s="289">
        <f t="shared" si="6"/>
        <v>0</v>
      </c>
      <c r="AC28" s="289">
        <f t="shared" si="6"/>
        <v>0</v>
      </c>
      <c r="AD28" s="289">
        <f t="shared" si="6"/>
        <v>0</v>
      </c>
      <c r="AE28" s="289">
        <f t="shared" si="6"/>
        <v>0</v>
      </c>
      <c r="AF28" s="289">
        <f t="shared" si="6"/>
        <v>0</v>
      </c>
      <c r="AG28" s="289">
        <f t="shared" si="6"/>
        <v>0</v>
      </c>
      <c r="AH28" s="171"/>
    </row>
    <row r="29" spans="3:34">
      <c r="C29" s="169"/>
      <c r="K29" s="232"/>
      <c r="L29" s="232"/>
      <c r="M29" s="232"/>
      <c r="N29" s="74"/>
      <c r="O29" s="128"/>
      <c r="P29" s="128"/>
      <c r="Q29" s="128"/>
      <c r="R29" s="128"/>
      <c r="S29" s="128"/>
      <c r="T29" s="128"/>
      <c r="U29" s="128"/>
      <c r="V29" s="128"/>
      <c r="W29" s="128"/>
      <c r="X29" s="128"/>
      <c r="Y29" s="128"/>
      <c r="Z29" s="128"/>
      <c r="AA29" s="128"/>
      <c r="AB29" s="128"/>
      <c r="AC29" s="128"/>
      <c r="AD29" s="128"/>
      <c r="AE29" s="128"/>
      <c r="AF29" s="128"/>
      <c r="AG29" s="128"/>
      <c r="AH29" s="171"/>
    </row>
    <row r="30" spans="3:34">
      <c r="C30" s="169"/>
      <c r="K30" s="232"/>
      <c r="L30" s="232"/>
      <c r="M30" s="232"/>
      <c r="N30" s="74"/>
      <c r="O30" s="128"/>
      <c r="P30" s="128"/>
      <c r="Q30" s="128"/>
      <c r="R30" s="128"/>
      <c r="S30" s="128"/>
      <c r="T30" s="128"/>
      <c r="U30" s="128"/>
      <c r="V30" s="128"/>
      <c r="W30" s="128"/>
      <c r="X30" s="128"/>
      <c r="Y30" s="128"/>
      <c r="Z30" s="128"/>
      <c r="AA30" s="128"/>
      <c r="AB30" s="128"/>
      <c r="AC30" s="128"/>
      <c r="AD30" s="128"/>
      <c r="AE30" s="128"/>
      <c r="AF30" s="128"/>
      <c r="AG30" s="128"/>
      <c r="AH30" s="171"/>
    </row>
    <row r="31" spans="3:34">
      <c r="C31" s="907">
        <v>3</v>
      </c>
      <c r="D31" s="104" t="s">
        <v>225</v>
      </c>
      <c r="K31" s="232"/>
      <c r="L31" s="232"/>
      <c r="M31" s="232"/>
      <c r="N31" s="74"/>
      <c r="O31" s="128"/>
      <c r="P31" s="128"/>
      <c r="Q31" s="128"/>
      <c r="R31" s="128"/>
      <c r="S31" s="128"/>
      <c r="T31" s="128"/>
      <c r="U31" s="128"/>
      <c r="V31" s="128"/>
      <c r="W31" s="128"/>
      <c r="X31" s="128"/>
      <c r="Y31" s="128"/>
      <c r="Z31" s="128"/>
      <c r="AA31" s="128"/>
      <c r="AB31" s="128"/>
      <c r="AC31" s="128"/>
      <c r="AD31" s="128"/>
      <c r="AE31" s="128"/>
      <c r="AF31" s="128"/>
      <c r="AG31" s="128"/>
      <c r="AH31" s="171"/>
    </row>
    <row r="32" spans="3:34">
      <c r="C32" s="169"/>
      <c r="E32" s="2295" t="s">
        <v>361</v>
      </c>
      <c r="F32" s="2296"/>
      <c r="G32" s="2296"/>
      <c r="H32" s="2296"/>
      <c r="I32" s="2297"/>
      <c r="J32" s="448"/>
      <c r="K32" s="946"/>
      <c r="L32" s="946"/>
      <c r="M32" s="946"/>
      <c r="N32" s="947"/>
      <c r="O32" s="428"/>
      <c r="P32" s="428"/>
      <c r="Q32" s="429"/>
      <c r="R32" s="429"/>
      <c r="S32" s="429"/>
      <c r="T32" s="429"/>
      <c r="U32" s="429"/>
      <c r="V32" s="429"/>
      <c r="W32" s="430"/>
      <c r="X32" s="429"/>
      <c r="Y32" s="429"/>
      <c r="Z32" s="429"/>
      <c r="AA32" s="429"/>
      <c r="AB32" s="430"/>
      <c r="AC32" s="429"/>
      <c r="AD32" s="429"/>
      <c r="AE32" s="429"/>
      <c r="AF32" s="429"/>
      <c r="AG32" s="430"/>
      <c r="AH32" s="171"/>
    </row>
    <row r="33" spans="3:34">
      <c r="C33" s="169"/>
      <c r="E33" s="2298" t="s">
        <v>362</v>
      </c>
      <c r="F33" s="2299"/>
      <c r="G33" s="2299"/>
      <c r="H33" s="2299"/>
      <c r="I33" s="2300"/>
      <c r="J33" s="448"/>
      <c r="K33" s="946"/>
      <c r="L33" s="946"/>
      <c r="M33" s="946"/>
      <c r="N33" s="947"/>
      <c r="O33" s="431"/>
      <c r="P33" s="431"/>
      <c r="Q33" s="432"/>
      <c r="R33" s="432"/>
      <c r="S33" s="432"/>
      <c r="T33" s="432"/>
      <c r="U33" s="432"/>
      <c r="V33" s="432"/>
      <c r="W33" s="433"/>
      <c r="X33" s="432"/>
      <c r="Y33" s="432"/>
      <c r="Z33" s="432"/>
      <c r="AA33" s="432"/>
      <c r="AB33" s="433"/>
      <c r="AC33" s="432"/>
      <c r="AD33" s="432"/>
      <c r="AE33" s="432"/>
      <c r="AF33" s="432"/>
      <c r="AG33" s="433"/>
      <c r="AH33" s="171"/>
    </row>
    <row r="34" spans="3:34">
      <c r="C34" s="169"/>
      <c r="E34" s="2298" t="s">
        <v>363</v>
      </c>
      <c r="F34" s="2299"/>
      <c r="G34" s="2299"/>
      <c r="H34" s="2299"/>
      <c r="I34" s="2300"/>
      <c r="J34" s="448"/>
      <c r="K34" s="946"/>
      <c r="L34" s="946"/>
      <c r="M34" s="946"/>
      <c r="N34" s="947"/>
      <c r="O34" s="431"/>
      <c r="P34" s="431"/>
      <c r="Q34" s="432"/>
      <c r="R34" s="432"/>
      <c r="S34" s="432"/>
      <c r="T34" s="432"/>
      <c r="U34" s="432"/>
      <c r="V34" s="432"/>
      <c r="W34" s="433"/>
      <c r="X34" s="432"/>
      <c r="Y34" s="432"/>
      <c r="Z34" s="432"/>
      <c r="AA34" s="432"/>
      <c r="AB34" s="433"/>
      <c r="AC34" s="432"/>
      <c r="AD34" s="432"/>
      <c r="AE34" s="432"/>
      <c r="AF34" s="432"/>
      <c r="AG34" s="433"/>
      <c r="AH34" s="171"/>
    </row>
    <row r="35" spans="3:34">
      <c r="C35" s="169"/>
      <c r="E35" s="2298" t="s">
        <v>364</v>
      </c>
      <c r="F35" s="2299"/>
      <c r="G35" s="2299"/>
      <c r="H35" s="2299"/>
      <c r="I35" s="2300"/>
      <c r="J35" s="448"/>
      <c r="K35" s="946"/>
      <c r="L35" s="946"/>
      <c r="M35" s="946"/>
      <c r="N35" s="947"/>
      <c r="O35" s="431"/>
      <c r="P35" s="431"/>
      <c r="Q35" s="432"/>
      <c r="R35" s="432"/>
      <c r="S35" s="432"/>
      <c r="T35" s="432"/>
      <c r="U35" s="432"/>
      <c r="V35" s="432"/>
      <c r="W35" s="433"/>
      <c r="X35" s="432"/>
      <c r="Y35" s="432"/>
      <c r="Z35" s="432"/>
      <c r="AA35" s="432"/>
      <c r="AB35" s="433"/>
      <c r="AC35" s="432"/>
      <c r="AD35" s="432"/>
      <c r="AE35" s="432"/>
      <c r="AF35" s="432"/>
      <c r="AG35" s="433"/>
      <c r="AH35" s="171"/>
    </row>
    <row r="36" spans="3:34">
      <c r="C36" s="169"/>
      <c r="E36" s="2298" t="s">
        <v>365</v>
      </c>
      <c r="F36" s="2299"/>
      <c r="G36" s="2299"/>
      <c r="H36" s="2299"/>
      <c r="I36" s="2300"/>
      <c r="J36" s="448"/>
      <c r="K36" s="946"/>
      <c r="L36" s="946"/>
      <c r="M36" s="946"/>
      <c r="N36" s="947"/>
      <c r="O36" s="431"/>
      <c r="P36" s="431"/>
      <c r="Q36" s="432"/>
      <c r="R36" s="432"/>
      <c r="S36" s="432"/>
      <c r="T36" s="432"/>
      <c r="U36" s="432"/>
      <c r="V36" s="432"/>
      <c r="W36" s="433"/>
      <c r="X36" s="432"/>
      <c r="Y36" s="432"/>
      <c r="Z36" s="432"/>
      <c r="AA36" s="432"/>
      <c r="AB36" s="433"/>
      <c r="AC36" s="432"/>
      <c r="AD36" s="432"/>
      <c r="AE36" s="432"/>
      <c r="AF36" s="432"/>
      <c r="AG36" s="433"/>
      <c r="AH36" s="171"/>
    </row>
    <row r="37" spans="3:34">
      <c r="C37" s="169"/>
      <c r="E37" s="2298" t="s">
        <v>366</v>
      </c>
      <c r="F37" s="2299"/>
      <c r="G37" s="2299"/>
      <c r="H37" s="2299"/>
      <c r="I37" s="2300"/>
      <c r="J37" s="448"/>
      <c r="K37" s="946"/>
      <c r="L37" s="946"/>
      <c r="M37" s="946"/>
      <c r="N37" s="947"/>
      <c r="O37" s="431"/>
      <c r="P37" s="431"/>
      <c r="Q37" s="432"/>
      <c r="R37" s="432"/>
      <c r="S37" s="432"/>
      <c r="T37" s="432"/>
      <c r="U37" s="432"/>
      <c r="V37" s="432"/>
      <c r="W37" s="433"/>
      <c r="X37" s="432"/>
      <c r="Y37" s="432"/>
      <c r="Z37" s="432"/>
      <c r="AA37" s="432"/>
      <c r="AB37" s="433"/>
      <c r="AC37" s="432"/>
      <c r="AD37" s="432"/>
      <c r="AE37" s="432"/>
      <c r="AF37" s="432"/>
      <c r="AG37" s="433"/>
      <c r="AH37" s="171"/>
    </row>
    <row r="38" spans="3:34">
      <c r="C38" s="169"/>
      <c r="E38" s="2298" t="s">
        <v>367</v>
      </c>
      <c r="F38" s="2299"/>
      <c r="G38" s="2299"/>
      <c r="H38" s="2299"/>
      <c r="I38" s="2300"/>
      <c r="J38" s="448"/>
      <c r="K38" s="946"/>
      <c r="L38" s="946"/>
      <c r="M38" s="946"/>
      <c r="N38" s="947"/>
      <c r="O38" s="431"/>
      <c r="P38" s="431"/>
      <c r="Q38" s="432"/>
      <c r="R38" s="432"/>
      <c r="S38" s="432"/>
      <c r="T38" s="432"/>
      <c r="U38" s="432"/>
      <c r="V38" s="432"/>
      <c r="W38" s="433"/>
      <c r="X38" s="432"/>
      <c r="Y38" s="432"/>
      <c r="Z38" s="432"/>
      <c r="AA38" s="432"/>
      <c r="AB38" s="433"/>
      <c r="AC38" s="432"/>
      <c r="AD38" s="432"/>
      <c r="AE38" s="432"/>
      <c r="AF38" s="432"/>
      <c r="AG38" s="433"/>
      <c r="AH38" s="171"/>
    </row>
    <row r="39" spans="3:34">
      <c r="C39" s="169"/>
      <c r="E39" s="2298" t="s">
        <v>368</v>
      </c>
      <c r="F39" s="2299"/>
      <c r="G39" s="2299"/>
      <c r="H39" s="2299"/>
      <c r="I39" s="2300"/>
      <c r="J39" s="448"/>
      <c r="K39" s="946"/>
      <c r="L39" s="946"/>
      <c r="M39" s="946"/>
      <c r="N39" s="947"/>
      <c r="O39" s="431"/>
      <c r="P39" s="431"/>
      <c r="Q39" s="432"/>
      <c r="R39" s="432"/>
      <c r="S39" s="432"/>
      <c r="T39" s="432"/>
      <c r="U39" s="432"/>
      <c r="V39" s="432"/>
      <c r="W39" s="433"/>
      <c r="X39" s="432"/>
      <c r="Y39" s="432"/>
      <c r="Z39" s="432"/>
      <c r="AA39" s="432"/>
      <c r="AB39" s="433"/>
      <c r="AC39" s="432"/>
      <c r="AD39" s="432"/>
      <c r="AE39" s="432"/>
      <c r="AF39" s="432"/>
      <c r="AG39" s="433"/>
      <c r="AH39" s="171"/>
    </row>
    <row r="40" spans="3:34">
      <c r="C40" s="169"/>
      <c r="E40" s="2301" t="s">
        <v>369</v>
      </c>
      <c r="F40" s="2302"/>
      <c r="G40" s="2302"/>
      <c r="H40" s="2302"/>
      <c r="I40" s="2303"/>
      <c r="J40" s="448"/>
      <c r="K40" s="946"/>
      <c r="L40" s="946"/>
      <c r="M40" s="946"/>
      <c r="N40" s="947"/>
      <c r="O40" s="434"/>
      <c r="P40" s="434"/>
      <c r="Q40" s="435"/>
      <c r="R40" s="435"/>
      <c r="S40" s="435"/>
      <c r="T40" s="435"/>
      <c r="U40" s="435"/>
      <c r="V40" s="435"/>
      <c r="W40" s="436"/>
      <c r="X40" s="435"/>
      <c r="Y40" s="435"/>
      <c r="Z40" s="435"/>
      <c r="AA40" s="435"/>
      <c r="AB40" s="436"/>
      <c r="AC40" s="435"/>
      <c r="AD40" s="435"/>
      <c r="AE40" s="435"/>
      <c r="AF40" s="435"/>
      <c r="AG40" s="436"/>
      <c r="AH40" s="171"/>
    </row>
    <row r="41" spans="3:34" s="104" customFormat="1">
      <c r="C41" s="907"/>
      <c r="D41" s="104" t="str">
        <f>+CONCATENATE("Total ",LOWER(D31))</f>
        <v>Total operating cash flow adjustments</v>
      </c>
      <c r="I41" s="112"/>
      <c r="K41" s="908"/>
      <c r="L41" s="908"/>
      <c r="M41" s="908"/>
      <c r="N41" s="74"/>
      <c r="O41" s="289">
        <f>+SUM(O32:O40)</f>
        <v>0</v>
      </c>
      <c r="P41" s="289">
        <f>+SUM(P32:P40)</f>
        <v>0</v>
      </c>
      <c r="Q41" s="289">
        <f>+SUM(Q32:Q40)</f>
        <v>0</v>
      </c>
      <c r="R41" s="289">
        <f t="shared" ref="R41:W41" si="7">+SUM(R32:R40)</f>
        <v>0</v>
      </c>
      <c r="S41" s="289">
        <f t="shared" si="7"/>
        <v>0</v>
      </c>
      <c r="T41" s="289">
        <f t="shared" si="7"/>
        <v>0</v>
      </c>
      <c r="U41" s="289">
        <f t="shared" si="7"/>
        <v>0</v>
      </c>
      <c r="V41" s="289">
        <f t="shared" si="7"/>
        <v>0</v>
      </c>
      <c r="W41" s="289">
        <f t="shared" si="7"/>
        <v>0</v>
      </c>
      <c r="X41" s="289">
        <f t="shared" ref="X41:AG41" si="8">+SUM(X32:X40)</f>
        <v>0</v>
      </c>
      <c r="Y41" s="289">
        <f t="shared" si="8"/>
        <v>0</v>
      </c>
      <c r="Z41" s="289">
        <f t="shared" si="8"/>
        <v>0</v>
      </c>
      <c r="AA41" s="289">
        <f t="shared" si="8"/>
        <v>0</v>
      </c>
      <c r="AB41" s="289">
        <f t="shared" si="8"/>
        <v>0</v>
      </c>
      <c r="AC41" s="289">
        <f t="shared" si="8"/>
        <v>0</v>
      </c>
      <c r="AD41" s="289">
        <f t="shared" si="8"/>
        <v>0</v>
      </c>
      <c r="AE41" s="289">
        <f t="shared" si="8"/>
        <v>0</v>
      </c>
      <c r="AF41" s="289">
        <f t="shared" si="8"/>
        <v>0</v>
      </c>
      <c r="AG41" s="289">
        <f t="shared" si="8"/>
        <v>0</v>
      </c>
      <c r="AH41" s="909"/>
    </row>
    <row r="42" spans="3:34">
      <c r="C42" s="169"/>
      <c r="K42" s="232"/>
      <c r="L42" s="232"/>
      <c r="M42" s="232"/>
      <c r="N42" s="74"/>
      <c r="O42" s="128"/>
      <c r="P42" s="128"/>
      <c r="Q42" s="128"/>
      <c r="R42" s="128"/>
      <c r="S42" s="128"/>
      <c r="T42" s="128"/>
      <c r="U42" s="128"/>
      <c r="V42" s="128"/>
      <c r="W42" s="128"/>
      <c r="X42" s="128"/>
      <c r="Y42" s="128"/>
      <c r="Z42" s="128"/>
      <c r="AA42" s="128"/>
      <c r="AB42" s="128"/>
      <c r="AC42" s="128"/>
      <c r="AD42" s="128"/>
      <c r="AE42" s="128"/>
      <c r="AF42" s="128"/>
      <c r="AG42" s="128"/>
      <c r="AH42" s="171"/>
    </row>
    <row r="43" spans="3:34">
      <c r="C43" s="169"/>
      <c r="K43" s="232"/>
      <c r="L43" s="232"/>
      <c r="M43" s="232"/>
      <c r="N43" s="74"/>
      <c r="O43" s="128"/>
      <c r="P43" s="128"/>
      <c r="Q43" s="128"/>
      <c r="R43" s="128"/>
      <c r="S43" s="128"/>
      <c r="T43" s="128"/>
      <c r="U43" s="128"/>
      <c r="V43" s="128"/>
      <c r="W43" s="128"/>
      <c r="X43" s="128"/>
      <c r="Y43" s="128"/>
      <c r="Z43" s="128"/>
      <c r="AA43" s="128"/>
      <c r="AB43" s="128"/>
      <c r="AC43" s="128"/>
      <c r="AD43" s="128"/>
      <c r="AE43" s="128"/>
      <c r="AF43" s="128"/>
      <c r="AG43" s="128"/>
      <c r="AH43" s="171"/>
    </row>
    <row r="44" spans="3:34">
      <c r="C44" s="907">
        <v>4</v>
      </c>
      <c r="D44" s="104" t="s">
        <v>226</v>
      </c>
      <c r="K44" s="232"/>
      <c r="L44" s="232"/>
      <c r="M44" s="232"/>
      <c r="N44" s="74"/>
      <c r="O44" s="128"/>
      <c r="P44" s="128"/>
      <c r="Q44" s="128"/>
      <c r="R44" s="128"/>
      <c r="S44" s="128"/>
      <c r="T44" s="128"/>
      <c r="U44" s="128"/>
      <c r="V44" s="128"/>
      <c r="W44" s="128"/>
      <c r="X44" s="128"/>
      <c r="Y44" s="128"/>
      <c r="Z44" s="128"/>
      <c r="AA44" s="128"/>
      <c r="AB44" s="128"/>
      <c r="AC44" s="128"/>
      <c r="AD44" s="128"/>
      <c r="AE44" s="128"/>
      <c r="AF44" s="128"/>
      <c r="AG44" s="128"/>
      <c r="AH44" s="171"/>
    </row>
    <row r="45" spans="3:34">
      <c r="C45" s="169"/>
      <c r="E45" s="2295" t="s">
        <v>361</v>
      </c>
      <c r="F45" s="2296"/>
      <c r="G45" s="2296"/>
      <c r="H45" s="2296"/>
      <c r="I45" s="2297"/>
      <c r="J45" s="448"/>
      <c r="K45" s="946"/>
      <c r="L45" s="946"/>
      <c r="M45" s="946"/>
      <c r="N45" s="947"/>
      <c r="O45" s="428"/>
      <c r="P45" s="428"/>
      <c r="Q45" s="429"/>
      <c r="R45" s="429"/>
      <c r="S45" s="429"/>
      <c r="T45" s="429"/>
      <c r="U45" s="429"/>
      <c r="V45" s="429"/>
      <c r="W45" s="430"/>
      <c r="X45" s="429"/>
      <c r="Y45" s="429"/>
      <c r="Z45" s="429"/>
      <c r="AA45" s="429"/>
      <c r="AB45" s="430"/>
      <c r="AC45" s="429"/>
      <c r="AD45" s="429"/>
      <c r="AE45" s="429"/>
      <c r="AF45" s="429"/>
      <c r="AG45" s="430"/>
      <c r="AH45" s="171"/>
    </row>
    <row r="46" spans="3:34">
      <c r="C46" s="169"/>
      <c r="E46" s="2298" t="s">
        <v>362</v>
      </c>
      <c r="F46" s="2299"/>
      <c r="G46" s="2299"/>
      <c r="H46" s="2299"/>
      <c r="I46" s="2300"/>
      <c r="J46" s="448"/>
      <c r="K46" s="946"/>
      <c r="L46" s="946"/>
      <c r="M46" s="946"/>
      <c r="N46" s="947"/>
      <c r="O46" s="431"/>
      <c r="P46" s="431"/>
      <c r="Q46" s="432"/>
      <c r="R46" s="432"/>
      <c r="S46" s="432"/>
      <c r="T46" s="432"/>
      <c r="U46" s="432"/>
      <c r="V46" s="432"/>
      <c r="W46" s="433"/>
      <c r="X46" s="432"/>
      <c r="Y46" s="432"/>
      <c r="Z46" s="432"/>
      <c r="AA46" s="432"/>
      <c r="AB46" s="433"/>
      <c r="AC46" s="432"/>
      <c r="AD46" s="432"/>
      <c r="AE46" s="432"/>
      <c r="AF46" s="432"/>
      <c r="AG46" s="433"/>
      <c r="AH46" s="171"/>
    </row>
    <row r="47" spans="3:34">
      <c r="C47" s="169"/>
      <c r="E47" s="2298" t="s">
        <v>363</v>
      </c>
      <c r="F47" s="2299"/>
      <c r="G47" s="2299"/>
      <c r="H47" s="2299"/>
      <c r="I47" s="2300"/>
      <c r="J47" s="448"/>
      <c r="K47" s="946"/>
      <c r="L47" s="946"/>
      <c r="M47" s="946"/>
      <c r="N47" s="947"/>
      <c r="O47" s="431"/>
      <c r="P47" s="431"/>
      <c r="Q47" s="432"/>
      <c r="R47" s="432"/>
      <c r="S47" s="432"/>
      <c r="T47" s="432"/>
      <c r="U47" s="432"/>
      <c r="V47" s="432"/>
      <c r="W47" s="433"/>
      <c r="X47" s="432"/>
      <c r="Y47" s="432"/>
      <c r="Z47" s="432"/>
      <c r="AA47" s="432"/>
      <c r="AB47" s="433"/>
      <c r="AC47" s="432"/>
      <c r="AD47" s="432"/>
      <c r="AE47" s="432"/>
      <c r="AF47" s="432"/>
      <c r="AG47" s="433"/>
      <c r="AH47" s="171"/>
    </row>
    <row r="48" spans="3:34">
      <c r="C48" s="169"/>
      <c r="E48" s="2298" t="s">
        <v>364</v>
      </c>
      <c r="F48" s="2299"/>
      <c r="G48" s="2299"/>
      <c r="H48" s="2299"/>
      <c r="I48" s="2300"/>
      <c r="J48" s="448"/>
      <c r="K48" s="946"/>
      <c r="L48" s="946"/>
      <c r="M48" s="946"/>
      <c r="N48" s="947"/>
      <c r="O48" s="431"/>
      <c r="P48" s="431"/>
      <c r="Q48" s="432"/>
      <c r="R48" s="432"/>
      <c r="S48" s="432"/>
      <c r="T48" s="432"/>
      <c r="U48" s="432"/>
      <c r="V48" s="432"/>
      <c r="W48" s="433"/>
      <c r="X48" s="432"/>
      <c r="Y48" s="432"/>
      <c r="Z48" s="432"/>
      <c r="AA48" s="432"/>
      <c r="AB48" s="433"/>
      <c r="AC48" s="432"/>
      <c r="AD48" s="432"/>
      <c r="AE48" s="432"/>
      <c r="AF48" s="432"/>
      <c r="AG48" s="433"/>
      <c r="AH48" s="171"/>
    </row>
    <row r="49" spans="3:34">
      <c r="C49" s="169"/>
      <c r="E49" s="2298" t="s">
        <v>365</v>
      </c>
      <c r="F49" s="2299"/>
      <c r="G49" s="2299"/>
      <c r="H49" s="2299"/>
      <c r="I49" s="2300"/>
      <c r="J49" s="448"/>
      <c r="K49" s="946"/>
      <c r="L49" s="946"/>
      <c r="M49" s="946"/>
      <c r="N49" s="947"/>
      <c r="O49" s="431"/>
      <c r="P49" s="431"/>
      <c r="Q49" s="432"/>
      <c r="R49" s="432"/>
      <c r="S49" s="432"/>
      <c r="T49" s="432"/>
      <c r="U49" s="432"/>
      <c r="V49" s="432"/>
      <c r="W49" s="433"/>
      <c r="X49" s="432"/>
      <c r="Y49" s="432"/>
      <c r="Z49" s="432"/>
      <c r="AA49" s="432"/>
      <c r="AB49" s="433"/>
      <c r="AC49" s="432"/>
      <c r="AD49" s="432"/>
      <c r="AE49" s="432"/>
      <c r="AF49" s="432"/>
      <c r="AG49" s="433"/>
      <c r="AH49" s="171"/>
    </row>
    <row r="50" spans="3:34">
      <c r="C50" s="169"/>
      <c r="E50" s="2301" t="s">
        <v>366</v>
      </c>
      <c r="F50" s="2302"/>
      <c r="G50" s="2302"/>
      <c r="H50" s="2302"/>
      <c r="I50" s="2303"/>
      <c r="J50" s="448"/>
      <c r="K50" s="946"/>
      <c r="L50" s="946"/>
      <c r="M50" s="946"/>
      <c r="N50" s="947"/>
      <c r="O50" s="434"/>
      <c r="P50" s="434"/>
      <c r="Q50" s="435"/>
      <c r="R50" s="435"/>
      <c r="S50" s="435"/>
      <c r="T50" s="435"/>
      <c r="U50" s="435"/>
      <c r="V50" s="435"/>
      <c r="W50" s="436"/>
      <c r="X50" s="435"/>
      <c r="Y50" s="435"/>
      <c r="Z50" s="435"/>
      <c r="AA50" s="435"/>
      <c r="AB50" s="436"/>
      <c r="AC50" s="435"/>
      <c r="AD50" s="435"/>
      <c r="AE50" s="435"/>
      <c r="AF50" s="435"/>
      <c r="AG50" s="436"/>
      <c r="AH50" s="171"/>
    </row>
    <row r="51" spans="3:34">
      <c r="C51" s="169"/>
      <c r="D51" s="104" t="str">
        <f>+CONCATENATE("Total ",LOWER(D44))</f>
        <v>Total investing cash flow adjustments</v>
      </c>
      <c r="E51" s="104"/>
      <c r="F51" s="104"/>
      <c r="G51" s="104"/>
      <c r="H51" s="104"/>
      <c r="I51" s="112"/>
      <c r="J51" s="104"/>
      <c r="K51" s="908"/>
      <c r="L51" s="908"/>
      <c r="M51" s="908"/>
      <c r="N51" s="74"/>
      <c r="O51" s="289">
        <f>+SUM(O45:O50)</f>
        <v>0</v>
      </c>
      <c r="P51" s="289">
        <f>+SUM(P45:P50)</f>
        <v>0</v>
      </c>
      <c r="Q51" s="289">
        <f>+SUM(Q45:Q50)</f>
        <v>0</v>
      </c>
      <c r="R51" s="289">
        <f t="shared" ref="R51:W51" si="9">+SUM(R45:R50)</f>
        <v>0</v>
      </c>
      <c r="S51" s="289">
        <f t="shared" si="9"/>
        <v>0</v>
      </c>
      <c r="T51" s="289">
        <f t="shared" si="9"/>
        <v>0</v>
      </c>
      <c r="U51" s="289">
        <f t="shared" si="9"/>
        <v>0</v>
      </c>
      <c r="V51" s="289">
        <f t="shared" si="9"/>
        <v>0</v>
      </c>
      <c r="W51" s="289">
        <f t="shared" si="9"/>
        <v>0</v>
      </c>
      <c r="X51" s="289">
        <f t="shared" ref="X51:AG51" si="10">+SUM(X45:X50)</f>
        <v>0</v>
      </c>
      <c r="Y51" s="289">
        <f t="shared" si="10"/>
        <v>0</v>
      </c>
      <c r="Z51" s="289">
        <f t="shared" si="10"/>
        <v>0</v>
      </c>
      <c r="AA51" s="289">
        <f t="shared" si="10"/>
        <v>0</v>
      </c>
      <c r="AB51" s="289">
        <f t="shared" si="10"/>
        <v>0</v>
      </c>
      <c r="AC51" s="289">
        <f t="shared" si="10"/>
        <v>0</v>
      </c>
      <c r="AD51" s="289">
        <f t="shared" si="10"/>
        <v>0</v>
      </c>
      <c r="AE51" s="289">
        <f t="shared" si="10"/>
        <v>0</v>
      </c>
      <c r="AF51" s="289">
        <f t="shared" si="10"/>
        <v>0</v>
      </c>
      <c r="AG51" s="289">
        <f t="shared" si="10"/>
        <v>0</v>
      </c>
      <c r="AH51" s="171"/>
    </row>
    <row r="52" spans="3:34">
      <c r="C52" s="169"/>
      <c r="D52" s="104"/>
      <c r="E52" s="104"/>
      <c r="F52" s="104"/>
      <c r="G52" s="104"/>
      <c r="H52" s="104"/>
      <c r="I52" s="112"/>
      <c r="J52" s="104"/>
      <c r="K52" s="908"/>
      <c r="L52" s="908"/>
      <c r="M52" s="908"/>
      <c r="N52" s="74"/>
      <c r="O52" s="790"/>
      <c r="P52" s="790"/>
      <c r="Q52" s="289"/>
      <c r="R52" s="289"/>
      <c r="S52" s="289"/>
      <c r="T52" s="289"/>
      <c r="U52" s="289"/>
      <c r="V52" s="289"/>
      <c r="W52" s="289"/>
      <c r="X52" s="289"/>
      <c r="Y52" s="289"/>
      <c r="Z52" s="289"/>
      <c r="AA52" s="289"/>
      <c r="AB52" s="289"/>
      <c r="AC52" s="289"/>
      <c r="AD52" s="289"/>
      <c r="AE52" s="289"/>
      <c r="AF52" s="289"/>
      <c r="AG52" s="289"/>
      <c r="AH52" s="171"/>
    </row>
    <row r="53" spans="3:34">
      <c r="C53" s="169"/>
      <c r="D53" s="104"/>
      <c r="E53" s="104"/>
      <c r="F53" s="104"/>
      <c r="G53" s="104"/>
      <c r="H53" s="104"/>
      <c r="I53" s="112"/>
      <c r="J53" s="104"/>
      <c r="K53" s="908"/>
      <c r="L53" s="908"/>
      <c r="M53" s="908"/>
      <c r="N53" s="74"/>
      <c r="O53" s="790"/>
      <c r="P53" s="790"/>
      <c r="Q53" s="289"/>
      <c r="R53" s="289"/>
      <c r="S53" s="289"/>
      <c r="T53" s="289"/>
      <c r="U53" s="289"/>
      <c r="V53" s="289"/>
      <c r="W53" s="289"/>
      <c r="X53" s="289"/>
      <c r="Y53" s="289"/>
      <c r="Z53" s="289"/>
      <c r="AA53" s="289"/>
      <c r="AB53" s="289"/>
      <c r="AC53" s="289"/>
      <c r="AD53" s="289"/>
      <c r="AE53" s="289"/>
      <c r="AF53" s="289"/>
      <c r="AG53" s="289"/>
      <c r="AH53" s="171"/>
    </row>
    <row r="54" spans="3:34">
      <c r="C54" s="907">
        <v>5</v>
      </c>
      <c r="D54" s="104" t="s">
        <v>400</v>
      </c>
      <c r="J54" s="104"/>
      <c r="K54" s="908"/>
      <c r="L54" s="908"/>
      <c r="M54" s="908"/>
      <c r="N54" s="74"/>
      <c r="O54" s="289"/>
      <c r="P54" s="289"/>
      <c r="Q54" s="289"/>
      <c r="R54" s="289"/>
      <c r="S54" s="289"/>
      <c r="T54" s="289"/>
      <c r="U54" s="289"/>
      <c r="V54" s="289"/>
      <c r="W54" s="289"/>
      <c r="X54" s="289"/>
      <c r="Y54" s="289"/>
      <c r="Z54" s="289"/>
      <c r="AA54" s="289"/>
      <c r="AB54" s="289"/>
      <c r="AC54" s="289"/>
      <c r="AD54" s="289"/>
      <c r="AE54" s="289"/>
      <c r="AF54" s="289"/>
      <c r="AG54" s="289"/>
      <c r="AH54" s="171"/>
    </row>
    <row r="55" spans="3:34">
      <c r="C55" s="169"/>
      <c r="E55" s="2295" t="s">
        <v>361</v>
      </c>
      <c r="F55" s="2296"/>
      <c r="G55" s="2296"/>
      <c r="H55" s="2296"/>
      <c r="I55" s="2297"/>
      <c r="J55" s="448"/>
      <c r="K55" s="946"/>
      <c r="L55" s="946"/>
      <c r="M55" s="946"/>
      <c r="N55" s="947"/>
      <c r="O55" s="428"/>
      <c r="P55" s="428"/>
      <c r="Q55" s="429"/>
      <c r="R55" s="429"/>
      <c r="S55" s="429"/>
      <c r="T55" s="429"/>
      <c r="U55" s="429"/>
      <c r="V55" s="429"/>
      <c r="W55" s="430"/>
      <c r="X55" s="429"/>
      <c r="Y55" s="429"/>
      <c r="Z55" s="429"/>
      <c r="AA55" s="429"/>
      <c r="AB55" s="430"/>
      <c r="AC55" s="429"/>
      <c r="AD55" s="429"/>
      <c r="AE55" s="429"/>
      <c r="AF55" s="429"/>
      <c r="AG55" s="430"/>
      <c r="AH55" s="171"/>
    </row>
    <row r="56" spans="3:34">
      <c r="C56" s="169"/>
      <c r="E56" s="2298" t="s">
        <v>362</v>
      </c>
      <c r="F56" s="2299"/>
      <c r="G56" s="2299"/>
      <c r="H56" s="2299"/>
      <c r="I56" s="2300"/>
      <c r="J56" s="448"/>
      <c r="K56" s="946"/>
      <c r="L56" s="946"/>
      <c r="M56" s="946"/>
      <c r="N56" s="947"/>
      <c r="O56" s="431"/>
      <c r="P56" s="431"/>
      <c r="Q56" s="432"/>
      <c r="R56" s="432"/>
      <c r="S56" s="432"/>
      <c r="T56" s="432"/>
      <c r="U56" s="432"/>
      <c r="V56" s="432"/>
      <c r="W56" s="433"/>
      <c r="X56" s="432"/>
      <c r="Y56" s="432"/>
      <c r="Z56" s="432"/>
      <c r="AA56" s="432"/>
      <c r="AB56" s="433"/>
      <c r="AC56" s="432"/>
      <c r="AD56" s="432"/>
      <c r="AE56" s="432"/>
      <c r="AF56" s="432"/>
      <c r="AG56" s="433"/>
      <c r="AH56" s="171"/>
    </row>
    <row r="57" spans="3:34">
      <c r="C57" s="169"/>
      <c r="E57" s="2298" t="s">
        <v>363</v>
      </c>
      <c r="F57" s="2299"/>
      <c r="G57" s="2299"/>
      <c r="H57" s="2299"/>
      <c r="I57" s="2300"/>
      <c r="J57" s="448"/>
      <c r="K57" s="946"/>
      <c r="L57" s="946"/>
      <c r="M57" s="946"/>
      <c r="N57" s="947"/>
      <c r="O57" s="431"/>
      <c r="P57" s="431"/>
      <c r="Q57" s="432"/>
      <c r="R57" s="432"/>
      <c r="S57" s="432"/>
      <c r="T57" s="432"/>
      <c r="U57" s="432"/>
      <c r="V57" s="432"/>
      <c r="W57" s="433"/>
      <c r="X57" s="432"/>
      <c r="Y57" s="432"/>
      <c r="Z57" s="432"/>
      <c r="AA57" s="432"/>
      <c r="AB57" s="433"/>
      <c r="AC57" s="432"/>
      <c r="AD57" s="432"/>
      <c r="AE57" s="432"/>
      <c r="AF57" s="432"/>
      <c r="AG57" s="433"/>
      <c r="AH57" s="171"/>
    </row>
    <row r="58" spans="3:34">
      <c r="C58" s="169"/>
      <c r="E58" s="2298" t="s">
        <v>364</v>
      </c>
      <c r="F58" s="2299"/>
      <c r="G58" s="2299"/>
      <c r="H58" s="2299"/>
      <c r="I58" s="2300"/>
      <c r="J58" s="448"/>
      <c r="K58" s="946"/>
      <c r="L58" s="946"/>
      <c r="M58" s="946"/>
      <c r="N58" s="947"/>
      <c r="O58" s="431"/>
      <c r="P58" s="431"/>
      <c r="Q58" s="432"/>
      <c r="R58" s="432"/>
      <c r="S58" s="432"/>
      <c r="T58" s="432"/>
      <c r="U58" s="432"/>
      <c r="V58" s="432"/>
      <c r="W58" s="433"/>
      <c r="X58" s="432"/>
      <c r="Y58" s="432"/>
      <c r="Z58" s="432"/>
      <c r="AA58" s="432"/>
      <c r="AB58" s="433"/>
      <c r="AC58" s="432"/>
      <c r="AD58" s="432"/>
      <c r="AE58" s="432"/>
      <c r="AF58" s="432"/>
      <c r="AG58" s="433"/>
      <c r="AH58" s="171"/>
    </row>
    <row r="59" spans="3:34">
      <c r="C59" s="169"/>
      <c r="E59" s="2298" t="s">
        <v>365</v>
      </c>
      <c r="F59" s="2299"/>
      <c r="G59" s="2299"/>
      <c r="H59" s="2299"/>
      <c r="I59" s="2300"/>
      <c r="J59" s="448"/>
      <c r="K59" s="946"/>
      <c r="L59" s="946"/>
      <c r="M59" s="946"/>
      <c r="N59" s="947"/>
      <c r="O59" s="431"/>
      <c r="P59" s="431"/>
      <c r="Q59" s="432"/>
      <c r="R59" s="432"/>
      <c r="S59" s="432"/>
      <c r="T59" s="432"/>
      <c r="U59" s="432"/>
      <c r="V59" s="432"/>
      <c r="W59" s="433"/>
      <c r="X59" s="432"/>
      <c r="Y59" s="432"/>
      <c r="Z59" s="432"/>
      <c r="AA59" s="432"/>
      <c r="AB59" s="433"/>
      <c r="AC59" s="432"/>
      <c r="AD59" s="432"/>
      <c r="AE59" s="432"/>
      <c r="AF59" s="432"/>
      <c r="AG59" s="433"/>
      <c r="AH59" s="171"/>
    </row>
    <row r="60" spans="3:34">
      <c r="C60" s="169"/>
      <c r="E60" s="2301" t="s">
        <v>366</v>
      </c>
      <c r="F60" s="2302"/>
      <c r="G60" s="2302"/>
      <c r="H60" s="2302"/>
      <c r="I60" s="2303"/>
      <c r="J60" s="448"/>
      <c r="K60" s="946"/>
      <c r="L60" s="946"/>
      <c r="M60" s="946"/>
      <c r="N60" s="947"/>
      <c r="O60" s="434"/>
      <c r="P60" s="434"/>
      <c r="Q60" s="435"/>
      <c r="R60" s="435"/>
      <c r="S60" s="435"/>
      <c r="T60" s="435"/>
      <c r="U60" s="435"/>
      <c r="V60" s="435"/>
      <c r="W60" s="436"/>
      <c r="X60" s="435"/>
      <c r="Y60" s="435"/>
      <c r="Z60" s="435"/>
      <c r="AA60" s="435"/>
      <c r="AB60" s="436"/>
      <c r="AC60" s="435"/>
      <c r="AD60" s="435"/>
      <c r="AE60" s="435"/>
      <c r="AF60" s="435"/>
      <c r="AG60" s="436"/>
      <c r="AH60" s="171"/>
    </row>
    <row r="61" spans="3:34">
      <c r="C61" s="169"/>
      <c r="D61" s="104" t="str">
        <f>+CONCATENATE("Total ",LOWER(D54))</f>
        <v>Total interest payment adjustments</v>
      </c>
      <c r="E61" s="104"/>
      <c r="F61" s="104"/>
      <c r="G61" s="104"/>
      <c r="H61" s="104"/>
      <c r="I61" s="112"/>
      <c r="J61" s="104"/>
      <c r="K61" s="908"/>
      <c r="L61" s="908"/>
      <c r="M61" s="908"/>
      <c r="N61" s="74"/>
      <c r="O61" s="289">
        <f>+SUM(O55:O60)</f>
        <v>0</v>
      </c>
      <c r="P61" s="289">
        <f>+SUM(P55:P60)</f>
        <v>0</v>
      </c>
      <c r="Q61" s="289">
        <f>+SUM(Q55:Q60)</f>
        <v>0</v>
      </c>
      <c r="R61" s="289">
        <f t="shared" ref="R61:AG61" si="11">+SUM(R55:R60)</f>
        <v>0</v>
      </c>
      <c r="S61" s="289">
        <f t="shared" si="11"/>
        <v>0</v>
      </c>
      <c r="T61" s="289">
        <f t="shared" si="11"/>
        <v>0</v>
      </c>
      <c r="U61" s="289">
        <f t="shared" si="11"/>
        <v>0</v>
      </c>
      <c r="V61" s="289">
        <f t="shared" si="11"/>
        <v>0</v>
      </c>
      <c r="W61" s="289">
        <f t="shared" si="11"/>
        <v>0</v>
      </c>
      <c r="X61" s="289">
        <f t="shared" si="11"/>
        <v>0</v>
      </c>
      <c r="Y61" s="289">
        <f t="shared" si="11"/>
        <v>0</v>
      </c>
      <c r="Z61" s="289">
        <f t="shared" si="11"/>
        <v>0</v>
      </c>
      <c r="AA61" s="289">
        <f t="shared" si="11"/>
        <v>0</v>
      </c>
      <c r="AB61" s="289">
        <f t="shared" si="11"/>
        <v>0</v>
      </c>
      <c r="AC61" s="289">
        <f t="shared" si="11"/>
        <v>0</v>
      </c>
      <c r="AD61" s="289">
        <f t="shared" si="11"/>
        <v>0</v>
      </c>
      <c r="AE61" s="289">
        <f t="shared" si="11"/>
        <v>0</v>
      </c>
      <c r="AF61" s="289">
        <f t="shared" si="11"/>
        <v>0</v>
      </c>
      <c r="AG61" s="289">
        <f t="shared" si="11"/>
        <v>0</v>
      </c>
      <c r="AH61" s="171"/>
    </row>
    <row r="62" spans="3:34">
      <c r="C62" s="169"/>
      <c r="N62" s="74"/>
      <c r="AH62" s="171"/>
    </row>
    <row r="63" spans="3:34" ht="12.75" thickBot="1">
      <c r="C63" s="182"/>
      <c r="D63" s="183"/>
      <c r="E63" s="183"/>
      <c r="F63" s="183"/>
      <c r="G63" s="183"/>
      <c r="H63" s="183"/>
      <c r="I63" s="199"/>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6"/>
    </row>
    <row r="64" spans="3:34">
      <c r="I64" s="70"/>
      <c r="K64" s="910"/>
      <c r="L64" s="910"/>
      <c r="M64" s="910"/>
      <c r="N64" s="910"/>
      <c r="O64" s="910"/>
      <c r="P64" s="910"/>
      <c r="Q64" s="910"/>
      <c r="R64" s="910"/>
    </row>
    <row r="65" spans="3:34" ht="12.75" thickBot="1">
      <c r="I65" s="70"/>
      <c r="L65" s="910"/>
      <c r="M65" s="910"/>
      <c r="N65" s="910"/>
      <c r="O65" s="910"/>
      <c r="P65" s="910"/>
      <c r="Q65" s="910"/>
      <c r="R65" s="910"/>
    </row>
    <row r="66" spans="3:34">
      <c r="C66" s="166"/>
      <c r="D66" s="167"/>
      <c r="E66" s="167"/>
      <c r="F66" s="167"/>
      <c r="G66" s="167"/>
      <c r="H66" s="167"/>
      <c r="I66" s="292"/>
      <c r="J66" s="167"/>
      <c r="K66" s="167"/>
      <c r="L66" s="167"/>
      <c r="M66" s="167"/>
      <c r="N66" s="167"/>
      <c r="O66" s="167"/>
      <c r="P66" s="167"/>
      <c r="Q66" s="167"/>
      <c r="R66" s="292"/>
      <c r="S66" s="167"/>
      <c r="T66" s="167"/>
      <c r="U66" s="167"/>
      <c r="V66" s="167"/>
      <c r="W66" s="167"/>
      <c r="X66" s="167"/>
      <c r="Y66" s="167"/>
      <c r="Z66" s="167"/>
      <c r="AA66" s="167"/>
      <c r="AB66" s="167"/>
      <c r="AC66" s="167"/>
      <c r="AD66" s="167"/>
      <c r="AE66" s="167"/>
      <c r="AF66" s="167"/>
      <c r="AG66" s="167"/>
      <c r="AH66" s="168"/>
    </row>
    <row r="67" spans="3:34">
      <c r="C67" s="169"/>
      <c r="D67" s="879" t="s">
        <v>291</v>
      </c>
      <c r="R67" s="74"/>
      <c r="AH67" s="171"/>
    </row>
    <row r="68" spans="3:34">
      <c r="C68" s="169"/>
      <c r="F68" s="911" t="s">
        <v>1089</v>
      </c>
      <c r="H68" s="911" t="s">
        <v>572</v>
      </c>
      <c r="J68" s="911" t="s">
        <v>974</v>
      </c>
      <c r="R68" s="74"/>
      <c r="AH68" s="171"/>
    </row>
    <row r="69" spans="3:34">
      <c r="C69" s="169"/>
      <c r="E69" s="60" t="s">
        <v>271</v>
      </c>
      <c r="F69" s="948">
        <v>0</v>
      </c>
      <c r="H69" s="948">
        <v>0</v>
      </c>
      <c r="J69" s="948">
        <v>0</v>
      </c>
      <c r="R69" s="912"/>
      <c r="V69" s="74"/>
      <c r="AH69" s="171"/>
    </row>
    <row r="70" spans="3:34">
      <c r="C70" s="169"/>
      <c r="E70" s="60" t="s">
        <v>614</v>
      </c>
      <c r="F70" s="1958">
        <v>0.05</v>
      </c>
      <c r="H70" s="1958">
        <v>0.06</v>
      </c>
      <c r="J70" s="1958">
        <v>0.06</v>
      </c>
      <c r="O70" s="912" t="s">
        <v>616</v>
      </c>
      <c r="T70" s="74"/>
      <c r="U70" s="74"/>
      <c r="V70" s="74"/>
      <c r="W70" s="74"/>
      <c r="AH70" s="171"/>
    </row>
    <row r="71" spans="3:34">
      <c r="C71" s="169"/>
      <c r="E71" s="60" t="s">
        <v>615</v>
      </c>
      <c r="F71" s="1959">
        <v>4.4999999999999998E-2</v>
      </c>
      <c r="H71" s="1959">
        <v>4.3499999999999997E-2</v>
      </c>
      <c r="J71" s="1959">
        <v>4.3499999999999997E-2</v>
      </c>
      <c r="O71" s="912" t="s">
        <v>616</v>
      </c>
      <c r="AH71" s="171"/>
    </row>
    <row r="72" spans="3:34">
      <c r="C72" s="169"/>
      <c r="H72" s="113"/>
      <c r="I72" s="679"/>
      <c r="J72" s="913"/>
      <c r="R72" s="74"/>
      <c r="AH72" s="171"/>
    </row>
    <row r="73" spans="3:34" ht="12.75" thickBot="1">
      <c r="C73" s="182"/>
      <c r="D73" s="183"/>
      <c r="E73" s="183"/>
      <c r="F73" s="183"/>
      <c r="G73" s="183"/>
      <c r="H73" s="183"/>
      <c r="I73" s="199"/>
      <c r="J73" s="183"/>
      <c r="K73" s="183"/>
      <c r="L73" s="183"/>
      <c r="M73" s="183"/>
      <c r="N73" s="183"/>
      <c r="O73" s="183"/>
      <c r="P73" s="183"/>
      <c r="Q73" s="183"/>
      <c r="R73" s="199"/>
      <c r="S73" s="183"/>
      <c r="T73" s="183"/>
      <c r="U73" s="183"/>
      <c r="V73" s="183"/>
      <c r="W73" s="183"/>
      <c r="X73" s="183"/>
      <c r="Y73" s="183"/>
      <c r="Z73" s="183"/>
      <c r="AA73" s="183"/>
      <c r="AB73" s="183"/>
      <c r="AC73" s="183"/>
      <c r="AD73" s="183"/>
      <c r="AE73" s="183"/>
      <c r="AF73" s="183"/>
      <c r="AG73" s="183"/>
      <c r="AH73" s="186"/>
    </row>
    <row r="74" spans="3:34">
      <c r="K74" s="910"/>
      <c r="L74" s="910"/>
      <c r="M74" s="910"/>
      <c r="N74" s="910"/>
      <c r="O74" s="910"/>
      <c r="P74" s="910"/>
      <c r="Q74" s="910"/>
      <c r="R74" s="910"/>
    </row>
    <row r="75" spans="3:34" ht="12.75" thickBot="1">
      <c r="K75" s="905"/>
      <c r="L75" s="905"/>
      <c r="M75" s="905"/>
      <c r="N75" s="905"/>
      <c r="O75" s="905"/>
      <c r="P75" s="905"/>
      <c r="Q75" s="905"/>
      <c r="R75" s="905"/>
    </row>
    <row r="76" spans="3:34">
      <c r="C76" s="166"/>
      <c r="D76" s="167"/>
      <c r="E76" s="167"/>
      <c r="F76" s="167"/>
      <c r="G76" s="167"/>
      <c r="H76" s="167"/>
      <c r="I76" s="292"/>
      <c r="J76" s="167"/>
      <c r="K76" s="836"/>
      <c r="L76" s="836"/>
      <c r="M76" s="836"/>
      <c r="N76" s="836"/>
      <c r="O76" s="836"/>
      <c r="P76" s="836"/>
      <c r="Q76" s="868"/>
      <c r="R76" s="868"/>
      <c r="S76" s="868"/>
      <c r="T76" s="836"/>
      <c r="U76" s="836"/>
      <c r="V76" s="836"/>
      <c r="W76" s="836"/>
      <c r="X76" s="836"/>
      <c r="Y76" s="836"/>
      <c r="Z76" s="836"/>
      <c r="AA76" s="836"/>
      <c r="AB76" s="836"/>
      <c r="AC76" s="836"/>
      <c r="AD76" s="836"/>
      <c r="AE76" s="836"/>
      <c r="AF76" s="836"/>
      <c r="AG76" s="836"/>
      <c r="AH76" s="168"/>
    </row>
    <row r="77" spans="3:34">
      <c r="C77" s="169"/>
      <c r="D77" s="879" t="s">
        <v>124</v>
      </c>
      <c r="K77" s="180"/>
      <c r="L77" s="180"/>
      <c r="M77" s="180"/>
      <c r="N77" s="180"/>
      <c r="O77" s="180"/>
      <c r="P77" s="180"/>
      <c r="Q77" s="281"/>
      <c r="R77" s="281"/>
      <c r="S77" s="281"/>
      <c r="T77" s="180"/>
      <c r="U77" s="180"/>
      <c r="V77" s="180"/>
      <c r="W77" s="180"/>
      <c r="X77" s="180"/>
      <c r="Y77" s="180"/>
      <c r="Z77" s="180"/>
      <c r="AA77" s="180"/>
      <c r="AB77" s="180"/>
      <c r="AC77" s="180"/>
      <c r="AD77" s="180"/>
      <c r="AE77" s="180"/>
      <c r="AF77" s="180"/>
      <c r="AG77" s="180"/>
      <c r="AH77" s="171"/>
    </row>
    <row r="78" spans="3:34">
      <c r="C78" s="169"/>
      <c r="D78" s="285" t="s">
        <v>125</v>
      </c>
      <c r="Q78" s="74"/>
      <c r="R78" s="74"/>
      <c r="S78" s="74"/>
      <c r="AH78" s="171"/>
    </row>
    <row r="79" spans="3:34">
      <c r="C79" s="169"/>
      <c r="F79" s="911" t="str">
        <f>F68</f>
        <v>RP3</v>
      </c>
      <c r="H79" s="911" t="str">
        <f>H68</f>
        <v>RP4</v>
      </c>
      <c r="I79" s="911"/>
      <c r="J79" s="911" t="str">
        <f>J68</f>
        <v>RP5</v>
      </c>
      <c r="M79" s="608"/>
      <c r="N79" s="608"/>
      <c r="O79" s="608"/>
      <c r="P79" s="608"/>
      <c r="Q79" s="349"/>
      <c r="R79" s="349"/>
      <c r="S79" s="349"/>
      <c r="T79" s="608"/>
      <c r="U79" s="608"/>
      <c r="V79" s="608"/>
      <c r="W79" s="608"/>
      <c r="X79" s="608"/>
      <c r="Y79" s="608"/>
      <c r="Z79" s="608"/>
      <c r="AA79" s="608"/>
      <c r="AB79" s="608"/>
      <c r="AC79" s="608"/>
      <c r="AD79" s="608"/>
      <c r="AE79" s="608"/>
      <c r="AF79" s="608"/>
      <c r="AG79" s="608"/>
      <c r="AH79" s="171"/>
    </row>
    <row r="80" spans="3:34">
      <c r="C80" s="169"/>
      <c r="E80" s="60" t="s">
        <v>271</v>
      </c>
      <c r="F80" s="914">
        <f>F69</f>
        <v>0</v>
      </c>
      <c r="H80" s="914">
        <f>H69</f>
        <v>0</v>
      </c>
      <c r="J80" s="914">
        <f>J69</f>
        <v>0</v>
      </c>
      <c r="K80" s="608"/>
      <c r="M80" s="608"/>
      <c r="N80" s="608"/>
      <c r="O80" s="608"/>
      <c r="P80" s="608"/>
      <c r="Q80" s="349"/>
      <c r="R80" s="349"/>
      <c r="S80" s="349"/>
      <c r="T80" s="608"/>
      <c r="U80" s="608"/>
      <c r="V80" s="608"/>
      <c r="W80" s="608"/>
      <c r="X80" s="608"/>
      <c r="Y80" s="608"/>
      <c r="Z80" s="608"/>
      <c r="AA80" s="608"/>
      <c r="AB80" s="608"/>
      <c r="AC80" s="608"/>
      <c r="AD80" s="608"/>
      <c r="AE80" s="608"/>
      <c r="AF80" s="608"/>
      <c r="AG80" s="608"/>
      <c r="AH80" s="171"/>
    </row>
    <row r="81" spans="3:34">
      <c r="C81" s="169"/>
      <c r="J81" s="608"/>
      <c r="K81" s="608"/>
      <c r="L81" s="608"/>
      <c r="M81" s="608"/>
      <c r="N81" s="608"/>
      <c r="O81" s="608"/>
      <c r="P81" s="608"/>
      <c r="Q81" s="349"/>
      <c r="R81" s="349"/>
      <c r="S81" s="349"/>
      <c r="T81" s="608"/>
      <c r="U81" s="608"/>
      <c r="V81" s="608"/>
      <c r="W81" s="608"/>
      <c r="X81" s="608"/>
      <c r="Y81" s="608"/>
      <c r="Z81" s="608"/>
      <c r="AA81" s="608"/>
      <c r="AB81" s="608"/>
      <c r="AC81" s="608"/>
      <c r="AD81" s="608"/>
      <c r="AE81" s="608"/>
      <c r="AF81" s="608"/>
      <c r="AG81" s="608"/>
      <c r="AH81" s="171"/>
    </row>
    <row r="82" spans="3:34">
      <c r="C82" s="169"/>
      <c r="E82" s="104" t="s">
        <v>126</v>
      </c>
      <c r="J82" s="608"/>
      <c r="K82" s="232"/>
      <c r="L82" s="232"/>
      <c r="M82" s="232"/>
      <c r="N82" s="232"/>
      <c r="O82" s="232"/>
      <c r="P82" s="232"/>
      <c r="Q82" s="74"/>
      <c r="R82" s="74"/>
      <c r="S82" s="74"/>
      <c r="T82" s="232"/>
      <c r="U82" s="232"/>
      <c r="V82" s="232"/>
      <c r="W82" s="232"/>
      <c r="X82" s="232"/>
      <c r="Y82" s="232"/>
      <c r="Z82" s="232"/>
      <c r="AA82" s="232"/>
      <c r="AB82" s="232"/>
      <c r="AC82" s="232"/>
      <c r="AD82" s="232"/>
      <c r="AE82" s="232"/>
      <c r="AF82" s="232"/>
      <c r="AG82" s="232"/>
      <c r="AH82" s="873"/>
    </row>
    <row r="83" spans="3:34">
      <c r="C83" s="169"/>
      <c r="E83" s="121" t="s">
        <v>217</v>
      </c>
      <c r="J83" s="608"/>
      <c r="K83" s="232"/>
      <c r="L83" s="232"/>
      <c r="M83" s="232"/>
      <c r="N83" s="232"/>
      <c r="O83" s="349">
        <f>+IF(KeyAssumptionsPriceControl_FO!$V$32=1,(RevenuePriceCap_FO!O17+RevenuePriceCap_FO!O15)*'Rev&amp;RAV_FO'!O85,(RevenueTariffBasket_FO!O17+RevenueTariffBasket_FO!O15)*'Rev&amp;RAV_FO'!O85)</f>
        <v>60.534255794832859</v>
      </c>
      <c r="P83" s="349">
        <f>+IF(KeyAssumptionsPriceControl_FO!$V$32=1,(RevenuePriceCap_FO!P17+RevenuePriceCap_FO!P15)*'Rev&amp;RAV_FO'!P85,(RevenueTariffBasket_FO!P17+RevenueTariffBasket_FO!P15)*'Rev&amp;RAV_FO'!P85)</f>
        <v>63.091258673255872</v>
      </c>
      <c r="Q83" s="349">
        <f>+IF(KeyAssumptionsPriceControl_FO!$V$32=1,(RevenuePriceCap_FO!Q17+RevenuePriceCap_FO!Q15)*'Rev&amp;RAV_FO'!Q85,(RevenueTariffBasket_FO!Q17+RevenueTariffBasket_FO!Q15)*'Rev&amp;RAV_FO'!Q85)</f>
        <v>62.80991526910352</v>
      </c>
      <c r="R83" s="349">
        <f>+IF(KeyAssumptionsPriceControl_FO!$V$32=1,(RevenuePriceCap_FO!R17+RevenuePriceCap_FO!R15)*'Rev&amp;RAV_FO'!R85,(RevenueTariffBasket_FO!R17+RevenueTariffBasket_FO!R15)*'Rev&amp;RAV_FO'!R85)</f>
        <v>63.303367874883257</v>
      </c>
      <c r="S83" s="349">
        <f>+IF(KeyAssumptionsPriceControl_FO!$V$32=1,(RevenuePriceCap_FO!S17+RevenuePriceCap_FO!S15)*'Rev&amp;RAV_FO'!S85,(RevenueTariffBasket_FO!S17+RevenueTariffBasket_FO!S15)*'Rev&amp;RAV_FO'!S85)</f>
        <v>61.965015084339207</v>
      </c>
      <c r="T83" s="399">
        <f>+IF(KeyAssumptionsPriceControl_FO!$V$32=1,(RevenuePriceCap_FO!T17+RevenuePriceCap_FO!T15)*'Rev&amp;RAV_FO'!T85,(RevenueTariffBasket_FO!T17+RevenueTariffBasket_FO!T15)*'Rev&amp;RAV_FO'!T85)</f>
        <v>67.286882031948352</v>
      </c>
      <c r="U83" s="399">
        <f>+IF(KeyAssumptionsPriceControl_FO!$V$32=1,(RevenuePriceCap_FO!U17+RevenuePriceCap_FO!U15)*'Rev&amp;RAV_FO'!U85,(RevenueTariffBasket_FO!U17+RevenueTariffBasket_FO!U15)*'Rev&amp;RAV_FO'!U85)</f>
        <v>75.58506362530737</v>
      </c>
      <c r="V83" s="399">
        <f>+IF(KeyAssumptionsPriceControl_FO!$V$32=1,(RevenuePriceCap_FO!V17+RevenuePriceCap_FO!V15)*'Rev&amp;RAV_FO'!V85,(RevenueTariffBasket_FO!V17+RevenueTariffBasket_FO!V15)*'Rev&amp;RAV_FO'!V85)</f>
        <v>81.951154282827204</v>
      </c>
      <c r="W83" s="399">
        <f>+IF(KeyAssumptionsPriceControl_FO!$V$32=1,(RevenuePriceCap_FO!W17+RevenuePriceCap_FO!W15)*'Rev&amp;RAV_FO'!W85,(RevenueTariffBasket_FO!W17+RevenueTariffBasket_FO!W15)*'Rev&amp;RAV_FO'!W85)</f>
        <v>82.082915239904025</v>
      </c>
      <c r="X83" s="399">
        <f>+IF(KeyAssumptionsPriceControl_FO!$V$32=1,(RevenuePriceCap_FO!X17+RevenuePriceCap_FO!X15)*'Rev&amp;RAV_FO'!X85,(RevenueTariffBasket_FO!X17+RevenueTariffBasket_FO!X15)*'Rev&amp;RAV_FO'!X85)</f>
        <v>91.203176418956019</v>
      </c>
      <c r="Y83" s="349">
        <f>+IF(KeyAssumptionsPriceControl_FO!$V$32=1,(RevenuePriceCap_FO!Y17+RevenuePriceCap_FO!Y15)*'Rev&amp;RAV_FO'!Y85,(RevenueTariffBasket_FO!Y17+RevenueTariffBasket_FO!Y15)*'Rev&amp;RAV_FO'!Y85)</f>
        <v>99.716128510358388</v>
      </c>
      <c r="Z83" s="349">
        <f>+IF(KeyAssumptionsPriceControl_FO!$V$32=1,(RevenuePriceCap_FO!Z17+RevenuePriceCap_FO!Z15)*'Rev&amp;RAV_FO'!Z85,(RevenueTariffBasket_FO!Z17+RevenueTariffBasket_FO!Z15)*'Rev&amp;RAV_FO'!Z85)</f>
        <v>109.03630274309995</v>
      </c>
      <c r="AA83" s="349">
        <f>+IF(KeyAssumptionsPriceControl_FO!$V$32=1,(RevenuePriceCap_FO!AA17+RevenuePriceCap_FO!AA15)*'Rev&amp;RAV_FO'!AA85,(RevenueTariffBasket_FO!AA17+RevenueTariffBasket_FO!AA15)*'Rev&amp;RAV_FO'!AA85)</f>
        <v>119.26189370243044</v>
      </c>
      <c r="AB83" s="349">
        <f>+IF(KeyAssumptionsPriceControl_FO!$V$32=1,(RevenuePriceCap_FO!AB17+RevenuePriceCap_FO!AB15)*'Rev&amp;RAV_FO'!AB85,(RevenueTariffBasket_FO!AB17+RevenueTariffBasket_FO!AB15)*'Rev&amp;RAV_FO'!AB85)</f>
        <v>130.43638889731076</v>
      </c>
      <c r="AC83" s="349">
        <f>+IF(KeyAssumptionsPriceControl_FO!$V$32=1,(RevenuePriceCap_FO!AC17+RevenuePriceCap_FO!AC15)*'Rev&amp;RAV_FO'!AC85,(RevenueTariffBasket_FO!AC17+RevenueTariffBasket_FO!AC15)*'Rev&amp;RAV_FO'!AC85)</f>
        <v>137.87237972064599</v>
      </c>
      <c r="AD83" s="349">
        <f>+IF(KeyAssumptionsPriceControl_FO!$V$32=1,(RevenuePriceCap_FO!AD17+RevenuePriceCap_FO!AD15)*'Rev&amp;RAV_FO'!AD85,(RevenueTariffBasket_FO!AD17+RevenueTariffBasket_FO!AD15)*'Rev&amp;RAV_FO'!AD85)</f>
        <v>145.77085764436023</v>
      </c>
      <c r="AE83" s="349">
        <f>+IF(KeyAssumptionsPriceControl_FO!$V$32=1,(RevenuePriceCap_FO!AE17+RevenuePriceCap_FO!AE15)*'Rev&amp;RAV_FO'!AE85,(RevenueTariffBasket_FO!AE17+RevenueTariffBasket_FO!AE15)*'Rev&amp;RAV_FO'!AE85)</f>
        <v>154.10612458046506</v>
      </c>
      <c r="AF83" s="349">
        <f>+IF(KeyAssumptionsPriceControl_FO!$V$32=1,(RevenuePriceCap_FO!AF17+RevenuePriceCap_FO!AF15)*'Rev&amp;RAV_FO'!AF85,(RevenueTariffBasket_FO!AF17+RevenueTariffBasket_FO!AF15)*'Rev&amp;RAV_FO'!AF85)</f>
        <v>162.99843009525856</v>
      </c>
      <c r="AG83" s="349">
        <f>+IF(KeyAssumptionsPriceControl_FO!$V$32=1,(RevenuePriceCap_FO!AG17+RevenuePriceCap_FO!AG15)*'Rev&amp;RAV_FO'!AG85,(RevenueTariffBasket_FO!AG17+RevenueTariffBasket_FO!AG15)*'Rev&amp;RAV_FO'!AG85)</f>
        <v>172.34596852414714</v>
      </c>
      <c r="AH83" s="873"/>
    </row>
    <row r="84" spans="3:34">
      <c r="C84" s="169"/>
      <c r="E84" s="121" t="s">
        <v>127</v>
      </c>
      <c r="J84" s="608"/>
      <c r="K84" s="232"/>
      <c r="L84" s="232"/>
      <c r="M84" s="232"/>
      <c r="N84" s="232"/>
      <c r="O84" s="349">
        <f>+IF(KeyAssumptionsPriceControl_FO!$V$32=1,RevenuePriceCap_FO!O15,RevenueTariffBasket_FO!O15)*'Rev&amp;RAV_FO'!O85</f>
        <v>0</v>
      </c>
      <c r="P84" s="349">
        <f>+IF(KeyAssumptionsPriceControl_FO!$V$32=1,RevenuePriceCap_FO!P15,RevenueTariffBasket_FO!P15)*'Rev&amp;RAV_FO'!P85</f>
        <v>5.2357799573560765E-2</v>
      </c>
      <c r="Q84" s="349">
        <f>+IF(KeyAssumptionsPriceControl_FO!$V$32=1,RevenuePriceCap_FO!Q15,RevenueTariffBasket_FO!Q15)*'Rev&amp;RAV_FO'!Q85</f>
        <v>7.5403313432835808E-2</v>
      </c>
      <c r="R84" s="349">
        <f>+IF(KeyAssumptionsPriceControl_FO!$V$32=1,RevenuePriceCap_FO!R15,RevenueTariffBasket_FO!R15)*'Rev&amp;RAV_FO'!R85</f>
        <v>0.11322547832267237</v>
      </c>
      <c r="S84" s="349">
        <f>+IF(KeyAssumptionsPriceControl_FO!$V$32=1,RevenuePriceCap_FO!S15,RevenueTariffBasket_FO!S15)*'Rev&amp;RAV_FO'!S85</f>
        <v>0.11234437100213221</v>
      </c>
      <c r="T84" s="399">
        <f>+IF(KeyAssumptionsPriceControl_FO!$V$32=1,RevenuePriceCap_FO!T15,RevenueTariffBasket_FO!T15)*'Rev&amp;RAV_FO'!T85</f>
        <v>0.47064123880597014</v>
      </c>
      <c r="U84" s="399">
        <f>+IF(KeyAssumptionsPriceControl_FO!$V$32=1,RevenuePriceCap_FO!U15,RevenueTariffBasket_FO!U15)*'Rev&amp;RAV_FO'!U85</f>
        <v>0.20808304477611939</v>
      </c>
      <c r="V84" s="399">
        <f>+IF(KeyAssumptionsPriceControl_FO!$V$32=1,RevenuePriceCap_FO!V15,RevenueTariffBasket_FO!V15)*'Rev&amp;RAV_FO'!V85</f>
        <v>0.28602246481876331</v>
      </c>
      <c r="W84" s="399">
        <f>+IF(KeyAssumptionsPriceControl_FO!$V$32=1,RevenuePriceCap_FO!W15,RevenueTariffBasket_FO!W15)*'Rev&amp;RAV_FO'!W85</f>
        <v>0</v>
      </c>
      <c r="X84" s="399">
        <f>+IF(KeyAssumptionsPriceControl_FO!$V$32=1,RevenuePriceCap_FO!X15,RevenueTariffBasket_FO!X15)*'Rev&amp;RAV_FO'!X85</f>
        <v>0</v>
      </c>
      <c r="Y84" s="349">
        <f>+IF(KeyAssumptionsPriceControl_FO!$V$32=1,RevenuePriceCap_FO!Y15,RevenueTariffBasket_FO!Y15)*'Rev&amp;RAV_FO'!Y85</f>
        <v>0</v>
      </c>
      <c r="Z84" s="349">
        <f>+IF(KeyAssumptionsPriceControl_FO!$V$32=1,RevenuePriceCap_FO!Z15,RevenueTariffBasket_FO!Z15)*'Rev&amp;RAV_FO'!Z85</f>
        <v>0</v>
      </c>
      <c r="AA84" s="349">
        <f>+IF(KeyAssumptionsPriceControl_FO!$V$32=1,RevenuePriceCap_FO!AA15,RevenueTariffBasket_FO!AA15)*'Rev&amp;RAV_FO'!AA85</f>
        <v>0</v>
      </c>
      <c r="AB84" s="349">
        <f>+IF(KeyAssumptionsPriceControl_FO!$V$32=1,RevenuePriceCap_FO!AB15,RevenueTariffBasket_FO!AB15)*'Rev&amp;RAV_FO'!AB85</f>
        <v>0</v>
      </c>
      <c r="AC84" s="349">
        <f>+IF(KeyAssumptionsPriceControl_FO!$V$32=1,RevenuePriceCap_FO!AC15,RevenueTariffBasket_FO!AC15)*'Rev&amp;RAV_FO'!AC85</f>
        <v>0</v>
      </c>
      <c r="AD84" s="349">
        <f>+IF(KeyAssumptionsPriceControl_FO!$V$32=1,RevenuePriceCap_FO!AD15,RevenueTariffBasket_FO!AD15)*'Rev&amp;RAV_FO'!AD85</f>
        <v>0</v>
      </c>
      <c r="AE84" s="349">
        <f>+IF(KeyAssumptionsPriceControl_FO!$V$32=1,RevenuePriceCap_FO!AE15,RevenueTariffBasket_FO!AE15)*'Rev&amp;RAV_FO'!AE85</f>
        <v>0</v>
      </c>
      <c r="AF84" s="349">
        <f>+IF(KeyAssumptionsPriceControl_FO!$V$32=1,RevenuePriceCap_FO!AF15,RevenueTariffBasket_FO!AF15)*'Rev&amp;RAV_FO'!AF85</f>
        <v>0</v>
      </c>
      <c r="AG84" s="349">
        <f>+IF(KeyAssumptionsPriceControl_FO!$V$32=1,RevenuePriceCap_FO!AG15,RevenueTariffBasket_FO!AG15)*'Rev&amp;RAV_FO'!AG85</f>
        <v>0</v>
      </c>
      <c r="AH84" s="873"/>
    </row>
    <row r="85" spans="3:34">
      <c r="C85" s="169"/>
      <c r="E85" s="121" t="s">
        <v>128</v>
      </c>
      <c r="J85" s="608"/>
      <c r="K85" s="232"/>
      <c r="L85" s="232"/>
      <c r="M85" s="232"/>
      <c r="N85" s="232"/>
      <c r="O85" s="349">
        <f ca="1">+(Summary_FO!O24+NotPres_FO!O21)*'Rev&amp;RAV_FO'!O85</f>
        <v>4.4480000000000004</v>
      </c>
      <c r="P85" s="349">
        <f ca="1">+(Summary_FO!P24+NotPres_FO!P21)*'Rev&amp;RAV_FO'!P85</f>
        <v>3.61</v>
      </c>
      <c r="Q85" s="349">
        <f ca="1">+(Summary_FO!Q24+NotPres_FO!Q21)*'Rev&amp;RAV_FO'!Q85</f>
        <v>6.234</v>
      </c>
      <c r="R85" s="349">
        <f ca="1">+(Summary_FO!R24+NotPres_FO!R21)*'Rev&amp;RAV_FO'!R85</f>
        <v>6.1420000000000003</v>
      </c>
      <c r="S85" s="349">
        <f ca="1">+(Summary_FO!S24+NotPres_FO!S21)*'Rev&amp;RAV_FO'!S85</f>
        <v>6.346000000000001</v>
      </c>
      <c r="T85" s="399">
        <f ca="1">+(Summary_FO!T24+NotPres_FO!T21)*'Rev&amp;RAV_FO'!T85</f>
        <v>9.3919999999999995</v>
      </c>
      <c r="U85" s="399">
        <f ca="1">+(Summary_FO!U24+NotPres_FO!U21)*'Rev&amp;RAV_FO'!U85</f>
        <v>7.7419999999999991</v>
      </c>
      <c r="V85" s="399">
        <f ca="1">+(Summary_FO!V24+NotPres_FO!V21)*'Rev&amp;RAV_FO'!V85</f>
        <v>10.649682</v>
      </c>
      <c r="W85" s="399">
        <f ca="1">+(Summary_FO!W24+NotPres_FO!W21)*'Rev&amp;RAV_FO'!W85</f>
        <v>8.5</v>
      </c>
      <c r="X85" s="399">
        <f ca="1">+(Summary_FO!X24+NotPres_FO!X21)*'Rev&amp;RAV_FO'!X85</f>
        <v>6.8942999999999994</v>
      </c>
      <c r="Y85" s="349">
        <f ca="1">+(Summary_FO!Y24+NotPres_FO!Y21)*'Rev&amp;RAV_FO'!Y85</f>
        <v>7.0942346999999994</v>
      </c>
      <c r="Z85" s="349">
        <f ca="1">+(Summary_FO!Z24+NotPres_FO!Z21)*'Rev&amp;RAV_FO'!Z85</f>
        <v>7.2999675062999989</v>
      </c>
      <c r="AA85" s="349">
        <f ca="1">+(Summary_FO!AA24+NotPres_FO!AA21)*'Rev&amp;RAV_FO'!AA85</f>
        <v>7.5116665639826987</v>
      </c>
      <c r="AB85" s="349">
        <f ca="1">+(Summary_FO!AB24+NotPres_FO!AB21)*'Rev&amp;RAV_FO'!AB85</f>
        <v>7.7295048943381968</v>
      </c>
      <c r="AC85" s="349">
        <f ca="1">+(Summary_FO!AC24+NotPres_FO!AC21)*'Rev&amp;RAV_FO'!AC85</f>
        <v>7.953660536274004</v>
      </c>
      <c r="AD85" s="349">
        <f ca="1">+(Summary_FO!AD24+NotPres_FO!AD21)*'Rev&amp;RAV_FO'!AD85</f>
        <v>8.1843166918259485</v>
      </c>
      <c r="AE85" s="349">
        <f ca="1">+(Summary_FO!AE24+NotPres_FO!AE21)*'Rev&amp;RAV_FO'!AE85</f>
        <v>8.4216618758889012</v>
      </c>
      <c r="AF85" s="349">
        <f ca="1">+(Summary_FO!AF24+NotPres_FO!AF21)*'Rev&amp;RAV_FO'!AF85</f>
        <v>8.6658900702896773</v>
      </c>
      <c r="AG85" s="349">
        <f ca="1">+(Summary_FO!AG24+NotPres_FO!AG21)*'Rev&amp;RAV_FO'!AG85</f>
        <v>8.9172008823280784</v>
      </c>
      <c r="AH85" s="873"/>
    </row>
    <row r="86" spans="3:34">
      <c r="C86" s="169"/>
      <c r="E86" s="121" t="s">
        <v>129</v>
      </c>
      <c r="J86" s="608"/>
      <c r="K86" s="232"/>
      <c r="L86" s="232"/>
      <c r="M86" s="232"/>
      <c r="N86" s="232"/>
      <c r="O86" s="349">
        <f ca="1">+(Summary_FO!O21+NotPres_FO!O18)*'Rev&amp;RAV_FO'!O85</f>
        <v>2.1147000000000005</v>
      </c>
      <c r="P86" s="349">
        <f ca="1">+(Summary_FO!P21+NotPres_FO!P18)*'Rev&amp;RAV_FO'!P85</f>
        <v>2.617</v>
      </c>
      <c r="Q86" s="349">
        <f ca="1">+(Summary_FO!Q21+NotPres_FO!Q18)*'Rev&amp;RAV_FO'!Q85</f>
        <v>2.5640000000000001</v>
      </c>
      <c r="R86" s="349">
        <f ca="1">+(Summary_FO!R21+NotPres_FO!R18)*'Rev&amp;RAV_FO'!R85</f>
        <v>3.6400000000000006</v>
      </c>
      <c r="S86" s="349">
        <f ca="1">+(Summary_FO!S21+NotPres_FO!S18)*'Rev&amp;RAV_FO'!S85</f>
        <v>2.8849999999999998</v>
      </c>
      <c r="T86" s="399">
        <f ca="1">+(Summary_FO!T21+NotPres_FO!T18)*'Rev&amp;RAV_FO'!T85</f>
        <v>3.847</v>
      </c>
      <c r="U86" s="399">
        <f ca="1">+(Summary_FO!U21+NotPres_FO!U18)*'Rev&amp;RAV_FO'!U85</f>
        <v>3.8689999999999998</v>
      </c>
      <c r="V86" s="399">
        <f ca="1">+(Summary_FO!V21+NotPres_FO!V18)*'Rev&amp;RAV_FO'!V85</f>
        <v>4.2831419999999998</v>
      </c>
      <c r="W86" s="399">
        <f ca="1">+(Summary_FO!W21+NotPres_FO!W18)*'Rev&amp;RAV_FO'!W85</f>
        <v>3.5</v>
      </c>
      <c r="X86" s="399">
        <f ca="1">+(Summary_FO!X21+NotPres_FO!X18)*'Rev&amp;RAV_FO'!X85</f>
        <v>4.4411639999999997</v>
      </c>
      <c r="Y86" s="349">
        <f ca="1">+(Summary_FO!Y21+NotPres_FO!Y18)*'Rev&amp;RAV_FO'!Y85</f>
        <v>4.6377235799999994</v>
      </c>
      <c r="Z86" s="349">
        <f ca="1">+(Summary_FO!Z21+NotPres_FO!Z18)*'Rev&amp;RAV_FO'!Z85</f>
        <v>4.8441276914939992</v>
      </c>
      <c r="AA86" s="349">
        <f ca="1">+(Summary_FO!AA21+NotPres_FO!AA18)*'Rev&amp;RAV_FO'!AA85</f>
        <v>5.0608452044504331</v>
      </c>
      <c r="AB86" s="349">
        <f ca="1">+(Summary_FO!AB21+NotPres_FO!AB18)*'Rev&amp;RAV_FO'!AB85</f>
        <v>5.288365736663625</v>
      </c>
      <c r="AC86" s="349">
        <f ca="1">+(Summary_FO!AC21+NotPres_FO!AC18)*'Rev&amp;RAV_FO'!AC85</f>
        <v>5.5272005159539939</v>
      </c>
      <c r="AD86" s="349">
        <f ca="1">+(Summary_FO!AD21+NotPres_FO!AD18)*'Rev&amp;RAV_FO'!AD85</f>
        <v>5.7778832764681702</v>
      </c>
      <c r="AE86" s="349">
        <f ca="1">+(Summary_FO!AE21+NotPres_FO!AE18)*'Rev&amp;RAV_FO'!AE85</f>
        <v>6.0409711903764265</v>
      </c>
      <c r="AF86" s="349">
        <f ca="1">+(Summary_FO!AF21+NotPres_FO!AF18)*'Rev&amp;RAV_FO'!AF85</f>
        <v>6.3157524198842534</v>
      </c>
      <c r="AG86" s="349">
        <f ca="1">+(Summary_FO!AG21+NotPres_FO!AG18)*'Rev&amp;RAV_FO'!AG85</f>
        <v>6.6067142059517288</v>
      </c>
      <c r="AH86" s="873"/>
    </row>
    <row r="87" spans="3:34">
      <c r="C87" s="169"/>
      <c r="E87" s="121" t="s">
        <v>130</v>
      </c>
      <c r="J87" s="608"/>
      <c r="K87" s="232"/>
      <c r="L87" s="232"/>
      <c r="M87" s="232"/>
      <c r="N87" s="232"/>
      <c r="O87" s="349">
        <f ca="1">+(Summary_FO!O20+NotPres_FO!O17)*'Rev&amp;RAV_FO'!O85</f>
        <v>0</v>
      </c>
      <c r="P87" s="349">
        <f ca="1">+(Summary_FO!P20+NotPres_FO!P17)*'Rev&amp;RAV_FO'!P85</f>
        <v>0</v>
      </c>
      <c r="Q87" s="349">
        <f ca="1">+(Summary_FO!Q20+NotPres_FO!Q17)*'Rev&amp;RAV_FO'!Q85</f>
        <v>0</v>
      </c>
      <c r="R87" s="349">
        <f ca="1">+(Summary_FO!R20+NotPres_FO!R17)*'Rev&amp;RAV_FO'!R85</f>
        <v>0.36</v>
      </c>
      <c r="S87" s="349">
        <f ca="1">+(Summary_FO!S20+NotPres_FO!S17)*'Rev&amp;RAV_FO'!S85</f>
        <v>0.24000000000000002</v>
      </c>
      <c r="T87" s="399">
        <f ca="1">+(Summary_FO!T20+NotPres_FO!T17)*'Rev&amp;RAV_FO'!T85</f>
        <v>0.2</v>
      </c>
      <c r="U87" s="399">
        <f ca="1">+(Summary_FO!U20+NotPres_FO!U17)*'Rev&amp;RAV_FO'!U85</f>
        <v>0.98849999999999982</v>
      </c>
      <c r="V87" s="399">
        <f ca="1">+(Summary_FO!V20+NotPres_FO!V17)*'Rev&amp;RAV_FO'!V85</f>
        <v>1.3185000000000002</v>
      </c>
      <c r="W87" s="399">
        <f ca="1">+(Summary_FO!W20+NotPres_FO!W17)*'Rev&amp;RAV_FO'!W85</f>
        <v>0</v>
      </c>
      <c r="X87" s="399">
        <f ca="1">+(Summary_FO!X20+NotPres_FO!X17)*'Rev&amp;RAV_FO'!X85</f>
        <v>1.0289999999999999</v>
      </c>
      <c r="Y87" s="349">
        <f ca="1">+(Summary_FO!Y20+NotPres_FO!Y17)*'Rev&amp;RAV_FO'!Y85</f>
        <v>3.2771128949999997</v>
      </c>
      <c r="Z87" s="349">
        <f ca="1">+(Summary_FO!Z20+NotPres_FO!Z17)*'Rev&amp;RAV_FO'!Z85</f>
        <v>0.44126669254499995</v>
      </c>
      <c r="AA87" s="349">
        <f ca="1">+(Summary_FO!AA20+NotPres_FO!AA17)*'Rev&amp;RAV_FO'!AA85</f>
        <v>0</v>
      </c>
      <c r="AB87" s="349">
        <f ca="1">+(Summary_FO!AB20+NotPres_FO!AB17)*'Rev&amp;RAV_FO'!AB85</f>
        <v>0</v>
      </c>
      <c r="AC87" s="349">
        <f ca="1">+(Summary_FO!AC20+NotPres_FO!AC17)*'Rev&amp;RAV_FO'!AC85</f>
        <v>0</v>
      </c>
      <c r="AD87" s="349">
        <f ca="1">+(Summary_FO!AD20+NotPres_FO!AD17)*'Rev&amp;RAV_FO'!AD85</f>
        <v>0</v>
      </c>
      <c r="AE87" s="349">
        <f ca="1">+(Summary_FO!AE20+NotPres_FO!AE17)*'Rev&amp;RAV_FO'!AE85</f>
        <v>0</v>
      </c>
      <c r="AF87" s="349">
        <f ca="1">+(Summary_FO!AF20+NotPres_FO!AF17)*'Rev&amp;RAV_FO'!AF85</f>
        <v>0</v>
      </c>
      <c r="AG87" s="349">
        <f ca="1">+(Summary_FO!AG20+NotPres_FO!AG17)*'Rev&amp;RAV_FO'!AG85</f>
        <v>0</v>
      </c>
      <c r="AH87" s="873"/>
    </row>
    <row r="88" spans="3:34">
      <c r="C88" s="169"/>
      <c r="E88" s="121" t="s">
        <v>131</v>
      </c>
      <c r="J88" s="608"/>
      <c r="K88" s="232"/>
      <c r="L88" s="232"/>
      <c r="M88" s="232"/>
      <c r="N88" s="232"/>
      <c r="O88" s="349">
        <f>+O189</f>
        <v>-5.4179999999999999E-2</v>
      </c>
      <c r="P88" s="349">
        <f t="shared" ref="P88:V88" ca="1" si="12">+P189</f>
        <v>1.2413000000000007E-2</v>
      </c>
      <c r="Q88" s="349">
        <f t="shared" ca="1" si="12"/>
        <v>-0.16191050000000001</v>
      </c>
      <c r="R88" s="349">
        <f t="shared" ca="1" si="12"/>
        <v>-5.9333999999999991E-2</v>
      </c>
      <c r="S88" s="349">
        <f t="shared" ca="1" si="12"/>
        <v>-4.6545999999999997E-2</v>
      </c>
      <c r="T88" s="399">
        <f t="shared" ca="1" si="12"/>
        <v>1.0991500000000001E-2</v>
      </c>
      <c r="U88" s="399">
        <f t="shared" ca="1" si="12"/>
        <v>5.0788E-2</v>
      </c>
      <c r="V88" s="399">
        <f t="shared" ca="1" si="12"/>
        <v>1.5588999999999999E-2</v>
      </c>
      <c r="W88" s="399">
        <f t="shared" ref="W88:AB88" ca="1" si="13">+W189</f>
        <v>2.50435E-2</v>
      </c>
      <c r="X88" s="399">
        <f t="shared" ca="1" si="13"/>
        <v>2.2266141E-2</v>
      </c>
      <c r="Y88" s="349">
        <f t="shared" ca="1" si="13"/>
        <v>2.5493251183500001E-2</v>
      </c>
      <c r="Z88" s="349">
        <f t="shared" ca="1" si="13"/>
        <v>3.3026833426732502E-2</v>
      </c>
      <c r="AA88" s="349">
        <f t="shared" ca="1" si="13"/>
        <v>3.0017357538964375E-2</v>
      </c>
      <c r="AB88" s="349">
        <f t="shared" ca="1" si="13"/>
        <v>2.4963378221982274E-2</v>
      </c>
      <c r="AC88" s="349">
        <f ca="1">+AC189</f>
        <v>3.1586006478876771E-2</v>
      </c>
      <c r="AD88" s="349">
        <f ca="1">+AD189</f>
        <v>1.7756689622987046E-2</v>
      </c>
      <c r="AE88" s="349">
        <f ca="1">+AE189</f>
        <v>3.6466893879904289E-2</v>
      </c>
      <c r="AF88" s="349">
        <f ca="1">+AF189</f>
        <v>3.7920051636588924E-2</v>
      </c>
      <c r="AG88" s="349">
        <f ca="1">+AG189</f>
        <v>1.5779575986393859E-3</v>
      </c>
      <c r="AH88" s="873"/>
    </row>
    <row r="89" spans="3:34">
      <c r="C89" s="169"/>
      <c r="E89" s="121" t="s">
        <v>132</v>
      </c>
      <c r="J89" s="608"/>
      <c r="K89" s="232"/>
      <c r="L89" s="232"/>
      <c r="M89" s="232"/>
      <c r="N89" s="232"/>
      <c r="O89" s="349">
        <f ca="1">+(Summary_FO!O25+NotPres_FO!O22)*'Rev&amp;RAV_FO'!O85</f>
        <v>0.504</v>
      </c>
      <c r="P89" s="349">
        <f ca="1">+(Summary_FO!P25+NotPres_FO!P22)*'Rev&amp;RAV_FO'!P85</f>
        <v>0.66100000000000003</v>
      </c>
      <c r="Q89" s="349">
        <f ca="1">+(Summary_FO!Q25+NotPres_FO!Q22)*'Rev&amp;RAV_FO'!Q85</f>
        <v>0.53500000000000003</v>
      </c>
      <c r="R89" s="349">
        <f ca="1">+(Summary_FO!R25+NotPres_FO!R22)*'Rev&amp;RAV_FO'!R85</f>
        <v>0.43699999999999994</v>
      </c>
      <c r="S89" s="349">
        <f ca="1">+(Summary_FO!S25+NotPres_FO!S22)*'Rev&amp;RAV_FO'!S85</f>
        <v>0.15700000000000003</v>
      </c>
      <c r="T89" s="399">
        <f ca="1">+(Summary_FO!T25+NotPres_FO!T22)*'Rev&amp;RAV_FO'!T85</f>
        <v>0.184</v>
      </c>
      <c r="U89" s="399">
        <f ca="1">+(Summary_FO!U25+NotPres_FO!U22)*'Rev&amp;RAV_FO'!U85</f>
        <v>0.49199999999999999</v>
      </c>
      <c r="V89" s="399">
        <f ca="1">+(Summary_FO!V25+NotPres_FO!V22)*'Rev&amp;RAV_FO'!V85</f>
        <v>3.1817999999999992E-2</v>
      </c>
      <c r="W89" s="399">
        <f ca="1">+(Summary_FO!W25+NotPres_FO!W22)*'Rev&amp;RAV_FO'!W85</f>
        <v>0.5</v>
      </c>
      <c r="X89" s="399">
        <f ca="1">+(Summary_FO!X25+NotPres_FO!X22)*'Rev&amp;RAV_FO'!X85</f>
        <v>0.51449999999999996</v>
      </c>
      <c r="Y89" s="349">
        <f ca="1">+(Summary_FO!Y25+NotPres_FO!Y22)*'Rev&amp;RAV_FO'!Y85</f>
        <v>0.52942049999999996</v>
      </c>
      <c r="Z89" s="349">
        <f ca="1">+(Summary_FO!Z25+NotPres_FO!Z22)*'Rev&amp;RAV_FO'!Z85</f>
        <v>0.54477369449999991</v>
      </c>
      <c r="AA89" s="349">
        <f ca="1">+(Summary_FO!AA25+NotPres_FO!AA22)*'Rev&amp;RAV_FO'!AA85</f>
        <v>0.5605721316404999</v>
      </c>
      <c r="AB89" s="349">
        <f ca="1">+(Summary_FO!AB25+NotPres_FO!AB22)*'Rev&amp;RAV_FO'!AB85</f>
        <v>0.57682872345807434</v>
      </c>
      <c r="AC89" s="349">
        <f ca="1">+(Summary_FO!AC25+NotPres_FO!AC22)*'Rev&amp;RAV_FO'!AC85</f>
        <v>0.59355675643835848</v>
      </c>
      <c r="AD89" s="349">
        <f ca="1">+(Summary_FO!AD25+NotPres_FO!AD22)*'Rev&amp;RAV_FO'!AD85</f>
        <v>0.61076990237507078</v>
      </c>
      <c r="AE89" s="349">
        <f ca="1">+(Summary_FO!AE25+NotPres_FO!AE22)*'Rev&amp;RAV_FO'!AE85</f>
        <v>0.62848222954394783</v>
      </c>
      <c r="AF89" s="349">
        <f ca="1">+(Summary_FO!AF25+NotPres_FO!AF22)*'Rev&amp;RAV_FO'!AF85</f>
        <v>0.64670821420072222</v>
      </c>
      <c r="AG89" s="349">
        <f ca="1">+(Summary_FO!AG25+NotPres_FO!AG22)*'Rev&amp;RAV_FO'!AG85</f>
        <v>0.66546275241254316</v>
      </c>
      <c r="AH89" s="873"/>
    </row>
    <row r="90" spans="3:34">
      <c r="C90" s="169"/>
      <c r="E90" s="121" t="s">
        <v>229</v>
      </c>
      <c r="J90" s="608"/>
      <c r="K90" s="232"/>
      <c r="L90" s="232"/>
      <c r="M90" s="232"/>
      <c r="N90" s="232"/>
      <c r="O90" s="349">
        <f ca="1">+NotPres_FO!O12*'Rev&amp;RAV_FO'!O85</f>
        <v>0.78400000000000003</v>
      </c>
      <c r="P90" s="349">
        <f ca="1">+NotPres_FO!P12*'Rev&amp;RAV_FO'!P85</f>
        <v>2.2250000000000001</v>
      </c>
      <c r="Q90" s="349">
        <f ca="1">+NotPres_FO!Q12*'Rev&amp;RAV_FO'!Q85</f>
        <v>2.0669999999999997</v>
      </c>
      <c r="R90" s="349">
        <f ca="1">+NotPres_FO!R12*'Rev&amp;RAV_FO'!R85</f>
        <v>2.1029999999999998</v>
      </c>
      <c r="S90" s="349">
        <f ca="1">+NotPres_FO!S12*'Rev&amp;RAV_FO'!S85</f>
        <v>1.0860000000000001</v>
      </c>
      <c r="T90" s="399">
        <f ca="1">+NotPres_FO!T12*'Rev&amp;RAV_FO'!T85</f>
        <v>1.0690000000000002</v>
      </c>
      <c r="U90" s="399">
        <f ca="1">+NotPres_FO!U12*'Rev&amp;RAV_FO'!U85</f>
        <v>1.3190000000000002</v>
      </c>
      <c r="V90" s="399">
        <f ca="1">+NotPres_FO!V12*'Rev&amp;RAV_FO'!V85</f>
        <v>2.2653969999999997</v>
      </c>
      <c r="W90" s="399">
        <f ca="1">+NotPres_FO!W12*'Rev&amp;RAV_FO'!W85</f>
        <v>1.335</v>
      </c>
      <c r="X90" s="399">
        <f ca="1">+NotPres_FO!X12*'Rev&amp;RAV_FO'!X85</f>
        <v>1.3222649999999998</v>
      </c>
      <c r="Y90" s="349">
        <f ca="1">+NotPres_FO!Y12*'Rev&amp;RAV_FO'!Y85</f>
        <v>1.3606106849999997</v>
      </c>
      <c r="Z90" s="349">
        <f ca="1">+NotPres_FO!Z12*'Rev&amp;RAV_FO'!Z85</f>
        <v>1.4000683948649997</v>
      </c>
      <c r="AA90" s="349">
        <f ca="1">+NotPres_FO!AA12*'Rev&amp;RAV_FO'!AA85</f>
        <v>1.4406703783160846</v>
      </c>
      <c r="AB90" s="349">
        <f ca="1">+NotPres_FO!AB12*'Rev&amp;RAV_FO'!AB85</f>
        <v>1.4824498192872511</v>
      </c>
      <c r="AC90" s="349">
        <f ca="1">+NotPres_FO!AC12*'Rev&amp;RAV_FO'!AC85</f>
        <v>1.5254408640465813</v>
      </c>
      <c r="AD90" s="349">
        <f ca="1">+NotPres_FO!AD12*'Rev&amp;RAV_FO'!AD85</f>
        <v>1.5696786491039318</v>
      </c>
      <c r="AE90" s="349">
        <f ca="1">+NotPres_FO!AE12*'Rev&amp;RAV_FO'!AE85</f>
        <v>1.6151993299279459</v>
      </c>
      <c r="AF90" s="349">
        <f ca="1">+NotPres_FO!AF12*'Rev&amp;RAV_FO'!AF85</f>
        <v>1.662040110495856</v>
      </c>
      <c r="AG90" s="349">
        <f ca="1">+NotPres_FO!AG12*'Rev&amp;RAV_FO'!AG85</f>
        <v>1.7102392737002359</v>
      </c>
      <c r="AH90" s="873"/>
    </row>
    <row r="91" spans="3:34" ht="14.25">
      <c r="C91" s="169"/>
      <c r="E91" s="121" t="s">
        <v>598</v>
      </c>
      <c r="J91" s="608"/>
      <c r="K91" s="232"/>
      <c r="L91" s="232"/>
      <c r="M91" s="232"/>
      <c r="N91" s="232"/>
      <c r="O91" s="349">
        <f>+O20</f>
        <v>0</v>
      </c>
      <c r="P91" s="349">
        <f>+P20</f>
        <v>0</v>
      </c>
      <c r="Q91" s="349">
        <f>+Q20</f>
        <v>0</v>
      </c>
      <c r="R91" s="349">
        <f t="shared" ref="R91:AG91" si="14">+R20</f>
        <v>0</v>
      </c>
      <c r="S91" s="349">
        <f t="shared" si="14"/>
        <v>0</v>
      </c>
      <c r="T91" s="399">
        <f t="shared" si="14"/>
        <v>0</v>
      </c>
      <c r="U91" s="399">
        <f t="shared" si="14"/>
        <v>0</v>
      </c>
      <c r="V91" s="399">
        <f t="shared" si="14"/>
        <v>0</v>
      </c>
      <c r="W91" s="399">
        <f t="shared" si="14"/>
        <v>0</v>
      </c>
      <c r="X91" s="399">
        <f t="shared" si="14"/>
        <v>0</v>
      </c>
      <c r="Y91" s="349">
        <f t="shared" si="14"/>
        <v>0</v>
      </c>
      <c r="Z91" s="349">
        <f t="shared" si="14"/>
        <v>0</v>
      </c>
      <c r="AA91" s="349">
        <f t="shared" si="14"/>
        <v>0</v>
      </c>
      <c r="AB91" s="349">
        <f t="shared" si="14"/>
        <v>0</v>
      </c>
      <c r="AC91" s="349">
        <f t="shared" si="14"/>
        <v>0</v>
      </c>
      <c r="AD91" s="349">
        <f t="shared" si="14"/>
        <v>0</v>
      </c>
      <c r="AE91" s="349">
        <f t="shared" si="14"/>
        <v>0</v>
      </c>
      <c r="AF91" s="349">
        <f t="shared" si="14"/>
        <v>0</v>
      </c>
      <c r="AG91" s="349">
        <f t="shared" si="14"/>
        <v>0</v>
      </c>
      <c r="AH91" s="873"/>
    </row>
    <row r="92" spans="3:34">
      <c r="C92" s="169"/>
      <c r="E92" s="104" t="s">
        <v>205</v>
      </c>
      <c r="J92" s="608"/>
      <c r="K92" s="232"/>
      <c r="L92" s="232"/>
      <c r="M92" s="232"/>
      <c r="N92" s="232"/>
      <c r="O92" s="927">
        <f ca="1">+(O83-O84)+SUM(O85:O91)</f>
        <v>68.33077579483286</v>
      </c>
      <c r="P92" s="888">
        <f ca="1">+(P83-P84)+SUM(P85:P91)</f>
        <v>72.164313873682303</v>
      </c>
      <c r="Q92" s="888">
        <f ca="1">+(Q83-Q84)+SUM(Q85:Q91)</f>
        <v>73.972601455670684</v>
      </c>
      <c r="R92" s="888">
        <f t="shared" ref="R92:W92" ca="1" si="15">+(R83-R84)+SUM(R85:R91)</f>
        <v>75.812808396560584</v>
      </c>
      <c r="S92" s="932">
        <f t="shared" ca="1" si="15"/>
        <v>72.520124713337083</v>
      </c>
      <c r="T92" s="932">
        <f t="shared" ca="1" si="15"/>
        <v>81.51923229314238</v>
      </c>
      <c r="U92" s="932">
        <f t="shared" ca="1" si="15"/>
        <v>89.838268580531249</v>
      </c>
      <c r="V92" s="932">
        <f t="shared" ca="1" si="15"/>
        <v>100.22925981800844</v>
      </c>
      <c r="W92" s="934">
        <f t="shared" ca="1" si="15"/>
        <v>95.942958739904029</v>
      </c>
      <c r="X92" s="933">
        <f t="shared" ref="X92:AG92" ca="1" si="16">+(X83-X84)+SUM(X85:X91)</f>
        <v>105.42667155995602</v>
      </c>
      <c r="Y92" s="888">
        <f t="shared" ca="1" si="16"/>
        <v>116.64072412154189</v>
      </c>
      <c r="Z92" s="888">
        <f t="shared" ca="1" si="16"/>
        <v>123.59953355623068</v>
      </c>
      <c r="AA92" s="888">
        <f t="shared" ca="1" si="16"/>
        <v>133.86566533835912</v>
      </c>
      <c r="AB92" s="927">
        <f t="shared" ca="1" si="16"/>
        <v>145.53850144927989</v>
      </c>
      <c r="AC92" s="888">
        <f t="shared" ca="1" si="16"/>
        <v>153.50382439983781</v>
      </c>
      <c r="AD92" s="888">
        <f t="shared" ca="1" si="16"/>
        <v>161.93126285375635</v>
      </c>
      <c r="AE92" s="888">
        <f t="shared" ca="1" si="16"/>
        <v>170.84890610008219</v>
      </c>
      <c r="AF92" s="888">
        <f t="shared" ca="1" si="16"/>
        <v>180.32674096176567</v>
      </c>
      <c r="AG92" s="888">
        <f t="shared" ca="1" si="16"/>
        <v>190.24716359613836</v>
      </c>
      <c r="AH92" s="873"/>
    </row>
    <row r="93" spans="3:34">
      <c r="C93" s="169"/>
      <c r="E93" s="104"/>
      <c r="J93" s="608"/>
      <c r="K93" s="232"/>
      <c r="L93" s="232"/>
      <c r="M93" s="232"/>
      <c r="N93" s="232"/>
      <c r="O93" s="349"/>
      <c r="P93" s="349"/>
      <c r="Q93" s="349"/>
      <c r="R93" s="349"/>
      <c r="S93" s="349"/>
      <c r="T93" s="399"/>
      <c r="U93" s="399"/>
      <c r="V93" s="399"/>
      <c r="W93" s="399"/>
      <c r="X93" s="399"/>
      <c r="Y93" s="349"/>
      <c r="Z93" s="349"/>
      <c r="AA93" s="349"/>
      <c r="AB93" s="349"/>
      <c r="AC93" s="349"/>
      <c r="AD93" s="349"/>
      <c r="AE93" s="349"/>
      <c r="AF93" s="349"/>
      <c r="AG93" s="349"/>
      <c r="AH93" s="873"/>
    </row>
    <row r="94" spans="3:34">
      <c r="C94" s="169"/>
      <c r="E94" s="104" t="s">
        <v>133</v>
      </c>
      <c r="J94" s="608"/>
      <c r="K94" s="232"/>
      <c r="L94" s="232"/>
      <c r="M94" s="232"/>
      <c r="N94" s="232"/>
      <c r="O94" s="349"/>
      <c r="P94" s="349"/>
      <c r="Q94" s="349"/>
      <c r="R94" s="349"/>
      <c r="S94" s="349"/>
      <c r="T94" s="399"/>
      <c r="U94" s="399"/>
      <c r="V94" s="399"/>
      <c r="W94" s="399"/>
      <c r="X94" s="399"/>
      <c r="Y94" s="349"/>
      <c r="Z94" s="349"/>
      <c r="AA94" s="349"/>
      <c r="AB94" s="349"/>
      <c r="AC94" s="349"/>
      <c r="AD94" s="349"/>
      <c r="AE94" s="349"/>
      <c r="AF94" s="349"/>
      <c r="AG94" s="349"/>
      <c r="AH94" s="873"/>
    </row>
    <row r="95" spans="3:34">
      <c r="C95" s="169"/>
      <c r="E95" s="121" t="s">
        <v>230</v>
      </c>
      <c r="J95" s="608"/>
      <c r="K95" s="232"/>
      <c r="L95" s="232"/>
      <c r="M95" s="232"/>
      <c r="N95" s="232"/>
      <c r="O95" s="349">
        <f>+Summary_FO!O15*'Rev&amp;RAV_FO'!O85</f>
        <v>42.353000000000002</v>
      </c>
      <c r="P95" s="349">
        <f>+Summary_FO!P15*'Rev&amp;RAV_FO'!P85</f>
        <v>42.171999999999997</v>
      </c>
      <c r="Q95" s="349">
        <f>+Summary_FO!Q15*'Rev&amp;RAV_FO'!Q85</f>
        <v>47</v>
      </c>
      <c r="R95" s="349">
        <f>+Summary_FO!R15*'Rev&amp;RAV_FO'!R85</f>
        <v>46.06</v>
      </c>
      <c r="S95" s="349">
        <f>+Summary_FO!S15*'Rev&amp;RAV_FO'!S85</f>
        <v>48.03</v>
      </c>
      <c r="T95" s="349">
        <f>+Summary_FO!T15*'Rev&amp;RAV_FO'!T85</f>
        <v>55.453000000000003</v>
      </c>
      <c r="U95" s="349">
        <f>+Summary_FO!U15*'Rev&amp;RAV_FO'!U85</f>
        <v>58.470999999999997</v>
      </c>
      <c r="V95" s="349">
        <f>+Summary_FO!V15*'Rev&amp;RAV_FO'!V85</f>
        <v>60.875999999999991</v>
      </c>
      <c r="W95" s="349">
        <f>+Summary_FO!W15*'Rev&amp;RAV_FO'!W85</f>
        <v>58.988000000000014</v>
      </c>
      <c r="X95" s="349">
        <f>+Summary_FO!X15*'Rev&amp;RAV_FO'!X85</f>
        <v>62.595569722218322</v>
      </c>
      <c r="Y95" s="349">
        <f>+Summary_FO!Y15*'Rev&amp;RAV_FO'!Y85</f>
        <v>65.185413023756652</v>
      </c>
      <c r="Z95" s="349">
        <f>+Summary_FO!Z15*'Rev&amp;RAV_FO'!Z85</f>
        <v>66.412045468859063</v>
      </c>
      <c r="AA95" s="349">
        <f>+Summary_FO!AA15*'Rev&amp;RAV_FO'!AA85</f>
        <v>69.228056368549673</v>
      </c>
      <c r="AB95" s="349">
        <f>+Summary_FO!AB15*'Rev&amp;RAV_FO'!AB85</f>
        <v>71.23851015206354</v>
      </c>
      <c r="AC95" s="349">
        <f>+Summary_FO!AC15*'Rev&amp;RAV_FO'!AC85</f>
        <v>74.227093580008471</v>
      </c>
      <c r="AD95" s="349">
        <f>+Summary_FO!AD15*'Rev&amp;RAV_FO'!AD85</f>
        <v>77.347127908524755</v>
      </c>
      <c r="AE95" s="349">
        <f>+Summary_FO!AE15*'Rev&amp;RAV_FO'!AE85</f>
        <v>80.604168683142504</v>
      </c>
      <c r="AF95" s="349">
        <f>+Summary_FO!AF15*'Rev&amp;RAV_FO'!AF85</f>
        <v>84.004373697389113</v>
      </c>
      <c r="AG95" s="349">
        <f>+Summary_FO!AG15*'Rev&amp;RAV_FO'!AG85</f>
        <v>87.554177852732892</v>
      </c>
      <c r="AH95" s="873"/>
    </row>
    <row r="96" spans="3:34">
      <c r="C96" s="169"/>
      <c r="E96" s="121" t="s">
        <v>231</v>
      </c>
      <c r="J96" s="608"/>
      <c r="K96" s="232"/>
      <c r="L96" s="232"/>
      <c r="M96" s="232"/>
      <c r="N96" s="232"/>
      <c r="O96" s="349">
        <f ca="1">+NotPres_FO!O14*'Rev&amp;RAV_FO'!O85</f>
        <v>0.93600000000000017</v>
      </c>
      <c r="P96" s="349">
        <f ca="1">+NotPres_FO!P14*'Rev&amp;RAV_FO'!P85</f>
        <v>0.95899999999999985</v>
      </c>
      <c r="Q96" s="349">
        <f ca="1">+NotPres_FO!Q14*'Rev&amp;RAV_FO'!Q85</f>
        <v>0.79600000000000004</v>
      </c>
      <c r="R96" s="349">
        <f ca="1">+NotPres_FO!R14*'Rev&amp;RAV_FO'!R85</f>
        <v>0.73099999999999998</v>
      </c>
      <c r="S96" s="349">
        <f ca="1">+NotPres_FO!S14*'Rev&amp;RAV_FO'!S85</f>
        <v>0.80400000000000005</v>
      </c>
      <c r="T96" s="399">
        <f ca="1">+NotPres_FO!T14*'Rev&amp;RAV_FO'!T85</f>
        <v>1.256</v>
      </c>
      <c r="U96" s="399">
        <f ca="1">+NotPres_FO!U14*'Rev&amp;RAV_FO'!U85</f>
        <v>1.2629999999999999</v>
      </c>
      <c r="V96" s="399">
        <f ca="1">+NotPres_FO!V14*'Rev&amp;RAV_FO'!V85</f>
        <v>0.56499999999999995</v>
      </c>
      <c r="W96" s="399">
        <f ca="1">+NotPres_FO!W14*'Rev&amp;RAV_FO'!W85</f>
        <v>0.95</v>
      </c>
      <c r="X96" s="399">
        <f ca="1">+NotPres_FO!X14*'Rev&amp;RAV_FO'!X85</f>
        <v>0.97754999999999992</v>
      </c>
      <c r="Y96" s="349">
        <f ca="1">+NotPres_FO!Y14*'Rev&amp;RAV_FO'!Y85</f>
        <v>1.00589895</v>
      </c>
      <c r="Z96" s="349">
        <f ca="1">+NotPres_FO!Z14*'Rev&amp;RAV_FO'!Z85</f>
        <v>1.0350700195499998</v>
      </c>
      <c r="AA96" s="349">
        <f ca="1">+NotPres_FO!AA14*'Rev&amp;RAV_FO'!AA85</f>
        <v>1.0650870501169498</v>
      </c>
      <c r="AB96" s="349">
        <f ca="1">+NotPres_FO!AB14*'Rev&amp;RAV_FO'!AB85</f>
        <v>1.0959745745703413</v>
      </c>
      <c r="AC96" s="349">
        <f ca="1">+NotPres_FO!AC14*'Rev&amp;RAV_FO'!AC85</f>
        <v>1.1277578372328811</v>
      </c>
      <c r="AD96" s="349">
        <f ca="1">+NotPres_FO!AD14*'Rev&amp;RAV_FO'!AD85</f>
        <v>1.1604628145126343</v>
      </c>
      <c r="AE96" s="349">
        <f ca="1">+NotPres_FO!AE14*'Rev&amp;RAV_FO'!AE85</f>
        <v>1.1941162361335009</v>
      </c>
      <c r="AF96" s="349">
        <f ca="1">+NotPres_FO!AF14*'Rev&amp;RAV_FO'!AF85</f>
        <v>1.2287456069813723</v>
      </c>
      <c r="AG96" s="349">
        <f ca="1">+NotPres_FO!AG14*'Rev&amp;RAV_FO'!AG85</f>
        <v>1.2643792295838319</v>
      </c>
      <c r="AH96" s="873"/>
    </row>
    <row r="97" spans="3:34">
      <c r="C97" s="169"/>
      <c r="E97" s="121" t="s">
        <v>117</v>
      </c>
      <c r="J97" s="608"/>
      <c r="K97" s="232"/>
      <c r="L97" s="232"/>
      <c r="M97" s="232"/>
      <c r="N97" s="232"/>
      <c r="O97" s="349">
        <f>+'Finance&amp;Tax_FO'!O17</f>
        <v>21.901</v>
      </c>
      <c r="P97" s="349">
        <f>+'Finance&amp;Tax_FO'!P17</f>
        <v>22.113</v>
      </c>
      <c r="Q97" s="349">
        <f>+'Finance&amp;Tax_FO'!Q17</f>
        <v>22.491</v>
      </c>
      <c r="R97" s="349">
        <f>+'Finance&amp;Tax_FO'!R17</f>
        <v>22.593</v>
      </c>
      <c r="S97" s="349">
        <f>+'Finance&amp;Tax_FO'!S17</f>
        <v>26.315999999999999</v>
      </c>
      <c r="T97" s="399">
        <f>+'Finance&amp;Tax_FO'!T17</f>
        <v>25.622</v>
      </c>
      <c r="U97" s="399">
        <f>+'Finance&amp;Tax_FO'!U17</f>
        <v>27.199000000000002</v>
      </c>
      <c r="V97" s="399">
        <f>+'Finance&amp;Tax_FO'!V17</f>
        <v>28.5</v>
      </c>
      <c r="W97" s="399">
        <f>+'Finance&amp;Tax_FO'!W17</f>
        <v>30.1</v>
      </c>
      <c r="X97" s="399">
        <f>+'Finance&amp;Tax_FO'!X17</f>
        <v>31.847999999999999</v>
      </c>
      <c r="Y97" s="349">
        <f>+'Finance&amp;Tax_FO'!Y17</f>
        <v>33.030299999999997</v>
      </c>
      <c r="Z97" s="349">
        <f>+'Finance&amp;Tax_FO'!Z17</f>
        <v>34.206000000000003</v>
      </c>
      <c r="AA97" s="349">
        <f>+'Finance&amp;Tax_FO'!AA17</f>
        <v>35.323</v>
      </c>
      <c r="AB97" s="349">
        <f>+'Finance&amp;Tax_FO'!AB17</f>
        <v>36.609000000000002</v>
      </c>
      <c r="AC97" s="349">
        <f>+'Finance&amp;Tax_FO'!AC17</f>
        <v>38.058999999999997</v>
      </c>
      <c r="AD97" s="349">
        <f>+'Finance&amp;Tax_FO'!AD17</f>
        <v>39.509</v>
      </c>
      <c r="AE97" s="349">
        <f>+'Finance&amp;Tax_FO'!AE17</f>
        <v>40.959000000000003</v>
      </c>
      <c r="AF97" s="349">
        <f>+'Finance&amp;Tax_FO'!AF17</f>
        <v>42.408999999999999</v>
      </c>
      <c r="AG97" s="349">
        <f>+'Finance&amp;Tax_FO'!AG17</f>
        <v>43.859000000000002</v>
      </c>
      <c r="AH97" s="873"/>
    </row>
    <row r="98" spans="3:34">
      <c r="C98" s="169"/>
      <c r="E98" s="121" t="s">
        <v>134</v>
      </c>
      <c r="J98" s="608"/>
      <c r="K98" s="232"/>
      <c r="L98" s="232"/>
      <c r="M98" s="232"/>
      <c r="N98" s="232"/>
      <c r="O98" s="349">
        <f>+O195</f>
        <v>1.0529999999999999</v>
      </c>
      <c r="P98" s="349">
        <f ca="1">+P195</f>
        <v>1.4537755366170202</v>
      </c>
      <c r="Q98" s="349">
        <f ca="1">+Q195</f>
        <v>0.74177424639310197</v>
      </c>
      <c r="R98" s="349">
        <f t="shared" ref="R98:W98" ca="1" si="17">+R195</f>
        <v>1.0853023136706181</v>
      </c>
      <c r="S98" s="349">
        <f t="shared" ca="1" si="17"/>
        <v>1.5239500485892394</v>
      </c>
      <c r="T98" s="399">
        <f t="shared" ca="1" si="17"/>
        <v>3.6217199526698316</v>
      </c>
      <c r="U98" s="399">
        <f t="shared" ca="1" si="17"/>
        <v>4.7843565043699847</v>
      </c>
      <c r="V98" s="399">
        <f t="shared" ca="1" si="17"/>
        <v>6.8393795471712124</v>
      </c>
      <c r="W98" s="399">
        <f t="shared" ca="1" si="17"/>
        <v>10.264963187196049</v>
      </c>
      <c r="X98" s="399">
        <f t="shared" ref="X98:AG98" ca="1" si="18">+X195</f>
        <v>7.7999972391406835</v>
      </c>
      <c r="Y98" s="349">
        <f t="shared" ca="1" si="18"/>
        <v>8.2696999034448631</v>
      </c>
      <c r="Z98" s="349">
        <f t="shared" ca="1" si="18"/>
        <v>1.774160104313447</v>
      </c>
      <c r="AA98" s="349">
        <f t="shared" ca="1" si="18"/>
        <v>0.65184560667700531</v>
      </c>
      <c r="AB98" s="349">
        <f t="shared" ca="1" si="18"/>
        <v>7.2701085893847592</v>
      </c>
      <c r="AC98" s="349">
        <f t="shared" ca="1" si="18"/>
        <v>7.1357593624073559</v>
      </c>
      <c r="AD98" s="349">
        <f t="shared" ca="1" si="18"/>
        <v>11.206490350127893</v>
      </c>
      <c r="AE98" s="349">
        <f t="shared" ca="1" si="18"/>
        <v>12.273392393588928</v>
      </c>
      <c r="AF98" s="349">
        <f t="shared" ca="1" si="18"/>
        <v>12.82069288403696</v>
      </c>
      <c r="AG98" s="349">
        <f t="shared" ca="1" si="18"/>
        <v>13.876926540301927</v>
      </c>
      <c r="AH98" s="873"/>
    </row>
    <row r="99" spans="3:34">
      <c r="C99" s="169"/>
      <c r="E99" s="121" t="s">
        <v>135</v>
      </c>
      <c r="J99" s="608"/>
      <c r="K99" s="232"/>
      <c r="L99" s="232"/>
      <c r="M99" s="232"/>
      <c r="N99" s="232"/>
      <c r="O99" s="349">
        <f>Capex_FO_AC!O30*'Rev&amp;RAV_FO'!O85</f>
        <v>-0.81</v>
      </c>
      <c r="P99" s="349">
        <f>Capex_FO_AC!P30*'Rev&amp;RAV_FO'!P85</f>
        <v>-1.3460000000000001</v>
      </c>
      <c r="Q99" s="349">
        <f>Capex_FO_AC!Q30*'Rev&amp;RAV_FO'!Q85</f>
        <v>-1.6939999999999997</v>
      </c>
      <c r="R99" s="349">
        <f>Capex_FO_AC!R30*'Rev&amp;RAV_FO'!R85</f>
        <v>-1.3809999999999998</v>
      </c>
      <c r="S99" s="349">
        <f>Capex_FO_AC!S30*'Rev&amp;RAV_FO'!S85</f>
        <v>-0.45400000000000007</v>
      </c>
      <c r="T99" s="399">
        <f>Capex_FO_AC!T30*'Rev&amp;RAV_FO'!T85</f>
        <v>-0.71099999999999997</v>
      </c>
      <c r="U99" s="399">
        <f>Capex_FO_AC!U30*'Rev&amp;RAV_FO'!U85</f>
        <v>-0.51600000000000001</v>
      </c>
      <c r="V99" s="399">
        <f>Capex_FO_AC!V30*'Rev&amp;RAV_FO'!V85</f>
        <v>-0.17899999999999999</v>
      </c>
      <c r="W99" s="399">
        <f>Capex_FO_AC!W30*'Rev&amp;RAV_FO'!W85</f>
        <v>-0.5</v>
      </c>
      <c r="X99" s="399">
        <f>Capex_FO_AC!X30*'Rev&amp;RAV_FO'!X85</f>
        <v>-0.51449999999999996</v>
      </c>
      <c r="Y99" s="349">
        <f>Capex_FO_AC!Y30*'Rev&amp;RAV_FO'!Y85</f>
        <v>-0.52942049999999996</v>
      </c>
      <c r="Z99" s="349">
        <f>Capex_FO_AC!Z30*'Rev&amp;RAV_FO'!Z85</f>
        <v>-0.54477369449999991</v>
      </c>
      <c r="AA99" s="349">
        <f>Capex_FO_AC!AA30*'Rev&amp;RAV_FO'!AA85</f>
        <v>-0.5605721316404999</v>
      </c>
      <c r="AB99" s="349">
        <f>Capex_FO_AC!AB30*'Rev&amp;RAV_FO'!AB85</f>
        <v>-0.57682872345807434</v>
      </c>
      <c r="AC99" s="349">
        <f>Capex_FO_AC!AC30*'Rev&amp;RAV_FO'!AC85</f>
        <v>-0.59355675643835848</v>
      </c>
      <c r="AD99" s="349">
        <f>Capex_FO_AC!AD30*'Rev&amp;RAV_FO'!AD85</f>
        <v>-0.61076990237507078</v>
      </c>
      <c r="AE99" s="349">
        <f>Capex_FO_AC!AE30*'Rev&amp;RAV_FO'!AE85</f>
        <v>-0.62848222954394783</v>
      </c>
      <c r="AF99" s="349">
        <f>Capex_FO_AC!AF30*'Rev&amp;RAV_FO'!AF85</f>
        <v>-0.64670821420072222</v>
      </c>
      <c r="AG99" s="349">
        <f>Capex_FO_AC!AG30*'Rev&amp;RAV_FO'!AG85</f>
        <v>-0.66546275241254316</v>
      </c>
      <c r="AH99" s="873"/>
    </row>
    <row r="100" spans="3:34" ht="14.25">
      <c r="C100" s="169"/>
      <c r="E100" s="121" t="s">
        <v>599</v>
      </c>
      <c r="J100" s="608"/>
      <c r="K100" s="232"/>
      <c r="L100" s="232"/>
      <c r="M100" s="232"/>
      <c r="N100" s="232"/>
      <c r="O100" s="349">
        <f>+O28</f>
        <v>0</v>
      </c>
      <c r="P100" s="349">
        <f>+P28</f>
        <v>0</v>
      </c>
      <c r="Q100" s="349">
        <f>+Q28</f>
        <v>0</v>
      </c>
      <c r="R100" s="349">
        <f t="shared" ref="R100:AG100" si="19">+R28</f>
        <v>0</v>
      </c>
      <c r="S100" s="349">
        <f t="shared" si="19"/>
        <v>0</v>
      </c>
      <c r="T100" s="399">
        <f t="shared" si="19"/>
        <v>0</v>
      </c>
      <c r="U100" s="399">
        <f t="shared" si="19"/>
        <v>0</v>
      </c>
      <c r="V100" s="399">
        <f t="shared" si="19"/>
        <v>0</v>
      </c>
      <c r="W100" s="399">
        <f t="shared" si="19"/>
        <v>0</v>
      </c>
      <c r="X100" s="399">
        <f t="shared" si="19"/>
        <v>0</v>
      </c>
      <c r="Y100" s="349">
        <f t="shared" si="19"/>
        <v>0</v>
      </c>
      <c r="Z100" s="349">
        <f t="shared" si="19"/>
        <v>0</v>
      </c>
      <c r="AA100" s="349">
        <f t="shared" si="19"/>
        <v>0</v>
      </c>
      <c r="AB100" s="349">
        <f t="shared" si="19"/>
        <v>0</v>
      </c>
      <c r="AC100" s="349">
        <f t="shared" si="19"/>
        <v>0</v>
      </c>
      <c r="AD100" s="349">
        <f t="shared" si="19"/>
        <v>0</v>
      </c>
      <c r="AE100" s="349">
        <f t="shared" si="19"/>
        <v>0</v>
      </c>
      <c r="AF100" s="349">
        <f t="shared" si="19"/>
        <v>0</v>
      </c>
      <c r="AG100" s="349">
        <f t="shared" si="19"/>
        <v>0</v>
      </c>
      <c r="AH100" s="873"/>
    </row>
    <row r="101" spans="3:34">
      <c r="C101" s="169"/>
      <c r="E101" s="104" t="s">
        <v>206</v>
      </c>
      <c r="J101" s="608"/>
      <c r="K101" s="232"/>
      <c r="L101" s="232"/>
      <c r="M101" s="232"/>
      <c r="N101" s="232"/>
      <c r="O101" s="385">
        <f ca="1">+SUM(O95:O100)</f>
        <v>65.432999999999993</v>
      </c>
      <c r="P101" s="385">
        <f ca="1">+SUM(P95:P100)</f>
        <v>65.351775536617012</v>
      </c>
      <c r="Q101" s="385">
        <f ca="1">+SUM(Q95:Q100)</f>
        <v>69.33477424639311</v>
      </c>
      <c r="R101" s="385">
        <f t="shared" ref="R101:W101" ca="1" si="20">+SUM(R95:R100)</f>
        <v>69.088302313670624</v>
      </c>
      <c r="S101" s="385">
        <f t="shared" ca="1" si="20"/>
        <v>76.219950048589254</v>
      </c>
      <c r="T101" s="814">
        <f t="shared" ca="1" si="20"/>
        <v>85.24171995266984</v>
      </c>
      <c r="U101" s="814">
        <f t="shared" ca="1" si="20"/>
        <v>91.201356504369969</v>
      </c>
      <c r="V101" s="814">
        <f t="shared" ca="1" si="20"/>
        <v>96.601379547171206</v>
      </c>
      <c r="W101" s="814">
        <f t="shared" ca="1" si="20"/>
        <v>99.802963187196056</v>
      </c>
      <c r="X101" s="814">
        <f t="shared" ref="X101:AG101" ca="1" si="21">+SUM(X95:X100)</f>
        <v>102.706616961359</v>
      </c>
      <c r="Y101" s="385">
        <f t="shared" ca="1" si="21"/>
        <v>106.96189137720151</v>
      </c>
      <c r="Z101" s="385">
        <f t="shared" ca="1" si="21"/>
        <v>102.88250189822253</v>
      </c>
      <c r="AA101" s="385">
        <f t="shared" ca="1" si="21"/>
        <v>105.70741689370311</v>
      </c>
      <c r="AB101" s="385">
        <f t="shared" ca="1" si="21"/>
        <v>115.63676459256055</v>
      </c>
      <c r="AC101" s="385">
        <f t="shared" ca="1" si="21"/>
        <v>119.95605402321034</v>
      </c>
      <c r="AD101" s="385">
        <f t="shared" ca="1" si="21"/>
        <v>128.61231117079024</v>
      </c>
      <c r="AE101" s="385">
        <f t="shared" ca="1" si="21"/>
        <v>134.40219508332098</v>
      </c>
      <c r="AF101" s="385">
        <f t="shared" ca="1" si="21"/>
        <v>139.81610397420673</v>
      </c>
      <c r="AG101" s="385">
        <f t="shared" ca="1" si="21"/>
        <v>145.88902087020611</v>
      </c>
      <c r="AH101" s="873"/>
    </row>
    <row r="102" spans="3:34">
      <c r="C102" s="169"/>
      <c r="J102" s="608"/>
      <c r="K102" s="232"/>
      <c r="L102" s="232"/>
      <c r="M102" s="232"/>
      <c r="N102" s="232"/>
      <c r="O102" s="349"/>
      <c r="P102" s="349"/>
      <c r="Q102" s="349"/>
      <c r="R102" s="349"/>
      <c r="S102" s="349"/>
      <c r="T102" s="399"/>
      <c r="U102" s="399"/>
      <c r="V102" s="399"/>
      <c r="W102" s="399"/>
      <c r="X102" s="399"/>
      <c r="Y102" s="349"/>
      <c r="Z102" s="349"/>
      <c r="AA102" s="349"/>
      <c r="AB102" s="349"/>
      <c r="AC102" s="349"/>
      <c r="AD102" s="349"/>
      <c r="AE102" s="349"/>
      <c r="AF102" s="349"/>
      <c r="AG102" s="349"/>
      <c r="AH102" s="873"/>
    </row>
    <row r="103" spans="3:34">
      <c r="C103" s="169"/>
      <c r="E103" s="104" t="s">
        <v>136</v>
      </c>
      <c r="J103" s="608"/>
      <c r="K103" s="232"/>
      <c r="L103" s="232"/>
      <c r="M103" s="232"/>
      <c r="N103" s="232"/>
      <c r="O103" s="402">
        <f ca="1">+O92-O101</f>
        <v>2.8977757948328673</v>
      </c>
      <c r="P103" s="401">
        <f ca="1">+P92-P101</f>
        <v>6.8125383370652912</v>
      </c>
      <c r="Q103" s="401">
        <f ca="1">+Q92-Q101</f>
        <v>4.6378272092775745</v>
      </c>
      <c r="R103" s="401">
        <f t="shared" ref="R103:W103" ca="1" si="22">+R92-R101</f>
        <v>6.7245060828899597</v>
      </c>
      <c r="S103" s="822">
        <f t="shared" ca="1" si="22"/>
        <v>-3.6998253352521715</v>
      </c>
      <c r="T103" s="822">
        <f t="shared" ca="1" si="22"/>
        <v>-3.7224876595274594</v>
      </c>
      <c r="U103" s="822">
        <f t="shared" ca="1" si="22"/>
        <v>-1.3630879238387195</v>
      </c>
      <c r="V103" s="822">
        <f t="shared" ca="1" si="22"/>
        <v>3.6278802708372382</v>
      </c>
      <c r="W103" s="915">
        <f t="shared" ca="1" si="22"/>
        <v>-3.8600044472920274</v>
      </c>
      <c r="X103" s="821">
        <f t="shared" ref="X103:AG103" ca="1" si="23">+X92-X101</f>
        <v>2.7200545985970166</v>
      </c>
      <c r="Y103" s="401">
        <f t="shared" ca="1" si="23"/>
        <v>9.678832744340383</v>
      </c>
      <c r="Z103" s="401">
        <f t="shared" ca="1" si="23"/>
        <v>20.717031658008153</v>
      </c>
      <c r="AA103" s="401">
        <f t="shared" ca="1" si="23"/>
        <v>28.15824844465601</v>
      </c>
      <c r="AB103" s="402">
        <f t="shared" ca="1" si="23"/>
        <v>29.901736856719339</v>
      </c>
      <c r="AC103" s="401">
        <f t="shared" ca="1" si="23"/>
        <v>33.547770376627469</v>
      </c>
      <c r="AD103" s="401">
        <f t="shared" ca="1" si="23"/>
        <v>33.318951682966116</v>
      </c>
      <c r="AE103" s="401">
        <f t="shared" ca="1" si="23"/>
        <v>36.446711016761213</v>
      </c>
      <c r="AF103" s="401">
        <f t="shared" ca="1" si="23"/>
        <v>40.510636987558939</v>
      </c>
      <c r="AG103" s="401">
        <f t="shared" ca="1" si="23"/>
        <v>44.358142725932254</v>
      </c>
      <c r="AH103" s="873"/>
    </row>
    <row r="104" spans="3:34">
      <c r="C104" s="169"/>
      <c r="J104" s="608"/>
      <c r="K104" s="232"/>
      <c r="L104" s="232"/>
      <c r="M104" s="232"/>
      <c r="N104" s="232"/>
      <c r="O104" s="349"/>
      <c r="P104" s="349"/>
      <c r="Q104" s="349"/>
      <c r="R104" s="349"/>
      <c r="S104" s="349"/>
      <c r="T104" s="399"/>
      <c r="U104" s="399"/>
      <c r="V104" s="399"/>
      <c r="W104" s="399"/>
      <c r="X104" s="399"/>
      <c r="Y104" s="349"/>
      <c r="Z104" s="349"/>
      <c r="AA104" s="349"/>
      <c r="AB104" s="349"/>
      <c r="AC104" s="349"/>
      <c r="AD104" s="349"/>
      <c r="AE104" s="349"/>
      <c r="AF104" s="349"/>
      <c r="AG104" s="349"/>
      <c r="AH104" s="873"/>
    </row>
    <row r="105" spans="3:34">
      <c r="C105" s="169"/>
      <c r="E105" s="70" t="s">
        <v>233</v>
      </c>
      <c r="J105" s="608"/>
      <c r="K105" s="232"/>
      <c r="L105" s="232"/>
      <c r="M105" s="232"/>
      <c r="N105" s="232"/>
      <c r="O105" s="349">
        <f ca="1">'Rev&amp;RAV_FO'!O87*O103</f>
        <v>0.86933273844986014</v>
      </c>
      <c r="P105" s="349">
        <f ca="1">'Rev&amp;RAV_FO'!P87*P103</f>
        <v>2.0437615011195871</v>
      </c>
      <c r="Q105" s="349">
        <f ca="1">'Rev&amp;RAV_FO'!Q87*Q103</f>
        <v>1.3913481627832722</v>
      </c>
      <c r="R105" s="349">
        <f ca="1">'Rev&amp;RAV_FO'!R87*R103</f>
        <v>2.0173518248669877</v>
      </c>
      <c r="S105" s="349">
        <f ca="1">'Rev&amp;RAV_FO'!S87*S103</f>
        <v>-1.1099476005756514</v>
      </c>
      <c r="T105" s="399">
        <f ca="1">'Rev&amp;RAV_FO'!T87*T103</f>
        <v>-1.1167462978582379</v>
      </c>
      <c r="U105" s="399">
        <f ca="1">'Rev&amp;RAV_FO'!U87*U103</f>
        <v>-0.40892637715161584</v>
      </c>
      <c r="V105" s="399">
        <f ca="1">'Rev&amp;RAV_FO'!V87*V103</f>
        <v>1.0883640812511715</v>
      </c>
      <c r="W105" s="399">
        <f ca="1">'Rev&amp;RAV_FO'!W87*W103</f>
        <v>-1.1580013341876081</v>
      </c>
      <c r="X105" s="399">
        <f ca="1">'Rev&amp;RAV_FO'!X87*X103</f>
        <v>0</v>
      </c>
      <c r="Y105" s="349">
        <f ca="1">'Rev&amp;RAV_FO'!Y87*Y103</f>
        <v>0</v>
      </c>
      <c r="Z105" s="349">
        <f ca="1">'Rev&amp;RAV_FO'!Z87*Z103</f>
        <v>0</v>
      </c>
      <c r="AA105" s="349">
        <f ca="1">'Rev&amp;RAV_FO'!AA87*AA103</f>
        <v>0</v>
      </c>
      <c r="AB105" s="349">
        <f ca="1">'Rev&amp;RAV_FO'!AB87*AB103</f>
        <v>0</v>
      </c>
      <c r="AC105" s="349">
        <f ca="1">'Rev&amp;RAV_FO'!AC87*AC103</f>
        <v>10.06433111298824</v>
      </c>
      <c r="AD105" s="349">
        <f ca="1">'Rev&amp;RAV_FO'!AD87*AD103</f>
        <v>9.9956855048898348</v>
      </c>
      <c r="AE105" s="349">
        <f ca="1">'Rev&amp;RAV_FO'!AE87*AE103</f>
        <v>10.934013305028364</v>
      </c>
      <c r="AF105" s="349">
        <f ca="1">'Rev&amp;RAV_FO'!AF87*AF103</f>
        <v>12.153191096267681</v>
      </c>
      <c r="AG105" s="349">
        <f ca="1">'Rev&amp;RAV_FO'!AG87*AG103</f>
        <v>13.307442817779675</v>
      </c>
      <c r="AH105" s="873"/>
    </row>
    <row r="106" spans="3:34">
      <c r="C106" s="169"/>
      <c r="J106" s="608"/>
      <c r="K106" s="232"/>
      <c r="L106" s="232"/>
      <c r="M106" s="232"/>
      <c r="N106" s="232"/>
      <c r="O106" s="349"/>
      <c r="P106" s="349"/>
      <c r="Q106" s="349"/>
      <c r="R106" s="349"/>
      <c r="S106" s="349"/>
      <c r="T106" s="399"/>
      <c r="U106" s="399"/>
      <c r="V106" s="399"/>
      <c r="W106" s="399"/>
      <c r="X106" s="399"/>
      <c r="Y106" s="349"/>
      <c r="Z106" s="349"/>
      <c r="AA106" s="349"/>
      <c r="AB106" s="349"/>
      <c r="AC106" s="349"/>
      <c r="AD106" s="349"/>
      <c r="AE106" s="349"/>
      <c r="AF106" s="349"/>
      <c r="AG106" s="349"/>
      <c r="AH106" s="873"/>
    </row>
    <row r="107" spans="3:34" s="104" customFormat="1" ht="12.75" thickBot="1">
      <c r="C107" s="907"/>
      <c r="E107" s="104" t="s">
        <v>137</v>
      </c>
      <c r="I107" s="112"/>
      <c r="J107" s="289"/>
      <c r="K107" s="232"/>
      <c r="L107" s="232"/>
      <c r="M107" s="232"/>
      <c r="N107" s="232"/>
      <c r="O107" s="919">
        <f ca="1">IF(O103&lt;=0,0,O103*$F$80)</f>
        <v>0</v>
      </c>
      <c r="P107" s="351">
        <f t="shared" ref="P107:W107" ca="1" si="24">IF(P103&lt;=0,0,P103*$F$80)</f>
        <v>0</v>
      </c>
      <c r="Q107" s="351">
        <f t="shared" ca="1" si="24"/>
        <v>0</v>
      </c>
      <c r="R107" s="351">
        <f t="shared" ca="1" si="24"/>
        <v>0</v>
      </c>
      <c r="S107" s="917">
        <f t="shared" ca="1" si="24"/>
        <v>0</v>
      </c>
      <c r="T107" s="917">
        <f t="shared" ca="1" si="24"/>
        <v>0</v>
      </c>
      <c r="U107" s="917">
        <f t="shared" ca="1" si="24"/>
        <v>0</v>
      </c>
      <c r="V107" s="917">
        <f t="shared" ca="1" si="24"/>
        <v>0</v>
      </c>
      <c r="W107" s="918">
        <f t="shared" ca="1" si="24"/>
        <v>0</v>
      </c>
      <c r="X107" s="916">
        <f ca="1">IF(X103&lt;=0,0,X103*$J$80)</f>
        <v>0</v>
      </c>
      <c r="Y107" s="351">
        <f t="shared" ref="Y107:AG107" ca="1" si="25">IF(Y103&lt;=0,0,Y103*$J$80)</f>
        <v>0</v>
      </c>
      <c r="Z107" s="351">
        <f t="shared" ca="1" si="25"/>
        <v>0</v>
      </c>
      <c r="AA107" s="351">
        <f t="shared" ca="1" si="25"/>
        <v>0</v>
      </c>
      <c r="AB107" s="919">
        <f t="shared" ca="1" si="25"/>
        <v>0</v>
      </c>
      <c r="AC107" s="351">
        <f t="shared" ca="1" si="25"/>
        <v>0</v>
      </c>
      <c r="AD107" s="351">
        <f t="shared" ca="1" si="25"/>
        <v>0</v>
      </c>
      <c r="AE107" s="351">
        <f t="shared" ca="1" si="25"/>
        <v>0</v>
      </c>
      <c r="AF107" s="351">
        <f t="shared" ca="1" si="25"/>
        <v>0</v>
      </c>
      <c r="AG107" s="351">
        <f t="shared" ca="1" si="25"/>
        <v>0</v>
      </c>
      <c r="AH107" s="920"/>
    </row>
    <row r="108" spans="3:34">
      <c r="C108" s="169"/>
      <c r="J108" s="608"/>
      <c r="K108" s="232"/>
      <c r="L108" s="232"/>
      <c r="M108" s="232"/>
      <c r="N108" s="232"/>
      <c r="O108" s="349"/>
      <c r="P108" s="349"/>
      <c r="Q108" s="349"/>
      <c r="R108" s="349"/>
      <c r="S108" s="349"/>
      <c r="T108" s="399"/>
      <c r="U108" s="399"/>
      <c r="V108" s="399"/>
      <c r="W108" s="399"/>
      <c r="X108" s="399"/>
      <c r="Y108" s="349"/>
      <c r="Z108" s="349"/>
      <c r="AA108" s="349"/>
      <c r="AB108" s="349"/>
      <c r="AC108" s="349"/>
      <c r="AD108" s="349"/>
      <c r="AE108" s="349"/>
      <c r="AF108" s="349"/>
      <c r="AG108" s="349"/>
      <c r="AH108" s="873"/>
    </row>
    <row r="109" spans="3:34">
      <c r="C109" s="169"/>
      <c r="E109" s="70" t="s">
        <v>138</v>
      </c>
      <c r="J109" s="608"/>
      <c r="K109" s="232"/>
      <c r="L109" s="232"/>
      <c r="M109" s="232"/>
      <c r="N109" s="232"/>
      <c r="O109" s="349">
        <f ca="1">IF(O107&lt;=0,0,IF(O107-O174&lt;=0,0,O107-O174))</f>
        <v>0</v>
      </c>
      <c r="P109" s="349">
        <f ca="1">IF(P107&lt;=0,0,IF(P107-P174&lt;=0,0,P107-P174))</f>
        <v>0</v>
      </c>
      <c r="Q109" s="349">
        <f ca="1">IF(Q107&lt;=0,0,IF(Q107-Q174&lt;=0,0,Q107-Q174))</f>
        <v>0</v>
      </c>
      <c r="R109" s="349">
        <f t="shared" ref="R109:W109" ca="1" si="26">IF(R107&lt;=0,0,IF(R107-R174&lt;=0,0,R107-R174))</f>
        <v>0</v>
      </c>
      <c r="S109" s="349">
        <f t="shared" ca="1" si="26"/>
        <v>0</v>
      </c>
      <c r="T109" s="399">
        <f t="shared" ca="1" si="26"/>
        <v>0</v>
      </c>
      <c r="U109" s="399">
        <f t="shared" ca="1" si="26"/>
        <v>0</v>
      </c>
      <c r="V109" s="399">
        <f t="shared" ca="1" si="26"/>
        <v>0</v>
      </c>
      <c r="W109" s="399">
        <f t="shared" ca="1" si="26"/>
        <v>0</v>
      </c>
      <c r="X109" s="399">
        <f t="shared" ref="X109:AG109" ca="1" si="27">IF(X107&lt;=0,0,IF(X107-X174&lt;=0,0,X107-X174))</f>
        <v>0</v>
      </c>
      <c r="Y109" s="349">
        <f t="shared" ca="1" si="27"/>
        <v>0</v>
      </c>
      <c r="Z109" s="349">
        <f t="shared" ca="1" si="27"/>
        <v>0</v>
      </c>
      <c r="AA109" s="349">
        <f t="shared" ca="1" si="27"/>
        <v>0</v>
      </c>
      <c r="AB109" s="349">
        <f t="shared" ca="1" si="27"/>
        <v>0</v>
      </c>
      <c r="AC109" s="349">
        <f t="shared" ca="1" si="27"/>
        <v>0</v>
      </c>
      <c r="AD109" s="349">
        <f t="shared" ca="1" si="27"/>
        <v>0</v>
      </c>
      <c r="AE109" s="349">
        <f t="shared" ca="1" si="27"/>
        <v>0</v>
      </c>
      <c r="AF109" s="349">
        <f t="shared" ca="1" si="27"/>
        <v>0</v>
      </c>
      <c r="AG109" s="349">
        <f t="shared" ca="1" si="27"/>
        <v>0</v>
      </c>
      <c r="AH109" s="873"/>
    </row>
    <row r="110" spans="3:34">
      <c r="C110" s="169"/>
      <c r="J110" s="608"/>
      <c r="K110" s="232"/>
      <c r="L110" s="232"/>
      <c r="M110" s="232"/>
      <c r="N110" s="232"/>
      <c r="O110" s="349"/>
      <c r="P110" s="349"/>
      <c r="Q110" s="349"/>
      <c r="R110" s="349"/>
      <c r="S110" s="349"/>
      <c r="T110" s="399"/>
      <c r="U110" s="399"/>
      <c r="V110" s="399"/>
      <c r="W110" s="399"/>
      <c r="X110" s="399"/>
      <c r="Y110" s="349"/>
      <c r="Z110" s="349"/>
      <c r="AA110" s="349"/>
      <c r="AB110" s="349"/>
      <c r="AC110" s="349"/>
      <c r="AD110" s="349"/>
      <c r="AE110" s="349"/>
      <c r="AF110" s="349"/>
      <c r="AG110" s="349"/>
      <c r="AH110" s="873"/>
    </row>
    <row r="111" spans="3:34">
      <c r="C111" s="169"/>
      <c r="E111" s="70" t="s">
        <v>139</v>
      </c>
      <c r="J111" s="608"/>
      <c r="K111" s="232"/>
      <c r="L111" s="232"/>
      <c r="M111" s="232"/>
      <c r="N111" s="232"/>
      <c r="O111" s="349">
        <f ca="1">O103-O105-O109</f>
        <v>2.0284430563830069</v>
      </c>
      <c r="P111" s="349">
        <f ca="1">P103-P105-P109</f>
        <v>4.7687768359457046</v>
      </c>
      <c r="Q111" s="349">
        <f ca="1">Q103-Q105-Q109</f>
        <v>3.2464790464943025</v>
      </c>
      <c r="R111" s="349">
        <f t="shared" ref="R111:W111" ca="1" si="28">R103-R105-R109</f>
        <v>4.7071542580229719</v>
      </c>
      <c r="S111" s="349">
        <f t="shared" ca="1" si="28"/>
        <v>-2.58987773467652</v>
      </c>
      <c r="T111" s="399">
        <f t="shared" ca="1" si="28"/>
        <v>-2.6057413616692218</v>
      </c>
      <c r="U111" s="399">
        <f t="shared" ca="1" si="28"/>
        <v>-0.95416154668710362</v>
      </c>
      <c r="V111" s="399">
        <f t="shared" ca="1" si="28"/>
        <v>2.5395161895860667</v>
      </c>
      <c r="W111" s="399">
        <f t="shared" ca="1" si="28"/>
        <v>-2.7020031131044195</v>
      </c>
      <c r="X111" s="399">
        <f t="shared" ref="X111:AG111" ca="1" si="29">X103-X105-X109</f>
        <v>2.7200545985970166</v>
      </c>
      <c r="Y111" s="349">
        <f t="shared" ca="1" si="29"/>
        <v>9.678832744340383</v>
      </c>
      <c r="Z111" s="349">
        <f t="shared" ca="1" si="29"/>
        <v>20.717031658008153</v>
      </c>
      <c r="AA111" s="349">
        <f t="shared" ca="1" si="29"/>
        <v>28.15824844465601</v>
      </c>
      <c r="AB111" s="349">
        <f t="shared" ca="1" si="29"/>
        <v>29.901736856719339</v>
      </c>
      <c r="AC111" s="349">
        <f t="shared" ca="1" si="29"/>
        <v>23.483439263639227</v>
      </c>
      <c r="AD111" s="349">
        <f t="shared" ca="1" si="29"/>
        <v>23.323266178076281</v>
      </c>
      <c r="AE111" s="349">
        <f t="shared" ca="1" si="29"/>
        <v>25.512697711732848</v>
      </c>
      <c r="AF111" s="349">
        <f t="shared" ca="1" si="29"/>
        <v>28.357445891291256</v>
      </c>
      <c r="AG111" s="349">
        <f t="shared" ca="1" si="29"/>
        <v>31.050699908152581</v>
      </c>
      <c r="AH111" s="873"/>
    </row>
    <row r="112" spans="3:34">
      <c r="C112" s="169"/>
      <c r="J112" s="608"/>
      <c r="K112" s="349"/>
      <c r="L112" s="349"/>
      <c r="M112" s="349"/>
      <c r="N112" s="349"/>
      <c r="O112" s="349"/>
      <c r="P112" s="349"/>
      <c r="Q112" s="349"/>
      <c r="R112" s="349"/>
      <c r="S112" s="349"/>
      <c r="T112" s="349"/>
      <c r="U112" s="349"/>
      <c r="V112" s="399"/>
      <c r="W112" s="399"/>
      <c r="X112" s="399"/>
      <c r="Y112" s="399"/>
      <c r="Z112" s="399"/>
      <c r="AA112" s="399"/>
      <c r="AB112" s="399"/>
      <c r="AC112" s="399"/>
      <c r="AD112" s="399"/>
      <c r="AE112" s="399"/>
      <c r="AF112" s="399"/>
      <c r="AG112" s="399"/>
      <c r="AH112" s="873"/>
    </row>
    <row r="113" spans="3:34" ht="12.75" thickBot="1">
      <c r="C113" s="182"/>
      <c r="D113" s="183"/>
      <c r="E113" s="183"/>
      <c r="F113" s="183"/>
      <c r="G113" s="183"/>
      <c r="H113" s="183"/>
      <c r="I113" s="199"/>
      <c r="J113" s="183"/>
      <c r="K113" s="293"/>
      <c r="L113" s="293"/>
      <c r="M113" s="293"/>
      <c r="N113" s="293"/>
      <c r="O113" s="293"/>
      <c r="P113" s="293"/>
      <c r="Q113" s="293"/>
      <c r="R113" s="293"/>
      <c r="S113" s="293"/>
      <c r="T113" s="293"/>
      <c r="U113" s="293"/>
      <c r="V113" s="921"/>
      <c r="W113" s="921"/>
      <c r="X113" s="921"/>
      <c r="Y113" s="921"/>
      <c r="Z113" s="921"/>
      <c r="AA113" s="921"/>
      <c r="AB113" s="921"/>
      <c r="AC113" s="921"/>
      <c r="AD113" s="921"/>
      <c r="AE113" s="921"/>
      <c r="AF113" s="921"/>
      <c r="AG113" s="921"/>
      <c r="AH113" s="735"/>
    </row>
    <row r="114" spans="3:34">
      <c r="K114" s="905"/>
      <c r="L114" s="905"/>
      <c r="M114" s="905"/>
      <c r="N114" s="905"/>
      <c r="O114" s="905"/>
      <c r="P114" s="905"/>
      <c r="Q114" s="905"/>
      <c r="R114" s="905"/>
      <c r="S114" s="74"/>
      <c r="T114" s="74"/>
      <c r="U114" s="74"/>
    </row>
    <row r="115" spans="3:34" ht="12.75" thickBot="1">
      <c r="C115" s="183"/>
      <c r="D115" s="183"/>
      <c r="E115" s="183"/>
      <c r="F115" s="183"/>
      <c r="G115" s="183"/>
      <c r="H115" s="183"/>
      <c r="I115" s="199"/>
      <c r="J115" s="183"/>
      <c r="K115" s="922"/>
      <c r="L115" s="922"/>
      <c r="M115" s="922"/>
      <c r="N115" s="922"/>
      <c r="O115" s="922"/>
      <c r="P115" s="922"/>
      <c r="Q115" s="922"/>
      <c r="R115" s="922"/>
      <c r="S115" s="199"/>
      <c r="T115" s="199"/>
      <c r="U115" s="199"/>
      <c r="V115" s="183"/>
      <c r="W115" s="183"/>
      <c r="X115" s="183"/>
      <c r="Y115" s="183"/>
      <c r="Z115" s="183"/>
      <c r="AA115" s="183"/>
      <c r="AB115" s="183"/>
      <c r="AC115" s="183"/>
      <c r="AD115" s="183"/>
      <c r="AE115" s="183"/>
      <c r="AF115" s="183"/>
      <c r="AG115" s="183"/>
      <c r="AH115" s="183"/>
    </row>
    <row r="116" spans="3:34">
      <c r="C116" s="169"/>
      <c r="K116" s="281"/>
      <c r="L116" s="281"/>
      <c r="M116" s="281"/>
      <c r="N116" s="281"/>
      <c r="O116" s="281"/>
      <c r="P116" s="281"/>
      <c r="Q116" s="281"/>
      <c r="R116" s="281"/>
      <c r="S116" s="281"/>
      <c r="T116" s="281"/>
      <c r="U116" s="281"/>
      <c r="V116" s="180"/>
      <c r="W116" s="180"/>
      <c r="X116" s="180"/>
      <c r="Y116" s="180"/>
      <c r="Z116" s="180"/>
      <c r="AA116" s="180"/>
      <c r="AB116" s="180"/>
      <c r="AC116" s="180"/>
      <c r="AD116" s="180"/>
      <c r="AE116" s="180"/>
      <c r="AF116" s="180"/>
      <c r="AG116" s="180"/>
      <c r="AH116" s="171"/>
    </row>
    <row r="117" spans="3:34">
      <c r="C117" s="169"/>
      <c r="D117" s="879" t="s">
        <v>140</v>
      </c>
      <c r="K117" s="281"/>
      <c r="L117" s="281"/>
      <c r="M117" s="281"/>
      <c r="N117" s="281"/>
      <c r="O117" s="281"/>
      <c r="P117" s="281"/>
      <c r="Q117" s="281"/>
      <c r="R117" s="281"/>
      <c r="S117" s="281"/>
      <c r="T117" s="281"/>
      <c r="U117" s="281"/>
      <c r="V117" s="180"/>
      <c r="W117" s="180"/>
      <c r="X117" s="180"/>
      <c r="Y117" s="180"/>
      <c r="Z117" s="180"/>
      <c r="AA117" s="180"/>
      <c r="AB117" s="180"/>
      <c r="AC117" s="180"/>
      <c r="AD117" s="180"/>
      <c r="AE117" s="180"/>
      <c r="AF117" s="180"/>
      <c r="AG117" s="180"/>
      <c r="AH117" s="171"/>
    </row>
    <row r="118" spans="3:34">
      <c r="C118" s="169"/>
      <c r="D118" s="285" t="s">
        <v>125</v>
      </c>
      <c r="K118" s="281"/>
      <c r="L118" s="281"/>
      <c r="M118" s="281"/>
      <c r="N118" s="281"/>
      <c r="O118" s="281"/>
      <c r="P118" s="281"/>
      <c r="Q118" s="281"/>
      <c r="R118" s="281"/>
      <c r="S118" s="281"/>
      <c r="T118" s="281"/>
      <c r="U118" s="281"/>
      <c r="V118" s="180"/>
      <c r="W118" s="180"/>
      <c r="X118" s="180"/>
      <c r="Y118" s="180"/>
      <c r="Z118" s="180"/>
      <c r="AA118" s="180"/>
      <c r="AB118" s="180"/>
      <c r="AC118" s="180"/>
      <c r="AD118" s="180"/>
      <c r="AE118" s="180"/>
      <c r="AF118" s="180"/>
      <c r="AG118" s="180"/>
      <c r="AH118" s="171"/>
    </row>
    <row r="119" spans="3:34">
      <c r="C119" s="169"/>
      <c r="D119" s="923"/>
      <c r="K119" s="281"/>
      <c r="L119" s="281"/>
      <c r="M119" s="281"/>
      <c r="N119" s="281"/>
      <c r="O119" s="281"/>
      <c r="P119" s="281"/>
      <c r="Q119" s="281"/>
      <c r="R119" s="281"/>
      <c r="S119" s="281"/>
      <c r="T119" s="281"/>
      <c r="U119" s="281"/>
      <c r="V119" s="180"/>
      <c r="W119" s="180"/>
      <c r="X119" s="180"/>
      <c r="Y119" s="180"/>
      <c r="Z119" s="180"/>
      <c r="AA119" s="180"/>
      <c r="AB119" s="180"/>
      <c r="AC119" s="180"/>
      <c r="AD119" s="180"/>
      <c r="AE119" s="180"/>
      <c r="AF119" s="180"/>
      <c r="AG119" s="180"/>
      <c r="AH119" s="171"/>
    </row>
    <row r="120" spans="3:34">
      <c r="C120" s="169"/>
      <c r="K120" s="281"/>
      <c r="L120" s="281"/>
      <c r="M120" s="281"/>
      <c r="N120" s="281"/>
      <c r="O120" s="281"/>
      <c r="P120" s="281"/>
      <c r="Q120" s="281"/>
      <c r="R120" s="281"/>
      <c r="S120" s="281"/>
      <c r="T120" s="281"/>
      <c r="U120" s="281"/>
      <c r="V120" s="180"/>
      <c r="W120" s="180"/>
      <c r="X120" s="180"/>
      <c r="Y120" s="180"/>
      <c r="Z120" s="180"/>
      <c r="AA120" s="180"/>
      <c r="AB120" s="180"/>
      <c r="AC120" s="180"/>
      <c r="AD120" s="180"/>
      <c r="AE120" s="180"/>
      <c r="AF120" s="180"/>
      <c r="AG120" s="180"/>
      <c r="AH120" s="171"/>
    </row>
    <row r="121" spans="3:34">
      <c r="C121" s="169"/>
      <c r="D121" s="104" t="s">
        <v>141</v>
      </c>
      <c r="K121" s="281"/>
      <c r="L121" s="281"/>
      <c r="M121" s="281"/>
      <c r="N121" s="281"/>
      <c r="O121" s="281"/>
      <c r="P121" s="281"/>
      <c r="Q121" s="281"/>
      <c r="R121" s="281"/>
      <c r="S121" s="281"/>
      <c r="T121" s="281"/>
      <c r="U121" s="281"/>
      <c r="V121" s="180"/>
      <c r="W121" s="180"/>
      <c r="X121" s="180"/>
      <c r="Y121" s="180"/>
      <c r="Z121" s="180"/>
      <c r="AA121" s="281"/>
      <c r="AB121" s="281"/>
      <c r="AC121" s="281"/>
      <c r="AD121" s="281"/>
      <c r="AE121" s="281"/>
      <c r="AF121" s="281"/>
      <c r="AG121" s="281"/>
      <c r="AH121" s="171"/>
    </row>
    <row r="122" spans="3:34">
      <c r="C122" s="169"/>
      <c r="E122" s="70" t="s">
        <v>70</v>
      </c>
      <c r="K122" s="281"/>
      <c r="L122" s="281"/>
      <c r="M122" s="281"/>
      <c r="N122" s="281"/>
      <c r="O122" s="349">
        <f>+O83</f>
        <v>60.534255794832859</v>
      </c>
      <c r="P122" s="349">
        <f>+P83</f>
        <v>63.091258673255872</v>
      </c>
      <c r="Q122" s="349">
        <f>+Q83</f>
        <v>62.80991526910352</v>
      </c>
      <c r="R122" s="349">
        <f>+R83</f>
        <v>63.303367874883257</v>
      </c>
      <c r="S122" s="349">
        <f t="shared" ref="S122:AB122" si="30">+S83</f>
        <v>61.965015084339207</v>
      </c>
      <c r="T122" s="608">
        <f t="shared" si="30"/>
        <v>67.286882031948352</v>
      </c>
      <c r="U122" s="608">
        <f t="shared" si="30"/>
        <v>75.58506362530737</v>
      </c>
      <c r="V122" s="608">
        <f t="shared" si="30"/>
        <v>81.951154282827204</v>
      </c>
      <c r="W122" s="608">
        <f t="shared" si="30"/>
        <v>82.082915239904025</v>
      </c>
      <c r="X122" s="608">
        <f t="shared" si="30"/>
        <v>91.203176418956019</v>
      </c>
      <c r="Y122" s="608">
        <f t="shared" si="30"/>
        <v>99.716128510358388</v>
      </c>
      <c r="Z122" s="608">
        <f t="shared" si="30"/>
        <v>109.03630274309995</v>
      </c>
      <c r="AA122" s="349">
        <f t="shared" si="30"/>
        <v>119.26189370243044</v>
      </c>
      <c r="AB122" s="349">
        <f t="shared" si="30"/>
        <v>130.43638889731076</v>
      </c>
      <c r="AC122" s="349">
        <f>+AC83</f>
        <v>137.87237972064599</v>
      </c>
      <c r="AD122" s="349">
        <f>+AD83</f>
        <v>145.77085764436023</v>
      </c>
      <c r="AE122" s="349">
        <f>+AE83</f>
        <v>154.10612458046506</v>
      </c>
      <c r="AF122" s="349">
        <f>+AF83</f>
        <v>162.99843009525856</v>
      </c>
      <c r="AG122" s="349">
        <f>+AG83</f>
        <v>172.34596852414714</v>
      </c>
      <c r="AH122" s="171"/>
    </row>
    <row r="123" spans="3:34">
      <c r="C123" s="169"/>
      <c r="E123" s="70" t="s">
        <v>73</v>
      </c>
      <c r="K123" s="281"/>
      <c r="L123" s="281"/>
      <c r="M123" s="281"/>
      <c r="N123" s="281"/>
      <c r="O123" s="349">
        <f ca="1">+O90</f>
        <v>0.78400000000000003</v>
      </c>
      <c r="P123" s="349">
        <f ca="1">+P90</f>
        <v>2.2250000000000001</v>
      </c>
      <c r="Q123" s="349">
        <f ca="1">+Q90</f>
        <v>2.0669999999999997</v>
      </c>
      <c r="R123" s="349">
        <f t="shared" ref="R123:W123" ca="1" si="31">+R90</f>
        <v>2.1029999999999998</v>
      </c>
      <c r="S123" s="349">
        <f t="shared" ca="1" si="31"/>
        <v>1.0860000000000001</v>
      </c>
      <c r="T123" s="608">
        <f t="shared" ca="1" si="31"/>
        <v>1.0690000000000002</v>
      </c>
      <c r="U123" s="608">
        <f t="shared" ca="1" si="31"/>
        <v>1.3190000000000002</v>
      </c>
      <c r="V123" s="608">
        <f t="shared" ca="1" si="31"/>
        <v>2.2653969999999997</v>
      </c>
      <c r="W123" s="608">
        <f t="shared" ca="1" si="31"/>
        <v>1.335</v>
      </c>
      <c r="X123" s="608">
        <f t="shared" ref="X123:AG123" ca="1" si="32">+X90</f>
        <v>1.3222649999999998</v>
      </c>
      <c r="Y123" s="608">
        <f t="shared" ca="1" si="32"/>
        <v>1.3606106849999997</v>
      </c>
      <c r="Z123" s="608">
        <f t="shared" ca="1" si="32"/>
        <v>1.4000683948649997</v>
      </c>
      <c r="AA123" s="349">
        <f t="shared" ca="1" si="32"/>
        <v>1.4406703783160846</v>
      </c>
      <c r="AB123" s="349">
        <f t="shared" ca="1" si="32"/>
        <v>1.4824498192872511</v>
      </c>
      <c r="AC123" s="349">
        <f t="shared" ca="1" si="32"/>
        <v>1.5254408640465813</v>
      </c>
      <c r="AD123" s="349">
        <f t="shared" ca="1" si="32"/>
        <v>1.5696786491039318</v>
      </c>
      <c r="AE123" s="349">
        <f t="shared" ca="1" si="32"/>
        <v>1.6151993299279459</v>
      </c>
      <c r="AF123" s="349">
        <f t="shared" ca="1" si="32"/>
        <v>1.662040110495856</v>
      </c>
      <c r="AG123" s="349">
        <f t="shared" ca="1" si="32"/>
        <v>1.7102392737002359</v>
      </c>
      <c r="AH123" s="171"/>
    </row>
    <row r="124" spans="3:34">
      <c r="C124" s="169"/>
      <c r="E124" s="70" t="s">
        <v>142</v>
      </c>
      <c r="K124" s="281"/>
      <c r="L124" s="281"/>
      <c r="M124" s="281"/>
      <c r="N124" s="281"/>
      <c r="O124" s="349">
        <f ca="1">+O86</f>
        <v>2.1147000000000005</v>
      </c>
      <c r="P124" s="349">
        <f t="shared" ref="O124:Q125" ca="1" si="33">+P86</f>
        <v>2.617</v>
      </c>
      <c r="Q124" s="349">
        <f t="shared" ca="1" si="33"/>
        <v>2.5640000000000001</v>
      </c>
      <c r="R124" s="349">
        <f t="shared" ref="R124:W124" ca="1" si="34">+R86</f>
        <v>3.6400000000000006</v>
      </c>
      <c r="S124" s="349">
        <f t="shared" ca="1" si="34"/>
        <v>2.8849999999999998</v>
      </c>
      <c r="T124" s="608">
        <f t="shared" ca="1" si="34"/>
        <v>3.847</v>
      </c>
      <c r="U124" s="608">
        <f t="shared" ca="1" si="34"/>
        <v>3.8689999999999998</v>
      </c>
      <c r="V124" s="608">
        <f t="shared" ca="1" si="34"/>
        <v>4.2831419999999998</v>
      </c>
      <c r="W124" s="608">
        <f t="shared" ca="1" si="34"/>
        <v>3.5</v>
      </c>
      <c r="X124" s="608">
        <f t="shared" ref="X124:AB125" ca="1" si="35">+X86</f>
        <v>4.4411639999999997</v>
      </c>
      <c r="Y124" s="608">
        <f t="shared" ca="1" si="35"/>
        <v>4.6377235799999994</v>
      </c>
      <c r="Z124" s="608">
        <f t="shared" ca="1" si="35"/>
        <v>4.8441276914939992</v>
      </c>
      <c r="AA124" s="349">
        <f t="shared" ca="1" si="35"/>
        <v>5.0608452044504331</v>
      </c>
      <c r="AB124" s="349">
        <f t="shared" ca="1" si="35"/>
        <v>5.288365736663625</v>
      </c>
      <c r="AC124" s="349">
        <f t="shared" ref="AC124:AG125" ca="1" si="36">+AC86</f>
        <v>5.5272005159539939</v>
      </c>
      <c r="AD124" s="349">
        <f t="shared" ca="1" si="36"/>
        <v>5.7778832764681702</v>
      </c>
      <c r="AE124" s="349">
        <f t="shared" ca="1" si="36"/>
        <v>6.0409711903764265</v>
      </c>
      <c r="AF124" s="349">
        <f t="shared" ca="1" si="36"/>
        <v>6.3157524198842534</v>
      </c>
      <c r="AG124" s="349">
        <f t="shared" ca="1" si="36"/>
        <v>6.6067142059517288</v>
      </c>
      <c r="AH124" s="171"/>
    </row>
    <row r="125" spans="3:34">
      <c r="C125" s="169"/>
      <c r="E125" s="70" t="s">
        <v>130</v>
      </c>
      <c r="K125" s="281"/>
      <c r="L125" s="281"/>
      <c r="M125" s="281"/>
      <c r="N125" s="281"/>
      <c r="O125" s="349">
        <f t="shared" ca="1" si="33"/>
        <v>0</v>
      </c>
      <c r="P125" s="349">
        <f t="shared" ca="1" si="33"/>
        <v>0</v>
      </c>
      <c r="Q125" s="349">
        <f t="shared" ca="1" si="33"/>
        <v>0</v>
      </c>
      <c r="R125" s="349">
        <f t="shared" ref="R125:W125" ca="1" si="37">+R87</f>
        <v>0.36</v>
      </c>
      <c r="S125" s="349">
        <f t="shared" ca="1" si="37"/>
        <v>0.24000000000000002</v>
      </c>
      <c r="T125" s="608">
        <f t="shared" ca="1" si="37"/>
        <v>0.2</v>
      </c>
      <c r="U125" s="608">
        <f t="shared" ca="1" si="37"/>
        <v>0.98849999999999982</v>
      </c>
      <c r="V125" s="608">
        <f t="shared" ca="1" si="37"/>
        <v>1.3185000000000002</v>
      </c>
      <c r="W125" s="608">
        <f t="shared" ca="1" si="37"/>
        <v>0</v>
      </c>
      <c r="X125" s="608">
        <f t="shared" ca="1" si="35"/>
        <v>1.0289999999999999</v>
      </c>
      <c r="Y125" s="608">
        <f t="shared" ca="1" si="35"/>
        <v>3.2771128949999997</v>
      </c>
      <c r="Z125" s="608">
        <f t="shared" ca="1" si="35"/>
        <v>0.44126669254499995</v>
      </c>
      <c r="AA125" s="349">
        <f t="shared" ca="1" si="35"/>
        <v>0</v>
      </c>
      <c r="AB125" s="349">
        <f t="shared" ca="1" si="35"/>
        <v>0</v>
      </c>
      <c r="AC125" s="349">
        <f t="shared" ca="1" si="36"/>
        <v>0</v>
      </c>
      <c r="AD125" s="349">
        <f t="shared" ca="1" si="36"/>
        <v>0</v>
      </c>
      <c r="AE125" s="349">
        <f t="shared" ca="1" si="36"/>
        <v>0</v>
      </c>
      <c r="AF125" s="349">
        <f t="shared" ca="1" si="36"/>
        <v>0</v>
      </c>
      <c r="AG125" s="349">
        <f t="shared" ca="1" si="36"/>
        <v>0</v>
      </c>
      <c r="AH125" s="171"/>
    </row>
    <row r="126" spans="3:34">
      <c r="C126" s="169"/>
      <c r="E126" s="70" t="s">
        <v>37</v>
      </c>
      <c r="K126" s="281"/>
      <c r="L126" s="281"/>
      <c r="M126" s="281"/>
      <c r="N126" s="281"/>
      <c r="O126" s="349">
        <f>-O84</f>
        <v>0</v>
      </c>
      <c r="P126" s="349">
        <f>-P84</f>
        <v>-5.2357799573560765E-2</v>
      </c>
      <c r="Q126" s="349">
        <f>-Q84</f>
        <v>-7.5403313432835808E-2</v>
      </c>
      <c r="R126" s="349">
        <f t="shared" ref="R126:W126" si="38">-R84</f>
        <v>-0.11322547832267237</v>
      </c>
      <c r="S126" s="349">
        <f t="shared" si="38"/>
        <v>-0.11234437100213221</v>
      </c>
      <c r="T126" s="608">
        <f t="shared" si="38"/>
        <v>-0.47064123880597014</v>
      </c>
      <c r="U126" s="608">
        <f t="shared" si="38"/>
        <v>-0.20808304477611939</v>
      </c>
      <c r="V126" s="608">
        <f t="shared" si="38"/>
        <v>-0.28602246481876331</v>
      </c>
      <c r="W126" s="608">
        <f t="shared" si="38"/>
        <v>0</v>
      </c>
      <c r="X126" s="608">
        <f t="shared" ref="X126:AG126" si="39">-X84</f>
        <v>0</v>
      </c>
      <c r="Y126" s="608">
        <f t="shared" si="39"/>
        <v>0</v>
      </c>
      <c r="Z126" s="608">
        <f t="shared" si="39"/>
        <v>0</v>
      </c>
      <c r="AA126" s="349">
        <f t="shared" si="39"/>
        <v>0</v>
      </c>
      <c r="AB126" s="349">
        <f t="shared" si="39"/>
        <v>0</v>
      </c>
      <c r="AC126" s="349">
        <f t="shared" si="39"/>
        <v>0</v>
      </c>
      <c r="AD126" s="349">
        <f t="shared" si="39"/>
        <v>0</v>
      </c>
      <c r="AE126" s="349">
        <f t="shared" si="39"/>
        <v>0</v>
      </c>
      <c r="AF126" s="349">
        <f t="shared" si="39"/>
        <v>0</v>
      </c>
      <c r="AG126" s="349">
        <f t="shared" si="39"/>
        <v>0</v>
      </c>
      <c r="AH126" s="171"/>
    </row>
    <row r="127" spans="3:34">
      <c r="C127" s="169"/>
      <c r="K127" s="281"/>
      <c r="L127" s="281"/>
      <c r="M127" s="281"/>
      <c r="N127" s="281"/>
      <c r="O127" s="349"/>
      <c r="P127" s="349"/>
      <c r="Q127" s="349"/>
      <c r="R127" s="349"/>
      <c r="S127" s="349"/>
      <c r="T127" s="608"/>
      <c r="U127" s="608"/>
      <c r="V127" s="608"/>
      <c r="W127" s="608"/>
      <c r="X127" s="608"/>
      <c r="Y127" s="608"/>
      <c r="Z127" s="608"/>
      <c r="AA127" s="349"/>
      <c r="AB127" s="349"/>
      <c r="AC127" s="349"/>
      <c r="AD127" s="349"/>
      <c r="AE127" s="349"/>
      <c r="AF127" s="349"/>
      <c r="AG127" s="349"/>
      <c r="AH127" s="171"/>
    </row>
    <row r="128" spans="3:34">
      <c r="C128" s="169"/>
      <c r="E128" s="70" t="s">
        <v>143</v>
      </c>
      <c r="K128" s="281"/>
      <c r="L128" s="281"/>
      <c r="M128" s="281"/>
      <c r="N128" s="281"/>
      <c r="O128" s="349">
        <f ca="1">-SUM(O95:O96)</f>
        <v>-43.289000000000001</v>
      </c>
      <c r="P128" s="349">
        <f ca="1">-SUM(P95:P96)</f>
        <v>-43.131</v>
      </c>
      <c r="Q128" s="349">
        <f ca="1">-SUM(Q95:Q96)</f>
        <v>-47.795999999999999</v>
      </c>
      <c r="R128" s="349">
        <f t="shared" ref="R128:W128" ca="1" si="40">-SUM(R95:R96)</f>
        <v>-46.791000000000004</v>
      </c>
      <c r="S128" s="349">
        <f t="shared" ca="1" si="40"/>
        <v>-48.834000000000003</v>
      </c>
      <c r="T128" s="608">
        <f t="shared" ca="1" si="40"/>
        <v>-56.709000000000003</v>
      </c>
      <c r="U128" s="608">
        <f t="shared" ca="1" si="40"/>
        <v>-59.733999999999995</v>
      </c>
      <c r="V128" s="608">
        <f t="shared" ca="1" si="40"/>
        <v>-61.440999999999988</v>
      </c>
      <c r="W128" s="608">
        <f t="shared" ca="1" si="40"/>
        <v>-59.938000000000017</v>
      </c>
      <c r="X128" s="608">
        <f t="shared" ref="X128:AG128" ca="1" si="41">-SUM(X95:X96)</f>
        <v>-63.573119722218323</v>
      </c>
      <c r="Y128" s="608">
        <f t="shared" ca="1" si="41"/>
        <v>-66.191311973756655</v>
      </c>
      <c r="Z128" s="608">
        <f t="shared" ca="1" si="41"/>
        <v>-67.447115488409068</v>
      </c>
      <c r="AA128" s="349">
        <f t="shared" ca="1" si="41"/>
        <v>-70.293143418666617</v>
      </c>
      <c r="AB128" s="349">
        <f t="shared" ca="1" si="41"/>
        <v>-72.334484726633875</v>
      </c>
      <c r="AC128" s="349">
        <f t="shared" ca="1" si="41"/>
        <v>-75.354851417241349</v>
      </c>
      <c r="AD128" s="349">
        <f t="shared" ca="1" si="41"/>
        <v>-78.507590723037396</v>
      </c>
      <c r="AE128" s="349">
        <f t="shared" ca="1" si="41"/>
        <v>-81.798284919276</v>
      </c>
      <c r="AF128" s="349">
        <f t="shared" ca="1" si="41"/>
        <v>-85.23311930437049</v>
      </c>
      <c r="AG128" s="349">
        <f t="shared" ca="1" si="41"/>
        <v>-88.81855708231673</v>
      </c>
      <c r="AH128" s="171"/>
    </row>
    <row r="129" spans="3:34">
      <c r="C129" s="169"/>
      <c r="E129" s="70" t="s">
        <v>144</v>
      </c>
      <c r="K129" s="281"/>
      <c r="L129" s="281"/>
      <c r="M129" s="281"/>
      <c r="N129" s="281"/>
      <c r="O129" s="349">
        <f ca="1">-O174</f>
        <v>-4.143832738449861</v>
      </c>
      <c r="P129" s="349">
        <f ca="1">-P174</f>
        <v>0</v>
      </c>
      <c r="Q129" s="349">
        <f ca="1">-Q174</f>
        <v>-2.7181096639028639</v>
      </c>
      <c r="R129" s="349">
        <f t="shared" ref="R129:W129" ca="1" si="42">-R174</f>
        <v>-5.6200518248669846</v>
      </c>
      <c r="S129" s="349">
        <f t="shared" ca="1" si="42"/>
        <v>-3.7872523994243452</v>
      </c>
      <c r="T129" s="608">
        <f t="shared" ca="1" si="42"/>
        <v>-3.4768537021417631</v>
      </c>
      <c r="U129" s="608">
        <f t="shared" ca="1" si="42"/>
        <v>-4.1656236228483845</v>
      </c>
      <c r="V129" s="608">
        <f t="shared" ca="1" si="42"/>
        <v>-6.055314081251173</v>
      </c>
      <c r="W129" s="608">
        <f t="shared" ca="1" si="42"/>
        <v>-4.588198665812385</v>
      </c>
      <c r="X129" s="608">
        <f t="shared" ref="X129:AG129" ca="1" si="43">-X174</f>
        <v>0</v>
      </c>
      <c r="Y129" s="608">
        <f t="shared" ca="1" si="43"/>
        <v>0</v>
      </c>
      <c r="Z129" s="608">
        <f t="shared" ca="1" si="43"/>
        <v>0</v>
      </c>
      <c r="AA129" s="349">
        <f t="shared" ca="1" si="43"/>
        <v>0</v>
      </c>
      <c r="AB129" s="349">
        <f t="shared" ca="1" si="43"/>
        <v>0</v>
      </c>
      <c r="AC129" s="349">
        <f t="shared" ca="1" si="43"/>
        <v>-15.210351761499005</v>
      </c>
      <c r="AD129" s="349">
        <f t="shared" ca="1" si="43"/>
        <v>-15.024617139762954</v>
      </c>
      <c r="AE129" s="349">
        <f t="shared" ca="1" si="43"/>
        <v>-15.901925756044696</v>
      </c>
      <c r="AF129" s="349">
        <f t="shared" ca="1" si="43"/>
        <v>-17.027917557745916</v>
      </c>
      <c r="AG129" s="349">
        <f t="shared" ca="1" si="43"/>
        <v>-18.022714180982138</v>
      </c>
      <c r="AH129" s="171"/>
    </row>
    <row r="130" spans="3:34">
      <c r="C130" s="169"/>
      <c r="E130" s="70" t="s">
        <v>145</v>
      </c>
      <c r="K130" s="281"/>
      <c r="L130" s="281"/>
      <c r="M130" s="281"/>
      <c r="N130" s="281"/>
      <c r="O130" s="349">
        <f>+O189</f>
        <v>-5.4179999999999999E-2</v>
      </c>
      <c r="P130" s="349">
        <f ca="1">+P189</f>
        <v>1.2413000000000007E-2</v>
      </c>
      <c r="Q130" s="349">
        <f ca="1">+Q189</f>
        <v>-0.16191050000000001</v>
      </c>
      <c r="R130" s="349">
        <f t="shared" ref="R130:W130" ca="1" si="44">+R189</f>
        <v>-5.9333999999999991E-2</v>
      </c>
      <c r="S130" s="349">
        <f t="shared" ca="1" si="44"/>
        <v>-4.6545999999999997E-2</v>
      </c>
      <c r="T130" s="608">
        <f t="shared" ca="1" si="44"/>
        <v>1.0991500000000001E-2</v>
      </c>
      <c r="U130" s="608">
        <f t="shared" ca="1" si="44"/>
        <v>5.0788E-2</v>
      </c>
      <c r="V130" s="608">
        <f t="shared" ca="1" si="44"/>
        <v>1.5588999999999999E-2</v>
      </c>
      <c r="W130" s="608">
        <f t="shared" ca="1" si="44"/>
        <v>2.50435E-2</v>
      </c>
      <c r="X130" s="608">
        <f t="shared" ref="X130:AG130" ca="1" si="45">+X189</f>
        <v>2.2266141E-2</v>
      </c>
      <c r="Y130" s="608">
        <f t="shared" ca="1" si="45"/>
        <v>2.5493251183500001E-2</v>
      </c>
      <c r="Z130" s="608">
        <f t="shared" ca="1" si="45"/>
        <v>3.3026833426732502E-2</v>
      </c>
      <c r="AA130" s="349">
        <f t="shared" ca="1" si="45"/>
        <v>3.0017357538964375E-2</v>
      </c>
      <c r="AB130" s="349">
        <f t="shared" ca="1" si="45"/>
        <v>2.4963378221982274E-2</v>
      </c>
      <c r="AC130" s="349">
        <f t="shared" ca="1" si="45"/>
        <v>3.1586006478876771E-2</v>
      </c>
      <c r="AD130" s="349">
        <f t="shared" ca="1" si="45"/>
        <v>1.7756689622987046E-2</v>
      </c>
      <c r="AE130" s="349">
        <f t="shared" ca="1" si="45"/>
        <v>3.6466893879904289E-2</v>
      </c>
      <c r="AF130" s="349">
        <f t="shared" ca="1" si="45"/>
        <v>3.7920051636588924E-2</v>
      </c>
      <c r="AG130" s="349">
        <f t="shared" ca="1" si="45"/>
        <v>1.5779575986393859E-3</v>
      </c>
      <c r="AH130" s="171"/>
    </row>
    <row r="131" spans="3:34">
      <c r="C131" s="169"/>
      <c r="E131" s="70" t="s">
        <v>146</v>
      </c>
      <c r="K131" s="281"/>
      <c r="L131" s="281"/>
      <c r="M131" s="281"/>
      <c r="N131" s="281"/>
      <c r="O131" s="349">
        <f>-O195</f>
        <v>-1.0529999999999999</v>
      </c>
      <c r="P131" s="349">
        <f ca="1">-P195</f>
        <v>-1.4537755366170202</v>
      </c>
      <c r="Q131" s="349">
        <f ca="1">-Q195</f>
        <v>-0.74177424639310197</v>
      </c>
      <c r="R131" s="349">
        <f t="shared" ref="R131:W131" ca="1" si="46">-R195</f>
        <v>-1.0853023136706181</v>
      </c>
      <c r="S131" s="349">
        <f t="shared" ca="1" si="46"/>
        <v>-1.5239500485892394</v>
      </c>
      <c r="T131" s="608">
        <f t="shared" ca="1" si="46"/>
        <v>-3.6217199526698316</v>
      </c>
      <c r="U131" s="608">
        <f t="shared" ca="1" si="46"/>
        <v>-4.7843565043699847</v>
      </c>
      <c r="V131" s="608">
        <f t="shared" ca="1" si="46"/>
        <v>-6.8393795471712124</v>
      </c>
      <c r="W131" s="608">
        <f t="shared" ca="1" si="46"/>
        <v>-10.264963187196049</v>
      </c>
      <c r="X131" s="608">
        <f t="shared" ref="X131:AG131" ca="1" si="47">-X195</f>
        <v>-7.7999972391406835</v>
      </c>
      <c r="Y131" s="608">
        <f t="shared" ca="1" si="47"/>
        <v>-8.2696999034448631</v>
      </c>
      <c r="Z131" s="608">
        <f t="shared" ca="1" si="47"/>
        <v>-1.774160104313447</v>
      </c>
      <c r="AA131" s="349">
        <f t="shared" ca="1" si="47"/>
        <v>-0.65184560667700531</v>
      </c>
      <c r="AB131" s="349">
        <f t="shared" ca="1" si="47"/>
        <v>-7.2701085893847592</v>
      </c>
      <c r="AC131" s="349">
        <f t="shared" ca="1" si="47"/>
        <v>-7.1357593624073559</v>
      </c>
      <c r="AD131" s="349">
        <f t="shared" ca="1" si="47"/>
        <v>-11.206490350127893</v>
      </c>
      <c r="AE131" s="349">
        <f t="shared" ca="1" si="47"/>
        <v>-12.273392393588928</v>
      </c>
      <c r="AF131" s="349">
        <f t="shared" ca="1" si="47"/>
        <v>-12.82069288403696</v>
      </c>
      <c r="AG131" s="349">
        <f t="shared" ca="1" si="47"/>
        <v>-13.876926540301927</v>
      </c>
      <c r="AH131" s="171"/>
    </row>
    <row r="132" spans="3:34" ht="14.25">
      <c r="C132" s="169"/>
      <c r="E132" s="70" t="s">
        <v>600</v>
      </c>
      <c r="K132" s="281"/>
      <c r="L132" s="281"/>
      <c r="M132" s="281"/>
      <c r="N132" s="281"/>
      <c r="O132" s="349">
        <f>+O41</f>
        <v>0</v>
      </c>
      <c r="P132" s="349">
        <f>+P41</f>
        <v>0</v>
      </c>
      <c r="Q132" s="349">
        <f>+Q41</f>
        <v>0</v>
      </c>
      <c r="R132" s="349">
        <f t="shared" ref="R132:AG132" si="48">+R41</f>
        <v>0</v>
      </c>
      <c r="S132" s="349">
        <f t="shared" si="48"/>
        <v>0</v>
      </c>
      <c r="T132" s="608">
        <f t="shared" si="48"/>
        <v>0</v>
      </c>
      <c r="U132" s="608">
        <f t="shared" si="48"/>
        <v>0</v>
      </c>
      <c r="V132" s="608">
        <f t="shared" si="48"/>
        <v>0</v>
      </c>
      <c r="W132" s="608">
        <f t="shared" si="48"/>
        <v>0</v>
      </c>
      <c r="X132" s="608">
        <f t="shared" si="48"/>
        <v>0</v>
      </c>
      <c r="Y132" s="608">
        <f t="shared" si="48"/>
        <v>0</v>
      </c>
      <c r="Z132" s="608">
        <f t="shared" si="48"/>
        <v>0</v>
      </c>
      <c r="AA132" s="349">
        <f t="shared" si="48"/>
        <v>0</v>
      </c>
      <c r="AB132" s="349">
        <f t="shared" si="48"/>
        <v>0</v>
      </c>
      <c r="AC132" s="349">
        <f t="shared" si="48"/>
        <v>0</v>
      </c>
      <c r="AD132" s="349">
        <f t="shared" si="48"/>
        <v>0</v>
      </c>
      <c r="AE132" s="349">
        <f t="shared" si="48"/>
        <v>0</v>
      </c>
      <c r="AF132" s="349">
        <f t="shared" si="48"/>
        <v>0</v>
      </c>
      <c r="AG132" s="349">
        <f t="shared" si="48"/>
        <v>0</v>
      </c>
      <c r="AH132" s="171"/>
    </row>
    <row r="133" spans="3:34">
      <c r="C133" s="169"/>
      <c r="D133" s="104" t="s">
        <v>147</v>
      </c>
      <c r="K133" s="281"/>
      <c r="L133" s="281"/>
      <c r="M133" s="281"/>
      <c r="N133" s="281"/>
      <c r="O133" s="927">
        <f ca="1">+SUM(O122:O132)</f>
        <v>14.892943056382997</v>
      </c>
      <c r="P133" s="888">
        <f ca="1">+SUM(P122:P132)</f>
        <v>23.308538337065301</v>
      </c>
      <c r="Q133" s="888">
        <f ca="1">+SUM(Q122:Q132)</f>
        <v>15.947717545374729</v>
      </c>
      <c r="R133" s="888">
        <f t="shared" ref="R133:W133" ca="1" si="49">+SUM(R122:R132)</f>
        <v>15.737454258022977</v>
      </c>
      <c r="S133" s="609">
        <f t="shared" ca="1" si="49"/>
        <v>11.871922265323473</v>
      </c>
      <c r="T133" s="609">
        <f t="shared" ca="1" si="49"/>
        <v>8.135658638330785</v>
      </c>
      <c r="U133" s="609">
        <f t="shared" ca="1" si="49"/>
        <v>12.920288453312892</v>
      </c>
      <c r="V133" s="609">
        <f t="shared" ca="1" si="49"/>
        <v>15.212066189586064</v>
      </c>
      <c r="W133" s="925">
        <f t="shared" ca="1" si="49"/>
        <v>12.151796886895568</v>
      </c>
      <c r="X133" s="926">
        <f t="shared" ref="X133:AG133" ca="1" si="50">+SUM(X122:X132)</f>
        <v>26.644754598597014</v>
      </c>
      <c r="Y133" s="609">
        <f t="shared" ca="1" si="50"/>
        <v>34.556057044340363</v>
      </c>
      <c r="Z133" s="609">
        <f t="shared" ca="1" si="50"/>
        <v>46.533516762708167</v>
      </c>
      <c r="AA133" s="888">
        <f t="shared" ca="1" si="50"/>
        <v>54.8484376173923</v>
      </c>
      <c r="AB133" s="927">
        <f t="shared" ca="1" si="50"/>
        <v>57.627574515464971</v>
      </c>
      <c r="AC133" s="888">
        <f t="shared" ca="1" si="50"/>
        <v>47.25564456597774</v>
      </c>
      <c r="AD133" s="888">
        <f t="shared" ca="1" si="50"/>
        <v>48.397478046627086</v>
      </c>
      <c r="AE133" s="888">
        <f t="shared" ca="1" si="50"/>
        <v>51.825158925739736</v>
      </c>
      <c r="AF133" s="888">
        <f t="shared" ca="1" si="50"/>
        <v>55.932412931121902</v>
      </c>
      <c r="AG133" s="888">
        <f t="shared" ca="1" si="50"/>
        <v>59.946302157796964</v>
      </c>
      <c r="AH133" s="171"/>
    </row>
    <row r="134" spans="3:34">
      <c r="C134" s="169"/>
      <c r="K134" s="281"/>
      <c r="L134" s="281"/>
      <c r="M134" s="281"/>
      <c r="N134" s="281"/>
      <c r="O134" s="349"/>
      <c r="P134" s="349"/>
      <c r="Q134" s="349"/>
      <c r="R134" s="349"/>
      <c r="S134" s="608"/>
      <c r="T134" s="608"/>
      <c r="U134" s="608"/>
      <c r="V134" s="608"/>
      <c r="W134" s="608"/>
      <c r="X134" s="608"/>
      <c r="Y134" s="608"/>
      <c r="Z134" s="608"/>
      <c r="AA134" s="349"/>
      <c r="AB134" s="349"/>
      <c r="AC134" s="349"/>
      <c r="AD134" s="349"/>
      <c r="AE134" s="349"/>
      <c r="AF134" s="349"/>
      <c r="AG134" s="349"/>
      <c r="AH134" s="171"/>
    </row>
    <row r="135" spans="3:34">
      <c r="C135" s="169"/>
      <c r="D135" s="104" t="s">
        <v>148</v>
      </c>
      <c r="K135" s="281"/>
      <c r="L135" s="281"/>
      <c r="M135" s="281"/>
      <c r="N135" s="281"/>
      <c r="O135" s="349"/>
      <c r="P135" s="349"/>
      <c r="Q135" s="349"/>
      <c r="R135" s="349"/>
      <c r="S135" s="608"/>
      <c r="T135" s="608"/>
      <c r="U135" s="608"/>
      <c r="V135" s="608"/>
      <c r="W135" s="608"/>
      <c r="X135" s="608"/>
      <c r="Y135" s="608"/>
      <c r="Z135" s="608"/>
      <c r="AA135" s="349"/>
      <c r="AB135" s="349"/>
      <c r="AC135" s="349"/>
      <c r="AD135" s="349"/>
      <c r="AE135" s="349"/>
      <c r="AF135" s="349"/>
      <c r="AG135" s="349"/>
      <c r="AH135" s="171"/>
    </row>
    <row r="136" spans="3:34">
      <c r="C136" s="169"/>
      <c r="E136" s="70" t="s">
        <v>149</v>
      </c>
      <c r="K136" s="281"/>
      <c r="L136" s="281"/>
      <c r="M136" s="281"/>
      <c r="N136" s="281"/>
      <c r="O136" s="349">
        <f ca="1">-('Rev&amp;RAV_FO'!O38+NotPres_FO!O16)*'Rev&amp;RAV_FO'!O85</f>
        <v>-18.403202</v>
      </c>
      <c r="P136" s="349">
        <f ca="1">-('Rev&amp;RAV_FO'!P38+NotPres_FO!P16)*'Rev&amp;RAV_FO'!P85</f>
        <v>-14.2861835</v>
      </c>
      <c r="Q136" s="349">
        <f ca="1">-('Rev&amp;RAV_FO'!Q38+NotPres_FO!Q16)*'Rev&amp;RAV_FO'!Q85</f>
        <v>-23.974851999999998</v>
      </c>
      <c r="R136" s="349">
        <f ca="1">-('Rev&amp;RAV_FO'!R38+NotPres_FO!R16)*'Rev&amp;RAV_FO'!R85</f>
        <v>-25.485249839999998</v>
      </c>
      <c r="S136" s="349">
        <f ca="1">-('Rev&amp;RAV_FO'!S38+NotPres_FO!S16)*'Rev&amp;RAV_FO'!S85</f>
        <v>-42.691754000000003</v>
      </c>
      <c r="T136" s="349">
        <f ca="1">-('Rev&amp;RAV_FO'!T38+NotPres_FO!T16)*'Rev&amp;RAV_FO'!T85</f>
        <v>-33.946934499999998</v>
      </c>
      <c r="U136" s="349">
        <f ca="1">-('Rev&amp;RAV_FO'!U38+NotPres_FO!U16)*'Rev&amp;RAV_FO'!U85</f>
        <v>-42.912672499999999</v>
      </c>
      <c r="V136" s="349">
        <f ca="1">-('Rev&amp;RAV_FO'!V38+NotPres_FO!V16)*'Rev&amp;RAV_FO'!V85</f>
        <v>-79.720278190000002</v>
      </c>
      <c r="W136" s="349">
        <f ca="1">-('Rev&amp;RAV_FO'!W38+NotPres_FO!W16)*'Rev&amp;RAV_FO'!W85</f>
        <v>-13.967881085972849</v>
      </c>
      <c r="X136" s="349">
        <f ca="1">-('Rev&amp;RAV_FO'!X55+NotPres_FO!X16)*'Rev&amp;RAV_FO'!X85</f>
        <v>-55.692981686999993</v>
      </c>
      <c r="Y136" s="608">
        <f ca="1">-('Rev&amp;RAV_FO'!Y55+NotPres_FO!Y16)*'Rev&amp;RAV_FO'!Y85</f>
        <v>-61.708406407200009</v>
      </c>
      <c r="Z136" s="608">
        <f ca="1">-('Rev&amp;RAV_FO'!Z55+NotPres_FO!Z16)*'Rev&amp;RAV_FO'!Z85</f>
        <v>-48.080527774442096</v>
      </c>
      <c r="AA136" s="349">
        <f ca="1">-('Rev&amp;RAV_FO'!AA55+NotPres_FO!AA16)*'Rev&amp;RAV_FO'!AA85</f>
        <v>-57.215161230061732</v>
      </c>
      <c r="AB136" s="349">
        <f ca="1">-('Rev&amp;RAV_FO'!AB55+NotPres_FO!AB16)*'Rev&amp;RAV_FO'!AB85</f>
        <v>-83.255535508618934</v>
      </c>
      <c r="AC136" s="349">
        <f ca="1">-('Rev&amp;RAV_FO'!AC55+NotPres_FO!AC16)*'Rev&amp;RAV_FO'!AC85</f>
        <v>-76.425180845490146</v>
      </c>
      <c r="AD136" s="349">
        <f ca="1">-('Rev&amp;RAV_FO'!AD55+NotPres_FO!AD16)*'Rev&amp;RAV_FO'!AD85</f>
        <v>-75.856400335179032</v>
      </c>
      <c r="AE136" s="349">
        <f ca="1">-('Rev&amp;RAV_FO'!AE55+NotPres_FO!AE16)*'Rev&amp;RAV_FO'!AE85</f>
        <v>-66.073593756414326</v>
      </c>
      <c r="AF136" s="349">
        <f ca="1">-('Rev&amp;RAV_FO'!AF55+NotPres_FO!AF16)*'Rev&amp;RAV_FO'!AF85</f>
        <v>-83.100712108364391</v>
      </c>
      <c r="AG136" s="349">
        <f ca="1">-('Rev&amp;RAV_FO'!AG55+NotPres_FO!AG16)*'Rev&amp;RAV_FO'!AG85</f>
        <v>-72.2013777112561</v>
      </c>
      <c r="AH136" s="171"/>
    </row>
    <row r="137" spans="3:34">
      <c r="C137" s="169"/>
      <c r="E137" s="70" t="s">
        <v>150</v>
      </c>
      <c r="K137" s="281"/>
      <c r="L137" s="281"/>
      <c r="M137" s="281"/>
      <c r="N137" s="281"/>
      <c r="O137" s="349">
        <f ca="1">+O89</f>
        <v>0.504</v>
      </c>
      <c r="P137" s="349">
        <f ca="1">+P89</f>
        <v>0.66100000000000003</v>
      </c>
      <c r="Q137" s="349">
        <f ca="1">+Q89</f>
        <v>0.53500000000000003</v>
      </c>
      <c r="R137" s="349">
        <f t="shared" ref="R137:W137" ca="1" si="51">+R89</f>
        <v>0.43699999999999994</v>
      </c>
      <c r="S137" s="349">
        <f t="shared" ca="1" si="51"/>
        <v>0.15700000000000003</v>
      </c>
      <c r="T137" s="349">
        <f t="shared" ca="1" si="51"/>
        <v>0.184</v>
      </c>
      <c r="U137" s="349">
        <f t="shared" ca="1" si="51"/>
        <v>0.49199999999999999</v>
      </c>
      <c r="V137" s="349">
        <f t="shared" ca="1" si="51"/>
        <v>3.1817999999999992E-2</v>
      </c>
      <c r="W137" s="349">
        <f t="shared" ca="1" si="51"/>
        <v>0.5</v>
      </c>
      <c r="X137" s="349">
        <f t="shared" ref="X137:AG137" ca="1" si="52">+X89</f>
        <v>0.51449999999999996</v>
      </c>
      <c r="Y137" s="608">
        <f t="shared" ca="1" si="52"/>
        <v>0.52942049999999996</v>
      </c>
      <c r="Z137" s="608">
        <f t="shared" ca="1" si="52"/>
        <v>0.54477369449999991</v>
      </c>
      <c r="AA137" s="349">
        <f t="shared" ca="1" si="52"/>
        <v>0.5605721316404999</v>
      </c>
      <c r="AB137" s="349">
        <f t="shared" ca="1" si="52"/>
        <v>0.57682872345807434</v>
      </c>
      <c r="AC137" s="349">
        <f t="shared" ca="1" si="52"/>
        <v>0.59355675643835848</v>
      </c>
      <c r="AD137" s="349">
        <f t="shared" ca="1" si="52"/>
        <v>0.61076990237507078</v>
      </c>
      <c r="AE137" s="349">
        <f t="shared" ca="1" si="52"/>
        <v>0.62848222954394783</v>
      </c>
      <c r="AF137" s="349">
        <f t="shared" ca="1" si="52"/>
        <v>0.64670821420072222</v>
      </c>
      <c r="AG137" s="349">
        <f t="shared" ca="1" si="52"/>
        <v>0.66546275241254316</v>
      </c>
      <c r="AH137" s="171"/>
    </row>
    <row r="138" spans="3:34" ht="14.25">
      <c r="C138" s="169"/>
      <c r="E138" s="70" t="s">
        <v>601</v>
      </c>
      <c r="K138" s="281"/>
      <c r="L138" s="281"/>
      <c r="M138" s="281"/>
      <c r="N138" s="281"/>
      <c r="O138" s="349">
        <f>+O51</f>
        <v>0</v>
      </c>
      <c r="P138" s="349">
        <f>+P51</f>
        <v>0</v>
      </c>
      <c r="Q138" s="349">
        <f>+Q51</f>
        <v>0</v>
      </c>
      <c r="R138" s="349">
        <f t="shared" ref="R138:AG138" si="53">+R51</f>
        <v>0</v>
      </c>
      <c r="S138" s="608">
        <f t="shared" si="53"/>
        <v>0</v>
      </c>
      <c r="T138" s="608">
        <f t="shared" si="53"/>
        <v>0</v>
      </c>
      <c r="U138" s="608">
        <f t="shared" si="53"/>
        <v>0</v>
      </c>
      <c r="V138" s="608">
        <f t="shared" si="53"/>
        <v>0</v>
      </c>
      <c r="W138" s="608">
        <f t="shared" si="53"/>
        <v>0</v>
      </c>
      <c r="X138" s="608">
        <f t="shared" si="53"/>
        <v>0</v>
      </c>
      <c r="Y138" s="608">
        <f t="shared" si="53"/>
        <v>0</v>
      </c>
      <c r="Z138" s="608">
        <f t="shared" si="53"/>
        <v>0</v>
      </c>
      <c r="AA138" s="349">
        <f t="shared" si="53"/>
        <v>0</v>
      </c>
      <c r="AB138" s="349">
        <f t="shared" si="53"/>
        <v>0</v>
      </c>
      <c r="AC138" s="349">
        <f t="shared" si="53"/>
        <v>0</v>
      </c>
      <c r="AD138" s="349">
        <f t="shared" si="53"/>
        <v>0</v>
      </c>
      <c r="AE138" s="349">
        <f t="shared" si="53"/>
        <v>0</v>
      </c>
      <c r="AF138" s="349">
        <f t="shared" si="53"/>
        <v>0</v>
      </c>
      <c r="AG138" s="349">
        <f t="shared" si="53"/>
        <v>0</v>
      </c>
      <c r="AH138" s="171"/>
    </row>
    <row r="139" spans="3:34">
      <c r="C139" s="169"/>
      <c r="D139" s="104" t="s">
        <v>151</v>
      </c>
      <c r="K139" s="281"/>
      <c r="L139" s="281"/>
      <c r="M139" s="281"/>
      <c r="N139" s="281"/>
      <c r="O139" s="927">
        <f ca="1">+SUM(O136:O138)</f>
        <v>-17.899201999999999</v>
      </c>
      <c r="P139" s="888">
        <f ca="1">+SUM(P136:P138)</f>
        <v>-13.6251835</v>
      </c>
      <c r="Q139" s="888">
        <f ca="1">+SUM(Q136:Q138)</f>
        <v>-23.439851999999998</v>
      </c>
      <c r="R139" s="888">
        <f t="shared" ref="R139:W139" ca="1" si="54">+SUM(R136:R138)</f>
        <v>-25.048249839999997</v>
      </c>
      <c r="S139" s="609">
        <f t="shared" ca="1" si="54"/>
        <v>-42.534754000000007</v>
      </c>
      <c r="T139" s="609">
        <f t="shared" ca="1" si="54"/>
        <v>-33.7629345</v>
      </c>
      <c r="U139" s="609">
        <f t="shared" ca="1" si="54"/>
        <v>-42.420672500000002</v>
      </c>
      <c r="V139" s="609">
        <f t="shared" ca="1" si="54"/>
        <v>-79.688460190000001</v>
      </c>
      <c r="W139" s="925">
        <f t="shared" ca="1" si="54"/>
        <v>-13.467881085972849</v>
      </c>
      <c r="X139" s="926">
        <f t="shared" ref="X139:AG139" ca="1" si="55">+SUM(X136:X138)</f>
        <v>-55.178481686999994</v>
      </c>
      <c r="Y139" s="609">
        <f t="shared" ca="1" si="55"/>
        <v>-61.178985907200008</v>
      </c>
      <c r="Z139" s="609">
        <f t="shared" ca="1" si="55"/>
        <v>-47.535754079942095</v>
      </c>
      <c r="AA139" s="888">
        <f t="shared" ca="1" si="55"/>
        <v>-56.654589098421233</v>
      </c>
      <c r="AB139" s="927">
        <f t="shared" ca="1" si="55"/>
        <v>-82.678706785160855</v>
      </c>
      <c r="AC139" s="888">
        <f t="shared" ca="1" si="55"/>
        <v>-75.831624089051786</v>
      </c>
      <c r="AD139" s="888">
        <f t="shared" ca="1" si="55"/>
        <v>-75.245630432803964</v>
      </c>
      <c r="AE139" s="888">
        <f t="shared" ca="1" si="55"/>
        <v>-65.445111526870377</v>
      </c>
      <c r="AF139" s="888">
        <f t="shared" ca="1" si="55"/>
        <v>-82.454003894163662</v>
      </c>
      <c r="AG139" s="888">
        <f t="shared" ca="1" si="55"/>
        <v>-71.535914958843563</v>
      </c>
      <c r="AH139" s="171"/>
    </row>
    <row r="140" spans="3:34">
      <c r="C140" s="169"/>
      <c r="K140" s="281"/>
      <c r="L140" s="281"/>
      <c r="M140" s="281"/>
      <c r="N140" s="281"/>
      <c r="O140" s="349"/>
      <c r="P140" s="349"/>
      <c r="Q140" s="349"/>
      <c r="R140" s="349"/>
      <c r="S140" s="608"/>
      <c r="T140" s="608"/>
      <c r="U140" s="608"/>
      <c r="V140" s="608"/>
      <c r="W140" s="608"/>
      <c r="X140" s="608"/>
      <c r="Y140" s="608"/>
      <c r="Z140" s="608"/>
      <c r="AA140" s="349"/>
      <c r="AB140" s="349"/>
      <c r="AC140" s="349"/>
      <c r="AD140" s="349"/>
      <c r="AE140" s="349"/>
      <c r="AF140" s="349"/>
      <c r="AG140" s="349"/>
      <c r="AH140" s="171"/>
    </row>
    <row r="141" spans="3:34">
      <c r="C141" s="169"/>
      <c r="D141" s="70" t="s">
        <v>152</v>
      </c>
      <c r="K141" s="281"/>
      <c r="L141" s="281"/>
      <c r="M141" s="281"/>
      <c r="N141" s="281"/>
      <c r="O141" s="349">
        <f ca="1">-O109</f>
        <v>0</v>
      </c>
      <c r="P141" s="349">
        <f ca="1">-P109</f>
        <v>0</v>
      </c>
      <c r="Q141" s="349">
        <f ca="1">-Q109</f>
        <v>0</v>
      </c>
      <c r="R141" s="349">
        <f t="shared" ref="R141:W141" ca="1" si="56">-R109</f>
        <v>0</v>
      </c>
      <c r="S141" s="608">
        <f t="shared" ca="1" si="56"/>
        <v>0</v>
      </c>
      <c r="T141" s="608">
        <f t="shared" ca="1" si="56"/>
        <v>0</v>
      </c>
      <c r="U141" s="608">
        <f t="shared" ca="1" si="56"/>
        <v>0</v>
      </c>
      <c r="V141" s="608">
        <f t="shared" ca="1" si="56"/>
        <v>0</v>
      </c>
      <c r="W141" s="608">
        <f t="shared" ca="1" si="56"/>
        <v>0</v>
      </c>
      <c r="X141" s="608">
        <f t="shared" ref="X141:AG141" ca="1" si="57">-X109</f>
        <v>0</v>
      </c>
      <c r="Y141" s="608">
        <f t="shared" ca="1" si="57"/>
        <v>0</v>
      </c>
      <c r="Z141" s="608">
        <f t="shared" ca="1" si="57"/>
        <v>0</v>
      </c>
      <c r="AA141" s="349">
        <f t="shared" ca="1" si="57"/>
        <v>0</v>
      </c>
      <c r="AB141" s="349">
        <f t="shared" ca="1" si="57"/>
        <v>0</v>
      </c>
      <c r="AC141" s="349">
        <f t="shared" ca="1" si="57"/>
        <v>0</v>
      </c>
      <c r="AD141" s="349">
        <f t="shared" ca="1" si="57"/>
        <v>0</v>
      </c>
      <c r="AE141" s="349">
        <f t="shared" ca="1" si="57"/>
        <v>0</v>
      </c>
      <c r="AF141" s="349">
        <f t="shared" ca="1" si="57"/>
        <v>0</v>
      </c>
      <c r="AG141" s="349">
        <f t="shared" ca="1" si="57"/>
        <v>0</v>
      </c>
      <c r="AH141" s="171"/>
    </row>
    <row r="142" spans="3:34">
      <c r="C142" s="169"/>
      <c r="J142" s="608"/>
      <c r="K142" s="608"/>
      <c r="L142" s="608"/>
      <c r="M142" s="608"/>
      <c r="N142" s="608"/>
      <c r="O142" s="608"/>
      <c r="P142" s="608"/>
      <c r="Q142" s="608"/>
      <c r="R142" s="608"/>
      <c r="S142" s="608"/>
      <c r="T142" s="608"/>
      <c r="U142" s="608"/>
      <c r="V142" s="608"/>
      <c r="W142" s="608"/>
      <c r="X142" s="608"/>
      <c r="Y142" s="608"/>
      <c r="Z142" s="608"/>
      <c r="AA142" s="608"/>
      <c r="AB142" s="608"/>
      <c r="AC142" s="608"/>
      <c r="AD142" s="608"/>
      <c r="AE142" s="608"/>
      <c r="AF142" s="608"/>
      <c r="AG142" s="608"/>
      <c r="AH142" s="171"/>
    </row>
    <row r="143" spans="3:34" ht="12.75" thickBot="1">
      <c r="C143" s="169"/>
      <c r="D143" s="104" t="s">
        <v>153</v>
      </c>
      <c r="E143" s="104"/>
      <c r="F143" s="104"/>
      <c r="G143" s="104"/>
      <c r="H143" s="104"/>
      <c r="I143" s="112"/>
      <c r="J143" s="104"/>
      <c r="K143" s="281"/>
      <c r="L143" s="281"/>
      <c r="M143" s="281"/>
      <c r="N143" s="281"/>
      <c r="O143" s="919">
        <f ca="1">O133+O139+O141</f>
        <v>-3.0062589436170022</v>
      </c>
      <c r="P143" s="351">
        <f ca="1">P133+P139+P141</f>
        <v>9.6833548370653002</v>
      </c>
      <c r="Q143" s="351">
        <f ca="1">Q133+Q139+Q141</f>
        <v>-7.4921344546252691</v>
      </c>
      <c r="R143" s="351">
        <f t="shared" ref="R143:W143" ca="1" si="58">R133+R139+R141</f>
        <v>-9.3107955819770201</v>
      </c>
      <c r="S143" s="901">
        <f t="shared" ca="1" si="58"/>
        <v>-30.662831734676534</v>
      </c>
      <c r="T143" s="901">
        <f t="shared" ca="1" si="58"/>
        <v>-25.627275861669215</v>
      </c>
      <c r="U143" s="901">
        <f t="shared" ca="1" si="58"/>
        <v>-29.50038404668711</v>
      </c>
      <c r="V143" s="901">
        <f t="shared" ca="1" si="58"/>
        <v>-64.476394000413933</v>
      </c>
      <c r="W143" s="928">
        <f t="shared" ca="1" si="58"/>
        <v>-1.3160841990772809</v>
      </c>
      <c r="X143" s="929">
        <f t="shared" ref="X143:AG143" ca="1" si="59">X133+X139+X141</f>
        <v>-28.53372708840298</v>
      </c>
      <c r="Y143" s="901">
        <f t="shared" ca="1" si="59"/>
        <v>-26.622928862859645</v>
      </c>
      <c r="Z143" s="901">
        <f t="shared" ca="1" si="59"/>
        <v>-1.0022373172339272</v>
      </c>
      <c r="AA143" s="351">
        <f t="shared" ca="1" si="59"/>
        <v>-1.8061514810289339</v>
      </c>
      <c r="AB143" s="919">
        <f t="shared" ca="1" si="59"/>
        <v>-25.051132269695884</v>
      </c>
      <c r="AC143" s="351">
        <f t="shared" ca="1" si="59"/>
        <v>-28.575979523074047</v>
      </c>
      <c r="AD143" s="351">
        <f t="shared" ca="1" si="59"/>
        <v>-26.848152386176878</v>
      </c>
      <c r="AE143" s="351">
        <f t="shared" ca="1" si="59"/>
        <v>-13.619952601130642</v>
      </c>
      <c r="AF143" s="351">
        <f t="shared" ca="1" si="59"/>
        <v>-26.52159096304176</v>
      </c>
      <c r="AG143" s="351">
        <f t="shared" ca="1" si="59"/>
        <v>-11.589612801046599</v>
      </c>
      <c r="AH143" s="171"/>
    </row>
    <row r="144" spans="3:34">
      <c r="C144" s="169"/>
      <c r="K144" s="281"/>
      <c r="L144" s="281"/>
      <c r="M144" s="281"/>
      <c r="N144" s="281"/>
      <c r="O144" s="281"/>
      <c r="P144" s="281"/>
      <c r="Q144" s="281"/>
      <c r="R144" s="281"/>
      <c r="S144" s="281"/>
      <c r="T144" s="180"/>
      <c r="U144" s="180"/>
      <c r="V144" s="180"/>
      <c r="W144" s="180"/>
      <c r="X144" s="180"/>
      <c r="Y144" s="180"/>
      <c r="Z144" s="180"/>
      <c r="AA144" s="281"/>
      <c r="AB144" s="281"/>
      <c r="AC144" s="281"/>
      <c r="AD144" s="281"/>
      <c r="AE144" s="281"/>
      <c r="AF144" s="281"/>
      <c r="AG144" s="281"/>
      <c r="AH144" s="171"/>
    </row>
    <row r="145" spans="3:34" ht="12.75" thickBot="1">
      <c r="C145" s="182"/>
      <c r="D145" s="183"/>
      <c r="E145" s="183"/>
      <c r="F145" s="183"/>
      <c r="G145" s="183"/>
      <c r="H145" s="183"/>
      <c r="I145" s="199"/>
      <c r="J145" s="183"/>
      <c r="K145" s="199"/>
      <c r="L145" s="199"/>
      <c r="M145" s="199"/>
      <c r="N145" s="199"/>
      <c r="O145" s="199"/>
      <c r="P145" s="199"/>
      <c r="Q145" s="199"/>
      <c r="R145" s="199"/>
      <c r="S145" s="199"/>
      <c r="T145" s="183"/>
      <c r="U145" s="183"/>
      <c r="V145" s="183"/>
      <c r="W145" s="183"/>
      <c r="X145" s="183"/>
      <c r="Y145" s="183"/>
      <c r="Z145" s="183"/>
      <c r="AA145" s="183"/>
      <c r="AB145" s="183"/>
      <c r="AC145" s="183"/>
      <c r="AD145" s="183"/>
      <c r="AE145" s="183"/>
      <c r="AF145" s="183"/>
      <c r="AG145" s="183"/>
      <c r="AH145" s="186"/>
    </row>
    <row r="146" spans="3:34">
      <c r="K146" s="905"/>
      <c r="L146" s="905"/>
      <c r="M146" s="905"/>
      <c r="N146" s="905"/>
      <c r="O146" s="905"/>
      <c r="P146" s="905"/>
      <c r="Q146" s="905"/>
      <c r="R146" s="905"/>
      <c r="S146" s="74"/>
    </row>
    <row r="147" spans="3:34" ht="12.75" thickBot="1">
      <c r="C147" s="183"/>
      <c r="D147" s="183"/>
      <c r="E147" s="183"/>
      <c r="F147" s="183"/>
      <c r="G147" s="183"/>
      <c r="H147" s="183"/>
      <c r="I147" s="199"/>
      <c r="J147" s="183"/>
      <c r="K147" s="922"/>
      <c r="L147" s="922"/>
      <c r="M147" s="922"/>
      <c r="N147" s="922"/>
      <c r="O147" s="922"/>
      <c r="P147" s="922"/>
      <c r="Q147" s="922"/>
      <c r="R147" s="922"/>
      <c r="S147" s="199"/>
      <c r="T147" s="183"/>
      <c r="U147" s="183"/>
      <c r="V147" s="183"/>
      <c r="W147" s="183"/>
      <c r="X147" s="183"/>
      <c r="Y147" s="183"/>
      <c r="Z147" s="183"/>
      <c r="AA147" s="183"/>
      <c r="AB147" s="183"/>
      <c r="AC147" s="183"/>
      <c r="AD147" s="183"/>
      <c r="AE147" s="183"/>
      <c r="AF147" s="183"/>
      <c r="AG147" s="183"/>
      <c r="AH147" s="183"/>
    </row>
    <row r="148" spans="3:34">
      <c r="C148" s="169"/>
      <c r="K148" s="281"/>
      <c r="L148" s="281"/>
      <c r="M148" s="281"/>
      <c r="N148" s="281"/>
      <c r="O148" s="281"/>
      <c r="P148" s="281"/>
      <c r="Q148" s="281"/>
      <c r="R148" s="281"/>
      <c r="S148" s="281"/>
      <c r="T148" s="180"/>
      <c r="U148" s="180"/>
      <c r="V148" s="180"/>
      <c r="W148" s="180"/>
      <c r="X148" s="180"/>
      <c r="Y148" s="180"/>
      <c r="Z148" s="180"/>
      <c r="AA148" s="180"/>
      <c r="AB148" s="180"/>
      <c r="AC148" s="180"/>
      <c r="AD148" s="180"/>
      <c r="AE148" s="180"/>
      <c r="AF148" s="180"/>
      <c r="AG148" s="180"/>
      <c r="AH148" s="171"/>
    </row>
    <row r="149" spans="3:34">
      <c r="C149" s="169"/>
      <c r="D149" s="879" t="s">
        <v>154</v>
      </c>
      <c r="K149" s="281"/>
      <c r="L149" s="281"/>
      <c r="M149" s="281"/>
      <c r="N149" s="281"/>
      <c r="O149" s="281"/>
      <c r="P149" s="281"/>
      <c r="Q149" s="281"/>
      <c r="R149" s="281"/>
      <c r="S149" s="281"/>
      <c r="T149" s="180"/>
      <c r="U149" s="180"/>
      <c r="V149" s="180"/>
      <c r="W149" s="180"/>
      <c r="X149" s="180"/>
      <c r="Y149" s="180"/>
      <c r="Z149" s="180"/>
      <c r="AA149" s="180"/>
      <c r="AB149" s="180"/>
      <c r="AC149" s="180"/>
      <c r="AD149" s="180"/>
      <c r="AE149" s="180"/>
      <c r="AF149" s="180"/>
      <c r="AG149" s="180"/>
      <c r="AH149" s="171"/>
    </row>
    <row r="150" spans="3:34">
      <c r="C150" s="169"/>
      <c r="D150" s="923"/>
      <c r="K150" s="281"/>
      <c r="L150" s="281"/>
      <c r="M150" s="281"/>
      <c r="N150" s="281"/>
      <c r="O150" s="281"/>
      <c r="P150" s="281"/>
      <c r="Q150" s="281"/>
      <c r="R150" s="281"/>
      <c r="S150" s="281"/>
      <c r="T150" s="790"/>
      <c r="U150" s="790"/>
      <c r="V150" s="790"/>
      <c r="W150" s="790"/>
      <c r="X150" s="790"/>
      <c r="Y150" s="790"/>
      <c r="Z150" s="790"/>
      <c r="AA150" s="790"/>
      <c r="AB150" s="790"/>
      <c r="AC150" s="790"/>
      <c r="AD150" s="790"/>
      <c r="AE150" s="790"/>
      <c r="AF150" s="790"/>
      <c r="AG150" s="790"/>
      <c r="AH150" s="873"/>
    </row>
    <row r="151" spans="3:34">
      <c r="C151" s="169"/>
      <c r="D151" s="923"/>
      <c r="K151" s="74"/>
      <c r="L151" s="74"/>
      <c r="M151" s="281"/>
      <c r="N151" s="281"/>
      <c r="O151" s="281"/>
      <c r="P151" s="281"/>
      <c r="Q151" s="281"/>
      <c r="R151" s="281"/>
      <c r="S151" s="281"/>
      <c r="T151" s="790"/>
      <c r="U151" s="790"/>
      <c r="V151" s="790"/>
      <c r="W151" s="790"/>
      <c r="X151" s="790"/>
      <c r="Y151" s="790"/>
      <c r="Z151" s="790"/>
      <c r="AA151" s="790"/>
      <c r="AB151" s="790"/>
      <c r="AC151" s="790"/>
      <c r="AD151" s="790"/>
      <c r="AE151" s="790"/>
      <c r="AF151" s="790"/>
      <c r="AG151" s="790"/>
      <c r="AH151" s="873"/>
    </row>
    <row r="152" spans="3:34">
      <c r="C152" s="169"/>
      <c r="D152" s="60" t="s">
        <v>155</v>
      </c>
      <c r="K152" s="74"/>
      <c r="L152" s="74"/>
      <c r="M152" s="281"/>
      <c r="N152" s="281"/>
      <c r="O152" s="281"/>
      <c r="P152" s="281"/>
      <c r="Q152" s="281"/>
      <c r="R152" s="281"/>
      <c r="S152" s="281"/>
      <c r="T152" s="790"/>
      <c r="U152" s="790"/>
      <c r="V152" s="790"/>
      <c r="W152" s="790"/>
      <c r="X152" s="790"/>
      <c r="Y152" s="790"/>
      <c r="Z152" s="790"/>
      <c r="AA152" s="790"/>
      <c r="AB152" s="790"/>
      <c r="AC152" s="790"/>
      <c r="AD152" s="790"/>
      <c r="AE152" s="790"/>
      <c r="AF152" s="790"/>
      <c r="AG152" s="790"/>
      <c r="AH152" s="873"/>
    </row>
    <row r="153" spans="3:34">
      <c r="C153" s="169"/>
      <c r="K153" s="74"/>
      <c r="L153" s="74"/>
      <c r="M153" s="281"/>
      <c r="N153" s="281"/>
      <c r="O153" s="281"/>
      <c r="P153" s="281"/>
      <c r="Q153" s="281"/>
      <c r="R153" s="281"/>
      <c r="S153" s="281"/>
      <c r="T153" s="790"/>
      <c r="U153" s="790"/>
      <c r="V153" s="790"/>
      <c r="W153" s="790"/>
      <c r="X153" s="790"/>
      <c r="Y153" s="790"/>
      <c r="Z153" s="790"/>
      <c r="AA153" s="790"/>
      <c r="AB153" s="790"/>
      <c r="AC153" s="790"/>
      <c r="AD153" s="790"/>
      <c r="AE153" s="790"/>
      <c r="AF153" s="790"/>
      <c r="AG153" s="790"/>
      <c r="AH153" s="873"/>
    </row>
    <row r="154" spans="3:34">
      <c r="C154" s="169"/>
      <c r="D154" s="104" t="s">
        <v>156</v>
      </c>
      <c r="K154" s="74"/>
      <c r="L154" s="74"/>
      <c r="M154" s="281"/>
      <c r="N154" s="281"/>
      <c r="O154" s="440">
        <v>0.4</v>
      </c>
      <c r="P154" s="438">
        <v>0.4</v>
      </c>
      <c r="Q154" s="438">
        <v>0.4</v>
      </c>
      <c r="R154" s="439">
        <v>0.4</v>
      </c>
      <c r="S154" s="438">
        <v>0.4</v>
      </c>
      <c r="T154" s="438">
        <v>0.4</v>
      </c>
      <c r="U154" s="438">
        <v>0.4</v>
      </c>
      <c r="V154" s="438">
        <v>0.4</v>
      </c>
      <c r="W154" s="439">
        <v>0.4</v>
      </c>
      <c r="X154" s="437">
        <v>0.4</v>
      </c>
      <c r="Y154" s="438">
        <v>0.4</v>
      </c>
      <c r="Z154" s="438">
        <v>0.4</v>
      </c>
      <c r="AA154" s="438">
        <v>0.4</v>
      </c>
      <c r="AB154" s="439">
        <v>0.4</v>
      </c>
      <c r="AC154" s="438">
        <v>0.4</v>
      </c>
      <c r="AD154" s="438">
        <v>0.4</v>
      </c>
      <c r="AE154" s="438">
        <v>0.4</v>
      </c>
      <c r="AF154" s="438">
        <v>0.4</v>
      </c>
      <c r="AG154" s="439">
        <v>0.4</v>
      </c>
      <c r="AH154" s="171"/>
    </row>
    <row r="155" spans="3:34">
      <c r="C155" s="169"/>
      <c r="D155" s="70" t="s">
        <v>157</v>
      </c>
      <c r="K155" s="74"/>
      <c r="L155" s="74"/>
      <c r="M155" s="281"/>
      <c r="N155" s="281"/>
      <c r="O155" s="349">
        <f>+J157</f>
        <v>0.31</v>
      </c>
      <c r="P155" s="349">
        <f ca="1">+O157</f>
        <v>0.4</v>
      </c>
      <c r="Q155" s="349">
        <f ca="1">+P157</f>
        <v>0.4</v>
      </c>
      <c r="R155" s="349">
        <f t="shared" ref="R155:W155" ca="1" si="60">+Q157</f>
        <v>0.4</v>
      </c>
      <c r="S155" s="608">
        <f t="shared" ca="1" si="60"/>
        <v>0.4</v>
      </c>
      <c r="T155" s="608">
        <f t="shared" ca="1" si="60"/>
        <v>0.4</v>
      </c>
      <c r="U155" s="608">
        <f ca="1">+T157</f>
        <v>0.4</v>
      </c>
      <c r="V155" s="608">
        <f t="shared" ca="1" si="60"/>
        <v>0.4</v>
      </c>
      <c r="W155" s="608">
        <f t="shared" ca="1" si="60"/>
        <v>0.4</v>
      </c>
      <c r="X155" s="608">
        <f t="shared" ref="X155:AG155" ca="1" si="61">+W157</f>
        <v>0.4</v>
      </c>
      <c r="Y155" s="608">
        <f t="shared" ca="1" si="61"/>
        <v>0.4</v>
      </c>
      <c r="Z155" s="608">
        <f t="shared" ca="1" si="61"/>
        <v>0.4</v>
      </c>
      <c r="AA155" s="608">
        <f t="shared" ca="1" si="61"/>
        <v>0.4</v>
      </c>
      <c r="AB155" s="608">
        <f t="shared" ca="1" si="61"/>
        <v>0.4</v>
      </c>
      <c r="AC155" s="608">
        <f t="shared" ca="1" si="61"/>
        <v>0.4</v>
      </c>
      <c r="AD155" s="608">
        <f t="shared" ca="1" si="61"/>
        <v>0.4</v>
      </c>
      <c r="AE155" s="608">
        <f t="shared" ca="1" si="61"/>
        <v>0.4</v>
      </c>
      <c r="AF155" s="608">
        <f t="shared" ca="1" si="61"/>
        <v>0.4</v>
      </c>
      <c r="AG155" s="608">
        <f t="shared" ca="1" si="61"/>
        <v>0.4</v>
      </c>
      <c r="AH155" s="171"/>
    </row>
    <row r="156" spans="3:34">
      <c r="C156" s="169"/>
      <c r="D156" s="70" t="s">
        <v>158</v>
      </c>
      <c r="K156" s="74"/>
      <c r="L156" s="74"/>
      <c r="M156" s="281"/>
      <c r="N156" s="281"/>
      <c r="O156" s="349">
        <f t="shared" ref="O156:W156" ca="1" si="62">IF(O159-O143+(O154-O155)&gt;=0,O154-O155,O143-O159)</f>
        <v>9.0000000000000024E-2</v>
      </c>
      <c r="P156" s="349">
        <f t="shared" ca="1" si="62"/>
        <v>0</v>
      </c>
      <c r="Q156" s="349">
        <f t="shared" ca="1" si="62"/>
        <v>0</v>
      </c>
      <c r="R156" s="349">
        <f t="shared" ca="1" si="62"/>
        <v>0</v>
      </c>
      <c r="S156" s="608">
        <f t="shared" ca="1" si="62"/>
        <v>0</v>
      </c>
      <c r="T156" s="608">
        <f t="shared" ca="1" si="62"/>
        <v>0</v>
      </c>
      <c r="U156" s="608">
        <f t="shared" ca="1" si="62"/>
        <v>0</v>
      </c>
      <c r="V156" s="608">
        <f t="shared" ca="1" si="62"/>
        <v>0</v>
      </c>
      <c r="W156" s="608">
        <f t="shared" ca="1" si="62"/>
        <v>0</v>
      </c>
      <c r="X156" s="608">
        <f t="shared" ref="X156:AG156" ca="1" si="63">IF(X159-X143+(X154-X155)&gt;=0,X154-X155,X143-X159)</f>
        <v>0</v>
      </c>
      <c r="Y156" s="608">
        <f t="shared" ca="1" si="63"/>
        <v>0</v>
      </c>
      <c r="Z156" s="608">
        <f t="shared" ca="1" si="63"/>
        <v>0</v>
      </c>
      <c r="AA156" s="608">
        <f t="shared" ca="1" si="63"/>
        <v>0</v>
      </c>
      <c r="AB156" s="608">
        <f t="shared" ca="1" si="63"/>
        <v>0</v>
      </c>
      <c r="AC156" s="608">
        <f t="shared" ca="1" si="63"/>
        <v>0</v>
      </c>
      <c r="AD156" s="608">
        <f t="shared" ca="1" si="63"/>
        <v>0</v>
      </c>
      <c r="AE156" s="608">
        <f t="shared" ca="1" si="63"/>
        <v>0</v>
      </c>
      <c r="AF156" s="608">
        <f t="shared" ca="1" si="63"/>
        <v>0</v>
      </c>
      <c r="AG156" s="608">
        <f t="shared" ca="1" si="63"/>
        <v>0</v>
      </c>
      <c r="AH156" s="171"/>
    </row>
    <row r="157" spans="3:34">
      <c r="C157" s="169"/>
      <c r="D157" s="104" t="s">
        <v>159</v>
      </c>
      <c r="E157" s="104"/>
      <c r="F157" s="1824"/>
      <c r="G157" s="1825"/>
      <c r="H157" s="1825"/>
      <c r="I157" s="1826" t="s">
        <v>972</v>
      </c>
      <c r="J157" s="1871">
        <v>0.31</v>
      </c>
      <c r="O157" s="1719">
        <f ca="1">+O155+O156</f>
        <v>0.4</v>
      </c>
      <c r="P157" s="888">
        <f ca="1">+P155+P156</f>
        <v>0.4</v>
      </c>
      <c r="Q157" s="888">
        <f ca="1">+Q155+Q156</f>
        <v>0.4</v>
      </c>
      <c r="R157" s="888">
        <f t="shared" ref="R157:W157" ca="1" si="64">+R155+R156</f>
        <v>0.4</v>
      </c>
      <c r="S157" s="609">
        <f t="shared" ca="1" si="64"/>
        <v>0.4</v>
      </c>
      <c r="T157" s="609">
        <f t="shared" ca="1" si="64"/>
        <v>0.4</v>
      </c>
      <c r="U157" s="609">
        <f t="shared" ca="1" si="64"/>
        <v>0.4</v>
      </c>
      <c r="V157" s="609">
        <f t="shared" ca="1" si="64"/>
        <v>0.4</v>
      </c>
      <c r="W157" s="925">
        <f t="shared" ca="1" si="64"/>
        <v>0.4</v>
      </c>
      <c r="X157" s="926">
        <f t="shared" ref="X157:AG157" ca="1" si="65">+X155+X156</f>
        <v>0.4</v>
      </c>
      <c r="Y157" s="609">
        <f t="shared" ca="1" si="65"/>
        <v>0.4</v>
      </c>
      <c r="Z157" s="609">
        <f t="shared" ca="1" si="65"/>
        <v>0.4</v>
      </c>
      <c r="AA157" s="609">
        <f t="shared" ca="1" si="65"/>
        <v>0.4</v>
      </c>
      <c r="AB157" s="925">
        <f t="shared" ca="1" si="65"/>
        <v>0.4</v>
      </c>
      <c r="AC157" s="609">
        <f t="shared" ca="1" si="65"/>
        <v>0.4</v>
      </c>
      <c r="AD157" s="609">
        <f t="shared" ca="1" si="65"/>
        <v>0.4</v>
      </c>
      <c r="AE157" s="609">
        <f t="shared" ca="1" si="65"/>
        <v>0.4</v>
      </c>
      <c r="AF157" s="609">
        <f t="shared" ca="1" si="65"/>
        <v>0.4</v>
      </c>
      <c r="AG157" s="609">
        <f t="shared" ca="1" si="65"/>
        <v>0.4</v>
      </c>
      <c r="AH157" s="171"/>
    </row>
    <row r="158" spans="3:34">
      <c r="C158" s="169"/>
      <c r="K158" s="74"/>
      <c r="L158" s="74"/>
      <c r="M158" s="281"/>
      <c r="N158" s="281"/>
      <c r="O158" s="349"/>
      <c r="P158" s="349"/>
      <c r="Q158" s="349"/>
      <c r="R158" s="349"/>
      <c r="S158" s="608"/>
      <c r="T158" s="608"/>
      <c r="U158" s="608"/>
      <c r="V158" s="608"/>
      <c r="W158" s="608"/>
      <c r="X158" s="608"/>
      <c r="Y158" s="608"/>
      <c r="Z158" s="608"/>
      <c r="AA158" s="608"/>
      <c r="AB158" s="608"/>
      <c r="AC158" s="608"/>
      <c r="AD158" s="608"/>
      <c r="AE158" s="608"/>
      <c r="AF158" s="608"/>
      <c r="AG158" s="608"/>
      <c r="AH158" s="171"/>
    </row>
    <row r="159" spans="3:34">
      <c r="C159" s="169"/>
      <c r="D159" s="70" t="s">
        <v>160</v>
      </c>
      <c r="K159" s="74"/>
      <c r="L159" s="74"/>
      <c r="M159" s="281"/>
      <c r="N159" s="281"/>
      <c r="O159" s="349">
        <f>+J161</f>
        <v>23.75</v>
      </c>
      <c r="P159" s="349">
        <f ca="1">+O161</f>
        <v>26.846258943617002</v>
      </c>
      <c r="Q159" s="349">
        <f ca="1">+P161</f>
        <v>17.1629041065517</v>
      </c>
      <c r="R159" s="349">
        <f t="shared" ref="R159:W159" ca="1" si="66">+Q161</f>
        <v>24.655038561176969</v>
      </c>
      <c r="S159" s="608">
        <f t="shared" ca="1" si="66"/>
        <v>33.965834143153991</v>
      </c>
      <c r="T159" s="608">
        <f t="shared" ca="1" si="66"/>
        <v>64.628665877830528</v>
      </c>
      <c r="U159" s="608">
        <f t="shared" ca="1" si="66"/>
        <v>90.255941739499747</v>
      </c>
      <c r="V159" s="608">
        <f t="shared" ca="1" si="66"/>
        <v>119.75632578618686</v>
      </c>
      <c r="W159" s="608">
        <f t="shared" ca="1" si="66"/>
        <v>184.2327197866008</v>
      </c>
      <c r="X159" s="608">
        <f t="shared" ref="X159:AG159" ca="1" si="67">+W161</f>
        <v>185.54880398567809</v>
      </c>
      <c r="Y159" s="608">
        <f t="shared" ca="1" si="67"/>
        <v>214.08253107408106</v>
      </c>
      <c r="Z159" s="608">
        <f t="shared" ca="1" si="67"/>
        <v>240.70545993694071</v>
      </c>
      <c r="AA159" s="608">
        <f t="shared" ca="1" si="67"/>
        <v>241.70769725417463</v>
      </c>
      <c r="AB159" s="608">
        <f t="shared" ca="1" si="67"/>
        <v>243.51384873520357</v>
      </c>
      <c r="AC159" s="608">
        <f t="shared" ca="1" si="67"/>
        <v>268.56498100489944</v>
      </c>
      <c r="AD159" s="608">
        <f t="shared" ca="1" si="67"/>
        <v>297.1409605279735</v>
      </c>
      <c r="AE159" s="608">
        <f t="shared" ca="1" si="67"/>
        <v>323.98911291415038</v>
      </c>
      <c r="AF159" s="608">
        <f t="shared" ca="1" si="67"/>
        <v>337.60906551528103</v>
      </c>
      <c r="AG159" s="608">
        <f t="shared" ca="1" si="67"/>
        <v>364.13065647832281</v>
      </c>
      <c r="AH159" s="171"/>
    </row>
    <row r="160" spans="3:34">
      <c r="C160" s="169"/>
      <c r="D160" s="70" t="s">
        <v>161</v>
      </c>
      <c r="K160" s="74"/>
      <c r="L160" s="74"/>
      <c r="M160" s="281"/>
      <c r="N160" s="281"/>
      <c r="O160" s="349">
        <f ca="1">-(O143-O156)</f>
        <v>3.096258943617002</v>
      </c>
      <c r="P160" s="349">
        <f ca="1">-(P143-P156)</f>
        <v>-9.6833548370653002</v>
      </c>
      <c r="Q160" s="349">
        <f ca="1">-(Q143-Q156)</f>
        <v>7.4921344546252691</v>
      </c>
      <c r="R160" s="349">
        <f t="shared" ref="R160:W160" ca="1" si="68">-(R143-R156)</f>
        <v>9.3107955819770201</v>
      </c>
      <c r="S160" s="608">
        <f t="shared" ca="1" si="68"/>
        <v>30.662831734676534</v>
      </c>
      <c r="T160" s="608">
        <f t="shared" ca="1" si="68"/>
        <v>25.627275861669215</v>
      </c>
      <c r="U160" s="608">
        <f t="shared" ca="1" si="68"/>
        <v>29.50038404668711</v>
      </c>
      <c r="V160" s="608">
        <f t="shared" ca="1" si="68"/>
        <v>64.476394000413933</v>
      </c>
      <c r="W160" s="608">
        <f t="shared" ca="1" si="68"/>
        <v>1.3160841990772809</v>
      </c>
      <c r="X160" s="608">
        <f t="shared" ref="X160:AG160" ca="1" si="69">-(X143-X156)</f>
        <v>28.53372708840298</v>
      </c>
      <c r="Y160" s="608">
        <f t="shared" ca="1" si="69"/>
        <v>26.622928862859645</v>
      </c>
      <c r="Z160" s="608">
        <f t="shared" ca="1" si="69"/>
        <v>1.0022373172339272</v>
      </c>
      <c r="AA160" s="608">
        <f t="shared" ca="1" si="69"/>
        <v>1.8061514810289339</v>
      </c>
      <c r="AB160" s="608">
        <f t="shared" ca="1" si="69"/>
        <v>25.051132269695884</v>
      </c>
      <c r="AC160" s="608">
        <f t="shared" ca="1" si="69"/>
        <v>28.575979523074047</v>
      </c>
      <c r="AD160" s="608">
        <f t="shared" ca="1" si="69"/>
        <v>26.848152386176878</v>
      </c>
      <c r="AE160" s="608">
        <f t="shared" ca="1" si="69"/>
        <v>13.619952601130642</v>
      </c>
      <c r="AF160" s="608">
        <f t="shared" ca="1" si="69"/>
        <v>26.52159096304176</v>
      </c>
      <c r="AG160" s="608">
        <f t="shared" ca="1" si="69"/>
        <v>11.589612801046599</v>
      </c>
      <c r="AH160" s="171"/>
    </row>
    <row r="161" spans="3:34">
      <c r="C161" s="169"/>
      <c r="D161" s="104" t="s">
        <v>162</v>
      </c>
      <c r="E161" s="104"/>
      <c r="F161" s="1824"/>
      <c r="G161" s="1825"/>
      <c r="H161" s="1825"/>
      <c r="I161" s="1826" t="s">
        <v>972</v>
      </c>
      <c r="J161" s="1871">
        <v>23.75</v>
      </c>
      <c r="O161" s="1719">
        <f t="shared" ref="O161:W161" ca="1" si="70">+O159+O160</f>
        <v>26.846258943617002</v>
      </c>
      <c r="P161" s="888">
        <f t="shared" ca="1" si="70"/>
        <v>17.1629041065517</v>
      </c>
      <c r="Q161" s="888">
        <f t="shared" ca="1" si="70"/>
        <v>24.655038561176969</v>
      </c>
      <c r="R161" s="888">
        <f t="shared" ca="1" si="70"/>
        <v>33.965834143153991</v>
      </c>
      <c r="S161" s="609">
        <f t="shared" ca="1" si="70"/>
        <v>64.628665877830528</v>
      </c>
      <c r="T161" s="609">
        <f t="shared" ca="1" si="70"/>
        <v>90.255941739499747</v>
      </c>
      <c r="U161" s="609">
        <f t="shared" ca="1" si="70"/>
        <v>119.75632578618686</v>
      </c>
      <c r="V161" s="609">
        <f t="shared" ca="1" si="70"/>
        <v>184.2327197866008</v>
      </c>
      <c r="W161" s="925">
        <f t="shared" ca="1" si="70"/>
        <v>185.54880398567809</v>
      </c>
      <c r="X161" s="926">
        <f t="shared" ref="X161:AG161" ca="1" si="71">+X159+X160</f>
        <v>214.08253107408106</v>
      </c>
      <c r="Y161" s="609">
        <f t="shared" ca="1" si="71"/>
        <v>240.70545993694071</v>
      </c>
      <c r="Z161" s="609">
        <f t="shared" ca="1" si="71"/>
        <v>241.70769725417463</v>
      </c>
      <c r="AA161" s="609">
        <f t="shared" ca="1" si="71"/>
        <v>243.51384873520357</v>
      </c>
      <c r="AB161" s="925">
        <f t="shared" ca="1" si="71"/>
        <v>268.56498100489944</v>
      </c>
      <c r="AC161" s="609">
        <f t="shared" ca="1" si="71"/>
        <v>297.1409605279735</v>
      </c>
      <c r="AD161" s="609">
        <f t="shared" ca="1" si="71"/>
        <v>323.98911291415038</v>
      </c>
      <c r="AE161" s="609">
        <f t="shared" ca="1" si="71"/>
        <v>337.60906551528103</v>
      </c>
      <c r="AF161" s="609">
        <f t="shared" ca="1" si="71"/>
        <v>364.13065647832281</v>
      </c>
      <c r="AG161" s="925">
        <f t="shared" ca="1" si="71"/>
        <v>375.7202692793694</v>
      </c>
      <c r="AH161" s="171"/>
    </row>
    <row r="162" spans="3:34">
      <c r="C162" s="169"/>
      <c r="K162" s="74"/>
      <c r="L162" s="74"/>
      <c r="M162" s="281"/>
      <c r="N162" s="281"/>
      <c r="O162" s="281"/>
      <c r="P162" s="281"/>
      <c r="Q162" s="281"/>
      <c r="R162" s="349"/>
      <c r="S162" s="349"/>
      <c r="T162" s="608"/>
      <c r="U162" s="608"/>
      <c r="V162" s="608"/>
      <c r="W162" s="608"/>
      <c r="X162" s="608"/>
      <c r="Y162" s="608"/>
      <c r="Z162" s="608"/>
      <c r="AA162" s="608"/>
      <c r="AB162" s="608"/>
      <c r="AC162" s="608"/>
      <c r="AD162" s="608"/>
      <c r="AE162" s="608"/>
      <c r="AF162" s="608"/>
      <c r="AG162" s="608"/>
      <c r="AH162" s="171"/>
    </row>
    <row r="163" spans="3:34">
      <c r="C163" s="169"/>
      <c r="K163" s="74"/>
      <c r="L163" s="74"/>
      <c r="M163" s="281"/>
      <c r="N163" s="281"/>
      <c r="O163" s="281"/>
      <c r="P163" s="281"/>
      <c r="Q163" s="281"/>
      <c r="R163" s="349"/>
      <c r="S163" s="349"/>
      <c r="T163" s="608"/>
      <c r="U163" s="608"/>
      <c r="V163" s="608"/>
      <c r="W163" s="608"/>
      <c r="X163" s="608"/>
      <c r="Y163" s="608"/>
      <c r="Z163" s="608"/>
      <c r="AA163" s="608"/>
      <c r="AB163" s="608"/>
      <c r="AC163" s="608"/>
      <c r="AD163" s="608"/>
      <c r="AE163" s="608"/>
      <c r="AF163" s="608"/>
      <c r="AG163" s="608"/>
      <c r="AH163" s="171"/>
    </row>
    <row r="164" spans="3:34">
      <c r="C164" s="169"/>
      <c r="D164" s="129" t="s">
        <v>163</v>
      </c>
      <c r="E164" s="232"/>
      <c r="F164" s="232"/>
      <c r="G164" s="232"/>
      <c r="H164" s="232"/>
      <c r="K164" s="74"/>
      <c r="L164" s="74"/>
      <c r="M164" s="281"/>
      <c r="N164" s="281"/>
      <c r="O164" s="281"/>
      <c r="P164" s="281"/>
      <c r="Q164" s="281"/>
      <c r="R164" s="349"/>
      <c r="S164" s="349"/>
      <c r="T164" s="608"/>
      <c r="U164" s="608"/>
      <c r="V164" s="608"/>
      <c r="W164" s="608"/>
      <c r="X164" s="608"/>
      <c r="Y164" s="608"/>
      <c r="Z164" s="608"/>
      <c r="AA164" s="608"/>
      <c r="AB164" s="608"/>
      <c r="AC164" s="608"/>
      <c r="AD164" s="608"/>
      <c r="AE164" s="608"/>
      <c r="AF164" s="608"/>
      <c r="AG164" s="608"/>
      <c r="AH164" s="171"/>
    </row>
    <row r="165" spans="3:34">
      <c r="C165" s="169"/>
      <c r="D165" s="232"/>
      <c r="E165" s="232" t="s">
        <v>126</v>
      </c>
      <c r="F165" s="232"/>
      <c r="G165" s="232"/>
      <c r="H165" s="232"/>
      <c r="K165" s="74"/>
      <c r="L165" s="74"/>
      <c r="M165" s="281"/>
      <c r="N165" s="281"/>
      <c r="O165" s="349">
        <f ca="1">+SUM(O83,O85:O86,O88:O90)-O84</f>
        <v>68.330775794832874</v>
      </c>
      <c r="P165" s="349">
        <f ca="1">+SUM(P83,P85:P86,P88:P90)-P84</f>
        <v>72.164313873682318</v>
      </c>
      <c r="Q165" s="349">
        <f ca="1">+SUM(Q83,Q85:Q86,Q88:Q90)-Q84</f>
        <v>73.972601455670684</v>
      </c>
      <c r="R165" s="349">
        <f t="shared" ref="R165:W165" ca="1" si="72">+SUM(R83,R85:R86,R88:R90)-R84</f>
        <v>75.45280839656057</v>
      </c>
      <c r="S165" s="349">
        <f t="shared" ca="1" si="72"/>
        <v>72.280124713337059</v>
      </c>
      <c r="T165" s="608">
        <f t="shared" ca="1" si="72"/>
        <v>81.319232293142377</v>
      </c>
      <c r="U165" s="608">
        <f t="shared" ca="1" si="72"/>
        <v>88.849768580531261</v>
      </c>
      <c r="V165" s="608">
        <f t="shared" ca="1" si="72"/>
        <v>98.910759818008444</v>
      </c>
      <c r="W165" s="608">
        <f t="shared" ca="1" si="72"/>
        <v>95.942958739904014</v>
      </c>
      <c r="X165" s="608">
        <f t="shared" ref="X165:AG165" ca="1" si="73">+SUM(X83,X85:X86,X88:X90)-X84</f>
        <v>104.39767155995602</v>
      </c>
      <c r="Y165" s="349">
        <f t="shared" ca="1" si="73"/>
        <v>113.36361122654189</v>
      </c>
      <c r="Z165" s="349">
        <f t="shared" ca="1" si="73"/>
        <v>123.15826686368567</v>
      </c>
      <c r="AA165" s="349">
        <f t="shared" ca="1" si="73"/>
        <v>133.86566533835909</v>
      </c>
      <c r="AB165" s="349">
        <f t="shared" ca="1" si="73"/>
        <v>145.53850144927986</v>
      </c>
      <c r="AC165" s="349">
        <f t="shared" ca="1" si="73"/>
        <v>153.50382439983781</v>
      </c>
      <c r="AD165" s="349">
        <f t="shared" ca="1" si="73"/>
        <v>161.93126285375635</v>
      </c>
      <c r="AE165" s="349">
        <f t="shared" ca="1" si="73"/>
        <v>170.84890610008222</v>
      </c>
      <c r="AF165" s="349">
        <f t="shared" ca="1" si="73"/>
        <v>180.32674096176567</v>
      </c>
      <c r="AG165" s="349">
        <f t="shared" ca="1" si="73"/>
        <v>190.24716359613836</v>
      </c>
      <c r="AH165" s="171"/>
    </row>
    <row r="166" spans="3:34">
      <c r="C166" s="169"/>
      <c r="D166" s="232"/>
      <c r="E166" s="232" t="s">
        <v>164</v>
      </c>
      <c r="F166" s="232"/>
      <c r="G166" s="232"/>
      <c r="H166" s="232"/>
      <c r="K166" s="74"/>
      <c r="L166" s="74"/>
      <c r="M166" s="281"/>
      <c r="N166" s="281"/>
      <c r="O166" s="349">
        <f ca="1">+O128</f>
        <v>-43.289000000000001</v>
      </c>
      <c r="P166" s="349">
        <f ca="1">+P128</f>
        <v>-43.131</v>
      </c>
      <c r="Q166" s="349">
        <f ca="1">+Q128</f>
        <v>-47.795999999999999</v>
      </c>
      <c r="R166" s="349">
        <f t="shared" ref="R166:W166" ca="1" si="74">+R128</f>
        <v>-46.791000000000004</v>
      </c>
      <c r="S166" s="349">
        <f t="shared" ca="1" si="74"/>
        <v>-48.834000000000003</v>
      </c>
      <c r="T166" s="608">
        <f t="shared" ca="1" si="74"/>
        <v>-56.709000000000003</v>
      </c>
      <c r="U166" s="608">
        <f t="shared" ca="1" si="74"/>
        <v>-59.733999999999995</v>
      </c>
      <c r="V166" s="608">
        <f t="shared" ca="1" si="74"/>
        <v>-61.440999999999988</v>
      </c>
      <c r="W166" s="608">
        <f t="shared" ca="1" si="74"/>
        <v>-59.938000000000017</v>
      </c>
      <c r="X166" s="608">
        <f t="shared" ref="X166:AG166" ca="1" si="75">+X128</f>
        <v>-63.573119722218323</v>
      </c>
      <c r="Y166" s="349">
        <f t="shared" ca="1" si="75"/>
        <v>-66.191311973756655</v>
      </c>
      <c r="Z166" s="349">
        <f t="shared" ca="1" si="75"/>
        <v>-67.447115488409068</v>
      </c>
      <c r="AA166" s="349">
        <f t="shared" ca="1" si="75"/>
        <v>-70.293143418666617</v>
      </c>
      <c r="AB166" s="349">
        <f t="shared" ca="1" si="75"/>
        <v>-72.334484726633875</v>
      </c>
      <c r="AC166" s="349">
        <f t="shared" ca="1" si="75"/>
        <v>-75.354851417241349</v>
      </c>
      <c r="AD166" s="349">
        <f t="shared" ca="1" si="75"/>
        <v>-78.507590723037396</v>
      </c>
      <c r="AE166" s="349">
        <f t="shared" ca="1" si="75"/>
        <v>-81.798284919276</v>
      </c>
      <c r="AF166" s="349">
        <f t="shared" ca="1" si="75"/>
        <v>-85.23311930437049</v>
      </c>
      <c r="AG166" s="349">
        <f t="shared" ca="1" si="75"/>
        <v>-88.81855708231673</v>
      </c>
      <c r="AH166" s="171"/>
    </row>
    <row r="167" spans="3:34">
      <c r="C167" s="169"/>
      <c r="D167" s="232"/>
      <c r="E167" s="232" t="s">
        <v>165</v>
      </c>
      <c r="F167" s="232"/>
      <c r="G167" s="232"/>
      <c r="H167" s="232"/>
      <c r="K167" s="74"/>
      <c r="L167" s="74"/>
      <c r="M167" s="281"/>
      <c r="N167" s="281"/>
      <c r="O167" s="349">
        <f>-O195</f>
        <v>-1.0529999999999999</v>
      </c>
      <c r="P167" s="349">
        <f ca="1">-P195</f>
        <v>-1.4537755366170202</v>
      </c>
      <c r="Q167" s="349">
        <f ca="1">-Q195</f>
        <v>-0.74177424639310197</v>
      </c>
      <c r="R167" s="349">
        <f t="shared" ref="R167:W167" ca="1" si="76">-R195</f>
        <v>-1.0853023136706181</v>
      </c>
      <c r="S167" s="349">
        <f t="shared" ca="1" si="76"/>
        <v>-1.5239500485892394</v>
      </c>
      <c r="T167" s="349">
        <f t="shared" ca="1" si="76"/>
        <v>-3.6217199526698316</v>
      </c>
      <c r="U167" s="349">
        <f t="shared" ca="1" si="76"/>
        <v>-4.7843565043699847</v>
      </c>
      <c r="V167" s="349">
        <f t="shared" ca="1" si="76"/>
        <v>-6.8393795471712124</v>
      </c>
      <c r="W167" s="349">
        <f t="shared" ca="1" si="76"/>
        <v>-10.264963187196049</v>
      </c>
      <c r="X167" s="608">
        <f t="shared" ref="X167:AG167" ca="1" si="77">-X195</f>
        <v>-7.7999972391406835</v>
      </c>
      <c r="Y167" s="349">
        <f t="shared" ca="1" si="77"/>
        <v>-8.2696999034448631</v>
      </c>
      <c r="Z167" s="349">
        <f t="shared" ca="1" si="77"/>
        <v>-1.774160104313447</v>
      </c>
      <c r="AA167" s="349">
        <f t="shared" ca="1" si="77"/>
        <v>-0.65184560667700531</v>
      </c>
      <c r="AB167" s="349">
        <f t="shared" ca="1" si="77"/>
        <v>-7.2701085893847592</v>
      </c>
      <c r="AC167" s="349">
        <f t="shared" ca="1" si="77"/>
        <v>-7.1357593624073559</v>
      </c>
      <c r="AD167" s="349">
        <f t="shared" ca="1" si="77"/>
        <v>-11.206490350127893</v>
      </c>
      <c r="AE167" s="349">
        <f t="shared" ca="1" si="77"/>
        <v>-12.273392393588928</v>
      </c>
      <c r="AF167" s="349">
        <f t="shared" ca="1" si="77"/>
        <v>-12.82069288403696</v>
      </c>
      <c r="AG167" s="349">
        <f t="shared" ca="1" si="77"/>
        <v>-13.876926540301927</v>
      </c>
      <c r="AH167" s="171"/>
    </row>
    <row r="168" spans="3:34">
      <c r="C168" s="169"/>
      <c r="D168" s="232"/>
      <c r="E168" s="232" t="s">
        <v>166</v>
      </c>
      <c r="F168" s="232"/>
      <c r="G168" s="232"/>
      <c r="H168" s="232"/>
      <c r="K168" s="74"/>
      <c r="L168" s="74"/>
      <c r="M168" s="281"/>
      <c r="N168" s="281"/>
      <c r="O168" s="349">
        <f>-'Finance&amp;Tax_FO'!O18</f>
        <v>-10.176</v>
      </c>
      <c r="P168" s="349">
        <f>-'Finance&amp;Tax_FO'!P18</f>
        <v>-8.2959999999999994</v>
      </c>
      <c r="Q168" s="349">
        <f>-'Finance&amp;Tax_FO'!Q18</f>
        <v>-8.5760000000000005</v>
      </c>
      <c r="R168" s="349">
        <f>-'Finance&amp;Tax_FO'!R18</f>
        <v>-8.843</v>
      </c>
      <c r="S168" s="349">
        <f>-'Finance&amp;Tax_FO'!S18</f>
        <v>-9.298</v>
      </c>
      <c r="T168" s="349">
        <f>-'Finance&amp;Tax_FO'!T18</f>
        <v>-9.3989999999999991</v>
      </c>
      <c r="U168" s="349">
        <f>-'Finance&amp;Tax_FO'!U18</f>
        <v>-10.446</v>
      </c>
      <c r="V168" s="349">
        <f>-'Finance&amp;Tax_FO'!V18</f>
        <v>-10.446</v>
      </c>
      <c r="W168" s="349">
        <f>-'Finance&amp;Tax_FO'!W18</f>
        <v>-10.446</v>
      </c>
      <c r="X168" s="600">
        <f ca="1">-SUM('Rev&amp;RAV_FO'!X112:X113)</f>
        <v>-11.310993415037499</v>
      </c>
      <c r="Y168" s="349">
        <f ca="1">-SUM('Rev&amp;RAV_FO'!Y112:Y113)</f>
        <v>-13.0900715340725</v>
      </c>
      <c r="Z168" s="349">
        <f ca="1">-SUM('Rev&amp;RAV_FO'!Z112:Z113)</f>
        <v>-14.797402641419698</v>
      </c>
      <c r="AA168" s="349">
        <f ca="1">-SUM('Rev&amp;RAV_FO'!AA112:AA113)</f>
        <v>-16.44611984549195</v>
      </c>
      <c r="AB168" s="349">
        <f ca="1">-SUM('Rev&amp;RAV_FO'!AB112:AB113)</f>
        <v>-18.346095343151376</v>
      </c>
      <c r="AC168" s="349">
        <f ca="1">-SUM('Rev&amp;RAV_FO'!AC112:AC113)</f>
        <v>-20.312041081859086</v>
      </c>
      <c r="AD168" s="349">
        <f ca="1">-SUM('Rev&amp;RAV_FO'!AD112:AD113)</f>
        <v>-22.135124648047881</v>
      </c>
      <c r="AE168" s="349">
        <f ca="1">-SUM('Rev&amp;RAV_FO'!AE112:AE113)</f>
        <v>-23.770809600401641</v>
      </c>
      <c r="AF168" s="349">
        <f ca="1">-SUM('Rev&amp;RAV_FO'!AF112:AF113)</f>
        <v>-25.513203580871831</v>
      </c>
      <c r="AG168" s="349">
        <f ca="1">-SUM('Rev&amp;RAV_FO'!AG112:AG113)</f>
        <v>-27.475966036912581</v>
      </c>
      <c r="AH168" s="171"/>
    </row>
    <row r="169" spans="3:34">
      <c r="C169" s="169"/>
      <c r="D169" s="232"/>
      <c r="E169" s="232" t="s">
        <v>167</v>
      </c>
      <c r="F169" s="232"/>
      <c r="G169" s="232"/>
      <c r="H169" s="232"/>
      <c r="K169" s="74"/>
      <c r="L169" s="74"/>
      <c r="M169" s="281"/>
      <c r="N169" s="281"/>
      <c r="O169" s="349">
        <f>IF(J172&lt;0,J172,0)</f>
        <v>0</v>
      </c>
      <c r="P169" s="600">
        <f>-'Finance&amp;Tax_FO'!P20</f>
        <v>-27.082000000000001</v>
      </c>
      <c r="Q169" s="349">
        <f t="shared" ref="Q169:W169" ca="1" si="78">IF(P172&lt;0,P172,0)</f>
        <v>-7.7984616629347023</v>
      </c>
      <c r="R169" s="349">
        <f t="shared" ca="1" si="78"/>
        <v>0</v>
      </c>
      <c r="S169" s="349">
        <f t="shared" ca="1" si="78"/>
        <v>0</v>
      </c>
      <c r="T169" s="349">
        <f t="shared" ca="1" si="78"/>
        <v>0</v>
      </c>
      <c r="U169" s="349">
        <f t="shared" ca="1" si="78"/>
        <v>0</v>
      </c>
      <c r="V169" s="349">
        <f t="shared" ca="1" si="78"/>
        <v>0</v>
      </c>
      <c r="W169" s="349">
        <f t="shared" ca="1" si="78"/>
        <v>0</v>
      </c>
      <c r="X169" s="600">
        <f>-'Finance&amp;Tax_FO'!X20</f>
        <v>-11.083</v>
      </c>
      <c r="Y169" s="349">
        <f t="shared" ref="Y169:AG169" ca="1" si="79">IF(X172&lt;0,X172,0)</f>
        <v>0</v>
      </c>
      <c r="Z169" s="349">
        <f t="shared" ca="1" si="79"/>
        <v>0</v>
      </c>
      <c r="AA169" s="349">
        <f t="shared" ca="1" si="79"/>
        <v>0</v>
      </c>
      <c r="AB169" s="349">
        <f t="shared" ca="1" si="79"/>
        <v>0</v>
      </c>
      <c r="AC169" s="349">
        <f t="shared" ca="1" si="79"/>
        <v>0</v>
      </c>
      <c r="AD169" s="349">
        <f t="shared" ca="1" si="79"/>
        <v>0</v>
      </c>
      <c r="AE169" s="349">
        <f t="shared" ca="1" si="79"/>
        <v>0</v>
      </c>
      <c r="AF169" s="349">
        <f t="shared" ca="1" si="79"/>
        <v>0</v>
      </c>
      <c r="AG169" s="349">
        <f t="shared" ca="1" si="79"/>
        <v>0</v>
      </c>
      <c r="AH169" s="171"/>
    </row>
    <row r="170" spans="3:34">
      <c r="C170" s="169"/>
      <c r="D170" s="232"/>
      <c r="E170" s="232" t="s">
        <v>396</v>
      </c>
      <c r="F170" s="232"/>
      <c r="G170" s="232"/>
      <c r="H170" s="232"/>
      <c r="K170" s="74"/>
      <c r="L170" s="74"/>
      <c r="M170" s="281"/>
      <c r="N170" s="281"/>
      <c r="O170" s="1871"/>
      <c r="P170" s="2085"/>
      <c r="Q170" s="2085"/>
      <c r="R170" s="2085"/>
      <c r="S170" s="2085"/>
      <c r="T170" s="2085"/>
      <c r="U170" s="2085"/>
      <c r="V170" s="2085"/>
      <c r="W170" s="2086"/>
      <c r="X170" s="2087"/>
      <c r="Y170" s="2085"/>
      <c r="Z170" s="2085"/>
      <c r="AA170" s="2085"/>
      <c r="AB170" s="2086"/>
      <c r="AC170" s="2085"/>
      <c r="AD170" s="2085"/>
      <c r="AE170" s="2085"/>
      <c r="AF170" s="2085"/>
      <c r="AG170" s="2086"/>
      <c r="AH170" s="171"/>
    </row>
    <row r="171" spans="3:34">
      <c r="C171" s="169"/>
      <c r="D171" s="232"/>
      <c r="E171" s="232"/>
      <c r="F171" s="232"/>
      <c r="G171" s="232"/>
      <c r="H171" s="232"/>
      <c r="K171" s="74"/>
      <c r="L171" s="74"/>
      <c r="M171" s="281"/>
      <c r="N171" s="281"/>
      <c r="O171" s="349"/>
      <c r="P171" s="349"/>
      <c r="Q171" s="349"/>
      <c r="R171" s="349"/>
      <c r="S171" s="349"/>
      <c r="T171" s="349"/>
      <c r="U171" s="349"/>
      <c r="V171" s="349"/>
      <c r="W171" s="349"/>
      <c r="X171" s="349"/>
      <c r="Y171" s="349"/>
      <c r="Z171" s="349"/>
      <c r="AA171" s="349"/>
      <c r="AB171" s="349"/>
      <c r="AC171" s="349"/>
      <c r="AD171" s="349"/>
      <c r="AE171" s="349"/>
      <c r="AF171" s="349"/>
      <c r="AG171" s="349"/>
      <c r="AH171" s="171"/>
    </row>
    <row r="172" spans="3:34">
      <c r="C172" s="169"/>
      <c r="D172" s="232"/>
      <c r="E172" s="232" t="s">
        <v>168</v>
      </c>
      <c r="F172" s="1824"/>
      <c r="G172" s="1825"/>
      <c r="H172" s="1825"/>
      <c r="I172" s="1826" t="s">
        <v>972</v>
      </c>
      <c r="J172" s="1871">
        <v>8.8829999999999991</v>
      </c>
      <c r="K172" s="74"/>
      <c r="L172" s="74"/>
      <c r="M172" s="281"/>
      <c r="O172" s="589">
        <f ca="1">+SUM(O165:O171)</f>
        <v>13.812775794832872</v>
      </c>
      <c r="P172" s="401">
        <f ca="1">+SUM(P165:P171)</f>
        <v>-7.7984616629347023</v>
      </c>
      <c r="Q172" s="401">
        <f ca="1">+SUM(Q165:Q171)</f>
        <v>9.0603655463428794</v>
      </c>
      <c r="R172" s="401">
        <f t="shared" ref="R172:W172" ca="1" si="80">+SUM(R165:R171)</f>
        <v>18.733506082889949</v>
      </c>
      <c r="S172" s="401">
        <f t="shared" ca="1" si="80"/>
        <v>12.624174664747818</v>
      </c>
      <c r="T172" s="401">
        <f t="shared" ca="1" si="80"/>
        <v>11.589512340472544</v>
      </c>
      <c r="U172" s="401">
        <f t="shared" ca="1" si="80"/>
        <v>13.885412076161282</v>
      </c>
      <c r="V172" s="401">
        <f t="shared" ca="1" si="80"/>
        <v>20.184380270837245</v>
      </c>
      <c r="W172" s="402">
        <f t="shared" ca="1" si="80"/>
        <v>15.293995552707949</v>
      </c>
      <c r="X172" s="400">
        <f t="shared" ref="X172:AG172" ca="1" si="81">+SUM(X165:X171)</f>
        <v>10.63056118355952</v>
      </c>
      <c r="Y172" s="401">
        <f t="shared" ca="1" si="81"/>
        <v>25.812527815267877</v>
      </c>
      <c r="Z172" s="401">
        <f t="shared" ca="1" si="81"/>
        <v>39.139588629543454</v>
      </c>
      <c r="AA172" s="401">
        <f t="shared" ca="1" si="81"/>
        <v>46.47455646752352</v>
      </c>
      <c r="AB172" s="402">
        <f t="shared" ca="1" si="81"/>
        <v>47.587812790109851</v>
      </c>
      <c r="AC172" s="401">
        <f t="shared" ca="1" si="81"/>
        <v>50.70117253833002</v>
      </c>
      <c r="AD172" s="401">
        <f t="shared" ca="1" si="81"/>
        <v>50.082057132543184</v>
      </c>
      <c r="AE172" s="401">
        <f t="shared" ca="1" si="81"/>
        <v>53.006419186815656</v>
      </c>
      <c r="AF172" s="401">
        <f t="shared" ca="1" si="81"/>
        <v>56.759725192486385</v>
      </c>
      <c r="AG172" s="401">
        <f t="shared" ca="1" si="81"/>
        <v>60.07571393660713</v>
      </c>
      <c r="AH172" s="171"/>
    </row>
    <row r="173" spans="3:34">
      <c r="C173" s="169"/>
      <c r="D173" s="232"/>
      <c r="E173" s="232"/>
      <c r="F173" s="232"/>
      <c r="G173" s="232"/>
      <c r="H173" s="232"/>
      <c r="K173" s="74"/>
      <c r="L173" s="74"/>
      <c r="M173" s="281"/>
      <c r="N173" s="281"/>
      <c r="O173" s="349"/>
      <c r="P173" s="349"/>
      <c r="Q173" s="349"/>
      <c r="R173" s="349"/>
      <c r="S173" s="349"/>
      <c r="T173" s="349"/>
      <c r="U173" s="349"/>
      <c r="V173" s="349"/>
      <c r="W173" s="349"/>
      <c r="X173" s="349"/>
      <c r="Y173" s="349"/>
      <c r="Z173" s="349"/>
      <c r="AA173" s="349"/>
      <c r="AB173" s="349"/>
      <c r="AC173" s="349"/>
      <c r="AD173" s="349"/>
      <c r="AE173" s="349"/>
      <c r="AF173" s="349"/>
      <c r="AG173" s="349"/>
      <c r="AH173" s="171"/>
    </row>
    <row r="174" spans="3:34" ht="12.75" thickBot="1">
      <c r="C174" s="169"/>
      <c r="D174" s="104" t="s">
        <v>169</v>
      </c>
      <c r="K174" s="74"/>
      <c r="L174" s="74"/>
      <c r="M174" s="281"/>
      <c r="N174" s="281"/>
      <c r="O174" s="919">
        <f ca="1">MAX('Rev&amp;RAV_FO'!O87*O172,0)</f>
        <v>4.143832738449861</v>
      </c>
      <c r="P174" s="351">
        <f ca="1">MAX('Rev&amp;RAV_FO'!P87*P172,0)</f>
        <v>0</v>
      </c>
      <c r="Q174" s="351">
        <f ca="1">MAX('Rev&amp;RAV_FO'!Q87*Q172,0)</f>
        <v>2.7181096639028639</v>
      </c>
      <c r="R174" s="351">
        <f ca="1">MAX('Rev&amp;RAV_FO'!R87*R172,0)</f>
        <v>5.6200518248669846</v>
      </c>
      <c r="S174" s="351">
        <f ca="1">MAX('Rev&amp;RAV_FO'!S87*S172,0)</f>
        <v>3.7872523994243452</v>
      </c>
      <c r="T174" s="351">
        <f ca="1">MAX('Rev&amp;RAV_FO'!T87*T172,0)</f>
        <v>3.4768537021417631</v>
      </c>
      <c r="U174" s="351">
        <f ca="1">MAX('Rev&amp;RAV_FO'!U87*U172,0)</f>
        <v>4.1656236228483845</v>
      </c>
      <c r="V174" s="351">
        <f ca="1">MAX('Rev&amp;RAV_FO'!V87*V172,0)</f>
        <v>6.055314081251173</v>
      </c>
      <c r="W174" s="919">
        <f ca="1">MAX('Rev&amp;RAV_FO'!W87*W172,0)</f>
        <v>4.588198665812385</v>
      </c>
      <c r="X174" s="351">
        <f ca="1">MAX('Rev&amp;RAV_FO'!X87*X172,0)</f>
        <v>0</v>
      </c>
      <c r="Y174" s="351">
        <f ca="1">MAX('Rev&amp;RAV_FO'!Y87*Y172,0)</f>
        <v>0</v>
      </c>
      <c r="Z174" s="351">
        <f ca="1">MAX('Rev&amp;RAV_FO'!Z87*Z172,0)</f>
        <v>0</v>
      </c>
      <c r="AA174" s="351">
        <f ca="1">MAX('Rev&amp;RAV_FO'!AA87*AA172,0)</f>
        <v>0</v>
      </c>
      <c r="AB174" s="919">
        <f ca="1">MAX('Rev&amp;RAV_FO'!AB87*AB172,0)</f>
        <v>0</v>
      </c>
      <c r="AC174" s="351">
        <f ca="1">MAX('Rev&amp;RAV_FO'!AC87*AC172,0)</f>
        <v>15.210351761499005</v>
      </c>
      <c r="AD174" s="351">
        <f ca="1">MAX('Rev&amp;RAV_FO'!AD87*AD172,0)</f>
        <v>15.024617139762954</v>
      </c>
      <c r="AE174" s="351">
        <f ca="1">MAX('Rev&amp;RAV_FO'!AE87*AE172,0)</f>
        <v>15.901925756044696</v>
      </c>
      <c r="AF174" s="351">
        <f ca="1">MAX('Rev&amp;RAV_FO'!AF87*AF172,0)</f>
        <v>17.027917557745916</v>
      </c>
      <c r="AG174" s="351">
        <f ca="1">MAX('Rev&amp;RAV_FO'!AG87*AG172,0)</f>
        <v>18.022714180982138</v>
      </c>
      <c r="AH174" s="171"/>
    </row>
    <row r="175" spans="3:34">
      <c r="C175" s="169"/>
      <c r="K175" s="281"/>
      <c r="L175" s="281"/>
      <c r="M175" s="281"/>
      <c r="N175" s="281"/>
      <c r="O175" s="281"/>
      <c r="P175" s="281"/>
      <c r="Q175" s="281"/>
      <c r="R175" s="281"/>
      <c r="S175" s="281"/>
      <c r="T175" s="281"/>
      <c r="U175" s="281"/>
      <c r="V175" s="281"/>
      <c r="W175" s="281"/>
      <c r="X175" s="281"/>
      <c r="Y175" s="281"/>
      <c r="Z175" s="281"/>
      <c r="AA175" s="281"/>
      <c r="AB175" s="281"/>
      <c r="AC175" s="281"/>
      <c r="AD175" s="281"/>
      <c r="AE175" s="281"/>
      <c r="AF175" s="281"/>
      <c r="AG175" s="281"/>
      <c r="AH175" s="171"/>
    </row>
    <row r="176" spans="3:34" ht="12.75" thickBot="1">
      <c r="C176" s="182"/>
      <c r="D176" s="183"/>
      <c r="E176" s="183"/>
      <c r="F176" s="183"/>
      <c r="G176" s="183"/>
      <c r="H176" s="183"/>
      <c r="I176" s="199"/>
      <c r="J176" s="183"/>
      <c r="K176" s="199"/>
      <c r="L176" s="199"/>
      <c r="M176" s="199"/>
      <c r="N176" s="199"/>
      <c r="O176" s="199"/>
      <c r="P176" s="199"/>
      <c r="Q176" s="199"/>
      <c r="R176" s="199"/>
      <c r="S176" s="199"/>
      <c r="T176" s="199"/>
      <c r="U176" s="199"/>
      <c r="V176" s="199"/>
      <c r="W176" s="199"/>
      <c r="X176" s="199"/>
      <c r="Y176" s="199"/>
      <c r="Z176" s="199"/>
      <c r="AA176" s="199"/>
      <c r="AB176" s="199"/>
      <c r="AC176" s="199"/>
      <c r="AD176" s="199"/>
      <c r="AE176" s="199"/>
      <c r="AF176" s="199"/>
      <c r="AG176" s="199"/>
      <c r="AH176" s="186"/>
    </row>
    <row r="177" spans="3:34">
      <c r="K177" s="905"/>
      <c r="L177" s="905"/>
      <c r="M177" s="905"/>
      <c r="N177" s="905"/>
      <c r="O177" s="905"/>
      <c r="P177" s="905"/>
      <c r="Q177" s="905"/>
      <c r="R177" s="905"/>
      <c r="S177" s="74"/>
      <c r="T177" s="74"/>
      <c r="U177" s="74"/>
      <c r="V177" s="74"/>
      <c r="W177" s="74"/>
      <c r="X177" s="74"/>
    </row>
    <row r="178" spans="3:34" ht="12.75" thickBot="1">
      <c r="C178" s="183"/>
      <c r="D178" s="183"/>
      <c r="E178" s="183"/>
      <c r="F178" s="183"/>
      <c r="G178" s="183"/>
      <c r="H178" s="183"/>
      <c r="I178" s="199"/>
      <c r="J178" s="183"/>
      <c r="K178" s="922"/>
      <c r="L178" s="922"/>
      <c r="M178" s="922"/>
      <c r="N178" s="922"/>
      <c r="O178" s="922"/>
      <c r="P178" s="922"/>
      <c r="Q178" s="922"/>
      <c r="R178" s="922"/>
      <c r="S178" s="199"/>
      <c r="T178" s="199"/>
      <c r="U178" s="199"/>
      <c r="V178" s="199"/>
      <c r="W178" s="199"/>
      <c r="X178" s="199"/>
      <c r="Y178" s="183"/>
      <c r="Z178" s="183"/>
      <c r="AA178" s="183"/>
      <c r="AB178" s="183"/>
      <c r="AC178" s="183"/>
      <c r="AD178" s="183"/>
      <c r="AE178" s="183"/>
      <c r="AF178" s="183"/>
      <c r="AG178" s="183"/>
      <c r="AH178" s="183"/>
    </row>
    <row r="179" spans="3:34">
      <c r="C179" s="169"/>
      <c r="K179" s="281"/>
      <c r="L179" s="281"/>
      <c r="M179" s="281"/>
      <c r="N179" s="281"/>
      <c r="O179" s="281"/>
      <c r="P179" s="281"/>
      <c r="Q179" s="281"/>
      <c r="R179" s="281"/>
      <c r="S179" s="281"/>
      <c r="T179" s="281"/>
      <c r="U179" s="281"/>
      <c r="V179" s="281"/>
      <c r="W179" s="281"/>
      <c r="X179" s="281"/>
      <c r="Y179" s="180"/>
      <c r="Z179" s="180"/>
      <c r="AA179" s="180"/>
      <c r="AB179" s="180"/>
      <c r="AC179" s="180"/>
      <c r="AD179" s="180"/>
      <c r="AE179" s="180"/>
      <c r="AF179" s="180"/>
      <c r="AG179" s="180"/>
      <c r="AH179" s="171"/>
    </row>
    <row r="180" spans="3:34">
      <c r="C180" s="169"/>
      <c r="D180" s="879" t="s">
        <v>170</v>
      </c>
      <c r="K180" s="281"/>
      <c r="L180" s="281"/>
      <c r="M180" s="281"/>
      <c r="N180" s="281"/>
      <c r="O180" s="281"/>
      <c r="P180" s="281"/>
      <c r="Q180" s="281"/>
      <c r="R180" s="281"/>
      <c r="S180" s="281"/>
      <c r="T180" s="281"/>
      <c r="U180" s="281"/>
      <c r="V180" s="281"/>
      <c r="W180" s="281"/>
      <c r="X180" s="281"/>
      <c r="Y180" s="180"/>
      <c r="Z180" s="180"/>
      <c r="AA180" s="180"/>
      <c r="AB180" s="180"/>
      <c r="AC180" s="180"/>
      <c r="AD180" s="180"/>
      <c r="AE180" s="180"/>
      <c r="AF180" s="180"/>
      <c r="AG180" s="180"/>
      <c r="AH180" s="171"/>
    </row>
    <row r="181" spans="3:34">
      <c r="C181" s="169"/>
      <c r="D181" s="923"/>
      <c r="K181" s="281"/>
      <c r="L181" s="281"/>
      <c r="M181" s="281"/>
      <c r="N181" s="281"/>
      <c r="O181" s="281"/>
      <c r="P181" s="281"/>
      <c r="Q181" s="281"/>
      <c r="R181" s="281"/>
      <c r="S181" s="281"/>
      <c r="T181" s="281"/>
      <c r="U181" s="281"/>
      <c r="V181" s="281"/>
      <c r="W181" s="281"/>
      <c r="X181" s="281"/>
      <c r="Y181" s="180"/>
      <c r="Z181" s="180"/>
      <c r="AA181" s="180"/>
      <c r="AB181" s="180"/>
      <c r="AC181" s="180"/>
      <c r="AD181" s="180"/>
      <c r="AE181" s="180"/>
      <c r="AF181" s="180"/>
      <c r="AG181" s="180"/>
      <c r="AH181" s="171"/>
    </row>
    <row r="182" spans="3:34">
      <c r="C182" s="169"/>
      <c r="D182" s="923"/>
      <c r="F182" s="911" t="str">
        <f>F79</f>
        <v>RP3</v>
      </c>
      <c r="H182" s="911" t="str">
        <f>H79</f>
        <v>RP4</v>
      </c>
      <c r="J182" s="911" t="str">
        <f>J79</f>
        <v>RP5</v>
      </c>
      <c r="K182" s="74"/>
      <c r="L182" s="74"/>
      <c r="M182" s="281"/>
      <c r="N182" s="281"/>
      <c r="O182" s="281"/>
      <c r="P182" s="281"/>
      <c r="Q182" s="281"/>
      <c r="R182" s="281"/>
      <c r="S182" s="281"/>
      <c r="T182" s="281"/>
      <c r="U182" s="281"/>
      <c r="V182" s="281"/>
      <c r="W182" s="281"/>
      <c r="X182" s="281"/>
      <c r="Y182" s="180"/>
      <c r="Z182" s="180"/>
      <c r="AA182" s="180"/>
      <c r="AB182" s="180"/>
      <c r="AC182" s="180"/>
      <c r="AD182" s="180"/>
      <c r="AE182" s="180"/>
      <c r="AF182" s="180"/>
      <c r="AG182" s="180"/>
      <c r="AH182" s="171"/>
    </row>
    <row r="183" spans="3:34">
      <c r="C183" s="169"/>
      <c r="D183" s="60" t="s">
        <v>614</v>
      </c>
      <c r="F183" s="930">
        <f>F70</f>
        <v>0.05</v>
      </c>
      <c r="G183" s="180"/>
      <c r="H183" s="930">
        <f>H70</f>
        <v>0.06</v>
      </c>
      <c r="I183" s="679"/>
      <c r="J183" s="930">
        <f>J70</f>
        <v>0.06</v>
      </c>
      <c r="K183" s="74"/>
      <c r="L183" s="74"/>
      <c r="M183" s="281"/>
      <c r="N183" s="281"/>
      <c r="O183" s="281"/>
      <c r="P183" s="281"/>
      <c r="Q183" s="281"/>
      <c r="R183" s="281"/>
      <c r="S183" s="281"/>
      <c r="T183" s="281"/>
      <c r="U183" s="281"/>
      <c r="V183" s="281"/>
      <c r="W183" s="281"/>
      <c r="X183" s="281"/>
      <c r="Y183" s="180"/>
      <c r="Z183" s="180"/>
      <c r="AA183" s="180"/>
      <c r="AB183" s="180"/>
      <c r="AC183" s="180"/>
      <c r="AD183" s="180"/>
      <c r="AE183" s="180"/>
      <c r="AF183" s="180"/>
      <c r="AG183" s="180"/>
      <c r="AH183" s="171"/>
    </row>
    <row r="184" spans="3:34">
      <c r="C184" s="169"/>
      <c r="D184" s="60" t="s">
        <v>615</v>
      </c>
      <c r="F184" s="930">
        <f>F71</f>
        <v>4.4999999999999998E-2</v>
      </c>
      <c r="G184" s="180"/>
      <c r="H184" s="930">
        <f>H71</f>
        <v>4.3499999999999997E-2</v>
      </c>
      <c r="I184" s="679"/>
      <c r="J184" s="930">
        <f>J71</f>
        <v>4.3499999999999997E-2</v>
      </c>
      <c r="K184" s="74"/>
      <c r="L184" s="74"/>
      <c r="M184" s="281"/>
      <c r="N184" s="281"/>
      <c r="O184" s="281"/>
      <c r="P184" s="281"/>
      <c r="Q184" s="281"/>
      <c r="R184" s="281"/>
      <c r="S184" s="281"/>
      <c r="T184" s="281"/>
      <c r="U184" s="281"/>
      <c r="V184" s="281"/>
      <c r="W184" s="281"/>
      <c r="X184" s="281"/>
      <c r="Y184" s="180"/>
      <c r="Z184" s="180"/>
      <c r="AA184" s="180"/>
      <c r="AB184" s="180"/>
      <c r="AC184" s="180"/>
      <c r="AD184" s="180"/>
      <c r="AE184" s="180"/>
      <c r="AF184" s="180"/>
      <c r="AG184" s="180"/>
      <c r="AH184" s="171"/>
    </row>
    <row r="185" spans="3:34">
      <c r="C185" s="169"/>
      <c r="K185" s="74"/>
      <c r="L185" s="74"/>
      <c r="M185" s="281"/>
      <c r="N185" s="281"/>
      <c r="O185" s="281"/>
      <c r="P185" s="281"/>
      <c r="Q185" s="281"/>
      <c r="R185" s="281"/>
      <c r="S185" s="281"/>
      <c r="T185" s="281"/>
      <c r="U185" s="281"/>
      <c r="V185" s="281"/>
      <c r="W185" s="281"/>
      <c r="X185" s="281"/>
      <c r="Y185" s="281"/>
      <c r="Z185" s="281"/>
      <c r="AA185" s="281"/>
      <c r="AB185" s="281"/>
      <c r="AC185" s="281"/>
      <c r="AD185" s="281"/>
      <c r="AE185" s="281"/>
      <c r="AF185" s="281"/>
      <c r="AG185" s="281"/>
      <c r="AH185" s="195"/>
    </row>
    <row r="186" spans="3:34">
      <c r="C186" s="871"/>
      <c r="D186" s="232" t="s">
        <v>173</v>
      </c>
      <c r="E186" s="232"/>
      <c r="F186" s="232"/>
      <c r="G186" s="232"/>
      <c r="H186" s="232"/>
      <c r="J186" s="232"/>
      <c r="K186" s="74"/>
      <c r="L186" s="74"/>
      <c r="M186" s="281"/>
      <c r="N186" s="281"/>
      <c r="O186" s="349">
        <f>'Finance&amp;Tax_FO'!O12*'Rev&amp;RAV_FO'!O85</f>
        <v>2.3140000000000001</v>
      </c>
      <c r="P186" s="349">
        <f>'Finance&amp;Tax_FO'!P12*'Rev&amp;RAV_FO'!P85</f>
        <v>1.4019999999999999</v>
      </c>
      <c r="Q186" s="349">
        <f>'Finance&amp;Tax_FO'!Q12*'Rev&amp;RAV_FO'!Q85</f>
        <v>4.2830000000000004</v>
      </c>
      <c r="R186" s="349">
        <f>'Finance&amp;Tax_FO'!R12*'Rev&amp;RAV_FO'!R85</f>
        <v>1.764</v>
      </c>
      <c r="S186" s="349">
        <f>'Finance&amp;Tax_FO'!S12*'Rev&amp;RAV_FO'!S85</f>
        <v>1.5160000000000002</v>
      </c>
      <c r="T186" s="349">
        <f>'Finance&amp;Tax_FO'!T12*'Rev&amp;RAV_FO'!T85</f>
        <v>0.79100000000000004</v>
      </c>
      <c r="U186" s="349">
        <f>'Finance&amp;Tax_FO'!U12*'Rev&amp;RAV_FO'!U85</f>
        <v>0.152</v>
      </c>
      <c r="V186" s="349">
        <f>'Finance&amp;Tax_FO'!V12*'Rev&amp;RAV_FO'!V85</f>
        <v>1.306</v>
      </c>
      <c r="W186" s="349">
        <f>'Finance&amp;Tax_FO'!W12*'Rev&amp;RAV_FO'!W85</f>
        <v>0.39900000000000002</v>
      </c>
      <c r="X186" s="349">
        <f>'Finance&amp;Tax_FO'!X12*'Rev&amp;RAV_FO'!X85</f>
        <v>0.479514</v>
      </c>
      <c r="Y186" s="349">
        <f>'Finance&amp;Tax_FO'!Y12*'Rev&amp;RAV_FO'!Y85</f>
        <v>0.422477559</v>
      </c>
      <c r="Z186" s="349">
        <f>'Finance&amp;Tax_FO'!Z12*'Rev&amp;RAV_FO'!Z85</f>
        <v>0.26693911030499995</v>
      </c>
      <c r="AA186" s="349">
        <f>'Finance&amp;Tax_FO'!AA12*'Rev&amp;RAV_FO'!AA85</f>
        <v>0.35428158719679592</v>
      </c>
      <c r="AB186" s="349">
        <f>'Finance&amp;Tax_FO'!AB12*'Rev&amp;RAV_FO'!AB85</f>
        <v>0.48915075749244702</v>
      </c>
      <c r="AC186" s="349">
        <f>'Finance&amp;Tax_FO'!AC12*'Rev&amp;RAV_FO'!AC85</f>
        <v>0.35613405386301505</v>
      </c>
      <c r="AD186" s="349">
        <f>'Finance&amp;Tax_FO'!AD12*'Rev&amp;RAV_FO'!AD85</f>
        <v>0.69383460909808037</v>
      </c>
      <c r="AE186" s="349">
        <f>'Finance&amp;Tax_FO'!AE12*'Rev&amp;RAV_FO'!AE85</f>
        <v>0.28407396775386445</v>
      </c>
      <c r="AF186" s="349">
        <f>'Finance&amp;Tax_FO'!AF12*'Rev&amp;RAV_FO'!AF85</f>
        <v>0.27161744996430331</v>
      </c>
      <c r="AG186" s="349">
        <f>'Finance&amp;Tax_FO'!AG12*'Rev&amp;RAV_FO'!AG85</f>
        <v>1.1286248280916731</v>
      </c>
      <c r="AH186" s="195"/>
    </row>
    <row r="187" spans="3:34">
      <c r="C187" s="871"/>
      <c r="D187" s="232" t="s">
        <v>174</v>
      </c>
      <c r="E187" s="232"/>
      <c r="F187" s="232"/>
      <c r="G187" s="232"/>
      <c r="H187" s="232"/>
      <c r="J187" s="232"/>
      <c r="K187" s="74"/>
      <c r="L187" s="74"/>
      <c r="M187" s="281"/>
      <c r="N187" s="281"/>
      <c r="O187" s="349">
        <f>+O155</f>
        <v>0.31</v>
      </c>
      <c r="P187" s="349">
        <f ca="1">+P155</f>
        <v>0.4</v>
      </c>
      <c r="Q187" s="349">
        <f ca="1">+Q155</f>
        <v>0.4</v>
      </c>
      <c r="R187" s="349">
        <f t="shared" ref="R187:W187" ca="1" si="82">+R155</f>
        <v>0.4</v>
      </c>
      <c r="S187" s="349">
        <f t="shared" ca="1" si="82"/>
        <v>0.4</v>
      </c>
      <c r="T187" s="349">
        <f t="shared" ca="1" si="82"/>
        <v>0.4</v>
      </c>
      <c r="U187" s="349">
        <f t="shared" ca="1" si="82"/>
        <v>0.4</v>
      </c>
      <c r="V187" s="349">
        <f t="shared" ca="1" si="82"/>
        <v>0.4</v>
      </c>
      <c r="W187" s="349">
        <f t="shared" ca="1" si="82"/>
        <v>0.4</v>
      </c>
      <c r="X187" s="349">
        <f t="shared" ref="X187:AG187" ca="1" si="83">+X155</f>
        <v>0.4</v>
      </c>
      <c r="Y187" s="349">
        <f t="shared" ca="1" si="83"/>
        <v>0.4</v>
      </c>
      <c r="Z187" s="349">
        <f t="shared" ca="1" si="83"/>
        <v>0.4</v>
      </c>
      <c r="AA187" s="349">
        <f t="shared" ca="1" si="83"/>
        <v>0.4</v>
      </c>
      <c r="AB187" s="349">
        <f t="shared" ca="1" si="83"/>
        <v>0.4</v>
      </c>
      <c r="AC187" s="349">
        <f t="shared" ca="1" si="83"/>
        <v>0.4</v>
      </c>
      <c r="AD187" s="349">
        <f t="shared" ca="1" si="83"/>
        <v>0.4</v>
      </c>
      <c r="AE187" s="349">
        <f t="shared" ca="1" si="83"/>
        <v>0.4</v>
      </c>
      <c r="AF187" s="349">
        <f t="shared" ca="1" si="83"/>
        <v>0.4</v>
      </c>
      <c r="AG187" s="349">
        <f t="shared" ca="1" si="83"/>
        <v>0.4</v>
      </c>
      <c r="AH187" s="195"/>
    </row>
    <row r="188" spans="3:34">
      <c r="C188" s="871"/>
      <c r="D188" s="232" t="s">
        <v>175</v>
      </c>
      <c r="E188" s="232"/>
      <c r="F188" s="232"/>
      <c r="G188" s="232"/>
      <c r="H188" s="232"/>
      <c r="J188" s="232"/>
      <c r="K188" s="74"/>
      <c r="L188" s="74"/>
      <c r="M188" s="281"/>
      <c r="N188" s="281"/>
      <c r="O188" s="349">
        <f>'Finance&amp;Tax_FO'!O13*'Rev&amp;RAV_FO'!O85</f>
        <v>3.5999999999999997E-2</v>
      </c>
      <c r="P188" s="349">
        <f>'Finance&amp;Tax_FO'!P13*'Rev&amp;RAV_FO'!P85</f>
        <v>5.5999999999999994E-2</v>
      </c>
      <c r="Q188" s="349">
        <f>'Finance&amp;Tax_FO'!Q13*'Rev&amp;RAV_FO'!Q85</f>
        <v>7.0000000000000001E-3</v>
      </c>
      <c r="R188" s="349">
        <f>'Finance&amp;Tax_FO'!R13*'Rev&amp;RAV_FO'!R85</f>
        <v>0</v>
      </c>
      <c r="S188" s="349">
        <f>'Finance&amp;Tax_FO'!S13*'Rev&amp;RAV_FO'!S85</f>
        <v>2.0000000000000005E-3</v>
      </c>
      <c r="T188" s="349">
        <f>'Finance&amp;Tax_FO'!T13*'Rev&amp;RAV_FO'!T85</f>
        <v>2.8000000000000001E-2</v>
      </c>
      <c r="U188" s="349">
        <f>'Finance&amp;Tax_FO'!U13*'Rev&amp;RAV_FO'!U85</f>
        <v>0.04</v>
      </c>
      <c r="V188" s="349">
        <f>'Finance&amp;Tax_FO'!V13*'Rev&amp;RAV_FO'!V85</f>
        <v>5.5E-2</v>
      </c>
      <c r="W188" s="349">
        <f>'Finance&amp;Tax_FO'!W13*'Rev&amp;RAV_FO'!W85</f>
        <v>2.5000000000000001E-2</v>
      </c>
      <c r="X188" s="399">
        <f>'Finance&amp;Tax_FO'!X13*'Rev&amp;RAV_FO'!X85</f>
        <v>2.5724999999999998E-2</v>
      </c>
      <c r="Y188" s="349">
        <f>'Finance&amp;Tax_FO'!Y13*'Rev&amp;RAV_FO'!Y85</f>
        <v>2.6471024999999999E-2</v>
      </c>
      <c r="Z188" s="349">
        <f>'Finance&amp;Tax_FO'!Z13*'Rev&amp;RAV_FO'!Z85</f>
        <v>2.7238684724999997E-2</v>
      </c>
      <c r="AA188" s="349">
        <f>'Finance&amp;Tax_FO'!AA13*'Rev&amp;RAV_FO'!AA85</f>
        <v>2.8028606582024995E-2</v>
      </c>
      <c r="AB188" s="349">
        <f>'Finance&amp;Tax_FO'!AB13*'Rev&amp;RAV_FO'!AB85</f>
        <v>2.8841436172903717E-2</v>
      </c>
      <c r="AC188" s="349">
        <f>'Finance&amp;Tax_FO'!AC13*'Rev&amp;RAV_FO'!AC85</f>
        <v>2.9677837821917925E-2</v>
      </c>
      <c r="AD188" s="349">
        <f>'Finance&amp;Tax_FO'!AD13*'Rev&amp;RAV_FO'!AD85</f>
        <v>3.0538495118753541E-2</v>
      </c>
      <c r="AE188" s="349">
        <f>'Finance&amp;Tax_FO'!AE13*'Rev&amp;RAV_FO'!AE85</f>
        <v>3.142411147719739E-2</v>
      </c>
      <c r="AF188" s="349">
        <f>'Finance&amp;Tax_FO'!AF13*'Rev&amp;RAV_FO'!AF85</f>
        <v>3.2335410710036115E-2</v>
      </c>
      <c r="AG188" s="349">
        <f>'Finance&amp;Tax_FO'!AG13*'Rev&amp;RAV_FO'!AG85</f>
        <v>3.3273137620627162E-2</v>
      </c>
      <c r="AH188" s="195"/>
    </row>
    <row r="189" spans="3:34">
      <c r="C189" s="871"/>
      <c r="D189" s="129" t="s">
        <v>176</v>
      </c>
      <c r="E189" s="129"/>
      <c r="F189" s="129"/>
      <c r="G189" s="129"/>
      <c r="H189" s="129"/>
      <c r="I189" s="112"/>
      <c r="J189" s="129"/>
      <c r="K189" s="74"/>
      <c r="L189" s="74"/>
      <c r="M189" s="281"/>
      <c r="N189" s="281"/>
      <c r="O189" s="1719">
        <f>O188+(O187-O186)*$F$184</f>
        <v>-5.4179999999999999E-2</v>
      </c>
      <c r="P189" s="924">
        <f t="shared" ref="P189:W189" ca="1" si="84">P188+(P187-P186)*$H$184</f>
        <v>1.2413000000000007E-2</v>
      </c>
      <c r="Q189" s="888">
        <f t="shared" ca="1" si="84"/>
        <v>-0.16191050000000001</v>
      </c>
      <c r="R189" s="888">
        <f t="shared" ca="1" si="84"/>
        <v>-5.9333999999999991E-2</v>
      </c>
      <c r="S189" s="888">
        <f t="shared" ca="1" si="84"/>
        <v>-4.6545999999999997E-2</v>
      </c>
      <c r="T189" s="888">
        <f t="shared" ca="1" si="84"/>
        <v>1.0991500000000001E-2</v>
      </c>
      <c r="U189" s="888">
        <f t="shared" ca="1" si="84"/>
        <v>5.0788E-2</v>
      </c>
      <c r="V189" s="888">
        <f t="shared" ca="1" si="84"/>
        <v>1.5588999999999999E-2</v>
      </c>
      <c r="W189" s="927">
        <f t="shared" ca="1" si="84"/>
        <v>2.50435E-2</v>
      </c>
      <c r="X189" s="888">
        <f ca="1">X188+(X187-X186)*$J$184</f>
        <v>2.2266141E-2</v>
      </c>
      <c r="Y189" s="888">
        <f t="shared" ref="Y189:AG189" ca="1" si="85">Y188+(Y187-Y186)*$J$184</f>
        <v>2.5493251183500001E-2</v>
      </c>
      <c r="Z189" s="888">
        <f t="shared" ca="1" si="85"/>
        <v>3.3026833426732502E-2</v>
      </c>
      <c r="AA189" s="888">
        <f t="shared" ca="1" si="85"/>
        <v>3.0017357538964375E-2</v>
      </c>
      <c r="AB189" s="927">
        <f t="shared" ca="1" si="85"/>
        <v>2.4963378221982274E-2</v>
      </c>
      <c r="AC189" s="888">
        <f t="shared" ca="1" si="85"/>
        <v>3.1586006478876771E-2</v>
      </c>
      <c r="AD189" s="888">
        <f t="shared" ca="1" si="85"/>
        <v>1.7756689622987046E-2</v>
      </c>
      <c r="AE189" s="888">
        <f t="shared" ca="1" si="85"/>
        <v>3.6466893879904289E-2</v>
      </c>
      <c r="AF189" s="888">
        <f t="shared" ca="1" si="85"/>
        <v>3.7920051636588924E-2</v>
      </c>
      <c r="AG189" s="927">
        <f t="shared" ca="1" si="85"/>
        <v>1.5779575986393859E-3</v>
      </c>
      <c r="AH189" s="195"/>
    </row>
    <row r="190" spans="3:34">
      <c r="C190" s="871"/>
      <c r="D190" s="232"/>
      <c r="E190" s="232"/>
      <c r="F190" s="232"/>
      <c r="G190" s="232"/>
      <c r="H190" s="232"/>
      <c r="J190" s="232"/>
      <c r="K190" s="74"/>
      <c r="L190" s="74"/>
      <c r="M190" s="281"/>
      <c r="N190" s="281"/>
      <c r="O190" s="349"/>
      <c r="P190" s="349"/>
      <c r="Q190" s="349"/>
      <c r="R190" s="349"/>
      <c r="S190" s="349"/>
      <c r="T190" s="349"/>
      <c r="U190" s="349"/>
      <c r="V190" s="349"/>
      <c r="W190" s="349"/>
      <c r="X190" s="399"/>
      <c r="Y190" s="349"/>
      <c r="Z190" s="349"/>
      <c r="AA190" s="349"/>
      <c r="AB190" s="349"/>
      <c r="AC190" s="349"/>
      <c r="AD190" s="349"/>
      <c r="AE190" s="349"/>
      <c r="AF190" s="349"/>
      <c r="AG190" s="349"/>
      <c r="AH190" s="195"/>
    </row>
    <row r="191" spans="3:34">
      <c r="C191" s="871"/>
      <c r="D191" s="232" t="s">
        <v>177</v>
      </c>
      <c r="E191" s="232"/>
      <c r="F191" s="232"/>
      <c r="G191" s="232"/>
      <c r="H191" s="232"/>
      <c r="J191" s="232"/>
      <c r="K191" s="74"/>
      <c r="L191" s="74"/>
      <c r="M191" s="281"/>
      <c r="N191" s="281"/>
      <c r="O191" s="349">
        <f>'Finance&amp;Tax_FO'!O14*'Rev&amp;RAV_FO'!O85</f>
        <v>23.75</v>
      </c>
      <c r="P191" s="349">
        <f>'Finance&amp;Tax_FO'!P14*'Rev&amp;RAV_FO'!P85</f>
        <v>21.25</v>
      </c>
      <c r="Q191" s="349">
        <f>'Finance&amp;Tax_FO'!Q14*'Rev&amp;RAV_FO'!Q85</f>
        <v>15.249999999999998</v>
      </c>
      <c r="R191" s="349">
        <f>'Finance&amp;Tax_FO'!R14*'Rev&amp;RAV_FO'!R85</f>
        <v>15.25</v>
      </c>
      <c r="S191" s="349">
        <f>'Finance&amp;Tax_FO'!S14*'Rev&amp;RAV_FO'!S85</f>
        <v>17.25</v>
      </c>
      <c r="T191" s="349">
        <f>'Finance&amp;Tax_FO'!T14*'Rev&amp;RAV_FO'!T85</f>
        <v>38.25</v>
      </c>
      <c r="U191" s="349">
        <f>'Finance&amp;Tax_FO'!U14*'Rev&amp;RAV_FO'!U85</f>
        <v>64.25</v>
      </c>
      <c r="V191" s="349">
        <f>'Finance&amp;Tax_FO'!V14*'Rev&amp;RAV_FO'!V85</f>
        <v>88</v>
      </c>
      <c r="W191" s="349">
        <f>'Finance&amp;Tax_FO'!W14*'Rev&amp;RAV_FO'!W85</f>
        <v>138.25</v>
      </c>
      <c r="X191" s="399">
        <f>'Finance&amp;Tax_FO'!X14*'Rev&amp;RAV_FO'!X85</f>
        <v>213.00299999999999</v>
      </c>
      <c r="Y191" s="349">
        <f>'Finance&amp;Tax_FO'!Y14*'Rev&amp;RAV_FO'!Y85</f>
        <v>252.79828874999998</v>
      </c>
      <c r="Z191" s="349">
        <f>'Finance&amp;Tax_FO'!Z14*'Rev&amp;RAV_FO'!Z85</f>
        <v>403.94969447174992</v>
      </c>
      <c r="AA191" s="349">
        <f>'Finance&amp;Tax_FO'!AA14*'Rev&amp;RAV_FO'!AA85</f>
        <v>427.9968225075217</v>
      </c>
      <c r="AB191" s="349">
        <f>'Finance&amp;Tax_FO'!AB14*'Rev&amp;RAV_FO'!AB85</f>
        <v>339.46370375507678</v>
      </c>
      <c r="AC191" s="349">
        <f>'Finance&amp;Tax_FO'!AC14*'Rev&amp;RAV_FO'!AC85</f>
        <v>384.92155655027545</v>
      </c>
      <c r="AD191" s="349">
        <f>'Finance&amp;Tax_FO'!AD14*'Rev&amp;RAV_FO'!AD85</f>
        <v>419.59892293167366</v>
      </c>
      <c r="AE191" s="349">
        <f>'Finance&amp;Tax_FO'!AE14*'Rev&amp;RAV_FO'!AE85</f>
        <v>453.76416973073032</v>
      </c>
      <c r="AF191" s="349">
        <f>'Finance&amp;Tax_FO'!AF14*'Rev&amp;RAV_FO'!AF85</f>
        <v>470.80357993812578</v>
      </c>
      <c r="AG191" s="349">
        <f>'Finance&amp;Tax_FO'!AG14*'Rev&amp;RAV_FO'!AG85</f>
        <v>504.42076632870771</v>
      </c>
      <c r="AH191" s="195"/>
    </row>
    <row r="192" spans="3:34">
      <c r="C192" s="871"/>
      <c r="D192" s="232" t="s">
        <v>178</v>
      </c>
      <c r="E192" s="232"/>
      <c r="F192" s="232"/>
      <c r="G192" s="232"/>
      <c r="H192" s="232"/>
      <c r="J192" s="232"/>
      <c r="K192" s="74"/>
      <c r="L192" s="74"/>
      <c r="M192" s="281"/>
      <c r="N192" s="281"/>
      <c r="O192" s="349">
        <f>+O159</f>
        <v>23.75</v>
      </c>
      <c r="P192" s="349">
        <f ca="1">+P159</f>
        <v>26.846258943617002</v>
      </c>
      <c r="Q192" s="349">
        <f ca="1">+Q159</f>
        <v>17.1629041065517</v>
      </c>
      <c r="R192" s="349">
        <f t="shared" ref="R192:W192" ca="1" si="86">+R159</f>
        <v>24.655038561176969</v>
      </c>
      <c r="S192" s="349">
        <f t="shared" ca="1" si="86"/>
        <v>33.965834143153991</v>
      </c>
      <c r="T192" s="349">
        <f t="shared" ca="1" si="86"/>
        <v>64.628665877830528</v>
      </c>
      <c r="U192" s="349">
        <f t="shared" ca="1" si="86"/>
        <v>90.255941739499747</v>
      </c>
      <c r="V192" s="349">
        <f t="shared" ca="1" si="86"/>
        <v>119.75632578618686</v>
      </c>
      <c r="W192" s="349">
        <f t="shared" ca="1" si="86"/>
        <v>184.2327197866008</v>
      </c>
      <c r="X192" s="399">
        <f t="shared" ref="X192:AG192" ca="1" si="87">+X159</f>
        <v>185.54880398567809</v>
      </c>
      <c r="Y192" s="349">
        <f t="shared" ca="1" si="87"/>
        <v>214.08253107408106</v>
      </c>
      <c r="Z192" s="349">
        <f t="shared" ca="1" si="87"/>
        <v>240.70545993694071</v>
      </c>
      <c r="AA192" s="349">
        <f t="shared" ca="1" si="87"/>
        <v>241.70769725417463</v>
      </c>
      <c r="AB192" s="349">
        <f t="shared" ca="1" si="87"/>
        <v>243.51384873520357</v>
      </c>
      <c r="AC192" s="349">
        <f t="shared" ca="1" si="87"/>
        <v>268.56498100489944</v>
      </c>
      <c r="AD192" s="349">
        <f t="shared" ca="1" si="87"/>
        <v>297.1409605279735</v>
      </c>
      <c r="AE192" s="349">
        <f t="shared" ca="1" si="87"/>
        <v>323.98911291415038</v>
      </c>
      <c r="AF192" s="349">
        <f t="shared" ca="1" si="87"/>
        <v>337.60906551528103</v>
      </c>
      <c r="AG192" s="349">
        <f t="shared" ca="1" si="87"/>
        <v>364.13065647832281</v>
      </c>
      <c r="AH192" s="195"/>
    </row>
    <row r="193" spans="3:34">
      <c r="C193" s="871"/>
      <c r="D193" s="232" t="s">
        <v>179</v>
      </c>
      <c r="E193" s="232"/>
      <c r="F193" s="232"/>
      <c r="G193" s="232"/>
      <c r="H193" s="232"/>
      <c r="J193" s="232"/>
      <c r="K193" s="74"/>
      <c r="L193" s="74"/>
      <c r="M193" s="281"/>
      <c r="N193" s="281"/>
      <c r="O193" s="349">
        <f>'Finance&amp;Tax_FO'!O15*'Rev&amp;RAV_FO'!O85</f>
        <v>1.0529999999999999</v>
      </c>
      <c r="P193" s="349">
        <f>'Finance&amp;Tax_FO'!P15*'Rev&amp;RAV_FO'!P85</f>
        <v>1.1180000000000001</v>
      </c>
      <c r="Q193" s="349">
        <f>'Finance&amp;Tax_FO'!Q15*'Rev&amp;RAV_FO'!Q85</f>
        <v>0.62699999999999989</v>
      </c>
      <c r="R193" s="349">
        <f>'Finance&amp;Tax_FO'!R15*'Rev&amp;RAV_FO'!R85</f>
        <v>0.52100000000000002</v>
      </c>
      <c r="S193" s="349">
        <f>'Finance&amp;Tax_FO'!S15*'Rev&amp;RAV_FO'!S85</f>
        <v>0.52100000000000002</v>
      </c>
      <c r="T193" s="349">
        <f>'Finance&amp;Tax_FO'!T15*'Rev&amp;RAV_FO'!T85</f>
        <v>2.0390000000000001</v>
      </c>
      <c r="U193" s="349">
        <f>'Finance&amp;Tax_FO'!U15*'Rev&amp;RAV_FO'!U85</f>
        <v>3.2240000000000002</v>
      </c>
      <c r="V193" s="349">
        <f>'Finance&amp;Tax_FO'!V15*'Rev&amp;RAV_FO'!V85</f>
        <v>4.9340000000000002</v>
      </c>
      <c r="W193" s="349">
        <f>'Finance&amp;Tax_FO'!W15*'Rev&amp;RAV_FO'!W85</f>
        <v>7.5060000000000002</v>
      </c>
      <c r="X193" s="399">
        <f>'Finance&amp;Tax_FO'!X15*'Rev&amp;RAV_FO'!X85</f>
        <v>9.4472489999999976</v>
      </c>
      <c r="Y193" s="349">
        <f>'Finance&amp;Tax_FO'!Y15*'Rev&amp;RAV_FO'!Y85</f>
        <v>10.592645363999999</v>
      </c>
      <c r="Z193" s="349">
        <f>'Finance&amp;Tax_FO'!Z15*'Rev&amp;RAV_FO'!Z85</f>
        <v>11.568814176401998</v>
      </c>
      <c r="AA193" s="349">
        <f>'Finance&amp;Tax_FO'!AA15*'Rev&amp;RAV_FO'!AA85</f>
        <v>11.829193121877829</v>
      </c>
      <c r="AB193" s="349">
        <f>'Finance&amp;Tax_FO'!AB15*'Rev&amp;RAV_FO'!AB85</f>
        <v>13.027099890577151</v>
      </c>
      <c r="AC193" s="349">
        <f>'Finance&amp;Tax_FO'!AC15*'Rev&amp;RAV_FO'!AC85</f>
        <v>14.117153895129917</v>
      </c>
      <c r="AD193" s="349">
        <f>'Finance&amp;Tax_FO'!AD15*'Rev&amp;RAV_FO'!AD85</f>
        <v>18.553968094349901</v>
      </c>
      <c r="AE193" s="349">
        <f>'Finance&amp;Tax_FO'!AE15*'Rev&amp;RAV_FO'!AE85</f>
        <v>20.059895802583725</v>
      </c>
      <c r="AF193" s="349">
        <f>'Finance&amp;Tax_FO'!AF15*'Rev&amp;RAV_FO'!AF85</f>
        <v>20.812363749407645</v>
      </c>
      <c r="AG193" s="349">
        <f>'Finance&amp;Tax_FO'!AG15*'Rev&amp;RAV_FO'!AG85</f>
        <v>22.294333131325022</v>
      </c>
      <c r="AH193" s="195"/>
    </row>
    <row r="194" spans="3:34">
      <c r="C194" s="871"/>
      <c r="D194" s="232" t="s">
        <v>397</v>
      </c>
      <c r="E194" s="232"/>
      <c r="F194" s="232"/>
      <c r="G194" s="232"/>
      <c r="H194" s="232"/>
      <c r="J194" s="232"/>
      <c r="K194" s="74"/>
      <c r="L194" s="74"/>
      <c r="M194" s="281"/>
      <c r="N194" s="281"/>
      <c r="O194" s="349">
        <f>O61</f>
        <v>0</v>
      </c>
      <c r="P194" s="349">
        <f>P61</f>
        <v>0</v>
      </c>
      <c r="Q194" s="349">
        <f>Q61</f>
        <v>0</v>
      </c>
      <c r="R194" s="349">
        <f t="shared" ref="R194:AG194" si="88">R61</f>
        <v>0</v>
      </c>
      <c r="S194" s="349">
        <f t="shared" si="88"/>
        <v>0</v>
      </c>
      <c r="T194" s="349">
        <f t="shared" si="88"/>
        <v>0</v>
      </c>
      <c r="U194" s="349">
        <f t="shared" si="88"/>
        <v>0</v>
      </c>
      <c r="V194" s="349">
        <f t="shared" si="88"/>
        <v>0</v>
      </c>
      <c r="W194" s="349">
        <f t="shared" si="88"/>
        <v>0</v>
      </c>
      <c r="X194" s="399">
        <f t="shared" si="88"/>
        <v>0</v>
      </c>
      <c r="Y194" s="349">
        <f t="shared" si="88"/>
        <v>0</v>
      </c>
      <c r="Z194" s="349">
        <f t="shared" si="88"/>
        <v>0</v>
      </c>
      <c r="AA194" s="349">
        <f t="shared" si="88"/>
        <v>0</v>
      </c>
      <c r="AB194" s="349">
        <f t="shared" si="88"/>
        <v>0</v>
      </c>
      <c r="AC194" s="349">
        <f t="shared" si="88"/>
        <v>0</v>
      </c>
      <c r="AD194" s="349">
        <f t="shared" si="88"/>
        <v>0</v>
      </c>
      <c r="AE194" s="349">
        <f t="shared" si="88"/>
        <v>0</v>
      </c>
      <c r="AF194" s="349">
        <f t="shared" si="88"/>
        <v>0</v>
      </c>
      <c r="AG194" s="349">
        <f t="shared" si="88"/>
        <v>0</v>
      </c>
      <c r="AH194" s="195"/>
    </row>
    <row r="195" spans="3:34">
      <c r="C195" s="871"/>
      <c r="D195" s="129" t="s">
        <v>180</v>
      </c>
      <c r="E195" s="129"/>
      <c r="F195" s="129"/>
      <c r="G195" s="129"/>
      <c r="H195" s="129"/>
      <c r="I195" s="112"/>
      <c r="J195" s="129"/>
      <c r="K195" s="74"/>
      <c r="L195" s="74"/>
      <c r="M195" s="281"/>
      <c r="N195" s="281"/>
      <c r="O195" s="924">
        <f>O194+O193+(O192-O191)*$F$183</f>
        <v>1.0529999999999999</v>
      </c>
      <c r="P195" s="924">
        <f t="shared" ref="P195:W195" ca="1" si="89">P194+P193+(P192-P191)*$H$183</f>
        <v>1.4537755366170202</v>
      </c>
      <c r="Q195" s="888">
        <f t="shared" ca="1" si="89"/>
        <v>0.74177424639310197</v>
      </c>
      <c r="R195" s="888">
        <f t="shared" ca="1" si="89"/>
        <v>1.0853023136706181</v>
      </c>
      <c r="S195" s="888">
        <f t="shared" ca="1" si="89"/>
        <v>1.5239500485892394</v>
      </c>
      <c r="T195" s="888">
        <f t="shared" ca="1" si="89"/>
        <v>3.6217199526698316</v>
      </c>
      <c r="U195" s="888">
        <f t="shared" ca="1" si="89"/>
        <v>4.7843565043699847</v>
      </c>
      <c r="V195" s="888">
        <f t="shared" ca="1" si="89"/>
        <v>6.8393795471712124</v>
      </c>
      <c r="W195" s="927">
        <f t="shared" ca="1" si="89"/>
        <v>10.264963187196049</v>
      </c>
      <c r="X195" s="924">
        <f t="shared" ref="X195:AG195" ca="1" si="90">X194+X193+(X192-X191)*$J$183</f>
        <v>7.7999972391406835</v>
      </c>
      <c r="Y195" s="888">
        <f t="shared" ca="1" si="90"/>
        <v>8.2696999034448631</v>
      </c>
      <c r="Z195" s="888">
        <f t="shared" ca="1" si="90"/>
        <v>1.774160104313447</v>
      </c>
      <c r="AA195" s="888">
        <f t="shared" ca="1" si="90"/>
        <v>0.65184560667700531</v>
      </c>
      <c r="AB195" s="927">
        <f t="shared" ca="1" si="90"/>
        <v>7.2701085893847592</v>
      </c>
      <c r="AC195" s="888">
        <f t="shared" ca="1" si="90"/>
        <v>7.1357593624073559</v>
      </c>
      <c r="AD195" s="888">
        <f t="shared" ca="1" si="90"/>
        <v>11.206490350127893</v>
      </c>
      <c r="AE195" s="888">
        <f t="shared" ca="1" si="90"/>
        <v>12.273392393588928</v>
      </c>
      <c r="AF195" s="888">
        <f t="shared" ca="1" si="90"/>
        <v>12.82069288403696</v>
      </c>
      <c r="AG195" s="927">
        <f t="shared" ca="1" si="90"/>
        <v>13.876926540301927</v>
      </c>
      <c r="AH195" s="195"/>
    </row>
    <row r="196" spans="3:34">
      <c r="C196" s="871"/>
      <c r="D196" s="232"/>
      <c r="E196" s="232"/>
      <c r="F196" s="232"/>
      <c r="G196" s="232"/>
      <c r="H196" s="232"/>
      <c r="J196" s="232"/>
      <c r="K196" s="74"/>
      <c r="L196" s="74"/>
      <c r="M196" s="281"/>
      <c r="N196" s="281"/>
      <c r="O196" s="281"/>
      <c r="P196" s="281"/>
      <c r="Q196" s="281"/>
      <c r="R196" s="281"/>
      <c r="S196" s="281"/>
      <c r="T196" s="281"/>
      <c r="U196" s="281"/>
      <c r="V196" s="281"/>
      <c r="W196" s="281"/>
      <c r="X196" s="790"/>
      <c r="Y196" s="790"/>
      <c r="Z196" s="790"/>
      <c r="AA196" s="790"/>
      <c r="AB196" s="790"/>
      <c r="AC196" s="790"/>
      <c r="AD196" s="790"/>
      <c r="AE196" s="790"/>
      <c r="AF196" s="790"/>
      <c r="AG196" s="790"/>
      <c r="AH196" s="171"/>
    </row>
    <row r="197" spans="3:34" ht="12.75" thickBot="1">
      <c r="C197" s="182"/>
      <c r="D197" s="183"/>
      <c r="E197" s="183"/>
      <c r="F197" s="183"/>
      <c r="G197" s="183"/>
      <c r="H197" s="183"/>
      <c r="I197" s="199"/>
      <c r="J197" s="183"/>
      <c r="K197" s="199"/>
      <c r="L197" s="199"/>
      <c r="M197" s="199"/>
      <c r="N197" s="199"/>
      <c r="O197" s="199"/>
      <c r="P197" s="199"/>
      <c r="Q197" s="199"/>
      <c r="R197" s="199"/>
      <c r="S197" s="199"/>
      <c r="T197" s="199"/>
      <c r="U197" s="199"/>
      <c r="V197" s="199"/>
      <c r="W197" s="199"/>
      <c r="X197" s="183"/>
      <c r="Y197" s="183"/>
      <c r="Z197" s="183"/>
      <c r="AA197" s="183"/>
      <c r="AB197" s="183"/>
      <c r="AC197" s="183"/>
      <c r="AD197" s="183"/>
      <c r="AE197" s="183"/>
      <c r="AF197" s="183"/>
      <c r="AG197" s="183"/>
      <c r="AH197" s="186"/>
    </row>
    <row r="198" spans="3:34">
      <c r="K198" s="905"/>
      <c r="L198" s="905"/>
      <c r="M198" s="905"/>
      <c r="N198" s="905"/>
      <c r="O198" s="905"/>
      <c r="P198" s="905"/>
      <c r="Q198" s="905"/>
      <c r="R198" s="905"/>
      <c r="S198" s="74"/>
      <c r="T198" s="74"/>
      <c r="U198" s="74"/>
      <c r="V198" s="74"/>
      <c r="W198" s="74"/>
    </row>
    <row r="199" spans="3:34" ht="12.75" thickBot="1">
      <c r="K199" s="905"/>
      <c r="L199" s="905"/>
      <c r="M199" s="905"/>
      <c r="N199" s="905"/>
      <c r="O199" s="905"/>
      <c r="P199" s="905"/>
      <c r="Q199" s="905"/>
      <c r="R199" s="905"/>
      <c r="S199" s="74"/>
      <c r="T199" s="74"/>
      <c r="U199" s="74"/>
      <c r="V199" s="74"/>
      <c r="W199" s="74"/>
    </row>
    <row r="200" spans="3:34">
      <c r="C200" s="166"/>
      <c r="D200" s="167"/>
      <c r="E200" s="167"/>
      <c r="F200" s="167"/>
      <c r="G200" s="167"/>
      <c r="H200" s="167"/>
      <c r="I200" s="292"/>
      <c r="J200" s="167"/>
      <c r="K200" s="868"/>
      <c r="L200" s="868"/>
      <c r="M200" s="868"/>
      <c r="N200" s="868"/>
      <c r="O200" s="868"/>
      <c r="P200" s="868"/>
      <c r="Q200" s="868"/>
      <c r="R200" s="868"/>
      <c r="S200" s="868"/>
      <c r="T200" s="868"/>
      <c r="U200" s="868"/>
      <c r="V200" s="868"/>
      <c r="W200" s="868"/>
      <c r="X200" s="836"/>
      <c r="Y200" s="836"/>
      <c r="Z200" s="836"/>
      <c r="AA200" s="836"/>
      <c r="AB200" s="836"/>
      <c r="AC200" s="836"/>
      <c r="AD200" s="836"/>
      <c r="AE200" s="836"/>
      <c r="AF200" s="836"/>
      <c r="AG200" s="836"/>
      <c r="AH200" s="168"/>
    </row>
    <row r="201" spans="3:34" ht="15.75">
      <c r="C201" s="169"/>
      <c r="D201" s="2037" t="s">
        <v>1197</v>
      </c>
      <c r="K201" s="281"/>
      <c r="L201" s="281"/>
      <c r="M201" s="281"/>
      <c r="N201" s="281"/>
      <c r="O201" s="281"/>
      <c r="P201" s="281"/>
      <c r="Q201" s="281"/>
      <c r="R201" s="281"/>
      <c r="S201" s="281"/>
      <c r="T201" s="281"/>
      <c r="U201" s="281"/>
      <c r="V201" s="281"/>
      <c r="W201" s="281"/>
      <c r="X201" s="180"/>
      <c r="Y201" s="180"/>
      <c r="Z201" s="180"/>
      <c r="AA201" s="180"/>
      <c r="AB201" s="180"/>
      <c r="AC201" s="180"/>
      <c r="AD201" s="180"/>
      <c r="AE201" s="180"/>
      <c r="AF201" s="180"/>
      <c r="AG201" s="180"/>
      <c r="AH201" s="171"/>
    </row>
    <row r="202" spans="3:34">
      <c r="C202" s="169"/>
      <c r="D202" s="285" t="s">
        <v>125</v>
      </c>
      <c r="K202" s="74"/>
      <c r="L202" s="74"/>
      <c r="M202" s="74"/>
      <c r="N202" s="74"/>
      <c r="O202" s="74"/>
      <c r="P202" s="74"/>
      <c r="Q202" s="74"/>
      <c r="R202" s="74"/>
      <c r="S202" s="74"/>
      <c r="T202" s="74"/>
      <c r="U202" s="74"/>
      <c r="V202" s="74"/>
      <c r="W202" s="74"/>
      <c r="AH202" s="171"/>
    </row>
    <row r="203" spans="3:34">
      <c r="C203" s="169"/>
      <c r="D203" s="232"/>
      <c r="E203" s="232"/>
      <c r="F203" s="232"/>
      <c r="G203" s="232"/>
      <c r="H203" s="232"/>
      <c r="J203" s="399"/>
      <c r="K203" s="349"/>
      <c r="L203" s="349"/>
      <c r="M203" s="349"/>
      <c r="N203" s="349"/>
      <c r="O203" s="349"/>
      <c r="P203" s="349"/>
      <c r="Q203" s="349"/>
      <c r="R203" s="349"/>
      <c r="S203" s="349"/>
      <c r="T203" s="349"/>
      <c r="U203" s="349"/>
      <c r="V203" s="349"/>
      <c r="W203" s="349"/>
      <c r="X203" s="399"/>
      <c r="Y203" s="399"/>
      <c r="Z203" s="399"/>
      <c r="AA203" s="399"/>
      <c r="AB203" s="399"/>
      <c r="AC203" s="399"/>
      <c r="AD203" s="399"/>
      <c r="AE203" s="399"/>
      <c r="AF203" s="399"/>
      <c r="AG203" s="399"/>
      <c r="AH203" s="171"/>
    </row>
    <row r="204" spans="3:34">
      <c r="C204" s="169"/>
      <c r="D204" s="129" t="s">
        <v>181</v>
      </c>
      <c r="E204" s="232"/>
      <c r="F204" s="232"/>
      <c r="G204" s="232"/>
      <c r="H204" s="2005"/>
      <c r="I204" s="679"/>
      <c r="J204" s="2006"/>
      <c r="K204" s="349"/>
      <c r="L204" s="349"/>
      <c r="M204" s="349"/>
      <c r="N204" s="349"/>
      <c r="O204" s="349"/>
      <c r="P204" s="349"/>
      <c r="Q204" s="349"/>
      <c r="R204" s="349"/>
      <c r="S204" s="349"/>
      <c r="T204" s="349"/>
      <c r="U204" s="349"/>
      <c r="V204" s="349"/>
      <c r="W204" s="349"/>
      <c r="X204" s="399"/>
      <c r="Y204" s="399"/>
      <c r="Z204" s="399"/>
      <c r="AA204" s="399"/>
      <c r="AB204" s="399"/>
      <c r="AC204" s="399"/>
      <c r="AD204" s="399"/>
      <c r="AE204" s="399"/>
      <c r="AF204" s="399"/>
      <c r="AG204" s="399"/>
      <c r="AH204" s="171"/>
    </row>
    <row r="205" spans="3:34">
      <c r="C205" s="169"/>
      <c r="D205" s="232"/>
      <c r="E205" s="232" t="s">
        <v>70</v>
      </c>
      <c r="F205" s="232"/>
      <c r="G205" s="232"/>
      <c r="H205" s="232"/>
      <c r="J205" s="399"/>
      <c r="K205" s="349"/>
      <c r="L205" s="349"/>
      <c r="M205" s="349"/>
      <c r="N205" s="349"/>
      <c r="O205" s="349">
        <f>+O83</f>
        <v>60.534255794832859</v>
      </c>
      <c r="P205" s="349">
        <f>+P83</f>
        <v>63.091258673255872</v>
      </c>
      <c r="Q205" s="349">
        <f>+Q83</f>
        <v>62.80991526910352</v>
      </c>
      <c r="R205" s="349">
        <f>+R83</f>
        <v>63.303367874883257</v>
      </c>
      <c r="S205" s="349">
        <f t="shared" ref="S205:AB205" si="91">+S83</f>
        <v>61.965015084339207</v>
      </c>
      <c r="T205" s="349">
        <f t="shared" si="91"/>
        <v>67.286882031948352</v>
      </c>
      <c r="U205" s="349">
        <f t="shared" si="91"/>
        <v>75.58506362530737</v>
      </c>
      <c r="V205" s="349">
        <f t="shared" si="91"/>
        <v>81.951154282827204</v>
      </c>
      <c r="W205" s="349">
        <f t="shared" si="91"/>
        <v>82.082915239904025</v>
      </c>
      <c r="X205" s="399">
        <f t="shared" si="91"/>
        <v>91.203176418956019</v>
      </c>
      <c r="Y205" s="399">
        <f t="shared" si="91"/>
        <v>99.716128510358388</v>
      </c>
      <c r="Z205" s="399">
        <f t="shared" si="91"/>
        <v>109.03630274309995</v>
      </c>
      <c r="AA205" s="399">
        <f t="shared" si="91"/>
        <v>119.26189370243044</v>
      </c>
      <c r="AB205" s="399">
        <f t="shared" si="91"/>
        <v>130.43638889731076</v>
      </c>
      <c r="AC205" s="399">
        <f>+AC83</f>
        <v>137.87237972064599</v>
      </c>
      <c r="AD205" s="399">
        <f>+AD83</f>
        <v>145.77085764436023</v>
      </c>
      <c r="AE205" s="399">
        <f>+AE83</f>
        <v>154.10612458046506</v>
      </c>
      <c r="AF205" s="399">
        <f>+AF83</f>
        <v>162.99843009525856</v>
      </c>
      <c r="AG205" s="399">
        <f>+AG83</f>
        <v>172.34596852414714</v>
      </c>
      <c r="AH205" s="171"/>
    </row>
    <row r="206" spans="3:34">
      <c r="C206" s="169"/>
      <c r="D206" s="232"/>
      <c r="E206" s="232" t="s">
        <v>398</v>
      </c>
      <c r="F206" s="232"/>
      <c r="G206" s="232"/>
      <c r="H206" s="232"/>
      <c r="J206" s="399"/>
      <c r="K206" s="349"/>
      <c r="L206" s="349"/>
      <c r="M206" s="349"/>
      <c r="N206" s="349"/>
      <c r="O206" s="349">
        <f ca="1">+O86</f>
        <v>2.1147000000000005</v>
      </c>
      <c r="P206" s="349">
        <f ca="1">+P86</f>
        <v>2.617</v>
      </c>
      <c r="Q206" s="349">
        <f ca="1">+Q86</f>
        <v>2.5640000000000001</v>
      </c>
      <c r="R206" s="349">
        <f t="shared" ref="R206:AB206" ca="1" si="92">+R86</f>
        <v>3.6400000000000006</v>
      </c>
      <c r="S206" s="349">
        <f t="shared" ca="1" si="92"/>
        <v>2.8849999999999998</v>
      </c>
      <c r="T206" s="349">
        <f t="shared" ca="1" si="92"/>
        <v>3.847</v>
      </c>
      <c r="U206" s="349">
        <f t="shared" ca="1" si="92"/>
        <v>3.8689999999999998</v>
      </c>
      <c r="V206" s="349">
        <f t="shared" ca="1" si="92"/>
        <v>4.2831419999999998</v>
      </c>
      <c r="W206" s="349">
        <f t="shared" ca="1" si="92"/>
        <v>3.5</v>
      </c>
      <c r="X206" s="399">
        <f t="shared" ca="1" si="92"/>
        <v>4.4411639999999997</v>
      </c>
      <c r="Y206" s="399">
        <f t="shared" ca="1" si="92"/>
        <v>4.6377235799999994</v>
      </c>
      <c r="Z206" s="399">
        <f t="shared" ca="1" si="92"/>
        <v>4.8441276914939992</v>
      </c>
      <c r="AA206" s="399">
        <f t="shared" ca="1" si="92"/>
        <v>5.0608452044504331</v>
      </c>
      <c r="AB206" s="399">
        <f t="shared" ca="1" si="92"/>
        <v>5.288365736663625</v>
      </c>
      <c r="AC206" s="399">
        <f ca="1">+AC86</f>
        <v>5.5272005159539939</v>
      </c>
      <c r="AD206" s="399">
        <f ca="1">+AD86</f>
        <v>5.7778832764681702</v>
      </c>
      <c r="AE206" s="399">
        <f ca="1">+AE86</f>
        <v>6.0409711903764265</v>
      </c>
      <c r="AF206" s="399">
        <f ca="1">+AF86</f>
        <v>6.3157524198842534</v>
      </c>
      <c r="AG206" s="399">
        <f ca="1">+AG86</f>
        <v>6.6067142059517288</v>
      </c>
      <c r="AH206" s="171"/>
    </row>
    <row r="207" spans="3:34">
      <c r="C207" s="169"/>
      <c r="D207" s="232"/>
      <c r="E207" s="232" t="s">
        <v>232</v>
      </c>
      <c r="F207" s="232"/>
      <c r="G207" s="232"/>
      <c r="H207" s="232"/>
      <c r="J207" s="399"/>
      <c r="K207" s="349"/>
      <c r="L207" s="349"/>
      <c r="M207" s="349"/>
      <c r="N207" s="349"/>
      <c r="O207" s="349">
        <f ca="1">+O90</f>
        <v>0.78400000000000003</v>
      </c>
      <c r="P207" s="349">
        <f ca="1">+P90</f>
        <v>2.2250000000000001</v>
      </c>
      <c r="Q207" s="349">
        <f ca="1">+Q90</f>
        <v>2.0669999999999997</v>
      </c>
      <c r="R207" s="349">
        <f t="shared" ref="R207:W207" ca="1" si="93">+R90</f>
        <v>2.1029999999999998</v>
      </c>
      <c r="S207" s="349">
        <f t="shared" ca="1" si="93"/>
        <v>1.0860000000000001</v>
      </c>
      <c r="T207" s="349">
        <f t="shared" ca="1" si="93"/>
        <v>1.0690000000000002</v>
      </c>
      <c r="U207" s="349">
        <f t="shared" ca="1" si="93"/>
        <v>1.3190000000000002</v>
      </c>
      <c r="V207" s="349">
        <f t="shared" ca="1" si="93"/>
        <v>2.2653969999999997</v>
      </c>
      <c r="W207" s="349">
        <f t="shared" ca="1" si="93"/>
        <v>1.335</v>
      </c>
      <c r="X207" s="399">
        <f t="shared" ref="X207:AG207" ca="1" si="94">+X90</f>
        <v>1.3222649999999998</v>
      </c>
      <c r="Y207" s="399">
        <f t="shared" ca="1" si="94"/>
        <v>1.3606106849999997</v>
      </c>
      <c r="Z207" s="399">
        <f t="shared" ca="1" si="94"/>
        <v>1.4000683948649997</v>
      </c>
      <c r="AA207" s="399">
        <f t="shared" ca="1" si="94"/>
        <v>1.4406703783160846</v>
      </c>
      <c r="AB207" s="399">
        <f t="shared" ca="1" si="94"/>
        <v>1.4824498192872511</v>
      </c>
      <c r="AC207" s="399">
        <f t="shared" ca="1" si="94"/>
        <v>1.5254408640465813</v>
      </c>
      <c r="AD207" s="399">
        <f t="shared" ca="1" si="94"/>
        <v>1.5696786491039318</v>
      </c>
      <c r="AE207" s="399">
        <f t="shared" ca="1" si="94"/>
        <v>1.6151993299279459</v>
      </c>
      <c r="AF207" s="399">
        <f t="shared" ca="1" si="94"/>
        <v>1.662040110495856</v>
      </c>
      <c r="AG207" s="399">
        <f t="shared" ca="1" si="94"/>
        <v>1.7102392737002359</v>
      </c>
      <c r="AH207" s="171"/>
    </row>
    <row r="208" spans="3:34">
      <c r="C208" s="169"/>
      <c r="D208" s="232"/>
      <c r="E208" s="232" t="s">
        <v>399</v>
      </c>
      <c r="F208" s="232"/>
      <c r="G208" s="232"/>
      <c r="H208" s="232"/>
      <c r="J208" s="399"/>
      <c r="K208" s="349"/>
      <c r="L208" s="349"/>
      <c r="M208" s="349"/>
      <c r="N208" s="349"/>
      <c r="O208" s="349">
        <f>O132</f>
        <v>0</v>
      </c>
      <c r="P208" s="349">
        <f>P132</f>
        <v>0</v>
      </c>
      <c r="Q208" s="349">
        <f>Q132</f>
        <v>0</v>
      </c>
      <c r="R208" s="349">
        <f t="shared" ref="R208:AB208" si="95">R132</f>
        <v>0</v>
      </c>
      <c r="S208" s="349">
        <f t="shared" si="95"/>
        <v>0</v>
      </c>
      <c r="T208" s="399">
        <f t="shared" si="95"/>
        <v>0</v>
      </c>
      <c r="U208" s="399">
        <f t="shared" si="95"/>
        <v>0</v>
      </c>
      <c r="V208" s="399">
        <f t="shared" si="95"/>
        <v>0</v>
      </c>
      <c r="W208" s="399">
        <f t="shared" si="95"/>
        <v>0</v>
      </c>
      <c r="X208" s="399">
        <f t="shared" si="95"/>
        <v>0</v>
      </c>
      <c r="Y208" s="399">
        <f t="shared" si="95"/>
        <v>0</v>
      </c>
      <c r="Z208" s="399">
        <f t="shared" si="95"/>
        <v>0</v>
      </c>
      <c r="AA208" s="399">
        <f t="shared" si="95"/>
        <v>0</v>
      </c>
      <c r="AB208" s="399">
        <f t="shared" si="95"/>
        <v>0</v>
      </c>
      <c r="AC208" s="399">
        <f>AC132</f>
        <v>0</v>
      </c>
      <c r="AD208" s="399">
        <f>AD132</f>
        <v>0</v>
      </c>
      <c r="AE208" s="399">
        <f>AE132</f>
        <v>0</v>
      </c>
      <c r="AF208" s="399">
        <f>AF132</f>
        <v>0</v>
      </c>
      <c r="AG208" s="399">
        <f>AG132</f>
        <v>0</v>
      </c>
      <c r="AH208" s="171"/>
    </row>
    <row r="209" spans="3:34">
      <c r="C209" s="169"/>
      <c r="D209" s="232"/>
      <c r="E209" s="232" t="s">
        <v>182</v>
      </c>
      <c r="F209" s="232"/>
      <c r="G209" s="232"/>
      <c r="H209" s="232"/>
      <c r="J209" s="399"/>
      <c r="K209" s="349"/>
      <c r="L209" s="349"/>
      <c r="M209" s="349"/>
      <c r="N209" s="349"/>
      <c r="O209" s="349">
        <f>-O84</f>
        <v>0</v>
      </c>
      <c r="P209" s="349">
        <f>-P84</f>
        <v>-5.2357799573560765E-2</v>
      </c>
      <c r="Q209" s="349">
        <f>-Q84</f>
        <v>-7.5403313432835808E-2</v>
      </c>
      <c r="R209" s="349">
        <f t="shared" ref="R209:W209" si="96">-R84</f>
        <v>-0.11322547832267237</v>
      </c>
      <c r="S209" s="349">
        <f t="shared" si="96"/>
        <v>-0.11234437100213221</v>
      </c>
      <c r="T209" s="399">
        <f t="shared" si="96"/>
        <v>-0.47064123880597014</v>
      </c>
      <c r="U209" s="399">
        <f t="shared" si="96"/>
        <v>-0.20808304477611939</v>
      </c>
      <c r="V209" s="399">
        <f t="shared" si="96"/>
        <v>-0.28602246481876331</v>
      </c>
      <c r="W209" s="399">
        <f t="shared" si="96"/>
        <v>0</v>
      </c>
      <c r="X209" s="399">
        <f t="shared" ref="X209:AG209" si="97">-X84</f>
        <v>0</v>
      </c>
      <c r="Y209" s="399">
        <f t="shared" si="97"/>
        <v>0</v>
      </c>
      <c r="Z209" s="399">
        <f t="shared" si="97"/>
        <v>0</v>
      </c>
      <c r="AA209" s="399">
        <f t="shared" si="97"/>
        <v>0</v>
      </c>
      <c r="AB209" s="399">
        <f t="shared" si="97"/>
        <v>0</v>
      </c>
      <c r="AC209" s="399">
        <f t="shared" si="97"/>
        <v>0</v>
      </c>
      <c r="AD209" s="399">
        <f t="shared" si="97"/>
        <v>0</v>
      </c>
      <c r="AE209" s="399">
        <f t="shared" si="97"/>
        <v>0</v>
      </c>
      <c r="AF209" s="399">
        <f t="shared" si="97"/>
        <v>0</v>
      </c>
      <c r="AG209" s="399">
        <f t="shared" si="97"/>
        <v>0</v>
      </c>
      <c r="AH209" s="171"/>
    </row>
    <row r="210" spans="3:34">
      <c r="C210" s="169"/>
      <c r="D210" s="232"/>
      <c r="E210" s="232" t="s">
        <v>183</v>
      </c>
      <c r="F210" s="232"/>
      <c r="G210" s="232"/>
      <c r="H210" s="232"/>
      <c r="J210" s="399"/>
      <c r="K210" s="349"/>
      <c r="L210" s="349"/>
      <c r="M210" s="349"/>
      <c r="N210" s="349"/>
      <c r="O210" s="349">
        <f ca="1">+O128</f>
        <v>-43.289000000000001</v>
      </c>
      <c r="P210" s="349">
        <f ca="1">+P128</f>
        <v>-43.131</v>
      </c>
      <c r="Q210" s="349">
        <f ca="1">+Q128</f>
        <v>-47.795999999999999</v>
      </c>
      <c r="R210" s="349">
        <f t="shared" ref="R210:W210" ca="1" si="98">+R128</f>
        <v>-46.791000000000004</v>
      </c>
      <c r="S210" s="349">
        <f t="shared" ca="1" si="98"/>
        <v>-48.834000000000003</v>
      </c>
      <c r="T210" s="399">
        <f t="shared" ca="1" si="98"/>
        <v>-56.709000000000003</v>
      </c>
      <c r="U210" s="399">
        <f t="shared" ca="1" si="98"/>
        <v>-59.733999999999995</v>
      </c>
      <c r="V210" s="399">
        <f t="shared" ca="1" si="98"/>
        <v>-61.440999999999988</v>
      </c>
      <c r="W210" s="399">
        <f t="shared" ca="1" si="98"/>
        <v>-59.938000000000017</v>
      </c>
      <c r="X210" s="399">
        <f t="shared" ref="X210:AG210" ca="1" si="99">+X128</f>
        <v>-63.573119722218323</v>
      </c>
      <c r="Y210" s="399">
        <f t="shared" ca="1" si="99"/>
        <v>-66.191311973756655</v>
      </c>
      <c r="Z210" s="399">
        <f t="shared" ca="1" si="99"/>
        <v>-67.447115488409068</v>
      </c>
      <c r="AA210" s="399">
        <f t="shared" ca="1" si="99"/>
        <v>-70.293143418666617</v>
      </c>
      <c r="AB210" s="399">
        <f t="shared" ca="1" si="99"/>
        <v>-72.334484726633875</v>
      </c>
      <c r="AC210" s="399">
        <f t="shared" ca="1" si="99"/>
        <v>-75.354851417241349</v>
      </c>
      <c r="AD210" s="399">
        <f t="shared" ca="1" si="99"/>
        <v>-78.507590723037396</v>
      </c>
      <c r="AE210" s="399">
        <f t="shared" ca="1" si="99"/>
        <v>-81.798284919276</v>
      </c>
      <c r="AF210" s="399">
        <f t="shared" ca="1" si="99"/>
        <v>-85.23311930437049</v>
      </c>
      <c r="AG210" s="399">
        <f t="shared" ca="1" si="99"/>
        <v>-88.81855708231673</v>
      </c>
      <c r="AH210" s="171"/>
    </row>
    <row r="211" spans="3:34">
      <c r="C211" s="169"/>
      <c r="D211" s="232"/>
      <c r="E211" s="232" t="s">
        <v>184</v>
      </c>
      <c r="F211" s="232"/>
      <c r="G211" s="232"/>
      <c r="H211" s="232"/>
      <c r="J211" s="399"/>
      <c r="K211" s="349"/>
      <c r="L211" s="349"/>
      <c r="M211" s="349"/>
      <c r="N211" s="349"/>
      <c r="O211" s="349">
        <f ca="1">-O174</f>
        <v>-4.143832738449861</v>
      </c>
      <c r="P211" s="349">
        <f ca="1">-P174</f>
        <v>0</v>
      </c>
      <c r="Q211" s="349">
        <f ca="1">-Q174</f>
        <v>-2.7181096639028639</v>
      </c>
      <c r="R211" s="349">
        <f t="shared" ref="R211:W211" ca="1" si="100">-R174</f>
        <v>-5.6200518248669846</v>
      </c>
      <c r="S211" s="349">
        <f t="shared" ca="1" si="100"/>
        <v>-3.7872523994243452</v>
      </c>
      <c r="T211" s="399">
        <f t="shared" ca="1" si="100"/>
        <v>-3.4768537021417631</v>
      </c>
      <c r="U211" s="399">
        <f t="shared" ca="1" si="100"/>
        <v>-4.1656236228483845</v>
      </c>
      <c r="V211" s="399">
        <f t="shared" ca="1" si="100"/>
        <v>-6.055314081251173</v>
      </c>
      <c r="W211" s="399">
        <f t="shared" ca="1" si="100"/>
        <v>-4.588198665812385</v>
      </c>
      <c r="X211" s="399">
        <f t="shared" ref="X211:AG211" ca="1" si="101">-X174</f>
        <v>0</v>
      </c>
      <c r="Y211" s="399">
        <f t="shared" ca="1" si="101"/>
        <v>0</v>
      </c>
      <c r="Z211" s="399">
        <f t="shared" ca="1" si="101"/>
        <v>0</v>
      </c>
      <c r="AA211" s="399">
        <f t="shared" ca="1" si="101"/>
        <v>0</v>
      </c>
      <c r="AB211" s="399">
        <f t="shared" ca="1" si="101"/>
        <v>0</v>
      </c>
      <c r="AC211" s="399">
        <f t="shared" ca="1" si="101"/>
        <v>-15.210351761499005</v>
      </c>
      <c r="AD211" s="399">
        <f t="shared" ca="1" si="101"/>
        <v>-15.024617139762954</v>
      </c>
      <c r="AE211" s="399">
        <f t="shared" ca="1" si="101"/>
        <v>-15.901925756044696</v>
      </c>
      <c r="AF211" s="399">
        <f t="shared" ca="1" si="101"/>
        <v>-17.027917557745916</v>
      </c>
      <c r="AG211" s="399">
        <f t="shared" ca="1" si="101"/>
        <v>-18.022714180982138</v>
      </c>
      <c r="AH211" s="171"/>
    </row>
    <row r="212" spans="3:34">
      <c r="C212" s="169"/>
      <c r="D212" s="232"/>
      <c r="E212" s="232" t="s">
        <v>185</v>
      </c>
      <c r="F212" s="232"/>
      <c r="G212" s="232"/>
      <c r="H212" s="232"/>
      <c r="J212" s="399"/>
      <c r="K212" s="349"/>
      <c r="L212" s="349"/>
      <c r="M212" s="349"/>
      <c r="N212" s="349"/>
      <c r="O212" s="349">
        <f>+O189</f>
        <v>-5.4179999999999999E-2</v>
      </c>
      <c r="P212" s="349">
        <f ca="1">+P189</f>
        <v>1.2413000000000007E-2</v>
      </c>
      <c r="Q212" s="349">
        <f ca="1">+Q189</f>
        <v>-0.16191050000000001</v>
      </c>
      <c r="R212" s="349">
        <f t="shared" ref="R212:W212" ca="1" si="102">+R189</f>
        <v>-5.9333999999999991E-2</v>
      </c>
      <c r="S212" s="349">
        <f t="shared" ca="1" si="102"/>
        <v>-4.6545999999999997E-2</v>
      </c>
      <c r="T212" s="399">
        <f t="shared" ca="1" si="102"/>
        <v>1.0991500000000001E-2</v>
      </c>
      <c r="U212" s="399">
        <f t="shared" ca="1" si="102"/>
        <v>5.0788E-2</v>
      </c>
      <c r="V212" s="399">
        <f t="shared" ca="1" si="102"/>
        <v>1.5588999999999999E-2</v>
      </c>
      <c r="W212" s="399">
        <f t="shared" ca="1" si="102"/>
        <v>2.50435E-2</v>
      </c>
      <c r="X212" s="399">
        <f t="shared" ref="X212:AG212" ca="1" si="103">+X189</f>
        <v>2.2266141E-2</v>
      </c>
      <c r="Y212" s="399">
        <f t="shared" ca="1" si="103"/>
        <v>2.5493251183500001E-2</v>
      </c>
      <c r="Z212" s="399">
        <f t="shared" ca="1" si="103"/>
        <v>3.3026833426732502E-2</v>
      </c>
      <c r="AA212" s="399">
        <f t="shared" ca="1" si="103"/>
        <v>3.0017357538964375E-2</v>
      </c>
      <c r="AB212" s="399">
        <f t="shared" ca="1" si="103"/>
        <v>2.4963378221982274E-2</v>
      </c>
      <c r="AC212" s="399">
        <f t="shared" ca="1" si="103"/>
        <v>3.1586006478876771E-2</v>
      </c>
      <c r="AD212" s="399">
        <f t="shared" ca="1" si="103"/>
        <v>1.7756689622987046E-2</v>
      </c>
      <c r="AE212" s="399">
        <f t="shared" ca="1" si="103"/>
        <v>3.6466893879904289E-2</v>
      </c>
      <c r="AF212" s="399">
        <f t="shared" ca="1" si="103"/>
        <v>3.7920051636588924E-2</v>
      </c>
      <c r="AG212" s="399">
        <f t="shared" ca="1" si="103"/>
        <v>1.5779575986393859E-3</v>
      </c>
      <c r="AH212" s="171"/>
    </row>
    <row r="213" spans="3:34">
      <c r="C213" s="169"/>
      <c r="D213" s="232"/>
      <c r="E213" s="232" t="s">
        <v>186</v>
      </c>
      <c r="F213" s="232"/>
      <c r="G213" s="232"/>
      <c r="H213" s="232"/>
      <c r="J213" s="399"/>
      <c r="K213" s="349"/>
      <c r="L213" s="349"/>
      <c r="M213" s="349"/>
      <c r="N213" s="349"/>
      <c r="O213" s="349">
        <f>-O195</f>
        <v>-1.0529999999999999</v>
      </c>
      <c r="P213" s="349">
        <f ca="1">-P195</f>
        <v>-1.4537755366170202</v>
      </c>
      <c r="Q213" s="349">
        <f ca="1">-Q195</f>
        <v>-0.74177424639310197</v>
      </c>
      <c r="R213" s="349">
        <f t="shared" ref="R213:W213" ca="1" si="104">-R195</f>
        <v>-1.0853023136706181</v>
      </c>
      <c r="S213" s="349">
        <f t="shared" ca="1" si="104"/>
        <v>-1.5239500485892394</v>
      </c>
      <c r="T213" s="399">
        <f t="shared" ca="1" si="104"/>
        <v>-3.6217199526698316</v>
      </c>
      <c r="U213" s="399">
        <f t="shared" ca="1" si="104"/>
        <v>-4.7843565043699847</v>
      </c>
      <c r="V213" s="399">
        <f t="shared" ca="1" si="104"/>
        <v>-6.8393795471712124</v>
      </c>
      <c r="W213" s="399">
        <f t="shared" ca="1" si="104"/>
        <v>-10.264963187196049</v>
      </c>
      <c r="X213" s="399">
        <f t="shared" ref="X213:AG213" ca="1" si="105">-X195</f>
        <v>-7.7999972391406835</v>
      </c>
      <c r="Y213" s="399">
        <f t="shared" ca="1" si="105"/>
        <v>-8.2696999034448631</v>
      </c>
      <c r="Z213" s="399">
        <f t="shared" ca="1" si="105"/>
        <v>-1.774160104313447</v>
      </c>
      <c r="AA213" s="399">
        <f t="shared" ca="1" si="105"/>
        <v>-0.65184560667700531</v>
      </c>
      <c r="AB213" s="399">
        <f t="shared" ca="1" si="105"/>
        <v>-7.2701085893847592</v>
      </c>
      <c r="AC213" s="399">
        <f t="shared" ca="1" si="105"/>
        <v>-7.1357593624073559</v>
      </c>
      <c r="AD213" s="399">
        <f t="shared" ca="1" si="105"/>
        <v>-11.206490350127893</v>
      </c>
      <c r="AE213" s="399">
        <f t="shared" ca="1" si="105"/>
        <v>-12.273392393588928</v>
      </c>
      <c r="AF213" s="399">
        <f t="shared" ca="1" si="105"/>
        <v>-12.82069288403696</v>
      </c>
      <c r="AG213" s="399">
        <f t="shared" ca="1" si="105"/>
        <v>-13.876926540301927</v>
      </c>
      <c r="AH213" s="171"/>
    </row>
    <row r="214" spans="3:34">
      <c r="C214" s="169"/>
      <c r="D214" s="232"/>
      <c r="E214" s="232"/>
      <c r="F214" s="232"/>
      <c r="G214" s="232"/>
      <c r="H214" s="232"/>
      <c r="J214" s="399"/>
      <c r="K214" s="349"/>
      <c r="L214" s="349"/>
      <c r="M214" s="349"/>
      <c r="N214" s="349"/>
      <c r="O214" s="349"/>
      <c r="P214" s="349"/>
      <c r="Q214" s="349"/>
      <c r="R214" s="349"/>
      <c r="S214" s="349"/>
      <c r="T214" s="399"/>
      <c r="U214" s="399"/>
      <c r="V214" s="399"/>
      <c r="W214" s="399"/>
      <c r="X214" s="399"/>
      <c r="Y214" s="399"/>
      <c r="Z214" s="399"/>
      <c r="AA214" s="399"/>
      <c r="AB214" s="399"/>
      <c r="AC214" s="399"/>
      <c r="AD214" s="399"/>
      <c r="AE214" s="399"/>
      <c r="AF214" s="399"/>
      <c r="AG214" s="399"/>
      <c r="AH214" s="171"/>
    </row>
    <row r="215" spans="3:34">
      <c r="C215" s="169"/>
      <c r="D215" s="931" t="s">
        <v>204</v>
      </c>
      <c r="E215" s="658"/>
      <c r="F215" s="658"/>
      <c r="G215" s="658"/>
      <c r="H215" s="658"/>
      <c r="I215" s="473"/>
      <c r="J215" s="822"/>
      <c r="K215" s="401"/>
      <c r="L215" s="401"/>
      <c r="M215" s="401"/>
      <c r="N215" s="401"/>
      <c r="O215" s="1719">
        <f ca="1">+SUM(O205:O214)</f>
        <v>14.892943056382997</v>
      </c>
      <c r="P215" s="888">
        <f ca="1">+SUM(P205:P214)</f>
        <v>23.308538337065286</v>
      </c>
      <c r="Q215" s="888">
        <f ca="1">+SUM(Q205:Q214)</f>
        <v>15.947717545374715</v>
      </c>
      <c r="R215" s="888">
        <f t="shared" ref="R215:AB215" ca="1" si="106">+SUM(R205:R214)</f>
        <v>15.377454258022963</v>
      </c>
      <c r="S215" s="932">
        <f t="shared" ca="1" si="106"/>
        <v>11.631922265323478</v>
      </c>
      <c r="T215" s="932">
        <f t="shared" ca="1" si="106"/>
        <v>7.9356586383307821</v>
      </c>
      <c r="U215" s="932">
        <f t="shared" ca="1" si="106"/>
        <v>11.93178845331289</v>
      </c>
      <c r="V215" s="932">
        <f t="shared" ca="1" si="106"/>
        <v>13.893566189586064</v>
      </c>
      <c r="W215" s="932">
        <f t="shared" ca="1" si="106"/>
        <v>12.151796886895568</v>
      </c>
      <c r="X215" s="933">
        <f t="shared" ca="1" si="106"/>
        <v>25.615754598597018</v>
      </c>
      <c r="Y215" s="932">
        <f t="shared" ca="1" si="106"/>
        <v>31.278944149340365</v>
      </c>
      <c r="Z215" s="932">
        <f t="shared" ca="1" si="106"/>
        <v>46.092250070163168</v>
      </c>
      <c r="AA215" s="932">
        <f t="shared" ca="1" si="106"/>
        <v>54.8484376173923</v>
      </c>
      <c r="AB215" s="934">
        <f t="shared" ca="1" si="106"/>
        <v>57.627574515464971</v>
      </c>
      <c r="AC215" s="932">
        <f ca="1">+SUM(AC205:AC214)</f>
        <v>47.25564456597774</v>
      </c>
      <c r="AD215" s="932">
        <f ca="1">+SUM(AD205:AD214)</f>
        <v>48.397478046627086</v>
      </c>
      <c r="AE215" s="932">
        <f ca="1">+SUM(AE205:AE214)</f>
        <v>51.825158925739736</v>
      </c>
      <c r="AF215" s="932">
        <f ca="1">+SUM(AF205:AF214)</f>
        <v>55.932412931121902</v>
      </c>
      <c r="AG215" s="932">
        <f ca="1">+SUM(AG205:AG214)</f>
        <v>59.946302157796964</v>
      </c>
      <c r="AH215" s="935"/>
    </row>
    <row r="216" spans="3:34">
      <c r="C216" s="169"/>
      <c r="D216" s="232"/>
      <c r="E216" s="232"/>
      <c r="F216" s="232"/>
      <c r="G216" s="232"/>
      <c r="H216" s="232"/>
      <c r="J216" s="399"/>
      <c r="K216" s="349"/>
      <c r="L216" s="349"/>
      <c r="M216" s="349"/>
      <c r="N216" s="349"/>
      <c r="O216" s="349"/>
      <c r="P216" s="349"/>
      <c r="Q216" s="349"/>
      <c r="R216" s="349"/>
      <c r="S216" s="349"/>
      <c r="T216" s="399"/>
      <c r="U216" s="399"/>
      <c r="V216" s="399"/>
      <c r="W216" s="399"/>
      <c r="X216" s="399"/>
      <c r="Y216" s="399"/>
      <c r="Z216" s="399"/>
      <c r="AA216" s="399"/>
      <c r="AB216" s="399"/>
      <c r="AC216" s="399"/>
      <c r="AD216" s="399"/>
      <c r="AE216" s="399"/>
      <c r="AF216" s="399"/>
      <c r="AG216" s="399"/>
      <c r="AH216" s="171"/>
    </row>
    <row r="217" spans="3:34">
      <c r="C217" s="169"/>
      <c r="D217" s="879" t="s">
        <v>609</v>
      </c>
      <c r="E217" s="232"/>
      <c r="F217" s="232"/>
      <c r="G217" s="232"/>
      <c r="H217" s="232"/>
      <c r="J217" s="399"/>
      <c r="K217" s="349"/>
      <c r="L217" s="349"/>
      <c r="M217" s="349"/>
      <c r="N217" s="349"/>
      <c r="O217" s="349"/>
      <c r="P217" s="349"/>
      <c r="Q217" s="349"/>
      <c r="R217" s="349"/>
      <c r="S217" s="349"/>
      <c r="T217" s="399"/>
      <c r="U217" s="399"/>
      <c r="V217" s="399"/>
      <c r="W217" s="399"/>
      <c r="X217" s="399"/>
      <c r="Y217" s="399"/>
      <c r="Z217" s="399"/>
      <c r="AA217" s="399"/>
      <c r="AB217" s="399"/>
      <c r="AC217" s="399"/>
      <c r="AD217" s="399"/>
      <c r="AE217" s="399"/>
      <c r="AF217" s="399"/>
      <c r="AG217" s="399"/>
      <c r="AH217" s="171"/>
    </row>
    <row r="218" spans="3:34">
      <c r="C218" s="169"/>
      <c r="D218" s="232"/>
      <c r="E218" s="232"/>
      <c r="F218" s="232"/>
      <c r="G218" s="232"/>
      <c r="H218" s="232"/>
      <c r="J218" s="399"/>
      <c r="K218" s="349"/>
      <c r="L218" s="349"/>
      <c r="M218" s="349"/>
      <c r="N218" s="349"/>
      <c r="O218" s="349"/>
      <c r="P218" s="349"/>
      <c r="Q218" s="349"/>
      <c r="R218" s="349"/>
      <c r="S218" s="349"/>
      <c r="T218" s="399"/>
      <c r="U218" s="399"/>
      <c r="V218" s="399"/>
      <c r="W218" s="399"/>
      <c r="X218" s="399"/>
      <c r="Y218" s="399"/>
      <c r="Z218" s="399"/>
      <c r="AA218" s="399"/>
      <c r="AB218" s="399"/>
      <c r="AC218" s="399"/>
      <c r="AD218" s="399"/>
      <c r="AE218" s="399"/>
      <c r="AF218" s="399"/>
      <c r="AG218" s="399"/>
      <c r="AH218" s="171"/>
    </row>
    <row r="219" spans="3:34">
      <c r="C219" s="169"/>
      <c r="D219" s="129" t="s">
        <v>187</v>
      </c>
      <c r="E219" s="232"/>
      <c r="F219" s="232"/>
      <c r="G219" s="232"/>
      <c r="H219" s="232"/>
      <c r="J219" s="399"/>
      <c r="K219" s="349"/>
      <c r="L219" s="349"/>
      <c r="M219" s="349"/>
      <c r="N219" s="349"/>
      <c r="O219" s="349"/>
      <c r="P219" s="349"/>
      <c r="Q219" s="349"/>
      <c r="R219" s="349"/>
      <c r="S219" s="349"/>
      <c r="T219" s="399"/>
      <c r="U219" s="399"/>
      <c r="V219" s="399"/>
      <c r="W219" s="399"/>
      <c r="X219" s="399"/>
      <c r="Y219" s="399"/>
      <c r="Z219" s="399"/>
      <c r="AA219" s="399"/>
      <c r="AB219" s="399"/>
      <c r="AC219" s="399"/>
      <c r="AD219" s="399"/>
      <c r="AE219" s="399"/>
      <c r="AF219" s="399"/>
      <c r="AG219" s="399"/>
      <c r="AH219" s="171"/>
    </row>
    <row r="220" spans="3:34">
      <c r="C220" s="169"/>
      <c r="D220" s="232"/>
      <c r="E220" s="232" t="s">
        <v>188</v>
      </c>
      <c r="F220" s="232"/>
      <c r="G220" s="232"/>
      <c r="H220" s="232"/>
      <c r="J220" s="399"/>
      <c r="K220" s="349"/>
      <c r="L220" s="349"/>
      <c r="M220" s="349"/>
      <c r="N220" s="349"/>
      <c r="O220" s="349">
        <f ca="1">+O215</f>
        <v>14.892943056382997</v>
      </c>
      <c r="P220" s="349">
        <f ca="1">+P215</f>
        <v>23.308538337065286</v>
      </c>
      <c r="Q220" s="349">
        <f ca="1">+Q215</f>
        <v>15.947717545374715</v>
      </c>
      <c r="R220" s="349">
        <f t="shared" ref="R220:AG220" ca="1" si="107">+R215</f>
        <v>15.377454258022963</v>
      </c>
      <c r="S220" s="349">
        <f t="shared" ca="1" si="107"/>
        <v>11.631922265323478</v>
      </c>
      <c r="T220" s="399">
        <f t="shared" ca="1" si="107"/>
        <v>7.9356586383307821</v>
      </c>
      <c r="U220" s="399">
        <f t="shared" ca="1" si="107"/>
        <v>11.93178845331289</v>
      </c>
      <c r="V220" s="399">
        <f t="shared" ca="1" si="107"/>
        <v>13.893566189586064</v>
      </c>
      <c r="W220" s="399">
        <f t="shared" ca="1" si="107"/>
        <v>12.151796886895568</v>
      </c>
      <c r="X220" s="399">
        <f t="shared" ca="1" si="107"/>
        <v>25.615754598597018</v>
      </c>
      <c r="Y220" s="399">
        <f t="shared" ca="1" si="107"/>
        <v>31.278944149340365</v>
      </c>
      <c r="Z220" s="399">
        <f t="shared" ca="1" si="107"/>
        <v>46.092250070163168</v>
      </c>
      <c r="AA220" s="399">
        <f t="shared" ca="1" si="107"/>
        <v>54.8484376173923</v>
      </c>
      <c r="AB220" s="399">
        <f t="shared" ca="1" si="107"/>
        <v>57.627574515464971</v>
      </c>
      <c r="AC220" s="399">
        <f t="shared" ca="1" si="107"/>
        <v>47.25564456597774</v>
      </c>
      <c r="AD220" s="399">
        <f t="shared" ca="1" si="107"/>
        <v>48.397478046627086</v>
      </c>
      <c r="AE220" s="399">
        <f t="shared" ca="1" si="107"/>
        <v>51.825158925739736</v>
      </c>
      <c r="AF220" s="399">
        <f t="shared" ca="1" si="107"/>
        <v>55.932412931121902</v>
      </c>
      <c r="AG220" s="399">
        <f t="shared" ca="1" si="107"/>
        <v>59.946302157796964</v>
      </c>
      <c r="AH220" s="171"/>
    </row>
    <row r="221" spans="3:34">
      <c r="C221" s="169"/>
      <c r="D221" s="232"/>
      <c r="E221" s="232" t="s">
        <v>189</v>
      </c>
      <c r="F221" s="232"/>
      <c r="G221" s="232"/>
      <c r="H221" s="232"/>
      <c r="J221" s="399"/>
      <c r="K221" s="349"/>
      <c r="L221" s="349"/>
      <c r="M221" s="349"/>
      <c r="N221" s="349"/>
      <c r="O221" s="349">
        <f>-O213</f>
        <v>1.0529999999999999</v>
      </c>
      <c r="P221" s="349">
        <f ca="1">-P213</f>
        <v>1.4537755366170202</v>
      </c>
      <c r="Q221" s="349">
        <f ca="1">-Q213</f>
        <v>0.74177424639310197</v>
      </c>
      <c r="R221" s="349">
        <f t="shared" ref="R221:AG221" ca="1" si="108">-R213</f>
        <v>1.0853023136706181</v>
      </c>
      <c r="S221" s="349">
        <f t="shared" ca="1" si="108"/>
        <v>1.5239500485892394</v>
      </c>
      <c r="T221" s="399">
        <f t="shared" ca="1" si="108"/>
        <v>3.6217199526698316</v>
      </c>
      <c r="U221" s="399">
        <f t="shared" ca="1" si="108"/>
        <v>4.7843565043699847</v>
      </c>
      <c r="V221" s="399">
        <f t="shared" ca="1" si="108"/>
        <v>6.8393795471712124</v>
      </c>
      <c r="W221" s="399">
        <f t="shared" ca="1" si="108"/>
        <v>10.264963187196049</v>
      </c>
      <c r="X221" s="399">
        <f t="shared" ca="1" si="108"/>
        <v>7.7999972391406835</v>
      </c>
      <c r="Y221" s="399">
        <f t="shared" ca="1" si="108"/>
        <v>8.2696999034448631</v>
      </c>
      <c r="Z221" s="399">
        <f t="shared" ca="1" si="108"/>
        <v>1.774160104313447</v>
      </c>
      <c r="AA221" s="399">
        <f t="shared" ca="1" si="108"/>
        <v>0.65184560667700531</v>
      </c>
      <c r="AB221" s="399">
        <f t="shared" ca="1" si="108"/>
        <v>7.2701085893847592</v>
      </c>
      <c r="AC221" s="399">
        <f t="shared" ca="1" si="108"/>
        <v>7.1357593624073559</v>
      </c>
      <c r="AD221" s="399">
        <f t="shared" ca="1" si="108"/>
        <v>11.206490350127893</v>
      </c>
      <c r="AE221" s="399">
        <f t="shared" ca="1" si="108"/>
        <v>12.273392393588928</v>
      </c>
      <c r="AF221" s="399">
        <f t="shared" ca="1" si="108"/>
        <v>12.82069288403696</v>
      </c>
      <c r="AG221" s="399">
        <f t="shared" ca="1" si="108"/>
        <v>13.876926540301927</v>
      </c>
      <c r="AH221" s="171"/>
    </row>
    <row r="222" spans="3:34">
      <c r="C222" s="169"/>
      <c r="D222" s="232"/>
      <c r="E222" s="232" t="s">
        <v>190</v>
      </c>
      <c r="F222" s="232"/>
      <c r="G222" s="232"/>
      <c r="H222" s="232"/>
      <c r="J222" s="399"/>
      <c r="K222" s="349"/>
      <c r="L222" s="349"/>
      <c r="M222" s="349"/>
      <c r="N222" s="349"/>
      <c r="O222" s="349">
        <f>-O212</f>
        <v>5.4179999999999999E-2</v>
      </c>
      <c r="P222" s="349">
        <f ca="1">-P212</f>
        <v>-1.2413000000000007E-2</v>
      </c>
      <c r="Q222" s="349">
        <f ca="1">-Q212</f>
        <v>0.16191050000000001</v>
      </c>
      <c r="R222" s="349">
        <f t="shared" ref="R222:AG222" ca="1" si="109">-R212</f>
        <v>5.9333999999999991E-2</v>
      </c>
      <c r="S222" s="349">
        <f t="shared" ca="1" si="109"/>
        <v>4.6545999999999997E-2</v>
      </c>
      <c r="T222" s="399">
        <f t="shared" ca="1" si="109"/>
        <v>-1.0991500000000001E-2</v>
      </c>
      <c r="U222" s="399">
        <f t="shared" ca="1" si="109"/>
        <v>-5.0788E-2</v>
      </c>
      <c r="V222" s="399">
        <f t="shared" ca="1" si="109"/>
        <v>-1.5588999999999999E-2</v>
      </c>
      <c r="W222" s="399">
        <f t="shared" ca="1" si="109"/>
        <v>-2.50435E-2</v>
      </c>
      <c r="X222" s="399">
        <f t="shared" ca="1" si="109"/>
        <v>-2.2266141E-2</v>
      </c>
      <c r="Y222" s="399">
        <f t="shared" ca="1" si="109"/>
        <v>-2.5493251183500001E-2</v>
      </c>
      <c r="Z222" s="399">
        <f t="shared" ca="1" si="109"/>
        <v>-3.3026833426732502E-2</v>
      </c>
      <c r="AA222" s="399">
        <f t="shared" ca="1" si="109"/>
        <v>-3.0017357538964375E-2</v>
      </c>
      <c r="AB222" s="399">
        <f t="shared" ca="1" si="109"/>
        <v>-2.4963378221982274E-2</v>
      </c>
      <c r="AC222" s="399">
        <f t="shared" ca="1" si="109"/>
        <v>-3.1586006478876771E-2</v>
      </c>
      <c r="AD222" s="399">
        <f t="shared" ca="1" si="109"/>
        <v>-1.7756689622987046E-2</v>
      </c>
      <c r="AE222" s="399">
        <f t="shared" ca="1" si="109"/>
        <v>-3.6466893879904289E-2</v>
      </c>
      <c r="AF222" s="399">
        <f t="shared" ca="1" si="109"/>
        <v>-3.7920051636588924E-2</v>
      </c>
      <c r="AG222" s="399">
        <f t="shared" ca="1" si="109"/>
        <v>-1.5779575986393859E-3</v>
      </c>
      <c r="AH222" s="171"/>
    </row>
    <row r="223" spans="3:34">
      <c r="C223" s="169"/>
      <c r="D223" s="232"/>
      <c r="E223" s="232" t="s">
        <v>191</v>
      </c>
      <c r="F223" s="232"/>
      <c r="G223" s="232"/>
      <c r="J223" s="399"/>
      <c r="K223" s="349"/>
      <c r="L223" s="349"/>
      <c r="M223" s="349"/>
      <c r="N223" s="349"/>
      <c r="O223" s="349">
        <f>+O221+O222</f>
        <v>1.1071799999999998</v>
      </c>
      <c r="P223" s="349">
        <f ca="1">+P221+P222</f>
        <v>1.4413625366170202</v>
      </c>
      <c r="Q223" s="349">
        <f ca="1">+Q221+Q222</f>
        <v>0.90368474639310192</v>
      </c>
      <c r="R223" s="349">
        <f t="shared" ref="R223:W223" ca="1" si="110">+R221+R222</f>
        <v>1.1446363136706181</v>
      </c>
      <c r="S223" s="349">
        <f t="shared" ca="1" si="110"/>
        <v>1.5704960485892394</v>
      </c>
      <c r="T223" s="399">
        <f t="shared" ca="1" si="110"/>
        <v>3.6107284526698318</v>
      </c>
      <c r="U223" s="399">
        <f t="shared" ca="1" si="110"/>
        <v>4.7335685043699849</v>
      </c>
      <c r="V223" s="399">
        <f t="shared" ca="1" si="110"/>
        <v>6.8237905471712121</v>
      </c>
      <c r="W223" s="399">
        <f t="shared" ca="1" si="110"/>
        <v>10.239919687196048</v>
      </c>
      <c r="X223" s="399">
        <f t="shared" ref="X223:AG223" ca="1" si="111">+X221+X222</f>
        <v>7.7777310981406833</v>
      </c>
      <c r="Y223" s="399">
        <f t="shared" ca="1" si="111"/>
        <v>8.2442066522613633</v>
      </c>
      <c r="Z223" s="399">
        <f t="shared" ca="1" si="111"/>
        <v>1.7411332708867144</v>
      </c>
      <c r="AA223" s="399">
        <f t="shared" ca="1" si="111"/>
        <v>0.62182824913804091</v>
      </c>
      <c r="AB223" s="399">
        <f t="shared" ca="1" si="111"/>
        <v>7.245145211162777</v>
      </c>
      <c r="AC223" s="399">
        <f t="shared" ca="1" si="111"/>
        <v>7.104173355928479</v>
      </c>
      <c r="AD223" s="399">
        <f t="shared" ca="1" si="111"/>
        <v>11.188733660504907</v>
      </c>
      <c r="AE223" s="399">
        <f t="shared" ca="1" si="111"/>
        <v>12.236925499709024</v>
      </c>
      <c r="AF223" s="399">
        <f t="shared" ca="1" si="111"/>
        <v>12.782772832400372</v>
      </c>
      <c r="AG223" s="399">
        <f t="shared" ca="1" si="111"/>
        <v>13.875348582703287</v>
      </c>
      <c r="AH223" s="171"/>
    </row>
    <row r="224" spans="3:34">
      <c r="C224" s="169"/>
      <c r="D224" s="232"/>
      <c r="E224" s="232"/>
      <c r="F224" s="232"/>
      <c r="G224" s="232"/>
      <c r="J224" s="399"/>
      <c r="K224" s="349"/>
      <c r="L224" s="349"/>
      <c r="M224" s="349"/>
      <c r="N224" s="349"/>
      <c r="O224" s="349"/>
      <c r="P224" s="349"/>
      <c r="Q224" s="349"/>
      <c r="R224" s="349"/>
      <c r="S224" s="349"/>
      <c r="T224" s="399"/>
      <c r="U224" s="399"/>
      <c r="V224" s="399"/>
      <c r="W224" s="399"/>
      <c r="X224" s="399"/>
      <c r="Y224" s="399"/>
      <c r="Z224" s="399"/>
      <c r="AA224" s="399"/>
      <c r="AB224" s="399"/>
      <c r="AC224" s="399"/>
      <c r="AD224" s="399"/>
      <c r="AE224" s="399"/>
      <c r="AF224" s="399"/>
      <c r="AG224" s="399"/>
      <c r="AH224" s="171"/>
    </row>
    <row r="225" spans="3:34">
      <c r="C225" s="169"/>
      <c r="D225" s="931"/>
      <c r="E225" s="936"/>
      <c r="F225" s="936"/>
      <c r="G225" s="936"/>
      <c r="H225" s="2034" t="s">
        <v>611</v>
      </c>
      <c r="I225" s="476"/>
      <c r="J225" s="822"/>
      <c r="K225" s="401"/>
      <c r="L225" s="401"/>
      <c r="M225" s="401"/>
      <c r="N225" s="401"/>
      <c r="O225" s="1719">
        <f ca="1">+IF(ISERROR(SUM(O220:O222)/O223),0,SUM(O220:O222)/O223)</f>
        <v>14.45123923515869</v>
      </c>
      <c r="P225" s="888">
        <f ca="1">+IF(ISERROR(SUM(P220:P222)/P223),0,SUM(P220:P222)/P223)</f>
        <v>17.171183685523058</v>
      </c>
      <c r="Q225" s="888">
        <f ca="1">+IF(ISERROR(SUM(Q220:Q222)/Q223),0,SUM(Q220:Q222)/Q223)</f>
        <v>18.647434693378653</v>
      </c>
      <c r="R225" s="888">
        <f t="shared" ref="R225:W225" ca="1" si="112">+IF(ISERROR(SUM(R220:R222)/R223),0,SUM(R220:R222)/R223)</f>
        <v>14.434358209998218</v>
      </c>
      <c r="S225" s="932">
        <f t="shared" ca="1" si="112"/>
        <v>8.4065275590933926</v>
      </c>
      <c r="T225" s="932">
        <f t="shared" ca="1" si="112"/>
        <v>3.197799901696575</v>
      </c>
      <c r="U225" s="932">
        <f t="shared" ca="1" si="112"/>
        <v>3.5206751401817842</v>
      </c>
      <c r="V225" s="932">
        <f t="shared" ca="1" si="112"/>
        <v>3.036048160262717</v>
      </c>
      <c r="W225" s="932">
        <f t="shared" ca="1" si="112"/>
        <v>2.1867082221445666</v>
      </c>
      <c r="X225" s="933">
        <f t="shared" ref="X225:AG225" ca="1" si="113">+IF(ISERROR(SUM(X220:X222)/X223),0,SUM(X220:X222)/X223)</f>
        <v>4.2934739290126176</v>
      </c>
      <c r="Y225" s="932">
        <f t="shared" ca="1" si="113"/>
        <v>4.7940514434776613</v>
      </c>
      <c r="Z225" s="932">
        <f t="shared" ca="1" si="113"/>
        <v>27.472557179204074</v>
      </c>
      <c r="AA225" s="932">
        <f t="shared" ca="1" si="113"/>
        <v>89.205123671080415</v>
      </c>
      <c r="AB225" s="934">
        <f t="shared" ca="1" si="113"/>
        <v>8.953957144527168</v>
      </c>
      <c r="AC225" s="932">
        <f t="shared" ca="1" si="113"/>
        <v>7.6518146726448615</v>
      </c>
      <c r="AD225" s="932">
        <f t="shared" ca="1" si="113"/>
        <v>5.3255545725844984</v>
      </c>
      <c r="AE225" s="932">
        <f t="shared" ca="1" si="113"/>
        <v>5.2351454151593932</v>
      </c>
      <c r="AF225" s="932">
        <f t="shared" ca="1" si="113"/>
        <v>5.3756087716235204</v>
      </c>
      <c r="AG225" s="932">
        <f t="shared" ca="1" si="113"/>
        <v>5.3203456691909521</v>
      </c>
      <c r="AH225" s="935"/>
    </row>
    <row r="226" spans="3:34">
      <c r="C226" s="169"/>
      <c r="D226" s="232"/>
      <c r="E226" s="232"/>
      <c r="F226" s="232"/>
      <c r="G226" s="232"/>
      <c r="H226" s="1402"/>
      <c r="J226" s="399"/>
      <c r="K226" s="349"/>
      <c r="L226" s="349"/>
      <c r="M226" s="349"/>
      <c r="N226" s="349"/>
      <c r="O226" s="1957">
        <f ca="1">IF(O225&gt;1.5,0,1)</f>
        <v>0</v>
      </c>
      <c r="P226" s="1957">
        <f t="shared" ref="P226:AG226" ca="1" si="114">IF(P225&gt;1.5,0,1)</f>
        <v>0</v>
      </c>
      <c r="Q226" s="1957">
        <f t="shared" ca="1" si="114"/>
        <v>0</v>
      </c>
      <c r="R226" s="1957">
        <f t="shared" ca="1" si="114"/>
        <v>0</v>
      </c>
      <c r="S226" s="1957">
        <f t="shared" ca="1" si="114"/>
        <v>0</v>
      </c>
      <c r="T226" s="1957">
        <f t="shared" ca="1" si="114"/>
        <v>0</v>
      </c>
      <c r="U226" s="1957">
        <f t="shared" ca="1" si="114"/>
        <v>0</v>
      </c>
      <c r="V226" s="1957">
        <f t="shared" ca="1" si="114"/>
        <v>0</v>
      </c>
      <c r="W226" s="1957">
        <f t="shared" ca="1" si="114"/>
        <v>0</v>
      </c>
      <c r="X226" s="1957">
        <f t="shared" ca="1" si="114"/>
        <v>0</v>
      </c>
      <c r="Y226" s="1957">
        <f t="shared" ca="1" si="114"/>
        <v>0</v>
      </c>
      <c r="Z226" s="1957">
        <f t="shared" ca="1" si="114"/>
        <v>0</v>
      </c>
      <c r="AA226" s="1957">
        <f t="shared" ca="1" si="114"/>
        <v>0</v>
      </c>
      <c r="AB226" s="1957">
        <f t="shared" ca="1" si="114"/>
        <v>0</v>
      </c>
      <c r="AC226" s="1957">
        <f t="shared" ca="1" si="114"/>
        <v>0</v>
      </c>
      <c r="AD226" s="1957">
        <f t="shared" ca="1" si="114"/>
        <v>0</v>
      </c>
      <c r="AE226" s="1957">
        <f t="shared" ca="1" si="114"/>
        <v>0</v>
      </c>
      <c r="AF226" s="1957">
        <f t="shared" ca="1" si="114"/>
        <v>0</v>
      </c>
      <c r="AG226" s="1957">
        <f t="shared" ca="1" si="114"/>
        <v>0</v>
      </c>
      <c r="AH226" s="171"/>
    </row>
    <row r="227" spans="3:34">
      <c r="C227" s="169"/>
      <c r="AH227" s="171"/>
    </row>
    <row r="228" spans="3:34">
      <c r="C228" s="169"/>
      <c r="D228" s="104" t="s">
        <v>612</v>
      </c>
      <c r="H228" s="1402"/>
      <c r="J228" s="399"/>
      <c r="K228" s="349"/>
      <c r="L228" s="349"/>
      <c r="M228" s="349"/>
      <c r="N228" s="349"/>
      <c r="O228" s="349"/>
      <c r="P228" s="349"/>
      <c r="Q228" s="349"/>
      <c r="R228" s="349"/>
      <c r="S228" s="349"/>
      <c r="T228" s="608"/>
      <c r="U228" s="608"/>
      <c r="V228" s="608"/>
      <c r="W228" s="608"/>
      <c r="X228" s="608"/>
      <c r="Y228" s="608"/>
      <c r="Z228" s="608"/>
      <c r="AA228" s="608"/>
      <c r="AB228" s="608"/>
      <c r="AC228" s="608"/>
      <c r="AD228" s="608"/>
      <c r="AE228" s="608"/>
      <c r="AF228" s="608"/>
      <c r="AG228" s="608"/>
      <c r="AH228" s="171"/>
    </row>
    <row r="229" spans="3:34">
      <c r="C229" s="169"/>
      <c r="E229" s="70" t="s">
        <v>192</v>
      </c>
      <c r="H229" s="1402"/>
      <c r="J229" s="399"/>
      <c r="K229" s="349"/>
      <c r="L229" s="349"/>
      <c r="M229" s="349"/>
      <c r="N229" s="349"/>
      <c r="O229" s="349">
        <f t="shared" ref="O229:AG229" ca="1" si="115">+O215</f>
        <v>14.892943056382997</v>
      </c>
      <c r="P229" s="349">
        <f t="shared" ca="1" si="115"/>
        <v>23.308538337065286</v>
      </c>
      <c r="Q229" s="349">
        <f t="shared" ca="1" si="115"/>
        <v>15.947717545374715</v>
      </c>
      <c r="R229" s="349">
        <f t="shared" ca="1" si="115"/>
        <v>15.377454258022963</v>
      </c>
      <c r="S229" s="349">
        <f t="shared" ca="1" si="115"/>
        <v>11.631922265323478</v>
      </c>
      <c r="T229" s="608">
        <f t="shared" ca="1" si="115"/>
        <v>7.9356586383307821</v>
      </c>
      <c r="U229" s="608">
        <f t="shared" ca="1" si="115"/>
        <v>11.93178845331289</v>
      </c>
      <c r="V229" s="608">
        <f t="shared" ca="1" si="115"/>
        <v>13.893566189586064</v>
      </c>
      <c r="W229" s="608">
        <f t="shared" ca="1" si="115"/>
        <v>12.151796886895568</v>
      </c>
      <c r="X229" s="608">
        <f t="shared" ca="1" si="115"/>
        <v>25.615754598597018</v>
      </c>
      <c r="Y229" s="608">
        <f t="shared" ca="1" si="115"/>
        <v>31.278944149340365</v>
      </c>
      <c r="Z229" s="608">
        <f t="shared" ca="1" si="115"/>
        <v>46.092250070163168</v>
      </c>
      <c r="AA229" s="608">
        <f t="shared" ca="1" si="115"/>
        <v>54.8484376173923</v>
      </c>
      <c r="AB229" s="608">
        <f t="shared" ca="1" si="115"/>
        <v>57.627574515464971</v>
      </c>
      <c r="AC229" s="608">
        <f t="shared" ca="1" si="115"/>
        <v>47.25564456597774</v>
      </c>
      <c r="AD229" s="608">
        <f t="shared" ca="1" si="115"/>
        <v>48.397478046627086</v>
      </c>
      <c r="AE229" s="608">
        <f t="shared" ca="1" si="115"/>
        <v>51.825158925739736</v>
      </c>
      <c r="AF229" s="608">
        <f t="shared" ca="1" si="115"/>
        <v>55.932412931121902</v>
      </c>
      <c r="AG229" s="608">
        <f t="shared" ca="1" si="115"/>
        <v>59.946302157796964</v>
      </c>
      <c r="AH229" s="171"/>
    </row>
    <row r="230" spans="3:34">
      <c r="C230" s="169"/>
      <c r="E230" s="70" t="s">
        <v>193</v>
      </c>
      <c r="H230" s="1402"/>
      <c r="J230" s="399"/>
      <c r="K230" s="349"/>
      <c r="L230" s="349"/>
      <c r="M230" s="349"/>
      <c r="N230" s="349"/>
      <c r="O230" s="349">
        <f t="shared" ref="O230:AG230" si="116">+O192</f>
        <v>23.75</v>
      </c>
      <c r="P230" s="349">
        <f t="shared" ca="1" si="116"/>
        <v>26.846258943617002</v>
      </c>
      <c r="Q230" s="349">
        <f t="shared" ca="1" si="116"/>
        <v>17.1629041065517</v>
      </c>
      <c r="R230" s="349">
        <f t="shared" ca="1" si="116"/>
        <v>24.655038561176969</v>
      </c>
      <c r="S230" s="349">
        <f t="shared" ca="1" si="116"/>
        <v>33.965834143153991</v>
      </c>
      <c r="T230" s="378">
        <f t="shared" ca="1" si="116"/>
        <v>64.628665877830528</v>
      </c>
      <c r="U230" s="378">
        <f t="shared" ca="1" si="116"/>
        <v>90.255941739499747</v>
      </c>
      <c r="V230" s="378">
        <f t="shared" ca="1" si="116"/>
        <v>119.75632578618686</v>
      </c>
      <c r="W230" s="378">
        <f t="shared" ca="1" si="116"/>
        <v>184.2327197866008</v>
      </c>
      <c r="X230" s="378">
        <f t="shared" ca="1" si="116"/>
        <v>185.54880398567809</v>
      </c>
      <c r="Y230" s="378">
        <f t="shared" ca="1" si="116"/>
        <v>214.08253107408106</v>
      </c>
      <c r="Z230" s="378">
        <f t="shared" ca="1" si="116"/>
        <v>240.70545993694071</v>
      </c>
      <c r="AA230" s="378">
        <f t="shared" ca="1" si="116"/>
        <v>241.70769725417463</v>
      </c>
      <c r="AB230" s="378">
        <f t="shared" ca="1" si="116"/>
        <v>243.51384873520357</v>
      </c>
      <c r="AC230" s="378">
        <f t="shared" ca="1" si="116"/>
        <v>268.56498100489944</v>
      </c>
      <c r="AD230" s="378">
        <f t="shared" ca="1" si="116"/>
        <v>297.1409605279735</v>
      </c>
      <c r="AE230" s="378">
        <f t="shared" ca="1" si="116"/>
        <v>323.98911291415038</v>
      </c>
      <c r="AF230" s="378">
        <f t="shared" ca="1" si="116"/>
        <v>337.60906551528103</v>
      </c>
      <c r="AG230" s="378">
        <f t="shared" ca="1" si="116"/>
        <v>364.13065647832281</v>
      </c>
      <c r="AH230" s="171"/>
    </row>
    <row r="231" spans="3:34">
      <c r="C231" s="169"/>
      <c r="E231" s="70" t="s">
        <v>194</v>
      </c>
      <c r="H231" s="1402"/>
      <c r="J231" s="399"/>
      <c r="K231" s="349"/>
      <c r="L231" s="349"/>
      <c r="M231" s="349"/>
      <c r="N231" s="349"/>
      <c r="O231" s="953"/>
      <c r="P231" s="327"/>
      <c r="Q231" s="327"/>
      <c r="R231" s="327"/>
      <c r="S231" s="327"/>
      <c r="T231" s="327"/>
      <c r="U231" s="631"/>
      <c r="V231" s="631"/>
      <c r="W231" s="632"/>
      <c r="X231" s="631"/>
      <c r="Y231" s="631"/>
      <c r="Z231" s="631"/>
      <c r="AA231" s="631"/>
      <c r="AB231" s="632"/>
      <c r="AC231" s="631"/>
      <c r="AD231" s="631"/>
      <c r="AE231" s="631"/>
      <c r="AF231" s="631"/>
      <c r="AG231" s="632"/>
      <c r="AH231" s="171"/>
    </row>
    <row r="232" spans="3:34">
      <c r="C232" s="169"/>
      <c r="E232" s="70" t="s">
        <v>195</v>
      </c>
      <c r="H232" s="1402"/>
      <c r="J232" s="399"/>
      <c r="K232" s="349"/>
      <c r="L232" s="349"/>
      <c r="M232" s="349"/>
      <c r="N232" s="349"/>
      <c r="O232" s="349">
        <f t="shared" ref="O232:AG232" si="117">-O187</f>
        <v>-0.31</v>
      </c>
      <c r="P232" s="349">
        <f t="shared" ca="1" si="117"/>
        <v>-0.4</v>
      </c>
      <c r="Q232" s="349">
        <f t="shared" ca="1" si="117"/>
        <v>-0.4</v>
      </c>
      <c r="R232" s="349">
        <f t="shared" ca="1" si="117"/>
        <v>-0.4</v>
      </c>
      <c r="S232" s="349">
        <f t="shared" ca="1" si="117"/>
        <v>-0.4</v>
      </c>
      <c r="T232" s="608">
        <f t="shared" ca="1" si="117"/>
        <v>-0.4</v>
      </c>
      <c r="U232" s="608">
        <f t="shared" ca="1" si="117"/>
        <v>-0.4</v>
      </c>
      <c r="V232" s="608">
        <f t="shared" ca="1" si="117"/>
        <v>-0.4</v>
      </c>
      <c r="W232" s="608">
        <f t="shared" ca="1" si="117"/>
        <v>-0.4</v>
      </c>
      <c r="X232" s="608">
        <f t="shared" ca="1" si="117"/>
        <v>-0.4</v>
      </c>
      <c r="Y232" s="608">
        <f t="shared" ca="1" si="117"/>
        <v>-0.4</v>
      </c>
      <c r="Z232" s="608">
        <f t="shared" ca="1" si="117"/>
        <v>-0.4</v>
      </c>
      <c r="AA232" s="608">
        <f t="shared" ca="1" si="117"/>
        <v>-0.4</v>
      </c>
      <c r="AB232" s="608">
        <f t="shared" ca="1" si="117"/>
        <v>-0.4</v>
      </c>
      <c r="AC232" s="608">
        <f t="shared" ca="1" si="117"/>
        <v>-0.4</v>
      </c>
      <c r="AD232" s="608">
        <f t="shared" ca="1" si="117"/>
        <v>-0.4</v>
      </c>
      <c r="AE232" s="608">
        <f t="shared" ca="1" si="117"/>
        <v>-0.4</v>
      </c>
      <c r="AF232" s="608">
        <f t="shared" ca="1" si="117"/>
        <v>-0.4</v>
      </c>
      <c r="AG232" s="608">
        <f t="shared" ca="1" si="117"/>
        <v>-0.4</v>
      </c>
      <c r="AH232" s="171"/>
    </row>
    <row r="233" spans="3:34">
      <c r="C233" s="169"/>
      <c r="H233" s="1402"/>
      <c r="J233" s="399"/>
      <c r="K233" s="349"/>
      <c r="L233" s="349"/>
      <c r="M233" s="349"/>
      <c r="N233" s="349"/>
      <c r="O233" s="349"/>
      <c r="P233" s="349"/>
      <c r="Q233" s="349"/>
      <c r="R233" s="349"/>
      <c r="S233" s="349"/>
      <c r="T233" s="608"/>
      <c r="U233" s="608"/>
      <c r="V233" s="608"/>
      <c r="W233" s="608"/>
      <c r="X233" s="608"/>
      <c r="Y233" s="608"/>
      <c r="Z233" s="608"/>
      <c r="AA233" s="608"/>
      <c r="AB233" s="608"/>
      <c r="AC233" s="608"/>
      <c r="AD233" s="608"/>
      <c r="AE233" s="608"/>
      <c r="AF233" s="608"/>
      <c r="AG233" s="608"/>
      <c r="AH233" s="171"/>
    </row>
    <row r="234" spans="3:34">
      <c r="C234" s="169"/>
      <c r="D234" s="939"/>
      <c r="E234" s="940"/>
      <c r="F234" s="940"/>
      <c r="G234" s="940"/>
      <c r="H234" s="2034" t="s">
        <v>1110</v>
      </c>
      <c r="I234" s="476"/>
      <c r="J234" s="822"/>
      <c r="K234" s="401"/>
      <c r="L234" s="401"/>
      <c r="M234" s="401"/>
      <c r="N234" s="401"/>
      <c r="O234" s="1720">
        <f ca="1">+IF(ISERROR(O229/SUM(O230:O232)),0,O229/SUM(O230:O232))</f>
        <v>0.63536446486275577</v>
      </c>
      <c r="P234" s="941">
        <f ca="1">+IF(ISERROR(P229/SUM(P230:P232)),0,P229/SUM(P230:P232))</f>
        <v>0.88135484065094849</v>
      </c>
      <c r="Q234" s="941">
        <f ca="1">+IF(ISERROR(Q229/SUM(Q230:Q232)),0,Q229/SUM(Q230:Q232))</f>
        <v>0.95136961018238031</v>
      </c>
      <c r="R234" s="941">
        <f t="shared" ref="R234:AG234" ca="1" si="118">+IF(ISERROR(R229/SUM(R230:R232)),0,R229/SUM(R230:R232))</f>
        <v>0.63399009732503087</v>
      </c>
      <c r="S234" s="942">
        <f t="shared" ca="1" si="118"/>
        <v>0.34654053927916156</v>
      </c>
      <c r="T234" s="942">
        <f t="shared" ca="1" si="118"/>
        <v>0.12355322237932226</v>
      </c>
      <c r="U234" s="942">
        <f t="shared" ca="1" si="118"/>
        <v>0.13278797397621397</v>
      </c>
      <c r="V234" s="942">
        <f t="shared" ca="1" si="118"/>
        <v>0.11640410424894271</v>
      </c>
      <c r="W234" s="942">
        <f t="shared" ca="1" si="118"/>
        <v>6.6102470229466123E-2</v>
      </c>
      <c r="X234" s="943">
        <f t="shared" ca="1" si="118"/>
        <v>0.13835225530583761</v>
      </c>
      <c r="Y234" s="942">
        <f t="shared" ca="1" si="118"/>
        <v>0.14638044575808748</v>
      </c>
      <c r="Z234" s="942">
        <f t="shared" ca="1" si="118"/>
        <v>0.19180691975229516</v>
      </c>
      <c r="AA234" s="942">
        <f t="shared" ca="1" si="118"/>
        <v>0.22729667657314409</v>
      </c>
      <c r="AB234" s="944">
        <f t="shared" ca="1" si="118"/>
        <v>0.23703945626821191</v>
      </c>
      <c r="AC234" s="942">
        <f t="shared" ca="1" si="118"/>
        <v>0.17621855168745679</v>
      </c>
      <c r="AD234" s="942">
        <f t="shared" ca="1" si="118"/>
        <v>0.16309672234165562</v>
      </c>
      <c r="AE234" s="942">
        <f t="shared" ca="1" si="118"/>
        <v>0.16015730090242306</v>
      </c>
      <c r="AF234" s="942">
        <f t="shared" ca="1" si="118"/>
        <v>0.16586865138294229</v>
      </c>
      <c r="AG234" s="942">
        <f t="shared" ca="1" si="118"/>
        <v>0.1648095949299494</v>
      </c>
      <c r="AH234" s="935"/>
    </row>
    <row r="235" spans="3:34">
      <c r="C235" s="169"/>
      <c r="O235" s="1957">
        <f ca="1">IF(O234&gt;0.06,0,1)</f>
        <v>0</v>
      </c>
      <c r="P235" s="1957">
        <f t="shared" ref="P235:AG235" ca="1" si="119">IF(P234&gt;0.06,0,1)</f>
        <v>0</v>
      </c>
      <c r="Q235" s="1957">
        <f t="shared" ca="1" si="119"/>
        <v>0</v>
      </c>
      <c r="R235" s="1957">
        <f t="shared" ca="1" si="119"/>
        <v>0</v>
      </c>
      <c r="S235" s="1957">
        <f t="shared" ca="1" si="119"/>
        <v>0</v>
      </c>
      <c r="T235" s="1957">
        <f t="shared" ca="1" si="119"/>
        <v>0</v>
      </c>
      <c r="U235" s="1957">
        <f t="shared" ca="1" si="119"/>
        <v>0</v>
      </c>
      <c r="V235" s="1957">
        <f t="shared" ca="1" si="119"/>
        <v>0</v>
      </c>
      <c r="W235" s="1957">
        <f t="shared" ca="1" si="119"/>
        <v>0</v>
      </c>
      <c r="X235" s="1957">
        <f t="shared" ca="1" si="119"/>
        <v>0</v>
      </c>
      <c r="Y235" s="1957">
        <f t="shared" ca="1" si="119"/>
        <v>0</v>
      </c>
      <c r="Z235" s="1957">
        <f t="shared" ca="1" si="119"/>
        <v>0</v>
      </c>
      <c r="AA235" s="1957">
        <f t="shared" ca="1" si="119"/>
        <v>0</v>
      </c>
      <c r="AB235" s="1957">
        <f t="shared" ca="1" si="119"/>
        <v>0</v>
      </c>
      <c r="AC235" s="1957">
        <f t="shared" ca="1" si="119"/>
        <v>0</v>
      </c>
      <c r="AD235" s="1957">
        <f t="shared" ca="1" si="119"/>
        <v>0</v>
      </c>
      <c r="AE235" s="1957">
        <f t="shared" ca="1" si="119"/>
        <v>0</v>
      </c>
      <c r="AF235" s="1957">
        <f t="shared" ca="1" si="119"/>
        <v>0</v>
      </c>
      <c r="AG235" s="1957">
        <f t="shared" ca="1" si="119"/>
        <v>0</v>
      </c>
      <c r="AH235" s="171"/>
    </row>
    <row r="236" spans="3:34">
      <c r="C236" s="169"/>
      <c r="AH236" s="171"/>
    </row>
    <row r="237" spans="3:34">
      <c r="C237" s="169"/>
      <c r="D237" s="879" t="s">
        <v>608</v>
      </c>
      <c r="H237" s="1402"/>
      <c r="J237" s="608"/>
      <c r="K237" s="349"/>
      <c r="L237" s="349"/>
      <c r="M237" s="349"/>
      <c r="N237" s="349"/>
      <c r="O237" s="349"/>
      <c r="P237" s="349"/>
      <c r="Q237" s="349"/>
      <c r="R237" s="349"/>
      <c r="S237" s="349"/>
      <c r="T237" s="608"/>
      <c r="U237" s="608"/>
      <c r="V237" s="608"/>
      <c r="W237" s="608"/>
      <c r="X237" s="608"/>
      <c r="Y237" s="608"/>
      <c r="Z237" s="608"/>
      <c r="AA237" s="608"/>
      <c r="AB237" s="608"/>
      <c r="AC237" s="608"/>
      <c r="AD237" s="608"/>
      <c r="AE237" s="608"/>
      <c r="AF237" s="608"/>
      <c r="AG237" s="608"/>
      <c r="AH237" s="171"/>
    </row>
    <row r="238" spans="3:34">
      <c r="C238" s="169"/>
      <c r="H238" s="1402"/>
      <c r="J238" s="608"/>
      <c r="K238" s="349"/>
      <c r="L238" s="349"/>
      <c r="M238" s="349"/>
      <c r="N238" s="349"/>
      <c r="O238" s="349"/>
      <c r="P238" s="349"/>
      <c r="Q238" s="349"/>
      <c r="R238" s="349"/>
      <c r="S238" s="349"/>
      <c r="T238" s="608"/>
      <c r="U238" s="608"/>
      <c r="V238" s="608"/>
      <c r="W238" s="608"/>
      <c r="X238" s="608"/>
      <c r="Y238" s="608"/>
      <c r="Z238" s="608"/>
      <c r="AA238" s="608"/>
      <c r="AB238" s="608"/>
      <c r="AC238" s="608"/>
      <c r="AD238" s="608"/>
      <c r="AE238" s="608"/>
      <c r="AF238" s="608"/>
      <c r="AG238" s="608"/>
      <c r="AH238" s="171"/>
    </row>
    <row r="239" spans="3:34">
      <c r="C239" s="192"/>
      <c r="D239" s="104" t="s">
        <v>613</v>
      </c>
      <c r="H239" s="1402"/>
      <c r="J239" s="399"/>
      <c r="K239" s="349"/>
      <c r="L239" s="349"/>
      <c r="M239" s="349"/>
      <c r="N239" s="349"/>
      <c r="O239" s="349"/>
      <c r="P239" s="349"/>
      <c r="Q239" s="349"/>
      <c r="R239" s="349"/>
      <c r="S239" s="349"/>
      <c r="T239" s="608"/>
      <c r="U239" s="608"/>
      <c r="V239" s="608"/>
      <c r="W239" s="608"/>
      <c r="X239" s="608"/>
      <c r="Y239" s="608"/>
      <c r="Z239" s="608"/>
      <c r="AA239" s="608"/>
      <c r="AB239" s="608"/>
      <c r="AC239" s="608"/>
      <c r="AD239" s="608"/>
      <c r="AE239" s="608"/>
      <c r="AF239" s="608"/>
      <c r="AG239" s="608"/>
      <c r="AH239" s="171"/>
    </row>
    <row r="240" spans="3:34">
      <c r="C240" s="169"/>
      <c r="E240" s="70" t="s">
        <v>196</v>
      </c>
      <c r="H240" s="1402"/>
      <c r="J240" s="399"/>
      <c r="K240" s="349"/>
      <c r="L240" s="349"/>
      <c r="M240" s="349"/>
      <c r="N240" s="349"/>
      <c r="O240" s="349">
        <f t="shared" ref="O240:AG240" si="120">+O192</f>
        <v>23.75</v>
      </c>
      <c r="P240" s="349">
        <f t="shared" ca="1" si="120"/>
        <v>26.846258943617002</v>
      </c>
      <c r="Q240" s="349">
        <f t="shared" ca="1" si="120"/>
        <v>17.1629041065517</v>
      </c>
      <c r="R240" s="349">
        <f t="shared" ca="1" si="120"/>
        <v>24.655038561176969</v>
      </c>
      <c r="S240" s="349">
        <f t="shared" ca="1" si="120"/>
        <v>33.965834143153991</v>
      </c>
      <c r="T240" s="608">
        <f t="shared" ca="1" si="120"/>
        <v>64.628665877830528</v>
      </c>
      <c r="U240" s="608">
        <f t="shared" ca="1" si="120"/>
        <v>90.255941739499747</v>
      </c>
      <c r="V240" s="608">
        <f t="shared" ca="1" si="120"/>
        <v>119.75632578618686</v>
      </c>
      <c r="W240" s="608">
        <f t="shared" ca="1" si="120"/>
        <v>184.2327197866008</v>
      </c>
      <c r="X240" s="608">
        <f t="shared" ca="1" si="120"/>
        <v>185.54880398567809</v>
      </c>
      <c r="Y240" s="608">
        <f t="shared" ca="1" si="120"/>
        <v>214.08253107408106</v>
      </c>
      <c r="Z240" s="608">
        <f t="shared" ca="1" si="120"/>
        <v>240.70545993694071</v>
      </c>
      <c r="AA240" s="608">
        <f t="shared" ca="1" si="120"/>
        <v>241.70769725417463</v>
      </c>
      <c r="AB240" s="608">
        <f t="shared" ca="1" si="120"/>
        <v>243.51384873520357</v>
      </c>
      <c r="AC240" s="608">
        <f t="shared" ca="1" si="120"/>
        <v>268.56498100489944</v>
      </c>
      <c r="AD240" s="608">
        <f t="shared" ca="1" si="120"/>
        <v>297.1409605279735</v>
      </c>
      <c r="AE240" s="608">
        <f t="shared" ca="1" si="120"/>
        <v>323.98911291415038</v>
      </c>
      <c r="AF240" s="608">
        <f t="shared" ca="1" si="120"/>
        <v>337.60906551528103</v>
      </c>
      <c r="AG240" s="608">
        <f t="shared" ca="1" si="120"/>
        <v>364.13065647832281</v>
      </c>
      <c r="AH240" s="171"/>
    </row>
    <row r="241" spans="3:34">
      <c r="C241" s="169"/>
      <c r="E241" s="70" t="s">
        <v>197</v>
      </c>
      <c r="H241" s="1402"/>
      <c r="J241" s="399"/>
      <c r="K241" s="349"/>
      <c r="L241" s="349"/>
      <c r="M241" s="349"/>
      <c r="N241" s="349"/>
      <c r="O241" s="349">
        <f t="shared" ref="O241:AG241" si="121">-O187</f>
        <v>-0.31</v>
      </c>
      <c r="P241" s="349">
        <f t="shared" ca="1" si="121"/>
        <v>-0.4</v>
      </c>
      <c r="Q241" s="349">
        <f t="shared" ca="1" si="121"/>
        <v>-0.4</v>
      </c>
      <c r="R241" s="349">
        <f t="shared" ca="1" si="121"/>
        <v>-0.4</v>
      </c>
      <c r="S241" s="349">
        <f t="shared" ca="1" si="121"/>
        <v>-0.4</v>
      </c>
      <c r="T241" s="608">
        <f t="shared" ca="1" si="121"/>
        <v>-0.4</v>
      </c>
      <c r="U241" s="608">
        <f t="shared" ca="1" si="121"/>
        <v>-0.4</v>
      </c>
      <c r="V241" s="608">
        <f t="shared" ca="1" si="121"/>
        <v>-0.4</v>
      </c>
      <c r="W241" s="608">
        <f t="shared" ca="1" si="121"/>
        <v>-0.4</v>
      </c>
      <c r="X241" s="608">
        <f t="shared" ca="1" si="121"/>
        <v>-0.4</v>
      </c>
      <c r="Y241" s="608">
        <f t="shared" ca="1" si="121"/>
        <v>-0.4</v>
      </c>
      <c r="Z241" s="608">
        <f t="shared" ca="1" si="121"/>
        <v>-0.4</v>
      </c>
      <c r="AA241" s="608">
        <f t="shared" ca="1" si="121"/>
        <v>-0.4</v>
      </c>
      <c r="AB241" s="608">
        <f t="shared" ca="1" si="121"/>
        <v>-0.4</v>
      </c>
      <c r="AC241" s="608">
        <f t="shared" ca="1" si="121"/>
        <v>-0.4</v>
      </c>
      <c r="AD241" s="608">
        <f t="shared" ca="1" si="121"/>
        <v>-0.4</v>
      </c>
      <c r="AE241" s="608">
        <f t="shared" ca="1" si="121"/>
        <v>-0.4</v>
      </c>
      <c r="AF241" s="608">
        <f t="shared" ca="1" si="121"/>
        <v>-0.4</v>
      </c>
      <c r="AG241" s="608">
        <f t="shared" ca="1" si="121"/>
        <v>-0.4</v>
      </c>
      <c r="AH241" s="171"/>
    </row>
    <row r="242" spans="3:34">
      <c r="C242" s="169"/>
      <c r="E242" s="70" t="s">
        <v>198</v>
      </c>
      <c r="H242" s="1402"/>
      <c r="J242" s="399"/>
      <c r="K242" s="349"/>
      <c r="L242" s="349"/>
      <c r="M242" s="349"/>
      <c r="N242" s="349"/>
      <c r="O242" s="349">
        <f>+SUM('Rev&amp;RAV_FO'!O45,'Rev&amp;RAV_FO'!O62)*'Rev&amp;RAV_FO'!O85</f>
        <v>267.59961764421723</v>
      </c>
      <c r="P242" s="349">
        <f>+SUM('Rev&amp;RAV_FO'!P45,'Rev&amp;RAV_FO'!P62)*'Rev&amp;RAV_FO'!P85</f>
        <v>276.65325291608366</v>
      </c>
      <c r="Q242" s="349">
        <f>+SUM('Rev&amp;RAV_FO'!Q45,'Rev&amp;RAV_FO'!Q62)*'Rev&amp;RAV_FO'!Q85</f>
        <v>286.71164286193653</v>
      </c>
      <c r="R242" s="349">
        <f>+SUM('Rev&amp;RAV_FO'!R45,'Rev&amp;RAV_FO'!R62)*'Rev&amp;RAV_FO'!R85</f>
        <v>304.07967144308986</v>
      </c>
      <c r="S242" s="349">
        <f>+SUM('Rev&amp;RAV_FO'!S45,'Rev&amp;RAV_FO'!S62)*'Rev&amp;RAV_FO'!S85</f>
        <v>327.23562975740856</v>
      </c>
      <c r="T242" s="608">
        <f>+SUM('Rev&amp;RAV_FO'!T45,'Rev&amp;RAV_FO'!T62)*'Rev&amp;RAV_FO'!T85</f>
        <v>367.87779206799928</v>
      </c>
      <c r="U242" s="608">
        <f>+SUM('Rev&amp;RAV_FO'!U45,'Rev&amp;RAV_FO'!U62)*'Rev&amp;RAV_FO'!U85</f>
        <v>415.66254830273567</v>
      </c>
      <c r="V242" s="608">
        <f>+SUM('Rev&amp;RAV_FO'!V45,'Rev&amp;RAV_FO'!V62)*'Rev&amp;RAV_FO'!V85</f>
        <v>473.90021003902245</v>
      </c>
      <c r="W242" s="608">
        <f>+SUM('Rev&amp;RAV_FO'!W45,'Rev&amp;RAV_FO'!W62)*'Rev&amp;RAV_FO'!W85</f>
        <v>514.48689209302154</v>
      </c>
      <c r="X242" s="608">
        <f ca="1">+SUM('Rev&amp;RAV_FO'!X45,'Rev&amp;RAV_FO'!X62)*'Rev&amp;RAV_FO'!X85</f>
        <v>542.0788277033364</v>
      </c>
      <c r="Y242" s="608">
        <f ca="1">+SUM('Rev&amp;RAV_FO'!Y45,'Rev&amp;RAV_FO'!Y62)*'Rev&amp;RAV_FO'!Y85</f>
        <v>588.18318764089963</v>
      </c>
      <c r="Z242" s="608">
        <f ca="1">+SUM('Rev&amp;RAV_FO'!Z45,'Rev&amp;RAV_FO'!Z62)*'Rev&amp;RAV_FO'!Z85</f>
        <v>629.71613450745224</v>
      </c>
      <c r="AA242" s="608">
        <f ca="1">+SUM('Rev&amp;RAV_FO'!AA45,'Rev&amp;RAV_FO'!AA62)*'Rev&amp;RAV_FO'!AA85</f>
        <v>669.25798120390425</v>
      </c>
      <c r="AB242" s="608">
        <f ca="1">+SUM('Rev&amp;RAV_FO'!AB45,'Rev&amp;RAV_FO'!AB62)*'Rev&amp;RAV_FO'!AB85</f>
        <v>725.1461437817544</v>
      </c>
      <c r="AC242" s="608">
        <f ca="1">+SUM('Rev&amp;RAV_FO'!AC45,'Rev&amp;RAV_FO'!AC62)*'Rev&amp;RAV_FO'!AC85</f>
        <v>789.10390543152243</v>
      </c>
      <c r="AD242" s="608">
        <f ca="1">+SUM('Rev&amp;RAV_FO'!AD45,'Rev&amp;RAV_FO'!AD62)*'Rev&amp;RAV_FO'!AD85</f>
        <v>847.62545069981411</v>
      </c>
      <c r="AE242" s="608">
        <f ca="1">+SUM('Rev&amp;RAV_FO'!AE45,'Rev&amp;RAV_FO'!AE62)*'Rev&amp;RAV_FO'!AE85</f>
        <v>899.58701921268789</v>
      </c>
      <c r="AF242" s="608">
        <f ca="1">+SUM('Rev&amp;RAV_FO'!AF45,'Rev&amp;RAV_FO'!AF62)*'Rev&amp;RAV_FO'!AF85</f>
        <v>953.65506555670834</v>
      </c>
      <c r="AG242" s="608">
        <f ca="1">+SUM('Rev&amp;RAV_FO'!AG45,'Rev&amp;RAV_FO'!AG62)*'Rev&amp;RAV_FO'!AG85</f>
        <v>1009.4833413377297</v>
      </c>
      <c r="AH242" s="171"/>
    </row>
    <row r="243" spans="3:34">
      <c r="C243" s="169"/>
      <c r="H243" s="1402"/>
      <c r="J243" s="399"/>
      <c r="K243" s="349"/>
      <c r="L243" s="349"/>
      <c r="M243" s="349"/>
      <c r="N243" s="349"/>
      <c r="O243" s="349"/>
      <c r="P243" s="349"/>
      <c r="Q243" s="349"/>
      <c r="R243" s="349"/>
      <c r="S243" s="349"/>
      <c r="T243" s="608"/>
      <c r="U243" s="608"/>
      <c r="V243" s="608"/>
      <c r="W243" s="608"/>
      <c r="X243" s="608"/>
      <c r="Y243" s="608"/>
      <c r="Z243" s="608"/>
      <c r="AA243" s="608"/>
      <c r="AB243" s="608"/>
      <c r="AC243" s="608"/>
      <c r="AD243" s="608"/>
      <c r="AE243" s="608"/>
      <c r="AF243" s="608"/>
      <c r="AG243" s="608"/>
      <c r="AH243" s="171"/>
    </row>
    <row r="244" spans="3:34">
      <c r="C244" s="169"/>
      <c r="D244" s="939"/>
      <c r="E244" s="940"/>
      <c r="F244" s="940"/>
      <c r="G244" s="940"/>
      <c r="H244" s="2034" t="s">
        <v>1109</v>
      </c>
      <c r="I244" s="940"/>
      <c r="J244" s="1768"/>
      <c r="K244" s="401"/>
      <c r="L244" s="401"/>
      <c r="M244" s="401"/>
      <c r="N244" s="401"/>
      <c r="O244" s="1720">
        <f t="shared" ref="O244:AG244" si="122">SUM(O240:O241)/O242</f>
        <v>8.7593548176007771E-2</v>
      </c>
      <c r="P244" s="941">
        <f t="shared" ca="1" si="122"/>
        <v>9.5593522450425919E-2</v>
      </c>
      <c r="Q244" s="941">
        <f t="shared" ca="1" si="122"/>
        <v>5.8466073924398426E-2</v>
      </c>
      <c r="R244" s="941">
        <f t="shared" ca="1" si="122"/>
        <v>7.9765406368891151E-2</v>
      </c>
      <c r="S244" s="942">
        <f t="shared" ca="1" si="122"/>
        <v>0.10257389810528134</v>
      </c>
      <c r="T244" s="942">
        <f t="shared" ca="1" si="122"/>
        <v>0.17459239797209167</v>
      </c>
      <c r="U244" s="942">
        <f t="shared" ca="1" si="122"/>
        <v>0.21617521738825454</v>
      </c>
      <c r="V244" s="942">
        <f t="shared" ca="1" si="122"/>
        <v>0.25185961782198552</v>
      </c>
      <c r="W244" s="942">
        <f t="shared" ca="1" si="122"/>
        <v>0.35731273743192471</v>
      </c>
      <c r="X244" s="943">
        <f t="shared" ca="1" si="122"/>
        <v>0.34155328436292387</v>
      </c>
      <c r="Y244" s="942">
        <f t="shared" ca="1" si="122"/>
        <v>0.36329248364123512</v>
      </c>
      <c r="Z244" s="942">
        <f t="shared" ca="1" si="122"/>
        <v>0.38160918351711198</v>
      </c>
      <c r="AA244" s="942">
        <f t="shared" ca="1" si="122"/>
        <v>0.3605600590972331</v>
      </c>
      <c r="AB244" s="944">
        <f t="shared" ca="1" si="122"/>
        <v>0.33526186523908896</v>
      </c>
      <c r="AC244" s="942">
        <f t="shared" ca="1" si="122"/>
        <v>0.33983481663071113</v>
      </c>
      <c r="AD244" s="942">
        <f t="shared" ca="1" si="122"/>
        <v>0.35008500545020105</v>
      </c>
      <c r="AE244" s="942">
        <f t="shared" ca="1" si="122"/>
        <v>0.35970851735650128</v>
      </c>
      <c r="AF244" s="942">
        <f t="shared" ca="1" si="122"/>
        <v>0.3535964707726173</v>
      </c>
      <c r="AG244" s="944">
        <f t="shared" ca="1" si="122"/>
        <v>0.36031367887291782</v>
      </c>
      <c r="AH244" s="171"/>
    </row>
    <row r="245" spans="3:34">
      <c r="C245" s="169"/>
      <c r="H245" s="1402"/>
      <c r="I245" s="70"/>
      <c r="J245" s="378"/>
      <c r="K245" s="399"/>
      <c r="L245" s="399"/>
      <c r="M245" s="399"/>
      <c r="N245" s="399"/>
      <c r="O245" s="1957">
        <f>IF(O244&lt;0.8,0,1)</f>
        <v>0</v>
      </c>
      <c r="P245" s="1957">
        <f t="shared" ref="P245:AG245" ca="1" si="123">IF(P244&lt;0.8,0,1)</f>
        <v>0</v>
      </c>
      <c r="Q245" s="1957">
        <f t="shared" ca="1" si="123"/>
        <v>0</v>
      </c>
      <c r="R245" s="1957">
        <f t="shared" ca="1" si="123"/>
        <v>0</v>
      </c>
      <c r="S245" s="1957">
        <f t="shared" ca="1" si="123"/>
        <v>0</v>
      </c>
      <c r="T245" s="1957">
        <f t="shared" ca="1" si="123"/>
        <v>0</v>
      </c>
      <c r="U245" s="1957">
        <f t="shared" ca="1" si="123"/>
        <v>0</v>
      </c>
      <c r="V245" s="1957">
        <f t="shared" ca="1" si="123"/>
        <v>0</v>
      </c>
      <c r="W245" s="1957">
        <f t="shared" ca="1" si="123"/>
        <v>0</v>
      </c>
      <c r="X245" s="1957">
        <f t="shared" ca="1" si="123"/>
        <v>0</v>
      </c>
      <c r="Y245" s="1957">
        <f t="shared" ca="1" si="123"/>
        <v>0</v>
      </c>
      <c r="Z245" s="1957">
        <f t="shared" ca="1" si="123"/>
        <v>0</v>
      </c>
      <c r="AA245" s="1957">
        <f t="shared" ca="1" si="123"/>
        <v>0</v>
      </c>
      <c r="AB245" s="1957">
        <f t="shared" ca="1" si="123"/>
        <v>0</v>
      </c>
      <c r="AC245" s="1957">
        <f t="shared" ca="1" si="123"/>
        <v>0</v>
      </c>
      <c r="AD245" s="1957">
        <f t="shared" ca="1" si="123"/>
        <v>0</v>
      </c>
      <c r="AE245" s="1957">
        <f t="shared" ca="1" si="123"/>
        <v>0</v>
      </c>
      <c r="AF245" s="1957">
        <f t="shared" ca="1" si="123"/>
        <v>0</v>
      </c>
      <c r="AG245" s="1957">
        <f t="shared" ca="1" si="123"/>
        <v>0</v>
      </c>
      <c r="AH245" s="171"/>
    </row>
    <row r="246" spans="3:34">
      <c r="C246" s="169"/>
      <c r="D246" s="104" t="s">
        <v>1111</v>
      </c>
      <c r="I246" s="70"/>
      <c r="AH246" s="171"/>
    </row>
    <row r="247" spans="3:34">
      <c r="C247" s="169"/>
      <c r="E247" s="70" t="s">
        <v>188</v>
      </c>
      <c r="I247" s="70"/>
      <c r="O247" s="128">
        <f ca="1">O215</f>
        <v>14.892943056382997</v>
      </c>
      <c r="P247" s="128">
        <f t="shared" ref="P247:AG247" ca="1" si="124">P215</f>
        <v>23.308538337065286</v>
      </c>
      <c r="Q247" s="128">
        <f t="shared" ca="1" si="124"/>
        <v>15.947717545374715</v>
      </c>
      <c r="R247" s="128">
        <f t="shared" ca="1" si="124"/>
        <v>15.377454258022963</v>
      </c>
      <c r="S247" s="128">
        <f t="shared" ca="1" si="124"/>
        <v>11.631922265323478</v>
      </c>
      <c r="T247" s="128">
        <f t="shared" ca="1" si="124"/>
        <v>7.9356586383307821</v>
      </c>
      <c r="U247" s="128">
        <f t="shared" ca="1" si="124"/>
        <v>11.93178845331289</v>
      </c>
      <c r="V247" s="128">
        <f t="shared" ca="1" si="124"/>
        <v>13.893566189586064</v>
      </c>
      <c r="W247" s="128">
        <f t="shared" ca="1" si="124"/>
        <v>12.151796886895568</v>
      </c>
      <c r="X247" s="128">
        <f t="shared" ca="1" si="124"/>
        <v>25.615754598597018</v>
      </c>
      <c r="Y247" s="128">
        <f t="shared" ca="1" si="124"/>
        <v>31.278944149340365</v>
      </c>
      <c r="Z247" s="128">
        <f t="shared" ca="1" si="124"/>
        <v>46.092250070163168</v>
      </c>
      <c r="AA247" s="128">
        <f t="shared" ca="1" si="124"/>
        <v>54.8484376173923</v>
      </c>
      <c r="AB247" s="128">
        <f t="shared" ca="1" si="124"/>
        <v>57.627574515464971</v>
      </c>
      <c r="AC247" s="128">
        <f t="shared" ca="1" si="124"/>
        <v>47.25564456597774</v>
      </c>
      <c r="AD247" s="128">
        <f t="shared" ca="1" si="124"/>
        <v>48.397478046627086</v>
      </c>
      <c r="AE247" s="128">
        <f t="shared" ca="1" si="124"/>
        <v>51.825158925739736</v>
      </c>
      <c r="AF247" s="128">
        <f t="shared" ca="1" si="124"/>
        <v>55.932412931121902</v>
      </c>
      <c r="AG247" s="128">
        <f t="shared" ca="1" si="124"/>
        <v>59.946302157796964</v>
      </c>
      <c r="AH247" s="171"/>
    </row>
    <row r="248" spans="3:34">
      <c r="C248" s="169"/>
      <c r="E248" s="70" t="s">
        <v>200</v>
      </c>
      <c r="I248" s="70"/>
      <c r="O248" s="128">
        <f ca="1">-O109</f>
        <v>0</v>
      </c>
      <c r="P248" s="128">
        <f t="shared" ref="P248:AG248" ca="1" si="125">-P109</f>
        <v>0</v>
      </c>
      <c r="Q248" s="128">
        <f t="shared" ca="1" si="125"/>
        <v>0</v>
      </c>
      <c r="R248" s="128">
        <f t="shared" ca="1" si="125"/>
        <v>0</v>
      </c>
      <c r="S248" s="128">
        <f t="shared" ca="1" si="125"/>
        <v>0</v>
      </c>
      <c r="T248" s="128">
        <f t="shared" ca="1" si="125"/>
        <v>0</v>
      </c>
      <c r="U248" s="128">
        <f t="shared" ca="1" si="125"/>
        <v>0</v>
      </c>
      <c r="V248" s="128">
        <f t="shared" ca="1" si="125"/>
        <v>0</v>
      </c>
      <c r="W248" s="128">
        <f t="shared" ca="1" si="125"/>
        <v>0</v>
      </c>
      <c r="X248" s="128">
        <f t="shared" ca="1" si="125"/>
        <v>0</v>
      </c>
      <c r="Y248" s="128">
        <f t="shared" ca="1" si="125"/>
        <v>0</v>
      </c>
      <c r="Z248" s="128">
        <f t="shared" ca="1" si="125"/>
        <v>0</v>
      </c>
      <c r="AA248" s="128">
        <f t="shared" ca="1" si="125"/>
        <v>0</v>
      </c>
      <c r="AB248" s="128">
        <f t="shared" ca="1" si="125"/>
        <v>0</v>
      </c>
      <c r="AC248" s="128">
        <f t="shared" ca="1" si="125"/>
        <v>0</v>
      </c>
      <c r="AD248" s="128">
        <f t="shared" ca="1" si="125"/>
        <v>0</v>
      </c>
      <c r="AE248" s="128">
        <f t="shared" ca="1" si="125"/>
        <v>0</v>
      </c>
      <c r="AF248" s="128">
        <f t="shared" ca="1" si="125"/>
        <v>0</v>
      </c>
      <c r="AG248" s="128">
        <f t="shared" ca="1" si="125"/>
        <v>0</v>
      </c>
      <c r="AH248" s="171"/>
    </row>
    <row r="249" spans="3:34">
      <c r="C249" s="169"/>
      <c r="E249" s="70" t="s">
        <v>193</v>
      </c>
      <c r="I249" s="70"/>
      <c r="O249" s="128">
        <f>+O192</f>
        <v>23.75</v>
      </c>
      <c r="P249" s="128">
        <f t="shared" ref="P249:AG249" ca="1" si="126">+P192</f>
        <v>26.846258943617002</v>
      </c>
      <c r="Q249" s="128">
        <f t="shared" ca="1" si="126"/>
        <v>17.1629041065517</v>
      </c>
      <c r="R249" s="128">
        <f t="shared" ca="1" si="126"/>
        <v>24.655038561176969</v>
      </c>
      <c r="S249" s="128">
        <f t="shared" ca="1" si="126"/>
        <v>33.965834143153991</v>
      </c>
      <c r="T249" s="128">
        <f t="shared" ca="1" si="126"/>
        <v>64.628665877830528</v>
      </c>
      <c r="U249" s="128">
        <f t="shared" ca="1" si="126"/>
        <v>90.255941739499747</v>
      </c>
      <c r="V249" s="128">
        <f t="shared" ca="1" si="126"/>
        <v>119.75632578618686</v>
      </c>
      <c r="W249" s="128">
        <f t="shared" ca="1" si="126"/>
        <v>184.2327197866008</v>
      </c>
      <c r="X249" s="128">
        <f t="shared" ca="1" si="126"/>
        <v>185.54880398567809</v>
      </c>
      <c r="Y249" s="128">
        <f t="shared" ca="1" si="126"/>
        <v>214.08253107408106</v>
      </c>
      <c r="Z249" s="128">
        <f t="shared" ca="1" si="126"/>
        <v>240.70545993694071</v>
      </c>
      <c r="AA249" s="128">
        <f t="shared" ca="1" si="126"/>
        <v>241.70769725417463</v>
      </c>
      <c r="AB249" s="128">
        <f t="shared" ca="1" si="126"/>
        <v>243.51384873520357</v>
      </c>
      <c r="AC249" s="128">
        <f t="shared" ca="1" si="126"/>
        <v>268.56498100489944</v>
      </c>
      <c r="AD249" s="128">
        <f t="shared" ca="1" si="126"/>
        <v>297.1409605279735</v>
      </c>
      <c r="AE249" s="128">
        <f t="shared" ca="1" si="126"/>
        <v>323.98911291415038</v>
      </c>
      <c r="AF249" s="128">
        <f t="shared" ca="1" si="126"/>
        <v>337.60906551528103</v>
      </c>
      <c r="AG249" s="128">
        <f t="shared" ca="1" si="126"/>
        <v>364.13065647832281</v>
      </c>
      <c r="AH249" s="171"/>
    </row>
    <row r="250" spans="3:34">
      <c r="C250" s="169"/>
      <c r="E250" s="70" t="s">
        <v>194</v>
      </c>
      <c r="I250" s="70"/>
      <c r="O250" s="953"/>
      <c r="P250" s="327"/>
      <c r="Q250" s="327"/>
      <c r="R250" s="327"/>
      <c r="S250" s="327"/>
      <c r="T250" s="327"/>
      <c r="U250" s="631"/>
      <c r="V250" s="631"/>
      <c r="W250" s="632"/>
      <c r="X250" s="631"/>
      <c r="Y250" s="631"/>
      <c r="Z250" s="631"/>
      <c r="AA250" s="631"/>
      <c r="AB250" s="632"/>
      <c r="AC250" s="631"/>
      <c r="AD250" s="631"/>
      <c r="AE250" s="631"/>
      <c r="AF250" s="631"/>
      <c r="AG250" s="632"/>
      <c r="AH250" s="171"/>
    </row>
    <row r="251" spans="3:34">
      <c r="C251" s="169"/>
      <c r="E251" s="70" t="s">
        <v>195</v>
      </c>
      <c r="I251" s="70"/>
      <c r="O251" s="128">
        <f>-O187</f>
        <v>-0.31</v>
      </c>
      <c r="P251" s="128">
        <f t="shared" ref="P251:AG251" ca="1" si="127">-P187</f>
        <v>-0.4</v>
      </c>
      <c r="Q251" s="128">
        <f t="shared" ca="1" si="127"/>
        <v>-0.4</v>
      </c>
      <c r="R251" s="128">
        <f t="shared" ca="1" si="127"/>
        <v>-0.4</v>
      </c>
      <c r="S251" s="128">
        <f t="shared" ca="1" si="127"/>
        <v>-0.4</v>
      </c>
      <c r="T251" s="128">
        <f t="shared" ca="1" si="127"/>
        <v>-0.4</v>
      </c>
      <c r="U251" s="128">
        <f t="shared" ca="1" si="127"/>
        <v>-0.4</v>
      </c>
      <c r="V251" s="128">
        <f t="shared" ca="1" si="127"/>
        <v>-0.4</v>
      </c>
      <c r="W251" s="128">
        <f t="shared" ca="1" si="127"/>
        <v>-0.4</v>
      </c>
      <c r="X251" s="128">
        <f t="shared" ca="1" si="127"/>
        <v>-0.4</v>
      </c>
      <c r="Y251" s="128">
        <f t="shared" ca="1" si="127"/>
        <v>-0.4</v>
      </c>
      <c r="Z251" s="128">
        <f t="shared" ca="1" si="127"/>
        <v>-0.4</v>
      </c>
      <c r="AA251" s="128">
        <f t="shared" ca="1" si="127"/>
        <v>-0.4</v>
      </c>
      <c r="AB251" s="128">
        <f t="shared" ca="1" si="127"/>
        <v>-0.4</v>
      </c>
      <c r="AC251" s="128">
        <f t="shared" ca="1" si="127"/>
        <v>-0.4</v>
      </c>
      <c r="AD251" s="128">
        <f t="shared" ca="1" si="127"/>
        <v>-0.4</v>
      </c>
      <c r="AE251" s="128">
        <f t="shared" ca="1" si="127"/>
        <v>-0.4</v>
      </c>
      <c r="AF251" s="128">
        <f t="shared" ca="1" si="127"/>
        <v>-0.4</v>
      </c>
      <c r="AG251" s="128">
        <f t="shared" ca="1" si="127"/>
        <v>-0.4</v>
      </c>
      <c r="AH251" s="171"/>
    </row>
    <row r="252" spans="3:34">
      <c r="C252" s="169"/>
      <c r="I252" s="70"/>
      <c r="AH252" s="171"/>
    </row>
    <row r="253" spans="3:34">
      <c r="C253" s="169"/>
      <c r="D253" s="939"/>
      <c r="E253" s="940"/>
      <c r="F253" s="940"/>
      <c r="G253" s="940"/>
      <c r="H253" s="2034" t="s">
        <v>1112</v>
      </c>
      <c r="I253" s="940"/>
      <c r="J253" s="1768"/>
      <c r="K253" s="401"/>
      <c r="L253" s="401"/>
      <c r="M253" s="401"/>
      <c r="N253" s="401"/>
      <c r="O253" s="1720">
        <f ca="1">IF(ISERROR(SUM(O247:O248)/SUM(O249:O251)),0,SUM(O247:O248)/SUM(O249:O251))</f>
        <v>0.63536446486275577</v>
      </c>
      <c r="P253" s="941">
        <f t="shared" ref="P253:AG253" ca="1" si="128">IF(ISERROR(SUM(P247:P248)/SUM(P249:P251)),0,SUM(P247:P248)/SUM(P249:P251))</f>
        <v>0.88135484065094849</v>
      </c>
      <c r="Q253" s="941">
        <f t="shared" ca="1" si="128"/>
        <v>0.95136961018238031</v>
      </c>
      <c r="R253" s="941">
        <f t="shared" ca="1" si="128"/>
        <v>0.63399009732503087</v>
      </c>
      <c r="S253" s="942">
        <f t="shared" ca="1" si="128"/>
        <v>0.34654053927916156</v>
      </c>
      <c r="T253" s="942">
        <f t="shared" ca="1" si="128"/>
        <v>0.12355322237932226</v>
      </c>
      <c r="U253" s="942">
        <f t="shared" ca="1" si="128"/>
        <v>0.13278797397621397</v>
      </c>
      <c r="V253" s="942">
        <f t="shared" ca="1" si="128"/>
        <v>0.11640410424894271</v>
      </c>
      <c r="W253" s="942">
        <f t="shared" ca="1" si="128"/>
        <v>6.6102470229466123E-2</v>
      </c>
      <c r="X253" s="943">
        <f t="shared" ca="1" si="128"/>
        <v>0.13835225530583761</v>
      </c>
      <c r="Y253" s="942">
        <f t="shared" ca="1" si="128"/>
        <v>0.14638044575808748</v>
      </c>
      <c r="Z253" s="942">
        <f t="shared" ca="1" si="128"/>
        <v>0.19180691975229516</v>
      </c>
      <c r="AA253" s="942">
        <f t="shared" ca="1" si="128"/>
        <v>0.22729667657314409</v>
      </c>
      <c r="AB253" s="944">
        <f t="shared" ca="1" si="128"/>
        <v>0.23703945626821191</v>
      </c>
      <c r="AC253" s="942">
        <f t="shared" ca="1" si="128"/>
        <v>0.17621855168745679</v>
      </c>
      <c r="AD253" s="942">
        <f t="shared" ca="1" si="128"/>
        <v>0.16309672234165562</v>
      </c>
      <c r="AE253" s="942">
        <f t="shared" ca="1" si="128"/>
        <v>0.16015730090242306</v>
      </c>
      <c r="AF253" s="942">
        <f t="shared" ca="1" si="128"/>
        <v>0.16586865138294229</v>
      </c>
      <c r="AG253" s="944">
        <f t="shared" ca="1" si="128"/>
        <v>0.1648095949299494</v>
      </c>
      <c r="AH253" s="171"/>
    </row>
    <row r="254" spans="3:34">
      <c r="C254" s="169"/>
      <c r="O254" s="1957">
        <f ca="1">IF(O253&gt;0.04,0,1)</f>
        <v>0</v>
      </c>
      <c r="P254" s="1957">
        <f t="shared" ref="P254:AG254" ca="1" si="129">IF(P253&gt;0.04,0,1)</f>
        <v>0</v>
      </c>
      <c r="Q254" s="1957">
        <f t="shared" ca="1" si="129"/>
        <v>0</v>
      </c>
      <c r="R254" s="1957">
        <f t="shared" ca="1" si="129"/>
        <v>0</v>
      </c>
      <c r="S254" s="1957">
        <f t="shared" ca="1" si="129"/>
        <v>0</v>
      </c>
      <c r="T254" s="1957">
        <f t="shared" ca="1" si="129"/>
        <v>0</v>
      </c>
      <c r="U254" s="1957">
        <f t="shared" ca="1" si="129"/>
        <v>0</v>
      </c>
      <c r="V254" s="1957">
        <f t="shared" ca="1" si="129"/>
        <v>0</v>
      </c>
      <c r="W254" s="1957">
        <f t="shared" ca="1" si="129"/>
        <v>0</v>
      </c>
      <c r="X254" s="1957">
        <f t="shared" ca="1" si="129"/>
        <v>0</v>
      </c>
      <c r="Y254" s="1957">
        <f t="shared" ca="1" si="129"/>
        <v>0</v>
      </c>
      <c r="Z254" s="1957">
        <f t="shared" ca="1" si="129"/>
        <v>0</v>
      </c>
      <c r="AA254" s="1957">
        <f t="shared" ca="1" si="129"/>
        <v>0</v>
      </c>
      <c r="AB254" s="1957">
        <f t="shared" ca="1" si="129"/>
        <v>0</v>
      </c>
      <c r="AC254" s="1957">
        <f t="shared" ca="1" si="129"/>
        <v>0</v>
      </c>
      <c r="AD254" s="1957">
        <f t="shared" ca="1" si="129"/>
        <v>0</v>
      </c>
      <c r="AE254" s="1957">
        <f t="shared" ca="1" si="129"/>
        <v>0</v>
      </c>
      <c r="AF254" s="1957">
        <f t="shared" ca="1" si="129"/>
        <v>0</v>
      </c>
      <c r="AG254" s="1957">
        <f t="shared" ca="1" si="129"/>
        <v>0</v>
      </c>
      <c r="AH254" s="171"/>
    </row>
    <row r="255" spans="3:34">
      <c r="C255" s="169"/>
      <c r="AH255" s="171"/>
    </row>
    <row r="256" spans="3:34">
      <c r="C256" s="169"/>
      <c r="D256" s="104" t="s">
        <v>199</v>
      </c>
      <c r="H256" s="938"/>
      <c r="J256" s="399"/>
      <c r="K256" s="349"/>
      <c r="L256" s="349"/>
      <c r="M256" s="349"/>
      <c r="N256" s="349"/>
      <c r="O256" s="349"/>
      <c r="P256" s="349"/>
      <c r="Q256" s="349"/>
      <c r="R256" s="349"/>
      <c r="S256" s="349"/>
      <c r="T256" s="608"/>
      <c r="U256" s="608"/>
      <c r="V256" s="608"/>
      <c r="W256" s="608"/>
      <c r="X256" s="608"/>
      <c r="Y256" s="608"/>
      <c r="Z256" s="608"/>
      <c r="AA256" s="608"/>
      <c r="AB256" s="608"/>
      <c r="AC256" s="608"/>
      <c r="AD256" s="608"/>
      <c r="AE256" s="608"/>
      <c r="AF256" s="608"/>
      <c r="AG256" s="608"/>
      <c r="AH256" s="171"/>
    </row>
    <row r="257" spans="3:34">
      <c r="C257" s="169"/>
      <c r="E257" s="70" t="s">
        <v>188</v>
      </c>
      <c r="H257" s="938"/>
      <c r="J257" s="399"/>
      <c r="K257" s="349"/>
      <c r="L257" s="349"/>
      <c r="M257" s="349"/>
      <c r="N257" s="349"/>
      <c r="O257" s="349">
        <f t="shared" ref="O257:AG257" ca="1" si="130">+O215</f>
        <v>14.892943056382997</v>
      </c>
      <c r="P257" s="349">
        <f t="shared" ca="1" si="130"/>
        <v>23.308538337065286</v>
      </c>
      <c r="Q257" s="349">
        <f t="shared" ca="1" si="130"/>
        <v>15.947717545374715</v>
      </c>
      <c r="R257" s="349">
        <f t="shared" ca="1" si="130"/>
        <v>15.377454258022963</v>
      </c>
      <c r="S257" s="349">
        <f t="shared" ca="1" si="130"/>
        <v>11.631922265323478</v>
      </c>
      <c r="T257" s="608">
        <f t="shared" ca="1" si="130"/>
        <v>7.9356586383307821</v>
      </c>
      <c r="U257" s="608">
        <f t="shared" ca="1" si="130"/>
        <v>11.93178845331289</v>
      </c>
      <c r="V257" s="608">
        <f t="shared" ca="1" si="130"/>
        <v>13.893566189586064</v>
      </c>
      <c r="W257" s="608">
        <f t="shared" ca="1" si="130"/>
        <v>12.151796886895568</v>
      </c>
      <c r="X257" s="608">
        <f t="shared" ca="1" si="130"/>
        <v>25.615754598597018</v>
      </c>
      <c r="Y257" s="608">
        <f t="shared" ca="1" si="130"/>
        <v>31.278944149340365</v>
      </c>
      <c r="Z257" s="608">
        <f t="shared" ca="1" si="130"/>
        <v>46.092250070163168</v>
      </c>
      <c r="AA257" s="608">
        <f t="shared" ca="1" si="130"/>
        <v>54.8484376173923</v>
      </c>
      <c r="AB257" s="608">
        <f t="shared" ca="1" si="130"/>
        <v>57.627574515464971</v>
      </c>
      <c r="AC257" s="608">
        <f t="shared" ca="1" si="130"/>
        <v>47.25564456597774</v>
      </c>
      <c r="AD257" s="608">
        <f t="shared" ca="1" si="130"/>
        <v>48.397478046627086</v>
      </c>
      <c r="AE257" s="608">
        <f t="shared" ca="1" si="130"/>
        <v>51.825158925739736</v>
      </c>
      <c r="AF257" s="608">
        <f t="shared" ca="1" si="130"/>
        <v>55.932412931121902</v>
      </c>
      <c r="AG257" s="608">
        <f t="shared" ca="1" si="130"/>
        <v>59.946302157796964</v>
      </c>
      <c r="AH257" s="171"/>
    </row>
    <row r="258" spans="3:34">
      <c r="C258" s="169"/>
      <c r="E258" s="70" t="s">
        <v>200</v>
      </c>
      <c r="H258" s="938"/>
      <c r="J258" s="399"/>
      <c r="K258" s="349"/>
      <c r="L258" s="349"/>
      <c r="M258" s="349"/>
      <c r="N258" s="349"/>
      <c r="O258" s="349">
        <f t="shared" ref="O258:AG258" ca="1" si="131">-O109</f>
        <v>0</v>
      </c>
      <c r="P258" s="349">
        <f t="shared" ca="1" si="131"/>
        <v>0</v>
      </c>
      <c r="Q258" s="349">
        <f t="shared" ca="1" si="131"/>
        <v>0</v>
      </c>
      <c r="R258" s="349">
        <f t="shared" ca="1" si="131"/>
        <v>0</v>
      </c>
      <c r="S258" s="349">
        <f t="shared" ca="1" si="131"/>
        <v>0</v>
      </c>
      <c r="T258" s="608">
        <f t="shared" ca="1" si="131"/>
        <v>0</v>
      </c>
      <c r="U258" s="608">
        <f t="shared" ca="1" si="131"/>
        <v>0</v>
      </c>
      <c r="V258" s="608">
        <f t="shared" ca="1" si="131"/>
        <v>0</v>
      </c>
      <c r="W258" s="608">
        <f t="shared" ca="1" si="131"/>
        <v>0</v>
      </c>
      <c r="X258" s="608">
        <f t="shared" ca="1" si="131"/>
        <v>0</v>
      </c>
      <c r="Y258" s="608">
        <f t="shared" ca="1" si="131"/>
        <v>0</v>
      </c>
      <c r="Z258" s="608">
        <f t="shared" ca="1" si="131"/>
        <v>0</v>
      </c>
      <c r="AA258" s="608">
        <f t="shared" ca="1" si="131"/>
        <v>0</v>
      </c>
      <c r="AB258" s="608">
        <f t="shared" ca="1" si="131"/>
        <v>0</v>
      </c>
      <c r="AC258" s="608">
        <f t="shared" ca="1" si="131"/>
        <v>0</v>
      </c>
      <c r="AD258" s="608">
        <f t="shared" ca="1" si="131"/>
        <v>0</v>
      </c>
      <c r="AE258" s="608">
        <f t="shared" ca="1" si="131"/>
        <v>0</v>
      </c>
      <c r="AF258" s="608">
        <f t="shared" ca="1" si="131"/>
        <v>0</v>
      </c>
      <c r="AG258" s="608">
        <f t="shared" ca="1" si="131"/>
        <v>0</v>
      </c>
      <c r="AH258" s="171"/>
    </row>
    <row r="259" spans="3:34">
      <c r="C259" s="169"/>
      <c r="E259" s="70" t="s">
        <v>201</v>
      </c>
      <c r="H259" s="938"/>
      <c r="J259" s="399"/>
      <c r="K259" s="349"/>
      <c r="L259" s="349"/>
      <c r="M259" s="349"/>
      <c r="N259" s="349"/>
      <c r="O259" s="349">
        <f t="shared" ref="O259:AG259" ca="1" si="132">-O136</f>
        <v>18.403202</v>
      </c>
      <c r="P259" s="349">
        <f t="shared" ca="1" si="132"/>
        <v>14.2861835</v>
      </c>
      <c r="Q259" s="349">
        <f t="shared" ca="1" si="132"/>
        <v>23.974851999999998</v>
      </c>
      <c r="R259" s="349">
        <f t="shared" ca="1" si="132"/>
        <v>25.485249839999998</v>
      </c>
      <c r="S259" s="349">
        <f t="shared" ca="1" si="132"/>
        <v>42.691754000000003</v>
      </c>
      <c r="T259" s="608">
        <f t="shared" ca="1" si="132"/>
        <v>33.946934499999998</v>
      </c>
      <c r="U259" s="608">
        <f t="shared" ca="1" si="132"/>
        <v>42.912672499999999</v>
      </c>
      <c r="V259" s="608">
        <f t="shared" ca="1" si="132"/>
        <v>79.720278190000002</v>
      </c>
      <c r="W259" s="608">
        <f t="shared" ca="1" si="132"/>
        <v>13.967881085972849</v>
      </c>
      <c r="X259" s="608">
        <f t="shared" ca="1" si="132"/>
        <v>55.692981686999993</v>
      </c>
      <c r="Y259" s="608">
        <f t="shared" ca="1" si="132"/>
        <v>61.708406407200009</v>
      </c>
      <c r="Z259" s="608">
        <f t="shared" ca="1" si="132"/>
        <v>48.080527774442096</v>
      </c>
      <c r="AA259" s="608">
        <f t="shared" ca="1" si="132"/>
        <v>57.215161230061732</v>
      </c>
      <c r="AB259" s="608">
        <f t="shared" ca="1" si="132"/>
        <v>83.255535508618934</v>
      </c>
      <c r="AC259" s="608">
        <f t="shared" ca="1" si="132"/>
        <v>76.425180845490146</v>
      </c>
      <c r="AD259" s="608">
        <f t="shared" ca="1" si="132"/>
        <v>75.856400335179032</v>
      </c>
      <c r="AE259" s="608">
        <f t="shared" ca="1" si="132"/>
        <v>66.073593756414326</v>
      </c>
      <c r="AF259" s="608">
        <f t="shared" ca="1" si="132"/>
        <v>83.100712108364391</v>
      </c>
      <c r="AG259" s="608">
        <f t="shared" ca="1" si="132"/>
        <v>72.2013777112561</v>
      </c>
      <c r="AH259" s="171"/>
    </row>
    <row r="260" spans="3:34">
      <c r="C260" s="169"/>
      <c r="E260" s="70" t="s">
        <v>202</v>
      </c>
      <c r="H260" s="938"/>
      <c r="J260" s="399"/>
      <c r="K260" s="349"/>
      <c r="L260" s="349"/>
      <c r="M260" s="349"/>
      <c r="N260" s="349"/>
      <c r="O260" s="349">
        <f t="shared" ref="O260:AG260" ca="1" si="133">-O86</f>
        <v>-2.1147000000000005</v>
      </c>
      <c r="P260" s="349">
        <f t="shared" ca="1" si="133"/>
        <v>-2.617</v>
      </c>
      <c r="Q260" s="349">
        <f t="shared" ca="1" si="133"/>
        <v>-2.5640000000000001</v>
      </c>
      <c r="R260" s="349">
        <f t="shared" ca="1" si="133"/>
        <v>-3.6400000000000006</v>
      </c>
      <c r="S260" s="349">
        <f t="shared" ca="1" si="133"/>
        <v>-2.8849999999999998</v>
      </c>
      <c r="T260" s="608">
        <f t="shared" ca="1" si="133"/>
        <v>-3.847</v>
      </c>
      <c r="U260" s="608">
        <f t="shared" ca="1" si="133"/>
        <v>-3.8689999999999998</v>
      </c>
      <c r="V260" s="608">
        <f t="shared" ca="1" si="133"/>
        <v>-4.2831419999999998</v>
      </c>
      <c r="W260" s="608">
        <f t="shared" ca="1" si="133"/>
        <v>-3.5</v>
      </c>
      <c r="X260" s="608">
        <f t="shared" ca="1" si="133"/>
        <v>-4.4411639999999997</v>
      </c>
      <c r="Y260" s="608">
        <f t="shared" ca="1" si="133"/>
        <v>-4.6377235799999994</v>
      </c>
      <c r="Z260" s="608">
        <f t="shared" ca="1" si="133"/>
        <v>-4.8441276914939992</v>
      </c>
      <c r="AA260" s="608">
        <f t="shared" ca="1" si="133"/>
        <v>-5.0608452044504331</v>
      </c>
      <c r="AB260" s="608">
        <f t="shared" ca="1" si="133"/>
        <v>-5.288365736663625</v>
      </c>
      <c r="AC260" s="608">
        <f t="shared" ca="1" si="133"/>
        <v>-5.5272005159539939</v>
      </c>
      <c r="AD260" s="608">
        <f t="shared" ca="1" si="133"/>
        <v>-5.7778832764681702</v>
      </c>
      <c r="AE260" s="608">
        <f t="shared" ca="1" si="133"/>
        <v>-6.0409711903764265</v>
      </c>
      <c r="AF260" s="608">
        <f t="shared" ca="1" si="133"/>
        <v>-6.3157524198842534</v>
      </c>
      <c r="AG260" s="608">
        <f t="shared" ca="1" si="133"/>
        <v>-6.6067142059517288</v>
      </c>
      <c r="AH260" s="171"/>
    </row>
    <row r="261" spans="3:34">
      <c r="C261" s="169"/>
      <c r="E261" s="70" t="s">
        <v>203</v>
      </c>
      <c r="H261" s="938"/>
      <c r="J261" s="399"/>
      <c r="K261" s="349"/>
      <c r="L261" s="349"/>
      <c r="M261" s="349"/>
      <c r="N261" s="349"/>
      <c r="O261" s="349">
        <f t="shared" ref="O261:AG261" ca="1" si="134">-O87</f>
        <v>0</v>
      </c>
      <c r="P261" s="349">
        <f t="shared" ca="1" si="134"/>
        <v>0</v>
      </c>
      <c r="Q261" s="349">
        <f t="shared" ca="1" si="134"/>
        <v>0</v>
      </c>
      <c r="R261" s="349">
        <f t="shared" ca="1" si="134"/>
        <v>-0.36</v>
      </c>
      <c r="S261" s="349">
        <f t="shared" ca="1" si="134"/>
        <v>-0.24000000000000002</v>
      </c>
      <c r="T261" s="608">
        <f t="shared" ca="1" si="134"/>
        <v>-0.2</v>
      </c>
      <c r="U261" s="608">
        <f t="shared" ca="1" si="134"/>
        <v>-0.98849999999999982</v>
      </c>
      <c r="V261" s="608">
        <f t="shared" ca="1" si="134"/>
        <v>-1.3185000000000002</v>
      </c>
      <c r="W261" s="608">
        <f t="shared" ca="1" si="134"/>
        <v>0</v>
      </c>
      <c r="X261" s="608">
        <f t="shared" ca="1" si="134"/>
        <v>-1.0289999999999999</v>
      </c>
      <c r="Y261" s="608">
        <f t="shared" ca="1" si="134"/>
        <v>-3.2771128949999997</v>
      </c>
      <c r="Z261" s="608">
        <f t="shared" ca="1" si="134"/>
        <v>-0.44126669254499995</v>
      </c>
      <c r="AA261" s="608">
        <f t="shared" ca="1" si="134"/>
        <v>0</v>
      </c>
      <c r="AB261" s="608">
        <f t="shared" ca="1" si="134"/>
        <v>0</v>
      </c>
      <c r="AC261" s="608">
        <f t="shared" ca="1" si="134"/>
        <v>0</v>
      </c>
      <c r="AD261" s="608">
        <f t="shared" ca="1" si="134"/>
        <v>0</v>
      </c>
      <c r="AE261" s="608">
        <f t="shared" ca="1" si="134"/>
        <v>0</v>
      </c>
      <c r="AF261" s="608">
        <f t="shared" ca="1" si="134"/>
        <v>0</v>
      </c>
      <c r="AG261" s="608">
        <f t="shared" ca="1" si="134"/>
        <v>0</v>
      </c>
      <c r="AH261" s="171"/>
    </row>
    <row r="262" spans="3:34">
      <c r="C262" s="169"/>
      <c r="H262" s="938"/>
      <c r="J262" s="399"/>
      <c r="K262" s="349"/>
      <c r="L262" s="349"/>
      <c r="M262" s="349"/>
      <c r="N262" s="349"/>
      <c r="O262" s="349"/>
      <c r="P262" s="349"/>
      <c r="Q262" s="349"/>
      <c r="R262" s="349"/>
      <c r="S262" s="349"/>
      <c r="T262" s="608"/>
      <c r="U262" s="608"/>
      <c r="V262" s="608"/>
      <c r="W262" s="608"/>
      <c r="X262" s="608"/>
      <c r="Y262" s="608"/>
      <c r="Z262" s="608"/>
      <c r="AA262" s="608"/>
      <c r="AB262" s="608"/>
      <c r="AC262" s="608"/>
      <c r="AD262" s="608"/>
      <c r="AE262" s="608"/>
      <c r="AF262" s="608"/>
      <c r="AG262" s="608"/>
      <c r="AH262" s="171"/>
    </row>
    <row r="263" spans="3:34">
      <c r="C263" s="169"/>
      <c r="D263" s="939"/>
      <c r="E263" s="940"/>
      <c r="F263" s="940"/>
      <c r="G263" s="940"/>
      <c r="H263" s="937" t="s">
        <v>610</v>
      </c>
      <c r="I263" s="476"/>
      <c r="J263" s="822"/>
      <c r="K263" s="401"/>
      <c r="L263" s="401"/>
      <c r="M263" s="401"/>
      <c r="N263" s="401"/>
      <c r="O263" s="1870">
        <f ca="1">+IF(ISERROR(SUM(O257:O258)/SUM(O259:O261)),0,SUM(O257:O258)/SUM(O259:O261))</f>
        <v>0.91432245005605772</v>
      </c>
      <c r="P263" s="941">
        <f ca="1">+IF(ISERROR(SUM(P257:P258)/SUM(P259:P261)),0,SUM(P257:P258)/SUM(P259:P261))</f>
        <v>1.9974438089061919</v>
      </c>
      <c r="Q263" s="941">
        <f ca="1">+IF(ISERROR(SUM(Q257:Q258)/SUM(Q259:Q261)),0,SUM(Q257:Q258)/SUM(Q259:Q261))</f>
        <v>0.74484273420668712</v>
      </c>
      <c r="R263" s="941">
        <f t="shared" ref="R263:W263" ca="1" si="135">+IF(ISERROR(SUM(R257:R258)/SUM(R259:R261)),0,SUM(R257:R258)/SUM(R259:R261))</f>
        <v>0.71572145413892774</v>
      </c>
      <c r="S263" s="942">
        <f t="shared" ca="1" si="135"/>
        <v>0.29398222217883929</v>
      </c>
      <c r="T263" s="942">
        <f t="shared" ca="1" si="135"/>
        <v>0.26540722483291002</v>
      </c>
      <c r="U263" s="942">
        <f t="shared" ca="1" si="135"/>
        <v>0.31353920293786319</v>
      </c>
      <c r="V263" s="942">
        <f t="shared" ca="1" si="135"/>
        <v>0.18745037555697183</v>
      </c>
      <c r="W263" s="942">
        <f t="shared" ca="1" si="135"/>
        <v>1.1608650105109808</v>
      </c>
      <c r="X263" s="943">
        <f t="shared" ref="X263:AG263" ca="1" si="136">+IF(ISERROR(SUM(X257:X258)/SUM(X259:X261)),0,SUM(X257:X258)/SUM(X259:X261))</f>
        <v>0.51004216366831945</v>
      </c>
      <c r="Y263" s="942">
        <f t="shared" ca="1" si="136"/>
        <v>0.58146250915794429</v>
      </c>
      <c r="Z263" s="942">
        <f t="shared" ca="1" si="136"/>
        <v>1.0770441968174693</v>
      </c>
      <c r="AA263" s="942">
        <f t="shared" ca="1" si="136"/>
        <v>1.0516567332693616</v>
      </c>
      <c r="AB263" s="944">
        <f t="shared" ca="1" si="136"/>
        <v>0.73912615635553736</v>
      </c>
      <c r="AC263" s="942">
        <f t="shared" ca="1" si="136"/>
        <v>0.66653019375632339</v>
      </c>
      <c r="AD263" s="942">
        <f t="shared" ca="1" si="136"/>
        <v>0.69061789658134909</v>
      </c>
      <c r="AE263" s="942">
        <f t="shared" ca="1" si="136"/>
        <v>0.86328327350234146</v>
      </c>
      <c r="AF263" s="942">
        <f t="shared" ca="1" si="136"/>
        <v>0.7284292803960839</v>
      </c>
      <c r="AG263" s="942">
        <f t="shared" ca="1" si="136"/>
        <v>0.91388992570941929</v>
      </c>
      <c r="AH263" s="935"/>
    </row>
    <row r="264" spans="3:34">
      <c r="C264" s="169"/>
      <c r="J264" s="399"/>
      <c r="K264" s="349"/>
      <c r="L264" s="349"/>
      <c r="M264" s="349"/>
      <c r="N264" s="349"/>
      <c r="O264" s="1957">
        <f ca="1">IF(O263&gt;=0.35,0,1)</f>
        <v>0</v>
      </c>
      <c r="P264" s="1957">
        <f ca="1">IF(P263&gt;=0.35,0,1)</f>
        <v>0</v>
      </c>
      <c r="Q264" s="1957">
        <f ca="1">IF(Q263&gt;=0.35,0,1)</f>
        <v>0</v>
      </c>
      <c r="R264" s="1957">
        <f ca="1">IF(R263&gt;0.35,0,1)</f>
        <v>0</v>
      </c>
      <c r="S264" s="1957">
        <f t="shared" ref="S264:AG264" ca="1" si="137">IF(S263&gt;0.35,0,1)</f>
        <v>1</v>
      </c>
      <c r="T264" s="1957">
        <f t="shared" ca="1" si="137"/>
        <v>1</v>
      </c>
      <c r="U264" s="1957">
        <f t="shared" ca="1" si="137"/>
        <v>1</v>
      </c>
      <c r="V264" s="1957">
        <f t="shared" ca="1" si="137"/>
        <v>1</v>
      </c>
      <c r="W264" s="1957">
        <f t="shared" ca="1" si="137"/>
        <v>0</v>
      </c>
      <c r="X264" s="1957">
        <f t="shared" ca="1" si="137"/>
        <v>0</v>
      </c>
      <c r="Y264" s="1957">
        <f t="shared" ca="1" si="137"/>
        <v>0</v>
      </c>
      <c r="Z264" s="1957">
        <f t="shared" ca="1" si="137"/>
        <v>0</v>
      </c>
      <c r="AA264" s="1957">
        <f t="shared" ca="1" si="137"/>
        <v>0</v>
      </c>
      <c r="AB264" s="1957">
        <f t="shared" ca="1" si="137"/>
        <v>0</v>
      </c>
      <c r="AC264" s="1957">
        <f t="shared" ca="1" si="137"/>
        <v>0</v>
      </c>
      <c r="AD264" s="1957">
        <f t="shared" ca="1" si="137"/>
        <v>0</v>
      </c>
      <c r="AE264" s="1957">
        <f t="shared" ca="1" si="137"/>
        <v>0</v>
      </c>
      <c r="AF264" s="1957">
        <f t="shared" ca="1" si="137"/>
        <v>0</v>
      </c>
      <c r="AG264" s="1957">
        <f t="shared" ca="1" si="137"/>
        <v>0</v>
      </c>
      <c r="AH264" s="171"/>
    </row>
    <row r="265" spans="3:34" ht="12.75" thickBot="1">
      <c r="C265" s="182"/>
      <c r="D265" s="183"/>
      <c r="E265" s="183"/>
      <c r="F265" s="183"/>
      <c r="G265" s="183"/>
      <c r="H265" s="183"/>
      <c r="I265" s="199"/>
      <c r="J265" s="838"/>
      <c r="K265" s="293"/>
      <c r="L265" s="293"/>
      <c r="M265" s="293"/>
      <c r="N265" s="293"/>
      <c r="O265" s="293"/>
      <c r="P265" s="293"/>
      <c r="Q265" s="293"/>
      <c r="R265" s="293"/>
      <c r="S265" s="293"/>
      <c r="T265" s="184"/>
      <c r="U265" s="184"/>
      <c r="V265" s="184"/>
      <c r="W265" s="184"/>
      <c r="X265" s="184"/>
      <c r="Y265" s="184"/>
      <c r="Z265" s="184"/>
      <c r="AA265" s="184"/>
      <c r="AB265" s="184"/>
      <c r="AC265" s="184"/>
      <c r="AD265" s="184"/>
      <c r="AE265" s="184"/>
      <c r="AF265" s="184"/>
      <c r="AG265" s="184"/>
      <c r="AH265" s="186"/>
    </row>
    <row r="266" spans="3:34">
      <c r="J266" s="232"/>
      <c r="K266" s="945"/>
      <c r="L266" s="945"/>
      <c r="M266" s="945"/>
      <c r="N266" s="945"/>
      <c r="O266" s="945"/>
      <c r="P266" s="945"/>
      <c r="Q266" s="945"/>
      <c r="R266" s="945"/>
      <c r="S266" s="74"/>
    </row>
    <row r="267" spans="3:34" ht="12.75" thickBot="1"/>
    <row r="268" spans="3:34" ht="21">
      <c r="C268" s="166"/>
      <c r="D268" s="2035"/>
      <c r="E268" s="167"/>
      <c r="F268" s="167"/>
      <c r="G268" s="167"/>
      <c r="H268" s="167"/>
      <c r="I268" s="292"/>
      <c r="J268" s="167"/>
      <c r="K268" s="167"/>
      <c r="L268" s="167"/>
      <c r="M268" s="167"/>
      <c r="N268" s="167"/>
      <c r="O268" s="167"/>
      <c r="P268" s="167"/>
      <c r="Q268" s="167"/>
      <c r="R268" s="167"/>
      <c r="S268" s="167"/>
      <c r="T268" s="167"/>
      <c r="U268" s="167"/>
      <c r="V268" s="167"/>
      <c r="W268" s="167"/>
      <c r="X268" s="167"/>
      <c r="Y268" s="167"/>
      <c r="Z268" s="167"/>
      <c r="AA268" s="167"/>
      <c r="AB268" s="167"/>
      <c r="AC268" s="167"/>
      <c r="AD268" s="167"/>
      <c r="AE268" s="167"/>
      <c r="AF268" s="167"/>
      <c r="AG268" s="167"/>
      <c r="AH268" s="168"/>
    </row>
    <row r="269" spans="3:34" ht="15.75">
      <c r="C269" s="169"/>
      <c r="D269" s="2037" t="s">
        <v>1202</v>
      </c>
      <c r="AH269" s="171"/>
    </row>
    <row r="270" spans="3:34">
      <c r="C270" s="169"/>
      <c r="D270" s="285" t="s">
        <v>125</v>
      </c>
      <c r="J270" s="399"/>
      <c r="AH270" s="171"/>
    </row>
    <row r="271" spans="3:34">
      <c r="C271" s="169"/>
      <c r="D271" s="285"/>
      <c r="J271" s="399"/>
      <c r="AH271" s="171"/>
    </row>
    <row r="272" spans="3:34">
      <c r="C272" s="169"/>
      <c r="D272" s="129" t="s">
        <v>1217</v>
      </c>
      <c r="H272" s="113"/>
      <c r="I272" s="679"/>
      <c r="J272" s="2006"/>
      <c r="AH272" s="171"/>
    </row>
    <row r="273" spans="3:34">
      <c r="C273" s="169"/>
      <c r="D273" s="232"/>
      <c r="E273" s="74" t="s">
        <v>70</v>
      </c>
      <c r="J273" s="399"/>
      <c r="O273" s="349">
        <f>O83</f>
        <v>60.534255794832859</v>
      </c>
      <c r="P273" s="349">
        <f t="shared" ref="P273:AG273" si="138">P83</f>
        <v>63.091258673255872</v>
      </c>
      <c r="Q273" s="349">
        <f t="shared" si="138"/>
        <v>62.80991526910352</v>
      </c>
      <c r="R273" s="349">
        <f t="shared" si="138"/>
        <v>63.303367874883257</v>
      </c>
      <c r="S273" s="349">
        <f t="shared" si="138"/>
        <v>61.965015084339207</v>
      </c>
      <c r="T273" s="349">
        <f t="shared" si="138"/>
        <v>67.286882031948352</v>
      </c>
      <c r="U273" s="349">
        <f t="shared" si="138"/>
        <v>75.58506362530737</v>
      </c>
      <c r="V273" s="349">
        <f t="shared" si="138"/>
        <v>81.951154282827204</v>
      </c>
      <c r="W273" s="349">
        <f t="shared" si="138"/>
        <v>82.082915239904025</v>
      </c>
      <c r="X273" s="349">
        <f t="shared" si="138"/>
        <v>91.203176418956019</v>
      </c>
      <c r="Y273" s="349">
        <f t="shared" si="138"/>
        <v>99.716128510358388</v>
      </c>
      <c r="Z273" s="349">
        <f t="shared" si="138"/>
        <v>109.03630274309995</v>
      </c>
      <c r="AA273" s="349">
        <f t="shared" si="138"/>
        <v>119.26189370243044</v>
      </c>
      <c r="AB273" s="349">
        <f t="shared" si="138"/>
        <v>130.43638889731076</v>
      </c>
      <c r="AC273" s="349">
        <f t="shared" si="138"/>
        <v>137.87237972064599</v>
      </c>
      <c r="AD273" s="349">
        <f t="shared" si="138"/>
        <v>145.77085764436023</v>
      </c>
      <c r="AE273" s="349">
        <f t="shared" si="138"/>
        <v>154.10612458046506</v>
      </c>
      <c r="AF273" s="349">
        <f t="shared" si="138"/>
        <v>162.99843009525856</v>
      </c>
      <c r="AG273" s="349">
        <f t="shared" si="138"/>
        <v>172.34596852414714</v>
      </c>
      <c r="AH273" s="2032"/>
    </row>
    <row r="274" spans="3:34">
      <c r="C274" s="169"/>
      <c r="D274" s="232"/>
      <c r="E274" s="74" t="s">
        <v>398</v>
      </c>
      <c r="J274" s="399"/>
      <c r="O274" s="349">
        <f>+(Summary_FO!O21)*'Rev&amp;RAV_FO'!O85</f>
        <v>2.1147000000000005</v>
      </c>
      <c r="P274" s="349">
        <f>+(Summary_FO!P21)*'Rev&amp;RAV_FO'!P85</f>
        <v>2.617</v>
      </c>
      <c r="Q274" s="349">
        <f>+(Summary_FO!Q21)*'Rev&amp;RAV_FO'!Q85</f>
        <v>2.5640000000000001</v>
      </c>
      <c r="R274" s="349">
        <f>+(Summary_FO!R21)*'Rev&amp;RAV_FO'!R85</f>
        <v>3.6400000000000006</v>
      </c>
      <c r="S274" s="349">
        <f>+(Summary_FO!S21)*'Rev&amp;RAV_FO'!S85</f>
        <v>2.8849999999999998</v>
      </c>
      <c r="T274" s="349">
        <f>+(Summary_FO!T21)*'Rev&amp;RAV_FO'!T85</f>
        <v>3.847</v>
      </c>
      <c r="U274" s="349">
        <f>+(Summary_FO!U21)*'Rev&amp;RAV_FO'!U85</f>
        <v>3.8689999999999998</v>
      </c>
      <c r="V274" s="349">
        <f>+(Summary_FO!V21)*'Rev&amp;RAV_FO'!V85</f>
        <v>4.2831419999999998</v>
      </c>
      <c r="W274" s="349">
        <f>+(Summary_FO!W21)*'Rev&amp;RAV_FO'!W85</f>
        <v>3.5</v>
      </c>
      <c r="X274" s="349">
        <f>+(Summary_FO!X21)*'Rev&amp;RAV_FO'!X85</f>
        <v>4.4411639999999997</v>
      </c>
      <c r="Y274" s="349">
        <f>+(Summary_FO!Y21)*'Rev&amp;RAV_FO'!Y85</f>
        <v>4.6377235799999994</v>
      </c>
      <c r="Z274" s="349">
        <f>+(Summary_FO!Z21)*'Rev&amp;RAV_FO'!Z85</f>
        <v>4.8441276914939992</v>
      </c>
      <c r="AA274" s="349">
        <f>+(Summary_FO!AA21)*'Rev&amp;RAV_FO'!AA85</f>
        <v>5.0608452044504331</v>
      </c>
      <c r="AB274" s="349">
        <f>+(Summary_FO!AB21)*'Rev&amp;RAV_FO'!AB85</f>
        <v>5.288365736663625</v>
      </c>
      <c r="AC274" s="349">
        <f>+(Summary_FO!AC21)*'Rev&amp;RAV_FO'!AC85</f>
        <v>5.5272005159539939</v>
      </c>
      <c r="AD274" s="349">
        <f>+(Summary_FO!AD21)*'Rev&amp;RAV_FO'!AD85</f>
        <v>5.7778832764681702</v>
      </c>
      <c r="AE274" s="349">
        <f>+(Summary_FO!AE21)*'Rev&amp;RAV_FO'!AE85</f>
        <v>6.0409711903764265</v>
      </c>
      <c r="AF274" s="349">
        <f>+(Summary_FO!AF21)*'Rev&amp;RAV_FO'!AF85</f>
        <v>6.3157524198842534</v>
      </c>
      <c r="AG274" s="349">
        <f>+(Summary_FO!AG21)*'Rev&amp;RAV_FO'!AG85</f>
        <v>6.6067142059517288</v>
      </c>
      <c r="AH274" s="2032"/>
    </row>
    <row r="275" spans="3:34">
      <c r="C275" s="169"/>
      <c r="D275" s="232"/>
      <c r="E275" s="74" t="s">
        <v>232</v>
      </c>
      <c r="J275" s="399"/>
      <c r="O275" s="349" t="s">
        <v>1210</v>
      </c>
      <c r="P275" s="349" t="s">
        <v>1210</v>
      </c>
      <c r="Q275" s="349" t="s">
        <v>1210</v>
      </c>
      <c r="R275" s="349" t="s">
        <v>1210</v>
      </c>
      <c r="S275" s="349" t="s">
        <v>1210</v>
      </c>
      <c r="T275" s="349" t="s">
        <v>1210</v>
      </c>
      <c r="U275" s="349" t="s">
        <v>1210</v>
      </c>
      <c r="V275" s="349" t="s">
        <v>1210</v>
      </c>
      <c r="W275" s="349" t="s">
        <v>1210</v>
      </c>
      <c r="X275" s="349" t="s">
        <v>1210</v>
      </c>
      <c r="Y275" s="349" t="s">
        <v>1210</v>
      </c>
      <c r="Z275" s="349" t="s">
        <v>1210</v>
      </c>
      <c r="AA275" s="349" t="s">
        <v>1210</v>
      </c>
      <c r="AB275" s="349" t="s">
        <v>1210</v>
      </c>
      <c r="AC275" s="349" t="s">
        <v>1210</v>
      </c>
      <c r="AD275" s="349" t="s">
        <v>1210</v>
      </c>
      <c r="AE275" s="349" t="s">
        <v>1210</v>
      </c>
      <c r="AF275" s="349" t="s">
        <v>1210</v>
      </c>
      <c r="AG275" s="349" t="s">
        <v>1210</v>
      </c>
      <c r="AH275" s="2032"/>
    </row>
    <row r="276" spans="3:34">
      <c r="C276" s="169"/>
      <c r="D276" s="232"/>
      <c r="E276" s="74" t="s">
        <v>399</v>
      </c>
      <c r="J276" s="399"/>
      <c r="O276" s="349" t="s">
        <v>1210</v>
      </c>
      <c r="P276" s="349" t="s">
        <v>1210</v>
      </c>
      <c r="Q276" s="349" t="s">
        <v>1210</v>
      </c>
      <c r="R276" s="349" t="s">
        <v>1210</v>
      </c>
      <c r="S276" s="349" t="s">
        <v>1210</v>
      </c>
      <c r="T276" s="349" t="s">
        <v>1210</v>
      </c>
      <c r="U276" s="349" t="s">
        <v>1210</v>
      </c>
      <c r="V276" s="349" t="s">
        <v>1210</v>
      </c>
      <c r="W276" s="349" t="s">
        <v>1210</v>
      </c>
      <c r="X276" s="349" t="s">
        <v>1210</v>
      </c>
      <c r="Y276" s="349" t="s">
        <v>1210</v>
      </c>
      <c r="Z276" s="349" t="s">
        <v>1210</v>
      </c>
      <c r="AA276" s="349" t="s">
        <v>1210</v>
      </c>
      <c r="AB276" s="349" t="s">
        <v>1210</v>
      </c>
      <c r="AC276" s="349" t="s">
        <v>1210</v>
      </c>
      <c r="AD276" s="349" t="s">
        <v>1210</v>
      </c>
      <c r="AE276" s="349" t="s">
        <v>1210</v>
      </c>
      <c r="AF276" s="349" t="s">
        <v>1210</v>
      </c>
      <c r="AG276" s="349" t="s">
        <v>1210</v>
      </c>
      <c r="AH276" s="2032"/>
    </row>
    <row r="277" spans="3:34">
      <c r="C277" s="169"/>
      <c r="D277" s="232"/>
      <c r="E277" s="74" t="s">
        <v>182</v>
      </c>
      <c r="J277" s="399"/>
      <c r="K277" s="2033"/>
      <c r="L277" s="2033"/>
      <c r="M277" s="2033"/>
      <c r="N277" s="2033"/>
      <c r="O277" s="349">
        <f t="shared" ref="O277:AG277" si="139">-O84</f>
        <v>0</v>
      </c>
      <c r="P277" s="349">
        <f t="shared" si="139"/>
        <v>-5.2357799573560765E-2</v>
      </c>
      <c r="Q277" s="349">
        <f t="shared" si="139"/>
        <v>-7.5403313432835808E-2</v>
      </c>
      <c r="R277" s="349">
        <f t="shared" si="139"/>
        <v>-0.11322547832267237</v>
      </c>
      <c r="S277" s="349">
        <f t="shared" si="139"/>
        <v>-0.11234437100213221</v>
      </c>
      <c r="T277" s="349">
        <f t="shared" si="139"/>
        <v>-0.47064123880597014</v>
      </c>
      <c r="U277" s="349">
        <f t="shared" si="139"/>
        <v>-0.20808304477611939</v>
      </c>
      <c r="V277" s="349">
        <f t="shared" si="139"/>
        <v>-0.28602246481876331</v>
      </c>
      <c r="W277" s="349">
        <f t="shared" si="139"/>
        <v>0</v>
      </c>
      <c r="X277" s="349">
        <f t="shared" si="139"/>
        <v>0</v>
      </c>
      <c r="Y277" s="349">
        <f t="shared" si="139"/>
        <v>0</v>
      </c>
      <c r="Z277" s="349">
        <f t="shared" si="139"/>
        <v>0</v>
      </c>
      <c r="AA277" s="349">
        <f t="shared" si="139"/>
        <v>0</v>
      </c>
      <c r="AB277" s="349">
        <f t="shared" si="139"/>
        <v>0</v>
      </c>
      <c r="AC277" s="349">
        <f t="shared" si="139"/>
        <v>0</v>
      </c>
      <c r="AD277" s="349">
        <f t="shared" si="139"/>
        <v>0</v>
      </c>
      <c r="AE277" s="349">
        <f t="shared" si="139"/>
        <v>0</v>
      </c>
      <c r="AF277" s="349">
        <f t="shared" si="139"/>
        <v>0</v>
      </c>
      <c r="AG277" s="349">
        <f t="shared" si="139"/>
        <v>0</v>
      </c>
      <c r="AH277" s="2032"/>
    </row>
    <row r="278" spans="3:34">
      <c r="C278" s="169"/>
      <c r="D278" s="232"/>
      <c r="E278" s="74" t="s">
        <v>183</v>
      </c>
      <c r="J278" s="399"/>
      <c r="K278" s="2033"/>
      <c r="L278" s="2033"/>
      <c r="M278" s="2033"/>
      <c r="N278" s="2033"/>
      <c r="O278" s="349">
        <f t="shared" ref="O278:AG278" si="140">-O95</f>
        <v>-42.353000000000002</v>
      </c>
      <c r="P278" s="349">
        <f t="shared" si="140"/>
        <v>-42.171999999999997</v>
      </c>
      <c r="Q278" s="349">
        <f t="shared" si="140"/>
        <v>-47</v>
      </c>
      <c r="R278" s="349">
        <f t="shared" si="140"/>
        <v>-46.06</v>
      </c>
      <c r="S278" s="349">
        <f t="shared" si="140"/>
        <v>-48.03</v>
      </c>
      <c r="T278" s="349">
        <f t="shared" si="140"/>
        <v>-55.453000000000003</v>
      </c>
      <c r="U278" s="349">
        <f t="shared" si="140"/>
        <v>-58.470999999999997</v>
      </c>
      <c r="V278" s="349">
        <f t="shared" si="140"/>
        <v>-60.875999999999991</v>
      </c>
      <c r="W278" s="349">
        <f t="shared" si="140"/>
        <v>-58.988000000000014</v>
      </c>
      <c r="X278" s="349">
        <f t="shared" si="140"/>
        <v>-62.595569722218322</v>
      </c>
      <c r="Y278" s="349">
        <f t="shared" si="140"/>
        <v>-65.185413023756652</v>
      </c>
      <c r="Z278" s="349">
        <f t="shared" si="140"/>
        <v>-66.412045468859063</v>
      </c>
      <c r="AA278" s="349">
        <f t="shared" si="140"/>
        <v>-69.228056368549673</v>
      </c>
      <c r="AB278" s="349">
        <f t="shared" si="140"/>
        <v>-71.23851015206354</v>
      </c>
      <c r="AC278" s="349">
        <f t="shared" si="140"/>
        <v>-74.227093580008471</v>
      </c>
      <c r="AD278" s="349">
        <f t="shared" si="140"/>
        <v>-77.347127908524755</v>
      </c>
      <c r="AE278" s="349">
        <f t="shared" si="140"/>
        <v>-80.604168683142504</v>
      </c>
      <c r="AF278" s="349">
        <f t="shared" si="140"/>
        <v>-84.004373697389113</v>
      </c>
      <c r="AG278" s="349">
        <f t="shared" si="140"/>
        <v>-87.554177852732892</v>
      </c>
      <c r="AH278" s="2032"/>
    </row>
    <row r="279" spans="3:34">
      <c r="C279" s="169"/>
      <c r="D279" s="232"/>
      <c r="E279" s="74" t="s">
        <v>1218</v>
      </c>
      <c r="J279" s="399"/>
      <c r="K279" s="2033"/>
      <c r="L279" s="2033"/>
      <c r="M279" s="2033"/>
      <c r="N279" s="2033"/>
      <c r="O279" s="349">
        <f>-'Rev&amp;RAV_FO'!O120</f>
        <v>-8.0890272510690977</v>
      </c>
      <c r="P279" s="349">
        <f>-'Rev&amp;RAV_FO'!P120</f>
        <v>-3.8731141597134995</v>
      </c>
      <c r="Q279" s="349">
        <f>-'Rev&amp;RAV_FO'!Q120</f>
        <v>-9.3344389961507517</v>
      </c>
      <c r="R279" s="349">
        <f>-'Rev&amp;RAV_FO'!R120</f>
        <v>-9.8576895375245392</v>
      </c>
      <c r="S279" s="349">
        <f>-'Rev&amp;RAV_FO'!S120</f>
        <v>-9.9579784693198388</v>
      </c>
      <c r="T279" s="349">
        <f>-'Rev&amp;RAV_FO'!T120</f>
        <v>-11.253931067346846</v>
      </c>
      <c r="U279" s="349">
        <f>-'Rev&amp;RAV_FO'!U120</f>
        <v>-11.510649688349128</v>
      </c>
      <c r="V279" s="349">
        <f>-'Rev&amp;RAV_FO'!V120</f>
        <v>-12.486738250830383</v>
      </c>
      <c r="W279" s="349">
        <f>-'Rev&amp;RAV_FO'!W120</f>
        <v>-12.241727230345905</v>
      </c>
      <c r="X279" s="349">
        <f ca="1">-'Rev&amp;RAV_FO'!X120</f>
        <v>0</v>
      </c>
      <c r="Y279" s="349">
        <f ca="1">-'Rev&amp;RAV_FO'!Y120</f>
        <v>0</v>
      </c>
      <c r="Z279" s="349">
        <f ca="1">-'Rev&amp;RAV_FO'!Z120</f>
        <v>0</v>
      </c>
      <c r="AA279" s="349">
        <f ca="1">-'Rev&amp;RAV_FO'!AA120</f>
        <v>0</v>
      </c>
      <c r="AB279" s="349">
        <f ca="1">-'Rev&amp;RAV_FO'!AB120</f>
        <v>0</v>
      </c>
      <c r="AC279" s="349">
        <f ca="1">-'Rev&amp;RAV_FO'!AC120</f>
        <v>-4.4794914646218684</v>
      </c>
      <c r="AD279" s="349">
        <f ca="1">-'Rev&amp;RAV_FO'!AD120</f>
        <v>-4.7166900034753434</v>
      </c>
      <c r="AE279" s="349">
        <f ca="1">-'Rev&amp;RAV_FO'!AE120</f>
        <v>-4.9851423499693528</v>
      </c>
      <c r="AF279" s="349">
        <f ca="1">-'Rev&amp;RAV_FO'!AF120</f>
        <v>-5.1830507606642344</v>
      </c>
      <c r="AG279" s="349">
        <f ca="1">-'Rev&amp;RAV_FO'!AG120</f>
        <v>-5.4729433752558352</v>
      </c>
      <c r="AH279" s="1862"/>
    </row>
    <row r="280" spans="3:34">
      <c r="C280" s="169"/>
      <c r="D280" s="232"/>
      <c r="E280" s="74" t="s">
        <v>1211</v>
      </c>
      <c r="J280" s="399"/>
      <c r="K280" s="2033"/>
      <c r="L280" s="2033"/>
      <c r="M280" s="2033"/>
      <c r="N280" s="2033"/>
      <c r="O280" s="349" t="s">
        <v>1210</v>
      </c>
      <c r="P280" s="349" t="s">
        <v>1210</v>
      </c>
      <c r="Q280" s="349" t="s">
        <v>1210</v>
      </c>
      <c r="R280" s="349" t="s">
        <v>1210</v>
      </c>
      <c r="S280" s="349" t="s">
        <v>1210</v>
      </c>
      <c r="T280" s="349" t="s">
        <v>1210</v>
      </c>
      <c r="U280" s="349" t="s">
        <v>1210</v>
      </c>
      <c r="V280" s="349" t="s">
        <v>1210</v>
      </c>
      <c r="W280" s="349" t="s">
        <v>1210</v>
      </c>
      <c r="X280" s="349" t="s">
        <v>1210</v>
      </c>
      <c r="Y280" s="349" t="s">
        <v>1210</v>
      </c>
      <c r="Z280" s="349" t="s">
        <v>1210</v>
      </c>
      <c r="AA280" s="349" t="s">
        <v>1210</v>
      </c>
      <c r="AB280" s="349" t="s">
        <v>1210</v>
      </c>
      <c r="AC280" s="349" t="s">
        <v>1210</v>
      </c>
      <c r="AD280" s="349" t="s">
        <v>1210</v>
      </c>
      <c r="AE280" s="349" t="s">
        <v>1210</v>
      </c>
      <c r="AF280" s="349" t="s">
        <v>1210</v>
      </c>
      <c r="AG280" s="349" t="s">
        <v>1210</v>
      </c>
      <c r="AH280" s="1862"/>
    </row>
    <row r="281" spans="3:34">
      <c r="C281" s="169"/>
      <c r="D281" s="232"/>
      <c r="E281" s="74" t="s">
        <v>186</v>
      </c>
      <c r="J281" s="399"/>
      <c r="K281" s="74"/>
      <c r="L281" s="74"/>
      <c r="M281" s="74"/>
      <c r="N281" s="74"/>
      <c r="O281" s="349">
        <f>-'Rev&amp;RAV_FO'!O114</f>
        <v>-10.100503117363802</v>
      </c>
      <c r="P281" s="349">
        <f>-'Rev&amp;RAV_FO'!P114</f>
        <v>-9.9632281016491007</v>
      </c>
      <c r="Q281" s="349">
        <f>-'Rev&amp;RAV_FO'!Q114</f>
        <v>-9.9294719207342332</v>
      </c>
      <c r="R281" s="349">
        <f>-'Rev&amp;RAV_FO'!R114</f>
        <v>-9.7909508300803267</v>
      </c>
      <c r="S281" s="349">
        <f>-'Rev&amp;RAV_FO'!S114</f>
        <v>-9.7508253039766011</v>
      </c>
      <c r="T281" s="349">
        <f>-'Rev&amp;RAV_FO'!T114</f>
        <v>-10.397776391960408</v>
      </c>
      <c r="U281" s="349">
        <f>-'Rev&amp;RAV_FO'!U114</f>
        <v>-12.120313825987889</v>
      </c>
      <c r="V281" s="349">
        <f>-'Rev&amp;RAV_FO'!V114</f>
        <v>-13.670837753363854</v>
      </c>
      <c r="W281" s="349">
        <f>-'Rev&amp;RAV_FO'!W114</f>
        <v>-14.990595853132069</v>
      </c>
      <c r="X281" s="349">
        <f ca="1">-'Rev&amp;RAV_FO'!X114</f>
        <v>-15.980960870062733</v>
      </c>
      <c r="Y281" s="349">
        <f ca="1">-'Rev&amp;RAV_FO'!Y114</f>
        <v>-17.670116977461639</v>
      </c>
      <c r="Z281" s="349">
        <f ca="1">-'Rev&amp;RAV_FO'!Z114</f>
        <v>-19.41468998274043</v>
      </c>
      <c r="AA281" s="349">
        <f ca="1">-'Rev&amp;RAV_FO'!AA114</f>
        <v>-21.12769812734906</v>
      </c>
      <c r="AB281" s="349">
        <f ca="1">-'Rev&amp;RAV_FO'!AB114</f>
        <v>-23.996043090648048</v>
      </c>
      <c r="AC281" s="349">
        <f ca="1">-'Rev&amp;RAV_FO'!AC114</f>
        <v>-27.437379523025669</v>
      </c>
      <c r="AD281" s="349">
        <f ca="1">-'Rev&amp;RAV_FO'!AD114</f>
        <v>-30.535113523645315</v>
      </c>
      <c r="AE281" s="349">
        <f ca="1">-'Rev&amp;RAV_FO'!AE114</f>
        <v>-31.911770002147048</v>
      </c>
      <c r="AF281" s="349">
        <f ca="1">-'Rev&amp;RAV_FO'!AF114</f>
        <v>-33.434955867405087</v>
      </c>
      <c r="AG281" s="349">
        <f ca="1">-'Rev&amp;RAV_FO'!AG114</f>
        <v>-35.39228405063254</v>
      </c>
      <c r="AH281" s="1862"/>
    </row>
    <row r="282" spans="3:34">
      <c r="C282" s="169"/>
      <c r="D282" s="232"/>
      <c r="J282" s="399"/>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195"/>
    </row>
    <row r="283" spans="3:34">
      <c r="C283" s="169"/>
      <c r="D283" s="939" t="s">
        <v>1212</v>
      </c>
      <c r="E283" s="64"/>
      <c r="F283" s="64"/>
      <c r="G283" s="64"/>
      <c r="H283" s="64"/>
      <c r="I283" s="64"/>
      <c r="J283" s="822"/>
      <c r="K283" s="74"/>
      <c r="L283" s="74"/>
      <c r="M283" s="74"/>
      <c r="N283" s="74"/>
      <c r="O283" s="888">
        <f>+SUM(O273,O274,O277,O278,O279,O281)</f>
        <v>2.1064254263999569</v>
      </c>
      <c r="P283" s="924">
        <f t="shared" ref="P283:AG283" si="141">+SUM(P273,P274,P277,P278,P279,P281)</f>
        <v>9.6475586123197168</v>
      </c>
      <c r="Q283" s="2028">
        <f t="shared" si="141"/>
        <v>-0.96539896121429436</v>
      </c>
      <c r="R283" s="2028">
        <f t="shared" si="141"/>
        <v>1.1215020289557067</v>
      </c>
      <c r="S283" s="2028">
        <f t="shared" si="141"/>
        <v>-3.0011330599593737</v>
      </c>
      <c r="T283" s="2028">
        <f t="shared" si="141"/>
        <v>-6.4414666661648781</v>
      </c>
      <c r="U283" s="2028">
        <f t="shared" si="141"/>
        <v>-2.8559829338057607</v>
      </c>
      <c r="V283" s="2028">
        <f t="shared" si="141"/>
        <v>-1.0853021861857819</v>
      </c>
      <c r="W283" s="2029">
        <f t="shared" si="141"/>
        <v>-0.6374078435739623</v>
      </c>
      <c r="X283" s="2028">
        <f t="shared" ca="1" si="141"/>
        <v>17.067809826674967</v>
      </c>
      <c r="Y283" s="2028">
        <f t="shared" ca="1" si="141"/>
        <v>21.498322089140096</v>
      </c>
      <c r="Z283" s="2028">
        <f t="shared" ca="1" si="141"/>
        <v>28.053694982994454</v>
      </c>
      <c r="AA283" s="2028">
        <f t="shared" ca="1" si="141"/>
        <v>33.966984410982136</v>
      </c>
      <c r="AB283" s="2029">
        <f t="shared" ca="1" si="141"/>
        <v>40.490201391262801</v>
      </c>
      <c r="AC283" s="2028">
        <f t="shared" ca="1" si="141"/>
        <v>37.255615668943989</v>
      </c>
      <c r="AD283" s="2028">
        <f t="shared" ca="1" si="141"/>
        <v>38.949809485182989</v>
      </c>
      <c r="AE283" s="2028">
        <f t="shared" ca="1" si="141"/>
        <v>42.646014735582597</v>
      </c>
      <c r="AF283" s="2028">
        <f t="shared" ca="1" si="141"/>
        <v>46.691802189684388</v>
      </c>
      <c r="AG283" s="2029">
        <f t="shared" ca="1" si="141"/>
        <v>50.533277451477602</v>
      </c>
      <c r="AH283" s="171"/>
    </row>
    <row r="284" spans="3:34">
      <c r="C284" s="169"/>
      <c r="I284" s="70"/>
      <c r="J284" s="399"/>
      <c r="K284" s="74"/>
      <c r="L284" s="74"/>
      <c r="M284" s="74"/>
      <c r="N284" s="74"/>
      <c r="O284" s="74"/>
      <c r="P284" s="74"/>
      <c r="Q284" s="74"/>
      <c r="R284" s="74"/>
      <c r="S284" s="74"/>
      <c r="AH284" s="171"/>
    </row>
    <row r="285" spans="3:34">
      <c r="C285" s="169"/>
      <c r="D285" s="2036" t="s">
        <v>1201</v>
      </c>
      <c r="I285" s="70"/>
      <c r="J285" s="399"/>
      <c r="AH285" s="171"/>
    </row>
    <row r="286" spans="3:34">
      <c r="C286" s="169"/>
      <c r="I286" s="70"/>
      <c r="J286" s="399"/>
      <c r="AH286" s="171"/>
    </row>
    <row r="287" spans="3:34">
      <c r="C287" s="169"/>
      <c r="D287" s="104" t="s">
        <v>1214</v>
      </c>
      <c r="I287" s="70"/>
      <c r="J287" s="399"/>
      <c r="AH287" s="171"/>
    </row>
    <row r="288" spans="3:34">
      <c r="C288" s="169"/>
      <c r="E288" s="70" t="s">
        <v>1213</v>
      </c>
      <c r="I288" s="70"/>
      <c r="J288" s="399"/>
      <c r="O288" s="123">
        <f>O283</f>
        <v>2.1064254263999569</v>
      </c>
      <c r="P288" s="123">
        <f t="shared" ref="P288:AG288" si="142">P283</f>
        <v>9.6475586123197168</v>
      </c>
      <c r="Q288" s="123">
        <f t="shared" si="142"/>
        <v>-0.96539896121429436</v>
      </c>
      <c r="R288" s="123">
        <f t="shared" si="142"/>
        <v>1.1215020289557067</v>
      </c>
      <c r="S288" s="123">
        <f t="shared" si="142"/>
        <v>-3.0011330599593737</v>
      </c>
      <c r="T288" s="123">
        <f t="shared" si="142"/>
        <v>-6.4414666661648781</v>
      </c>
      <c r="U288" s="123">
        <f t="shared" si="142"/>
        <v>-2.8559829338057607</v>
      </c>
      <c r="V288" s="123">
        <f t="shared" si="142"/>
        <v>-1.0853021861857819</v>
      </c>
      <c r="W288" s="123">
        <f t="shared" si="142"/>
        <v>-0.6374078435739623</v>
      </c>
      <c r="X288" s="123">
        <f t="shared" ca="1" si="142"/>
        <v>17.067809826674967</v>
      </c>
      <c r="Y288" s="123">
        <f t="shared" ca="1" si="142"/>
        <v>21.498322089140096</v>
      </c>
      <c r="Z288" s="123">
        <f t="shared" ca="1" si="142"/>
        <v>28.053694982994454</v>
      </c>
      <c r="AA288" s="123">
        <f t="shared" ca="1" si="142"/>
        <v>33.966984410982136</v>
      </c>
      <c r="AB288" s="123">
        <f t="shared" ca="1" si="142"/>
        <v>40.490201391262801</v>
      </c>
      <c r="AC288" s="123">
        <f t="shared" ca="1" si="142"/>
        <v>37.255615668943989</v>
      </c>
      <c r="AD288" s="123">
        <f t="shared" ca="1" si="142"/>
        <v>38.949809485182989</v>
      </c>
      <c r="AE288" s="123">
        <f t="shared" ca="1" si="142"/>
        <v>42.646014735582597</v>
      </c>
      <c r="AF288" s="123">
        <f t="shared" ca="1" si="142"/>
        <v>46.691802189684388</v>
      </c>
      <c r="AG288" s="123">
        <f t="shared" ca="1" si="142"/>
        <v>50.533277451477602</v>
      </c>
      <c r="AH288" s="670"/>
    </row>
    <row r="289" spans="3:34">
      <c r="C289" s="169"/>
      <c r="E289" s="70" t="s">
        <v>189</v>
      </c>
      <c r="I289" s="70"/>
      <c r="J289" s="399"/>
      <c r="O289" s="123">
        <f>-O281</f>
        <v>10.100503117363802</v>
      </c>
      <c r="P289" s="123">
        <f t="shared" ref="P289:AG289" si="143">-P281</f>
        <v>9.9632281016491007</v>
      </c>
      <c r="Q289" s="123">
        <f t="shared" si="143"/>
        <v>9.9294719207342332</v>
      </c>
      <c r="R289" s="123">
        <f t="shared" si="143"/>
        <v>9.7909508300803267</v>
      </c>
      <c r="S289" s="123">
        <f t="shared" si="143"/>
        <v>9.7508253039766011</v>
      </c>
      <c r="T289" s="123">
        <f t="shared" si="143"/>
        <v>10.397776391960408</v>
      </c>
      <c r="U289" s="123">
        <f t="shared" si="143"/>
        <v>12.120313825987889</v>
      </c>
      <c r="V289" s="123">
        <f t="shared" si="143"/>
        <v>13.670837753363854</v>
      </c>
      <c r="W289" s="123">
        <f t="shared" si="143"/>
        <v>14.990595853132069</v>
      </c>
      <c r="X289" s="123">
        <f t="shared" ca="1" si="143"/>
        <v>15.980960870062733</v>
      </c>
      <c r="Y289" s="123">
        <f t="shared" ca="1" si="143"/>
        <v>17.670116977461639</v>
      </c>
      <c r="Z289" s="123">
        <f t="shared" ca="1" si="143"/>
        <v>19.41468998274043</v>
      </c>
      <c r="AA289" s="123">
        <f t="shared" ca="1" si="143"/>
        <v>21.12769812734906</v>
      </c>
      <c r="AB289" s="123">
        <f t="shared" ca="1" si="143"/>
        <v>23.996043090648048</v>
      </c>
      <c r="AC289" s="123">
        <f t="shared" ca="1" si="143"/>
        <v>27.437379523025669</v>
      </c>
      <c r="AD289" s="123">
        <f t="shared" ca="1" si="143"/>
        <v>30.535113523645315</v>
      </c>
      <c r="AE289" s="123">
        <f t="shared" ca="1" si="143"/>
        <v>31.911770002147048</v>
      </c>
      <c r="AF289" s="123">
        <f t="shared" ca="1" si="143"/>
        <v>33.434955867405087</v>
      </c>
      <c r="AG289" s="123">
        <f t="shared" ca="1" si="143"/>
        <v>35.39228405063254</v>
      </c>
      <c r="AH289" s="670"/>
    </row>
    <row r="290" spans="3:34">
      <c r="C290" s="169"/>
      <c r="E290" s="70" t="s">
        <v>190</v>
      </c>
      <c r="I290" s="70"/>
      <c r="J290" s="399"/>
      <c r="O290" s="2084">
        <v>0</v>
      </c>
      <c r="P290" s="2084">
        <v>0</v>
      </c>
      <c r="Q290" s="2084">
        <v>0</v>
      </c>
      <c r="R290" s="2084">
        <v>0</v>
      </c>
      <c r="S290" s="2084">
        <v>0</v>
      </c>
      <c r="T290" s="2084">
        <v>0</v>
      </c>
      <c r="U290" s="2084">
        <v>0</v>
      </c>
      <c r="V290" s="2084">
        <v>0</v>
      </c>
      <c r="W290" s="2084">
        <v>0</v>
      </c>
      <c r="X290" s="2084">
        <v>0</v>
      </c>
      <c r="Y290" s="2084">
        <v>0</v>
      </c>
      <c r="Z290" s="2084">
        <v>0</v>
      </c>
      <c r="AA290" s="2084">
        <v>0</v>
      </c>
      <c r="AB290" s="2084">
        <v>0</v>
      </c>
      <c r="AC290" s="2084">
        <v>0</v>
      </c>
      <c r="AD290" s="2084">
        <v>0</v>
      </c>
      <c r="AE290" s="2084">
        <v>0</v>
      </c>
      <c r="AF290" s="2084">
        <v>0</v>
      </c>
      <c r="AG290" s="2084">
        <v>0</v>
      </c>
      <c r="AH290" s="171"/>
    </row>
    <row r="291" spans="3:34">
      <c r="C291" s="169"/>
      <c r="E291" s="70" t="s">
        <v>191</v>
      </c>
      <c r="I291" s="70"/>
      <c r="J291" s="399"/>
      <c r="O291" s="349">
        <f>+O289</f>
        <v>10.100503117363802</v>
      </c>
      <c r="P291" s="349">
        <f>+P289</f>
        <v>9.9632281016491007</v>
      </c>
      <c r="Q291" s="349">
        <f t="shared" ref="Q291:AG291" si="144">+Q289</f>
        <v>9.9294719207342332</v>
      </c>
      <c r="R291" s="349">
        <f t="shared" si="144"/>
        <v>9.7909508300803267</v>
      </c>
      <c r="S291" s="349">
        <f t="shared" si="144"/>
        <v>9.7508253039766011</v>
      </c>
      <c r="T291" s="349">
        <f t="shared" si="144"/>
        <v>10.397776391960408</v>
      </c>
      <c r="U291" s="349">
        <f t="shared" si="144"/>
        <v>12.120313825987889</v>
      </c>
      <c r="V291" s="349">
        <f t="shared" si="144"/>
        <v>13.670837753363854</v>
      </c>
      <c r="W291" s="349">
        <f t="shared" si="144"/>
        <v>14.990595853132069</v>
      </c>
      <c r="X291" s="349">
        <f t="shared" ca="1" si="144"/>
        <v>15.980960870062733</v>
      </c>
      <c r="Y291" s="349">
        <f t="shared" ca="1" si="144"/>
        <v>17.670116977461639</v>
      </c>
      <c r="Z291" s="349">
        <f t="shared" ca="1" si="144"/>
        <v>19.41468998274043</v>
      </c>
      <c r="AA291" s="349">
        <f t="shared" ca="1" si="144"/>
        <v>21.12769812734906</v>
      </c>
      <c r="AB291" s="349">
        <f t="shared" ca="1" si="144"/>
        <v>23.996043090648048</v>
      </c>
      <c r="AC291" s="349">
        <f t="shared" ca="1" si="144"/>
        <v>27.437379523025669</v>
      </c>
      <c r="AD291" s="349">
        <f t="shared" ca="1" si="144"/>
        <v>30.535113523645315</v>
      </c>
      <c r="AE291" s="349">
        <f t="shared" ca="1" si="144"/>
        <v>31.911770002147048</v>
      </c>
      <c r="AF291" s="349">
        <f t="shared" ca="1" si="144"/>
        <v>33.434955867405087</v>
      </c>
      <c r="AG291" s="349">
        <f t="shared" ca="1" si="144"/>
        <v>35.39228405063254</v>
      </c>
      <c r="AH291" s="171"/>
    </row>
    <row r="292" spans="3:34">
      <c r="C292" s="169"/>
      <c r="I292" s="70"/>
      <c r="J292" s="399"/>
      <c r="AH292" s="171"/>
    </row>
    <row r="293" spans="3:34">
      <c r="C293" s="169"/>
      <c r="D293" s="939"/>
      <c r="E293" s="940"/>
      <c r="F293" s="940"/>
      <c r="G293" s="940"/>
      <c r="H293" s="2034" t="s">
        <v>611</v>
      </c>
      <c r="I293" s="940"/>
      <c r="J293" s="927"/>
      <c r="K293" s="2028"/>
      <c r="L293" s="2028"/>
      <c r="M293" s="2028"/>
      <c r="N293" s="2028"/>
      <c r="O293" s="2028">
        <f>+IF(ISERROR(SUM(O288:O289)/O291),0,SUM(O288:O289)/O291)</f>
        <v>1.208546584454669</v>
      </c>
      <c r="P293" s="2123">
        <f t="shared" ref="P293:AG293" si="145">+IF(ISERROR(SUM(P288:P289)/P291),0,SUM(P288:P289)/P291)</f>
        <v>1.9683165449883522</v>
      </c>
      <c r="Q293" s="2028">
        <f t="shared" si="145"/>
        <v>0.90277439032800966</v>
      </c>
      <c r="R293" s="2028">
        <f t="shared" si="145"/>
        <v>1.1145447514157831</v>
      </c>
      <c r="S293" s="2028">
        <f t="shared" si="145"/>
        <v>0.69221753375732764</v>
      </c>
      <c r="T293" s="2028">
        <f t="shared" si="145"/>
        <v>0.38049574992347018</v>
      </c>
      <c r="U293" s="2028">
        <f t="shared" si="145"/>
        <v>0.7643639451247477</v>
      </c>
      <c r="V293" s="2028">
        <f t="shared" si="145"/>
        <v>0.92061187428555857</v>
      </c>
      <c r="W293" s="2029">
        <f t="shared" si="145"/>
        <v>0.9574794858177178</v>
      </c>
      <c r="X293" s="2028">
        <f t="shared" ca="1" si="145"/>
        <v>2.0680089867842826</v>
      </c>
      <c r="Y293" s="2028">
        <f t="shared" ca="1" si="145"/>
        <v>2.2166485437850447</v>
      </c>
      <c r="Z293" s="2028">
        <f t="shared" ca="1" si="145"/>
        <v>2.4449725959020752</v>
      </c>
      <c r="AA293" s="2028">
        <f t="shared" ca="1" si="145"/>
        <v>2.6076992489311022</v>
      </c>
      <c r="AB293" s="2029">
        <f t="shared" ca="1" si="145"/>
        <v>2.6873699233788675</v>
      </c>
      <c r="AC293" s="2028">
        <f t="shared" ca="1" si="145"/>
        <v>2.3578416130330075</v>
      </c>
      <c r="AD293" s="2028">
        <f t="shared" ca="1" si="145"/>
        <v>2.2755744122261614</v>
      </c>
      <c r="AE293" s="2028">
        <f t="shared" ca="1" si="145"/>
        <v>2.3363725901983297</v>
      </c>
      <c r="AF293" s="2028">
        <f t="shared" ca="1" si="145"/>
        <v>2.3964965999911212</v>
      </c>
      <c r="AG293" s="2029">
        <f t="shared" ca="1" si="145"/>
        <v>2.4278049243497315</v>
      </c>
      <c r="AH293" s="171"/>
    </row>
    <row r="294" spans="3:34">
      <c r="C294" s="169"/>
      <c r="H294" s="1402"/>
      <c r="I294" s="70"/>
      <c r="J294" s="399"/>
      <c r="O294" s="1957">
        <f>IF(O293&gt;1.5,0,1)</f>
        <v>1</v>
      </c>
      <c r="P294" s="1957">
        <f t="shared" ref="P294:AG294" si="146">IF(P293&gt;1.5,0,1)</f>
        <v>0</v>
      </c>
      <c r="Q294" s="1957">
        <f t="shared" si="146"/>
        <v>1</v>
      </c>
      <c r="R294" s="1957">
        <f t="shared" si="146"/>
        <v>1</v>
      </c>
      <c r="S294" s="1957">
        <f t="shared" si="146"/>
        <v>1</v>
      </c>
      <c r="T294" s="1957">
        <f t="shared" si="146"/>
        <v>1</v>
      </c>
      <c r="U294" s="1957">
        <f t="shared" si="146"/>
        <v>1</v>
      </c>
      <c r="V294" s="1957">
        <f t="shared" si="146"/>
        <v>1</v>
      </c>
      <c r="W294" s="1957">
        <f t="shared" si="146"/>
        <v>1</v>
      </c>
      <c r="X294" s="1957">
        <f t="shared" ca="1" si="146"/>
        <v>0</v>
      </c>
      <c r="Y294" s="1957">
        <f t="shared" ca="1" si="146"/>
        <v>0</v>
      </c>
      <c r="Z294" s="1957">
        <f t="shared" ca="1" si="146"/>
        <v>0</v>
      </c>
      <c r="AA294" s="1957">
        <f t="shared" ca="1" si="146"/>
        <v>0</v>
      </c>
      <c r="AB294" s="1957">
        <f t="shared" ca="1" si="146"/>
        <v>0</v>
      </c>
      <c r="AC294" s="1957">
        <f t="shared" ca="1" si="146"/>
        <v>0</v>
      </c>
      <c r="AD294" s="1957">
        <f t="shared" ca="1" si="146"/>
        <v>0</v>
      </c>
      <c r="AE294" s="1957">
        <f t="shared" ca="1" si="146"/>
        <v>0</v>
      </c>
      <c r="AF294" s="1957">
        <f t="shared" ca="1" si="146"/>
        <v>0</v>
      </c>
      <c r="AG294" s="1957">
        <f t="shared" ca="1" si="146"/>
        <v>0</v>
      </c>
      <c r="AH294" s="171"/>
    </row>
    <row r="295" spans="3:34">
      <c r="C295" s="169"/>
      <c r="H295" s="1402"/>
      <c r="I295" s="70"/>
      <c r="J295" s="399"/>
      <c r="AH295" s="171"/>
    </row>
    <row r="296" spans="3:34">
      <c r="C296" s="169"/>
      <c r="D296" s="104" t="s">
        <v>1215</v>
      </c>
      <c r="H296" s="1402"/>
      <c r="I296" s="70"/>
      <c r="J296" s="399"/>
      <c r="AH296" s="171"/>
    </row>
    <row r="297" spans="3:34">
      <c r="C297" s="169"/>
      <c r="E297" s="70" t="s">
        <v>1216</v>
      </c>
      <c r="H297" s="1402"/>
      <c r="I297" s="70"/>
      <c r="J297" s="399"/>
      <c r="O297" s="123">
        <f t="shared" ref="O297:AG297" si="147">O283</f>
        <v>2.1064254263999569</v>
      </c>
      <c r="P297" s="123">
        <f t="shared" si="147"/>
        <v>9.6475586123197168</v>
      </c>
      <c r="Q297" s="123">
        <f t="shared" si="147"/>
        <v>-0.96539896121429436</v>
      </c>
      <c r="R297" s="123">
        <f t="shared" si="147"/>
        <v>1.1215020289557067</v>
      </c>
      <c r="S297" s="123">
        <f t="shared" si="147"/>
        <v>-3.0011330599593737</v>
      </c>
      <c r="T297" s="123">
        <f t="shared" si="147"/>
        <v>-6.4414666661648781</v>
      </c>
      <c r="U297" s="123">
        <f t="shared" si="147"/>
        <v>-2.8559829338057607</v>
      </c>
      <c r="V297" s="123">
        <f t="shared" si="147"/>
        <v>-1.0853021861857819</v>
      </c>
      <c r="W297" s="123">
        <f t="shared" si="147"/>
        <v>-0.6374078435739623</v>
      </c>
      <c r="X297" s="123">
        <f t="shared" ca="1" si="147"/>
        <v>17.067809826674967</v>
      </c>
      <c r="Y297" s="123">
        <f t="shared" ca="1" si="147"/>
        <v>21.498322089140096</v>
      </c>
      <c r="Z297" s="123">
        <f t="shared" ca="1" si="147"/>
        <v>28.053694982994454</v>
      </c>
      <c r="AA297" s="123">
        <f t="shared" ca="1" si="147"/>
        <v>33.966984410982136</v>
      </c>
      <c r="AB297" s="123">
        <f t="shared" ca="1" si="147"/>
        <v>40.490201391262801</v>
      </c>
      <c r="AC297" s="123">
        <f t="shared" ca="1" si="147"/>
        <v>37.255615668943989</v>
      </c>
      <c r="AD297" s="123">
        <f t="shared" ca="1" si="147"/>
        <v>38.949809485182989</v>
      </c>
      <c r="AE297" s="123">
        <f t="shared" ca="1" si="147"/>
        <v>42.646014735582597</v>
      </c>
      <c r="AF297" s="123">
        <f t="shared" ca="1" si="147"/>
        <v>46.691802189684388</v>
      </c>
      <c r="AG297" s="123">
        <f t="shared" ca="1" si="147"/>
        <v>50.533277451477602</v>
      </c>
      <c r="AH297" s="171"/>
    </row>
    <row r="298" spans="3:34">
      <c r="C298" s="169"/>
      <c r="E298" s="70" t="s">
        <v>1230</v>
      </c>
      <c r="H298" s="1402"/>
      <c r="I298" s="70"/>
      <c r="J298" s="399"/>
      <c r="O298" s="123">
        <f>'Rev&amp;RAV_FO'!O104*'Rev&amp;RAV_FO'!O85</f>
        <v>160.55977058653031</v>
      </c>
      <c r="P298" s="123">
        <f>'Rev&amp;RAV_FO'!P104*'Rev&amp;RAV_FO'!P85</f>
        <v>165.99195174965018</v>
      </c>
      <c r="Q298" s="123">
        <f>'Rev&amp;RAV_FO'!Q104*'Rev&amp;RAV_FO'!Q85</f>
        <v>172.02698571716192</v>
      </c>
      <c r="R298" s="123">
        <f>'Rev&amp;RAV_FO'!R104*'Rev&amp;RAV_FO'!R85</f>
        <v>182.44780286585393</v>
      </c>
      <c r="S298" s="123">
        <f>'Rev&amp;RAV_FO'!S104*'Rev&amp;RAV_FO'!S85</f>
        <v>196.34137785444514</v>
      </c>
      <c r="T298" s="123">
        <f>'Rev&amp;RAV_FO'!T104*'Rev&amp;RAV_FO'!T85</f>
        <v>220.72667524079955</v>
      </c>
      <c r="U298" s="123">
        <f>'Rev&amp;RAV_FO'!U104*'Rev&amp;RAV_FO'!U85</f>
        <v>249.39752898164141</v>
      </c>
      <c r="V298" s="123">
        <f>'Rev&amp;RAV_FO'!V104*'Rev&amp;RAV_FO'!V85</f>
        <v>284.34012602341352</v>
      </c>
      <c r="W298" s="123">
        <f>'Rev&amp;RAV_FO'!W104*'Rev&amp;RAV_FO'!W85</f>
        <v>308.6921352558129</v>
      </c>
      <c r="X298" s="123">
        <f ca="1">'Rev&amp;RAV_FO'!X104*'Rev&amp;RAV_FO'!X85</f>
        <v>325.24729662200178</v>
      </c>
      <c r="Y298" s="123">
        <f ca="1">'Rev&amp;RAV_FO'!Y104*'Rev&amp;RAV_FO'!Y85</f>
        <v>352.90991258453982</v>
      </c>
      <c r="Z298" s="123">
        <f ca="1">'Rev&amp;RAV_FO'!Z104*'Rev&amp;RAV_FO'!Z85</f>
        <v>377.8296807044714</v>
      </c>
      <c r="AA298" s="123">
        <f ca="1">'Rev&amp;RAV_FO'!AA104*'Rev&amp;RAV_FO'!AA85</f>
        <v>401.55478872234249</v>
      </c>
      <c r="AB298" s="123">
        <f ca="1">'Rev&amp;RAV_FO'!AB104*'Rev&amp;RAV_FO'!AB85</f>
        <v>435.0876862690526</v>
      </c>
      <c r="AC298" s="123">
        <f ca="1">'Rev&amp;RAV_FO'!AC104*'Rev&amp;RAV_FO'!AC85</f>
        <v>473.46234325891345</v>
      </c>
      <c r="AD298" s="123">
        <f ca="1">'Rev&amp;RAV_FO'!AD104*'Rev&amp;RAV_FO'!AD85</f>
        <v>508.57527041988845</v>
      </c>
      <c r="AE298" s="123">
        <f ca="1">'Rev&amp;RAV_FO'!AE104*'Rev&amp;RAV_FO'!AE85</f>
        <v>539.75221152761264</v>
      </c>
      <c r="AF298" s="123">
        <f ca="1">'Rev&amp;RAV_FO'!AF104*'Rev&amp;RAV_FO'!AF85</f>
        <v>572.193039334025</v>
      </c>
      <c r="AG298" s="123">
        <f ca="1">'Rev&amp;RAV_FO'!AG104*'Rev&amp;RAV_FO'!AG85</f>
        <v>605.69000480263776</v>
      </c>
      <c r="AH298" s="171"/>
    </row>
    <row r="299" spans="3:34">
      <c r="C299" s="169"/>
      <c r="E299" s="70" t="s">
        <v>194</v>
      </c>
      <c r="H299" s="1402"/>
      <c r="I299" s="70"/>
      <c r="J299" s="399"/>
      <c r="O299" s="378" t="s">
        <v>1210</v>
      </c>
      <c r="P299" s="378" t="s">
        <v>1210</v>
      </c>
      <c r="Q299" s="378" t="s">
        <v>1210</v>
      </c>
      <c r="R299" s="378" t="s">
        <v>1210</v>
      </c>
      <c r="S299" s="378" t="s">
        <v>1210</v>
      </c>
      <c r="T299" s="378" t="s">
        <v>1210</v>
      </c>
      <c r="U299" s="378" t="s">
        <v>1210</v>
      </c>
      <c r="V299" s="378" t="s">
        <v>1210</v>
      </c>
      <c r="W299" s="378" t="s">
        <v>1210</v>
      </c>
      <c r="X299" s="378" t="s">
        <v>1210</v>
      </c>
      <c r="Y299" s="378" t="s">
        <v>1210</v>
      </c>
      <c r="Z299" s="378" t="s">
        <v>1210</v>
      </c>
      <c r="AA299" s="378" t="s">
        <v>1210</v>
      </c>
      <c r="AB299" s="378" t="s">
        <v>1210</v>
      </c>
      <c r="AC299" s="378" t="s">
        <v>1210</v>
      </c>
      <c r="AD299" s="378" t="s">
        <v>1210</v>
      </c>
      <c r="AE299" s="378" t="s">
        <v>1210</v>
      </c>
      <c r="AF299" s="378" t="s">
        <v>1210</v>
      </c>
      <c r="AG299" s="378" t="s">
        <v>1210</v>
      </c>
      <c r="AH299" s="171"/>
    </row>
    <row r="300" spans="3:34">
      <c r="C300" s="169"/>
      <c r="E300" s="70" t="s">
        <v>195</v>
      </c>
      <c r="H300" s="1402"/>
      <c r="I300" s="70"/>
      <c r="J300" s="399"/>
      <c r="O300" s="378">
        <v>0</v>
      </c>
      <c r="P300" s="378">
        <v>0</v>
      </c>
      <c r="Q300" s="378">
        <v>0</v>
      </c>
      <c r="R300" s="378">
        <v>0</v>
      </c>
      <c r="S300" s="378">
        <v>0</v>
      </c>
      <c r="T300" s="378">
        <v>0</v>
      </c>
      <c r="U300" s="378">
        <v>0</v>
      </c>
      <c r="V300" s="378">
        <v>0</v>
      </c>
      <c r="W300" s="378">
        <v>0</v>
      </c>
      <c r="X300" s="378">
        <v>0</v>
      </c>
      <c r="Y300" s="378">
        <v>0</v>
      </c>
      <c r="Z300" s="378">
        <v>0</v>
      </c>
      <c r="AA300" s="378">
        <v>0</v>
      </c>
      <c r="AB300" s="378">
        <v>0</v>
      </c>
      <c r="AC300" s="378">
        <v>0</v>
      </c>
      <c r="AD300" s="378">
        <v>0</v>
      </c>
      <c r="AE300" s="378">
        <v>0</v>
      </c>
      <c r="AF300" s="378">
        <v>0</v>
      </c>
      <c r="AG300" s="378">
        <v>0</v>
      </c>
      <c r="AH300" s="171"/>
    </row>
    <row r="301" spans="3:34">
      <c r="C301" s="169"/>
      <c r="H301" s="1402"/>
      <c r="I301" s="70"/>
      <c r="J301" s="399"/>
      <c r="AH301" s="171"/>
    </row>
    <row r="302" spans="3:34">
      <c r="C302" s="169"/>
      <c r="D302" s="939"/>
      <c r="E302" s="940"/>
      <c r="F302" s="940"/>
      <c r="G302" s="940"/>
      <c r="H302" s="2034" t="s">
        <v>1110</v>
      </c>
      <c r="I302" s="940"/>
      <c r="J302" s="822"/>
      <c r="O302" s="2082">
        <f t="shared" ref="O302:AG302" si="148">+IF(ISERROR(O297/SUM(O298,O300)),0,O297/SUM(O298,O300))</f>
        <v>1.3119260314742063E-2</v>
      </c>
      <c r="P302" s="2083">
        <f t="shared" si="148"/>
        <v>5.8120640854143389E-2</v>
      </c>
      <c r="Q302" s="2083">
        <f t="shared" si="148"/>
        <v>-5.6119041857860289E-3</v>
      </c>
      <c r="R302" s="2083">
        <f t="shared" si="148"/>
        <v>6.146974703665241E-3</v>
      </c>
      <c r="S302" s="2083">
        <f t="shared" si="148"/>
        <v>-1.5285280630882709E-2</v>
      </c>
      <c r="T302" s="2083">
        <f t="shared" si="148"/>
        <v>-2.9183000464885471E-2</v>
      </c>
      <c r="U302" s="2083">
        <f t="shared" si="148"/>
        <v>-1.1451528591592399E-2</v>
      </c>
      <c r="V302" s="2083">
        <f t="shared" si="148"/>
        <v>-3.8169153308190294E-3</v>
      </c>
      <c r="W302" s="2082">
        <f t="shared" si="148"/>
        <v>-2.06486583484138E-3</v>
      </c>
      <c r="X302" s="2083">
        <f t="shared" ca="1" si="148"/>
        <v>5.2476407963848372E-2</v>
      </c>
      <c r="Y302" s="2083">
        <f t="shared" ca="1" si="148"/>
        <v>6.0917308702656964E-2</v>
      </c>
      <c r="Z302" s="2083">
        <f t="shared" ca="1" si="148"/>
        <v>7.4249579680155747E-2</v>
      </c>
      <c r="AA302" s="2083">
        <f t="shared" ca="1" si="148"/>
        <v>8.4588667262710235E-2</v>
      </c>
      <c r="AB302" s="2082">
        <f t="shared" ca="1" si="148"/>
        <v>9.3062163488176003E-2</v>
      </c>
      <c r="AC302" s="2083">
        <f t="shared" ca="1" si="148"/>
        <v>7.8687600396069327E-2</v>
      </c>
      <c r="AD302" s="2083">
        <f t="shared" ca="1" si="148"/>
        <v>7.6586125497264859E-2</v>
      </c>
      <c r="AE302" s="2083">
        <f t="shared" ca="1" si="148"/>
        <v>7.9010356650295835E-2</v>
      </c>
      <c r="AF302" s="2083">
        <f t="shared" ca="1" si="148"/>
        <v>8.1601485827281189E-2</v>
      </c>
      <c r="AG302" s="2082">
        <f t="shared" ca="1" si="148"/>
        <v>8.3430925144527879E-2</v>
      </c>
      <c r="AH302" s="171"/>
    </row>
    <row r="303" spans="3:34">
      <c r="C303" s="169"/>
      <c r="I303" s="70"/>
      <c r="O303" s="1957">
        <f t="shared" ref="O303:AG303" si="149">IF(O302&gt;=0.06,0,1)</f>
        <v>1</v>
      </c>
      <c r="P303" s="1957">
        <f t="shared" si="149"/>
        <v>1</v>
      </c>
      <c r="Q303" s="1957">
        <f t="shared" si="149"/>
        <v>1</v>
      </c>
      <c r="R303" s="1957">
        <f t="shared" si="149"/>
        <v>1</v>
      </c>
      <c r="S303" s="1957">
        <f t="shared" si="149"/>
        <v>1</v>
      </c>
      <c r="T303" s="1957">
        <f t="shared" si="149"/>
        <v>1</v>
      </c>
      <c r="U303" s="1957">
        <f t="shared" si="149"/>
        <v>1</v>
      </c>
      <c r="V303" s="1957">
        <f t="shared" si="149"/>
        <v>1</v>
      </c>
      <c r="W303" s="1957">
        <f t="shared" si="149"/>
        <v>1</v>
      </c>
      <c r="X303" s="1957">
        <f t="shared" ca="1" si="149"/>
        <v>1</v>
      </c>
      <c r="Y303" s="1957">
        <f t="shared" ca="1" si="149"/>
        <v>0</v>
      </c>
      <c r="Z303" s="1957">
        <f t="shared" ca="1" si="149"/>
        <v>0</v>
      </c>
      <c r="AA303" s="1957">
        <f t="shared" ca="1" si="149"/>
        <v>0</v>
      </c>
      <c r="AB303" s="1957">
        <f t="shared" ca="1" si="149"/>
        <v>0</v>
      </c>
      <c r="AC303" s="1957">
        <f t="shared" ca="1" si="149"/>
        <v>0</v>
      </c>
      <c r="AD303" s="1957">
        <f t="shared" ca="1" si="149"/>
        <v>0</v>
      </c>
      <c r="AE303" s="1957">
        <f t="shared" ca="1" si="149"/>
        <v>0</v>
      </c>
      <c r="AF303" s="1957">
        <f t="shared" ca="1" si="149"/>
        <v>0</v>
      </c>
      <c r="AG303" s="1957">
        <f t="shared" ca="1" si="149"/>
        <v>0</v>
      </c>
      <c r="AH303" s="171"/>
    </row>
    <row r="304" spans="3:34">
      <c r="C304" s="169"/>
      <c r="D304" s="2036" t="s">
        <v>1200</v>
      </c>
      <c r="I304" s="70"/>
      <c r="AH304" s="171"/>
    </row>
    <row r="305" spans="3:34">
      <c r="C305" s="169"/>
      <c r="D305" s="2036"/>
      <c r="I305" s="70"/>
      <c r="AH305" s="171"/>
    </row>
    <row r="306" spans="3:34">
      <c r="C306" s="169"/>
      <c r="D306" s="104" t="s">
        <v>199</v>
      </c>
      <c r="H306" s="1402"/>
      <c r="I306" s="70"/>
      <c r="J306" s="399"/>
      <c r="AH306" s="171"/>
    </row>
    <row r="307" spans="3:34">
      <c r="C307" s="169"/>
      <c r="E307" s="70" t="s">
        <v>1213</v>
      </c>
      <c r="H307" s="1402"/>
      <c r="I307" s="70"/>
      <c r="J307" s="399"/>
      <c r="O307" s="378">
        <f t="shared" ref="O307:AG307" si="150">O283</f>
        <v>2.1064254263999569</v>
      </c>
      <c r="P307" s="378">
        <f t="shared" si="150"/>
        <v>9.6475586123197168</v>
      </c>
      <c r="Q307" s="349">
        <f t="shared" si="150"/>
        <v>-0.96539896121429436</v>
      </c>
      <c r="R307" s="349">
        <f t="shared" si="150"/>
        <v>1.1215020289557067</v>
      </c>
      <c r="S307" s="349">
        <f t="shared" si="150"/>
        <v>-3.0011330599593737</v>
      </c>
      <c r="T307" s="349">
        <f t="shared" si="150"/>
        <v>-6.4414666661648781</v>
      </c>
      <c r="U307" s="349">
        <f t="shared" si="150"/>
        <v>-2.8559829338057607</v>
      </c>
      <c r="V307" s="349">
        <f t="shared" si="150"/>
        <v>-1.0853021861857819</v>
      </c>
      <c r="W307" s="349">
        <f t="shared" si="150"/>
        <v>-0.6374078435739623</v>
      </c>
      <c r="X307" s="349">
        <f t="shared" ca="1" si="150"/>
        <v>17.067809826674967</v>
      </c>
      <c r="Y307" s="349">
        <f t="shared" ca="1" si="150"/>
        <v>21.498322089140096</v>
      </c>
      <c r="Z307" s="349">
        <f t="shared" ca="1" si="150"/>
        <v>28.053694982994454</v>
      </c>
      <c r="AA307" s="349">
        <f t="shared" ca="1" si="150"/>
        <v>33.966984410982136</v>
      </c>
      <c r="AB307" s="349">
        <f t="shared" ca="1" si="150"/>
        <v>40.490201391262801</v>
      </c>
      <c r="AC307" s="349">
        <f t="shared" ca="1" si="150"/>
        <v>37.255615668943989</v>
      </c>
      <c r="AD307" s="349">
        <f t="shared" ca="1" si="150"/>
        <v>38.949809485182989</v>
      </c>
      <c r="AE307" s="349">
        <f t="shared" ca="1" si="150"/>
        <v>42.646014735582597</v>
      </c>
      <c r="AF307" s="349">
        <f t="shared" ca="1" si="150"/>
        <v>46.691802189684388</v>
      </c>
      <c r="AG307" s="349">
        <f t="shared" ca="1" si="150"/>
        <v>50.533277451477602</v>
      </c>
      <c r="AH307" s="171"/>
    </row>
    <row r="308" spans="3:34">
      <c r="C308" s="169"/>
      <c r="E308" s="70" t="s">
        <v>200</v>
      </c>
      <c r="H308" s="1402"/>
      <c r="I308" s="70"/>
      <c r="J308" s="399"/>
      <c r="O308" s="378">
        <v>0</v>
      </c>
      <c r="P308" s="378">
        <v>0</v>
      </c>
      <c r="Q308" s="378">
        <v>0</v>
      </c>
      <c r="R308" s="378">
        <v>0</v>
      </c>
      <c r="S308" s="378">
        <v>0</v>
      </c>
      <c r="T308" s="378">
        <v>0</v>
      </c>
      <c r="U308" s="378">
        <v>0</v>
      </c>
      <c r="V308" s="378">
        <v>0</v>
      </c>
      <c r="W308" s="378">
        <v>0</v>
      </c>
      <c r="X308" s="378">
        <v>0</v>
      </c>
      <c r="Y308" s="378">
        <v>0</v>
      </c>
      <c r="Z308" s="378">
        <v>0</v>
      </c>
      <c r="AA308" s="378">
        <v>0</v>
      </c>
      <c r="AB308" s="378">
        <v>0</v>
      </c>
      <c r="AC308" s="378">
        <v>0</v>
      </c>
      <c r="AD308" s="378">
        <v>0</v>
      </c>
      <c r="AE308" s="378">
        <v>0</v>
      </c>
      <c r="AF308" s="378">
        <v>0</v>
      </c>
      <c r="AG308" s="378">
        <v>0</v>
      </c>
      <c r="AH308" s="171"/>
    </row>
    <row r="309" spans="3:34">
      <c r="C309" s="169"/>
      <c r="E309" s="70" t="s">
        <v>201</v>
      </c>
      <c r="H309" s="938"/>
      <c r="J309" s="399"/>
      <c r="O309" s="378">
        <f>(Summary_FO!O19)*'Rev&amp;RAV_FO'!O85</f>
        <v>18.403202</v>
      </c>
      <c r="P309" s="378">
        <f>(Summary_FO!P19)*'Rev&amp;RAV_FO'!P85</f>
        <v>14.2861835</v>
      </c>
      <c r="Q309" s="349">
        <f>(Summary_FO!Q19)*'Rev&amp;RAV_FO'!Q85</f>
        <v>23.974851999999998</v>
      </c>
      <c r="R309" s="349">
        <f>(Summary_FO!R19)*'Rev&amp;RAV_FO'!R85</f>
        <v>25.485249839999998</v>
      </c>
      <c r="S309" s="349">
        <f>(Summary_FO!S19)*'Rev&amp;RAV_FO'!S85</f>
        <v>42.691754000000003</v>
      </c>
      <c r="T309" s="349">
        <f>(Summary_FO!T19)*'Rev&amp;RAV_FO'!T85</f>
        <v>33.946934499999998</v>
      </c>
      <c r="U309" s="349">
        <f>(Summary_FO!U19)*'Rev&amp;RAV_FO'!U85</f>
        <v>42.912672499999999</v>
      </c>
      <c r="V309" s="349">
        <f>(Summary_FO!V19)*'Rev&amp;RAV_FO'!V85</f>
        <v>79.720278190000002</v>
      </c>
      <c r="W309" s="349">
        <f>(Summary_FO!W19)*'Rev&amp;RAV_FO'!W85</f>
        <v>13.967881085972849</v>
      </c>
      <c r="X309" s="349">
        <f>(Summary_FO!X19)*'Rev&amp;RAV_FO'!X85</f>
        <v>55.692981686999993</v>
      </c>
      <c r="Y309" s="349">
        <f>(Summary_FO!Y19)*'Rev&amp;RAV_FO'!Y85</f>
        <v>61.708406407200009</v>
      </c>
      <c r="Z309" s="349">
        <f>(Summary_FO!Z19)*'Rev&amp;RAV_FO'!Z85</f>
        <v>48.080527774442096</v>
      </c>
      <c r="AA309" s="349">
        <f>(Summary_FO!AA19)*'Rev&amp;RAV_FO'!AA85</f>
        <v>57.215161230061732</v>
      </c>
      <c r="AB309" s="349">
        <f>(Summary_FO!AB19)*'Rev&amp;RAV_FO'!AB85</f>
        <v>83.255535508618934</v>
      </c>
      <c r="AC309" s="349">
        <f>(Summary_FO!AC19)*'Rev&amp;RAV_FO'!AC85</f>
        <v>76.425180845490146</v>
      </c>
      <c r="AD309" s="349">
        <f>(Summary_FO!AD19)*'Rev&amp;RAV_FO'!AD85</f>
        <v>75.856400335179032</v>
      </c>
      <c r="AE309" s="349">
        <f>(Summary_FO!AE19)*'Rev&amp;RAV_FO'!AE85</f>
        <v>66.073593756414326</v>
      </c>
      <c r="AF309" s="349">
        <f>(Summary_FO!AF19)*'Rev&amp;RAV_FO'!AF85</f>
        <v>83.100712108364391</v>
      </c>
      <c r="AG309" s="349">
        <f>(Summary_FO!AG19)*'Rev&amp;RAV_FO'!AG85</f>
        <v>72.2013777112561</v>
      </c>
      <c r="AH309" s="171"/>
    </row>
    <row r="310" spans="3:34">
      <c r="C310" s="169"/>
      <c r="E310" s="70" t="s">
        <v>202</v>
      </c>
      <c r="H310" s="938"/>
      <c r="J310" s="399"/>
      <c r="O310" s="378">
        <f>-(Summary_FO!O21)*'Rev&amp;RAV_FO'!O85</f>
        <v>-2.1147000000000005</v>
      </c>
      <c r="P310" s="378">
        <f>-(Summary_FO!P21)*'Rev&amp;RAV_FO'!P85</f>
        <v>-2.617</v>
      </c>
      <c r="Q310" s="349">
        <f>-(Summary_FO!Q21)*'Rev&amp;RAV_FO'!Q85</f>
        <v>-2.5640000000000001</v>
      </c>
      <c r="R310" s="349">
        <f>-(Summary_FO!R21)*'Rev&amp;RAV_FO'!R85</f>
        <v>-3.6400000000000006</v>
      </c>
      <c r="S310" s="349">
        <f>-(Summary_FO!S21)*'Rev&amp;RAV_FO'!S85</f>
        <v>-2.8849999999999998</v>
      </c>
      <c r="T310" s="349">
        <f>-(Summary_FO!T21)*'Rev&amp;RAV_FO'!T85</f>
        <v>-3.847</v>
      </c>
      <c r="U310" s="349">
        <f>-(Summary_FO!U21)*'Rev&amp;RAV_FO'!U85</f>
        <v>-3.8689999999999998</v>
      </c>
      <c r="V310" s="349">
        <f>-(Summary_FO!V21)*'Rev&amp;RAV_FO'!V85</f>
        <v>-4.2831419999999998</v>
      </c>
      <c r="W310" s="349">
        <f>-(Summary_FO!W21)*'Rev&amp;RAV_FO'!W85</f>
        <v>-3.5</v>
      </c>
      <c r="X310" s="349">
        <f>-(Summary_FO!X21)*'Rev&amp;RAV_FO'!X85</f>
        <v>-4.4411639999999997</v>
      </c>
      <c r="Y310" s="349">
        <f>-(Summary_FO!Y21)*'Rev&amp;RAV_FO'!Y85</f>
        <v>-4.6377235799999994</v>
      </c>
      <c r="Z310" s="349">
        <f>-(Summary_FO!Z21)*'Rev&amp;RAV_FO'!Z85</f>
        <v>-4.8441276914939992</v>
      </c>
      <c r="AA310" s="349">
        <f>-(Summary_FO!AA21)*'Rev&amp;RAV_FO'!AA85</f>
        <v>-5.0608452044504331</v>
      </c>
      <c r="AB310" s="349">
        <f>-(Summary_FO!AB21)*'Rev&amp;RAV_FO'!AB85</f>
        <v>-5.288365736663625</v>
      </c>
      <c r="AC310" s="349">
        <f>-(Summary_FO!AC21)*'Rev&amp;RAV_FO'!AC85</f>
        <v>-5.5272005159539939</v>
      </c>
      <c r="AD310" s="349">
        <f>-(Summary_FO!AD21)*'Rev&amp;RAV_FO'!AD85</f>
        <v>-5.7778832764681702</v>
      </c>
      <c r="AE310" s="349">
        <f>-(Summary_FO!AE21)*'Rev&amp;RAV_FO'!AE85</f>
        <v>-6.0409711903764265</v>
      </c>
      <c r="AF310" s="349">
        <f>-(Summary_FO!AF21)*'Rev&amp;RAV_FO'!AF85</f>
        <v>-6.3157524198842534</v>
      </c>
      <c r="AG310" s="349">
        <f>-(Summary_FO!AG21)*'Rev&amp;RAV_FO'!AG85</f>
        <v>-6.6067142059517288</v>
      </c>
      <c r="AH310" s="171"/>
    </row>
    <row r="311" spans="3:34">
      <c r="C311" s="169"/>
      <c r="E311" s="70" t="s">
        <v>203</v>
      </c>
      <c r="H311" s="938"/>
      <c r="J311" s="399"/>
      <c r="O311" s="378">
        <f>-(Summary_FO!O20)*'Rev&amp;RAV_FO'!O85</f>
        <v>0</v>
      </c>
      <c r="P311" s="378">
        <f>-(Summary_FO!P20)*'Rev&amp;RAV_FO'!P85</f>
        <v>0</v>
      </c>
      <c r="Q311" s="349">
        <f>-(Summary_FO!Q20)*'Rev&amp;RAV_FO'!Q85</f>
        <v>0</v>
      </c>
      <c r="R311" s="349">
        <f>-(Summary_FO!R20)*'Rev&amp;RAV_FO'!R85</f>
        <v>-0.36</v>
      </c>
      <c r="S311" s="349">
        <f>-(Summary_FO!S20)*'Rev&amp;RAV_FO'!S85</f>
        <v>-0.24000000000000002</v>
      </c>
      <c r="T311" s="349">
        <f>-(Summary_FO!T20)*'Rev&amp;RAV_FO'!T85</f>
        <v>-0.2</v>
      </c>
      <c r="U311" s="349">
        <f>-(Summary_FO!U20)*'Rev&amp;RAV_FO'!U85</f>
        <v>-0.98849999999999982</v>
      </c>
      <c r="V311" s="349">
        <f>-(Summary_FO!V20)*'Rev&amp;RAV_FO'!V85</f>
        <v>-1.3185000000000002</v>
      </c>
      <c r="W311" s="349">
        <f>-(Summary_FO!W20)*'Rev&amp;RAV_FO'!W85</f>
        <v>0</v>
      </c>
      <c r="X311" s="349">
        <f>-(Summary_FO!X20)*'Rev&amp;RAV_FO'!X85</f>
        <v>-1.0289999999999999</v>
      </c>
      <c r="Y311" s="349">
        <f>-(Summary_FO!Y20)*'Rev&amp;RAV_FO'!Y85</f>
        <v>-3.2771128949999997</v>
      </c>
      <c r="Z311" s="349">
        <f>-(Summary_FO!Z20)*'Rev&amp;RAV_FO'!Z85</f>
        <v>-0.44126669254499995</v>
      </c>
      <c r="AA311" s="349">
        <f>-(Summary_FO!AA20)*'Rev&amp;RAV_FO'!AA85</f>
        <v>0</v>
      </c>
      <c r="AB311" s="349">
        <f>-(Summary_FO!AB20)*'Rev&amp;RAV_FO'!AB85</f>
        <v>0</v>
      </c>
      <c r="AC311" s="349">
        <f>-(Summary_FO!AC20)*'Rev&amp;RAV_FO'!AC85</f>
        <v>0</v>
      </c>
      <c r="AD311" s="349">
        <f>-(Summary_FO!AD20)*'Rev&amp;RAV_FO'!AD85</f>
        <v>0</v>
      </c>
      <c r="AE311" s="349">
        <f>-(Summary_FO!AE20)*'Rev&amp;RAV_FO'!AE85</f>
        <v>0</v>
      </c>
      <c r="AF311" s="349">
        <f>-(Summary_FO!AF20)*'Rev&amp;RAV_FO'!AF85</f>
        <v>0</v>
      </c>
      <c r="AG311" s="349">
        <f>-(Summary_FO!AG20)*'Rev&amp;RAV_FO'!AG85</f>
        <v>0</v>
      </c>
      <c r="AH311" s="171"/>
    </row>
    <row r="312" spans="3:34">
      <c r="C312" s="169"/>
      <c r="H312" s="938"/>
      <c r="J312" s="399"/>
      <c r="O312" s="608"/>
      <c r="P312" s="608"/>
      <c r="Q312" s="608"/>
      <c r="R312" s="608"/>
      <c r="S312" s="608"/>
      <c r="T312" s="608"/>
      <c r="U312" s="608"/>
      <c r="V312" s="608"/>
      <c r="W312" s="608"/>
      <c r="X312" s="608"/>
      <c r="Y312" s="608"/>
      <c r="Z312" s="608"/>
      <c r="AA312" s="608"/>
      <c r="AB312" s="608"/>
      <c r="AC312" s="608"/>
      <c r="AD312" s="608"/>
      <c r="AE312" s="608"/>
      <c r="AF312" s="608"/>
      <c r="AG312" s="608"/>
      <c r="AH312" s="171"/>
    </row>
    <row r="313" spans="3:34">
      <c r="C313" s="169"/>
      <c r="D313" s="939"/>
      <c r="E313" s="940"/>
      <c r="F313" s="940"/>
      <c r="G313" s="940"/>
      <c r="H313" s="937" t="s">
        <v>610</v>
      </c>
      <c r="I313" s="476"/>
      <c r="J313" s="822"/>
      <c r="O313" s="2082">
        <f>+IF(ISERROR(SUM(O307,O308)/SUM(O309:O311)),0,SUM(O307,O308)/SUM(O309:O311))</f>
        <v>0.12931977577802775</v>
      </c>
      <c r="P313" s="2083">
        <f t="shared" ref="P313:AG313" si="151">+IF(ISERROR(SUM(P307,P308)/SUM(P309:P311)),0,SUM(P307,P308)/SUM(P309:P311))</f>
        <v>0.82675524061471117</v>
      </c>
      <c r="Q313" s="2083">
        <f t="shared" si="151"/>
        <v>-4.508923611327071E-2</v>
      </c>
      <c r="R313" s="2083">
        <f t="shared" si="151"/>
        <v>5.2198696189595106E-2</v>
      </c>
      <c r="S313" s="2083">
        <f t="shared" si="151"/>
        <v>-7.5849867794547249E-2</v>
      </c>
      <c r="T313" s="2083">
        <f t="shared" si="151"/>
        <v>-0.21543413970237557</v>
      </c>
      <c r="U313" s="2083">
        <f t="shared" si="151"/>
        <v>-7.5048482142756306E-2</v>
      </c>
      <c r="V313" s="2083">
        <f t="shared" si="151"/>
        <v>-1.4642770590161095E-2</v>
      </c>
      <c r="W313" s="2082">
        <f t="shared" si="151"/>
        <v>-6.0891773448601784E-2</v>
      </c>
      <c r="X313" s="2083">
        <f t="shared" ca="1" si="151"/>
        <v>0.33984174151767899</v>
      </c>
      <c r="Y313" s="2083">
        <f t="shared" ca="1" si="151"/>
        <v>0.39964482960019221</v>
      </c>
      <c r="Z313" s="2083">
        <f t="shared" ca="1" si="151"/>
        <v>0.65553470127249469</v>
      </c>
      <c r="AA313" s="2083">
        <f t="shared" ca="1" si="151"/>
        <v>0.65127849427268969</v>
      </c>
      <c r="AB313" s="2082">
        <f t="shared" ca="1" si="151"/>
        <v>0.5193237295863351</v>
      </c>
      <c r="AC313" s="2083">
        <f t="shared" ca="1" si="151"/>
        <v>0.52548204470393456</v>
      </c>
      <c r="AD313" s="2083">
        <f t="shared" ca="1" si="151"/>
        <v>0.55580242162589355</v>
      </c>
      <c r="AE313" s="2083">
        <f t="shared" ca="1" si="151"/>
        <v>0.7103806715868618</v>
      </c>
      <c r="AF313" s="2083">
        <f t="shared" ca="1" si="151"/>
        <v>0.60808526017484443</v>
      </c>
      <c r="AG313" s="2082">
        <f t="shared" ca="1" si="151"/>
        <v>0.77038702161176853</v>
      </c>
      <c r="AH313" s="171"/>
    </row>
    <row r="314" spans="3:34">
      <c r="C314" s="169"/>
      <c r="J314" s="399"/>
      <c r="O314" s="1957">
        <f>IF(O313&gt;=0.35,0,1)</f>
        <v>1</v>
      </c>
      <c r="P314" s="1957">
        <f t="shared" ref="P314:AG314" si="152">IF(P313&gt;=0.35,0,1)</f>
        <v>0</v>
      </c>
      <c r="Q314" s="1957">
        <f t="shared" si="152"/>
        <v>1</v>
      </c>
      <c r="R314" s="1957">
        <f t="shared" si="152"/>
        <v>1</v>
      </c>
      <c r="S314" s="1957">
        <f t="shared" si="152"/>
        <v>1</v>
      </c>
      <c r="T314" s="1957">
        <f t="shared" si="152"/>
        <v>1</v>
      </c>
      <c r="U314" s="1957">
        <f t="shared" si="152"/>
        <v>1</v>
      </c>
      <c r="V314" s="1957">
        <f t="shared" si="152"/>
        <v>1</v>
      </c>
      <c r="W314" s="1957">
        <f t="shared" si="152"/>
        <v>1</v>
      </c>
      <c r="X314" s="1957">
        <f t="shared" ca="1" si="152"/>
        <v>1</v>
      </c>
      <c r="Y314" s="1957">
        <f t="shared" ca="1" si="152"/>
        <v>0</v>
      </c>
      <c r="Z314" s="1957">
        <f t="shared" ca="1" si="152"/>
        <v>0</v>
      </c>
      <c r="AA314" s="1957">
        <f t="shared" ca="1" si="152"/>
        <v>0</v>
      </c>
      <c r="AB314" s="1957">
        <f t="shared" ca="1" si="152"/>
        <v>0</v>
      </c>
      <c r="AC314" s="1957">
        <f t="shared" ca="1" si="152"/>
        <v>0</v>
      </c>
      <c r="AD314" s="1957">
        <f t="shared" ca="1" si="152"/>
        <v>0</v>
      </c>
      <c r="AE314" s="1957">
        <f t="shared" ca="1" si="152"/>
        <v>0</v>
      </c>
      <c r="AF314" s="1957">
        <f t="shared" ca="1" si="152"/>
        <v>0</v>
      </c>
      <c r="AG314" s="1957">
        <f t="shared" ca="1" si="152"/>
        <v>0</v>
      </c>
      <c r="AH314" s="171"/>
    </row>
    <row r="315" spans="3:34" ht="12.75" thickBot="1">
      <c r="C315" s="182"/>
      <c r="D315" s="183"/>
      <c r="E315" s="183"/>
      <c r="F315" s="183"/>
      <c r="G315" s="183"/>
      <c r="H315" s="183"/>
      <c r="I315" s="199"/>
      <c r="J315" s="838"/>
      <c r="K315" s="183"/>
      <c r="L315" s="183"/>
      <c r="M315" s="183"/>
      <c r="N315" s="183"/>
      <c r="O315" s="838"/>
      <c r="P315" s="838"/>
      <c r="Q315" s="838"/>
      <c r="R315" s="838"/>
      <c r="S315" s="838"/>
      <c r="T315" s="838"/>
      <c r="U315" s="838"/>
      <c r="V315" s="838"/>
      <c r="W315" s="838"/>
      <c r="X315" s="838"/>
      <c r="Y315" s="838"/>
      <c r="Z315" s="838"/>
      <c r="AA315" s="838"/>
      <c r="AB315" s="838"/>
      <c r="AC315" s="838"/>
      <c r="AD315" s="838"/>
      <c r="AE315" s="838"/>
      <c r="AF315" s="838"/>
      <c r="AG315" s="838"/>
      <c r="AH315" s="735"/>
    </row>
  </sheetData>
  <sheetProtection algorithmName="SHA-512" hashValue="Gx8VDSNCq1XTe+WNu3ee9oEuWyYMi0HPgwQ/utwJw4+CrEww2j5l9wVZWbPyvZ+KDgG4UbYUqZ3xabepSb3v9w==" saltValue="W1zAPHThMIzgNlsd5syl1g==" spinCount="100000" sheet="1" objects="1" scenarios="1"/>
  <mergeCells count="30">
    <mergeCell ref="E58:I58"/>
    <mergeCell ref="E59:I59"/>
    <mergeCell ref="E60:I60"/>
    <mergeCell ref="E48:I48"/>
    <mergeCell ref="E49:I49"/>
    <mergeCell ref="E50:I50"/>
    <mergeCell ref="E55:I55"/>
    <mergeCell ref="E56:I56"/>
    <mergeCell ref="E57:I57"/>
    <mergeCell ref="E36:I36"/>
    <mergeCell ref="E37:I37"/>
    <mergeCell ref="E38:I38"/>
    <mergeCell ref="E39:I39"/>
    <mergeCell ref="E40:I40"/>
    <mergeCell ref="B3:F3"/>
    <mergeCell ref="E24:I24"/>
    <mergeCell ref="E25:I25"/>
    <mergeCell ref="E46:I46"/>
    <mergeCell ref="E47:I47"/>
    <mergeCell ref="E16:I16"/>
    <mergeCell ref="E17:I17"/>
    <mergeCell ref="E18:I18"/>
    <mergeCell ref="E19:I19"/>
    <mergeCell ref="E45:I45"/>
    <mergeCell ref="E26:I26"/>
    <mergeCell ref="E27:I27"/>
    <mergeCell ref="E32:I32"/>
    <mergeCell ref="E33:I33"/>
    <mergeCell ref="E34:I34"/>
    <mergeCell ref="E35:I35"/>
  </mergeCells>
  <phoneticPr fontId="0" type="noConversion"/>
  <conditionalFormatting sqref="O226:AG226">
    <cfRule type="cellIs" dxfId="17" priority="19" operator="equal">
      <formula>0</formula>
    </cfRule>
    <cfRule type="notContainsText" dxfId="16" priority="20" operator="notContains" text="0">
      <formula>ISERROR(SEARCH("0",O226))</formula>
    </cfRule>
  </conditionalFormatting>
  <conditionalFormatting sqref="O235:AG235">
    <cfRule type="cellIs" dxfId="15" priority="17" operator="equal">
      <formula>0</formula>
    </cfRule>
    <cfRule type="notContainsText" dxfId="14" priority="18" operator="notContains" text="0">
      <formula>ISERROR(SEARCH("0",O235))</formula>
    </cfRule>
  </conditionalFormatting>
  <conditionalFormatting sqref="O245:AG245">
    <cfRule type="cellIs" dxfId="13" priority="15" operator="equal">
      <formula>0</formula>
    </cfRule>
    <cfRule type="notContainsText" dxfId="12" priority="16" operator="notContains" text="0">
      <formula>ISERROR(SEARCH("0",O245))</formula>
    </cfRule>
  </conditionalFormatting>
  <conditionalFormatting sqref="O254:AG254">
    <cfRule type="cellIs" dxfId="11" priority="9" operator="equal">
      <formula>0</formula>
    </cfRule>
    <cfRule type="notContainsText" dxfId="10" priority="10" operator="notContains" text="0">
      <formula>ISERROR(SEARCH("0",O254))</formula>
    </cfRule>
  </conditionalFormatting>
  <conditionalFormatting sqref="O264:AG264">
    <cfRule type="cellIs" dxfId="9" priority="13" operator="equal">
      <formula>0</formula>
    </cfRule>
    <cfRule type="notContainsText" dxfId="8" priority="14" operator="notContains" text="0">
      <formula>ISERROR(SEARCH("0",O264))</formula>
    </cfRule>
  </conditionalFormatting>
  <conditionalFormatting sqref="O294:AG294">
    <cfRule type="cellIs" dxfId="7" priority="5" operator="equal">
      <formula>0</formula>
    </cfRule>
    <cfRule type="notContainsText" dxfId="6" priority="6" operator="notContains" text="0">
      <formula>ISERROR(SEARCH("0",O294))</formula>
    </cfRule>
  </conditionalFormatting>
  <conditionalFormatting sqref="O303:AG303">
    <cfRule type="cellIs" dxfId="5" priority="3" operator="equal">
      <formula>0</formula>
    </cfRule>
    <cfRule type="notContainsText" dxfId="4" priority="4" operator="notContains" text="0">
      <formula>ISERROR(SEARCH("0",O303))</formula>
    </cfRule>
  </conditionalFormatting>
  <conditionalFormatting sqref="O314:AG314">
    <cfRule type="cellIs" dxfId="3" priority="1" operator="equal">
      <formula>0</formula>
    </cfRule>
    <cfRule type="notContainsText" dxfId="2" priority="2" operator="notContains" text="0">
      <formula>ISERROR(SEARCH("0",O314))</formula>
    </cfRule>
  </conditionalFormatting>
  <hyperlinks>
    <hyperlink ref="B3" location="HL_Home" tooltip="Go to Table of Contents" display="HL_Home" xr:uid="{00000000-0004-0000-1000-000000000000}"/>
  </hyperlinks>
  <pageMargins left="0.39370078740157499" right="0.39370078740157499" top="0.59055118110236249" bottom="0.98425196850393748" header="0" footer="0.31496062992125973"/>
  <pageSetup paperSize="9" scale="74" orientation="landscape" r:id="rId1"/>
  <headerFooter alignWithMargins="0">
    <oddHeader>&amp;C&amp;"Calibri"&amp;12&amp;KFF0000 OFFICIAL&amp;1#_x000D_&amp;"Arial"&amp;8&amp;K000000&amp;B&amp;"Arial"&amp;12&amp;Kff0000​‌OFFICIAL‌​</oddHeader>
    <oddFooter>&amp;C&amp;"Arial,Bold"&amp;8Sheet p.
Page &amp;P of &amp;N&amp;L&amp;"Arial,Bold"&amp;7&amp;F
&amp;A
Printed: &amp;T on &amp;D</oddFooter>
  </headerFooter>
  <rowBreaks count="4" manualBreakCount="4">
    <brk id="64" min="1" max="23" man="1"/>
    <brk id="114" min="1" max="23" man="1"/>
    <brk id="146" min="1" max="23" man="1"/>
    <brk id="198" min="1" max="23" man="1"/>
  </rowBreaks>
  <ignoredErrors>
    <ignoredError sqref="X169" 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F9975-1E57-4545-A276-900BBDCF619A}">
  <sheetPr codeName="Sheet15">
    <tabColor theme="0" tint="-4.9989318521683403E-2"/>
    <pageSetUpPr autoPageBreaks="0"/>
  </sheetPr>
  <dimension ref="A1:T76"/>
  <sheetViews>
    <sheetView showGridLines="0" zoomScale="85" zoomScaleNormal="85" workbookViewId="0">
      <selection activeCell="L27" sqref="L27"/>
    </sheetView>
  </sheetViews>
  <sheetFormatPr defaultColWidth="9.33203125" defaultRowHeight="12"/>
  <cols>
    <col min="1" max="1" width="2.1640625" style="1636" bestFit="1" customWidth="1"/>
    <col min="2" max="2" width="46.33203125" style="1636" customWidth="1"/>
    <col min="3" max="8" width="14.83203125" style="1636" customWidth="1"/>
    <col min="9" max="9" width="5.33203125" style="1636" customWidth="1"/>
    <col min="10" max="10" width="9.33203125" style="1636"/>
    <col min="11" max="11" width="11.5" style="1636" bestFit="1" customWidth="1"/>
    <col min="12" max="12" width="18.83203125" style="1636" bestFit="1" customWidth="1"/>
    <col min="13" max="13" width="32.1640625" style="1636" bestFit="1" customWidth="1"/>
    <col min="14" max="14" width="17.5" style="1636" bestFit="1" customWidth="1"/>
    <col min="15" max="15" width="92.83203125" style="1636" customWidth="1"/>
    <col min="16" max="16384" width="9.33203125" style="1636"/>
  </cols>
  <sheetData>
    <row r="1" spans="1:16">
      <c r="K1" s="1637"/>
      <c r="L1" s="1637"/>
      <c r="M1" s="1637"/>
      <c r="N1" s="1637"/>
      <c r="O1" s="1637"/>
      <c r="P1" s="1637"/>
    </row>
    <row r="2" spans="1:16">
      <c r="K2" s="1637"/>
      <c r="L2" s="1637"/>
      <c r="M2" s="1637"/>
      <c r="N2" s="1637"/>
      <c r="O2" s="1637"/>
      <c r="P2" s="1637"/>
    </row>
    <row r="3" spans="1:16">
      <c r="A3" s="1638">
        <v>1</v>
      </c>
      <c r="B3" s="1639" t="s">
        <v>26</v>
      </c>
      <c r="C3" s="1637" t="s">
        <v>1227</v>
      </c>
      <c r="D3" s="1640"/>
      <c r="E3" s="1640"/>
      <c r="F3" s="1640"/>
      <c r="G3" s="1640"/>
      <c r="H3" s="1640"/>
      <c r="K3" s="1637"/>
      <c r="L3" s="1637"/>
      <c r="M3" s="1637"/>
      <c r="N3" s="1637"/>
      <c r="O3" s="1637"/>
      <c r="P3" s="1637"/>
    </row>
    <row r="4" spans="1:16" ht="15.75">
      <c r="B4" s="1640" t="s">
        <v>1102</v>
      </c>
      <c r="C4" s="1640"/>
      <c r="D4" s="1640"/>
      <c r="E4" s="1640"/>
      <c r="F4" s="1640"/>
      <c r="G4" s="1640"/>
      <c r="H4" s="1640"/>
      <c r="J4" s="2126" t="s">
        <v>950</v>
      </c>
      <c r="K4" s="1637"/>
      <c r="L4" s="1637" t="s">
        <v>1227</v>
      </c>
      <c r="M4" s="1637"/>
      <c r="N4" s="1637"/>
      <c r="O4" s="1637"/>
      <c r="P4" s="1637"/>
    </row>
    <row r="5" spans="1:16">
      <c r="B5" s="1640"/>
      <c r="C5" s="1640"/>
      <c r="D5" s="1640"/>
      <c r="E5" s="1640"/>
      <c r="F5" s="1640"/>
      <c r="G5" s="1640"/>
      <c r="H5" s="1640"/>
      <c r="K5" s="1637"/>
      <c r="L5" s="1637"/>
      <c r="M5" s="1637"/>
      <c r="N5" s="1637"/>
      <c r="O5" s="1637"/>
      <c r="P5" s="1637"/>
    </row>
    <row r="6" spans="1:16" ht="19.5" customHeight="1" thickBot="1">
      <c r="B6" s="1642"/>
      <c r="C6" s="1643" t="s">
        <v>527</v>
      </c>
      <c r="D6" s="1643" t="s">
        <v>528</v>
      </c>
      <c r="E6" s="1643" t="s">
        <v>963</v>
      </c>
      <c r="F6" s="1643" t="s">
        <v>964</v>
      </c>
      <c r="G6" s="1643" t="s">
        <v>965</v>
      </c>
      <c r="H6" s="1643" t="s">
        <v>690</v>
      </c>
      <c r="J6" s="2127" t="s">
        <v>942</v>
      </c>
      <c r="K6" s="2127" t="s">
        <v>951</v>
      </c>
      <c r="L6" s="2127" t="s">
        <v>952</v>
      </c>
      <c r="M6" s="2127" t="s">
        <v>953</v>
      </c>
      <c r="N6" s="2127" t="s">
        <v>954</v>
      </c>
      <c r="O6" s="2127" t="s">
        <v>955</v>
      </c>
      <c r="P6" s="1637"/>
    </row>
    <row r="7" spans="1:16" s="1637" customFormat="1" ht="19.5" customHeight="1" thickBot="1">
      <c r="B7" s="1644" t="s">
        <v>944</v>
      </c>
      <c r="C7" s="1561"/>
      <c r="D7" s="1562"/>
      <c r="E7" s="1562"/>
      <c r="F7" s="1562"/>
      <c r="G7" s="1562"/>
      <c r="H7" s="1563">
        <f>SUM(C7:G7)</f>
        <v>0</v>
      </c>
      <c r="J7" s="1645"/>
      <c r="K7" s="1998"/>
      <c r="L7" s="1999"/>
      <c r="M7" s="1999"/>
      <c r="N7" s="2000"/>
      <c r="O7" s="2000"/>
    </row>
    <row r="8" spans="1:16" s="1637" customFormat="1" ht="25.15" customHeight="1" thickBot="1">
      <c r="B8" s="1644"/>
      <c r="C8" s="1561"/>
      <c r="D8" s="1562"/>
      <c r="E8" s="1562"/>
      <c r="F8" s="1562"/>
      <c r="G8" s="1562"/>
      <c r="H8" s="1563"/>
      <c r="J8" s="1645"/>
      <c r="K8" s="1998"/>
      <c r="L8" s="1999"/>
      <c r="M8" s="1999"/>
      <c r="N8" s="2000"/>
      <c r="O8" s="2000"/>
    </row>
    <row r="9" spans="1:16" s="1637" customFormat="1" ht="45" customHeight="1" thickBot="1">
      <c r="B9" s="1644"/>
      <c r="C9" s="1561"/>
      <c r="D9" s="1562"/>
      <c r="E9" s="1562"/>
      <c r="F9" s="1562"/>
      <c r="G9" s="1562"/>
      <c r="H9" s="1563"/>
      <c r="J9" s="1645"/>
      <c r="K9" s="1998"/>
      <c r="L9" s="1999"/>
      <c r="M9" s="1999"/>
      <c r="N9" s="2000"/>
      <c r="O9" s="2000"/>
    </row>
    <row r="10" spans="1:16" s="1637" customFormat="1" ht="19.899999999999999" customHeight="1" thickBot="1">
      <c r="B10" s="1644"/>
      <c r="C10" s="1561"/>
      <c r="D10" s="1562"/>
      <c r="E10" s="1562"/>
      <c r="F10" s="1562"/>
      <c r="G10" s="1562"/>
      <c r="H10" s="1563"/>
      <c r="J10" s="1645"/>
      <c r="K10" s="1998"/>
      <c r="L10" s="1999"/>
      <c r="M10" s="1999"/>
      <c r="N10" s="2000"/>
      <c r="O10" s="2000"/>
    </row>
    <row r="11" spans="1:16" s="1637" customFormat="1" ht="19.899999999999999" customHeight="1" thickBot="1">
      <c r="B11" s="1644"/>
      <c r="C11" s="1561"/>
      <c r="D11" s="1562"/>
      <c r="E11" s="1562"/>
      <c r="F11" s="1562"/>
      <c r="G11" s="1562"/>
      <c r="H11" s="1563"/>
      <c r="J11" s="1645"/>
      <c r="K11" s="1998"/>
      <c r="L11" s="1999"/>
      <c r="M11" s="1999"/>
      <c r="N11" s="2000"/>
      <c r="O11" s="2000"/>
    </row>
    <row r="12" spans="1:16" s="1637" customFormat="1" ht="19.899999999999999" customHeight="1" thickBot="1">
      <c r="B12" s="1644"/>
      <c r="C12" s="1561"/>
      <c r="D12" s="1562"/>
      <c r="E12" s="1562"/>
      <c r="F12" s="1562"/>
      <c r="G12" s="1562"/>
      <c r="H12" s="1563"/>
      <c r="J12" s="1645"/>
      <c r="K12" s="1995"/>
      <c r="L12" s="1999"/>
      <c r="M12" s="1999"/>
      <c r="N12" s="2000"/>
      <c r="O12" s="2000"/>
    </row>
    <row r="13" spans="1:16" s="1637" customFormat="1" ht="19.899999999999999" customHeight="1" thickBot="1">
      <c r="B13" s="1644"/>
      <c r="C13" s="1561"/>
      <c r="D13" s="1562"/>
      <c r="E13" s="1562"/>
      <c r="F13" s="1562"/>
      <c r="G13" s="1562"/>
      <c r="H13" s="1563"/>
      <c r="J13" s="1645"/>
      <c r="K13" s="1995"/>
      <c r="L13" s="1999"/>
      <c r="M13" s="1999"/>
      <c r="N13" s="2000"/>
      <c r="O13" s="2000"/>
    </row>
    <row r="14" spans="1:16" s="1637" customFormat="1" ht="19.899999999999999" customHeight="1" thickBot="1">
      <c r="B14" s="1644"/>
      <c r="C14" s="1561"/>
      <c r="D14" s="1562"/>
      <c r="E14" s="1562"/>
      <c r="F14" s="1562"/>
      <c r="G14" s="1562"/>
      <c r="H14" s="1563"/>
      <c r="J14" s="1645"/>
      <c r="K14" s="1995"/>
      <c r="L14" s="1999"/>
      <c r="M14" s="1999"/>
      <c r="N14" s="2000"/>
      <c r="O14" s="2000"/>
    </row>
    <row r="15" spans="1:16" s="1637" customFormat="1" ht="19.899999999999999" customHeight="1" thickBot="1">
      <c r="B15" s="1644"/>
      <c r="C15" s="1561"/>
      <c r="D15" s="1562"/>
      <c r="E15" s="1562"/>
      <c r="F15" s="1562"/>
      <c r="G15" s="1562"/>
      <c r="H15" s="1563"/>
      <c r="J15" s="1645"/>
      <c r="K15" s="1995"/>
      <c r="L15" s="1999"/>
      <c r="M15" s="1999"/>
      <c r="N15" s="2000"/>
      <c r="O15" s="2000"/>
    </row>
    <row r="16" spans="1:16" s="1637" customFormat="1" ht="19.899999999999999" customHeight="1" thickBot="1">
      <c r="B16" s="1644"/>
      <c r="C16" s="1561"/>
      <c r="D16" s="1562"/>
      <c r="E16" s="1562"/>
      <c r="F16" s="1562"/>
      <c r="G16" s="1562"/>
      <c r="H16" s="1563"/>
      <c r="J16" s="1645"/>
      <c r="K16" s="1995"/>
      <c r="L16" s="1999"/>
      <c r="M16" s="1999"/>
      <c r="N16" s="2000"/>
      <c r="O16" s="2000"/>
    </row>
    <row r="17" spans="2:20" s="1637" customFormat="1" ht="19.899999999999999" customHeight="1" thickBot="1">
      <c r="B17" s="1644"/>
      <c r="C17" s="1561"/>
      <c r="D17" s="1562"/>
      <c r="E17" s="1562"/>
      <c r="F17" s="1562"/>
      <c r="G17" s="1562"/>
      <c r="H17" s="1563"/>
      <c r="J17" s="1645"/>
      <c r="K17" s="1995"/>
      <c r="L17" s="1999"/>
      <c r="M17" s="1999"/>
      <c r="N17" s="2000"/>
      <c r="O17" s="2000"/>
    </row>
    <row r="18" spans="2:20" s="1637" customFormat="1" ht="19.899999999999999" customHeight="1" thickBot="1">
      <c r="B18" s="1644"/>
      <c r="C18" s="1561"/>
      <c r="D18" s="1562"/>
      <c r="E18" s="1562"/>
      <c r="F18" s="1562"/>
      <c r="G18" s="1562"/>
      <c r="H18" s="1563"/>
      <c r="J18" s="1645"/>
      <c r="K18" s="1995"/>
      <c r="L18" s="1999"/>
      <c r="M18" s="1999"/>
      <c r="N18" s="2000"/>
      <c r="O18" s="2000"/>
    </row>
    <row r="19" spans="2:20" s="1637" customFormat="1" ht="19.899999999999999" customHeight="1" thickBot="1">
      <c r="B19" s="1644"/>
      <c r="C19" s="1561"/>
      <c r="D19" s="1562"/>
      <c r="E19" s="1562"/>
      <c r="F19" s="1562"/>
      <c r="G19" s="1562"/>
      <c r="H19" s="1563"/>
      <c r="J19" s="1645"/>
      <c r="K19" s="1995"/>
      <c r="L19" s="1999"/>
      <c r="M19" s="1999"/>
      <c r="N19" s="2000"/>
      <c r="O19" s="2000"/>
    </row>
    <row r="20" spans="2:20" s="1637" customFormat="1" ht="34.9" customHeight="1" thickBot="1">
      <c r="B20" s="1644"/>
      <c r="C20" s="1561"/>
      <c r="D20" s="1562"/>
      <c r="E20" s="1562"/>
      <c r="F20" s="1562"/>
      <c r="G20" s="1562"/>
      <c r="H20" s="1563"/>
      <c r="J20" s="1645"/>
      <c r="K20" s="1995"/>
      <c r="L20" s="1999"/>
      <c r="M20" s="1999"/>
      <c r="N20" s="2000"/>
      <c r="O20" s="2000"/>
    </row>
    <row r="21" spans="2:20" s="1637" customFormat="1" ht="34.9" customHeight="1" thickBot="1">
      <c r="B21" s="1644"/>
      <c r="C21" s="1561"/>
      <c r="D21" s="1562"/>
      <c r="E21" s="1562"/>
      <c r="F21" s="1562"/>
      <c r="G21" s="1562"/>
      <c r="H21" s="1563"/>
      <c r="J21" s="1645"/>
      <c r="K21" s="1995"/>
      <c r="L21" s="1999"/>
      <c r="M21" s="1999"/>
      <c r="N21" s="2000"/>
      <c r="O21" s="2000"/>
    </row>
    <row r="22" spans="2:20" s="1637" customFormat="1" ht="34.9" customHeight="1" thickBot="1">
      <c r="B22" s="1644"/>
      <c r="C22" s="1561"/>
      <c r="D22" s="1562"/>
      <c r="E22" s="1562"/>
      <c r="F22" s="1562"/>
      <c r="G22" s="1562"/>
      <c r="H22" s="1563"/>
      <c r="J22" s="1645"/>
      <c r="K22" s="1995"/>
      <c r="L22" s="1999"/>
      <c r="M22" s="1999"/>
      <c r="N22" s="2000"/>
      <c r="O22" s="2000"/>
    </row>
    <row r="23" spans="2:20" s="1637" customFormat="1" ht="34.9" customHeight="1" thickBot="1">
      <c r="B23" s="1644"/>
      <c r="C23" s="1561"/>
      <c r="D23" s="1562"/>
      <c r="E23" s="1562"/>
      <c r="F23" s="1562"/>
      <c r="G23" s="1562"/>
      <c r="H23" s="1563"/>
      <c r="J23" s="1645"/>
      <c r="K23" s="1995"/>
      <c r="L23" s="1999"/>
      <c r="M23" s="1999"/>
      <c r="N23" s="2000"/>
      <c r="O23" s="2000"/>
    </row>
    <row r="24" spans="2:20" s="1637" customFormat="1" ht="34.9" customHeight="1" thickBot="1">
      <c r="B24" s="1644"/>
      <c r="C24" s="1561"/>
      <c r="D24" s="1562"/>
      <c r="E24" s="1562"/>
      <c r="F24" s="1562"/>
      <c r="G24" s="1562"/>
      <c r="H24" s="1563"/>
      <c r="J24" s="1645"/>
      <c r="K24" s="1995"/>
      <c r="L24" s="1996"/>
      <c r="M24" s="1996"/>
      <c r="N24" s="1997"/>
      <c r="O24" s="1997"/>
    </row>
    <row r="25" spans="2:20" s="1637" customFormat="1" ht="19.5" customHeight="1" thickBot="1">
      <c r="B25" s="1644" t="s">
        <v>956</v>
      </c>
      <c r="C25" s="1561"/>
      <c r="D25" s="1562"/>
      <c r="E25" s="1562"/>
      <c r="F25" s="1562"/>
      <c r="G25" s="1562"/>
      <c r="H25" s="1563"/>
      <c r="J25" s="1994"/>
      <c r="K25" s="1995"/>
      <c r="L25" s="1996"/>
      <c r="M25" s="1996"/>
      <c r="N25" s="1997"/>
      <c r="O25" s="1997"/>
    </row>
    <row r="26" spans="2:20" s="1637" customFormat="1" ht="19.5" customHeight="1" thickBot="1">
      <c r="B26" s="1644"/>
      <c r="C26" s="1561"/>
      <c r="D26" s="1562"/>
      <c r="E26" s="1562"/>
      <c r="F26" s="1562"/>
      <c r="G26" s="1562"/>
      <c r="H26" s="1563"/>
      <c r="J26" s="1646"/>
      <c r="K26" s="1646"/>
      <c r="L26" s="1646"/>
      <c r="M26" s="1646"/>
      <c r="N26" s="1646"/>
      <c r="O26" s="1646"/>
    </row>
    <row r="27" spans="2:20" s="1646" customFormat="1" ht="19.5" customHeight="1" thickBot="1">
      <c r="B27" s="1647" t="s">
        <v>957</v>
      </c>
      <c r="C27" s="1564"/>
      <c r="D27" s="1565"/>
      <c r="E27" s="1565"/>
      <c r="F27" s="1565"/>
      <c r="G27" s="1565"/>
      <c r="H27" s="1566"/>
      <c r="K27" s="1637"/>
      <c r="L27" s="1648"/>
      <c r="M27" s="1648"/>
      <c r="N27" s="1648"/>
      <c r="O27" s="1648"/>
      <c r="P27" s="1648"/>
    </row>
    <row r="28" spans="2:20" s="1646" customFormat="1" ht="19.5" customHeight="1" thickBot="1">
      <c r="B28" s="1647" t="s">
        <v>957</v>
      </c>
      <c r="C28" s="1564"/>
      <c r="D28" s="1565"/>
      <c r="E28" s="1565"/>
      <c r="F28" s="1565"/>
      <c r="G28" s="1565"/>
      <c r="H28" s="1566">
        <f>SUM(C28:G28)</f>
        <v>0</v>
      </c>
      <c r="K28" s="1637"/>
      <c r="L28" s="1648"/>
      <c r="M28" s="1648"/>
      <c r="N28" s="1648"/>
      <c r="O28" s="1648"/>
      <c r="P28" s="1648"/>
    </row>
    <row r="29" spans="2:20" s="1646" customFormat="1" ht="19.5" customHeight="1" thickBot="1">
      <c r="B29" s="1647" t="s">
        <v>957</v>
      </c>
      <c r="C29" s="1564"/>
      <c r="D29" s="1565"/>
      <c r="E29" s="1565"/>
      <c r="F29" s="1565"/>
      <c r="G29" s="1565"/>
      <c r="H29" s="1566">
        <f>SUM(C29:G29)</f>
        <v>0</v>
      </c>
      <c r="K29" s="1637"/>
      <c r="L29" s="1648"/>
      <c r="M29" s="1648"/>
      <c r="N29" s="1648"/>
      <c r="O29" s="1648"/>
      <c r="P29" s="1648"/>
    </row>
    <row r="30" spans="2:20" s="1646" customFormat="1" ht="19.5" customHeight="1" thickBot="1">
      <c r="B30" s="1647" t="s">
        <v>957</v>
      </c>
      <c r="C30" s="1564"/>
      <c r="D30" s="1565"/>
      <c r="E30" s="1565"/>
      <c r="F30" s="1565"/>
      <c r="G30" s="1565"/>
      <c r="H30" s="1566">
        <f>SUM(C30:G30)</f>
        <v>0</v>
      </c>
      <c r="K30" s="1637"/>
      <c r="L30" s="1637"/>
      <c r="M30" s="1637"/>
      <c r="N30" s="1637"/>
      <c r="O30" s="1637"/>
      <c r="P30" s="1571"/>
      <c r="Q30" s="1571"/>
      <c r="R30" s="1571"/>
      <c r="S30" s="1571"/>
      <c r="T30" s="1571"/>
    </row>
    <row r="31" spans="2:20" s="1646" customFormat="1" ht="19.5" customHeight="1" thickBot="1">
      <c r="B31" s="1647" t="s">
        <v>957</v>
      </c>
      <c r="C31" s="1564"/>
      <c r="D31" s="1565"/>
      <c r="E31" s="1565"/>
      <c r="F31" s="1565"/>
      <c r="G31" s="1565"/>
      <c r="H31" s="1566">
        <f>SUM(C31:G31)</f>
        <v>0</v>
      </c>
      <c r="K31" s="1637"/>
      <c r="L31" s="1637"/>
      <c r="M31" s="1637"/>
      <c r="N31" s="1637"/>
      <c r="O31" s="1637"/>
      <c r="P31" s="1637"/>
    </row>
    <row r="32" spans="2:20" s="1637" customFormat="1" ht="19.5" hidden="1" customHeight="1" thickBot="1">
      <c r="B32" s="1644" t="s">
        <v>958</v>
      </c>
      <c r="C32" s="1561"/>
      <c r="D32" s="1562"/>
      <c r="E32" s="1562"/>
      <c r="F32" s="1562"/>
      <c r="G32" s="1562"/>
      <c r="H32" s="1563"/>
    </row>
    <row r="33" spans="2:17" s="1650" customFormat="1" ht="19.5" hidden="1" customHeight="1" thickBot="1">
      <c r="B33" s="1649" t="s">
        <v>957</v>
      </c>
      <c r="C33" s="1564"/>
      <c r="D33" s="1565"/>
      <c r="E33" s="1565"/>
      <c r="F33" s="1565"/>
      <c r="G33" s="1565"/>
      <c r="H33" s="1566">
        <f>SUM(C33:G33)</f>
        <v>0</v>
      </c>
      <c r="J33" s="1637"/>
      <c r="K33" s="1637"/>
      <c r="L33" s="1637"/>
      <c r="M33" s="1637"/>
      <c r="N33" s="1637"/>
      <c r="O33" s="1637"/>
      <c r="P33" s="1637"/>
    </row>
    <row r="34" spans="2:17" s="1650" customFormat="1" ht="19.5" hidden="1" customHeight="1" thickBot="1">
      <c r="B34" s="1647" t="s">
        <v>957</v>
      </c>
      <c r="C34" s="1564"/>
      <c r="D34" s="1565"/>
      <c r="E34" s="1565"/>
      <c r="F34" s="1565"/>
      <c r="G34" s="1565"/>
      <c r="H34" s="1566">
        <f>SUM(C34:G34)</f>
        <v>0</v>
      </c>
      <c r="K34" s="1637"/>
      <c r="L34" s="1637"/>
      <c r="M34" s="1637"/>
      <c r="N34" s="1637"/>
      <c r="O34" s="1637"/>
      <c r="P34" s="1637"/>
    </row>
    <row r="35" spans="2:17" s="1650" customFormat="1" ht="19.5" hidden="1" customHeight="1" thickBot="1">
      <c r="B35" s="1647" t="s">
        <v>957</v>
      </c>
      <c r="C35" s="1564"/>
      <c r="D35" s="1565"/>
      <c r="E35" s="1565"/>
      <c r="F35" s="1565"/>
      <c r="G35" s="1565"/>
      <c r="H35" s="1566">
        <f>SUM(C35:G35)</f>
        <v>0</v>
      </c>
      <c r="K35" s="1637"/>
      <c r="L35" s="1637"/>
      <c r="M35" s="1637"/>
      <c r="N35" s="1637"/>
      <c r="O35" s="1637"/>
      <c r="P35" s="1637"/>
    </row>
    <row r="36" spans="2:17" s="1650" customFormat="1" ht="19.5" hidden="1" customHeight="1" thickBot="1">
      <c r="B36" s="1647" t="s">
        <v>957</v>
      </c>
      <c r="C36" s="1564"/>
      <c r="D36" s="1565"/>
      <c r="E36" s="1565"/>
      <c r="F36" s="1565"/>
      <c r="G36" s="1565"/>
      <c r="H36" s="1566">
        <f>SUM(C36:G36)</f>
        <v>0</v>
      </c>
      <c r="K36" s="1637"/>
      <c r="L36" s="1637"/>
      <c r="M36" s="1637"/>
      <c r="N36" s="1637"/>
      <c r="O36" s="1637"/>
      <c r="P36" s="1637"/>
    </row>
    <row r="37" spans="2:17" s="1650" customFormat="1" ht="19.5" hidden="1" customHeight="1" thickBot="1">
      <c r="B37" s="1647" t="s">
        <v>957</v>
      </c>
      <c r="C37" s="1564"/>
      <c r="D37" s="1565"/>
      <c r="E37" s="1565"/>
      <c r="F37" s="1565"/>
      <c r="G37" s="1565"/>
      <c r="H37" s="1566">
        <f>SUM(C37:G37)</f>
        <v>0</v>
      </c>
      <c r="K37" s="1637"/>
      <c r="L37" s="1637"/>
      <c r="M37" s="1637"/>
      <c r="N37" s="1637"/>
      <c r="O37" s="1637"/>
      <c r="P37" s="1637"/>
    </row>
    <row r="38" spans="2:17" s="1650" customFormat="1" ht="19.5" customHeight="1">
      <c r="B38" s="1651" t="s">
        <v>948</v>
      </c>
      <c r="C38" s="1568">
        <f t="shared" ref="C38:H38" si="0">SUM(C30:C37)</f>
        <v>0</v>
      </c>
      <c r="D38" s="1569">
        <f t="shared" si="0"/>
        <v>0</v>
      </c>
      <c r="E38" s="1569">
        <f t="shared" si="0"/>
        <v>0</v>
      </c>
      <c r="F38" s="1569">
        <f t="shared" si="0"/>
        <v>0</v>
      </c>
      <c r="G38" s="1569">
        <f t="shared" si="0"/>
        <v>0</v>
      </c>
      <c r="H38" s="1569">
        <f t="shared" si="0"/>
        <v>0</v>
      </c>
      <c r="K38" s="1637"/>
      <c r="L38" s="1637"/>
      <c r="M38" s="1637"/>
      <c r="N38" s="1637"/>
      <c r="O38" s="1637"/>
      <c r="P38" s="1637"/>
    </row>
    <row r="39" spans="2:17" s="1637" customFormat="1" ht="34.5" customHeight="1" thickBot="1">
      <c r="B39" s="1652" t="s">
        <v>959</v>
      </c>
      <c r="C39" s="1570">
        <f t="shared" ref="C39:H39" si="1">C7+C38</f>
        <v>0</v>
      </c>
      <c r="D39" s="1570">
        <f t="shared" si="1"/>
        <v>0</v>
      </c>
      <c r="E39" s="1570">
        <f t="shared" si="1"/>
        <v>0</v>
      </c>
      <c r="F39" s="1570">
        <f t="shared" si="1"/>
        <v>0</v>
      </c>
      <c r="G39" s="1570">
        <f t="shared" si="1"/>
        <v>0</v>
      </c>
      <c r="H39" s="1570">
        <f t="shared" si="1"/>
        <v>0</v>
      </c>
    </row>
    <row r="40" spans="2:17" s="1637" customFormat="1" ht="15.75" customHeight="1" thickBot="1">
      <c r="B40" s="1644"/>
      <c r="C40" s="1562"/>
      <c r="D40" s="1562"/>
      <c r="E40" s="1562"/>
      <c r="F40" s="1562"/>
      <c r="G40" s="1562"/>
      <c r="H40" s="1563"/>
    </row>
    <row r="41" spans="2:17" s="1637" customFormat="1" ht="19.5" customHeight="1" collapsed="1" thickBot="1">
      <c r="B41" s="1644" t="s">
        <v>945</v>
      </c>
      <c r="C41" s="1561"/>
      <c r="D41" s="1562"/>
      <c r="E41" s="1562"/>
      <c r="F41" s="1562"/>
      <c r="G41" s="1562"/>
      <c r="H41" s="1563">
        <f>SUM(C41:G41)</f>
        <v>0</v>
      </c>
      <c r="L41" s="1571"/>
      <c r="M41" s="1571"/>
      <c r="N41" s="1571"/>
      <c r="O41" s="1571"/>
      <c r="P41" s="1571"/>
      <c r="Q41" s="1571"/>
    </row>
    <row r="42" spans="2:17" s="1637" customFormat="1" ht="19.5" customHeight="1" thickBot="1">
      <c r="B42" s="1644" t="s">
        <v>956</v>
      </c>
      <c r="C42" s="1561"/>
      <c r="D42" s="1562"/>
      <c r="E42" s="1562"/>
      <c r="F42" s="1562"/>
      <c r="G42" s="1562"/>
      <c r="H42" s="1563"/>
    </row>
    <row r="43" spans="2:17" s="1646" customFormat="1" ht="19.5" customHeight="1" thickBot="1">
      <c r="B43" s="1649" t="s">
        <v>957</v>
      </c>
      <c r="C43" s="1564"/>
      <c r="D43" s="1565"/>
      <c r="E43" s="1565"/>
      <c r="F43" s="1565"/>
      <c r="G43" s="1565"/>
      <c r="H43" s="1563">
        <f>SUM(C43:G43)</f>
        <v>0</v>
      </c>
      <c r="I43" s="1637"/>
    </row>
    <row r="44" spans="2:17" s="1646" customFormat="1" ht="19.5" customHeight="1" thickBot="1">
      <c r="B44" s="1649" t="s">
        <v>957</v>
      </c>
      <c r="C44" s="1564"/>
      <c r="D44" s="1565"/>
      <c r="E44" s="1565"/>
      <c r="F44" s="1565"/>
      <c r="G44" s="1565"/>
      <c r="H44" s="1563">
        <f>SUM(C44:G44)</f>
        <v>0</v>
      </c>
      <c r="I44" s="1637"/>
    </row>
    <row r="45" spans="2:17" s="1646" customFormat="1" ht="19.5" customHeight="1" thickBot="1">
      <c r="B45" s="1649" t="s">
        <v>957</v>
      </c>
      <c r="C45" s="1564"/>
      <c r="D45" s="1565"/>
      <c r="E45" s="1565"/>
      <c r="F45" s="1565"/>
      <c r="G45" s="1565"/>
      <c r="H45" s="1563">
        <f>SUM(C45:G45)</f>
        <v>0</v>
      </c>
      <c r="I45" s="1637"/>
    </row>
    <row r="46" spans="2:17" s="1646" customFormat="1" ht="19.5" customHeight="1" thickBot="1">
      <c r="B46" s="1649" t="s">
        <v>957</v>
      </c>
      <c r="C46" s="1564"/>
      <c r="D46" s="1565"/>
      <c r="E46" s="1565"/>
      <c r="F46" s="1565"/>
      <c r="G46" s="1565"/>
      <c r="H46" s="1563">
        <f>SUM(C46:G46)</f>
        <v>0</v>
      </c>
      <c r="I46" s="1637"/>
    </row>
    <row r="47" spans="2:17" s="1637" customFormat="1" ht="19.5" hidden="1" customHeight="1" thickBot="1">
      <c r="B47" s="1644" t="s">
        <v>958</v>
      </c>
      <c r="C47" s="1561"/>
      <c r="D47" s="1562"/>
      <c r="E47" s="1562"/>
      <c r="F47" s="1562"/>
      <c r="G47" s="1562"/>
      <c r="H47" s="1563"/>
    </row>
    <row r="48" spans="2:17" s="1650" customFormat="1" ht="19.5" hidden="1" customHeight="1" thickBot="1">
      <c r="B48" s="1649" t="s">
        <v>957</v>
      </c>
      <c r="C48" s="1564"/>
      <c r="D48" s="1565"/>
      <c r="E48" s="1565"/>
      <c r="F48" s="1565"/>
      <c r="G48" s="1565"/>
      <c r="H48" s="1566">
        <f>SUM(C48:G48)</f>
        <v>0</v>
      </c>
      <c r="K48" s="1637"/>
      <c r="L48" s="1637"/>
      <c r="M48" s="1637"/>
      <c r="N48" s="1637"/>
      <c r="O48" s="1637"/>
      <c r="P48" s="1637"/>
    </row>
    <row r="49" spans="1:16" s="1650" customFormat="1" ht="19.5" hidden="1" customHeight="1" thickBot="1">
      <c r="B49" s="1649" t="s">
        <v>957</v>
      </c>
      <c r="C49" s="1564"/>
      <c r="D49" s="1565"/>
      <c r="E49" s="1565"/>
      <c r="F49" s="1565"/>
      <c r="G49" s="1565"/>
      <c r="H49" s="1566">
        <f>SUM(C49:G49)</f>
        <v>0</v>
      </c>
      <c r="K49" s="1637"/>
      <c r="L49" s="1637"/>
      <c r="M49" s="1637"/>
      <c r="N49" s="1637"/>
      <c r="O49" s="1637"/>
      <c r="P49" s="1637"/>
    </row>
    <row r="50" spans="1:16" s="1650" customFormat="1" ht="19.5" customHeight="1">
      <c r="B50" s="1653" t="s">
        <v>948</v>
      </c>
      <c r="C50" s="1568">
        <f t="shared" ref="C50:H50" si="2">SUM(C42:C49)</f>
        <v>0</v>
      </c>
      <c r="D50" s="1569">
        <f t="shared" si="2"/>
        <v>0</v>
      </c>
      <c r="E50" s="1569">
        <f t="shared" si="2"/>
        <v>0</v>
      </c>
      <c r="F50" s="1569">
        <f t="shared" si="2"/>
        <v>0</v>
      </c>
      <c r="G50" s="1569">
        <f t="shared" si="2"/>
        <v>0</v>
      </c>
      <c r="H50" s="1569">
        <f t="shared" si="2"/>
        <v>0</v>
      </c>
    </row>
    <row r="51" spans="1:16" s="1637" customFormat="1" ht="24" customHeight="1" thickBot="1">
      <c r="B51" s="1652" t="s">
        <v>960</v>
      </c>
      <c r="C51" s="1570">
        <f t="shared" ref="C51:H51" si="3">C41+C50</f>
        <v>0</v>
      </c>
      <c r="D51" s="1570">
        <f t="shared" si="3"/>
        <v>0</v>
      </c>
      <c r="E51" s="1570">
        <f t="shared" si="3"/>
        <v>0</v>
      </c>
      <c r="F51" s="1570">
        <f t="shared" si="3"/>
        <v>0</v>
      </c>
      <c r="G51" s="1570">
        <f t="shared" si="3"/>
        <v>0</v>
      </c>
      <c r="H51" s="1570">
        <f t="shared" si="3"/>
        <v>0</v>
      </c>
    </row>
    <row r="52" spans="1:16" s="1637" customFormat="1" ht="9" customHeight="1" thickBot="1">
      <c r="B52" s="1644"/>
      <c r="C52" s="1562"/>
      <c r="D52" s="1562"/>
      <c r="E52" s="1562"/>
      <c r="F52" s="1562"/>
      <c r="G52" s="1562"/>
      <c r="H52" s="1563"/>
    </row>
    <row r="53" spans="1:16" s="1637" customFormat="1" ht="19.5" customHeight="1" thickBot="1">
      <c r="B53" s="1644" t="s">
        <v>946</v>
      </c>
      <c r="C53" s="1572">
        <f t="shared" ref="C53:H53" si="4">C7+C41</f>
        <v>0</v>
      </c>
      <c r="D53" s="1572">
        <f t="shared" si="4"/>
        <v>0</v>
      </c>
      <c r="E53" s="1572">
        <f t="shared" si="4"/>
        <v>0</v>
      </c>
      <c r="F53" s="1572">
        <f t="shared" si="4"/>
        <v>0</v>
      </c>
      <c r="G53" s="1572">
        <f t="shared" si="4"/>
        <v>0</v>
      </c>
      <c r="H53" s="1572">
        <f t="shared" si="4"/>
        <v>0</v>
      </c>
    </row>
    <row r="54" spans="1:16" s="1650" customFormat="1" ht="19.5" customHeight="1">
      <c r="B54" s="1654" t="s">
        <v>948</v>
      </c>
      <c r="C54" s="1573">
        <f t="shared" ref="C54:H54" si="5">C38+C50</f>
        <v>0</v>
      </c>
      <c r="D54" s="1573">
        <f t="shared" si="5"/>
        <v>0</v>
      </c>
      <c r="E54" s="1573">
        <f t="shared" si="5"/>
        <v>0</v>
      </c>
      <c r="F54" s="1573">
        <f t="shared" si="5"/>
        <v>0</v>
      </c>
      <c r="G54" s="1573">
        <f t="shared" si="5"/>
        <v>0</v>
      </c>
      <c r="H54" s="1573">
        <f t="shared" si="5"/>
        <v>0</v>
      </c>
    </row>
    <row r="55" spans="1:16" s="1637" customFormat="1" ht="19.5" customHeight="1" thickBot="1">
      <c r="B55" s="1655" t="s">
        <v>961</v>
      </c>
      <c r="C55" s="1574">
        <f t="shared" ref="C55:H55" si="6">SUM(C53:C54)</f>
        <v>0</v>
      </c>
      <c r="D55" s="1574">
        <f t="shared" si="6"/>
        <v>0</v>
      </c>
      <c r="E55" s="1574">
        <f t="shared" si="6"/>
        <v>0</v>
      </c>
      <c r="F55" s="1574">
        <f t="shared" si="6"/>
        <v>0</v>
      </c>
      <c r="G55" s="1574">
        <f t="shared" si="6"/>
        <v>0</v>
      </c>
      <c r="H55" s="1574">
        <f t="shared" si="6"/>
        <v>0</v>
      </c>
    </row>
    <row r="56" spans="1:16" ht="12.75" thickTop="1"/>
    <row r="57" spans="1:16" s="1656" customFormat="1" ht="12.75" thickBot="1">
      <c r="B57" s="1657" t="s">
        <v>691</v>
      </c>
      <c r="C57" s="1658"/>
      <c r="D57" s="1658"/>
      <c r="E57" s="1658"/>
      <c r="F57" s="1658"/>
      <c r="G57" s="1658"/>
      <c r="H57" s="1659"/>
    </row>
    <row r="60" spans="1:16">
      <c r="A60" s="1638">
        <v>2</v>
      </c>
      <c r="B60" s="1639" t="s">
        <v>754</v>
      </c>
      <c r="C60" s="1640"/>
      <c r="D60" s="1640"/>
      <c r="E60" s="1640"/>
      <c r="F60" s="1640"/>
      <c r="G60" s="1640"/>
      <c r="H60" s="1640"/>
    </row>
    <row r="61" spans="1:16">
      <c r="B61" s="1640" t="str">
        <f>B4</f>
        <v>$m 2025-26</v>
      </c>
      <c r="C61" s="1640"/>
      <c r="D61" s="1640"/>
      <c r="E61" s="1640"/>
      <c r="F61" s="1640"/>
      <c r="G61" s="1640"/>
      <c r="H61" s="1640"/>
    </row>
    <row r="62" spans="1:16">
      <c r="B62" s="1640"/>
      <c r="C62" s="1640"/>
      <c r="D62" s="1640"/>
      <c r="E62" s="1640"/>
      <c r="F62" s="1640"/>
      <c r="G62" s="1640"/>
      <c r="H62" s="1640"/>
    </row>
    <row r="63" spans="1:16" ht="19.5" customHeight="1" thickBot="1">
      <c r="B63" s="1642"/>
      <c r="C63" s="1643" t="s">
        <v>524</v>
      </c>
      <c r="D63" s="1643" t="s">
        <v>525</v>
      </c>
      <c r="E63" s="1643" t="s">
        <v>526</v>
      </c>
      <c r="F63" s="1643" t="s">
        <v>527</v>
      </c>
      <c r="G63" s="1643" t="s">
        <v>528</v>
      </c>
      <c r="H63" s="1643" t="s">
        <v>690</v>
      </c>
    </row>
    <row r="64" spans="1:16" s="1637" customFormat="1" ht="18.600000000000001" customHeight="1" collapsed="1" thickBot="1">
      <c r="B64" s="1644" t="s">
        <v>947</v>
      </c>
      <c r="C64" s="1561"/>
      <c r="D64" s="1562"/>
      <c r="E64" s="1562"/>
      <c r="F64" s="1562"/>
      <c r="G64" s="1562"/>
      <c r="H64" s="1563">
        <f>SUM(C64:G64)</f>
        <v>0</v>
      </c>
    </row>
    <row r="65" spans="2:9" s="1637" customFormat="1" ht="18.600000000000001" customHeight="1" thickBot="1">
      <c r="B65" s="1644" t="s">
        <v>956</v>
      </c>
      <c r="C65" s="1561"/>
      <c r="D65" s="1562"/>
      <c r="E65" s="1562"/>
      <c r="F65" s="1562"/>
      <c r="G65" s="1562"/>
      <c r="H65" s="1563"/>
    </row>
    <row r="66" spans="2:9" s="1646" customFormat="1" ht="18.600000000000001" customHeight="1" thickBot="1">
      <c r="B66" s="1649" t="s">
        <v>957</v>
      </c>
      <c r="C66" s="1564"/>
      <c r="D66" s="1565"/>
      <c r="E66" s="1565"/>
      <c r="F66" s="1565"/>
      <c r="G66" s="1565"/>
      <c r="H66" s="1566">
        <f>SUM(C66:G66)</f>
        <v>0</v>
      </c>
    </row>
    <row r="67" spans="2:9" s="1646" customFormat="1" ht="18.600000000000001" customHeight="1" thickBot="1">
      <c r="B67" s="1649" t="s">
        <v>957</v>
      </c>
      <c r="C67" s="1564"/>
      <c r="D67" s="1565"/>
      <c r="E67" s="1565"/>
      <c r="F67" s="1565"/>
      <c r="G67" s="1565"/>
      <c r="H67" s="1566">
        <f>SUM(C67:G67)</f>
        <v>0</v>
      </c>
    </row>
    <row r="68" spans="2:9" s="1637" customFormat="1" ht="18.600000000000001" customHeight="1" thickBot="1">
      <c r="B68" s="1649" t="s">
        <v>957</v>
      </c>
      <c r="C68" s="1564"/>
      <c r="D68" s="1565"/>
      <c r="E68" s="1565"/>
      <c r="F68" s="1565"/>
      <c r="G68" s="1565"/>
      <c r="H68" s="1566">
        <f>SUM(C68:G68)</f>
        <v>0</v>
      </c>
    </row>
    <row r="69" spans="2:9" s="1646" customFormat="1" ht="19.5" customHeight="1" thickBot="1">
      <c r="B69" s="1649" t="s">
        <v>957</v>
      </c>
      <c r="C69" s="1564"/>
      <c r="D69" s="1565"/>
      <c r="E69" s="1565"/>
      <c r="F69" s="1565"/>
      <c r="G69" s="1565"/>
      <c r="H69" s="1566">
        <f>SUM(C69:G69)</f>
        <v>0</v>
      </c>
      <c r="I69" s="1637"/>
    </row>
    <row r="70" spans="2:9" s="1637" customFormat="1" ht="19.5" hidden="1" customHeight="1" thickBot="1">
      <c r="B70" s="1644" t="s">
        <v>958</v>
      </c>
      <c r="C70" s="1567"/>
      <c r="D70" s="1563"/>
      <c r="E70" s="1563"/>
      <c r="F70" s="1563"/>
      <c r="G70" s="1563"/>
      <c r="H70" s="1563"/>
    </row>
    <row r="71" spans="2:9" s="1646" customFormat="1" ht="19.5" hidden="1" customHeight="1" thickBot="1">
      <c r="B71" s="1649" t="s">
        <v>957</v>
      </c>
      <c r="C71" s="1564"/>
      <c r="D71" s="1565"/>
      <c r="E71" s="1565"/>
      <c r="F71" s="1565"/>
      <c r="G71" s="1565"/>
      <c r="H71" s="1566">
        <f>SUM(C71:G71)</f>
        <v>0</v>
      </c>
      <c r="I71" s="1637"/>
    </row>
    <row r="72" spans="2:9" s="1646" customFormat="1" ht="19.5" hidden="1" customHeight="1" thickBot="1">
      <c r="B72" s="1649" t="s">
        <v>957</v>
      </c>
      <c r="C72" s="1564"/>
      <c r="D72" s="1565"/>
      <c r="E72" s="1565"/>
      <c r="F72" s="1565"/>
      <c r="G72" s="1565"/>
      <c r="H72" s="1566"/>
      <c r="I72" s="1637"/>
    </row>
    <row r="73" spans="2:9" s="1650" customFormat="1" ht="19.5" customHeight="1">
      <c r="B73" s="1651" t="s">
        <v>948</v>
      </c>
      <c r="C73" s="1568">
        <f t="shared" ref="C73:H73" si="7">SUM(C65:C72)</f>
        <v>0</v>
      </c>
      <c r="D73" s="1569">
        <f t="shared" si="7"/>
        <v>0</v>
      </c>
      <c r="E73" s="1569">
        <f t="shared" si="7"/>
        <v>0</v>
      </c>
      <c r="F73" s="1569">
        <f t="shared" si="7"/>
        <v>0</v>
      </c>
      <c r="G73" s="1569">
        <f t="shared" si="7"/>
        <v>0</v>
      </c>
      <c r="H73" s="1569">
        <f t="shared" si="7"/>
        <v>0</v>
      </c>
      <c r="I73" s="1637"/>
    </row>
    <row r="74" spans="2:9" s="1637" customFormat="1" ht="19.5" customHeight="1" thickBot="1">
      <c r="B74" s="1655" t="s">
        <v>962</v>
      </c>
      <c r="C74" s="1574">
        <f t="shared" ref="C74:H74" si="8">C64+C73</f>
        <v>0</v>
      </c>
      <c r="D74" s="1574">
        <f t="shared" si="8"/>
        <v>0</v>
      </c>
      <c r="E74" s="1574">
        <f t="shared" si="8"/>
        <v>0</v>
      </c>
      <c r="F74" s="1574">
        <f t="shared" si="8"/>
        <v>0</v>
      </c>
      <c r="G74" s="1574">
        <f t="shared" si="8"/>
        <v>0</v>
      </c>
      <c r="H74" s="1574">
        <f t="shared" si="8"/>
        <v>0</v>
      </c>
    </row>
    <row r="75" spans="2:9" ht="12.75" thickTop="1">
      <c r="I75" s="1637"/>
    </row>
    <row r="76" spans="2:9" s="1656" customFormat="1" ht="12.75" thickBot="1">
      <c r="B76" s="1657" t="s">
        <v>691</v>
      </c>
      <c r="C76" s="1658"/>
      <c r="D76" s="1658"/>
      <c r="E76" s="1658"/>
      <c r="F76" s="1658"/>
      <c r="G76" s="1658"/>
      <c r="H76" s="1659"/>
    </row>
  </sheetData>
  <sheetProtection algorithmName="SHA-512" hashValue="JB2m7Pi96Xp6ct7dYZKTofqgKfWNLAOdKywdz46xlo4mf9AAFcUxEXPkBu/qrGzUTlhw4qiKRUVSxHC5F3beNw==" saltValue="CKpH2zzQpWCKtzHQpbt9TA==" spinCount="100000" sheet="1" objects="1" scenarios="1"/>
  <pageMargins left="0.7" right="0.7" top="0.75" bottom="0.75" header="0.3" footer="0.3"/>
  <pageSetup paperSize="9" orientation="portrait" r:id="rId1"/>
  <headerFooter>
    <oddHeader>&amp;C&amp;"Calibri"&amp;12&amp;KFF0000 OFFICIAL&amp;1#_x000D_&amp;"Arial"&amp;8&amp;K000000&amp;B&amp;"Arial"&amp;12&amp;Kff0000​‌OFFICIAL‌​</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pageSetUpPr autoPageBreaks="0"/>
  </sheetPr>
  <dimension ref="A1:AG183"/>
  <sheetViews>
    <sheetView showGridLines="0" zoomScale="85" zoomScaleNormal="85" workbookViewId="0">
      <pane ySplit="7" topLeftCell="A8" activePane="bottomLeft" state="frozen"/>
      <selection activeCell="R43" sqref="R43"/>
      <selection pane="bottomLeft" activeCell="A68" sqref="A68:XFD68"/>
    </sheetView>
  </sheetViews>
  <sheetFormatPr defaultColWidth="9.33203125" defaultRowHeight="12"/>
  <cols>
    <col min="1" max="1" width="2.6640625" style="70" customWidth="1"/>
    <col min="2" max="2" width="13.33203125" style="70" customWidth="1"/>
    <col min="3" max="3" width="20" style="70" customWidth="1"/>
    <col min="4" max="7" width="13.33203125" style="70" customWidth="1"/>
    <col min="8" max="8" width="2.1640625" style="70" customWidth="1"/>
    <col min="9" max="9" width="21.33203125" style="70" bestFit="1" customWidth="1"/>
    <col min="10" max="10" width="2.83203125" style="70" customWidth="1"/>
    <col min="11" max="23" width="11.5" style="70" customWidth="1"/>
    <col min="24" max="33" width="12.33203125" style="70" customWidth="1"/>
    <col min="34" max="16384" width="9.33203125" style="70"/>
  </cols>
  <sheetData>
    <row r="1" spans="2:33" ht="15">
      <c r="B1" s="153" t="s">
        <v>477</v>
      </c>
    </row>
    <row r="2" spans="2:33" ht="12.75">
      <c r="B2" s="155" t="str">
        <f>+Contents!H7</f>
        <v>North East Water</v>
      </c>
    </row>
    <row r="3" spans="2:33">
      <c r="B3" s="2212" t="s">
        <v>0</v>
      </c>
      <c r="C3" s="2212"/>
      <c r="D3" s="2212"/>
      <c r="E3" s="2212"/>
      <c r="F3" s="2212"/>
    </row>
    <row r="4" spans="2:33">
      <c r="K4" s="63"/>
      <c r="L4" s="149"/>
      <c r="M4" s="149" t="s">
        <v>274</v>
      </c>
      <c r="N4" s="149"/>
      <c r="O4" s="149"/>
      <c r="P4" s="1619"/>
      <c r="Q4" s="150"/>
      <c r="R4" s="150"/>
      <c r="S4" s="150"/>
      <c r="T4" s="1619" t="s">
        <v>334</v>
      </c>
      <c r="U4" s="150"/>
      <c r="V4" s="150"/>
      <c r="W4" s="150"/>
      <c r="X4" s="1619"/>
      <c r="Y4" s="150"/>
      <c r="Z4" s="150" t="s">
        <v>465</v>
      </c>
      <c r="AA4" s="150"/>
      <c r="AB4" s="62"/>
      <c r="AC4" s="64"/>
      <c r="AD4" s="64"/>
      <c r="AE4" s="150" t="s">
        <v>949</v>
      </c>
      <c r="AF4" s="63"/>
      <c r="AG4" s="62"/>
    </row>
    <row r="6" spans="2:33">
      <c r="I6" s="66">
        <v>2014</v>
      </c>
      <c r="J6" s="66">
        <v>2015</v>
      </c>
      <c r="K6" s="66">
        <v>2016</v>
      </c>
      <c r="L6" s="66">
        <v>2017</v>
      </c>
      <c r="M6" s="66">
        <v>2018</v>
      </c>
      <c r="N6" s="66">
        <v>2019</v>
      </c>
      <c r="O6" s="66">
        <v>2020</v>
      </c>
      <c r="P6" s="66">
        <v>2021</v>
      </c>
      <c r="Q6" s="66">
        <v>2022</v>
      </c>
      <c r="R6" s="66">
        <v>2023</v>
      </c>
      <c r="S6" s="67">
        <v>2024</v>
      </c>
      <c r="T6" s="67">
        <v>2025</v>
      </c>
      <c r="U6" s="67">
        <v>2026</v>
      </c>
      <c r="V6" s="67">
        <v>2027</v>
      </c>
      <c r="W6" s="67">
        <v>2028</v>
      </c>
      <c r="X6" s="67">
        <f>W6+1</f>
        <v>2029</v>
      </c>
      <c r="Y6" s="67">
        <f>X6+1</f>
        <v>2030</v>
      </c>
      <c r="Z6" s="67">
        <f t="shared" ref="Z6:AG6" si="0">Y6+1</f>
        <v>2031</v>
      </c>
      <c r="AA6" s="67">
        <f t="shared" si="0"/>
        <v>2032</v>
      </c>
      <c r="AB6" s="67">
        <f t="shared" si="0"/>
        <v>2033</v>
      </c>
      <c r="AC6" s="67">
        <f t="shared" si="0"/>
        <v>2034</v>
      </c>
      <c r="AD6" s="67">
        <f t="shared" si="0"/>
        <v>2035</v>
      </c>
      <c r="AE6" s="67">
        <f t="shared" si="0"/>
        <v>2036</v>
      </c>
      <c r="AF6" s="67">
        <f t="shared" si="0"/>
        <v>2037</v>
      </c>
      <c r="AG6" s="67">
        <f t="shared" si="0"/>
        <v>2038</v>
      </c>
    </row>
    <row r="7" spans="2:33" s="75" customFormat="1">
      <c r="I7" s="70"/>
      <c r="J7" s="70"/>
      <c r="K7" s="342" t="str">
        <f t="shared" ref="K7:X7" si="1">+CONCATENATE(I6-1,"-",RIGHT(I6,2))</f>
        <v>2013-14</v>
      </c>
      <c r="L7" s="342" t="str">
        <f t="shared" si="1"/>
        <v>2014-15</v>
      </c>
      <c r="M7" s="342" t="str">
        <f t="shared" si="1"/>
        <v>2015-16</v>
      </c>
      <c r="N7" s="342" t="str">
        <f t="shared" si="1"/>
        <v>2016-17</v>
      </c>
      <c r="O7" s="342" t="str">
        <f t="shared" si="1"/>
        <v>2017-18</v>
      </c>
      <c r="P7" s="342" t="str">
        <f t="shared" si="1"/>
        <v>2018-19</v>
      </c>
      <c r="Q7" s="342" t="str">
        <f t="shared" si="1"/>
        <v>2019-20</v>
      </c>
      <c r="R7" s="342" t="str">
        <f t="shared" si="1"/>
        <v>2020-21</v>
      </c>
      <c r="S7" s="342" t="str">
        <f t="shared" si="1"/>
        <v>2021-22</v>
      </c>
      <c r="T7" s="342" t="str">
        <f t="shared" si="1"/>
        <v>2022-23</v>
      </c>
      <c r="U7" s="342" t="str">
        <f t="shared" si="1"/>
        <v>2023-24</v>
      </c>
      <c r="V7" s="342" t="str">
        <f t="shared" si="1"/>
        <v>2024-25</v>
      </c>
      <c r="W7" s="342" t="str">
        <f t="shared" si="1"/>
        <v>2025-26</v>
      </c>
      <c r="X7" s="2129" t="str">
        <f t="shared" si="1"/>
        <v>2026-27</v>
      </c>
      <c r="Y7" s="342" t="str">
        <f t="shared" ref="Y7:AG7" si="2">+CONCATENATE(W6-1,"-",RIGHT(W6,2))</f>
        <v>2027-28</v>
      </c>
      <c r="Z7" s="342" t="str">
        <f t="shared" si="2"/>
        <v>2028-29</v>
      </c>
      <c r="AA7" s="342" t="str">
        <f t="shared" si="2"/>
        <v>2029-30</v>
      </c>
      <c r="AB7" s="342" t="str">
        <f t="shared" si="2"/>
        <v>2030-31</v>
      </c>
      <c r="AC7" s="342" t="str">
        <f t="shared" si="2"/>
        <v>2031-32</v>
      </c>
      <c r="AD7" s="342" t="str">
        <f t="shared" si="2"/>
        <v>2032-33</v>
      </c>
      <c r="AE7" s="342" t="str">
        <f t="shared" si="2"/>
        <v>2033-34</v>
      </c>
      <c r="AF7" s="342" t="str">
        <f t="shared" si="2"/>
        <v>2034-35</v>
      </c>
      <c r="AG7" s="342" t="str">
        <f t="shared" si="2"/>
        <v>2035-36</v>
      </c>
    </row>
    <row r="9" spans="2:33" ht="12.75">
      <c r="B9" s="949" t="s">
        <v>667</v>
      </c>
      <c r="K9" s="950"/>
    </row>
    <row r="10" spans="2:33">
      <c r="K10" s="950"/>
    </row>
    <row r="11" spans="2:33">
      <c r="B11" s="74" t="s">
        <v>668</v>
      </c>
      <c r="C11" s="953">
        <v>10</v>
      </c>
      <c r="K11" s="950"/>
    </row>
    <row r="12" spans="2:33">
      <c r="B12" s="74" t="s">
        <v>669</v>
      </c>
      <c r="C12" s="953">
        <v>14</v>
      </c>
      <c r="K12" s="950"/>
    </row>
    <row r="13" spans="2:33">
      <c r="B13" s="74" t="s">
        <v>670</v>
      </c>
      <c r="C13" s="953">
        <v>24</v>
      </c>
      <c r="K13" s="950"/>
    </row>
    <row r="14" spans="2:33">
      <c r="B14" s="74" t="s">
        <v>671</v>
      </c>
      <c r="C14" s="953">
        <v>40</v>
      </c>
      <c r="K14" s="950"/>
    </row>
    <row r="15" spans="2:33">
      <c r="B15" s="74" t="s">
        <v>672</v>
      </c>
      <c r="C15" s="953">
        <v>60</v>
      </c>
      <c r="K15" s="950"/>
    </row>
    <row r="16" spans="2:33">
      <c r="K16" s="950"/>
    </row>
    <row r="17" spans="2:33">
      <c r="K17" s="950"/>
    </row>
    <row r="18" spans="2:33" ht="12.75">
      <c r="B18" s="949" t="s">
        <v>673</v>
      </c>
      <c r="K18" s="2304" t="s">
        <v>625</v>
      </c>
      <c r="L18" s="2305"/>
      <c r="M18" s="2305"/>
      <c r="N18" s="2305"/>
      <c r="O18" s="2305"/>
      <c r="P18" s="2305"/>
      <c r="Q18" s="2305"/>
      <c r="R18" s="2305"/>
      <c r="S18" s="2305"/>
      <c r="T18" s="2305"/>
      <c r="U18" s="2305"/>
      <c r="V18" s="2306"/>
      <c r="W18" s="2304" t="s">
        <v>626</v>
      </c>
      <c r="X18" s="2305"/>
      <c r="Y18" s="2305"/>
      <c r="Z18" s="2305"/>
      <c r="AA18" s="2305"/>
      <c r="AB18" s="2305"/>
      <c r="AC18" s="2305"/>
      <c r="AD18" s="2305"/>
      <c r="AE18" s="2305"/>
      <c r="AF18" s="2305"/>
      <c r="AG18" s="2306"/>
    </row>
    <row r="19" spans="2:33">
      <c r="K19" s="950"/>
    </row>
    <row r="20" spans="2:33">
      <c r="K20" s="950"/>
    </row>
    <row r="21" spans="2:33" ht="12.75">
      <c r="B21" s="951" t="s">
        <v>651</v>
      </c>
      <c r="C21" s="954" t="s">
        <v>1236</v>
      </c>
      <c r="D21" s="327"/>
      <c r="E21" s="327"/>
      <c r="F21" s="327"/>
      <c r="G21" s="327"/>
      <c r="H21" s="327"/>
      <c r="I21" s="328"/>
      <c r="K21" s="950"/>
    </row>
    <row r="22" spans="2:33">
      <c r="C22" s="4"/>
      <c r="D22" s="4"/>
      <c r="E22" s="4"/>
      <c r="F22" s="4"/>
      <c r="G22" s="4"/>
      <c r="H22" s="4"/>
      <c r="I22" s="4"/>
      <c r="K22" s="950"/>
    </row>
    <row r="23" spans="2:33">
      <c r="B23" s="70" t="s">
        <v>682</v>
      </c>
      <c r="I23" s="113" t="s">
        <v>681</v>
      </c>
      <c r="K23" s="950"/>
    </row>
    <row r="24" spans="2:33">
      <c r="B24" s="954" t="s">
        <v>1263</v>
      </c>
      <c r="C24" s="955"/>
      <c r="D24" s="955"/>
      <c r="E24" s="955"/>
      <c r="F24" s="955"/>
      <c r="G24" s="956"/>
      <c r="H24" s="4"/>
      <c r="I24" s="960" t="s">
        <v>1272</v>
      </c>
      <c r="J24" s="4"/>
      <c r="K24" s="957"/>
      <c r="L24" s="958"/>
      <c r="M24" s="958"/>
      <c r="N24" s="957"/>
      <c r="O24" s="958"/>
      <c r="P24" s="958"/>
      <c r="Q24" s="958"/>
      <c r="R24" s="959"/>
      <c r="S24" s="958"/>
      <c r="T24" s="958"/>
      <c r="U24" s="958"/>
      <c r="V24" s="958"/>
      <c r="W24" s="958"/>
      <c r="X24" s="957" t="s">
        <v>1239</v>
      </c>
      <c r="Y24" s="958" t="s">
        <v>1239</v>
      </c>
      <c r="Z24" s="958" t="s">
        <v>1239</v>
      </c>
      <c r="AA24" s="958" t="s">
        <v>1239</v>
      </c>
      <c r="AB24" s="959" t="s">
        <v>1239</v>
      </c>
      <c r="AC24" s="958"/>
      <c r="AD24" s="958"/>
      <c r="AE24" s="958"/>
      <c r="AF24" s="958"/>
      <c r="AG24" s="959"/>
    </row>
    <row r="25" spans="2:33">
      <c r="B25" s="954" t="s">
        <v>1264</v>
      </c>
      <c r="C25" s="327"/>
      <c r="D25" s="327"/>
      <c r="E25" s="327"/>
      <c r="F25" s="327"/>
      <c r="G25" s="328"/>
      <c r="H25" s="4"/>
      <c r="I25" s="960" t="s">
        <v>1274</v>
      </c>
      <c r="J25" s="4"/>
      <c r="K25" s="961"/>
      <c r="L25" s="962"/>
      <c r="M25" s="962"/>
      <c r="N25" s="961"/>
      <c r="O25" s="962"/>
      <c r="P25" s="962"/>
      <c r="Q25" s="962"/>
      <c r="R25" s="963"/>
      <c r="S25" s="962"/>
      <c r="T25" s="962"/>
      <c r="U25" s="962"/>
      <c r="V25" s="962"/>
      <c r="W25" s="962"/>
      <c r="X25" s="961" t="s">
        <v>1240</v>
      </c>
      <c r="Y25" s="962" t="s">
        <v>1240</v>
      </c>
      <c r="Z25" s="962" t="s">
        <v>1240</v>
      </c>
      <c r="AA25" s="962" t="s">
        <v>1240</v>
      </c>
      <c r="AB25" s="963" t="s">
        <v>1240</v>
      </c>
      <c r="AC25" s="962"/>
      <c r="AD25" s="962"/>
      <c r="AE25" s="962"/>
      <c r="AF25" s="962"/>
      <c r="AG25" s="963"/>
    </row>
    <row r="26" spans="2:33">
      <c r="B26" s="954" t="s">
        <v>1265</v>
      </c>
      <c r="C26" s="327"/>
      <c r="D26" s="327"/>
      <c r="E26" s="327"/>
      <c r="F26" s="327"/>
      <c r="G26" s="328"/>
      <c r="H26" s="4"/>
      <c r="I26" s="960" t="s">
        <v>1274</v>
      </c>
      <c r="J26" s="4"/>
      <c r="K26" s="961"/>
      <c r="L26" s="962"/>
      <c r="M26" s="962"/>
      <c r="N26" s="961"/>
      <c r="O26" s="962"/>
      <c r="P26" s="962"/>
      <c r="Q26" s="962"/>
      <c r="R26" s="963"/>
      <c r="S26" s="962"/>
      <c r="T26" s="962"/>
      <c r="U26" s="962"/>
      <c r="V26" s="962"/>
      <c r="W26" s="962"/>
      <c r="X26" s="961" t="s">
        <v>1242</v>
      </c>
      <c r="Y26" s="962" t="s">
        <v>1482</v>
      </c>
      <c r="Z26" s="962" t="s">
        <v>1243</v>
      </c>
      <c r="AA26" s="962" t="s">
        <v>1483</v>
      </c>
      <c r="AB26" s="963" t="s">
        <v>1244</v>
      </c>
      <c r="AC26" s="962"/>
      <c r="AD26" s="962"/>
      <c r="AE26" s="962"/>
      <c r="AF26" s="962"/>
      <c r="AG26" s="963"/>
    </row>
    <row r="27" spans="2:33">
      <c r="B27" s="954" t="s">
        <v>1266</v>
      </c>
      <c r="C27" s="327"/>
      <c r="D27" s="327"/>
      <c r="E27" s="327"/>
      <c r="F27" s="327"/>
      <c r="G27" s="328"/>
      <c r="H27" s="4"/>
      <c r="I27" s="960" t="s">
        <v>1274</v>
      </c>
      <c r="J27" s="4"/>
      <c r="K27" s="961"/>
      <c r="L27" s="962"/>
      <c r="M27" s="962"/>
      <c r="N27" s="961"/>
      <c r="O27" s="962"/>
      <c r="P27" s="962"/>
      <c r="Q27" s="962"/>
      <c r="R27" s="963"/>
      <c r="S27" s="962"/>
      <c r="T27" s="962"/>
      <c r="U27" s="962"/>
      <c r="V27" s="962"/>
      <c r="W27" s="962"/>
      <c r="X27" s="961" t="s">
        <v>1241</v>
      </c>
      <c r="Y27" s="962" t="s">
        <v>1241</v>
      </c>
      <c r="Z27" s="962" t="s">
        <v>1241</v>
      </c>
      <c r="AA27" s="962" t="s">
        <v>1241</v>
      </c>
      <c r="AB27" s="963" t="s">
        <v>1241</v>
      </c>
      <c r="AC27" s="962"/>
      <c r="AD27" s="962"/>
      <c r="AE27" s="962"/>
      <c r="AF27" s="962"/>
      <c r="AG27" s="963"/>
    </row>
    <row r="28" spans="2:33">
      <c r="B28" s="954" t="s">
        <v>656</v>
      </c>
      <c r="C28" s="327"/>
      <c r="D28" s="327"/>
      <c r="E28" s="327"/>
      <c r="F28" s="327"/>
      <c r="G28" s="328"/>
      <c r="H28" s="4"/>
      <c r="I28" s="960"/>
      <c r="J28" s="4"/>
      <c r="K28" s="961"/>
      <c r="L28" s="962"/>
      <c r="M28" s="962"/>
      <c r="N28" s="961"/>
      <c r="O28" s="962"/>
      <c r="P28" s="962"/>
      <c r="Q28" s="962"/>
      <c r="R28" s="963"/>
      <c r="S28" s="962"/>
      <c r="T28" s="962"/>
      <c r="U28" s="962"/>
      <c r="V28" s="962"/>
      <c r="W28" s="962"/>
      <c r="X28" s="961"/>
      <c r="Y28" s="962"/>
      <c r="Z28" s="962"/>
      <c r="AA28" s="962"/>
      <c r="AB28" s="963"/>
      <c r="AC28" s="962"/>
      <c r="AD28" s="962"/>
      <c r="AE28" s="962"/>
      <c r="AF28" s="962"/>
      <c r="AG28" s="963"/>
    </row>
    <row r="29" spans="2:33">
      <c r="B29" s="954" t="s">
        <v>657</v>
      </c>
      <c r="C29" s="327"/>
      <c r="D29" s="327"/>
      <c r="E29" s="327"/>
      <c r="F29" s="327"/>
      <c r="G29" s="328"/>
      <c r="H29" s="4"/>
      <c r="I29" s="960"/>
      <c r="J29" s="4"/>
      <c r="K29" s="961"/>
      <c r="L29" s="962"/>
      <c r="M29" s="962"/>
      <c r="N29" s="961"/>
      <c r="O29" s="962"/>
      <c r="P29" s="962"/>
      <c r="Q29" s="962"/>
      <c r="R29" s="963"/>
      <c r="S29" s="962"/>
      <c r="T29" s="962"/>
      <c r="U29" s="962"/>
      <c r="V29" s="962"/>
      <c r="W29" s="962"/>
      <c r="X29" s="961"/>
      <c r="Y29" s="962"/>
      <c r="Z29" s="962"/>
      <c r="AA29" s="962"/>
      <c r="AB29" s="963"/>
      <c r="AC29" s="962"/>
      <c r="AD29" s="962"/>
      <c r="AE29" s="962"/>
      <c r="AF29" s="962"/>
      <c r="AG29" s="963"/>
    </row>
    <row r="30" spans="2:33">
      <c r="B30" s="954" t="s">
        <v>658</v>
      </c>
      <c r="C30" s="327"/>
      <c r="D30" s="327"/>
      <c r="E30" s="327"/>
      <c r="F30" s="327"/>
      <c r="G30" s="328"/>
      <c r="H30" s="4"/>
      <c r="I30" s="960"/>
      <c r="J30" s="4"/>
      <c r="K30" s="961"/>
      <c r="L30" s="962"/>
      <c r="M30" s="962"/>
      <c r="N30" s="961"/>
      <c r="O30" s="962"/>
      <c r="P30" s="962"/>
      <c r="Q30" s="962"/>
      <c r="R30" s="963"/>
      <c r="S30" s="962"/>
      <c r="T30" s="962"/>
      <c r="U30" s="962"/>
      <c r="V30" s="962"/>
      <c r="W30" s="962"/>
      <c r="X30" s="961"/>
      <c r="Y30" s="962"/>
      <c r="Z30" s="962"/>
      <c r="AA30" s="962"/>
      <c r="AB30" s="963"/>
      <c r="AC30" s="962"/>
      <c r="AD30" s="962"/>
      <c r="AE30" s="962"/>
      <c r="AF30" s="962"/>
      <c r="AG30" s="963"/>
    </row>
    <row r="31" spans="2:33">
      <c r="B31" s="954" t="s">
        <v>659</v>
      </c>
      <c r="C31" s="327"/>
      <c r="D31" s="327"/>
      <c r="E31" s="327"/>
      <c r="F31" s="327"/>
      <c r="G31" s="328"/>
      <c r="H31" s="4"/>
      <c r="I31" s="960"/>
      <c r="J31" s="4"/>
      <c r="K31" s="961"/>
      <c r="L31" s="962"/>
      <c r="M31" s="962"/>
      <c r="N31" s="961"/>
      <c r="O31" s="962"/>
      <c r="P31" s="962"/>
      <c r="Q31" s="962"/>
      <c r="R31" s="963"/>
      <c r="S31" s="962"/>
      <c r="T31" s="962"/>
      <c r="U31" s="962"/>
      <c r="V31" s="962"/>
      <c r="W31" s="962"/>
      <c r="X31" s="961"/>
      <c r="Y31" s="962"/>
      <c r="Z31" s="962"/>
      <c r="AA31" s="962"/>
      <c r="AB31" s="963"/>
      <c r="AC31" s="962"/>
      <c r="AD31" s="962"/>
      <c r="AE31" s="962"/>
      <c r="AF31" s="962"/>
      <c r="AG31" s="963"/>
    </row>
    <row r="32" spans="2:33">
      <c r="B32" s="954" t="s">
        <v>660</v>
      </c>
      <c r="C32" s="327"/>
      <c r="D32" s="327"/>
      <c r="E32" s="327"/>
      <c r="F32" s="327"/>
      <c r="G32" s="328"/>
      <c r="H32" s="4"/>
      <c r="I32" s="960"/>
      <c r="J32" s="4"/>
      <c r="K32" s="961"/>
      <c r="L32" s="962"/>
      <c r="M32" s="962"/>
      <c r="N32" s="961"/>
      <c r="O32" s="962"/>
      <c r="P32" s="962"/>
      <c r="Q32" s="962"/>
      <c r="R32" s="963"/>
      <c r="S32" s="962"/>
      <c r="T32" s="962"/>
      <c r="U32" s="962"/>
      <c r="V32" s="962"/>
      <c r="W32" s="962"/>
      <c r="X32" s="961"/>
      <c r="Y32" s="962"/>
      <c r="Z32" s="962"/>
      <c r="AA32" s="962"/>
      <c r="AB32" s="963"/>
      <c r="AC32" s="962"/>
      <c r="AD32" s="962"/>
      <c r="AE32" s="962"/>
      <c r="AF32" s="962"/>
      <c r="AG32" s="963"/>
    </row>
    <row r="33" spans="2:33">
      <c r="B33" s="954" t="s">
        <v>661</v>
      </c>
      <c r="C33" s="327"/>
      <c r="D33" s="327"/>
      <c r="E33" s="327"/>
      <c r="F33" s="327"/>
      <c r="G33" s="328"/>
      <c r="H33" s="4"/>
      <c r="I33" s="960"/>
      <c r="J33" s="4"/>
      <c r="K33" s="964"/>
      <c r="L33" s="965"/>
      <c r="M33" s="965"/>
      <c r="N33" s="964"/>
      <c r="O33" s="965"/>
      <c r="P33" s="965"/>
      <c r="Q33" s="965"/>
      <c r="R33" s="966"/>
      <c r="S33" s="965"/>
      <c r="T33" s="965"/>
      <c r="U33" s="965"/>
      <c r="V33" s="965"/>
      <c r="W33" s="965"/>
      <c r="X33" s="964"/>
      <c r="Y33" s="965"/>
      <c r="Z33" s="965"/>
      <c r="AA33" s="965"/>
      <c r="AB33" s="966"/>
      <c r="AC33" s="965"/>
      <c r="AD33" s="965"/>
      <c r="AE33" s="965"/>
      <c r="AF33" s="965"/>
      <c r="AG33" s="966"/>
    </row>
    <row r="34" spans="2:33" s="74" customFormat="1"/>
    <row r="35" spans="2:33" s="74" customFormat="1"/>
    <row r="36" spans="2:33" ht="12.75">
      <c r="B36" s="951" t="s">
        <v>662</v>
      </c>
      <c r="C36" s="954" t="s">
        <v>1238</v>
      </c>
      <c r="D36" s="327"/>
      <c r="E36" s="327"/>
      <c r="F36" s="327"/>
      <c r="G36" s="327"/>
      <c r="H36" s="327"/>
      <c r="I36" s="328"/>
    </row>
    <row r="38" spans="2:33">
      <c r="B38" s="954" t="s">
        <v>1261</v>
      </c>
      <c r="C38" s="955"/>
      <c r="D38" s="955"/>
      <c r="E38" s="955"/>
      <c r="F38" s="955"/>
      <c r="G38" s="956"/>
      <c r="H38" s="4"/>
      <c r="I38" s="960" t="s">
        <v>1279</v>
      </c>
      <c r="J38" s="4"/>
      <c r="K38" s="957"/>
      <c r="L38" s="958"/>
      <c r="M38" s="958"/>
      <c r="N38" s="957"/>
      <c r="O38" s="958"/>
      <c r="P38" s="958"/>
      <c r="Q38" s="958"/>
      <c r="R38" s="959"/>
      <c r="S38" s="958"/>
      <c r="T38" s="958"/>
      <c r="U38" s="958"/>
      <c r="V38" s="958"/>
      <c r="W38" s="958"/>
      <c r="X38" s="957" t="s">
        <v>1245</v>
      </c>
      <c r="Y38" s="958" t="s">
        <v>1246</v>
      </c>
      <c r="Z38" s="958" t="s">
        <v>1247</v>
      </c>
      <c r="AA38" s="958" t="s">
        <v>1247</v>
      </c>
      <c r="AB38" s="959" t="s">
        <v>1248</v>
      </c>
      <c r="AC38" s="958"/>
      <c r="AD38" s="958"/>
      <c r="AE38" s="958"/>
      <c r="AF38" s="958"/>
      <c r="AG38" s="959"/>
    </row>
    <row r="39" spans="2:33">
      <c r="B39" s="954" t="s">
        <v>1262</v>
      </c>
      <c r="C39" s="327"/>
      <c r="D39" s="327"/>
      <c r="E39" s="327"/>
      <c r="F39" s="327"/>
      <c r="G39" s="328"/>
      <c r="H39" s="4"/>
      <c r="I39" s="960" t="s">
        <v>1273</v>
      </c>
      <c r="J39" s="4"/>
      <c r="K39" s="961"/>
      <c r="L39" s="962"/>
      <c r="M39" s="962"/>
      <c r="N39" s="961"/>
      <c r="O39" s="962"/>
      <c r="P39" s="962"/>
      <c r="Q39" s="962"/>
      <c r="R39" s="963"/>
      <c r="S39" s="962"/>
      <c r="T39" s="962"/>
      <c r="U39" s="962"/>
      <c r="V39" s="962"/>
      <c r="W39" s="962"/>
      <c r="X39" s="2181">
        <v>12000</v>
      </c>
      <c r="Y39" s="2182">
        <v>10000</v>
      </c>
      <c r="Z39" s="2182">
        <v>10000</v>
      </c>
      <c r="AA39" s="2182">
        <v>5000</v>
      </c>
      <c r="AB39" s="2183">
        <v>5000</v>
      </c>
      <c r="AC39" s="962"/>
      <c r="AD39" s="962"/>
      <c r="AE39" s="962"/>
      <c r="AF39" s="962"/>
      <c r="AG39" s="963"/>
    </row>
    <row r="40" spans="2:33">
      <c r="B40" s="954" t="s">
        <v>654</v>
      </c>
      <c r="C40" s="327"/>
      <c r="D40" s="327"/>
      <c r="E40" s="327"/>
      <c r="F40" s="327"/>
      <c r="G40" s="328"/>
      <c r="H40" s="4"/>
      <c r="I40" s="960"/>
      <c r="J40" s="4"/>
      <c r="K40" s="961"/>
      <c r="L40" s="962"/>
      <c r="M40" s="962"/>
      <c r="N40" s="961"/>
      <c r="O40" s="962"/>
      <c r="P40" s="962"/>
      <c r="Q40" s="962"/>
      <c r="R40" s="963"/>
      <c r="S40" s="962"/>
      <c r="T40" s="962"/>
      <c r="U40" s="962"/>
      <c r="V40" s="962"/>
      <c r="W40" s="962"/>
      <c r="X40" s="961"/>
      <c r="Y40" s="962"/>
      <c r="Z40" s="962"/>
      <c r="AA40" s="962"/>
      <c r="AB40" s="963"/>
      <c r="AC40" s="962"/>
      <c r="AD40" s="962"/>
      <c r="AE40" s="962"/>
      <c r="AF40" s="962"/>
      <c r="AG40" s="963"/>
    </row>
    <row r="41" spans="2:33">
      <c r="B41" s="954" t="s">
        <v>655</v>
      </c>
      <c r="C41" s="327"/>
      <c r="D41" s="327"/>
      <c r="E41" s="327"/>
      <c r="F41" s="327"/>
      <c r="G41" s="328"/>
      <c r="H41" s="4"/>
      <c r="I41" s="960"/>
      <c r="J41" s="4"/>
      <c r="K41" s="961"/>
      <c r="L41" s="962"/>
      <c r="M41" s="962"/>
      <c r="N41" s="961"/>
      <c r="O41" s="962"/>
      <c r="P41" s="962"/>
      <c r="Q41" s="962"/>
      <c r="R41" s="963"/>
      <c r="S41" s="962"/>
      <c r="T41" s="962"/>
      <c r="U41" s="962"/>
      <c r="V41" s="962"/>
      <c r="W41" s="962"/>
      <c r="X41" s="961"/>
      <c r="Y41" s="962"/>
      <c r="Z41" s="962"/>
      <c r="AA41" s="962"/>
      <c r="AB41" s="963"/>
      <c r="AC41" s="962"/>
      <c r="AD41" s="962"/>
      <c r="AE41" s="962"/>
      <c r="AF41" s="962"/>
      <c r="AG41" s="963"/>
    </row>
    <row r="42" spans="2:33">
      <c r="B42" s="954" t="s">
        <v>656</v>
      </c>
      <c r="C42" s="327"/>
      <c r="D42" s="327"/>
      <c r="E42" s="327"/>
      <c r="F42" s="327"/>
      <c r="G42" s="328"/>
      <c r="H42" s="4"/>
      <c r="I42" s="960"/>
      <c r="J42" s="4"/>
      <c r="K42" s="961"/>
      <c r="L42" s="962"/>
      <c r="M42" s="962"/>
      <c r="N42" s="961"/>
      <c r="O42" s="962"/>
      <c r="P42" s="962"/>
      <c r="Q42" s="962"/>
      <c r="R42" s="963"/>
      <c r="S42" s="962"/>
      <c r="T42" s="962"/>
      <c r="U42" s="962"/>
      <c r="V42" s="962"/>
      <c r="W42" s="962"/>
      <c r="X42" s="961"/>
      <c r="Y42" s="962"/>
      <c r="Z42" s="962"/>
      <c r="AA42" s="962"/>
      <c r="AB42" s="963"/>
      <c r="AC42" s="962"/>
      <c r="AD42" s="962"/>
      <c r="AE42" s="962"/>
      <c r="AF42" s="962"/>
      <c r="AG42" s="963"/>
    </row>
    <row r="43" spans="2:33">
      <c r="B43" s="954" t="s">
        <v>657</v>
      </c>
      <c r="C43" s="327"/>
      <c r="D43" s="327"/>
      <c r="E43" s="327"/>
      <c r="F43" s="327"/>
      <c r="G43" s="328"/>
      <c r="H43" s="4"/>
      <c r="I43" s="960"/>
      <c r="J43" s="4"/>
      <c r="K43" s="961"/>
      <c r="L43" s="962"/>
      <c r="M43" s="962"/>
      <c r="N43" s="961"/>
      <c r="O43" s="962"/>
      <c r="P43" s="962"/>
      <c r="Q43" s="962"/>
      <c r="R43" s="963"/>
      <c r="S43" s="962"/>
      <c r="T43" s="962"/>
      <c r="U43" s="962"/>
      <c r="V43" s="962"/>
      <c r="W43" s="962"/>
      <c r="X43" s="961"/>
      <c r="Y43" s="962"/>
      <c r="Z43" s="962"/>
      <c r="AA43" s="962"/>
      <c r="AB43" s="963"/>
      <c r="AC43" s="962"/>
      <c r="AD43" s="962"/>
      <c r="AE43" s="962"/>
      <c r="AF43" s="962"/>
      <c r="AG43" s="963"/>
    </row>
    <row r="44" spans="2:33">
      <c r="B44" s="954" t="s">
        <v>658</v>
      </c>
      <c r="C44" s="327"/>
      <c r="D44" s="327"/>
      <c r="E44" s="327"/>
      <c r="F44" s="327"/>
      <c r="G44" s="328"/>
      <c r="H44" s="4"/>
      <c r="I44" s="960"/>
      <c r="J44" s="4"/>
      <c r="K44" s="961"/>
      <c r="L44" s="962"/>
      <c r="M44" s="962"/>
      <c r="N44" s="961"/>
      <c r="O44" s="962"/>
      <c r="P44" s="962"/>
      <c r="Q44" s="962"/>
      <c r="R44" s="963"/>
      <c r="S44" s="962"/>
      <c r="T44" s="962"/>
      <c r="U44" s="962"/>
      <c r="V44" s="962"/>
      <c r="W44" s="962"/>
      <c r="X44" s="961"/>
      <c r="Y44" s="962"/>
      <c r="Z44" s="962"/>
      <c r="AA44" s="962"/>
      <c r="AB44" s="963"/>
      <c r="AC44" s="962"/>
      <c r="AD44" s="962"/>
      <c r="AE44" s="962"/>
      <c r="AF44" s="962"/>
      <c r="AG44" s="963"/>
    </row>
    <row r="45" spans="2:33">
      <c r="B45" s="954" t="s">
        <v>659</v>
      </c>
      <c r="C45" s="327"/>
      <c r="D45" s="327"/>
      <c r="E45" s="327"/>
      <c r="F45" s="327"/>
      <c r="G45" s="328"/>
      <c r="H45" s="4"/>
      <c r="I45" s="960"/>
      <c r="J45" s="4"/>
      <c r="K45" s="961"/>
      <c r="L45" s="962"/>
      <c r="M45" s="962"/>
      <c r="N45" s="961"/>
      <c r="O45" s="962"/>
      <c r="P45" s="962"/>
      <c r="Q45" s="962"/>
      <c r="R45" s="963"/>
      <c r="S45" s="962"/>
      <c r="T45" s="962"/>
      <c r="U45" s="962"/>
      <c r="V45" s="962"/>
      <c r="W45" s="962"/>
      <c r="X45" s="961"/>
      <c r="Y45" s="962"/>
      <c r="Z45" s="962"/>
      <c r="AA45" s="962"/>
      <c r="AB45" s="963"/>
      <c r="AC45" s="962"/>
      <c r="AD45" s="962"/>
      <c r="AE45" s="962"/>
      <c r="AF45" s="962"/>
      <c r="AG45" s="963"/>
    </row>
    <row r="46" spans="2:33">
      <c r="B46" s="954" t="s">
        <v>660</v>
      </c>
      <c r="C46" s="327"/>
      <c r="D46" s="327"/>
      <c r="E46" s="327"/>
      <c r="F46" s="327"/>
      <c r="G46" s="328"/>
      <c r="H46" s="4"/>
      <c r="I46" s="960"/>
      <c r="J46" s="4"/>
      <c r="K46" s="961"/>
      <c r="L46" s="962"/>
      <c r="M46" s="962"/>
      <c r="N46" s="961"/>
      <c r="O46" s="962"/>
      <c r="P46" s="962"/>
      <c r="Q46" s="962"/>
      <c r="R46" s="963"/>
      <c r="S46" s="962"/>
      <c r="T46" s="962"/>
      <c r="U46" s="962"/>
      <c r="V46" s="962"/>
      <c r="W46" s="962"/>
      <c r="X46" s="961"/>
      <c r="Y46" s="962"/>
      <c r="Z46" s="962"/>
      <c r="AA46" s="962"/>
      <c r="AB46" s="963"/>
      <c r="AC46" s="962"/>
      <c r="AD46" s="962"/>
      <c r="AE46" s="962"/>
      <c r="AF46" s="962"/>
      <c r="AG46" s="963"/>
    </row>
    <row r="47" spans="2:33">
      <c r="B47" s="954" t="s">
        <v>661</v>
      </c>
      <c r="C47" s="327"/>
      <c r="D47" s="327"/>
      <c r="E47" s="327"/>
      <c r="F47" s="327"/>
      <c r="G47" s="328"/>
      <c r="H47" s="4"/>
      <c r="I47" s="960"/>
      <c r="J47" s="4"/>
      <c r="K47" s="964"/>
      <c r="L47" s="965"/>
      <c r="M47" s="965"/>
      <c r="N47" s="964"/>
      <c r="O47" s="965"/>
      <c r="P47" s="965"/>
      <c r="Q47" s="965"/>
      <c r="R47" s="966"/>
      <c r="S47" s="965"/>
      <c r="T47" s="965"/>
      <c r="U47" s="965"/>
      <c r="V47" s="965"/>
      <c r="W47" s="965"/>
      <c r="X47" s="964"/>
      <c r="Y47" s="965"/>
      <c r="Z47" s="965"/>
      <c r="AA47" s="965"/>
      <c r="AB47" s="966"/>
      <c r="AC47" s="965"/>
      <c r="AD47" s="965"/>
      <c r="AE47" s="965"/>
      <c r="AF47" s="965"/>
      <c r="AG47" s="966"/>
    </row>
    <row r="50" spans="1:33" ht="12.75">
      <c r="B50" s="951" t="s">
        <v>663</v>
      </c>
      <c r="C50" s="954" t="s">
        <v>1237</v>
      </c>
      <c r="D50" s="327"/>
      <c r="E50" s="327"/>
      <c r="F50" s="327"/>
      <c r="G50" s="327"/>
      <c r="H50" s="327"/>
      <c r="I50" s="328"/>
    </row>
    <row r="52" spans="1:33">
      <c r="B52" s="954" t="s">
        <v>1259</v>
      </c>
      <c r="C52" s="955"/>
      <c r="D52" s="955"/>
      <c r="E52" s="955"/>
      <c r="F52" s="955"/>
      <c r="G52" s="956"/>
      <c r="H52" s="4"/>
      <c r="I52" s="960" t="s">
        <v>942</v>
      </c>
      <c r="J52" s="4"/>
      <c r="K52" s="957"/>
      <c r="L52" s="958"/>
      <c r="M52" s="958"/>
      <c r="N52" s="957"/>
      <c r="O52" s="958"/>
      <c r="P52" s="958"/>
      <c r="Q52" s="958"/>
      <c r="R52" s="959"/>
      <c r="S52" s="958"/>
      <c r="T52" s="958"/>
      <c r="U52" s="958"/>
      <c r="V52" s="958"/>
      <c r="W52" s="958"/>
      <c r="X52" s="957">
        <v>0</v>
      </c>
      <c r="Y52" s="958">
        <v>0</v>
      </c>
      <c r="Z52" s="958">
        <v>0</v>
      </c>
      <c r="AA52" s="958">
        <v>0</v>
      </c>
      <c r="AB52" s="959">
        <v>0</v>
      </c>
      <c r="AC52" s="958"/>
      <c r="AD52" s="958"/>
      <c r="AE52" s="958"/>
      <c r="AF52" s="958"/>
      <c r="AG52" s="959"/>
    </row>
    <row r="53" spans="1:33">
      <c r="B53" s="954" t="s">
        <v>1249</v>
      </c>
      <c r="C53" s="327"/>
      <c r="D53" s="327"/>
      <c r="E53" s="327"/>
      <c r="F53" s="327"/>
      <c r="G53" s="328"/>
      <c r="H53" s="4"/>
      <c r="I53" s="960" t="s">
        <v>942</v>
      </c>
      <c r="J53" s="4"/>
      <c r="K53" s="961"/>
      <c r="L53" s="962"/>
      <c r="M53" s="962"/>
      <c r="N53" s="961"/>
      <c r="O53" s="962"/>
      <c r="P53" s="962"/>
      <c r="Q53" s="962"/>
      <c r="R53" s="963"/>
      <c r="S53" s="962"/>
      <c r="T53" s="962"/>
      <c r="U53" s="962"/>
      <c r="V53" s="962"/>
      <c r="W53" s="962"/>
      <c r="X53" s="961">
        <v>0</v>
      </c>
      <c r="Y53" s="962">
        <v>0</v>
      </c>
      <c r="Z53" s="962">
        <v>0</v>
      </c>
      <c r="AA53" s="962">
        <v>0</v>
      </c>
      <c r="AB53" s="963">
        <v>0</v>
      </c>
      <c r="AC53" s="962"/>
      <c r="AD53" s="962"/>
      <c r="AE53" s="962"/>
      <c r="AF53" s="962"/>
      <c r="AG53" s="963"/>
    </row>
    <row r="54" spans="1:33">
      <c r="B54" s="954" t="s">
        <v>1260</v>
      </c>
      <c r="C54" s="327"/>
      <c r="D54" s="327"/>
      <c r="E54" s="327"/>
      <c r="F54" s="327"/>
      <c r="G54" s="328"/>
      <c r="H54" s="4"/>
      <c r="I54" s="960" t="s">
        <v>1275</v>
      </c>
      <c r="J54" s="4"/>
      <c r="K54" s="961"/>
      <c r="L54" s="962"/>
      <c r="M54" s="962"/>
      <c r="N54" s="961"/>
      <c r="O54" s="962"/>
      <c r="P54" s="962"/>
      <c r="Q54" s="962"/>
      <c r="R54" s="963"/>
      <c r="S54" s="962"/>
      <c r="T54" s="962"/>
      <c r="U54" s="962"/>
      <c r="V54" s="962"/>
      <c r="W54" s="962"/>
      <c r="X54" s="961" t="s">
        <v>1250</v>
      </c>
      <c r="Y54" s="962" t="s">
        <v>1250</v>
      </c>
      <c r="Z54" s="962" t="s">
        <v>1250</v>
      </c>
      <c r="AA54" s="962" t="s">
        <v>1250</v>
      </c>
      <c r="AB54" s="963" t="s">
        <v>1250</v>
      </c>
      <c r="AC54" s="962"/>
      <c r="AD54" s="962"/>
      <c r="AE54" s="962"/>
      <c r="AF54" s="962"/>
      <c r="AG54" s="963"/>
    </row>
    <row r="55" spans="1:33">
      <c r="B55" s="954" t="s">
        <v>1258</v>
      </c>
      <c r="C55" s="327"/>
      <c r="D55" s="327"/>
      <c r="E55" s="327"/>
      <c r="F55" s="327"/>
      <c r="G55" s="328"/>
      <c r="H55" s="4"/>
      <c r="I55" s="960" t="s">
        <v>1276</v>
      </c>
      <c r="J55" s="4"/>
      <c r="K55" s="961"/>
      <c r="L55" s="962"/>
      <c r="M55" s="962"/>
      <c r="N55" s="961"/>
      <c r="O55" s="962"/>
      <c r="P55" s="962"/>
      <c r="Q55" s="962"/>
      <c r="R55" s="963"/>
      <c r="S55" s="962"/>
      <c r="T55" s="962"/>
      <c r="U55" s="962"/>
      <c r="V55" s="962"/>
      <c r="W55" s="962"/>
      <c r="X55" s="961" t="s">
        <v>1245</v>
      </c>
      <c r="Y55" s="962" t="s">
        <v>1245</v>
      </c>
      <c r="Z55" s="962" t="s">
        <v>1245</v>
      </c>
      <c r="AA55" s="962" t="s">
        <v>1245</v>
      </c>
      <c r="AB55" s="963" t="s">
        <v>1245</v>
      </c>
      <c r="AC55" s="962"/>
      <c r="AD55" s="962"/>
      <c r="AE55" s="962"/>
      <c r="AF55" s="962"/>
      <c r="AG55" s="963"/>
    </row>
    <row r="56" spans="1:33">
      <c r="B56" s="954" t="s">
        <v>656</v>
      </c>
      <c r="C56" s="327"/>
      <c r="D56" s="327"/>
      <c r="E56" s="327"/>
      <c r="F56" s="327"/>
      <c r="G56" s="328"/>
      <c r="H56" s="4"/>
      <c r="I56" s="960"/>
      <c r="J56" s="4"/>
      <c r="K56" s="961"/>
      <c r="L56" s="962"/>
      <c r="M56" s="962"/>
      <c r="N56" s="961"/>
      <c r="O56" s="962"/>
      <c r="P56" s="962"/>
      <c r="Q56" s="962"/>
      <c r="R56" s="963"/>
      <c r="S56" s="962"/>
      <c r="T56" s="962"/>
      <c r="U56" s="962"/>
      <c r="V56" s="962"/>
      <c r="W56" s="962"/>
      <c r="X56" s="961"/>
      <c r="Y56" s="962"/>
      <c r="Z56" s="962"/>
      <c r="AA56" s="962"/>
      <c r="AB56" s="963"/>
      <c r="AC56" s="962"/>
      <c r="AD56" s="962"/>
      <c r="AE56" s="962"/>
      <c r="AF56" s="962"/>
      <c r="AG56" s="963"/>
    </row>
    <row r="57" spans="1:33">
      <c r="B57" s="954" t="s">
        <v>657</v>
      </c>
      <c r="C57" s="327"/>
      <c r="D57" s="327"/>
      <c r="E57" s="327"/>
      <c r="F57" s="327"/>
      <c r="G57" s="328"/>
      <c r="H57" s="4"/>
      <c r="I57" s="960"/>
      <c r="J57" s="4"/>
      <c r="K57" s="961"/>
      <c r="L57" s="962"/>
      <c r="M57" s="962"/>
      <c r="N57" s="961"/>
      <c r="O57" s="962"/>
      <c r="P57" s="962"/>
      <c r="Q57" s="962"/>
      <c r="R57" s="963"/>
      <c r="S57" s="962"/>
      <c r="T57" s="962"/>
      <c r="U57" s="962"/>
      <c r="V57" s="962"/>
      <c r="W57" s="962"/>
      <c r="X57" s="961"/>
      <c r="Y57" s="962"/>
      <c r="Z57" s="962"/>
      <c r="AA57" s="962"/>
      <c r="AB57" s="963"/>
      <c r="AC57" s="962"/>
      <c r="AD57" s="962"/>
      <c r="AE57" s="962"/>
      <c r="AF57" s="962"/>
      <c r="AG57" s="963"/>
    </row>
    <row r="58" spans="1:33">
      <c r="B58" s="954" t="s">
        <v>658</v>
      </c>
      <c r="C58" s="327"/>
      <c r="D58" s="327"/>
      <c r="E58" s="327"/>
      <c r="F58" s="327"/>
      <c r="G58" s="328"/>
      <c r="H58" s="4"/>
      <c r="I58" s="960"/>
      <c r="J58" s="4"/>
      <c r="K58" s="961"/>
      <c r="L58" s="962"/>
      <c r="M58" s="962"/>
      <c r="N58" s="961"/>
      <c r="O58" s="962"/>
      <c r="P58" s="962"/>
      <c r="Q58" s="962"/>
      <c r="R58" s="963"/>
      <c r="S58" s="962"/>
      <c r="T58" s="962"/>
      <c r="U58" s="962"/>
      <c r="V58" s="962"/>
      <c r="W58" s="962"/>
      <c r="X58" s="961"/>
      <c r="Y58" s="962"/>
      <c r="Z58" s="962"/>
      <c r="AA58" s="962"/>
      <c r="AB58" s="963"/>
      <c r="AC58" s="962"/>
      <c r="AD58" s="962"/>
      <c r="AE58" s="962"/>
      <c r="AF58" s="962"/>
      <c r="AG58" s="963"/>
    </row>
    <row r="59" spans="1:33">
      <c r="B59" s="954" t="s">
        <v>659</v>
      </c>
      <c r="C59" s="327"/>
      <c r="D59" s="327"/>
      <c r="E59" s="327"/>
      <c r="F59" s="327"/>
      <c r="G59" s="328"/>
      <c r="H59" s="4"/>
      <c r="I59" s="960"/>
      <c r="J59" s="4"/>
      <c r="K59" s="961"/>
      <c r="L59" s="962"/>
      <c r="M59" s="962"/>
      <c r="N59" s="961"/>
      <c r="O59" s="962"/>
      <c r="P59" s="962"/>
      <c r="Q59" s="962"/>
      <c r="R59" s="963"/>
      <c r="S59" s="962"/>
      <c r="T59" s="962"/>
      <c r="U59" s="962"/>
      <c r="V59" s="962"/>
      <c r="W59" s="962"/>
      <c r="X59" s="961"/>
      <c r="Y59" s="962"/>
      <c r="Z59" s="962"/>
      <c r="AA59" s="962"/>
      <c r="AB59" s="963"/>
      <c r="AC59" s="962"/>
      <c r="AD59" s="962"/>
      <c r="AE59" s="962"/>
      <c r="AF59" s="962"/>
      <c r="AG59" s="963"/>
    </row>
    <row r="60" spans="1:33">
      <c r="B60" s="954" t="s">
        <v>660</v>
      </c>
      <c r="C60" s="327"/>
      <c r="D60" s="327"/>
      <c r="E60" s="327"/>
      <c r="F60" s="327"/>
      <c r="G60" s="328"/>
      <c r="H60" s="4"/>
      <c r="I60" s="960"/>
      <c r="J60" s="4"/>
      <c r="K60" s="961"/>
      <c r="L60" s="962"/>
      <c r="M60" s="962"/>
      <c r="N60" s="961"/>
      <c r="O60" s="962"/>
      <c r="P60" s="962"/>
      <c r="Q60" s="962"/>
      <c r="R60" s="963"/>
      <c r="S60" s="962"/>
      <c r="T60" s="962"/>
      <c r="U60" s="962"/>
      <c r="V60" s="962"/>
      <c r="W60" s="962"/>
      <c r="X60" s="961"/>
      <c r="Y60" s="962"/>
      <c r="Z60" s="962"/>
      <c r="AA60" s="962"/>
      <c r="AB60" s="963"/>
      <c r="AC60" s="962"/>
      <c r="AD60" s="962"/>
      <c r="AE60" s="962"/>
      <c r="AF60" s="962"/>
      <c r="AG60" s="963"/>
    </row>
    <row r="61" spans="1:33">
      <c r="B61" s="954" t="s">
        <v>661</v>
      </c>
      <c r="C61" s="327"/>
      <c r="D61" s="327"/>
      <c r="E61" s="327"/>
      <c r="F61" s="327"/>
      <c r="G61" s="328"/>
      <c r="H61" s="4"/>
      <c r="I61" s="960"/>
      <c r="J61" s="4"/>
      <c r="K61" s="964"/>
      <c r="L61" s="965"/>
      <c r="M61" s="965"/>
      <c r="N61" s="964"/>
      <c r="O61" s="965"/>
      <c r="P61" s="965"/>
      <c r="Q61" s="965"/>
      <c r="R61" s="966"/>
      <c r="S61" s="965"/>
      <c r="T61" s="965"/>
      <c r="U61" s="965"/>
      <c r="V61" s="965"/>
      <c r="W61" s="965"/>
      <c r="X61" s="964"/>
      <c r="Y61" s="965"/>
      <c r="Z61" s="965"/>
      <c r="AA61" s="965"/>
      <c r="AB61" s="966"/>
      <c r="AC61" s="965"/>
      <c r="AD61" s="965"/>
      <c r="AE61" s="965"/>
      <c r="AF61" s="965"/>
      <c r="AG61" s="966"/>
    </row>
    <row r="62" spans="1:33">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row>
    <row r="63" spans="1:33">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row>
    <row r="64" spans="1:33" ht="12.75">
      <c r="B64" s="951" t="s">
        <v>664</v>
      </c>
      <c r="C64" s="954" t="s">
        <v>943</v>
      </c>
      <c r="D64" s="327"/>
      <c r="E64" s="327"/>
      <c r="F64" s="327"/>
      <c r="G64" s="327"/>
      <c r="H64" s="327"/>
      <c r="I64" s="328"/>
    </row>
    <row r="66" spans="2:33">
      <c r="B66" s="954" t="s">
        <v>1255</v>
      </c>
      <c r="C66" s="955"/>
      <c r="D66" s="955"/>
      <c r="E66" s="955"/>
      <c r="F66" s="955"/>
      <c r="G66" s="956"/>
      <c r="H66" s="4"/>
      <c r="I66" s="960" t="s">
        <v>1278</v>
      </c>
      <c r="J66" s="4"/>
      <c r="K66" s="957"/>
      <c r="L66" s="958"/>
      <c r="M66" s="958"/>
      <c r="N66" s="957"/>
      <c r="O66" s="958"/>
      <c r="P66" s="958"/>
      <c r="Q66" s="958"/>
      <c r="R66" s="959"/>
      <c r="S66" s="958"/>
      <c r="T66" s="958"/>
      <c r="U66" s="958"/>
      <c r="V66" s="958"/>
      <c r="W66" s="958"/>
      <c r="X66" s="957" t="s">
        <v>1252</v>
      </c>
      <c r="Y66" s="958" t="s">
        <v>1252</v>
      </c>
      <c r="Z66" s="958" t="s">
        <v>1252</v>
      </c>
      <c r="AA66" s="958" t="s">
        <v>1252</v>
      </c>
      <c r="AB66" s="959" t="s">
        <v>1252</v>
      </c>
      <c r="AC66" s="958"/>
      <c r="AD66" s="958"/>
      <c r="AE66" s="958"/>
      <c r="AF66" s="958"/>
      <c r="AG66" s="959"/>
    </row>
    <row r="67" spans="2:33">
      <c r="B67" s="954" t="s">
        <v>1251</v>
      </c>
      <c r="C67" s="327"/>
      <c r="D67" s="327"/>
      <c r="E67" s="327"/>
      <c r="F67" s="327"/>
      <c r="G67" s="328"/>
      <c r="H67" s="4"/>
      <c r="I67" s="960" t="s">
        <v>1275</v>
      </c>
      <c r="J67" s="4"/>
      <c r="K67" s="961"/>
      <c r="L67" s="962"/>
      <c r="M67" s="962"/>
      <c r="N67" s="961"/>
      <c r="O67" s="962"/>
      <c r="P67" s="962"/>
      <c r="Q67" s="962"/>
      <c r="R67" s="963"/>
      <c r="S67" s="962"/>
      <c r="T67" s="962"/>
      <c r="U67" s="962"/>
      <c r="V67" s="962"/>
      <c r="W67" s="962"/>
      <c r="X67" s="961" t="s">
        <v>1253</v>
      </c>
      <c r="Y67" s="962" t="s">
        <v>1253</v>
      </c>
      <c r="Z67" s="962" t="s">
        <v>1253</v>
      </c>
      <c r="AA67" s="962" t="s">
        <v>1253</v>
      </c>
      <c r="AB67" s="963" t="s">
        <v>1253</v>
      </c>
      <c r="AC67" s="962"/>
      <c r="AD67" s="962"/>
      <c r="AE67" s="962"/>
      <c r="AF67" s="962"/>
      <c r="AG67" s="963"/>
    </row>
    <row r="68" spans="2:33">
      <c r="B68" s="954" t="s">
        <v>1256</v>
      </c>
      <c r="C68" s="327"/>
      <c r="D68" s="327"/>
      <c r="E68" s="327"/>
      <c r="F68" s="327"/>
      <c r="G68" s="328"/>
      <c r="H68" s="4"/>
      <c r="I68" s="960" t="s">
        <v>1277</v>
      </c>
      <c r="J68" s="4"/>
      <c r="K68" s="961"/>
      <c r="L68" s="962"/>
      <c r="M68" s="962"/>
      <c r="N68" s="961"/>
      <c r="O68" s="962"/>
      <c r="P68" s="962"/>
      <c r="Q68" s="962"/>
      <c r="R68" s="963"/>
      <c r="S68" s="962"/>
      <c r="T68" s="962"/>
      <c r="U68" s="962"/>
      <c r="V68" s="962"/>
      <c r="W68" s="962"/>
      <c r="X68" s="2184" t="s">
        <v>1484</v>
      </c>
      <c r="Y68" s="2185" t="s">
        <v>1484</v>
      </c>
      <c r="Z68" s="2185" t="s">
        <v>1484</v>
      </c>
      <c r="AA68" s="2185" t="s">
        <v>1484</v>
      </c>
      <c r="AB68" s="2186" t="s">
        <v>1484</v>
      </c>
      <c r="AC68" s="962"/>
      <c r="AD68" s="962"/>
      <c r="AE68" s="962"/>
      <c r="AF68" s="962"/>
      <c r="AG68" s="963"/>
    </row>
    <row r="69" spans="2:33">
      <c r="B69" s="954" t="s">
        <v>1257</v>
      </c>
      <c r="C69" s="327"/>
      <c r="D69" s="327"/>
      <c r="E69" s="327"/>
      <c r="F69" s="327"/>
      <c r="G69" s="328"/>
      <c r="H69" s="4"/>
      <c r="I69" s="960" t="s">
        <v>1278</v>
      </c>
      <c r="J69" s="4"/>
      <c r="K69" s="961"/>
      <c r="L69" s="962"/>
      <c r="M69" s="962"/>
      <c r="N69" s="961"/>
      <c r="O69" s="962"/>
      <c r="P69" s="962"/>
      <c r="Q69" s="962"/>
      <c r="R69" s="963"/>
      <c r="S69" s="962"/>
      <c r="T69" s="962"/>
      <c r="U69" s="962"/>
      <c r="V69" s="962"/>
      <c r="W69" s="962"/>
      <c r="X69" s="2184">
        <v>1</v>
      </c>
      <c r="Y69" s="2185">
        <v>1</v>
      </c>
      <c r="Z69" s="2185">
        <v>1</v>
      </c>
      <c r="AA69" s="2185">
        <v>1</v>
      </c>
      <c r="AB69" s="2186">
        <v>1</v>
      </c>
      <c r="AC69" s="962"/>
      <c r="AD69" s="962"/>
      <c r="AE69" s="962"/>
      <c r="AF69" s="962"/>
      <c r="AG69" s="963"/>
    </row>
    <row r="70" spans="2:33">
      <c r="B70" s="954" t="s">
        <v>1254</v>
      </c>
      <c r="C70" s="327"/>
      <c r="D70" s="327"/>
      <c r="E70" s="327"/>
      <c r="F70" s="327"/>
      <c r="G70" s="328"/>
      <c r="H70" s="4"/>
      <c r="I70" s="960" t="s">
        <v>1274</v>
      </c>
      <c r="J70" s="4"/>
      <c r="K70" s="961"/>
      <c r="L70" s="962"/>
      <c r="M70" s="962"/>
      <c r="N70" s="961"/>
      <c r="O70" s="962"/>
      <c r="P70" s="962"/>
      <c r="Q70" s="962"/>
      <c r="R70" s="963"/>
      <c r="S70" s="962"/>
      <c r="T70" s="962"/>
      <c r="U70" s="962"/>
      <c r="V70" s="962"/>
      <c r="W70" s="962"/>
      <c r="X70" s="2184">
        <v>1</v>
      </c>
      <c r="Y70" s="2185">
        <v>1</v>
      </c>
      <c r="Z70" s="2185">
        <v>1</v>
      </c>
      <c r="AA70" s="2185">
        <v>1</v>
      </c>
      <c r="AB70" s="2186">
        <v>1</v>
      </c>
      <c r="AC70" s="962"/>
      <c r="AD70" s="962"/>
      <c r="AE70" s="962"/>
      <c r="AF70" s="962"/>
      <c r="AG70" s="963"/>
    </row>
    <row r="71" spans="2:33">
      <c r="B71" s="954" t="s">
        <v>657</v>
      </c>
      <c r="C71" s="327"/>
      <c r="D71" s="327"/>
      <c r="E71" s="327"/>
      <c r="F71" s="327"/>
      <c r="G71" s="328"/>
      <c r="H71" s="4"/>
      <c r="I71" s="960"/>
      <c r="J71" s="4"/>
      <c r="K71" s="961"/>
      <c r="L71" s="962"/>
      <c r="M71" s="962"/>
      <c r="N71" s="961"/>
      <c r="O71" s="962"/>
      <c r="P71" s="962"/>
      <c r="Q71" s="962"/>
      <c r="R71" s="963"/>
      <c r="S71" s="962"/>
      <c r="T71" s="962"/>
      <c r="U71" s="962"/>
      <c r="V71" s="962"/>
      <c r="W71" s="962"/>
      <c r="X71" s="961"/>
      <c r="Y71" s="962"/>
      <c r="Z71" s="962"/>
      <c r="AA71" s="962"/>
      <c r="AB71" s="963"/>
      <c r="AC71" s="962"/>
      <c r="AD71" s="962"/>
      <c r="AE71" s="962"/>
      <c r="AF71" s="962"/>
      <c r="AG71" s="963"/>
    </row>
    <row r="72" spans="2:33">
      <c r="B72" s="954" t="s">
        <v>658</v>
      </c>
      <c r="C72" s="327"/>
      <c r="D72" s="327"/>
      <c r="E72" s="327"/>
      <c r="F72" s="327"/>
      <c r="G72" s="328"/>
      <c r="H72" s="4"/>
      <c r="I72" s="960"/>
      <c r="J72" s="4"/>
      <c r="K72" s="961"/>
      <c r="L72" s="962"/>
      <c r="M72" s="962"/>
      <c r="N72" s="961"/>
      <c r="O72" s="962"/>
      <c r="P72" s="962"/>
      <c r="Q72" s="962"/>
      <c r="R72" s="963"/>
      <c r="S72" s="962"/>
      <c r="T72" s="962"/>
      <c r="U72" s="962"/>
      <c r="V72" s="962"/>
      <c r="W72" s="962"/>
      <c r="X72" s="961"/>
      <c r="Y72" s="962"/>
      <c r="Z72" s="962"/>
      <c r="AA72" s="962"/>
      <c r="AB72" s="963"/>
      <c r="AC72" s="962"/>
      <c r="AD72" s="962"/>
      <c r="AE72" s="962"/>
      <c r="AF72" s="962"/>
      <c r="AG72" s="963"/>
    </row>
    <row r="73" spans="2:33">
      <c r="B73" s="954" t="s">
        <v>659</v>
      </c>
      <c r="C73" s="327"/>
      <c r="D73" s="327"/>
      <c r="E73" s="327"/>
      <c r="F73" s="327"/>
      <c r="G73" s="328"/>
      <c r="H73" s="4"/>
      <c r="I73" s="960"/>
      <c r="J73" s="4"/>
      <c r="K73" s="961"/>
      <c r="L73" s="962"/>
      <c r="M73" s="962"/>
      <c r="N73" s="961"/>
      <c r="O73" s="962"/>
      <c r="P73" s="962"/>
      <c r="Q73" s="962"/>
      <c r="R73" s="963"/>
      <c r="S73" s="962"/>
      <c r="T73" s="962"/>
      <c r="U73" s="962"/>
      <c r="V73" s="962"/>
      <c r="W73" s="962"/>
      <c r="X73" s="961"/>
      <c r="Y73" s="962"/>
      <c r="Z73" s="962"/>
      <c r="AA73" s="962"/>
      <c r="AB73" s="963"/>
      <c r="AC73" s="962"/>
      <c r="AD73" s="962"/>
      <c r="AE73" s="962"/>
      <c r="AF73" s="962"/>
      <c r="AG73" s="963"/>
    </row>
    <row r="74" spans="2:33">
      <c r="B74" s="954" t="s">
        <v>660</v>
      </c>
      <c r="C74" s="327"/>
      <c r="D74" s="327"/>
      <c r="E74" s="327"/>
      <c r="F74" s="327"/>
      <c r="G74" s="328"/>
      <c r="H74" s="4"/>
      <c r="I74" s="960"/>
      <c r="J74" s="4"/>
      <c r="K74" s="961"/>
      <c r="L74" s="962"/>
      <c r="M74" s="962"/>
      <c r="N74" s="961"/>
      <c r="O74" s="962"/>
      <c r="P74" s="962"/>
      <c r="Q74" s="962"/>
      <c r="R74" s="963"/>
      <c r="S74" s="962"/>
      <c r="T74" s="962"/>
      <c r="U74" s="962"/>
      <c r="V74" s="962"/>
      <c r="W74" s="962"/>
      <c r="X74" s="961"/>
      <c r="Y74" s="962"/>
      <c r="Z74" s="962"/>
      <c r="AA74" s="962"/>
      <c r="AB74" s="963"/>
      <c r="AC74" s="962"/>
      <c r="AD74" s="962"/>
      <c r="AE74" s="962"/>
      <c r="AF74" s="962"/>
      <c r="AG74" s="963"/>
    </row>
    <row r="75" spans="2:33">
      <c r="B75" s="954" t="s">
        <v>661</v>
      </c>
      <c r="C75" s="327"/>
      <c r="D75" s="327"/>
      <c r="E75" s="327"/>
      <c r="F75" s="327"/>
      <c r="G75" s="328"/>
      <c r="H75" s="4"/>
      <c r="I75" s="960"/>
      <c r="J75" s="4"/>
      <c r="K75" s="964"/>
      <c r="L75" s="965"/>
      <c r="M75" s="965"/>
      <c r="N75" s="964"/>
      <c r="O75" s="965"/>
      <c r="P75" s="965"/>
      <c r="Q75" s="965"/>
      <c r="R75" s="966"/>
      <c r="S75" s="965"/>
      <c r="T75" s="965"/>
      <c r="U75" s="965"/>
      <c r="V75" s="965"/>
      <c r="W75" s="965"/>
      <c r="X75" s="964"/>
      <c r="Y75" s="965"/>
      <c r="Z75" s="965"/>
      <c r="AA75" s="965"/>
      <c r="AB75" s="966"/>
      <c r="AC75" s="965"/>
      <c r="AD75" s="965"/>
      <c r="AE75" s="965"/>
      <c r="AF75" s="965"/>
      <c r="AG75" s="966"/>
    </row>
    <row r="78" spans="2:33" ht="12.75">
      <c r="B78" s="951" t="s">
        <v>665</v>
      </c>
      <c r="C78" s="954" t="s">
        <v>1280</v>
      </c>
      <c r="D78" s="327"/>
      <c r="E78" s="327"/>
      <c r="F78" s="327"/>
      <c r="G78" s="327"/>
      <c r="H78" s="327"/>
      <c r="I78" s="328"/>
    </row>
    <row r="80" spans="2:33">
      <c r="B80" s="954" t="s">
        <v>1268</v>
      </c>
      <c r="C80" s="955"/>
      <c r="D80" s="955"/>
      <c r="E80" s="955"/>
      <c r="F80" s="955"/>
      <c r="G80" s="956"/>
      <c r="H80" s="4"/>
      <c r="I80" s="960" t="s">
        <v>1275</v>
      </c>
      <c r="J80" s="4"/>
      <c r="K80" s="957"/>
      <c r="L80" s="958"/>
      <c r="M80" s="958"/>
      <c r="N80" s="957"/>
      <c r="O80" s="958"/>
      <c r="P80" s="958"/>
      <c r="Q80" s="958"/>
      <c r="R80" s="959"/>
      <c r="S80" s="958"/>
      <c r="T80" s="958"/>
      <c r="U80" s="958"/>
      <c r="V80" s="958"/>
      <c r="W80" s="958"/>
      <c r="X80" s="957" t="s">
        <v>1253</v>
      </c>
      <c r="Y80" s="958" t="s">
        <v>1253</v>
      </c>
      <c r="Z80" s="958" t="s">
        <v>1253</v>
      </c>
      <c r="AA80" s="958" t="s">
        <v>1253</v>
      </c>
      <c r="AB80" s="959" t="s">
        <v>1253</v>
      </c>
      <c r="AC80" s="958"/>
      <c r="AD80" s="958"/>
      <c r="AE80" s="958"/>
      <c r="AF80" s="958"/>
      <c r="AG80" s="959"/>
    </row>
    <row r="81" spans="1:33">
      <c r="B81" s="954" t="s">
        <v>1267</v>
      </c>
      <c r="C81" s="327"/>
      <c r="D81" s="327"/>
      <c r="E81" s="327"/>
      <c r="F81" s="327"/>
      <c r="G81" s="328"/>
      <c r="H81" s="4"/>
      <c r="I81" s="960" t="s">
        <v>1275</v>
      </c>
      <c r="J81" s="4"/>
      <c r="K81" s="961"/>
      <c r="L81" s="962"/>
      <c r="M81" s="962"/>
      <c r="N81" s="961"/>
      <c r="O81" s="962"/>
      <c r="P81" s="962"/>
      <c r="Q81" s="962"/>
      <c r="R81" s="963"/>
      <c r="S81" s="962"/>
      <c r="T81" s="962"/>
      <c r="U81" s="962"/>
      <c r="V81" s="962"/>
      <c r="W81" s="962"/>
      <c r="X81" s="961" t="s">
        <v>1241</v>
      </c>
      <c r="Y81" s="962" t="s">
        <v>1269</v>
      </c>
      <c r="Z81" s="962" t="s">
        <v>1270</v>
      </c>
      <c r="AA81" s="962" t="s">
        <v>1271</v>
      </c>
      <c r="AB81" s="963" t="s">
        <v>1253</v>
      </c>
      <c r="AC81" s="962"/>
      <c r="AD81" s="962"/>
      <c r="AE81" s="962"/>
      <c r="AF81" s="962"/>
      <c r="AG81" s="963"/>
    </row>
    <row r="82" spans="1:33">
      <c r="B82" s="954" t="s">
        <v>654</v>
      </c>
      <c r="C82" s="327"/>
      <c r="D82" s="327"/>
      <c r="E82" s="327"/>
      <c r="F82" s="327"/>
      <c r="G82" s="328"/>
      <c r="H82" s="4"/>
      <c r="I82" s="960"/>
      <c r="J82" s="4"/>
      <c r="K82" s="961"/>
      <c r="L82" s="962"/>
      <c r="M82" s="962"/>
      <c r="N82" s="961"/>
      <c r="O82" s="962"/>
      <c r="P82" s="962"/>
      <c r="Q82" s="962"/>
      <c r="R82" s="963"/>
      <c r="S82" s="962"/>
      <c r="T82" s="962"/>
      <c r="U82" s="962"/>
      <c r="V82" s="962"/>
      <c r="W82" s="962"/>
      <c r="X82" s="961"/>
      <c r="Y82" s="962"/>
      <c r="Z82" s="962"/>
      <c r="AA82" s="962"/>
      <c r="AB82" s="963"/>
      <c r="AC82" s="962"/>
      <c r="AD82" s="962"/>
      <c r="AE82" s="962"/>
      <c r="AF82" s="962"/>
      <c r="AG82" s="963"/>
    </row>
    <row r="83" spans="1:33">
      <c r="B83" s="954" t="s">
        <v>655</v>
      </c>
      <c r="C83" s="327"/>
      <c r="D83" s="327"/>
      <c r="E83" s="327"/>
      <c r="F83" s="327"/>
      <c r="G83" s="328"/>
      <c r="H83" s="4"/>
      <c r="I83" s="960"/>
      <c r="J83" s="4"/>
      <c r="K83" s="961"/>
      <c r="L83" s="962"/>
      <c r="M83" s="962"/>
      <c r="N83" s="961"/>
      <c r="O83" s="962"/>
      <c r="P83" s="962"/>
      <c r="Q83" s="962"/>
      <c r="R83" s="963"/>
      <c r="S83" s="962"/>
      <c r="T83" s="962"/>
      <c r="U83" s="962"/>
      <c r="V83" s="962"/>
      <c r="W83" s="962"/>
      <c r="X83" s="961"/>
      <c r="Y83" s="962"/>
      <c r="Z83" s="962"/>
      <c r="AA83" s="962"/>
      <c r="AB83" s="963"/>
      <c r="AC83" s="962"/>
      <c r="AD83" s="962"/>
      <c r="AE83" s="962"/>
      <c r="AF83" s="962"/>
      <c r="AG83" s="963"/>
    </row>
    <row r="84" spans="1:33">
      <c r="B84" s="954" t="s">
        <v>656</v>
      </c>
      <c r="C84" s="327"/>
      <c r="D84" s="327"/>
      <c r="E84" s="327"/>
      <c r="F84" s="327"/>
      <c r="G84" s="328"/>
      <c r="H84" s="4"/>
      <c r="I84" s="960"/>
      <c r="J84" s="4"/>
      <c r="K84" s="961"/>
      <c r="L84" s="962"/>
      <c r="M84" s="962"/>
      <c r="N84" s="961"/>
      <c r="O84" s="962"/>
      <c r="P84" s="962"/>
      <c r="Q84" s="962"/>
      <c r="R84" s="963"/>
      <c r="S84" s="962"/>
      <c r="T84" s="962"/>
      <c r="U84" s="962"/>
      <c r="V84" s="962"/>
      <c r="W84" s="962"/>
      <c r="X84" s="961"/>
      <c r="Y84" s="962"/>
      <c r="Z84" s="962"/>
      <c r="AA84" s="962"/>
      <c r="AB84" s="963"/>
      <c r="AC84" s="962"/>
      <c r="AD84" s="962"/>
      <c r="AE84" s="962"/>
      <c r="AF84" s="962"/>
      <c r="AG84" s="963"/>
    </row>
    <row r="85" spans="1:33">
      <c r="B85" s="954" t="s">
        <v>657</v>
      </c>
      <c r="C85" s="327"/>
      <c r="D85" s="327"/>
      <c r="E85" s="327"/>
      <c r="F85" s="327"/>
      <c r="G85" s="328"/>
      <c r="H85" s="4"/>
      <c r="I85" s="960"/>
      <c r="J85" s="4"/>
      <c r="K85" s="961"/>
      <c r="L85" s="962"/>
      <c r="M85" s="962"/>
      <c r="N85" s="961"/>
      <c r="O85" s="962"/>
      <c r="P85" s="962"/>
      <c r="Q85" s="962"/>
      <c r="R85" s="963"/>
      <c r="S85" s="962"/>
      <c r="T85" s="962"/>
      <c r="U85" s="962"/>
      <c r="V85" s="962"/>
      <c r="W85" s="962"/>
      <c r="X85" s="961"/>
      <c r="Y85" s="962"/>
      <c r="Z85" s="962"/>
      <c r="AA85" s="962"/>
      <c r="AB85" s="963"/>
      <c r="AC85" s="962"/>
      <c r="AD85" s="962"/>
      <c r="AE85" s="962"/>
      <c r="AF85" s="962"/>
      <c r="AG85" s="963"/>
    </row>
    <row r="86" spans="1:33">
      <c r="B86" s="954" t="s">
        <v>658</v>
      </c>
      <c r="C86" s="327"/>
      <c r="D86" s="327"/>
      <c r="E86" s="327"/>
      <c r="F86" s="327"/>
      <c r="G86" s="328"/>
      <c r="H86" s="4"/>
      <c r="I86" s="960"/>
      <c r="J86" s="4"/>
      <c r="K86" s="961"/>
      <c r="L86" s="962"/>
      <c r="M86" s="962"/>
      <c r="N86" s="961"/>
      <c r="O86" s="962"/>
      <c r="P86" s="962"/>
      <c r="Q86" s="962"/>
      <c r="R86" s="963"/>
      <c r="S86" s="962"/>
      <c r="T86" s="962"/>
      <c r="U86" s="962"/>
      <c r="V86" s="962"/>
      <c r="W86" s="962"/>
      <c r="X86" s="961"/>
      <c r="Y86" s="962"/>
      <c r="Z86" s="962"/>
      <c r="AA86" s="962"/>
      <c r="AB86" s="963"/>
      <c r="AC86" s="962"/>
      <c r="AD86" s="962"/>
      <c r="AE86" s="962"/>
      <c r="AF86" s="962"/>
      <c r="AG86" s="963"/>
    </row>
    <row r="87" spans="1:33">
      <c r="B87" s="954" t="s">
        <v>659</v>
      </c>
      <c r="C87" s="327"/>
      <c r="D87" s="327"/>
      <c r="E87" s="327"/>
      <c r="F87" s="327"/>
      <c r="G87" s="328"/>
      <c r="H87" s="4"/>
      <c r="I87" s="960"/>
      <c r="J87" s="4"/>
      <c r="K87" s="961"/>
      <c r="L87" s="962"/>
      <c r="M87" s="962"/>
      <c r="N87" s="961"/>
      <c r="O87" s="962"/>
      <c r="P87" s="962"/>
      <c r="Q87" s="962"/>
      <c r="R87" s="963"/>
      <c r="S87" s="962"/>
      <c r="T87" s="962"/>
      <c r="U87" s="962"/>
      <c r="V87" s="962"/>
      <c r="W87" s="962"/>
      <c r="X87" s="961"/>
      <c r="Y87" s="962"/>
      <c r="Z87" s="962"/>
      <c r="AA87" s="962"/>
      <c r="AB87" s="963"/>
      <c r="AC87" s="962"/>
      <c r="AD87" s="962"/>
      <c r="AE87" s="962"/>
      <c r="AF87" s="962"/>
      <c r="AG87" s="963"/>
    </row>
    <row r="88" spans="1:33">
      <c r="B88" s="954" t="s">
        <v>660</v>
      </c>
      <c r="C88" s="327"/>
      <c r="D88" s="327"/>
      <c r="E88" s="327"/>
      <c r="F88" s="327"/>
      <c r="G88" s="328"/>
      <c r="H88" s="4"/>
      <c r="I88" s="960"/>
      <c r="J88" s="4"/>
      <c r="K88" s="961"/>
      <c r="L88" s="962"/>
      <c r="M88" s="962"/>
      <c r="N88" s="961"/>
      <c r="O88" s="962"/>
      <c r="P88" s="962"/>
      <c r="Q88" s="962"/>
      <c r="R88" s="963"/>
      <c r="S88" s="962"/>
      <c r="T88" s="962"/>
      <c r="U88" s="962"/>
      <c r="V88" s="962"/>
      <c r="W88" s="962"/>
      <c r="X88" s="961"/>
      <c r="Y88" s="962"/>
      <c r="Z88" s="962"/>
      <c r="AA88" s="962"/>
      <c r="AB88" s="963"/>
      <c r="AC88" s="962"/>
      <c r="AD88" s="962"/>
      <c r="AE88" s="962"/>
      <c r="AF88" s="962"/>
      <c r="AG88" s="963"/>
    </row>
    <row r="89" spans="1:33">
      <c r="B89" s="954" t="s">
        <v>661</v>
      </c>
      <c r="C89" s="327"/>
      <c r="D89" s="327"/>
      <c r="E89" s="327"/>
      <c r="F89" s="327"/>
      <c r="G89" s="328"/>
      <c r="H89" s="4"/>
      <c r="I89" s="960"/>
      <c r="J89" s="4"/>
      <c r="K89" s="964"/>
      <c r="L89" s="965"/>
      <c r="M89" s="965"/>
      <c r="N89" s="964"/>
      <c r="O89" s="965"/>
      <c r="P89" s="965"/>
      <c r="Q89" s="965"/>
      <c r="R89" s="966"/>
      <c r="S89" s="965"/>
      <c r="T89" s="965"/>
      <c r="U89" s="965"/>
      <c r="V89" s="965"/>
      <c r="W89" s="965"/>
      <c r="X89" s="964"/>
      <c r="Y89" s="965"/>
      <c r="Z89" s="965"/>
      <c r="AA89" s="965"/>
      <c r="AB89" s="966"/>
      <c r="AC89" s="965"/>
      <c r="AD89" s="965"/>
      <c r="AE89" s="965"/>
      <c r="AF89" s="965"/>
      <c r="AG89" s="966"/>
    </row>
    <row r="90" spans="1:33">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row>
    <row r="91" spans="1:33">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row>
    <row r="92" spans="1:33" ht="12.75">
      <c r="B92" s="951" t="s">
        <v>666</v>
      </c>
      <c r="C92" s="954"/>
      <c r="D92" s="327"/>
      <c r="E92" s="327"/>
      <c r="F92" s="327"/>
      <c r="G92" s="327"/>
      <c r="H92" s="327"/>
      <c r="I92" s="328"/>
    </row>
    <row r="94" spans="1:33">
      <c r="B94" s="954" t="s">
        <v>652</v>
      </c>
      <c r="C94" s="955"/>
      <c r="D94" s="955"/>
      <c r="E94" s="955"/>
      <c r="F94" s="955"/>
      <c r="G94" s="956"/>
      <c r="H94" s="4"/>
      <c r="I94" s="960"/>
      <c r="J94" s="4"/>
      <c r="K94" s="957"/>
      <c r="L94" s="958"/>
      <c r="M94" s="958"/>
      <c r="N94" s="957"/>
      <c r="O94" s="958"/>
      <c r="P94" s="958"/>
      <c r="Q94" s="958"/>
      <c r="R94" s="959"/>
      <c r="S94" s="958"/>
      <c r="T94" s="958"/>
      <c r="U94" s="958"/>
      <c r="V94" s="958"/>
      <c r="W94" s="958"/>
      <c r="X94" s="957"/>
      <c r="Y94" s="958"/>
      <c r="Z94" s="958"/>
      <c r="AA94" s="958"/>
      <c r="AB94" s="959"/>
      <c r="AC94" s="958"/>
      <c r="AD94" s="958"/>
      <c r="AE94" s="958"/>
      <c r="AF94" s="958"/>
      <c r="AG94" s="959"/>
    </row>
    <row r="95" spans="1:33">
      <c r="B95" s="954" t="s">
        <v>653</v>
      </c>
      <c r="C95" s="327"/>
      <c r="D95" s="327"/>
      <c r="E95" s="327"/>
      <c r="F95" s="327"/>
      <c r="G95" s="328"/>
      <c r="H95" s="4"/>
      <c r="I95" s="960"/>
      <c r="J95" s="4"/>
      <c r="K95" s="961"/>
      <c r="L95" s="962"/>
      <c r="M95" s="962"/>
      <c r="N95" s="961"/>
      <c r="O95" s="962"/>
      <c r="P95" s="962"/>
      <c r="Q95" s="962"/>
      <c r="R95" s="963"/>
      <c r="S95" s="962"/>
      <c r="T95" s="962"/>
      <c r="U95" s="962"/>
      <c r="V95" s="962"/>
      <c r="W95" s="962"/>
      <c r="X95" s="961"/>
      <c r="Y95" s="962"/>
      <c r="Z95" s="962"/>
      <c r="AA95" s="962"/>
      <c r="AB95" s="963"/>
      <c r="AC95" s="962"/>
      <c r="AD95" s="962"/>
      <c r="AE95" s="962"/>
      <c r="AF95" s="962"/>
      <c r="AG95" s="963"/>
    </row>
    <row r="96" spans="1:33">
      <c r="B96" s="954" t="s">
        <v>654</v>
      </c>
      <c r="C96" s="327"/>
      <c r="D96" s="327"/>
      <c r="E96" s="327"/>
      <c r="F96" s="327"/>
      <c r="G96" s="328"/>
      <c r="H96" s="4"/>
      <c r="I96" s="960"/>
      <c r="J96" s="4"/>
      <c r="K96" s="961"/>
      <c r="L96" s="962"/>
      <c r="M96" s="962"/>
      <c r="N96" s="961"/>
      <c r="O96" s="962"/>
      <c r="P96" s="962"/>
      <c r="Q96" s="962"/>
      <c r="R96" s="963"/>
      <c r="S96" s="962"/>
      <c r="T96" s="962"/>
      <c r="U96" s="962"/>
      <c r="V96" s="962"/>
      <c r="W96" s="962"/>
      <c r="X96" s="961"/>
      <c r="Y96" s="962"/>
      <c r="Z96" s="962"/>
      <c r="AA96" s="962"/>
      <c r="AB96" s="963"/>
      <c r="AC96" s="962"/>
      <c r="AD96" s="962"/>
      <c r="AE96" s="962"/>
      <c r="AF96" s="962"/>
      <c r="AG96" s="963"/>
    </row>
    <row r="97" spans="2:33">
      <c r="B97" s="954" t="s">
        <v>655</v>
      </c>
      <c r="C97" s="327"/>
      <c r="D97" s="327"/>
      <c r="E97" s="327"/>
      <c r="F97" s="327"/>
      <c r="G97" s="328"/>
      <c r="H97" s="4"/>
      <c r="I97" s="960"/>
      <c r="J97" s="4"/>
      <c r="K97" s="961"/>
      <c r="L97" s="962"/>
      <c r="M97" s="962"/>
      <c r="N97" s="961"/>
      <c r="O97" s="962"/>
      <c r="P97" s="962"/>
      <c r="Q97" s="962"/>
      <c r="R97" s="963"/>
      <c r="S97" s="962"/>
      <c r="T97" s="962"/>
      <c r="U97" s="962"/>
      <c r="V97" s="962"/>
      <c r="W97" s="962"/>
      <c r="X97" s="961"/>
      <c r="Y97" s="962"/>
      <c r="Z97" s="962"/>
      <c r="AA97" s="962"/>
      <c r="AB97" s="963"/>
      <c r="AC97" s="962"/>
      <c r="AD97" s="962"/>
      <c r="AE97" s="962"/>
      <c r="AF97" s="962"/>
      <c r="AG97" s="963"/>
    </row>
    <row r="98" spans="2:33">
      <c r="B98" s="954" t="s">
        <v>656</v>
      </c>
      <c r="C98" s="327"/>
      <c r="D98" s="327"/>
      <c r="E98" s="327"/>
      <c r="F98" s="327"/>
      <c r="G98" s="328"/>
      <c r="H98" s="4"/>
      <c r="I98" s="960"/>
      <c r="J98" s="4"/>
      <c r="K98" s="961"/>
      <c r="L98" s="962"/>
      <c r="M98" s="962"/>
      <c r="N98" s="961"/>
      <c r="O98" s="962"/>
      <c r="P98" s="962"/>
      <c r="Q98" s="962"/>
      <c r="R98" s="963"/>
      <c r="S98" s="962"/>
      <c r="T98" s="962"/>
      <c r="U98" s="962"/>
      <c r="V98" s="962"/>
      <c r="W98" s="962"/>
      <c r="X98" s="961"/>
      <c r="Y98" s="962"/>
      <c r="Z98" s="962"/>
      <c r="AA98" s="962"/>
      <c r="AB98" s="963"/>
      <c r="AC98" s="962"/>
      <c r="AD98" s="962"/>
      <c r="AE98" s="962"/>
      <c r="AF98" s="962"/>
      <c r="AG98" s="963"/>
    </row>
    <row r="99" spans="2:33">
      <c r="B99" s="954" t="s">
        <v>657</v>
      </c>
      <c r="C99" s="327"/>
      <c r="D99" s="327"/>
      <c r="E99" s="327"/>
      <c r="F99" s="327"/>
      <c r="G99" s="328"/>
      <c r="H99" s="4"/>
      <c r="I99" s="960"/>
      <c r="J99" s="4"/>
      <c r="K99" s="961"/>
      <c r="L99" s="962"/>
      <c r="M99" s="962"/>
      <c r="N99" s="961"/>
      <c r="O99" s="962"/>
      <c r="P99" s="962"/>
      <c r="Q99" s="962"/>
      <c r="R99" s="963"/>
      <c r="S99" s="962"/>
      <c r="T99" s="962"/>
      <c r="U99" s="962"/>
      <c r="V99" s="962"/>
      <c r="W99" s="962"/>
      <c r="X99" s="961"/>
      <c r="Y99" s="962"/>
      <c r="Z99" s="962"/>
      <c r="AA99" s="962"/>
      <c r="AB99" s="963"/>
      <c r="AC99" s="962"/>
      <c r="AD99" s="962"/>
      <c r="AE99" s="962"/>
      <c r="AF99" s="962"/>
      <c r="AG99" s="963"/>
    </row>
    <row r="100" spans="2:33">
      <c r="B100" s="954" t="s">
        <v>658</v>
      </c>
      <c r="C100" s="327"/>
      <c r="D100" s="327"/>
      <c r="E100" s="327"/>
      <c r="F100" s="327"/>
      <c r="G100" s="328"/>
      <c r="H100" s="4"/>
      <c r="I100" s="960"/>
      <c r="J100" s="4"/>
      <c r="K100" s="961"/>
      <c r="L100" s="962"/>
      <c r="M100" s="962"/>
      <c r="N100" s="961"/>
      <c r="O100" s="962"/>
      <c r="P100" s="962"/>
      <c r="Q100" s="962"/>
      <c r="R100" s="963"/>
      <c r="S100" s="962"/>
      <c r="T100" s="962"/>
      <c r="U100" s="962"/>
      <c r="V100" s="962"/>
      <c r="W100" s="962"/>
      <c r="X100" s="961"/>
      <c r="Y100" s="962"/>
      <c r="Z100" s="962"/>
      <c r="AA100" s="962"/>
      <c r="AB100" s="963"/>
      <c r="AC100" s="962"/>
      <c r="AD100" s="962"/>
      <c r="AE100" s="962"/>
      <c r="AF100" s="962"/>
      <c r="AG100" s="963"/>
    </row>
    <row r="101" spans="2:33">
      <c r="B101" s="954" t="s">
        <v>659</v>
      </c>
      <c r="C101" s="327"/>
      <c r="D101" s="327"/>
      <c r="E101" s="327"/>
      <c r="F101" s="327"/>
      <c r="G101" s="328"/>
      <c r="H101" s="4"/>
      <c r="I101" s="960"/>
      <c r="J101" s="4"/>
      <c r="K101" s="961"/>
      <c r="L101" s="962"/>
      <c r="M101" s="962"/>
      <c r="N101" s="961"/>
      <c r="O101" s="962"/>
      <c r="P101" s="962"/>
      <c r="Q101" s="962"/>
      <c r="R101" s="963"/>
      <c r="S101" s="962"/>
      <c r="T101" s="962"/>
      <c r="U101" s="962"/>
      <c r="V101" s="962"/>
      <c r="W101" s="962"/>
      <c r="X101" s="961"/>
      <c r="Y101" s="962"/>
      <c r="Z101" s="962"/>
      <c r="AA101" s="962"/>
      <c r="AB101" s="963"/>
      <c r="AC101" s="962"/>
      <c r="AD101" s="962"/>
      <c r="AE101" s="962"/>
      <c r="AF101" s="962"/>
      <c r="AG101" s="963"/>
    </row>
    <row r="102" spans="2:33">
      <c r="B102" s="954" t="s">
        <v>660</v>
      </c>
      <c r="C102" s="327"/>
      <c r="D102" s="327"/>
      <c r="E102" s="327"/>
      <c r="F102" s="327"/>
      <c r="G102" s="328"/>
      <c r="H102" s="4"/>
      <c r="I102" s="960"/>
      <c r="J102" s="4"/>
      <c r="K102" s="961"/>
      <c r="L102" s="962"/>
      <c r="M102" s="962"/>
      <c r="N102" s="961"/>
      <c r="O102" s="962"/>
      <c r="P102" s="962"/>
      <c r="Q102" s="962"/>
      <c r="R102" s="963"/>
      <c r="S102" s="962"/>
      <c r="T102" s="962"/>
      <c r="U102" s="962"/>
      <c r="V102" s="962"/>
      <c r="W102" s="962"/>
      <c r="X102" s="961"/>
      <c r="Y102" s="962"/>
      <c r="Z102" s="962"/>
      <c r="AA102" s="962"/>
      <c r="AB102" s="963"/>
      <c r="AC102" s="962"/>
      <c r="AD102" s="962"/>
      <c r="AE102" s="962"/>
      <c r="AF102" s="962"/>
      <c r="AG102" s="963"/>
    </row>
    <row r="103" spans="2:33">
      <c r="B103" s="954" t="s">
        <v>661</v>
      </c>
      <c r="C103" s="327"/>
      <c r="D103" s="327"/>
      <c r="E103" s="327"/>
      <c r="F103" s="327"/>
      <c r="G103" s="328"/>
      <c r="H103" s="4"/>
      <c r="I103" s="960"/>
      <c r="J103" s="4"/>
      <c r="K103" s="964"/>
      <c r="L103" s="965"/>
      <c r="M103" s="965"/>
      <c r="N103" s="964"/>
      <c r="O103" s="965"/>
      <c r="P103" s="965"/>
      <c r="Q103" s="965"/>
      <c r="R103" s="966"/>
      <c r="S103" s="965"/>
      <c r="T103" s="965"/>
      <c r="U103" s="965"/>
      <c r="V103" s="965"/>
      <c r="W103" s="965"/>
      <c r="X103" s="964"/>
      <c r="Y103" s="965"/>
      <c r="Z103" s="965"/>
      <c r="AA103" s="965"/>
      <c r="AB103" s="966"/>
      <c r="AC103" s="965"/>
      <c r="AD103" s="965"/>
      <c r="AE103" s="965"/>
      <c r="AF103" s="965"/>
      <c r="AG103" s="966"/>
    </row>
    <row r="106" spans="2:33" ht="12.75">
      <c r="B106" s="951" t="s">
        <v>683</v>
      </c>
      <c r="C106" s="954"/>
      <c r="D106" s="327"/>
      <c r="E106" s="327"/>
      <c r="F106" s="327"/>
      <c r="G106" s="327"/>
      <c r="H106" s="327"/>
      <c r="I106" s="328"/>
    </row>
    <row r="108" spans="2:33">
      <c r="B108" s="954" t="s">
        <v>652</v>
      </c>
      <c r="C108" s="955"/>
      <c r="D108" s="955"/>
      <c r="E108" s="955"/>
      <c r="F108" s="955"/>
      <c r="G108" s="956"/>
      <c r="H108" s="4"/>
      <c r="I108" s="960"/>
      <c r="J108" s="4"/>
      <c r="K108" s="957"/>
      <c r="L108" s="958"/>
      <c r="M108" s="958"/>
      <c r="N108" s="957"/>
      <c r="O108" s="958"/>
      <c r="P108" s="958"/>
      <c r="Q108" s="958"/>
      <c r="R108" s="959"/>
      <c r="S108" s="958"/>
      <c r="T108" s="958"/>
      <c r="U108" s="958"/>
      <c r="V108" s="958"/>
      <c r="W108" s="958"/>
      <c r="X108" s="957"/>
      <c r="Y108" s="958"/>
      <c r="Z108" s="958"/>
      <c r="AA108" s="958"/>
      <c r="AB108" s="959"/>
      <c r="AC108" s="958"/>
      <c r="AD108" s="958"/>
      <c r="AE108" s="958"/>
      <c r="AF108" s="958"/>
      <c r="AG108" s="959"/>
    </row>
    <row r="109" spans="2:33">
      <c r="B109" s="954" t="s">
        <v>653</v>
      </c>
      <c r="C109" s="327"/>
      <c r="D109" s="327"/>
      <c r="E109" s="327"/>
      <c r="F109" s="327"/>
      <c r="G109" s="328"/>
      <c r="H109" s="4"/>
      <c r="I109" s="960"/>
      <c r="J109" s="4"/>
      <c r="K109" s="961"/>
      <c r="L109" s="962"/>
      <c r="M109" s="962"/>
      <c r="N109" s="961"/>
      <c r="O109" s="962"/>
      <c r="P109" s="962"/>
      <c r="Q109" s="962"/>
      <c r="R109" s="963"/>
      <c r="S109" s="962"/>
      <c r="T109" s="962"/>
      <c r="U109" s="962"/>
      <c r="V109" s="962"/>
      <c r="W109" s="962"/>
      <c r="X109" s="961"/>
      <c r="Y109" s="962"/>
      <c r="Z109" s="962"/>
      <c r="AA109" s="962"/>
      <c r="AB109" s="963"/>
      <c r="AC109" s="962"/>
      <c r="AD109" s="962"/>
      <c r="AE109" s="962"/>
      <c r="AF109" s="962"/>
      <c r="AG109" s="963"/>
    </row>
    <row r="110" spans="2:33">
      <c r="B110" s="954" t="s">
        <v>654</v>
      </c>
      <c r="C110" s="327"/>
      <c r="D110" s="327"/>
      <c r="E110" s="327"/>
      <c r="F110" s="327"/>
      <c r="G110" s="328"/>
      <c r="H110" s="4"/>
      <c r="I110" s="960"/>
      <c r="J110" s="4"/>
      <c r="K110" s="961"/>
      <c r="L110" s="962"/>
      <c r="M110" s="962"/>
      <c r="N110" s="961"/>
      <c r="O110" s="962"/>
      <c r="P110" s="962"/>
      <c r="Q110" s="962"/>
      <c r="R110" s="963"/>
      <c r="S110" s="962"/>
      <c r="T110" s="962"/>
      <c r="U110" s="962"/>
      <c r="V110" s="962"/>
      <c r="W110" s="962"/>
      <c r="X110" s="961"/>
      <c r="Y110" s="962"/>
      <c r="Z110" s="962"/>
      <c r="AA110" s="962"/>
      <c r="AB110" s="963"/>
      <c r="AC110" s="962"/>
      <c r="AD110" s="962"/>
      <c r="AE110" s="962"/>
      <c r="AF110" s="962"/>
      <c r="AG110" s="963"/>
    </row>
    <row r="111" spans="2:33">
      <c r="B111" s="954" t="s">
        <v>655</v>
      </c>
      <c r="C111" s="327"/>
      <c r="D111" s="327"/>
      <c r="E111" s="327"/>
      <c r="F111" s="327"/>
      <c r="G111" s="328"/>
      <c r="H111" s="4"/>
      <c r="I111" s="960"/>
      <c r="J111" s="4"/>
      <c r="K111" s="961"/>
      <c r="L111" s="962"/>
      <c r="M111" s="962"/>
      <c r="N111" s="961"/>
      <c r="O111" s="962"/>
      <c r="P111" s="962"/>
      <c r="Q111" s="962"/>
      <c r="R111" s="963"/>
      <c r="S111" s="962"/>
      <c r="T111" s="962"/>
      <c r="U111" s="962"/>
      <c r="V111" s="962"/>
      <c r="W111" s="962"/>
      <c r="X111" s="961"/>
      <c r="Y111" s="962"/>
      <c r="Z111" s="962"/>
      <c r="AA111" s="962"/>
      <c r="AB111" s="963"/>
      <c r="AC111" s="962"/>
      <c r="AD111" s="962"/>
      <c r="AE111" s="962"/>
      <c r="AF111" s="962"/>
      <c r="AG111" s="963"/>
    </row>
    <row r="112" spans="2:33">
      <c r="B112" s="954" t="s">
        <v>656</v>
      </c>
      <c r="C112" s="327"/>
      <c r="D112" s="327"/>
      <c r="E112" s="327"/>
      <c r="F112" s="327"/>
      <c r="G112" s="328"/>
      <c r="H112" s="4"/>
      <c r="I112" s="960"/>
      <c r="J112" s="4"/>
      <c r="K112" s="961"/>
      <c r="L112" s="962"/>
      <c r="M112" s="962"/>
      <c r="N112" s="961"/>
      <c r="O112" s="962"/>
      <c r="P112" s="962"/>
      <c r="Q112" s="962"/>
      <c r="R112" s="963"/>
      <c r="S112" s="962"/>
      <c r="T112" s="962"/>
      <c r="U112" s="962"/>
      <c r="V112" s="962"/>
      <c r="W112" s="962"/>
      <c r="X112" s="961"/>
      <c r="Y112" s="962"/>
      <c r="Z112" s="962"/>
      <c r="AA112" s="962"/>
      <c r="AB112" s="963"/>
      <c r="AC112" s="962"/>
      <c r="AD112" s="962"/>
      <c r="AE112" s="962"/>
      <c r="AF112" s="962"/>
      <c r="AG112" s="963"/>
    </row>
    <row r="113" spans="2:33">
      <c r="B113" s="954" t="s">
        <v>657</v>
      </c>
      <c r="C113" s="327"/>
      <c r="D113" s="327"/>
      <c r="E113" s="327"/>
      <c r="F113" s="327"/>
      <c r="G113" s="328"/>
      <c r="H113" s="4"/>
      <c r="I113" s="960"/>
      <c r="J113" s="4"/>
      <c r="K113" s="961"/>
      <c r="L113" s="962"/>
      <c r="M113" s="962"/>
      <c r="N113" s="961"/>
      <c r="O113" s="962"/>
      <c r="P113" s="962"/>
      <c r="Q113" s="962"/>
      <c r="R113" s="963"/>
      <c r="S113" s="962"/>
      <c r="T113" s="962"/>
      <c r="U113" s="962"/>
      <c r="V113" s="962"/>
      <c r="W113" s="962"/>
      <c r="X113" s="961"/>
      <c r="Y113" s="962"/>
      <c r="Z113" s="962"/>
      <c r="AA113" s="962"/>
      <c r="AB113" s="963"/>
      <c r="AC113" s="962"/>
      <c r="AD113" s="962"/>
      <c r="AE113" s="962"/>
      <c r="AF113" s="962"/>
      <c r="AG113" s="963"/>
    </row>
    <row r="114" spans="2:33">
      <c r="B114" s="954" t="s">
        <v>658</v>
      </c>
      <c r="C114" s="327"/>
      <c r="D114" s="327"/>
      <c r="E114" s="327"/>
      <c r="F114" s="327"/>
      <c r="G114" s="328"/>
      <c r="H114" s="4"/>
      <c r="I114" s="960"/>
      <c r="J114" s="4"/>
      <c r="K114" s="961"/>
      <c r="L114" s="962"/>
      <c r="M114" s="962"/>
      <c r="N114" s="961"/>
      <c r="O114" s="962"/>
      <c r="P114" s="962"/>
      <c r="Q114" s="962"/>
      <c r="R114" s="963"/>
      <c r="S114" s="962"/>
      <c r="T114" s="962"/>
      <c r="U114" s="962"/>
      <c r="V114" s="962"/>
      <c r="W114" s="962"/>
      <c r="X114" s="961"/>
      <c r="Y114" s="962"/>
      <c r="Z114" s="962"/>
      <c r="AA114" s="962"/>
      <c r="AB114" s="963"/>
      <c r="AC114" s="962"/>
      <c r="AD114" s="962"/>
      <c r="AE114" s="962"/>
      <c r="AF114" s="962"/>
      <c r="AG114" s="963"/>
    </row>
    <row r="115" spans="2:33">
      <c r="B115" s="954" t="s">
        <v>659</v>
      </c>
      <c r="C115" s="327"/>
      <c r="D115" s="327"/>
      <c r="E115" s="327"/>
      <c r="F115" s="327"/>
      <c r="G115" s="328"/>
      <c r="H115" s="4"/>
      <c r="I115" s="960"/>
      <c r="J115" s="4"/>
      <c r="K115" s="961"/>
      <c r="L115" s="962"/>
      <c r="M115" s="962"/>
      <c r="N115" s="961"/>
      <c r="O115" s="962"/>
      <c r="P115" s="962"/>
      <c r="Q115" s="962"/>
      <c r="R115" s="963"/>
      <c r="S115" s="962"/>
      <c r="T115" s="962"/>
      <c r="U115" s="962"/>
      <c r="V115" s="962"/>
      <c r="W115" s="962"/>
      <c r="X115" s="961"/>
      <c r="Y115" s="962"/>
      <c r="Z115" s="962"/>
      <c r="AA115" s="962"/>
      <c r="AB115" s="963"/>
      <c r="AC115" s="962"/>
      <c r="AD115" s="962"/>
      <c r="AE115" s="962"/>
      <c r="AF115" s="962"/>
      <c r="AG115" s="963"/>
    </row>
    <row r="116" spans="2:33">
      <c r="B116" s="954" t="s">
        <v>660</v>
      </c>
      <c r="C116" s="327"/>
      <c r="D116" s="327"/>
      <c r="E116" s="327"/>
      <c r="F116" s="327"/>
      <c r="G116" s="328"/>
      <c r="H116" s="4"/>
      <c r="I116" s="960"/>
      <c r="J116" s="4"/>
      <c r="K116" s="961"/>
      <c r="L116" s="962"/>
      <c r="M116" s="962"/>
      <c r="N116" s="961"/>
      <c r="O116" s="962"/>
      <c r="P116" s="962"/>
      <c r="Q116" s="962"/>
      <c r="R116" s="963"/>
      <c r="S116" s="962"/>
      <c r="T116" s="962"/>
      <c r="U116" s="962"/>
      <c r="V116" s="962"/>
      <c r="W116" s="962"/>
      <c r="X116" s="961"/>
      <c r="Y116" s="962"/>
      <c r="Z116" s="962"/>
      <c r="AA116" s="962"/>
      <c r="AB116" s="963"/>
      <c r="AC116" s="962"/>
      <c r="AD116" s="962"/>
      <c r="AE116" s="962"/>
      <c r="AF116" s="962"/>
      <c r="AG116" s="963"/>
    </row>
    <row r="117" spans="2:33">
      <c r="B117" s="954" t="s">
        <v>661</v>
      </c>
      <c r="C117" s="327"/>
      <c r="D117" s="327"/>
      <c r="E117" s="327"/>
      <c r="F117" s="327"/>
      <c r="G117" s="328"/>
      <c r="H117" s="4"/>
      <c r="I117" s="960"/>
      <c r="J117" s="4"/>
      <c r="K117" s="964"/>
      <c r="L117" s="965"/>
      <c r="M117" s="965"/>
      <c r="N117" s="964"/>
      <c r="O117" s="965"/>
      <c r="P117" s="965"/>
      <c r="Q117" s="965"/>
      <c r="R117" s="966"/>
      <c r="S117" s="965"/>
      <c r="T117" s="965"/>
      <c r="U117" s="965"/>
      <c r="V117" s="965"/>
      <c r="W117" s="965"/>
      <c r="X117" s="964"/>
      <c r="Y117" s="965"/>
      <c r="Z117" s="965"/>
      <c r="AA117" s="965"/>
      <c r="AB117" s="966"/>
      <c r="AC117" s="965"/>
      <c r="AD117" s="965"/>
      <c r="AE117" s="965"/>
      <c r="AF117" s="965"/>
      <c r="AG117" s="966"/>
    </row>
    <row r="120" spans="2:33" ht="12.75">
      <c r="B120" s="951" t="s">
        <v>686</v>
      </c>
      <c r="C120" s="954"/>
      <c r="D120" s="327"/>
      <c r="E120" s="327"/>
      <c r="F120" s="327"/>
      <c r="G120" s="327"/>
      <c r="H120" s="327"/>
      <c r="I120" s="328"/>
    </row>
    <row r="122" spans="2:33">
      <c r="B122" s="954" t="s">
        <v>652</v>
      </c>
      <c r="C122" s="955"/>
      <c r="D122" s="955"/>
      <c r="E122" s="955"/>
      <c r="F122" s="955"/>
      <c r="G122" s="956"/>
      <c r="H122" s="4"/>
      <c r="I122" s="960"/>
      <c r="J122" s="4"/>
      <c r="K122" s="957"/>
      <c r="L122" s="958"/>
      <c r="M122" s="958"/>
      <c r="N122" s="957"/>
      <c r="O122" s="958"/>
      <c r="P122" s="958"/>
      <c r="Q122" s="958"/>
      <c r="R122" s="959"/>
      <c r="S122" s="958"/>
      <c r="T122" s="958"/>
      <c r="U122" s="958"/>
      <c r="V122" s="958"/>
      <c r="W122" s="958"/>
      <c r="X122" s="957"/>
      <c r="Y122" s="958"/>
      <c r="Z122" s="958"/>
      <c r="AA122" s="958"/>
      <c r="AB122" s="959"/>
      <c r="AC122" s="958"/>
      <c r="AD122" s="958"/>
      <c r="AE122" s="958"/>
      <c r="AF122" s="958"/>
      <c r="AG122" s="959"/>
    </row>
    <row r="123" spans="2:33">
      <c r="B123" s="954" t="s">
        <v>653</v>
      </c>
      <c r="C123" s="327"/>
      <c r="D123" s="327"/>
      <c r="E123" s="327"/>
      <c r="F123" s="327"/>
      <c r="G123" s="328"/>
      <c r="H123" s="4"/>
      <c r="I123" s="960"/>
      <c r="J123" s="4"/>
      <c r="K123" s="961"/>
      <c r="L123" s="962"/>
      <c r="M123" s="962"/>
      <c r="N123" s="961"/>
      <c r="O123" s="962"/>
      <c r="P123" s="962"/>
      <c r="Q123" s="962"/>
      <c r="R123" s="963"/>
      <c r="S123" s="962"/>
      <c r="T123" s="962"/>
      <c r="U123" s="962"/>
      <c r="V123" s="962"/>
      <c r="W123" s="962"/>
      <c r="X123" s="961"/>
      <c r="Y123" s="962"/>
      <c r="Z123" s="962"/>
      <c r="AA123" s="962"/>
      <c r="AB123" s="963"/>
      <c r="AC123" s="962"/>
      <c r="AD123" s="962"/>
      <c r="AE123" s="962"/>
      <c r="AF123" s="962"/>
      <c r="AG123" s="963"/>
    </row>
    <row r="124" spans="2:33">
      <c r="B124" s="954" t="s">
        <v>654</v>
      </c>
      <c r="C124" s="327"/>
      <c r="D124" s="327"/>
      <c r="E124" s="327"/>
      <c r="F124" s="327"/>
      <c r="G124" s="328"/>
      <c r="H124" s="4"/>
      <c r="I124" s="960"/>
      <c r="J124" s="4"/>
      <c r="K124" s="961"/>
      <c r="L124" s="962"/>
      <c r="M124" s="962"/>
      <c r="N124" s="961"/>
      <c r="O124" s="962"/>
      <c r="P124" s="962"/>
      <c r="Q124" s="962"/>
      <c r="R124" s="963"/>
      <c r="S124" s="962"/>
      <c r="T124" s="962"/>
      <c r="U124" s="962"/>
      <c r="V124" s="962"/>
      <c r="W124" s="962"/>
      <c r="X124" s="961"/>
      <c r="Y124" s="962"/>
      <c r="Z124" s="962"/>
      <c r="AA124" s="962"/>
      <c r="AB124" s="963"/>
      <c r="AC124" s="962"/>
      <c r="AD124" s="962"/>
      <c r="AE124" s="962"/>
      <c r="AF124" s="962"/>
      <c r="AG124" s="963"/>
    </row>
    <row r="125" spans="2:33">
      <c r="B125" s="954" t="s">
        <v>655</v>
      </c>
      <c r="C125" s="327"/>
      <c r="D125" s="327"/>
      <c r="E125" s="327"/>
      <c r="F125" s="327"/>
      <c r="G125" s="328"/>
      <c r="H125" s="4"/>
      <c r="I125" s="960"/>
      <c r="J125" s="4"/>
      <c r="K125" s="961"/>
      <c r="L125" s="962"/>
      <c r="M125" s="962"/>
      <c r="N125" s="961"/>
      <c r="O125" s="962"/>
      <c r="P125" s="962"/>
      <c r="Q125" s="962"/>
      <c r="R125" s="963"/>
      <c r="S125" s="962"/>
      <c r="T125" s="962"/>
      <c r="U125" s="962"/>
      <c r="V125" s="962"/>
      <c r="W125" s="962"/>
      <c r="X125" s="961"/>
      <c r="Y125" s="962"/>
      <c r="Z125" s="962"/>
      <c r="AA125" s="962"/>
      <c r="AB125" s="963"/>
      <c r="AC125" s="962"/>
      <c r="AD125" s="962"/>
      <c r="AE125" s="962"/>
      <c r="AF125" s="962"/>
      <c r="AG125" s="963"/>
    </row>
    <row r="126" spans="2:33">
      <c r="B126" s="954" t="s">
        <v>656</v>
      </c>
      <c r="C126" s="327"/>
      <c r="D126" s="327"/>
      <c r="E126" s="327"/>
      <c r="F126" s="327"/>
      <c r="G126" s="328"/>
      <c r="H126" s="4"/>
      <c r="I126" s="960"/>
      <c r="J126" s="4"/>
      <c r="K126" s="961"/>
      <c r="L126" s="962"/>
      <c r="M126" s="962"/>
      <c r="N126" s="961"/>
      <c r="O126" s="962"/>
      <c r="P126" s="962"/>
      <c r="Q126" s="962"/>
      <c r="R126" s="963"/>
      <c r="S126" s="962"/>
      <c r="T126" s="962"/>
      <c r="U126" s="962"/>
      <c r="V126" s="962"/>
      <c r="W126" s="962"/>
      <c r="X126" s="961"/>
      <c r="Y126" s="962"/>
      <c r="Z126" s="962"/>
      <c r="AA126" s="962"/>
      <c r="AB126" s="963"/>
      <c r="AC126" s="962"/>
      <c r="AD126" s="962"/>
      <c r="AE126" s="962"/>
      <c r="AF126" s="962"/>
      <c r="AG126" s="963"/>
    </row>
    <row r="127" spans="2:33">
      <c r="B127" s="954" t="s">
        <v>657</v>
      </c>
      <c r="C127" s="327"/>
      <c r="D127" s="327"/>
      <c r="E127" s="327"/>
      <c r="F127" s="327"/>
      <c r="G127" s="328"/>
      <c r="H127" s="4"/>
      <c r="I127" s="960"/>
      <c r="J127" s="4"/>
      <c r="K127" s="961"/>
      <c r="L127" s="962"/>
      <c r="M127" s="962"/>
      <c r="N127" s="961"/>
      <c r="O127" s="962"/>
      <c r="P127" s="962"/>
      <c r="Q127" s="962"/>
      <c r="R127" s="963"/>
      <c r="S127" s="962"/>
      <c r="T127" s="962"/>
      <c r="U127" s="962"/>
      <c r="V127" s="962"/>
      <c r="W127" s="962"/>
      <c r="X127" s="961"/>
      <c r="Y127" s="962"/>
      <c r="Z127" s="962"/>
      <c r="AA127" s="962"/>
      <c r="AB127" s="963"/>
      <c r="AC127" s="962"/>
      <c r="AD127" s="962"/>
      <c r="AE127" s="962"/>
      <c r="AF127" s="962"/>
      <c r="AG127" s="963"/>
    </row>
    <row r="128" spans="2:33">
      <c r="B128" s="954" t="s">
        <v>658</v>
      </c>
      <c r="C128" s="327"/>
      <c r="D128" s="327"/>
      <c r="E128" s="327"/>
      <c r="F128" s="327"/>
      <c r="G128" s="328"/>
      <c r="H128" s="4"/>
      <c r="I128" s="960"/>
      <c r="J128" s="4"/>
      <c r="K128" s="961"/>
      <c r="L128" s="962"/>
      <c r="M128" s="962"/>
      <c r="N128" s="961"/>
      <c r="O128" s="962"/>
      <c r="P128" s="962"/>
      <c r="Q128" s="962"/>
      <c r="R128" s="963"/>
      <c r="S128" s="962"/>
      <c r="T128" s="962"/>
      <c r="U128" s="962"/>
      <c r="V128" s="962"/>
      <c r="W128" s="962"/>
      <c r="X128" s="961"/>
      <c r="Y128" s="962"/>
      <c r="Z128" s="962"/>
      <c r="AA128" s="962"/>
      <c r="AB128" s="963"/>
      <c r="AC128" s="962"/>
      <c r="AD128" s="962"/>
      <c r="AE128" s="962"/>
      <c r="AF128" s="962"/>
      <c r="AG128" s="963"/>
    </row>
    <row r="129" spans="2:33">
      <c r="B129" s="954" t="s">
        <v>659</v>
      </c>
      <c r="C129" s="327"/>
      <c r="D129" s="327"/>
      <c r="E129" s="327"/>
      <c r="F129" s="327"/>
      <c r="G129" s="328"/>
      <c r="H129" s="4"/>
      <c r="I129" s="960"/>
      <c r="J129" s="4"/>
      <c r="K129" s="961"/>
      <c r="L129" s="962"/>
      <c r="M129" s="962"/>
      <c r="N129" s="961"/>
      <c r="O129" s="962"/>
      <c r="P129" s="962"/>
      <c r="Q129" s="962"/>
      <c r="R129" s="963"/>
      <c r="S129" s="962"/>
      <c r="T129" s="962"/>
      <c r="U129" s="962"/>
      <c r="V129" s="962"/>
      <c r="W129" s="962"/>
      <c r="X129" s="961"/>
      <c r="Y129" s="962"/>
      <c r="Z129" s="962"/>
      <c r="AA129" s="962"/>
      <c r="AB129" s="963"/>
      <c r="AC129" s="962"/>
      <c r="AD129" s="962"/>
      <c r="AE129" s="962"/>
      <c r="AF129" s="962"/>
      <c r="AG129" s="963"/>
    </row>
    <row r="130" spans="2:33">
      <c r="B130" s="954" t="s">
        <v>660</v>
      </c>
      <c r="C130" s="327"/>
      <c r="D130" s="327"/>
      <c r="E130" s="327"/>
      <c r="F130" s="327"/>
      <c r="G130" s="328"/>
      <c r="H130" s="4"/>
      <c r="I130" s="960"/>
      <c r="J130" s="4"/>
      <c r="K130" s="961"/>
      <c r="L130" s="962"/>
      <c r="M130" s="962"/>
      <c r="N130" s="961"/>
      <c r="O130" s="962"/>
      <c r="P130" s="962"/>
      <c r="Q130" s="962"/>
      <c r="R130" s="963"/>
      <c r="S130" s="962"/>
      <c r="T130" s="962"/>
      <c r="U130" s="962"/>
      <c r="V130" s="962"/>
      <c r="W130" s="962"/>
      <c r="X130" s="961"/>
      <c r="Y130" s="962"/>
      <c r="Z130" s="962"/>
      <c r="AA130" s="962"/>
      <c r="AB130" s="963"/>
      <c r="AC130" s="962"/>
      <c r="AD130" s="962"/>
      <c r="AE130" s="962"/>
      <c r="AF130" s="962"/>
      <c r="AG130" s="963"/>
    </row>
    <row r="131" spans="2:33">
      <c r="B131" s="954" t="s">
        <v>661</v>
      </c>
      <c r="C131" s="327"/>
      <c r="D131" s="327"/>
      <c r="E131" s="327"/>
      <c r="F131" s="327"/>
      <c r="G131" s="328"/>
      <c r="H131" s="4"/>
      <c r="I131" s="960"/>
      <c r="J131" s="4"/>
      <c r="K131" s="964"/>
      <c r="L131" s="965"/>
      <c r="M131" s="965"/>
      <c r="N131" s="964"/>
      <c r="O131" s="965"/>
      <c r="P131" s="965"/>
      <c r="Q131" s="965"/>
      <c r="R131" s="966"/>
      <c r="S131" s="965"/>
      <c r="T131" s="965"/>
      <c r="U131" s="965"/>
      <c r="V131" s="965"/>
      <c r="W131" s="965"/>
      <c r="X131" s="964"/>
      <c r="Y131" s="965"/>
      <c r="Z131" s="965"/>
      <c r="AA131" s="965"/>
      <c r="AB131" s="966"/>
      <c r="AC131" s="965"/>
      <c r="AD131" s="965"/>
      <c r="AE131" s="965"/>
      <c r="AF131" s="965"/>
      <c r="AG131" s="966"/>
    </row>
    <row r="132" spans="2:33">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row>
    <row r="133" spans="2:33">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row>
    <row r="134" spans="2:33" ht="12.75">
      <c r="B134" s="2078" t="s">
        <v>685</v>
      </c>
      <c r="C134" s="954"/>
      <c r="D134" s="327"/>
      <c r="E134" s="327"/>
      <c r="F134" s="327"/>
      <c r="G134" s="327"/>
      <c r="H134" s="327"/>
      <c r="I134" s="328"/>
      <c r="J134" s="4"/>
      <c r="K134" s="4"/>
      <c r="L134" s="4"/>
      <c r="M134" s="4"/>
      <c r="N134" s="4"/>
      <c r="O134" s="4"/>
      <c r="P134" s="4"/>
      <c r="Q134" s="4"/>
      <c r="R134" s="4"/>
      <c r="S134" s="4"/>
      <c r="T134" s="4"/>
      <c r="U134" s="4"/>
      <c r="V134" s="4"/>
      <c r="W134" s="4"/>
      <c r="X134" s="4"/>
      <c r="Y134" s="4"/>
      <c r="Z134" s="4"/>
      <c r="AA134" s="4"/>
      <c r="AB134" s="4"/>
      <c r="AC134" s="4"/>
      <c r="AD134" s="4"/>
      <c r="AE134" s="4"/>
      <c r="AF134" s="4"/>
      <c r="AG134" s="4"/>
    </row>
    <row r="135" spans="2:33">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row>
    <row r="136" spans="2:33">
      <c r="B136" s="954" t="s">
        <v>652</v>
      </c>
      <c r="C136" s="955"/>
      <c r="D136" s="955"/>
      <c r="E136" s="955"/>
      <c r="F136" s="955"/>
      <c r="G136" s="956"/>
      <c r="H136" s="4"/>
      <c r="I136" s="960"/>
      <c r="J136" s="4"/>
      <c r="K136" s="957"/>
      <c r="L136" s="958"/>
      <c r="M136" s="958"/>
      <c r="N136" s="957"/>
      <c r="O136" s="958"/>
      <c r="P136" s="958"/>
      <c r="Q136" s="958"/>
      <c r="R136" s="959"/>
      <c r="S136" s="958"/>
      <c r="T136" s="958"/>
      <c r="U136" s="958"/>
      <c r="V136" s="958"/>
      <c r="W136" s="958"/>
      <c r="X136" s="957"/>
      <c r="Y136" s="958"/>
      <c r="Z136" s="958"/>
      <c r="AA136" s="958"/>
      <c r="AB136" s="959"/>
      <c r="AC136" s="958"/>
      <c r="AD136" s="958"/>
      <c r="AE136" s="958"/>
      <c r="AF136" s="958"/>
      <c r="AG136" s="959"/>
    </row>
    <row r="137" spans="2:33">
      <c r="B137" s="954" t="s">
        <v>653</v>
      </c>
      <c r="C137" s="327"/>
      <c r="D137" s="327"/>
      <c r="E137" s="327"/>
      <c r="F137" s="327"/>
      <c r="G137" s="328"/>
      <c r="H137" s="4"/>
      <c r="I137" s="960"/>
      <c r="J137" s="4"/>
      <c r="K137" s="961"/>
      <c r="L137" s="962"/>
      <c r="M137" s="962"/>
      <c r="N137" s="961"/>
      <c r="O137" s="962"/>
      <c r="P137" s="962"/>
      <c r="Q137" s="962"/>
      <c r="R137" s="963"/>
      <c r="S137" s="962"/>
      <c r="T137" s="962"/>
      <c r="U137" s="962"/>
      <c r="V137" s="962"/>
      <c r="W137" s="962"/>
      <c r="X137" s="961"/>
      <c r="Y137" s="962"/>
      <c r="Z137" s="962"/>
      <c r="AA137" s="962"/>
      <c r="AB137" s="963"/>
      <c r="AC137" s="962"/>
      <c r="AD137" s="962"/>
      <c r="AE137" s="962"/>
      <c r="AF137" s="962"/>
      <c r="AG137" s="963"/>
    </row>
    <row r="138" spans="2:33">
      <c r="B138" s="954" t="s">
        <v>654</v>
      </c>
      <c r="C138" s="327"/>
      <c r="D138" s="327"/>
      <c r="E138" s="327"/>
      <c r="F138" s="327"/>
      <c r="G138" s="328"/>
      <c r="H138" s="4"/>
      <c r="I138" s="960"/>
      <c r="J138" s="4"/>
      <c r="K138" s="961"/>
      <c r="L138" s="962"/>
      <c r="M138" s="962"/>
      <c r="N138" s="961"/>
      <c r="O138" s="962"/>
      <c r="P138" s="962"/>
      <c r="Q138" s="962"/>
      <c r="R138" s="963"/>
      <c r="S138" s="962"/>
      <c r="T138" s="962"/>
      <c r="U138" s="962"/>
      <c r="V138" s="962"/>
      <c r="W138" s="962"/>
      <c r="X138" s="961"/>
      <c r="Y138" s="962"/>
      <c r="Z138" s="962"/>
      <c r="AA138" s="962"/>
      <c r="AB138" s="963"/>
      <c r="AC138" s="962"/>
      <c r="AD138" s="962"/>
      <c r="AE138" s="962"/>
      <c r="AF138" s="962"/>
      <c r="AG138" s="963"/>
    </row>
    <row r="139" spans="2:33">
      <c r="B139" s="954" t="s">
        <v>655</v>
      </c>
      <c r="C139" s="327"/>
      <c r="D139" s="327"/>
      <c r="E139" s="327"/>
      <c r="F139" s="327"/>
      <c r="G139" s="328"/>
      <c r="H139" s="4"/>
      <c r="I139" s="960"/>
      <c r="J139" s="4"/>
      <c r="K139" s="961"/>
      <c r="L139" s="962"/>
      <c r="M139" s="962"/>
      <c r="N139" s="961"/>
      <c r="O139" s="962"/>
      <c r="P139" s="962"/>
      <c r="Q139" s="962"/>
      <c r="R139" s="963"/>
      <c r="S139" s="962"/>
      <c r="T139" s="962"/>
      <c r="U139" s="962"/>
      <c r="V139" s="962"/>
      <c r="W139" s="962"/>
      <c r="X139" s="961"/>
      <c r="Y139" s="962"/>
      <c r="Z139" s="962"/>
      <c r="AA139" s="962"/>
      <c r="AB139" s="963"/>
      <c r="AC139" s="962"/>
      <c r="AD139" s="962"/>
      <c r="AE139" s="962"/>
      <c r="AF139" s="962"/>
      <c r="AG139" s="963"/>
    </row>
    <row r="140" spans="2:33">
      <c r="B140" s="954" t="s">
        <v>656</v>
      </c>
      <c r="C140" s="327"/>
      <c r="D140" s="327"/>
      <c r="E140" s="327"/>
      <c r="F140" s="327"/>
      <c r="G140" s="328"/>
      <c r="H140" s="4"/>
      <c r="I140" s="960"/>
      <c r="J140" s="4"/>
      <c r="K140" s="961"/>
      <c r="L140" s="962"/>
      <c r="M140" s="962"/>
      <c r="N140" s="961"/>
      <c r="O140" s="962"/>
      <c r="P140" s="962"/>
      <c r="Q140" s="962"/>
      <c r="R140" s="963"/>
      <c r="S140" s="962"/>
      <c r="T140" s="962"/>
      <c r="U140" s="962"/>
      <c r="V140" s="962"/>
      <c r="W140" s="962"/>
      <c r="X140" s="961"/>
      <c r="Y140" s="962"/>
      <c r="Z140" s="962"/>
      <c r="AA140" s="962"/>
      <c r="AB140" s="963"/>
      <c r="AC140" s="962"/>
      <c r="AD140" s="962"/>
      <c r="AE140" s="962"/>
      <c r="AF140" s="962"/>
      <c r="AG140" s="963"/>
    </row>
    <row r="141" spans="2:33">
      <c r="B141" s="954" t="s">
        <v>657</v>
      </c>
      <c r="C141" s="327"/>
      <c r="D141" s="327"/>
      <c r="E141" s="327"/>
      <c r="F141" s="327"/>
      <c r="G141" s="328"/>
      <c r="H141" s="4"/>
      <c r="I141" s="960"/>
      <c r="J141" s="4"/>
      <c r="K141" s="961"/>
      <c r="L141" s="962"/>
      <c r="M141" s="962"/>
      <c r="N141" s="961"/>
      <c r="O141" s="962"/>
      <c r="P141" s="962"/>
      <c r="Q141" s="962"/>
      <c r="R141" s="963"/>
      <c r="S141" s="962"/>
      <c r="T141" s="962"/>
      <c r="U141" s="962"/>
      <c r="V141" s="962"/>
      <c r="W141" s="962"/>
      <c r="X141" s="961"/>
      <c r="Y141" s="962"/>
      <c r="Z141" s="962"/>
      <c r="AA141" s="962"/>
      <c r="AB141" s="963"/>
      <c r="AC141" s="962"/>
      <c r="AD141" s="962"/>
      <c r="AE141" s="962"/>
      <c r="AF141" s="962"/>
      <c r="AG141" s="963"/>
    </row>
    <row r="142" spans="2:33">
      <c r="B142" s="954" t="s">
        <v>658</v>
      </c>
      <c r="C142" s="327"/>
      <c r="D142" s="327"/>
      <c r="E142" s="327"/>
      <c r="F142" s="327"/>
      <c r="G142" s="328"/>
      <c r="H142" s="4"/>
      <c r="I142" s="960"/>
      <c r="J142" s="4"/>
      <c r="K142" s="961"/>
      <c r="L142" s="962"/>
      <c r="M142" s="962"/>
      <c r="N142" s="961"/>
      <c r="O142" s="962"/>
      <c r="P142" s="962"/>
      <c r="Q142" s="962"/>
      <c r="R142" s="963"/>
      <c r="S142" s="962"/>
      <c r="T142" s="962"/>
      <c r="U142" s="962"/>
      <c r="V142" s="962"/>
      <c r="W142" s="962"/>
      <c r="X142" s="961"/>
      <c r="Y142" s="962"/>
      <c r="Z142" s="962"/>
      <c r="AA142" s="962"/>
      <c r="AB142" s="963"/>
      <c r="AC142" s="962"/>
      <c r="AD142" s="962"/>
      <c r="AE142" s="962"/>
      <c r="AF142" s="962"/>
      <c r="AG142" s="963"/>
    </row>
    <row r="143" spans="2:33">
      <c r="B143" s="954" t="s">
        <v>659</v>
      </c>
      <c r="C143" s="327"/>
      <c r="D143" s="327"/>
      <c r="E143" s="327"/>
      <c r="F143" s="327"/>
      <c r="G143" s="328"/>
      <c r="H143" s="4"/>
      <c r="I143" s="960"/>
      <c r="J143" s="4"/>
      <c r="K143" s="961"/>
      <c r="L143" s="962"/>
      <c r="M143" s="962"/>
      <c r="N143" s="961"/>
      <c r="O143" s="962"/>
      <c r="P143" s="962"/>
      <c r="Q143" s="962"/>
      <c r="R143" s="963"/>
      <c r="S143" s="962"/>
      <c r="T143" s="962"/>
      <c r="U143" s="962"/>
      <c r="V143" s="962"/>
      <c r="W143" s="962"/>
      <c r="X143" s="961"/>
      <c r="Y143" s="962"/>
      <c r="Z143" s="962"/>
      <c r="AA143" s="962"/>
      <c r="AB143" s="963"/>
      <c r="AC143" s="962"/>
      <c r="AD143" s="962"/>
      <c r="AE143" s="962"/>
      <c r="AF143" s="962"/>
      <c r="AG143" s="963"/>
    </row>
    <row r="144" spans="2:33">
      <c r="B144" s="954" t="s">
        <v>660</v>
      </c>
      <c r="C144" s="327"/>
      <c r="D144" s="327"/>
      <c r="E144" s="327"/>
      <c r="F144" s="327"/>
      <c r="G144" s="328"/>
      <c r="H144" s="4"/>
      <c r="I144" s="960"/>
      <c r="J144" s="4"/>
      <c r="K144" s="961"/>
      <c r="L144" s="962"/>
      <c r="M144" s="962"/>
      <c r="N144" s="961"/>
      <c r="O144" s="962"/>
      <c r="P144" s="962"/>
      <c r="Q144" s="962"/>
      <c r="R144" s="963"/>
      <c r="S144" s="962"/>
      <c r="T144" s="962"/>
      <c r="U144" s="962"/>
      <c r="V144" s="962"/>
      <c r="W144" s="962"/>
      <c r="X144" s="961"/>
      <c r="Y144" s="962"/>
      <c r="Z144" s="962"/>
      <c r="AA144" s="962"/>
      <c r="AB144" s="963"/>
      <c r="AC144" s="962"/>
      <c r="AD144" s="962"/>
      <c r="AE144" s="962"/>
      <c r="AF144" s="962"/>
      <c r="AG144" s="963"/>
    </row>
    <row r="145" spans="2:33">
      <c r="B145" s="954" t="s">
        <v>661</v>
      </c>
      <c r="C145" s="327"/>
      <c r="D145" s="327"/>
      <c r="E145" s="327"/>
      <c r="F145" s="327"/>
      <c r="G145" s="328"/>
      <c r="H145" s="4"/>
      <c r="I145" s="960"/>
      <c r="J145" s="4"/>
      <c r="K145" s="964"/>
      <c r="L145" s="965"/>
      <c r="M145" s="965"/>
      <c r="N145" s="964"/>
      <c r="O145" s="965"/>
      <c r="P145" s="965"/>
      <c r="Q145" s="965"/>
      <c r="R145" s="966"/>
      <c r="S145" s="965"/>
      <c r="T145" s="965"/>
      <c r="U145" s="965"/>
      <c r="V145" s="965"/>
      <c r="W145" s="965"/>
      <c r="X145" s="964"/>
      <c r="Y145" s="965"/>
      <c r="Z145" s="965"/>
      <c r="AA145" s="965"/>
      <c r="AB145" s="966"/>
      <c r="AC145" s="965"/>
      <c r="AD145" s="965"/>
      <c r="AE145" s="965"/>
      <c r="AF145" s="965"/>
      <c r="AG145" s="966"/>
    </row>
    <row r="146" spans="2:33">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row>
    <row r="147" spans="2:33">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row>
    <row r="148" spans="2:33" ht="12.75">
      <c r="B148" s="2078" t="s">
        <v>684</v>
      </c>
      <c r="C148" s="954"/>
      <c r="D148" s="327"/>
      <c r="E148" s="327"/>
      <c r="F148" s="327"/>
      <c r="G148" s="327"/>
      <c r="H148" s="327"/>
      <c r="I148" s="328"/>
      <c r="J148" s="4"/>
      <c r="K148" s="4"/>
      <c r="L148" s="4"/>
      <c r="M148" s="4"/>
      <c r="N148" s="4"/>
      <c r="O148" s="4"/>
      <c r="P148" s="4"/>
      <c r="Q148" s="4"/>
      <c r="R148" s="4"/>
      <c r="S148" s="4"/>
      <c r="T148" s="4"/>
      <c r="U148" s="4"/>
      <c r="V148" s="4"/>
      <c r="W148" s="4"/>
      <c r="X148" s="4"/>
      <c r="Y148" s="4"/>
      <c r="Z148" s="4"/>
      <c r="AA148" s="4"/>
      <c r="AB148" s="4"/>
      <c r="AC148" s="4"/>
      <c r="AD148" s="4"/>
      <c r="AE148" s="4"/>
      <c r="AF148" s="4"/>
      <c r="AG148" s="4"/>
    </row>
    <row r="149" spans="2:33">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row>
    <row r="150" spans="2:33">
      <c r="B150" s="954" t="s">
        <v>652</v>
      </c>
      <c r="C150" s="955"/>
      <c r="D150" s="955"/>
      <c r="E150" s="955"/>
      <c r="F150" s="955"/>
      <c r="G150" s="956"/>
      <c r="H150" s="4"/>
      <c r="I150" s="960"/>
      <c r="J150" s="4"/>
      <c r="K150" s="957"/>
      <c r="L150" s="958"/>
      <c r="M150" s="958"/>
      <c r="N150" s="957"/>
      <c r="O150" s="958"/>
      <c r="P150" s="958"/>
      <c r="Q150" s="958"/>
      <c r="R150" s="959"/>
      <c r="S150" s="958"/>
      <c r="T150" s="958"/>
      <c r="U150" s="958"/>
      <c r="V150" s="958"/>
      <c r="W150" s="958"/>
      <c r="X150" s="957"/>
      <c r="Y150" s="958"/>
      <c r="Z150" s="958"/>
      <c r="AA150" s="958"/>
      <c r="AB150" s="959"/>
      <c r="AC150" s="958"/>
      <c r="AD150" s="958"/>
      <c r="AE150" s="958"/>
      <c r="AF150" s="958"/>
      <c r="AG150" s="959"/>
    </row>
    <row r="151" spans="2:33">
      <c r="B151" s="954" t="s">
        <v>653</v>
      </c>
      <c r="C151" s="327"/>
      <c r="D151" s="327"/>
      <c r="E151" s="327"/>
      <c r="F151" s="327"/>
      <c r="G151" s="328"/>
      <c r="H151" s="4"/>
      <c r="I151" s="960"/>
      <c r="J151" s="4"/>
      <c r="K151" s="961"/>
      <c r="L151" s="962"/>
      <c r="M151" s="962"/>
      <c r="N151" s="961"/>
      <c r="O151" s="962"/>
      <c r="P151" s="962"/>
      <c r="Q151" s="962"/>
      <c r="R151" s="963"/>
      <c r="S151" s="962"/>
      <c r="T151" s="962"/>
      <c r="U151" s="962"/>
      <c r="V151" s="962"/>
      <c r="W151" s="962"/>
      <c r="X151" s="961"/>
      <c r="Y151" s="962"/>
      <c r="Z151" s="962"/>
      <c r="AA151" s="962"/>
      <c r="AB151" s="963"/>
      <c r="AC151" s="962"/>
      <c r="AD151" s="962"/>
      <c r="AE151" s="962"/>
      <c r="AF151" s="962"/>
      <c r="AG151" s="963"/>
    </row>
    <row r="152" spans="2:33">
      <c r="B152" s="954" t="s">
        <v>654</v>
      </c>
      <c r="C152" s="327"/>
      <c r="D152" s="327"/>
      <c r="E152" s="327"/>
      <c r="F152" s="327"/>
      <c r="G152" s="328"/>
      <c r="H152" s="4"/>
      <c r="I152" s="960"/>
      <c r="J152" s="4"/>
      <c r="K152" s="961"/>
      <c r="L152" s="962"/>
      <c r="M152" s="962"/>
      <c r="N152" s="961"/>
      <c r="O152" s="962"/>
      <c r="P152" s="962"/>
      <c r="Q152" s="962"/>
      <c r="R152" s="963"/>
      <c r="S152" s="962"/>
      <c r="T152" s="962"/>
      <c r="U152" s="962"/>
      <c r="V152" s="962"/>
      <c r="W152" s="962"/>
      <c r="X152" s="961"/>
      <c r="Y152" s="962"/>
      <c r="Z152" s="962"/>
      <c r="AA152" s="962"/>
      <c r="AB152" s="963"/>
      <c r="AC152" s="962"/>
      <c r="AD152" s="962"/>
      <c r="AE152" s="962"/>
      <c r="AF152" s="962"/>
      <c r="AG152" s="963"/>
    </row>
    <row r="153" spans="2:33">
      <c r="B153" s="954" t="s">
        <v>655</v>
      </c>
      <c r="C153" s="327"/>
      <c r="D153" s="327"/>
      <c r="E153" s="327"/>
      <c r="F153" s="327"/>
      <c r="G153" s="328"/>
      <c r="H153" s="4"/>
      <c r="I153" s="960"/>
      <c r="J153" s="4"/>
      <c r="K153" s="961"/>
      <c r="L153" s="962"/>
      <c r="M153" s="962"/>
      <c r="N153" s="961"/>
      <c r="O153" s="962"/>
      <c r="P153" s="962"/>
      <c r="Q153" s="962"/>
      <c r="R153" s="963"/>
      <c r="S153" s="962"/>
      <c r="T153" s="962"/>
      <c r="U153" s="962"/>
      <c r="V153" s="962"/>
      <c r="W153" s="962"/>
      <c r="X153" s="961"/>
      <c r="Y153" s="962"/>
      <c r="Z153" s="962"/>
      <c r="AA153" s="962"/>
      <c r="AB153" s="963"/>
      <c r="AC153" s="962"/>
      <c r="AD153" s="962"/>
      <c r="AE153" s="962"/>
      <c r="AF153" s="962"/>
      <c r="AG153" s="963"/>
    </row>
    <row r="154" spans="2:33">
      <c r="B154" s="954" t="s">
        <v>656</v>
      </c>
      <c r="C154" s="327"/>
      <c r="D154" s="327"/>
      <c r="E154" s="327"/>
      <c r="F154" s="327"/>
      <c r="G154" s="328"/>
      <c r="H154" s="4"/>
      <c r="I154" s="960"/>
      <c r="J154" s="4"/>
      <c r="K154" s="961"/>
      <c r="L154" s="962"/>
      <c r="M154" s="962"/>
      <c r="N154" s="961"/>
      <c r="O154" s="962"/>
      <c r="P154" s="962"/>
      <c r="Q154" s="962"/>
      <c r="R154" s="963"/>
      <c r="S154" s="962"/>
      <c r="T154" s="962"/>
      <c r="U154" s="962"/>
      <c r="V154" s="962"/>
      <c r="W154" s="962"/>
      <c r="X154" s="961"/>
      <c r="Y154" s="962"/>
      <c r="Z154" s="962"/>
      <c r="AA154" s="962"/>
      <c r="AB154" s="963"/>
      <c r="AC154" s="962"/>
      <c r="AD154" s="962"/>
      <c r="AE154" s="962"/>
      <c r="AF154" s="962"/>
      <c r="AG154" s="963"/>
    </row>
    <row r="155" spans="2:33">
      <c r="B155" s="954" t="s">
        <v>657</v>
      </c>
      <c r="C155" s="327"/>
      <c r="D155" s="327"/>
      <c r="E155" s="327"/>
      <c r="F155" s="327"/>
      <c r="G155" s="328"/>
      <c r="H155" s="4"/>
      <c r="I155" s="960"/>
      <c r="J155" s="4"/>
      <c r="K155" s="961"/>
      <c r="L155" s="962"/>
      <c r="M155" s="962"/>
      <c r="N155" s="961"/>
      <c r="O155" s="962"/>
      <c r="P155" s="962"/>
      <c r="Q155" s="962"/>
      <c r="R155" s="963"/>
      <c r="S155" s="962"/>
      <c r="T155" s="962"/>
      <c r="U155" s="962"/>
      <c r="V155" s="962"/>
      <c r="W155" s="962"/>
      <c r="X155" s="961"/>
      <c r="Y155" s="962"/>
      <c r="Z155" s="962"/>
      <c r="AA155" s="962"/>
      <c r="AB155" s="963"/>
      <c r="AC155" s="962"/>
      <c r="AD155" s="962"/>
      <c r="AE155" s="962"/>
      <c r="AF155" s="962"/>
      <c r="AG155" s="963"/>
    </row>
    <row r="156" spans="2:33">
      <c r="B156" s="954" t="s">
        <v>658</v>
      </c>
      <c r="C156" s="327"/>
      <c r="D156" s="327"/>
      <c r="E156" s="327"/>
      <c r="F156" s="327"/>
      <c r="G156" s="328"/>
      <c r="H156" s="4"/>
      <c r="I156" s="960"/>
      <c r="J156" s="4"/>
      <c r="K156" s="961"/>
      <c r="L156" s="962"/>
      <c r="M156" s="962"/>
      <c r="N156" s="961"/>
      <c r="O156" s="962"/>
      <c r="P156" s="962"/>
      <c r="Q156" s="962"/>
      <c r="R156" s="963"/>
      <c r="S156" s="962"/>
      <c r="T156" s="962"/>
      <c r="U156" s="962"/>
      <c r="V156" s="962"/>
      <c r="W156" s="962"/>
      <c r="X156" s="961"/>
      <c r="Y156" s="962"/>
      <c r="Z156" s="962"/>
      <c r="AA156" s="962"/>
      <c r="AB156" s="963"/>
      <c r="AC156" s="962"/>
      <c r="AD156" s="962"/>
      <c r="AE156" s="962"/>
      <c r="AF156" s="962"/>
      <c r="AG156" s="963"/>
    </row>
    <row r="157" spans="2:33">
      <c r="B157" s="954" t="s">
        <v>659</v>
      </c>
      <c r="C157" s="327"/>
      <c r="D157" s="327"/>
      <c r="E157" s="327"/>
      <c r="F157" s="327"/>
      <c r="G157" s="328"/>
      <c r="H157" s="4"/>
      <c r="I157" s="960"/>
      <c r="J157" s="4"/>
      <c r="K157" s="961"/>
      <c r="L157" s="962"/>
      <c r="M157" s="962"/>
      <c r="N157" s="961"/>
      <c r="O157" s="962"/>
      <c r="P157" s="962"/>
      <c r="Q157" s="962"/>
      <c r="R157" s="963"/>
      <c r="S157" s="962"/>
      <c r="T157" s="962"/>
      <c r="U157" s="962"/>
      <c r="V157" s="962"/>
      <c r="W157" s="962"/>
      <c r="X157" s="961"/>
      <c r="Y157" s="962"/>
      <c r="Z157" s="962"/>
      <c r="AA157" s="962"/>
      <c r="AB157" s="963"/>
      <c r="AC157" s="962"/>
      <c r="AD157" s="962"/>
      <c r="AE157" s="962"/>
      <c r="AF157" s="962"/>
      <c r="AG157" s="963"/>
    </row>
    <row r="158" spans="2:33">
      <c r="B158" s="954" t="s">
        <v>660</v>
      </c>
      <c r="C158" s="327"/>
      <c r="D158" s="327"/>
      <c r="E158" s="327"/>
      <c r="F158" s="327"/>
      <c r="G158" s="328"/>
      <c r="H158" s="4"/>
      <c r="I158" s="960"/>
      <c r="J158" s="4"/>
      <c r="K158" s="961"/>
      <c r="L158" s="962"/>
      <c r="M158" s="962"/>
      <c r="N158" s="961"/>
      <c r="O158" s="962"/>
      <c r="P158" s="962"/>
      <c r="Q158" s="962"/>
      <c r="R158" s="963"/>
      <c r="S158" s="962"/>
      <c r="T158" s="962"/>
      <c r="U158" s="962"/>
      <c r="V158" s="962"/>
      <c r="W158" s="962"/>
      <c r="X158" s="961"/>
      <c r="Y158" s="962"/>
      <c r="Z158" s="962"/>
      <c r="AA158" s="962"/>
      <c r="AB158" s="963"/>
      <c r="AC158" s="962"/>
      <c r="AD158" s="962"/>
      <c r="AE158" s="962"/>
      <c r="AF158" s="962"/>
      <c r="AG158" s="963"/>
    </row>
    <row r="159" spans="2:33">
      <c r="B159" s="954" t="s">
        <v>661</v>
      </c>
      <c r="C159" s="327"/>
      <c r="D159" s="327"/>
      <c r="E159" s="327"/>
      <c r="F159" s="327"/>
      <c r="G159" s="328"/>
      <c r="H159" s="4"/>
      <c r="I159" s="960"/>
      <c r="J159" s="4"/>
      <c r="K159" s="964"/>
      <c r="L159" s="965"/>
      <c r="M159" s="965"/>
      <c r="N159" s="964"/>
      <c r="O159" s="965"/>
      <c r="P159" s="965"/>
      <c r="Q159" s="965"/>
      <c r="R159" s="966"/>
      <c r="S159" s="965"/>
      <c r="T159" s="965"/>
      <c r="U159" s="965"/>
      <c r="V159" s="965"/>
      <c r="W159" s="965"/>
      <c r="X159" s="964"/>
      <c r="Y159" s="965"/>
      <c r="Z159" s="965"/>
      <c r="AA159" s="965"/>
      <c r="AB159" s="966"/>
      <c r="AC159" s="965"/>
      <c r="AD159" s="965"/>
      <c r="AE159" s="965"/>
      <c r="AF159" s="965"/>
      <c r="AG159" s="966"/>
    </row>
    <row r="160" spans="2:33">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row>
    <row r="161" spans="2:33">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row>
    <row r="162" spans="2:33" ht="12.75">
      <c r="B162" s="2078" t="s">
        <v>680</v>
      </c>
      <c r="C162" s="954"/>
      <c r="D162" s="327"/>
      <c r="E162" s="327"/>
      <c r="F162" s="327"/>
      <c r="G162" s="327"/>
      <c r="H162" s="327"/>
      <c r="I162" s="328"/>
      <c r="J162" s="4"/>
      <c r="K162" s="4"/>
      <c r="L162" s="4"/>
      <c r="M162" s="4"/>
      <c r="N162" s="4"/>
      <c r="O162" s="4"/>
      <c r="P162" s="4"/>
      <c r="Q162" s="4"/>
      <c r="R162" s="4"/>
      <c r="S162" s="4"/>
      <c r="T162" s="4"/>
      <c r="U162" s="4"/>
      <c r="V162" s="4"/>
      <c r="W162" s="4"/>
      <c r="X162" s="4"/>
      <c r="Y162" s="4"/>
      <c r="Z162" s="4"/>
      <c r="AA162" s="4"/>
      <c r="AB162" s="4"/>
      <c r="AC162" s="4"/>
      <c r="AD162" s="4"/>
      <c r="AE162" s="4"/>
      <c r="AF162" s="4"/>
      <c r="AG162" s="4"/>
    </row>
    <row r="163" spans="2:33">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row>
    <row r="164" spans="2:33">
      <c r="B164" s="954" t="s">
        <v>652</v>
      </c>
      <c r="C164" s="955"/>
      <c r="D164" s="955"/>
      <c r="E164" s="955"/>
      <c r="F164" s="955"/>
      <c r="G164" s="956"/>
      <c r="H164" s="4"/>
      <c r="I164" s="960"/>
      <c r="J164" s="4"/>
      <c r="K164" s="957"/>
      <c r="L164" s="958"/>
      <c r="M164" s="958"/>
      <c r="N164" s="957"/>
      <c r="O164" s="958"/>
      <c r="P164" s="958"/>
      <c r="Q164" s="958"/>
      <c r="R164" s="959"/>
      <c r="S164" s="958"/>
      <c r="T164" s="958"/>
      <c r="U164" s="958"/>
      <c r="V164" s="958"/>
      <c r="W164" s="958"/>
      <c r="X164" s="957"/>
      <c r="Y164" s="958"/>
      <c r="Z164" s="958"/>
      <c r="AA164" s="958"/>
      <c r="AB164" s="959"/>
      <c r="AC164" s="958"/>
      <c r="AD164" s="958"/>
      <c r="AE164" s="958"/>
      <c r="AF164" s="958"/>
      <c r="AG164" s="959"/>
    </row>
    <row r="165" spans="2:33">
      <c r="B165" s="954" t="s">
        <v>653</v>
      </c>
      <c r="C165" s="327"/>
      <c r="D165" s="327"/>
      <c r="E165" s="327"/>
      <c r="F165" s="327"/>
      <c r="G165" s="328"/>
      <c r="H165" s="4"/>
      <c r="I165" s="960"/>
      <c r="J165" s="4"/>
      <c r="K165" s="961"/>
      <c r="L165" s="962"/>
      <c r="M165" s="962"/>
      <c r="N165" s="961"/>
      <c r="O165" s="962"/>
      <c r="P165" s="962"/>
      <c r="Q165" s="962"/>
      <c r="R165" s="963"/>
      <c r="S165" s="962"/>
      <c r="T165" s="962"/>
      <c r="U165" s="962"/>
      <c r="V165" s="962"/>
      <c r="W165" s="962"/>
      <c r="X165" s="961"/>
      <c r="Y165" s="962"/>
      <c r="Z165" s="962"/>
      <c r="AA165" s="962"/>
      <c r="AB165" s="963"/>
      <c r="AC165" s="962"/>
      <c r="AD165" s="962"/>
      <c r="AE165" s="962"/>
      <c r="AF165" s="962"/>
      <c r="AG165" s="963"/>
    </row>
    <row r="166" spans="2:33">
      <c r="B166" s="954" t="s">
        <v>654</v>
      </c>
      <c r="C166" s="327"/>
      <c r="D166" s="327"/>
      <c r="E166" s="327"/>
      <c r="F166" s="327"/>
      <c r="G166" s="328"/>
      <c r="H166" s="4"/>
      <c r="I166" s="960"/>
      <c r="J166" s="4"/>
      <c r="K166" s="961"/>
      <c r="L166" s="962"/>
      <c r="M166" s="962"/>
      <c r="N166" s="961"/>
      <c r="O166" s="962"/>
      <c r="P166" s="962"/>
      <c r="Q166" s="962"/>
      <c r="R166" s="963"/>
      <c r="S166" s="962"/>
      <c r="T166" s="962"/>
      <c r="U166" s="962"/>
      <c r="V166" s="962"/>
      <c r="W166" s="962"/>
      <c r="X166" s="961"/>
      <c r="Y166" s="962"/>
      <c r="Z166" s="962"/>
      <c r="AA166" s="962"/>
      <c r="AB166" s="963"/>
      <c r="AC166" s="962"/>
      <c r="AD166" s="962"/>
      <c r="AE166" s="962"/>
      <c r="AF166" s="962"/>
      <c r="AG166" s="963"/>
    </row>
    <row r="167" spans="2:33">
      <c r="B167" s="954" t="s">
        <v>655</v>
      </c>
      <c r="C167" s="327"/>
      <c r="D167" s="327"/>
      <c r="E167" s="327"/>
      <c r="F167" s="327"/>
      <c r="G167" s="328"/>
      <c r="H167" s="4"/>
      <c r="I167" s="960"/>
      <c r="J167" s="4"/>
      <c r="K167" s="961"/>
      <c r="L167" s="962"/>
      <c r="M167" s="962"/>
      <c r="N167" s="961"/>
      <c r="O167" s="962"/>
      <c r="P167" s="962"/>
      <c r="Q167" s="962"/>
      <c r="R167" s="963"/>
      <c r="S167" s="962"/>
      <c r="T167" s="962"/>
      <c r="U167" s="962"/>
      <c r="V167" s="962"/>
      <c r="W167" s="962"/>
      <c r="X167" s="961"/>
      <c r="Y167" s="962"/>
      <c r="Z167" s="962"/>
      <c r="AA167" s="962"/>
      <c r="AB167" s="963"/>
      <c r="AC167" s="962"/>
      <c r="AD167" s="962"/>
      <c r="AE167" s="962"/>
      <c r="AF167" s="962"/>
      <c r="AG167" s="963"/>
    </row>
    <row r="168" spans="2:33">
      <c r="B168" s="954" t="s">
        <v>656</v>
      </c>
      <c r="C168" s="327"/>
      <c r="D168" s="327"/>
      <c r="E168" s="327"/>
      <c r="F168" s="327"/>
      <c r="G168" s="328"/>
      <c r="H168" s="4"/>
      <c r="I168" s="960"/>
      <c r="J168" s="4"/>
      <c r="K168" s="961"/>
      <c r="L168" s="962"/>
      <c r="M168" s="962"/>
      <c r="N168" s="961"/>
      <c r="O168" s="962"/>
      <c r="P168" s="962"/>
      <c r="Q168" s="962"/>
      <c r="R168" s="963"/>
      <c r="S168" s="962"/>
      <c r="T168" s="962"/>
      <c r="U168" s="962"/>
      <c r="V168" s="962"/>
      <c r="W168" s="962"/>
      <c r="X168" s="961"/>
      <c r="Y168" s="962"/>
      <c r="Z168" s="962"/>
      <c r="AA168" s="962"/>
      <c r="AB168" s="963"/>
      <c r="AC168" s="962"/>
      <c r="AD168" s="962"/>
      <c r="AE168" s="962"/>
      <c r="AF168" s="962"/>
      <c r="AG168" s="963"/>
    </row>
    <row r="169" spans="2:33">
      <c r="B169" s="954" t="s">
        <v>657</v>
      </c>
      <c r="C169" s="327"/>
      <c r="D169" s="327"/>
      <c r="E169" s="327"/>
      <c r="F169" s="327"/>
      <c r="G169" s="328"/>
      <c r="H169" s="4"/>
      <c r="I169" s="960"/>
      <c r="J169" s="4"/>
      <c r="K169" s="961"/>
      <c r="L169" s="962"/>
      <c r="M169" s="962"/>
      <c r="N169" s="961"/>
      <c r="O169" s="962"/>
      <c r="P169" s="962"/>
      <c r="Q169" s="962"/>
      <c r="R169" s="963"/>
      <c r="S169" s="962"/>
      <c r="T169" s="962"/>
      <c r="U169" s="962"/>
      <c r="V169" s="962"/>
      <c r="W169" s="962"/>
      <c r="X169" s="961"/>
      <c r="Y169" s="962"/>
      <c r="Z169" s="962"/>
      <c r="AA169" s="962"/>
      <c r="AB169" s="963"/>
      <c r="AC169" s="962"/>
      <c r="AD169" s="962"/>
      <c r="AE169" s="962"/>
      <c r="AF169" s="962"/>
      <c r="AG169" s="963"/>
    </row>
    <row r="170" spans="2:33">
      <c r="B170" s="954" t="s">
        <v>658</v>
      </c>
      <c r="C170" s="327"/>
      <c r="D170" s="327"/>
      <c r="E170" s="327"/>
      <c r="F170" s="327"/>
      <c r="G170" s="328"/>
      <c r="H170" s="4"/>
      <c r="I170" s="960"/>
      <c r="J170" s="4"/>
      <c r="K170" s="961"/>
      <c r="L170" s="962"/>
      <c r="M170" s="962"/>
      <c r="N170" s="961"/>
      <c r="O170" s="962"/>
      <c r="P170" s="962"/>
      <c r="Q170" s="962"/>
      <c r="R170" s="963"/>
      <c r="S170" s="962"/>
      <c r="T170" s="962"/>
      <c r="U170" s="962"/>
      <c r="V170" s="962"/>
      <c r="W170" s="962"/>
      <c r="X170" s="961"/>
      <c r="Y170" s="962"/>
      <c r="Z170" s="962"/>
      <c r="AA170" s="962"/>
      <c r="AB170" s="963"/>
      <c r="AC170" s="962"/>
      <c r="AD170" s="962"/>
      <c r="AE170" s="962"/>
      <c r="AF170" s="962"/>
      <c r="AG170" s="963"/>
    </row>
    <row r="171" spans="2:33">
      <c r="B171" s="954" t="s">
        <v>659</v>
      </c>
      <c r="C171" s="327"/>
      <c r="D171" s="327"/>
      <c r="E171" s="327"/>
      <c r="F171" s="327"/>
      <c r="G171" s="328"/>
      <c r="H171" s="4"/>
      <c r="I171" s="960"/>
      <c r="J171" s="4"/>
      <c r="K171" s="961"/>
      <c r="L171" s="962"/>
      <c r="M171" s="962"/>
      <c r="N171" s="961"/>
      <c r="O171" s="962"/>
      <c r="P171" s="962"/>
      <c r="Q171" s="962"/>
      <c r="R171" s="963"/>
      <c r="S171" s="962"/>
      <c r="T171" s="962"/>
      <c r="U171" s="962"/>
      <c r="V171" s="962"/>
      <c r="W171" s="962"/>
      <c r="X171" s="961"/>
      <c r="Y171" s="962"/>
      <c r="Z171" s="962"/>
      <c r="AA171" s="962"/>
      <c r="AB171" s="963"/>
      <c r="AC171" s="962"/>
      <c r="AD171" s="962"/>
      <c r="AE171" s="962"/>
      <c r="AF171" s="962"/>
      <c r="AG171" s="963"/>
    </row>
    <row r="172" spans="2:33">
      <c r="B172" s="954" t="s">
        <v>660</v>
      </c>
      <c r="C172" s="327"/>
      <c r="D172" s="327"/>
      <c r="E172" s="327"/>
      <c r="F172" s="327"/>
      <c r="G172" s="328"/>
      <c r="H172" s="4"/>
      <c r="I172" s="960"/>
      <c r="J172" s="4"/>
      <c r="K172" s="961"/>
      <c r="L172" s="962"/>
      <c r="M172" s="962"/>
      <c r="N172" s="961"/>
      <c r="O172" s="962"/>
      <c r="P172" s="962"/>
      <c r="Q172" s="962"/>
      <c r="R172" s="963"/>
      <c r="S172" s="962"/>
      <c r="T172" s="962"/>
      <c r="U172" s="962"/>
      <c r="V172" s="962"/>
      <c r="W172" s="962"/>
      <c r="X172" s="961"/>
      <c r="Y172" s="962"/>
      <c r="Z172" s="962"/>
      <c r="AA172" s="962"/>
      <c r="AB172" s="963"/>
      <c r="AC172" s="962"/>
      <c r="AD172" s="962"/>
      <c r="AE172" s="962"/>
      <c r="AF172" s="962"/>
      <c r="AG172" s="963"/>
    </row>
    <row r="173" spans="2:33">
      <c r="B173" s="954" t="s">
        <v>661</v>
      </c>
      <c r="C173" s="327"/>
      <c r="D173" s="327"/>
      <c r="E173" s="327"/>
      <c r="F173" s="327"/>
      <c r="G173" s="328"/>
      <c r="H173" s="4"/>
      <c r="I173" s="960"/>
      <c r="J173" s="4"/>
      <c r="K173" s="964"/>
      <c r="L173" s="965"/>
      <c r="M173" s="965"/>
      <c r="N173" s="964"/>
      <c r="O173" s="965"/>
      <c r="P173" s="965"/>
      <c r="Q173" s="965"/>
      <c r="R173" s="966"/>
      <c r="S173" s="965"/>
      <c r="T173" s="965"/>
      <c r="U173" s="965"/>
      <c r="V173" s="965"/>
      <c r="W173" s="965"/>
      <c r="X173" s="964"/>
      <c r="Y173" s="965"/>
      <c r="Z173" s="965"/>
      <c r="AA173" s="965"/>
      <c r="AB173" s="966"/>
      <c r="AC173" s="965"/>
      <c r="AD173" s="965"/>
      <c r="AE173" s="965"/>
      <c r="AF173" s="965"/>
      <c r="AG173" s="966"/>
    </row>
    <row r="174" spans="2:33">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row>
    <row r="176" spans="2:33" ht="12.75">
      <c r="B176" s="949" t="s">
        <v>712</v>
      </c>
    </row>
    <row r="178" spans="2:9">
      <c r="B178" s="704" t="s">
        <v>674</v>
      </c>
      <c r="C178" s="705"/>
      <c r="D178" s="705"/>
      <c r="E178" s="705"/>
      <c r="F178" s="705"/>
      <c r="G178" s="705"/>
      <c r="H178" s="705"/>
      <c r="I178" s="952"/>
    </row>
    <row r="179" spans="2:9">
      <c r="B179" s="704" t="s">
        <v>675</v>
      </c>
      <c r="C179" s="705"/>
      <c r="D179" s="705"/>
      <c r="E179" s="705"/>
      <c r="F179" s="705"/>
      <c r="G179" s="705"/>
      <c r="H179" s="705"/>
      <c r="I179" s="952"/>
    </row>
    <row r="180" spans="2:9">
      <c r="B180" s="704" t="s">
        <v>676</v>
      </c>
      <c r="C180" s="705"/>
      <c r="D180" s="705"/>
      <c r="E180" s="705"/>
      <c r="F180" s="705"/>
      <c r="G180" s="705"/>
      <c r="H180" s="705"/>
      <c r="I180" s="952"/>
    </row>
    <row r="181" spans="2:9">
      <c r="B181" s="704" t="s">
        <v>677</v>
      </c>
      <c r="C181" s="705"/>
      <c r="D181" s="705"/>
      <c r="E181" s="705"/>
      <c r="F181" s="705"/>
      <c r="G181" s="705"/>
      <c r="H181" s="705"/>
      <c r="I181" s="952"/>
    </row>
    <row r="182" spans="2:9">
      <c r="B182" s="704" t="s">
        <v>678</v>
      </c>
      <c r="C182" s="705"/>
      <c r="D182" s="705"/>
      <c r="E182" s="705"/>
      <c r="F182" s="705"/>
      <c r="G182" s="705"/>
      <c r="H182" s="705"/>
      <c r="I182" s="952"/>
    </row>
    <row r="183" spans="2:9">
      <c r="B183" s="704" t="s">
        <v>679</v>
      </c>
      <c r="C183" s="705"/>
      <c r="D183" s="705"/>
      <c r="E183" s="705"/>
      <c r="F183" s="705"/>
      <c r="G183" s="705"/>
      <c r="H183" s="705"/>
      <c r="I183" s="952"/>
    </row>
  </sheetData>
  <sheetProtection algorithmName="SHA-512" hashValue="zAn+lSb6aHSvCZnnvPGkB4gWM4qbHz2ilJRTm9jFpzlgHDbrKFaYGvvsQxr6zIxezR1ZZyc15eN3XmlwkDOwbg==" saltValue="/LfX1nPoGH00gxdqio1vyQ==" spinCount="100000" sheet="1" objects="1" scenarios="1"/>
  <mergeCells count="3">
    <mergeCell ref="B3:F3"/>
    <mergeCell ref="K18:V18"/>
    <mergeCell ref="W18:AG18"/>
  </mergeCells>
  <hyperlinks>
    <hyperlink ref="B3" location="HL_Home" tooltip="Go to Table of Contents" display="HL_Home" xr:uid="{00000000-0004-0000-1100-000000000000}"/>
  </hyperlinks>
  <pageMargins left="0.7" right="0.7" top="0.75" bottom="0.75" header="0.3" footer="0.3"/>
  <pageSetup paperSize="9" orientation="portrait" r:id="rId1"/>
  <headerFooter>
    <oddHeader>&amp;C&amp;"Calibri"&amp;12&amp;KFF0000 OFFICIAL&amp;1#_x000D_&amp;"Arial"&amp;8&amp;K000000&amp;B&amp;"Arial"&amp;12&amp;Kff0000​‌OFFICIAL‌​</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2C694-01D6-4C5F-A4CD-734D0BBC8BF9}">
  <sheetPr codeName="Sheet8"/>
  <dimension ref="A1:N178"/>
  <sheetViews>
    <sheetView zoomScaleNormal="100" workbookViewId="0">
      <pane xSplit="1" ySplit="8" topLeftCell="B104" activePane="bottomRight" state="frozen"/>
      <selection pane="topRight" activeCell="B1" sqref="B1"/>
      <selection pane="bottomLeft" activeCell="A9" sqref="A9"/>
      <selection pane="bottomRight" activeCell="D107" sqref="D107"/>
    </sheetView>
  </sheetViews>
  <sheetFormatPr defaultColWidth="0" defaultRowHeight="11.25" zeroHeight="1"/>
  <cols>
    <col min="1" max="1" width="11.1640625" style="2007" customWidth="1"/>
    <col min="2" max="2" width="78.5" style="2007" customWidth="1"/>
    <col min="3" max="3" width="17" style="2007" bestFit="1" customWidth="1"/>
    <col min="4" max="4" width="16" style="2008" customWidth="1"/>
    <col min="5" max="9" width="16" style="2007" customWidth="1"/>
    <col min="10" max="10" width="6.6640625" style="2007" customWidth="1"/>
    <col min="11" max="14" width="0" style="2007" hidden="1" customWidth="1"/>
    <col min="15" max="16384" width="10.6640625" style="2007" hidden="1"/>
  </cols>
  <sheetData>
    <row r="1" spans="2:10"/>
    <row r="2" spans="2:10" ht="25.5">
      <c r="B2" s="2022" t="s">
        <v>1195</v>
      </c>
      <c r="C2" s="2009"/>
      <c r="D2" s="2010"/>
      <c r="E2" s="2011"/>
      <c r="F2" s="2012"/>
      <c r="G2" s="2012"/>
      <c r="H2" s="2012"/>
      <c r="I2" s="2012"/>
      <c r="J2" s="2012"/>
    </row>
    <row r="3" spans="2:10" ht="12.75">
      <c r="B3" s="2011"/>
      <c r="C3" s="2011"/>
      <c r="D3" s="2010"/>
      <c r="E3" s="2011"/>
      <c r="F3" s="2012"/>
      <c r="G3" s="2012"/>
      <c r="H3" s="2012"/>
      <c r="I3" s="2012"/>
      <c r="J3" s="2012"/>
    </row>
    <row r="4" spans="2:10" ht="12.75">
      <c r="B4" s="2307" t="str">
        <f>"From "&amp;E7&amp;": variable water, wastewater, tradewaste charges and non-residential waterways and drainage inflation adjusted prices are rounded down to 4 decimal places. All other prices are rounded down to 2 decimal places. Inflation is rounded to 6 decimal places"</f>
        <v>From Prices: variable water, wastewater, tradewaste charges and non-residential waterways and drainage inflation adjusted prices are rounded down to 4 decimal places. All other prices are rounded down to 2 decimal places. Inflation is rounded to 6 decimal places</v>
      </c>
      <c r="C4" s="2307"/>
      <c r="D4" s="2307"/>
      <c r="E4" s="2307"/>
      <c r="F4" s="2307"/>
      <c r="G4" s="2307"/>
      <c r="H4" s="2307"/>
      <c r="I4" s="2307"/>
      <c r="J4" s="2012"/>
    </row>
    <row r="5" spans="2:10" ht="12.75">
      <c r="B5" s="2307"/>
      <c r="C5" s="2307"/>
      <c r="D5" s="2307"/>
      <c r="E5" s="2307"/>
      <c r="F5" s="2307"/>
      <c r="G5" s="2307"/>
      <c r="H5" s="2307"/>
      <c r="I5" s="2307"/>
      <c r="J5" s="2012"/>
    </row>
    <row r="6" spans="2:10" ht="12.75">
      <c r="B6" s="2013"/>
      <c r="C6" s="2013"/>
      <c r="D6" s="2010"/>
      <c r="E6" s="2014"/>
      <c r="F6" s="2012"/>
      <c r="G6" s="2012"/>
      <c r="H6" s="2012"/>
      <c r="I6" s="2012"/>
      <c r="J6" s="2012"/>
    </row>
    <row r="7" spans="2:10" ht="12.75">
      <c r="B7" s="2018" t="s">
        <v>1113</v>
      </c>
      <c r="C7" s="2019" t="s">
        <v>219</v>
      </c>
      <c r="D7" s="2020" t="s">
        <v>1187</v>
      </c>
      <c r="E7" s="2020" t="s">
        <v>1189</v>
      </c>
      <c r="F7" s="2020" t="s">
        <v>1204</v>
      </c>
      <c r="G7" s="2020" t="s">
        <v>1205</v>
      </c>
      <c r="H7" s="2020" t="s">
        <v>1206</v>
      </c>
      <c r="I7" s="2020" t="s">
        <v>1207</v>
      </c>
    </row>
    <row r="8" spans="2:10" ht="15" customHeight="1">
      <c r="B8" s="2018"/>
      <c r="C8" s="2019"/>
      <c r="D8" s="2021" t="s">
        <v>1188</v>
      </c>
      <c r="E8" s="2020" t="s">
        <v>1190</v>
      </c>
      <c r="F8" s="2020" t="s">
        <v>1191</v>
      </c>
      <c r="G8" s="2020" t="s">
        <v>1192</v>
      </c>
      <c r="H8" s="2020" t="s">
        <v>1193</v>
      </c>
      <c r="I8" s="2020" t="s">
        <v>1194</v>
      </c>
    </row>
    <row r="9" spans="2:10" ht="15" customHeight="1">
      <c r="B9" s="2039"/>
      <c r="C9" s="2040"/>
      <c r="D9" s="2041"/>
      <c r="E9" s="2042"/>
      <c r="F9" s="2042"/>
      <c r="G9" s="2042"/>
      <c r="H9" s="2042"/>
      <c r="I9" s="2042"/>
    </row>
    <row r="10" spans="2:10" ht="15" customHeight="1">
      <c r="B10" s="2043" t="s">
        <v>1209</v>
      </c>
      <c r="C10" s="2044"/>
      <c r="D10" s="2045"/>
      <c r="E10" s="2046"/>
      <c r="F10" s="2042"/>
      <c r="G10" s="2042"/>
      <c r="H10" s="2042"/>
      <c r="I10" s="2042"/>
    </row>
    <row r="11" spans="2:10" ht="15" customHeight="1">
      <c r="C11" s="2015"/>
    </row>
    <row r="12" spans="2:10" ht="15" customHeight="1">
      <c r="B12" s="2131" t="s">
        <v>1114</v>
      </c>
      <c r="C12" s="2015"/>
    </row>
    <row r="13" spans="2:10" ht="15" customHeight="1">
      <c r="B13" s="2132" t="s">
        <v>1115</v>
      </c>
      <c r="C13" s="2047" t="s">
        <v>320</v>
      </c>
      <c r="D13" s="2048">
        <f>RevenuePriceCap_FO!X66</f>
        <v>2.9677342499999999</v>
      </c>
      <c r="E13" s="2079" cm="1">
        <f t="array" ref="E13">IF(ISERROR(IF(C13="Fixed",ROUNDDOWN(CPI*D13,2),IF(C13="Variable",ROUNDDOWN(CPI*D13,4),ROUND(CPI*D13,4)))),D13,IF(C13="Fixed",ROUNDDOWN(CPI*D13,2),IF(C13="Variable",ROUNDDOWN(CPI*D13,4),ROUND(CPI*D13,4))))</f>
        <v>2.9676999999999998</v>
      </c>
      <c r="F13" s="2201">
        <f>RevenuePriceCap_FO!BI66</f>
        <v>2.0959676561336238E-2</v>
      </c>
      <c r="G13" s="2201">
        <f>RevenuePriceCap_FO!BJ66</f>
        <v>2.0911490898985807E-2</v>
      </c>
      <c r="H13" s="2201">
        <f>RevenuePriceCap_FO!BK66</f>
        <v>2.0925484858795418E-2</v>
      </c>
      <c r="I13" s="2201">
        <f>RevenuePriceCap_FO!BL66</f>
        <v>2.0929845025828842E-2</v>
      </c>
    </row>
    <row r="14" spans="2:10" ht="15" customHeight="1">
      <c r="B14" s="2132" t="s">
        <v>1116</v>
      </c>
      <c r="C14" s="2047" t="s">
        <v>320</v>
      </c>
      <c r="D14" s="2197">
        <f>RevenuePriceCap_FO!X69</f>
        <v>1.2206895</v>
      </c>
      <c r="E14" s="2079" cm="1">
        <f t="array" ref="E14">IF(ISERROR(IF(C14="Fixed",ROUNDDOWN(CPI*D14,2),IF(C14="Variable",ROUNDDOWN(CPI*D14,4),ROUND(CPI*D14,4)))),D14,IF(C14="Fixed",ROUNDDOWN(CPI*D14,2),IF(C14="Variable",ROUNDDOWN(CPI*D14,4),ROUND(CPI*D14,4))))</f>
        <v>1.2205999999999999</v>
      </c>
      <c r="F14" s="2201">
        <f>RevenuePriceCap_FO!BI69</f>
        <v>5.2499999999999991E-2</v>
      </c>
      <c r="G14" s="2201">
        <f>RevenuePriceCap_FO!BJ69</f>
        <v>5.2499999999999991E-2</v>
      </c>
      <c r="H14" s="2201">
        <f>RevenuePriceCap_FO!BK69</f>
        <v>5.2499999999999991E-2</v>
      </c>
      <c r="I14" s="2201">
        <f>RevenuePriceCap_FO!BL69</f>
        <v>5.2499999999999991E-2</v>
      </c>
    </row>
    <row r="15" spans="2:10" ht="15" customHeight="1">
      <c r="B15" s="2049"/>
      <c r="C15" s="2049"/>
      <c r="D15" s="2050"/>
      <c r="E15" s="2008"/>
      <c r="F15" s="2055"/>
      <c r="G15" s="2055"/>
      <c r="H15" s="2055"/>
      <c r="I15" s="2056"/>
    </row>
    <row r="16" spans="2:10" ht="15" customHeight="1">
      <c r="B16" s="2131" t="s">
        <v>1117</v>
      </c>
      <c r="C16" s="2049"/>
      <c r="D16" s="2050"/>
      <c r="E16" s="2008"/>
      <c r="F16" s="2055"/>
      <c r="G16" s="2055"/>
      <c r="H16" s="2055"/>
      <c r="I16" s="2056"/>
    </row>
    <row r="17" spans="2:9" ht="24" customHeight="1">
      <c r="B17" s="2131" t="s">
        <v>1118</v>
      </c>
      <c r="C17" s="2049"/>
      <c r="D17" s="2050"/>
      <c r="E17" s="2008"/>
      <c r="F17" s="2055"/>
      <c r="G17" s="2055"/>
      <c r="H17" s="2055"/>
      <c r="I17" s="2056"/>
    </row>
    <row r="18" spans="2:9" ht="15" customHeight="1">
      <c r="B18" s="2132" t="s">
        <v>1119</v>
      </c>
      <c r="C18" s="2047" t="s">
        <v>319</v>
      </c>
      <c r="D18" s="2198">
        <f>RevenuePriceCap_FO!X72</f>
        <v>270.41399600261997</v>
      </c>
      <c r="E18" s="2079" cm="1">
        <f t="array" ref="E18">IF(ISERROR(IF(C18="Fixed",ROUNDDOWN(CPI*D18,2),IF(C18="Variable",ROUNDDOWN(CPI*D18,4),ROUND(CPI*D18,4)))),D18,IF(C18="Fixed",ROUNDDOWN(CPI*D18,2),IF(C18="Variable",ROUNDDOWN(CPI*D18,4),ROUND(CPI*D18,4))))</f>
        <v>270.41000000000003</v>
      </c>
      <c r="F18" s="2201">
        <f>RevenuePriceCap_FO!BI72</f>
        <v>9.0820659494730505E-2</v>
      </c>
      <c r="G18" s="2201">
        <f>RevenuePriceCap_FO!BJ72</f>
        <v>8.8101967943136295E-2</v>
      </c>
      <c r="H18" s="2201">
        <f>RevenuePriceCap_FO!BK72</f>
        <v>8.5653785126823756E-2</v>
      </c>
      <c r="I18" s="2201">
        <f>RevenuePriceCap_FO!BL72</f>
        <v>8.344115748762615E-2</v>
      </c>
    </row>
    <row r="19" spans="2:9" ht="15" customHeight="1">
      <c r="B19" s="2132" t="s">
        <v>1120</v>
      </c>
      <c r="C19" s="2047" t="s">
        <v>319</v>
      </c>
      <c r="D19" s="2198">
        <f>RevenuePriceCap_FO!X75</f>
        <v>417.75347100261996</v>
      </c>
      <c r="E19" s="2079" cm="1">
        <f t="array" ref="E19">IF(ISERROR(IF(C19="Fixed",ROUNDDOWN(CPI*D19,2),IF(C19="Variable",ROUNDDOWN(CPI*D19,4),ROUND(CPI*D19,4)))),D19,IF(C19="Fixed",ROUNDDOWN(CPI*D19,2),IF(C19="Variable",ROUNDDOWN(CPI*D19,4),ROUND(CPI*D19,4))))</f>
        <v>417.75</v>
      </c>
      <c r="F19" s="2201">
        <f>RevenuePriceCap_FO!BI75</f>
        <v>7.7305162333075828E-2</v>
      </c>
      <c r="G19" s="2201">
        <f>RevenuePriceCap_FO!BJ75</f>
        <v>7.5834457979265135E-2</v>
      </c>
      <c r="H19" s="2201">
        <f>RevenuePriceCap_FO!BK75</f>
        <v>7.4477636019404603E-2</v>
      </c>
      <c r="I19" s="2201">
        <f>RevenuePriceCap_FO!BL75</f>
        <v>7.322422910519788E-2</v>
      </c>
    </row>
    <row r="20" spans="2:9" ht="15" customHeight="1">
      <c r="B20" s="2132" t="s">
        <v>1121</v>
      </c>
      <c r="C20" s="2047" t="s">
        <v>319</v>
      </c>
      <c r="D20" s="2198">
        <f>RevenuePriceCap_FO!X78</f>
        <v>679.01554600261989</v>
      </c>
      <c r="E20" s="2079" cm="1">
        <f t="array" ref="E20">IF(ISERROR(IF(C20="Fixed",ROUNDDOWN(CPI*D20,2),IF(C20="Variable",ROUNDDOWN(CPI*D20,4),ROUND(CPI*D20,4)))),D20,IF(C20="Fixed",ROUNDDOWN(CPI*D20,2),IF(C20="Variable",ROUNDDOWN(CPI*D20,4),ROUND(CPI*D20,4))))</f>
        <v>679.01</v>
      </c>
      <c r="F20" s="2201">
        <f>RevenuePriceCap_FO!BI78</f>
        <v>6.7760979994390125E-2</v>
      </c>
      <c r="G20" s="2201">
        <f>RevenuePriceCap_FO!BJ78</f>
        <v>6.6984475108689434E-2</v>
      </c>
      <c r="H20" s="2201">
        <f>RevenuePriceCap_FO!BK78</f>
        <v>6.6255404650414684E-2</v>
      </c>
      <c r="I20" s="2201">
        <f>RevenuePriceCap_FO!BL78</f>
        <v>6.5570942796429055E-2</v>
      </c>
    </row>
    <row r="21" spans="2:9" ht="15" customHeight="1">
      <c r="B21" s="2132" t="s">
        <v>1122</v>
      </c>
      <c r="C21" s="2047" t="s">
        <v>319</v>
      </c>
      <c r="D21" s="2198">
        <f>RevenuePriceCap_FO!X81</f>
        <v>1056.1578710026199</v>
      </c>
      <c r="E21" s="2079" cm="1">
        <f t="array" ref="E21">IF(ISERROR(IF(C21="Fixed",ROUNDDOWN(CPI*D21,2),IF(C21="Variable",ROUNDDOWN(CPI*D21,4),ROUND(CPI*D21,4)))),D21,IF(C21="Fixed",ROUNDDOWN(CPI*D21,2),IF(C21="Variable",ROUNDDOWN(CPI*D21,4),ROUND(CPI*D21,4))))</f>
        <v>1056.1500000000001</v>
      </c>
      <c r="F21" s="2201">
        <f>RevenuePriceCap_FO!BI81</f>
        <v>6.2311452385985344E-2</v>
      </c>
      <c r="G21" s="2201">
        <f>RevenuePriceCap_FO!BJ81</f>
        <v>6.1859999422218426E-2</v>
      </c>
      <c r="H21" s="2201">
        <f>RevenuePriceCap_FO!BK81</f>
        <v>6.1431764634217068E-2</v>
      </c>
      <c r="I21" s="2201">
        <f>RevenuePriceCap_FO!BL81</f>
        <v>6.1025894977971173E-2</v>
      </c>
    </row>
    <row r="22" spans="2:9" ht="15" customHeight="1">
      <c r="B22" s="2132" t="s">
        <v>1123</v>
      </c>
      <c r="C22" s="2047" t="s">
        <v>319</v>
      </c>
      <c r="D22" s="2198">
        <f>RevenuePriceCap_FO!X84</f>
        <v>1645.4526210026199</v>
      </c>
      <c r="E22" s="2079" cm="1">
        <f t="array" ref="E22">IF(ISERROR(IF(C22="Fixed",ROUNDDOWN(CPI*D22,2),IF(C22="Variable",ROUNDDOWN(CPI*D22,4),ROUND(CPI*D22,4)))),D22,IF(C22="Fixed",ROUNDDOWN(CPI*D22,2),IF(C22="Variable",ROUNDDOWN(CPI*D22,4),ROUND(CPI*D22,4))))</f>
        <v>1645.45</v>
      </c>
      <c r="F22" s="2201">
        <f>RevenuePriceCap_FO!BI84</f>
        <v>5.8797624453696962E-2</v>
      </c>
      <c r="G22" s="2201">
        <f>RevenuePriceCap_FO!BJ84</f>
        <v>5.8527790994720386E-2</v>
      </c>
      <c r="H22" s="2201">
        <f>RevenuePriceCap_FO!BK84</f>
        <v>5.8270117142448896E-2</v>
      </c>
      <c r="I22" s="2201">
        <f>RevenuePriceCap_FO!BL84</f>
        <v>5.8024371625219562E-2</v>
      </c>
    </row>
    <row r="23" spans="2:9" ht="15" customHeight="1">
      <c r="B23" s="2132" t="s">
        <v>1124</v>
      </c>
      <c r="C23" s="2047" t="s">
        <v>319</v>
      </c>
      <c r="D23" s="2198">
        <f>RevenuePriceCap_FO!X87</f>
        <v>4199.1965210026201</v>
      </c>
      <c r="E23" s="2079" cm="1">
        <f t="array" ref="E23">IF(ISERROR(IF(C23="Fixed",ROUNDDOWN(CPI*D23,2),IF(C23="Variable",ROUNDDOWN(CPI*D23,4),ROUND(CPI*D23,4)))),D23,IF(C23="Fixed",ROUNDDOWN(CPI*D23,2),IF(C23="Variable",ROUNDDOWN(CPI*D23,4),ROUND(CPI*D23,4))))</f>
        <v>4199.1899999999996</v>
      </c>
      <c r="F23" s="2201">
        <f>RevenuePriceCap_FO!BI87</f>
        <v>5.4967720339259341E-2</v>
      </c>
      <c r="G23" s="2201">
        <f>RevenuePriceCap_FO!BJ87</f>
        <v>5.4870561102718263E-2</v>
      </c>
      <c r="H23" s="2201">
        <f>RevenuePriceCap_FO!BK87</f>
        <v>5.4777092595194032E-2</v>
      </c>
      <c r="I23" s="2201">
        <f>RevenuePriceCap_FO!BL87</f>
        <v>5.4687332422437063E-2</v>
      </c>
    </row>
    <row r="24" spans="2:9" ht="15" customHeight="1">
      <c r="B24" s="2132" t="s">
        <v>1125</v>
      </c>
      <c r="C24" s="2047" t="s">
        <v>319</v>
      </c>
      <c r="D24" s="2198">
        <f>RevenuePriceCap_FO!X90</f>
        <v>6556.4176210026199</v>
      </c>
      <c r="E24" s="2079" cm="1">
        <f t="array" ref="E24">IF(ISERROR(IF(C24="Fixed",ROUNDDOWN(CPI*D24,2),IF(C24="Variable",ROUNDDOWN(CPI*D24,4),ROUND(CPI*D24,4)))),D24,IF(C24="Fixed",ROUNDDOWN(CPI*D24,2),IF(C24="Variable",ROUNDDOWN(CPI*D24,4),ROUND(CPI*D24,4))))</f>
        <v>6556.41</v>
      </c>
      <c r="F24" s="2201">
        <f>RevenuePriceCap_FO!BI90</f>
        <v>5.4080503754097675E-2</v>
      </c>
      <c r="G24" s="2201">
        <f>RevenuePriceCap_FO!BJ90</f>
        <v>5.4019553992037395E-2</v>
      </c>
      <c r="H24" s="2201">
        <f>RevenuePriceCap_FO!BK90</f>
        <v>5.3960818221247209E-2</v>
      </c>
      <c r="I24" s="2201">
        <f>RevenuePriceCap_FO!BL90</f>
        <v>5.3904321355211282E-2</v>
      </c>
    </row>
    <row r="25" spans="2:9" ht="15" customHeight="1">
      <c r="B25" s="2132" t="s">
        <v>1126</v>
      </c>
      <c r="C25" s="2047" t="s">
        <v>319</v>
      </c>
      <c r="D25" s="2198">
        <f>RevenuePriceCap_FO!X93</f>
        <v>14741.278596002619</v>
      </c>
      <c r="E25" s="2079" cm="1">
        <f t="array" ref="E25">IF(ISERROR(IF(C25="Fixed",ROUNDDOWN(CPI*D25,2),IF(C25="Variable",ROUNDDOWN(CPI*D25,4),ROUND(CPI*D25,4)))),D25,IF(C25="Fixed",ROUNDDOWN(CPI*D25,2),IF(C25="Variable",ROUNDDOWN(CPI*D25,4),ROUND(CPI*D25,4))))</f>
        <v>14741.27</v>
      </c>
      <c r="F25" s="2201">
        <f>RevenuePriceCap_FO!BI93</f>
        <v>5.3202954129517366E-2</v>
      </c>
      <c r="G25" s="2201">
        <f>RevenuePriceCap_FO!BJ93</f>
        <v>5.3176408883590209E-2</v>
      </c>
      <c r="H25" s="2201">
        <f>RevenuePriceCap_FO!BK93</f>
        <v>5.3150784034228682E-2</v>
      </c>
      <c r="I25" s="2201">
        <f>RevenuePriceCap_FO!BL93</f>
        <v>5.3126096279631607E-2</v>
      </c>
    </row>
    <row r="26" spans="2:9" ht="15" customHeight="1">
      <c r="B26" s="2132" t="s">
        <v>1127</v>
      </c>
      <c r="C26" s="2047" t="s">
        <v>319</v>
      </c>
      <c r="D26" s="2198">
        <f>RevenuePriceCap_FO!X96</f>
        <v>26200.214471002619</v>
      </c>
      <c r="E26" s="2079" cm="1">
        <f t="array" ref="E26">IF(ISERROR(IF(C26="Fixed",ROUNDDOWN(CPI*D26,2),IF(C26="Variable",ROUNDDOWN(CPI*D26,4),ROUND(CPI*D26,4)))),D26,IF(C26="Fixed",ROUNDDOWN(CPI*D26,2),IF(C26="Variable",ROUNDDOWN(CPI*D26,4),ROUND(CPI*D26,4))))</f>
        <v>26200.21</v>
      </c>
      <c r="F26" s="2201">
        <f>RevenuePriceCap_FO!BI96</f>
        <v>5.2895509841146326E-2</v>
      </c>
      <c r="G26" s="2201">
        <f>RevenuePriceCap_FO!BJ96</f>
        <v>5.2880685561485175E-2</v>
      </c>
      <c r="H26" s="2201">
        <f>RevenuePriceCap_FO!BK96</f>
        <v>5.2866366668947729E-2</v>
      </c>
      <c r="I26" s="2201">
        <f>RevenuePriceCap_FO!BL96</f>
        <v>5.2852563616209602E-2</v>
      </c>
    </row>
    <row r="27" spans="2:9" ht="15" customHeight="1">
      <c r="B27" s="2132" t="s">
        <v>1128</v>
      </c>
      <c r="C27" s="2047" t="s">
        <v>319</v>
      </c>
      <c r="D27" s="2198">
        <f>RevenuePriceCap_FO!X99</f>
        <v>40932.983171002626</v>
      </c>
      <c r="E27" s="2079" cm="1">
        <f t="array" ref="E27">IF(ISERROR(IF(C27="Fixed",ROUNDDOWN(CPI*D27,2),IF(C27="Variable",ROUNDDOWN(CPI*D27,4),ROUND(CPI*D27,4)))),D27,IF(C27="Fixed",ROUNDDOWN(CPI*D27,2),IF(C27="Variable",ROUNDDOWN(CPI*D27,4),ROUND(CPI*D27,4))))</f>
        <v>40932.980000000003</v>
      </c>
      <c r="F27" s="2201">
        <f>RevenuePriceCap_FO!BI99</f>
        <v>5.2753156302342674E-2</v>
      </c>
      <c r="G27" s="2201">
        <f>RevenuePriceCap_FO!BJ99</f>
        <v>5.2743700587563724E-2</v>
      </c>
      <c r="H27" s="2201">
        <f>RevenuePriceCap_FO!BK99</f>
        <v>5.2734564688792007E-2</v>
      </c>
      <c r="I27" s="2201">
        <f>RevenuePriceCap_FO!BL99</f>
        <v>5.2725755604444924E-2</v>
      </c>
    </row>
    <row r="28" spans="2:9" ht="15" customHeight="1">
      <c r="B28" s="2132" t="s">
        <v>1129</v>
      </c>
      <c r="C28" s="2047" t="s">
        <v>319</v>
      </c>
      <c r="D28" s="2198">
        <f>RevenuePriceCap_FO!X102</f>
        <v>58939.774146002623</v>
      </c>
      <c r="E28" s="2079" cm="1">
        <f t="array" ref="E28">IF(ISERROR(IF(C28="Fixed",ROUNDDOWN(CPI*D28,2),IF(C28="Variable",ROUNDDOWN(CPI*D28,4),ROUND(CPI*D28,4)))),D28,IF(C28="Fixed",ROUNDDOWN(CPI*D28,2),IF(C28="Variable",ROUNDDOWN(CPI*D28,4),ROUND(CPI*D28,4))))</f>
        <v>58939.77</v>
      </c>
      <c r="F28" s="2201">
        <f>RevenuePriceCap_FO!BI102</f>
        <v>5.2675814088424477E-2</v>
      </c>
      <c r="G28" s="2201">
        <f>RevenuePriceCap_FO!BJ102</f>
        <v>5.2669259640136357E-2</v>
      </c>
      <c r="H28" s="2201">
        <f>RevenuePriceCap_FO!BK102</f>
        <v>5.2662925919939152E-2</v>
      </c>
      <c r="I28" s="2201">
        <f>RevenuePriceCap_FO!BL102</f>
        <v>5.2656817903320219E-2</v>
      </c>
    </row>
    <row r="29" spans="2:9" ht="15" customHeight="1">
      <c r="B29" s="2132" t="s">
        <v>1130</v>
      </c>
      <c r="C29" s="2047" t="s">
        <v>319</v>
      </c>
      <c r="D29" s="2198">
        <f>RevenuePriceCap_FO!X105</f>
        <v>405.62099400392992</v>
      </c>
      <c r="E29" s="2079" cm="1">
        <f t="array" ref="E29">IF(ISERROR(IF(C29="Fixed",ROUNDDOWN(CPI*D29,2),IF(C29="Variable",ROUNDDOWN(CPI*D29,4),ROUND(CPI*D29,4)))),D29,IF(C29="Fixed",ROUNDDOWN(CPI*D29,2),IF(C29="Variable",ROUNDDOWN(CPI*D29,4),ROUND(CPI*D29,4))))</f>
        <v>405.62</v>
      </c>
      <c r="F29" s="2201">
        <f>RevenuePriceCap_FO!BI105</f>
        <v>9.0820659494730727E-2</v>
      </c>
      <c r="G29" s="2201">
        <f>RevenuePriceCap_FO!BJ105</f>
        <v>8.8101967943136295E-2</v>
      </c>
      <c r="H29" s="2201">
        <f>RevenuePriceCap_FO!BK105</f>
        <v>8.5653785126823978E-2</v>
      </c>
      <c r="I29" s="2201">
        <f>RevenuePriceCap_FO!BL105</f>
        <v>8.344115748762615E-2</v>
      </c>
    </row>
    <row r="30" spans="2:9" ht="15" customHeight="1">
      <c r="B30" s="2049"/>
      <c r="C30" s="2049"/>
      <c r="D30" s="2052" t="s">
        <v>841</v>
      </c>
      <c r="E30" s="2080"/>
      <c r="F30" s="2202"/>
      <c r="G30" s="2202"/>
      <c r="H30" s="2202"/>
      <c r="I30" s="2203"/>
    </row>
    <row r="31" spans="2:9" ht="27.75" customHeight="1">
      <c r="B31" s="2131" t="s">
        <v>1131</v>
      </c>
      <c r="C31" s="2049"/>
      <c r="D31" s="2052" t="s">
        <v>841</v>
      </c>
      <c r="E31" s="2080"/>
      <c r="F31" s="2057"/>
      <c r="G31" s="2057"/>
      <c r="H31" s="2057"/>
      <c r="I31" s="2056"/>
    </row>
    <row r="32" spans="2:9" ht="15" customHeight="1">
      <c r="B32" s="2132" t="s">
        <v>1119</v>
      </c>
      <c r="C32" s="2047" t="s">
        <v>319</v>
      </c>
      <c r="D32" s="2198">
        <f>RevenuePriceCap_FO!X117</f>
        <v>297.45539560288194</v>
      </c>
      <c r="E32" s="2079" cm="1">
        <f t="array" ref="E32">IF(ISERROR(IF(C32="Fixed",ROUNDDOWN(CPI*D32,2),IF(C32="Variable",ROUNDDOWN(CPI*D32,4),ROUND(CPI*D32,4)))),D32,IF(C32="Fixed",ROUNDDOWN(CPI*D32,2),IF(C32="Variable",ROUNDDOWN(CPI*D32,4),ROUND(CPI*D32,4))))</f>
        <v>297.45</v>
      </c>
      <c r="F32" s="2201">
        <f>RevenuePriceCap_FO!BI117</f>
        <v>9.0820659494730949E-2</v>
      </c>
      <c r="G32" s="2201">
        <f>RevenuePriceCap_FO!BJ117</f>
        <v>8.8101967943136295E-2</v>
      </c>
      <c r="H32" s="2201">
        <f>RevenuePriceCap_FO!BK117</f>
        <v>8.5653785126823978E-2</v>
      </c>
      <c r="I32" s="2201">
        <f>RevenuePriceCap_FO!BL117</f>
        <v>8.3441157487626372E-2</v>
      </c>
    </row>
    <row r="33" spans="2:9" ht="15" customHeight="1">
      <c r="B33" s="2132" t="s">
        <v>1120</v>
      </c>
      <c r="C33" s="2047" t="s">
        <v>319</v>
      </c>
      <c r="D33" s="2198">
        <f>RevenuePriceCap_FO!X120</f>
        <v>459.52881810288198</v>
      </c>
      <c r="E33" s="2079" cm="1">
        <f t="array" ref="E33">IF(ISERROR(IF(C33="Fixed",ROUNDDOWN(CPI*D33,2),IF(C33="Variable",ROUNDDOWN(CPI*D33,4),ROUND(CPI*D33,4)))),D33,IF(C33="Fixed",ROUNDDOWN(CPI*D33,2),IF(C33="Variable",ROUNDDOWN(CPI*D33,4),ROUND(CPI*D33,4))))</f>
        <v>459.52</v>
      </c>
      <c r="F33" s="2201">
        <f>RevenuePriceCap_FO!BI120</f>
        <v>7.7305162333075828E-2</v>
      </c>
      <c r="G33" s="2201">
        <f>RevenuePriceCap_FO!BJ120</f>
        <v>7.5834457979265135E-2</v>
      </c>
      <c r="H33" s="2201">
        <f>RevenuePriceCap_FO!BK120</f>
        <v>7.4477636019404825E-2</v>
      </c>
      <c r="I33" s="2201">
        <f>RevenuePriceCap_FO!BL120</f>
        <v>7.3224229105197436E-2</v>
      </c>
    </row>
    <row r="34" spans="2:9" ht="15" customHeight="1">
      <c r="B34" s="2132" t="s">
        <v>1121</v>
      </c>
      <c r="C34" s="2047" t="s">
        <v>319</v>
      </c>
      <c r="D34" s="2198">
        <f>RevenuePriceCap_FO!X123</f>
        <v>746.91710060288187</v>
      </c>
      <c r="E34" s="2079" cm="1">
        <f t="array" ref="E34">IF(ISERROR(IF(C34="Fixed",ROUNDDOWN(CPI*D34,2),IF(C34="Variable",ROUNDDOWN(CPI*D34,4),ROUND(CPI*D34,4)))),D34,IF(C34="Fixed",ROUNDDOWN(CPI*D34,2),IF(C34="Variable",ROUNDDOWN(CPI*D34,4),ROUND(CPI*D34,4))))</f>
        <v>746.91</v>
      </c>
      <c r="F34" s="2201">
        <f>RevenuePriceCap_FO!BI123</f>
        <v>6.7760979994390125E-2</v>
      </c>
      <c r="G34" s="2201">
        <f>RevenuePriceCap_FO!BJ123</f>
        <v>6.6984475108689434E-2</v>
      </c>
      <c r="H34" s="2201">
        <f>RevenuePriceCap_FO!BK123</f>
        <v>6.6255404650414684E-2</v>
      </c>
      <c r="I34" s="2201">
        <f>RevenuePriceCap_FO!BL123</f>
        <v>6.5570942796429055E-2</v>
      </c>
    </row>
    <row r="35" spans="2:9" ht="15" customHeight="1">
      <c r="B35" s="2132" t="s">
        <v>1122</v>
      </c>
      <c r="C35" s="2047" t="s">
        <v>319</v>
      </c>
      <c r="D35" s="2198">
        <f>RevenuePriceCap_FO!X126</f>
        <v>1161.7736581028819</v>
      </c>
      <c r="E35" s="2079" cm="1">
        <f t="array" ref="E35">IF(ISERROR(IF(C35="Fixed",ROUNDDOWN(CPI*D35,2),IF(C35="Variable",ROUNDDOWN(CPI*D35,4),ROUND(CPI*D35,4)))),D35,IF(C35="Fixed",ROUNDDOWN(CPI*D35,2),IF(C35="Variable",ROUNDDOWN(CPI*D35,4),ROUND(CPI*D35,4))))</f>
        <v>1161.77</v>
      </c>
      <c r="F35" s="2201">
        <f>RevenuePriceCap_FO!BI126</f>
        <v>6.2311452385985566E-2</v>
      </c>
      <c r="G35" s="2201">
        <f>RevenuePriceCap_FO!BJ126</f>
        <v>6.185999942221887E-2</v>
      </c>
      <c r="H35" s="2201">
        <f>RevenuePriceCap_FO!BK126</f>
        <v>6.1431764634216846E-2</v>
      </c>
      <c r="I35" s="2201">
        <f>RevenuePriceCap_FO!BL126</f>
        <v>6.1025894977971396E-2</v>
      </c>
    </row>
    <row r="36" spans="2:9" ht="15" customHeight="1">
      <c r="B36" s="2132" t="s">
        <v>1123</v>
      </c>
      <c r="C36" s="2047" t="s">
        <v>319</v>
      </c>
      <c r="D36" s="2198">
        <f>RevenuePriceCap_FO!X129</f>
        <v>1809.9978831028823</v>
      </c>
      <c r="E36" s="2079" cm="1">
        <f t="array" ref="E36">IF(ISERROR(IF(C36="Fixed",ROUNDDOWN(CPI*D36,2),IF(C36="Variable",ROUNDDOWN(CPI*D36,4),ROUND(CPI*D36,4)))),D36,IF(C36="Fixed",ROUNDDOWN(CPI*D36,2),IF(C36="Variable",ROUNDDOWN(CPI*D36,4),ROUND(CPI*D36,4))))</f>
        <v>1809.99</v>
      </c>
      <c r="F36" s="2201">
        <f>RevenuePriceCap_FO!BI129</f>
        <v>5.879762445369674E-2</v>
      </c>
      <c r="G36" s="2201">
        <f>RevenuePriceCap_FO!BJ129</f>
        <v>5.8527790994720386E-2</v>
      </c>
      <c r="H36" s="2201">
        <f>RevenuePriceCap_FO!BK129</f>
        <v>5.8270117142448896E-2</v>
      </c>
      <c r="I36" s="2201">
        <f>RevenuePriceCap_FO!BL129</f>
        <v>5.802437162521934E-2</v>
      </c>
    </row>
    <row r="37" spans="2:9" ht="15" customHeight="1">
      <c r="B37" s="2132" t="s">
        <v>1124</v>
      </c>
      <c r="C37" s="2047" t="s">
        <v>319</v>
      </c>
      <c r="D37" s="2198">
        <f>RevenuePriceCap_FO!X132</f>
        <v>4619.1161731028824</v>
      </c>
      <c r="E37" s="2079" cm="1">
        <f t="array" ref="E37">IF(ISERROR(IF(C37="Fixed",ROUNDDOWN(CPI*D37,2),IF(C37="Variable",ROUNDDOWN(CPI*D37,4),ROUND(CPI*D37,4)))),D37,IF(C37="Fixed",ROUNDDOWN(CPI*D37,2),IF(C37="Variable",ROUNDDOWN(CPI*D37,4),ROUND(CPI*D37,4))))</f>
        <v>4619.1099999999997</v>
      </c>
      <c r="F37" s="2201">
        <f>RevenuePriceCap_FO!BI132</f>
        <v>5.4967720339259563E-2</v>
      </c>
      <c r="G37" s="2201">
        <f>RevenuePriceCap_FO!BJ132</f>
        <v>5.4870561102718263E-2</v>
      </c>
      <c r="H37" s="2201">
        <f>RevenuePriceCap_FO!BK132</f>
        <v>5.4777092595194032E-2</v>
      </c>
      <c r="I37" s="2201">
        <f>RevenuePriceCap_FO!BL132</f>
        <v>5.4687332422436841E-2</v>
      </c>
    </row>
    <row r="38" spans="2:9" ht="15" customHeight="1">
      <c r="B38" s="2132" t="s">
        <v>1125</v>
      </c>
      <c r="C38" s="2047" t="s">
        <v>319</v>
      </c>
      <c r="D38" s="2198">
        <f>RevenuePriceCap_FO!X135</f>
        <v>7212.0593831028827</v>
      </c>
      <c r="E38" s="2079" cm="1">
        <f t="array" ref="E38">IF(ISERROR(IF(C38="Fixed",ROUNDDOWN(CPI*D38,2),IF(C38="Variable",ROUNDDOWN(CPI*D38,4),ROUND(CPI*D38,4)))),D38,IF(C38="Fixed",ROUNDDOWN(CPI*D38,2),IF(C38="Variable",ROUNDDOWN(CPI*D38,4),ROUND(CPI*D38,4))))</f>
        <v>7212.05</v>
      </c>
      <c r="F38" s="2201">
        <f>RevenuePriceCap_FO!BI135</f>
        <v>5.4080503754097453E-2</v>
      </c>
      <c r="G38" s="2201">
        <f>RevenuePriceCap_FO!BJ135</f>
        <v>5.4019553992037617E-2</v>
      </c>
      <c r="H38" s="2201">
        <f>RevenuePriceCap_FO!BK135</f>
        <v>5.3960818221247431E-2</v>
      </c>
      <c r="I38" s="2201">
        <f>RevenuePriceCap_FO!BL135</f>
        <v>5.390432135521106E-2</v>
      </c>
    </row>
    <row r="39" spans="2:9" ht="15" customHeight="1">
      <c r="B39" s="2132" t="s">
        <v>1126</v>
      </c>
      <c r="C39" s="2047" t="s">
        <v>319</v>
      </c>
      <c r="D39" s="2198">
        <f>RevenuePriceCap_FO!X138</f>
        <v>16215.406455602882</v>
      </c>
      <c r="E39" s="2079" cm="1">
        <f t="array" ref="E39">IF(ISERROR(IF(C39="Fixed",ROUNDDOWN(CPI*D39,2),IF(C39="Variable",ROUNDDOWN(CPI*D39,4),ROUND(CPI*D39,4)))),D39,IF(C39="Fixed",ROUNDDOWN(CPI*D39,2),IF(C39="Variable",ROUNDDOWN(CPI*D39,4),ROUND(CPI*D39,4))))</f>
        <v>16215.4</v>
      </c>
      <c r="F39" s="2201">
        <f>RevenuePriceCap_FO!BI138</f>
        <v>5.3202954129517366E-2</v>
      </c>
      <c r="G39" s="2201">
        <f>RevenuePriceCap_FO!BJ138</f>
        <v>5.3176408883589987E-2</v>
      </c>
      <c r="H39" s="2201">
        <f>RevenuePriceCap_FO!BK138</f>
        <v>5.3150784034228904E-2</v>
      </c>
      <c r="I39" s="2201">
        <f>RevenuePriceCap_FO!BL138</f>
        <v>5.3126096279631385E-2</v>
      </c>
    </row>
    <row r="40" spans="2:9" ht="15" customHeight="1">
      <c r="B40" s="2132" t="s">
        <v>1127</v>
      </c>
      <c r="C40" s="2047" t="s">
        <v>319</v>
      </c>
      <c r="D40" s="2198">
        <v>28820.235918102884</v>
      </c>
      <c r="E40" s="2079" cm="1">
        <f t="array" ref="E40">IF(ISERROR(IF(C40="Fixed",ROUNDDOWN(CPI*D40,2),IF(C40="Variable",ROUNDDOWN(CPI*D40,4),ROUND(CPI*D40,4)))),D40,IF(C40="Fixed",ROUNDDOWN(CPI*D40,2),IF(C40="Variable",ROUNDDOWN(CPI*D40,4),ROUND(CPI*D40,4))))</f>
        <v>28820.23</v>
      </c>
      <c r="F40" s="2201">
        <f>F26</f>
        <v>5.2895509841146326E-2</v>
      </c>
      <c r="G40" s="2201">
        <f>G26</f>
        <v>5.2880685561485175E-2</v>
      </c>
      <c r="H40" s="2201">
        <f>H26</f>
        <v>5.2866366668947729E-2</v>
      </c>
      <c r="I40" s="2201">
        <f>I26</f>
        <v>5.2852563616209602E-2</v>
      </c>
    </row>
    <row r="41" spans="2:9" ht="15" customHeight="1">
      <c r="B41" s="2132" t="s">
        <v>1128</v>
      </c>
      <c r="C41" s="2047" t="s">
        <v>319</v>
      </c>
      <c r="D41" s="2198">
        <v>45026.28148810289</v>
      </c>
      <c r="E41" s="2079" cm="1">
        <f t="array" ref="E41">IF(ISERROR(IF(C41="Fixed",ROUNDDOWN(CPI*D41,2),IF(C41="Variable",ROUNDDOWN(CPI*D41,4),ROUND(CPI*D41,4)))),D41,IF(C41="Fixed",ROUNDDOWN(CPI*D41,2),IF(C41="Variable",ROUNDDOWN(CPI*D41,4),ROUND(CPI*D41,4))))</f>
        <v>45026.28</v>
      </c>
      <c r="F41" s="2201">
        <f t="shared" ref="F41:I42" si="0">F27</f>
        <v>5.2753156302342674E-2</v>
      </c>
      <c r="G41" s="2201">
        <f t="shared" si="0"/>
        <v>5.2743700587563724E-2</v>
      </c>
      <c r="H41" s="2201">
        <f t="shared" si="0"/>
        <v>5.2734564688792007E-2</v>
      </c>
      <c r="I41" s="2201">
        <f t="shared" si="0"/>
        <v>5.2725755604444924E-2</v>
      </c>
    </row>
    <row r="42" spans="2:9" ht="15" customHeight="1">
      <c r="B42" s="2132" t="s">
        <v>1129</v>
      </c>
      <c r="C42" s="2047" t="s">
        <v>319</v>
      </c>
      <c r="D42" s="2198">
        <v>64833.75156060289</v>
      </c>
      <c r="E42" s="2079" cm="1">
        <f t="array" ref="E42">IF(ISERROR(IF(C42="Fixed",ROUNDDOWN(CPI*D42,2),IF(C42="Variable",ROUNDDOWN(CPI*D42,4),ROUND(CPI*D42,4)))),D42,IF(C42="Fixed",ROUNDDOWN(CPI*D42,2),IF(C42="Variable",ROUNDDOWN(CPI*D42,4),ROUND(CPI*D42,4))))</f>
        <v>64833.75</v>
      </c>
      <c r="F42" s="2201">
        <f t="shared" si="0"/>
        <v>5.2675814088424477E-2</v>
      </c>
      <c r="G42" s="2201">
        <f t="shared" si="0"/>
        <v>5.2669259640136357E-2</v>
      </c>
      <c r="H42" s="2201">
        <f t="shared" si="0"/>
        <v>5.2662925919939152E-2</v>
      </c>
      <c r="I42" s="2201">
        <f t="shared" si="0"/>
        <v>5.2656817903320219E-2</v>
      </c>
    </row>
    <row r="43" spans="2:9" ht="15" customHeight="1">
      <c r="B43" s="2059"/>
      <c r="C43" s="2052"/>
      <c r="D43" s="2052"/>
      <c r="E43" s="2080"/>
      <c r="F43" s="2202"/>
      <c r="G43" s="2202"/>
      <c r="H43" s="2202"/>
      <c r="I43" s="2203"/>
    </row>
    <row r="44" spans="2:9" ht="49.5" customHeight="1">
      <c r="B44" s="2131" t="s">
        <v>1132</v>
      </c>
      <c r="C44" s="2052"/>
      <c r="D44" s="2052"/>
      <c r="E44" s="2080"/>
      <c r="F44" s="2202"/>
      <c r="G44" s="2202"/>
      <c r="H44" s="2202"/>
      <c r="I44" s="2203"/>
    </row>
    <row r="45" spans="2:9" ht="15" customHeight="1">
      <c r="B45" s="2132" t="s">
        <v>1119</v>
      </c>
      <c r="C45" s="2047" t="s">
        <v>319</v>
      </c>
      <c r="D45" s="2198">
        <f>RevenuePriceCap_FO!X141</f>
        <v>324.4967952031439</v>
      </c>
      <c r="E45" s="2079" cm="1">
        <f t="array" ref="E45">IF(ISERROR(IF(C45="Fixed",ROUNDDOWN(CPI*D45,2),IF(C45="Variable",ROUNDDOWN(CPI*D45,4),ROUND(CPI*D45,4)))),D45,IF(C45="Fixed",ROUNDDOWN(CPI*D45,2),IF(C45="Variable",ROUNDDOWN(CPI*D45,4),ROUND(CPI*D45,4))))</f>
        <v>324.49</v>
      </c>
      <c r="F45" s="2201">
        <f>RevenuePriceCap_FO!BI141</f>
        <v>9.0820659494730727E-2</v>
      </c>
      <c r="G45" s="2201">
        <f>RevenuePriceCap_FO!BJ141</f>
        <v>8.8101967943136295E-2</v>
      </c>
      <c r="H45" s="2201">
        <f>RevenuePriceCap_FO!BK141</f>
        <v>8.5653785126823978E-2</v>
      </c>
      <c r="I45" s="2201">
        <f>RevenuePriceCap_FO!BL141</f>
        <v>8.344115748762615E-2</v>
      </c>
    </row>
    <row r="46" spans="2:9" ht="15" customHeight="1">
      <c r="B46" s="2132" t="s">
        <v>1120</v>
      </c>
      <c r="C46" s="2047" t="s">
        <v>319</v>
      </c>
      <c r="D46" s="2198">
        <f>RevenuePriceCap_FO!X144</f>
        <v>501.3041652031439</v>
      </c>
      <c r="E46" s="2079" cm="1">
        <f t="array" ref="E46">IF(ISERROR(IF(C46="Fixed",ROUNDDOWN(CPI*D46,2),IF(C46="Variable",ROUNDDOWN(CPI*D46,4),ROUND(CPI*D46,4)))),D46,IF(C46="Fixed",ROUNDDOWN(CPI*D46,2),IF(C46="Variable",ROUNDDOWN(CPI*D46,4),ROUND(CPI*D46,4))))</f>
        <v>501.3</v>
      </c>
      <c r="F46" s="2201">
        <f>RevenuePriceCap_FO!BI144</f>
        <v>7.730516233307605E-2</v>
      </c>
      <c r="G46" s="2201">
        <f>RevenuePriceCap_FO!BJ144</f>
        <v>7.5834457979265135E-2</v>
      </c>
      <c r="H46" s="2201">
        <f>RevenuePriceCap_FO!BK144</f>
        <v>7.4477636019404825E-2</v>
      </c>
      <c r="I46" s="2201">
        <f>RevenuePriceCap_FO!BL144</f>
        <v>7.322422910519788E-2</v>
      </c>
    </row>
    <row r="47" spans="2:9" ht="15" customHeight="1">
      <c r="B47" s="2132" t="s">
        <v>1121</v>
      </c>
      <c r="C47" s="2047" t="s">
        <v>319</v>
      </c>
      <c r="D47" s="2198">
        <f>RevenuePriceCap_FO!X147</f>
        <v>814.81865520314375</v>
      </c>
      <c r="E47" s="2079" cm="1">
        <f t="array" ref="E47">IF(ISERROR(IF(C47="Fixed",ROUNDDOWN(CPI*D47,2),IF(C47="Variable",ROUNDDOWN(CPI*D47,4),ROUND(CPI*D47,4)))),D47,IF(C47="Fixed",ROUNDDOWN(CPI*D47,2),IF(C47="Variable",ROUNDDOWN(CPI*D47,4),ROUND(CPI*D47,4))))</f>
        <v>814.81</v>
      </c>
      <c r="F47" s="2201">
        <f>RevenuePriceCap_FO!BI147</f>
        <v>6.7760979994390347E-2</v>
      </c>
      <c r="G47" s="2201">
        <f>RevenuePriceCap_FO!BJ147</f>
        <v>6.6984475108689434E-2</v>
      </c>
      <c r="H47" s="2201">
        <f>RevenuePriceCap_FO!BK147</f>
        <v>6.6255404650414684E-2</v>
      </c>
      <c r="I47" s="2201">
        <f>RevenuePriceCap_FO!BL147</f>
        <v>6.5570942796429055E-2</v>
      </c>
    </row>
    <row r="48" spans="2:9" ht="15" customHeight="1">
      <c r="B48" s="2132" t="s">
        <v>1122</v>
      </c>
      <c r="C48" s="2047" t="s">
        <v>319</v>
      </c>
      <c r="D48" s="2198">
        <f>RevenuePriceCap_FO!X150</f>
        <v>1267.3894452031439</v>
      </c>
      <c r="E48" s="2079" cm="1">
        <f t="array" ref="E48">IF(ISERROR(IF(C48="Fixed",ROUNDDOWN(CPI*D48,2),IF(C48="Variable",ROUNDDOWN(CPI*D48,4),ROUND(CPI*D48,4)))),D48,IF(C48="Fixed",ROUNDDOWN(CPI*D48,2),IF(C48="Variable",ROUNDDOWN(CPI*D48,4),ROUND(CPI*D48,4))))</f>
        <v>1267.3800000000001</v>
      </c>
      <c r="F48" s="2201">
        <f>RevenuePriceCap_FO!BI150</f>
        <v>6.2311452385985122E-2</v>
      </c>
      <c r="G48" s="2201">
        <f>RevenuePriceCap_FO!BJ150</f>
        <v>6.185999942221887E-2</v>
      </c>
      <c r="H48" s="2201">
        <f>RevenuePriceCap_FO!BK150</f>
        <v>6.1431764634217068E-2</v>
      </c>
      <c r="I48" s="2201">
        <f>RevenuePriceCap_FO!BL150</f>
        <v>6.1025894977971396E-2</v>
      </c>
    </row>
    <row r="49" spans="2:9" ht="15" customHeight="1">
      <c r="B49" s="2132" t="s">
        <v>1123</v>
      </c>
      <c r="C49" s="2047" t="s">
        <v>319</v>
      </c>
      <c r="D49" s="2198">
        <f>RevenuePriceCap_FO!X153</f>
        <v>1974.5431452031439</v>
      </c>
      <c r="E49" s="2079" cm="1">
        <f t="array" ref="E49">IF(ISERROR(IF(C49="Fixed",ROUNDDOWN(CPI*D49,2),IF(C49="Variable",ROUNDDOWN(CPI*D49,4),ROUND(CPI*D49,4)))),D49,IF(C49="Fixed",ROUNDDOWN(CPI*D49,2),IF(C49="Variable",ROUNDDOWN(CPI*D49,4),ROUND(CPI*D49,4))))</f>
        <v>1974.54</v>
      </c>
      <c r="F49" s="2201">
        <f>RevenuePriceCap_FO!BI153</f>
        <v>5.879762445369674E-2</v>
      </c>
      <c r="G49" s="2201">
        <f>RevenuePriceCap_FO!BJ153</f>
        <v>5.8527790994720386E-2</v>
      </c>
      <c r="H49" s="2201">
        <f>RevenuePriceCap_FO!BK153</f>
        <v>5.8270117142449118E-2</v>
      </c>
      <c r="I49" s="2201">
        <f>RevenuePriceCap_FO!BL153</f>
        <v>5.802437162521934E-2</v>
      </c>
    </row>
    <row r="50" spans="2:9" ht="15" customHeight="1">
      <c r="B50" s="2132" t="s">
        <v>1124</v>
      </c>
      <c r="C50" s="2047" t="s">
        <v>319</v>
      </c>
      <c r="D50" s="2198">
        <f>RevenuePriceCap_FO!X156</f>
        <v>5039.0358252031438</v>
      </c>
      <c r="E50" s="2079" cm="1">
        <f t="array" ref="E50">IF(ISERROR(IF(C50="Fixed",ROUNDDOWN(CPI*D50,2),IF(C50="Variable",ROUNDDOWN(CPI*D50,4),ROUND(CPI*D50,4)))),D50,IF(C50="Fixed",ROUNDDOWN(CPI*D50,2),IF(C50="Variable",ROUNDDOWN(CPI*D50,4),ROUND(CPI*D50,4))))</f>
        <v>5039.03</v>
      </c>
      <c r="F50" s="2201">
        <f>RevenuePriceCap_FO!BI156</f>
        <v>5.4967720339259341E-2</v>
      </c>
      <c r="G50" s="2201">
        <f>RevenuePriceCap_FO!BJ156</f>
        <v>5.4870561102718263E-2</v>
      </c>
      <c r="H50" s="2201">
        <f>RevenuePriceCap_FO!BK156</f>
        <v>5.4777092595194254E-2</v>
      </c>
      <c r="I50" s="2201">
        <f>RevenuePriceCap_FO!BL156</f>
        <v>5.4687332422436841E-2</v>
      </c>
    </row>
    <row r="51" spans="2:9" ht="15" customHeight="1">
      <c r="B51" s="2132" t="s">
        <v>1125</v>
      </c>
      <c r="C51" s="2047" t="s">
        <v>319</v>
      </c>
      <c r="D51" s="2198">
        <f>RevenuePriceCap_FO!X159</f>
        <v>7867.7011452031438</v>
      </c>
      <c r="E51" s="2079" cm="1">
        <f t="array" ref="E51">IF(ISERROR(IF(C51="Fixed",ROUNDDOWN(CPI*D51,2),IF(C51="Variable",ROUNDDOWN(CPI*D51,4),ROUND(CPI*D51,4)))),D51,IF(C51="Fixed",ROUNDDOWN(CPI*D51,2),IF(C51="Variable",ROUNDDOWN(CPI*D51,4),ROUND(CPI*D51,4))))</f>
        <v>7867.7</v>
      </c>
      <c r="F51" s="2201">
        <f>RevenuePriceCap_FO!BI159</f>
        <v>5.4080503754097453E-2</v>
      </c>
      <c r="G51" s="2201">
        <f>RevenuePriceCap_FO!BJ159</f>
        <v>5.4019553992037617E-2</v>
      </c>
      <c r="H51" s="2201">
        <f>RevenuePriceCap_FO!BK159</f>
        <v>5.3960818221247209E-2</v>
      </c>
      <c r="I51" s="2201">
        <f>RevenuePriceCap_FO!BL159</f>
        <v>5.3904321355211282E-2</v>
      </c>
    </row>
    <row r="52" spans="2:9" ht="15" customHeight="1">
      <c r="B52" s="2132" t="s">
        <v>1126</v>
      </c>
      <c r="C52" s="2047" t="s">
        <v>319</v>
      </c>
      <c r="D52" s="2198">
        <v>17689.534315203142</v>
      </c>
      <c r="E52" s="2079" cm="1">
        <f t="array" ref="E52">IF(ISERROR(IF(C52="Fixed",ROUNDDOWN(CPI*D52,2),IF(C52="Variable",ROUNDDOWN(CPI*D52,4),ROUND(CPI*D52,4)))),D52,IF(C52="Fixed",ROUNDDOWN(CPI*D52,2),IF(C52="Variable",ROUNDDOWN(CPI*D52,4),ROUND(CPI*D52,4))))</f>
        <v>17689.53</v>
      </c>
      <c r="F52" s="2201">
        <f>F39</f>
        <v>5.3202954129517366E-2</v>
      </c>
      <c r="G52" s="2201">
        <f>G39</f>
        <v>5.3176408883589987E-2</v>
      </c>
      <c r="H52" s="2201">
        <f>H39</f>
        <v>5.3150784034228904E-2</v>
      </c>
      <c r="I52" s="2201">
        <f>I39</f>
        <v>5.3126096279631385E-2</v>
      </c>
    </row>
    <row r="53" spans="2:9" ht="15" customHeight="1">
      <c r="B53" s="2132" t="s">
        <v>1127</v>
      </c>
      <c r="C53" s="2047" t="s">
        <v>319</v>
      </c>
      <c r="D53" s="2198">
        <v>31440.257365203139</v>
      </c>
      <c r="E53" s="2079" cm="1">
        <f t="array" ref="E53">IF(ISERROR(IF(C53="Fixed",ROUNDDOWN(CPI*D53,2),IF(C53="Variable",ROUNDDOWN(CPI*D53,4),ROUND(CPI*D53,4)))),D53,IF(C53="Fixed",ROUNDDOWN(CPI*D53,2),IF(C53="Variable",ROUNDDOWN(CPI*D53,4),ROUND(CPI*D53,4))))</f>
        <v>31440.25</v>
      </c>
      <c r="F53" s="2201">
        <f t="shared" ref="F53:I55" si="1">F40</f>
        <v>5.2895509841146326E-2</v>
      </c>
      <c r="G53" s="2201">
        <f t="shared" si="1"/>
        <v>5.2880685561485175E-2</v>
      </c>
      <c r="H53" s="2201">
        <f t="shared" si="1"/>
        <v>5.2866366668947729E-2</v>
      </c>
      <c r="I53" s="2201">
        <f t="shared" si="1"/>
        <v>5.2852563616209602E-2</v>
      </c>
    </row>
    <row r="54" spans="2:9" ht="15" customHeight="1">
      <c r="B54" s="2132" t="s">
        <v>1128</v>
      </c>
      <c r="C54" s="2047" t="s">
        <v>319</v>
      </c>
      <c r="D54" s="2198">
        <v>49119.579805203153</v>
      </c>
      <c r="E54" s="2079" cm="1">
        <f t="array" ref="E54">IF(ISERROR(IF(C54="Fixed",ROUNDDOWN(CPI*D54,2),IF(C54="Variable",ROUNDDOWN(CPI*D54,4),ROUND(CPI*D54,4)))),D54,IF(C54="Fixed",ROUNDDOWN(CPI*D54,2),IF(C54="Variable",ROUNDDOWN(CPI*D54,4),ROUND(CPI*D54,4))))</f>
        <v>49119.57</v>
      </c>
      <c r="F54" s="2201">
        <f t="shared" si="1"/>
        <v>5.2753156302342674E-2</v>
      </c>
      <c r="G54" s="2201">
        <f t="shared" si="1"/>
        <v>5.2743700587563724E-2</v>
      </c>
      <c r="H54" s="2201">
        <f t="shared" si="1"/>
        <v>5.2734564688792007E-2</v>
      </c>
      <c r="I54" s="2201">
        <f t="shared" si="1"/>
        <v>5.2725755604444924E-2</v>
      </c>
    </row>
    <row r="55" spans="2:9" ht="15" customHeight="1">
      <c r="B55" s="2132" t="s">
        <v>1129</v>
      </c>
      <c r="C55" s="2047" t="s">
        <v>319</v>
      </c>
      <c r="D55" s="2198">
        <v>70727.728975203136</v>
      </c>
      <c r="E55" s="2079" cm="1">
        <f t="array" ref="E55">IF(ISERROR(IF(C55="Fixed",ROUNDDOWN(CPI*D55,2),IF(C55="Variable",ROUNDDOWN(CPI*D55,4),ROUND(CPI*D55,4)))),D55,IF(C55="Fixed",ROUNDDOWN(CPI*D55,2),IF(C55="Variable",ROUNDDOWN(CPI*D55,4),ROUND(CPI*D55,4))))</f>
        <v>70727.72</v>
      </c>
      <c r="F55" s="2201">
        <f t="shared" si="1"/>
        <v>5.2675814088424477E-2</v>
      </c>
      <c r="G55" s="2201">
        <f t="shared" si="1"/>
        <v>5.2669259640136357E-2</v>
      </c>
      <c r="H55" s="2201">
        <f t="shared" si="1"/>
        <v>5.2662925919939152E-2</v>
      </c>
      <c r="I55" s="2201">
        <f t="shared" si="1"/>
        <v>5.2656817903320219E-2</v>
      </c>
    </row>
    <row r="56" spans="2:9" ht="15" customHeight="1">
      <c r="B56" s="2059"/>
      <c r="C56" s="2049"/>
      <c r="D56" s="2050"/>
      <c r="E56" s="2008"/>
      <c r="F56" s="2202"/>
      <c r="G56" s="2202"/>
      <c r="H56" s="2202"/>
      <c r="I56" s="2203"/>
    </row>
    <row r="57" spans="2:9" ht="15" customHeight="1">
      <c r="B57" s="2131" t="s">
        <v>1133</v>
      </c>
      <c r="C57" s="2049"/>
      <c r="D57" s="2050"/>
      <c r="E57" s="2008"/>
      <c r="F57" s="2202"/>
      <c r="G57" s="2202"/>
      <c r="H57" s="2202"/>
      <c r="I57" s="2203"/>
    </row>
    <row r="58" spans="2:9" ht="15" customHeight="1">
      <c r="B58" s="2132" t="s">
        <v>1134</v>
      </c>
      <c r="C58" s="2047" t="s">
        <v>319</v>
      </c>
      <c r="D58" s="2198">
        <f>RevenuePriceCap_FO!X168</f>
        <v>311.68983999933107</v>
      </c>
      <c r="E58" s="2079" cm="1">
        <f t="array" ref="E58">IF(ISERROR(IF(C58="Fixed",ROUNDDOWN(CPI*D58,2),IF(C58="Variable",ROUNDDOWN(CPI*D58,4),ROUND(CPI*D58,4)))),D58,IF(C58="Fixed",ROUNDDOWN(CPI*D58,2),IF(C58="Variable",ROUNDDOWN(CPI*D58,4),ROUND(CPI*D58,4))))</f>
        <v>311.68</v>
      </c>
      <c r="F58" s="2201">
        <f>RevenuePriceCap_FO!BI168</f>
        <v>8.9027106204787376E-2</v>
      </c>
      <c r="G58" s="2201">
        <f>RevenuePriceCap_FO!BJ168</f>
        <v>8.6469920057542504E-2</v>
      </c>
      <c r="H58" s="2201">
        <f>RevenuePriceCap_FO!BK168</f>
        <v>8.4138803368164039E-2</v>
      </c>
      <c r="I58" s="2201">
        <f>RevenuePriceCap_FO!BL168</f>
        <v>8.2002798238690389E-2</v>
      </c>
    </row>
    <row r="59" spans="2:9" ht="30" customHeight="1">
      <c r="B59" s="2132" t="s">
        <v>1135</v>
      </c>
      <c r="C59" s="2047" t="s">
        <v>319</v>
      </c>
      <c r="D59" s="2198">
        <f>RevenuePriceCap_FO!X171</f>
        <v>374.02780799919725</v>
      </c>
      <c r="E59" s="2079" cm="1">
        <f t="array" ref="E59">IF(ISERROR(IF(C59="Fixed",ROUNDDOWN(CPI*D59,2),IF(C59="Variable",ROUNDDOWN(CPI*D59,4),ROUND(CPI*D59,4)))),D59,IF(C59="Fixed",ROUNDDOWN(CPI*D59,2),IF(C59="Variable",ROUNDDOWN(CPI*D59,4),ROUND(CPI*D59,4))))</f>
        <v>374.02</v>
      </c>
      <c r="F59" s="2201">
        <f>RevenuePriceCap_FO!BI171</f>
        <v>8.9027106204787376E-2</v>
      </c>
      <c r="G59" s="2201">
        <f>RevenuePriceCap_FO!BJ171</f>
        <v>8.6469920057542504E-2</v>
      </c>
      <c r="H59" s="2201">
        <f>RevenuePriceCap_FO!BK171</f>
        <v>8.4138803368164039E-2</v>
      </c>
      <c r="I59" s="2201">
        <f>RevenuePriceCap_FO!BL171</f>
        <v>8.2002798238690389E-2</v>
      </c>
    </row>
    <row r="60" spans="2:9" ht="30" customHeight="1">
      <c r="B60" s="2132" t="s">
        <v>1136</v>
      </c>
      <c r="C60" s="2047" t="s">
        <v>319</v>
      </c>
      <c r="D60" s="2198">
        <f>RevenuePriceCap_FO!X174</f>
        <v>436.36577599906343</v>
      </c>
      <c r="E60" s="2079" cm="1">
        <f t="array" ref="E60">IF(ISERROR(IF(C60="Fixed",ROUNDDOWN(CPI*D60,2),IF(C60="Variable",ROUNDDOWN(CPI*D60,4),ROUND(CPI*D60,4)))),D60,IF(C60="Fixed",ROUNDDOWN(CPI*D60,2),IF(C60="Variable",ROUNDDOWN(CPI*D60,4),ROUND(CPI*D60,4))))</f>
        <v>436.36</v>
      </c>
      <c r="F60" s="2201">
        <f>RevenuePriceCap_FO!BI174</f>
        <v>8.9027106204787376E-2</v>
      </c>
      <c r="G60" s="2201">
        <f>RevenuePriceCap_FO!BJ174</f>
        <v>8.6469920057542504E-2</v>
      </c>
      <c r="H60" s="2201">
        <f>RevenuePriceCap_FO!BK174</f>
        <v>8.4138803368164261E-2</v>
      </c>
      <c r="I60" s="2201">
        <f>RevenuePriceCap_FO!BL174</f>
        <v>8.2002798238690167E-2</v>
      </c>
    </row>
    <row r="61" spans="2:9" ht="15" customHeight="1">
      <c r="B61" s="2132" t="s">
        <v>1137</v>
      </c>
      <c r="C61" s="2047" t="s">
        <v>319</v>
      </c>
      <c r="D61" s="2198">
        <f>RevenuePriceCap_FO!X177</f>
        <v>700.41726125917023</v>
      </c>
      <c r="E61" s="2079" cm="1">
        <f t="array" ref="E61">IF(ISERROR(IF(C61="Fixed",ROUNDDOWN(CPI*D61,2),IF(C61="Variable",ROUNDDOWN(CPI*D61,4),ROUND(CPI*D61,4)))),D61,IF(C61="Fixed",ROUNDDOWN(CPI*D61,2),IF(C61="Variable",ROUNDDOWN(CPI*D61,4),ROUND(CPI*D61,4))))</f>
        <v>700.41</v>
      </c>
      <c r="F61" s="2201">
        <f>RevenuePriceCap_FO!BI177</f>
        <v>5.2499999999999991E-2</v>
      </c>
      <c r="G61" s="2201">
        <f>RevenuePriceCap_FO!BJ177</f>
        <v>5.2499999999999991E-2</v>
      </c>
      <c r="H61" s="2201">
        <f>RevenuePriceCap_FO!BK177</f>
        <v>5.2499999999999991E-2</v>
      </c>
      <c r="I61" s="2201">
        <f>RevenuePriceCap_FO!BL177</f>
        <v>5.2499999999999991E-2</v>
      </c>
    </row>
    <row r="62" spans="2:9" ht="15" customHeight="1">
      <c r="B62" s="2132" t="s">
        <v>1138</v>
      </c>
      <c r="C62" s="2047" t="s">
        <v>319</v>
      </c>
      <c r="D62" s="2198">
        <f>D61/2</f>
        <v>350.20863062958512</v>
      </c>
      <c r="E62" s="2079" cm="1">
        <f t="array" ref="E62">IF(ISERROR(IF(C62="Fixed",ROUNDDOWN(CPI*D62,2),IF(C62="Variable",ROUNDDOWN(CPI*D62,4),ROUND(CPI*D62,4)))),D62,IF(C62="Fixed",ROUNDDOWN(CPI*D62,2),IF(C62="Variable",ROUNDDOWN(CPI*D62,4),ROUND(CPI*D62,4))))</f>
        <v>350.2</v>
      </c>
      <c r="F62" s="2201">
        <f>F61</f>
        <v>5.2499999999999991E-2</v>
      </c>
      <c r="G62" s="2201">
        <f>G61</f>
        <v>5.2499999999999991E-2</v>
      </c>
      <c r="H62" s="2201">
        <f>H61</f>
        <v>5.2499999999999991E-2</v>
      </c>
      <c r="I62" s="2201">
        <f>I61</f>
        <v>5.2499999999999991E-2</v>
      </c>
    </row>
    <row r="63" spans="2:9" ht="15" customHeight="1">
      <c r="B63" s="2132" t="s">
        <v>1139</v>
      </c>
      <c r="C63" s="2047" t="s">
        <v>319</v>
      </c>
      <c r="D63" s="2198">
        <f>RevenuePriceCap_FO!X180</f>
        <v>556.13047499999993</v>
      </c>
      <c r="E63" s="2079" cm="1">
        <f t="array" ref="E63">IF(ISERROR(IF(C63="Fixed",ROUNDDOWN(CPI*D63,2),IF(C63="Variable",ROUNDDOWN(CPI*D63,4),ROUND(CPI*D63,4)))),D63,IF(C63="Fixed",ROUNDDOWN(CPI*D63,2),IF(C63="Variable",ROUNDDOWN(CPI*D63,4),ROUND(CPI*D63,4))))</f>
        <v>556.13</v>
      </c>
      <c r="F63" s="2201">
        <f>RevenuePriceCap_FO!BI180</f>
        <v>5.2499999999999991E-2</v>
      </c>
      <c r="G63" s="2201">
        <f>RevenuePriceCap_FO!BJ180</f>
        <v>5.2499999999999991E-2</v>
      </c>
      <c r="H63" s="2201">
        <f>RevenuePriceCap_FO!BK180</f>
        <v>5.2499999999999991E-2</v>
      </c>
      <c r="I63" s="2201">
        <f>RevenuePriceCap_FO!BL180</f>
        <v>5.2499999999999991E-2</v>
      </c>
    </row>
    <row r="64" spans="2:9" ht="15" customHeight="1">
      <c r="B64" s="2059"/>
      <c r="C64" s="2049"/>
      <c r="D64" s="2199"/>
      <c r="E64" s="2008"/>
      <c r="F64" s="2202"/>
      <c r="G64" s="2202"/>
      <c r="H64" s="2202"/>
      <c r="I64" s="2203"/>
    </row>
    <row r="65" spans="2:9" ht="15" customHeight="1">
      <c r="B65" s="2059"/>
      <c r="C65" s="2049"/>
      <c r="D65" s="2199"/>
      <c r="E65" s="2008"/>
      <c r="F65" s="2202"/>
      <c r="G65" s="2202"/>
      <c r="H65" s="2202"/>
      <c r="I65" s="2203"/>
    </row>
    <row r="66" spans="2:9" ht="15" customHeight="1">
      <c r="B66" s="2131" t="s">
        <v>1140</v>
      </c>
      <c r="C66" s="2049"/>
      <c r="D66" s="2199"/>
      <c r="E66" s="2008"/>
      <c r="F66" s="2202"/>
      <c r="G66" s="2202"/>
      <c r="H66" s="2202"/>
      <c r="I66" s="2203"/>
    </row>
    <row r="67" spans="2:9" ht="15" customHeight="1">
      <c r="B67" s="2132" t="s">
        <v>1141</v>
      </c>
      <c r="C67" s="2047" t="s">
        <v>320</v>
      </c>
      <c r="D67" s="2200">
        <f>RevenuePriceCap_FO!X186</f>
        <v>1.94923</v>
      </c>
      <c r="E67" s="2079" cm="1">
        <f t="array" ref="E67">IF(ISERROR(IF(C67="Fixed",ROUNDDOWN(CPI*D67,2),IF(C67="Variable",ROUNDDOWN(CPI*D67,4),ROUND(CPI*D67,4)))),D67,IF(C67="Fixed",ROUNDDOWN(CPI*D67,2),IF(C67="Variable",ROUNDDOWN(CPI*D67,4),ROUND(CPI*D67,4))))</f>
        <v>1.9492</v>
      </c>
      <c r="F67" s="2201">
        <f>RevenuePriceCap_FO!BI186</f>
        <v>5.2499999999999991E-2</v>
      </c>
      <c r="G67" s="2201">
        <f>RevenuePriceCap_FO!BJ186</f>
        <v>5.2499999999999991E-2</v>
      </c>
      <c r="H67" s="2201">
        <f>RevenuePriceCap_FO!BK186</f>
        <v>5.2499999999999991E-2</v>
      </c>
      <c r="I67" s="2201">
        <f>RevenuePriceCap_FO!BL186</f>
        <v>5.2499999999999991E-2</v>
      </c>
    </row>
    <row r="68" spans="2:9" ht="15" customHeight="1">
      <c r="B68" s="2132" t="s">
        <v>1142</v>
      </c>
      <c r="C68" s="2047" t="s">
        <v>320</v>
      </c>
      <c r="D68" s="2200">
        <f>RevenuePriceCap_FO!X189</f>
        <v>0.556562</v>
      </c>
      <c r="E68" s="2079" cm="1">
        <f t="array" ref="E68">IF(ISERROR(IF(C68="Fixed",ROUNDDOWN(CPI*D68,2),IF(C68="Variable",ROUNDDOWN(CPI*D68,4),ROUND(CPI*D68,4)))),D68,IF(C68="Fixed",ROUNDDOWN(CPI*D68,2),IF(C68="Variable",ROUNDDOWN(CPI*D68,4),ROUND(CPI*D68,4))))</f>
        <v>0.55649999999999999</v>
      </c>
      <c r="F68" s="2201">
        <f>RevenuePriceCap_FO!BI189</f>
        <v>5.2499999999999991E-2</v>
      </c>
      <c r="G68" s="2201">
        <f>RevenuePriceCap_FO!BJ189</f>
        <v>5.2499999999999991E-2</v>
      </c>
      <c r="H68" s="2201">
        <f>RevenuePriceCap_FO!BK189</f>
        <v>5.2499999999999991E-2</v>
      </c>
      <c r="I68" s="2201">
        <f>RevenuePriceCap_FO!BL189</f>
        <v>5.2499999999999991E-2</v>
      </c>
    </row>
    <row r="69" spans="2:9" ht="15" customHeight="1">
      <c r="B69" s="2132" t="s">
        <v>1143</v>
      </c>
      <c r="C69" s="2047" t="s">
        <v>320</v>
      </c>
      <c r="D69" s="2200">
        <f>RevenuePriceCap_FO!X192</f>
        <v>0.15029700000000001</v>
      </c>
      <c r="E69" s="2079" cm="1">
        <f t="array" ref="E69">IF(ISERROR(IF(C69="Fixed",ROUNDDOWN(CPI*D69,2),IF(C69="Variable",ROUNDDOWN(CPI*D69,4),ROUND(CPI*D69,4)))),D69,IF(C69="Fixed",ROUNDDOWN(CPI*D69,2),IF(C69="Variable",ROUNDDOWN(CPI*D69,4),ROUND(CPI*D69,4))))</f>
        <v>0.1502</v>
      </c>
      <c r="F69" s="2201">
        <f>RevenuePriceCap_FO!BI192</f>
        <v>5.2499999999999991E-2</v>
      </c>
      <c r="G69" s="2201">
        <f>RevenuePriceCap_FO!BJ192</f>
        <v>5.2499999999999991E-2</v>
      </c>
      <c r="H69" s="2201">
        <f>RevenuePriceCap_FO!BK192</f>
        <v>5.2499999999999991E-2</v>
      </c>
      <c r="I69" s="2201">
        <f>RevenuePriceCap_FO!BL192</f>
        <v>5.2499999999999991E-2</v>
      </c>
    </row>
    <row r="70" spans="2:9" ht="15" customHeight="1">
      <c r="B70" s="2132" t="s">
        <v>1144</v>
      </c>
      <c r="C70" s="2047" t="s">
        <v>320</v>
      </c>
      <c r="D70" s="2200">
        <f>RevenuePriceCap_FO!X195</f>
        <v>1.8173517499999998</v>
      </c>
      <c r="E70" s="2079" cm="1">
        <f t="array" ref="E70">IF(ISERROR(IF(C70="Fixed",ROUNDDOWN(CPI*D70,2),IF(C70="Variable",ROUNDDOWN(CPI*D70,4),ROUND(CPI*D70,4)))),D70,IF(C70="Fixed",ROUNDDOWN(CPI*D70,2),IF(C70="Variable",ROUNDDOWN(CPI*D70,4),ROUND(CPI*D70,4))))</f>
        <v>1.8172999999999999</v>
      </c>
      <c r="F70" s="2201">
        <f>RevenuePriceCap_FO!BI195</f>
        <v>5.2499999999999991E-2</v>
      </c>
      <c r="G70" s="2201">
        <f>RevenuePriceCap_FO!BJ195</f>
        <v>5.2499999999999991E-2</v>
      </c>
      <c r="H70" s="2201">
        <f>RevenuePriceCap_FO!BK195</f>
        <v>5.2499999999999991E-2</v>
      </c>
      <c r="I70" s="2201">
        <f>RevenuePriceCap_FO!BL195</f>
        <v>5.2499999999999991E-2</v>
      </c>
    </row>
    <row r="71" spans="2:9" ht="15" customHeight="1">
      <c r="B71" s="2132" t="s">
        <v>1145</v>
      </c>
      <c r="C71" s="2047" t="s">
        <v>320</v>
      </c>
      <c r="D71" s="2200">
        <f>RevenuePriceCap_FO!X198</f>
        <v>22.108183500000003</v>
      </c>
      <c r="E71" s="2079" cm="1">
        <f t="array" ref="E71">IF(ISERROR(IF(C71="Fixed",ROUNDDOWN(CPI*D71,2),IF(C71="Variable",ROUNDDOWN(CPI*D71,4),ROUND(CPI*D71,4)))),D71,IF(C71="Fixed",ROUNDDOWN(CPI*D71,2),IF(C71="Variable",ROUNDDOWN(CPI*D71,4),ROUND(CPI*D71,4))))</f>
        <v>22.1081</v>
      </c>
      <c r="F71" s="2201">
        <f>RevenuePriceCap_FO!BI198</f>
        <v>5.2499999999999991E-2</v>
      </c>
      <c r="G71" s="2201">
        <f>RevenuePriceCap_FO!BJ198</f>
        <v>5.2499999999999991E-2</v>
      </c>
      <c r="H71" s="2201">
        <f>RevenuePriceCap_FO!BK198</f>
        <v>5.2499999999999991E-2</v>
      </c>
      <c r="I71" s="2201">
        <f>RevenuePriceCap_FO!BL198</f>
        <v>5.2499999999999991E-2</v>
      </c>
    </row>
    <row r="72" spans="2:9" ht="15" customHeight="1">
      <c r="B72" s="2059"/>
      <c r="C72" s="2049"/>
      <c r="D72" s="2050"/>
      <c r="E72" s="2008"/>
      <c r="F72" s="2202"/>
      <c r="G72" s="2202"/>
      <c r="H72" s="2202"/>
      <c r="I72" s="2203"/>
    </row>
    <row r="73" spans="2:9" ht="15" customHeight="1">
      <c r="B73" s="2131" t="s">
        <v>1146</v>
      </c>
      <c r="C73" s="2049"/>
      <c r="D73" s="2050"/>
      <c r="E73" s="2008"/>
      <c r="F73" s="2202"/>
      <c r="G73" s="2202"/>
      <c r="H73" s="2202"/>
      <c r="I73" s="2203"/>
    </row>
    <row r="74" spans="2:9" ht="15" customHeight="1">
      <c r="B74" s="2132" t="s">
        <v>1147</v>
      </c>
      <c r="C74" s="2047" t="s">
        <v>320</v>
      </c>
      <c r="D74" s="2200">
        <f>RevenuePriceCap_FO!X201</f>
        <v>0.15029700000000001</v>
      </c>
      <c r="E74" s="2079" cm="1">
        <f t="array" ref="E74">IF(ISERROR(IF(C74="Fixed",ROUNDDOWN(CPI*D74,2),IF(C74="Variable",ROUNDDOWN(CPI*D74,4),ROUND(CPI*D74,4)))),D74,IF(C74="Fixed",ROUNDDOWN(CPI*D74,2),IF(C74="Variable",ROUNDDOWN(CPI*D74,4),ROUND(CPI*D74,4))))</f>
        <v>0.1502</v>
      </c>
      <c r="F74" s="2201">
        <f>RevenuePriceCap_FO!BI201</f>
        <v>5.2499999999999991E-2</v>
      </c>
      <c r="G74" s="2201">
        <f>RevenuePriceCap_FO!BJ201</f>
        <v>5.2499999999999991E-2</v>
      </c>
      <c r="H74" s="2201">
        <f>RevenuePriceCap_FO!BK201</f>
        <v>5.2499999999999991E-2</v>
      </c>
      <c r="I74" s="2201">
        <f>RevenuePriceCap_FO!BL201</f>
        <v>5.2499999999999991E-2</v>
      </c>
    </row>
    <row r="75" spans="2:9" ht="15" customHeight="1">
      <c r="B75" s="2132" t="s">
        <v>1148</v>
      </c>
      <c r="C75" s="2047" t="s">
        <v>320</v>
      </c>
      <c r="D75" s="2200">
        <f>RevenuePriceCap_FO!X204</f>
        <v>0.15029700000000001</v>
      </c>
      <c r="E75" s="2079" cm="1">
        <f t="array" ref="E75">IF(ISERROR(IF(C75="Fixed",ROUNDDOWN(CPI*D75,2),IF(C75="Variable",ROUNDDOWN(CPI*D75,4),ROUND(CPI*D75,4)))),D75,IF(C75="Fixed",ROUNDDOWN(CPI*D75,2),IF(C75="Variable",ROUNDDOWN(CPI*D75,4),ROUND(CPI*D75,4))))</f>
        <v>0.1502</v>
      </c>
      <c r="F75" s="2201">
        <f>RevenuePriceCap_FO!BI204</f>
        <v>5.2499999999999991E-2</v>
      </c>
      <c r="G75" s="2201">
        <f>RevenuePriceCap_FO!BJ204</f>
        <v>5.2499999999999991E-2</v>
      </c>
      <c r="H75" s="2201">
        <f>RevenuePriceCap_FO!BK204</f>
        <v>5.2499999999999991E-2</v>
      </c>
      <c r="I75" s="2201">
        <f>RevenuePriceCap_FO!BL204</f>
        <v>5.2499999999999991E-2</v>
      </c>
    </row>
    <row r="76" spans="2:9" ht="15" customHeight="1">
      <c r="B76" s="2132" t="s">
        <v>1149</v>
      </c>
      <c r="C76" s="2047" t="s">
        <v>320</v>
      </c>
      <c r="D76" s="2200">
        <f>RevenuePriceCap_FO!X207</f>
        <v>0.15029700000000001</v>
      </c>
      <c r="E76" s="2079" cm="1">
        <f t="array" ref="E76">IF(ISERROR(IF(C76="Fixed",ROUNDDOWN(CPI*D76,2),IF(C76="Variable",ROUNDDOWN(CPI*D76,4),ROUND(CPI*D76,4)))),D76,IF(C76="Fixed",ROUNDDOWN(CPI*D76,2),IF(C76="Variable",ROUNDDOWN(CPI*D76,4),ROUND(CPI*D76,4))))</f>
        <v>0.1502</v>
      </c>
      <c r="F76" s="2201">
        <f>RevenuePriceCap_FO!BI207</f>
        <v>5.2499999999999991E-2</v>
      </c>
      <c r="G76" s="2201">
        <f>RevenuePriceCap_FO!BJ207</f>
        <v>5.2499999999999991E-2</v>
      </c>
      <c r="H76" s="2201">
        <f>RevenuePriceCap_FO!BK207</f>
        <v>5.2499999999999991E-2</v>
      </c>
      <c r="I76" s="2201">
        <f>RevenuePriceCap_FO!BL207</f>
        <v>5.2499999999999991E-2</v>
      </c>
    </row>
    <row r="77" spans="2:9" ht="15" customHeight="1">
      <c r="B77" s="2132" t="s">
        <v>1150</v>
      </c>
      <c r="C77" s="2047" t="s">
        <v>320</v>
      </c>
      <c r="D77" s="2200">
        <f>RevenuePriceCap_FO!X210</f>
        <v>0.15029700000000001</v>
      </c>
      <c r="E77" s="2079" cm="1">
        <f t="array" ref="E77">IF(ISERROR(IF(C77="Fixed",ROUNDDOWN(CPI*D77,2),IF(C77="Variable",ROUNDDOWN(CPI*D77,4),ROUND(CPI*D77,4)))),D77,IF(C77="Fixed",ROUNDDOWN(CPI*D77,2),IF(C77="Variable",ROUNDDOWN(CPI*D77,4),ROUND(CPI*D77,4))))</f>
        <v>0.1502</v>
      </c>
      <c r="F77" s="2201">
        <f>RevenuePriceCap_FO!BI210</f>
        <v>5.2499999999999991E-2</v>
      </c>
      <c r="G77" s="2201">
        <f>RevenuePriceCap_FO!BJ210</f>
        <v>5.2499999999999991E-2</v>
      </c>
      <c r="H77" s="2201">
        <f>RevenuePriceCap_FO!BK210</f>
        <v>5.2499999999999991E-2</v>
      </c>
      <c r="I77" s="2201">
        <f>RevenuePriceCap_FO!BL210</f>
        <v>5.2499999999999991E-2</v>
      </c>
    </row>
    <row r="78" spans="2:9" ht="15" customHeight="1">
      <c r="B78" s="2132" t="s">
        <v>1151</v>
      </c>
      <c r="C78" s="2047" t="s">
        <v>320</v>
      </c>
      <c r="D78" s="2200">
        <f>RevenuePriceCap_FO!X213</f>
        <v>1.02608225</v>
      </c>
      <c r="E78" s="2079" cm="1">
        <f t="array" ref="E78">IF(ISERROR(IF(C78="Fixed",ROUNDDOWN(CPI*D78,2),IF(C78="Variable",ROUNDDOWN(CPI*D78,4),ROUND(CPI*D78,4)))),D78,IF(C78="Fixed",ROUNDDOWN(CPI*D78,2),IF(C78="Variable",ROUNDDOWN(CPI*D78,4),ROUND(CPI*D78,4))))</f>
        <v>1.026</v>
      </c>
      <c r="F78" s="2201">
        <f>RevenuePriceCap_FO!BI213</f>
        <v>5.2499999999999991E-2</v>
      </c>
      <c r="G78" s="2201">
        <f>RevenuePriceCap_FO!BJ213</f>
        <v>5.2499999999999991E-2</v>
      </c>
      <c r="H78" s="2201">
        <f>RevenuePriceCap_FO!BK213</f>
        <v>5.2499999999999991E-2</v>
      </c>
      <c r="I78" s="2201">
        <f>RevenuePriceCap_FO!BL213</f>
        <v>5.2499999999999991E-2</v>
      </c>
    </row>
    <row r="79" spans="2:9" ht="15" customHeight="1">
      <c r="B79" s="2132" t="s">
        <v>1152</v>
      </c>
      <c r="C79" s="2047" t="s">
        <v>320</v>
      </c>
      <c r="D79" s="2200">
        <v>209.56580099999999</v>
      </c>
      <c r="E79" s="2079" cm="1">
        <f t="array" ref="E79">IF(ISERROR(IF(C79="Fixed",ROUNDDOWN(CPI*D79,2),IF(C79="Variable",ROUNDDOWN(CPI*D79,4),ROUND(CPI*D79,4)))),D79,IF(C79="Fixed",ROUNDDOWN(CPI*D79,2),IF(C79="Variable",ROUNDDOWN(CPI*D79,4),ROUND(CPI*D79,4))))</f>
        <v>209.5658</v>
      </c>
      <c r="F79" s="2201">
        <f>F78</f>
        <v>5.2499999999999991E-2</v>
      </c>
      <c r="G79" s="2201">
        <f>G78</f>
        <v>5.2499999999999991E-2</v>
      </c>
      <c r="H79" s="2201">
        <f>H78</f>
        <v>5.2499999999999991E-2</v>
      </c>
      <c r="I79" s="2201">
        <f>I78</f>
        <v>5.2499999999999991E-2</v>
      </c>
    </row>
    <row r="80" spans="2:9" ht="15" customHeight="1">
      <c r="B80" s="2132"/>
      <c r="C80" s="2049"/>
      <c r="D80" s="2050"/>
      <c r="E80" s="2008"/>
      <c r="F80" s="2202"/>
      <c r="G80" s="2202"/>
      <c r="H80" s="2202"/>
      <c r="I80" s="2203"/>
    </row>
    <row r="81" spans="2:9" ht="15" customHeight="1">
      <c r="B81" s="2131" t="s">
        <v>1153</v>
      </c>
      <c r="C81" s="2049"/>
      <c r="D81" s="2050"/>
      <c r="E81" s="2008"/>
      <c r="F81" s="2202"/>
      <c r="G81" s="2202"/>
      <c r="H81" s="2202"/>
      <c r="I81" s="2203"/>
    </row>
    <row r="82" spans="2:9" ht="15" customHeight="1">
      <c r="B82" s="2133" t="s">
        <v>1154</v>
      </c>
      <c r="C82" s="2047" t="s">
        <v>319</v>
      </c>
      <c r="D82" s="2198">
        <f>RevenuePriceCap_FO!X252</f>
        <v>643.89844999999991</v>
      </c>
      <c r="E82" s="2079" cm="1">
        <f t="array" ref="E82">IF(ISERROR(IF(C82="Fixed",ROUNDDOWN(CPI*D82,2),IF(C82="Variable",ROUNDDOWN(CPI*D82,4),ROUND(CPI*D82,4)))),D82,IF(C82="Fixed",ROUNDDOWN(CPI*D82,2),IF(C82="Variable",ROUNDDOWN(CPI*D82,4),ROUND(CPI*D82,4))))</f>
        <v>643.89</v>
      </c>
      <c r="F82" s="2201">
        <f>RevenuePriceCap_FO!BI252</f>
        <v>5.2499999999999991E-2</v>
      </c>
      <c r="G82" s="2201">
        <f>RevenuePriceCap_FO!BJ252</f>
        <v>5.2499999999999991E-2</v>
      </c>
      <c r="H82" s="2201">
        <f>RevenuePriceCap_FO!BK252</f>
        <v>5.2499999999999991E-2</v>
      </c>
      <c r="I82" s="2201">
        <f>RevenuePriceCap_FO!BL252</f>
        <v>5.2499999999999991E-2</v>
      </c>
    </row>
    <row r="83" spans="2:9" ht="15" customHeight="1">
      <c r="B83" s="2133" t="s">
        <v>1155</v>
      </c>
      <c r="C83" s="2047" t="s">
        <v>319</v>
      </c>
      <c r="D83" s="2198">
        <f>RevenuePriceCap_FO!X255</f>
        <v>424.01015000000001</v>
      </c>
      <c r="E83" s="2079" cm="1">
        <f t="array" ref="E83">IF(ISERROR(IF(C83="Fixed",ROUNDDOWN(CPI*D83,2),IF(C83="Variable",ROUNDDOWN(CPI*D83,4),ROUND(CPI*D83,4)))),D83,IF(C83="Fixed",ROUNDDOWN(CPI*D83,2),IF(C83="Variable",ROUNDDOWN(CPI*D83,4),ROUND(CPI*D83,4))))</f>
        <v>424.01</v>
      </c>
      <c r="F83" s="2201">
        <f>RevenuePriceCap_FO!BI255</f>
        <v>5.2499999999999991E-2</v>
      </c>
      <c r="G83" s="2201">
        <f>RevenuePriceCap_FO!BJ255</f>
        <v>5.2499999999999991E-2</v>
      </c>
      <c r="H83" s="2201">
        <f>RevenuePriceCap_FO!BK255</f>
        <v>5.2499999999999991E-2</v>
      </c>
      <c r="I83" s="2201">
        <f>RevenuePriceCap_FO!BL255</f>
        <v>5.2499999999999991E-2</v>
      </c>
    </row>
    <row r="84" spans="2:9" ht="15" customHeight="1">
      <c r="B84" s="2133" t="s">
        <v>1156</v>
      </c>
      <c r="C84" s="2047" t="s">
        <v>319</v>
      </c>
      <c r="D84" s="2198">
        <f>RevenuePriceCap_FO!X216</f>
        <v>199.93290000000002</v>
      </c>
      <c r="E84" s="2079" cm="1">
        <f t="array" ref="E84">IF(ISERROR(IF(C84="Fixed",ROUNDDOWN(CPI*D84,2),IF(C84="Variable",ROUNDDOWN(CPI*D84,4),ROUND(CPI*D84,4)))),D84,IF(C84="Fixed",ROUNDDOWN(CPI*D84,2),IF(C84="Variable",ROUNDDOWN(CPI*D84,4),ROUND(CPI*D84,4))))</f>
        <v>199.93</v>
      </c>
      <c r="F84" s="2201">
        <f>RevenuePriceCap_FO!BI216</f>
        <v>5.2499999999999991E-2</v>
      </c>
      <c r="G84" s="2201">
        <f>RevenuePriceCap_FO!BJ216</f>
        <v>5.2499999999999991E-2</v>
      </c>
      <c r="H84" s="2201">
        <f>RevenuePriceCap_FO!BK216</f>
        <v>5.2499999999999991E-2</v>
      </c>
      <c r="I84" s="2201">
        <f>RevenuePriceCap_FO!BL216</f>
        <v>5.2499999999999991E-2</v>
      </c>
    </row>
    <row r="85" spans="2:9" ht="15" customHeight="1">
      <c r="B85" s="2060"/>
      <c r="C85" s="2049"/>
      <c r="D85" s="2052"/>
      <c r="E85" s="2080"/>
      <c r="F85" s="2202"/>
      <c r="G85" s="2202"/>
      <c r="H85" s="2202"/>
      <c r="I85" s="2203"/>
    </row>
    <row r="86" spans="2:9" ht="15" customHeight="1">
      <c r="B86" s="2131" t="s">
        <v>1157</v>
      </c>
      <c r="C86" s="2047" t="s">
        <v>319</v>
      </c>
      <c r="D86" s="2198">
        <v>0</v>
      </c>
      <c r="E86" s="2079" cm="1">
        <f t="array" ref="E86">IF(ISERROR(IF(C86="Fixed",ROUNDDOWN(CPI*D86,2),IF(C86="Variable",ROUNDDOWN(CPI*D86,4),ROUND(CPI*D86,4)))),D86,IF(C86="Fixed",ROUNDDOWN(CPI*D86,2),IF(C86="Variable",ROUNDDOWN(CPI*D86,4),ROUND(CPI*D86,4))))</f>
        <v>0</v>
      </c>
      <c r="F86" s="2201">
        <v>0</v>
      </c>
      <c r="G86" s="2201">
        <v>0</v>
      </c>
      <c r="H86" s="2201">
        <v>0</v>
      </c>
      <c r="I86" s="2201">
        <v>0</v>
      </c>
    </row>
    <row r="87" spans="2:9" ht="15" customHeight="1">
      <c r="B87" s="2058"/>
      <c r="C87" s="2049"/>
      <c r="D87" s="2052"/>
      <c r="E87" s="2080"/>
      <c r="F87" s="2202"/>
      <c r="G87" s="2202"/>
      <c r="H87" s="2202"/>
      <c r="I87" s="2203"/>
    </row>
    <row r="88" spans="2:9" ht="15" customHeight="1">
      <c r="B88" s="2131" t="s">
        <v>1158</v>
      </c>
      <c r="C88" s="2047" t="s">
        <v>319</v>
      </c>
      <c r="D88" s="2198">
        <v>4017.39</v>
      </c>
      <c r="E88" s="2079" cm="1">
        <f t="array" ref="E88">IF(ISERROR(IF(C88="Fixed",ROUNDDOWN(CPI*D88,2),IF(C88="Variable",ROUNDDOWN(CPI*D88,4),ROUND(CPI*D88,4)))),D88,IF(C88="Fixed",ROUNDDOWN(CPI*D88,2),IF(C88="Variable",ROUNDDOWN(CPI*D88,4),ROUND(CPI*D88,4))))</f>
        <v>4017.39</v>
      </c>
      <c r="F88" s="2201">
        <v>0</v>
      </c>
      <c r="G88" s="2201">
        <v>0</v>
      </c>
      <c r="H88" s="2201">
        <v>0</v>
      </c>
      <c r="I88" s="2201">
        <v>0</v>
      </c>
    </row>
    <row r="89" spans="2:9" ht="15" customHeight="1">
      <c r="B89" s="2061"/>
      <c r="C89" s="2049"/>
      <c r="D89" s="2052"/>
      <c r="E89" s="2080"/>
      <c r="F89" s="2202"/>
      <c r="G89" s="2202"/>
      <c r="H89" s="2202"/>
      <c r="I89" s="2203"/>
    </row>
    <row r="90" spans="2:9" ht="15" customHeight="1">
      <c r="B90" s="2134" t="s">
        <v>1159</v>
      </c>
      <c r="C90" s="2049"/>
      <c r="D90" s="2052"/>
      <c r="E90" s="2080"/>
      <c r="F90" s="2202"/>
      <c r="G90" s="2202"/>
      <c r="H90" s="2202"/>
      <c r="I90" s="2203"/>
    </row>
    <row r="91" spans="2:9" ht="15" customHeight="1">
      <c r="B91" s="2133" t="s">
        <v>1160</v>
      </c>
      <c r="C91" s="2047" t="s">
        <v>319</v>
      </c>
      <c r="D91" s="2198">
        <v>75.209999999999994</v>
      </c>
      <c r="E91" s="2079" cm="1">
        <f t="array" ref="E91">IF(ISERROR(IF(C91="Fixed",ROUNDDOWN(CPI*D91,2),IF(C91="Variable",ROUNDDOWN(CPI*D91,4),ROUND(CPI*D91,4)))),D91,IF(C91="Fixed",ROUNDDOWN(CPI*D91,2),IF(C91="Variable",ROUNDDOWN(CPI*D91,4),ROUND(CPI*D91,4))))</f>
        <v>75.209999999999994</v>
      </c>
      <c r="F91" s="2201">
        <v>0</v>
      </c>
      <c r="G91" s="2201">
        <v>0</v>
      </c>
      <c r="H91" s="2201">
        <v>0</v>
      </c>
      <c r="I91" s="2201">
        <v>0</v>
      </c>
    </row>
    <row r="92" spans="2:9" ht="15" customHeight="1">
      <c r="B92" s="2133" t="s">
        <v>1161</v>
      </c>
      <c r="C92" s="2047" t="s">
        <v>319</v>
      </c>
      <c r="D92" s="2198">
        <v>37.590000000000003</v>
      </c>
      <c r="E92" s="2079" cm="1">
        <f t="array" ref="E92">IF(ISERROR(IF(C92="Fixed",ROUNDDOWN(CPI*D92,2),IF(C92="Variable",ROUNDDOWN(CPI*D92,4),ROUND(CPI*D92,4)))),D92,IF(C92="Fixed",ROUNDDOWN(CPI*D92,2),IF(C92="Variable",ROUNDDOWN(CPI*D92,4),ROUND(CPI*D92,4))))</f>
        <v>37.590000000000003</v>
      </c>
      <c r="F92" s="2201">
        <v>0</v>
      </c>
      <c r="G92" s="2201">
        <v>0</v>
      </c>
      <c r="H92" s="2201">
        <v>0</v>
      </c>
      <c r="I92" s="2201">
        <v>0</v>
      </c>
    </row>
    <row r="93" spans="2:9" ht="15" customHeight="1">
      <c r="B93" s="2133" t="s">
        <v>1162</v>
      </c>
      <c r="C93" s="2047" t="s">
        <v>319</v>
      </c>
      <c r="D93" s="2198">
        <v>37.54</v>
      </c>
      <c r="E93" s="2079" cm="1">
        <f t="array" ref="E93">IF(ISERROR(IF(C93="Fixed",ROUNDDOWN(CPI*D93,2),IF(C93="Variable",ROUNDDOWN(CPI*D93,4),ROUND(CPI*D93,4)))),D93,IF(C93="Fixed",ROUNDDOWN(CPI*D93,2),IF(C93="Variable",ROUNDDOWN(CPI*D93,4),ROUND(CPI*D93,4))))</f>
        <v>37.54</v>
      </c>
      <c r="F93" s="2201">
        <v>0</v>
      </c>
      <c r="G93" s="2201">
        <v>0</v>
      </c>
      <c r="H93" s="2201">
        <v>0</v>
      </c>
      <c r="I93" s="2201">
        <v>0</v>
      </c>
    </row>
    <row r="94" spans="2:9" ht="15" customHeight="1">
      <c r="B94" s="2133" t="s">
        <v>1163</v>
      </c>
      <c r="C94" s="2047" t="s">
        <v>319</v>
      </c>
      <c r="D94" s="2198">
        <v>30.08</v>
      </c>
      <c r="E94" s="2079" cm="1">
        <f t="array" ref="E94">IF(ISERROR(IF(C94="Fixed",ROUNDDOWN(CPI*D94,2),IF(C94="Variable",ROUNDDOWN(CPI*D94,4),ROUND(CPI*D94,4)))),D94,IF(C94="Fixed",ROUNDDOWN(CPI*D94,2),IF(C94="Variable",ROUNDDOWN(CPI*D94,4),ROUND(CPI*D94,4))))</f>
        <v>30.08</v>
      </c>
      <c r="F94" s="2201">
        <v>0</v>
      </c>
      <c r="G94" s="2201">
        <v>0</v>
      </c>
      <c r="H94" s="2201">
        <v>0</v>
      </c>
      <c r="I94" s="2201">
        <v>0</v>
      </c>
    </row>
    <row r="95" spans="2:9" ht="15" customHeight="1">
      <c r="B95" s="2133" t="s">
        <v>1468</v>
      </c>
      <c r="C95" s="2047" t="s">
        <v>319</v>
      </c>
      <c r="D95" s="2198">
        <v>241.18</v>
      </c>
      <c r="E95" s="2079" cm="1">
        <f t="array" ref="E95">IF(ISERROR(IF(C95="Fixed",ROUNDDOWN(CPI*D95,2),IF(C95="Variable",ROUNDDOWN(CPI*D95,4),ROUND(CPI*D95,4)))),D95,IF(C95="Fixed",ROUNDDOWN(CPI*D95,2),IF(C95="Variable",ROUNDDOWN(CPI*D95,4),ROUND(CPI*D95,4))))</f>
        <v>241.18</v>
      </c>
      <c r="F95" s="2201">
        <v>0</v>
      </c>
      <c r="G95" s="2201">
        <v>0</v>
      </c>
      <c r="H95" s="2201">
        <v>0</v>
      </c>
      <c r="I95" s="2201">
        <v>0</v>
      </c>
    </row>
    <row r="96" spans="2:9" ht="15" customHeight="1">
      <c r="B96" s="2133" t="s">
        <v>1469</v>
      </c>
      <c r="C96" s="2047" t="s">
        <v>319</v>
      </c>
      <c r="D96" s="2198">
        <v>316.74</v>
      </c>
      <c r="E96" s="2079" cm="1">
        <f t="array" ref="E96">IF(ISERROR(IF(C96="Fixed",ROUNDDOWN(CPI*D96,2),IF(C96="Variable",ROUNDDOWN(CPI*D96,4),ROUND(CPI*D96,4)))),D96,IF(C96="Fixed",ROUNDDOWN(CPI*D96,2),IF(C96="Variable",ROUNDDOWN(CPI*D96,4),ROUND(CPI*D96,4))))</f>
        <v>316.74</v>
      </c>
      <c r="F96" s="2201">
        <v>0</v>
      </c>
      <c r="G96" s="2201">
        <v>0</v>
      </c>
      <c r="H96" s="2201">
        <v>0</v>
      </c>
      <c r="I96" s="2201">
        <v>0</v>
      </c>
    </row>
    <row r="97" spans="2:9" ht="15" customHeight="1">
      <c r="B97" s="2133" t="s">
        <v>1164</v>
      </c>
      <c r="C97" s="2047" t="s">
        <v>319</v>
      </c>
      <c r="D97" s="2198">
        <v>210.93</v>
      </c>
      <c r="E97" s="2079" cm="1">
        <f t="array" ref="E97">IF(ISERROR(IF(C97="Fixed",ROUNDDOWN(CPI*D97,2),IF(C97="Variable",ROUNDDOWN(CPI*D97,4),ROUND(CPI*D97,4)))),D97,IF(C97="Fixed",ROUNDDOWN(CPI*D97,2),IF(C97="Variable",ROUNDDOWN(CPI*D97,4),ROUND(CPI*D97,4))))</f>
        <v>210.93</v>
      </c>
      <c r="F97" s="2201">
        <v>0</v>
      </c>
      <c r="G97" s="2201">
        <v>0</v>
      </c>
      <c r="H97" s="2201">
        <v>0</v>
      </c>
      <c r="I97" s="2201">
        <v>0</v>
      </c>
    </row>
    <row r="98" spans="2:9" ht="15" customHeight="1">
      <c r="B98" s="2059"/>
      <c r="C98" s="2049"/>
      <c r="D98" s="2052"/>
      <c r="E98" s="2080"/>
      <c r="F98" s="2202"/>
      <c r="G98" s="2202"/>
      <c r="H98" s="2202"/>
      <c r="I98" s="2203"/>
    </row>
    <row r="99" spans="2:9" ht="15" customHeight="1">
      <c r="B99" s="2134" t="s">
        <v>1165</v>
      </c>
      <c r="C99" s="2049"/>
      <c r="D99" s="2052"/>
      <c r="E99" s="2080"/>
      <c r="F99" s="2202"/>
      <c r="G99" s="2202"/>
      <c r="H99" s="2202"/>
      <c r="I99" s="2203"/>
    </row>
    <row r="100" spans="2:9" ht="15" customHeight="1">
      <c r="B100" s="2133" t="s">
        <v>1166</v>
      </c>
      <c r="C100" s="2047" t="s">
        <v>319</v>
      </c>
      <c r="D100" s="2198" t="s">
        <v>1447</v>
      </c>
      <c r="E100" s="2079" t="str" cm="1">
        <f t="array" ref="E100">IF(ISERROR(IF(C100="Fixed",ROUNDDOWN(CPI*D100,2),IF(C100="Variable",ROUNDDOWN(CPI*D100,4),ROUND(CPI*D100,4)))),D100,IF(C100="Fixed",ROUNDDOWN(CPI*D100,2),IF(C100="Variable",ROUNDDOWN(CPI*D100,4),ROUND(CPI*D100,4))))</f>
        <v>At Cost</v>
      </c>
      <c r="F100" s="2201">
        <v>0</v>
      </c>
      <c r="G100" s="2201">
        <v>0</v>
      </c>
      <c r="H100" s="2201">
        <v>0</v>
      </c>
      <c r="I100" s="2201">
        <v>0</v>
      </c>
    </row>
    <row r="101" spans="2:9" ht="15" customHeight="1">
      <c r="B101" s="2133" t="s">
        <v>1167</v>
      </c>
      <c r="C101" s="2047" t="s">
        <v>319</v>
      </c>
      <c r="D101" s="2198">
        <v>757.2</v>
      </c>
      <c r="E101" s="2079" cm="1">
        <f t="array" ref="E101">IF(ISERROR(IF(C101="Fixed",ROUNDDOWN(CPI*D101,2),IF(C101="Variable",ROUNDDOWN(CPI*D101,4),ROUND(CPI*D101,4)))),D101,IF(C101="Fixed",ROUNDDOWN(CPI*D101,2),IF(C101="Variable",ROUNDDOWN(CPI*D101,4),ROUND(CPI*D101,4))))</f>
        <v>757.2</v>
      </c>
      <c r="F101" s="2201">
        <v>0</v>
      </c>
      <c r="G101" s="2201">
        <v>0</v>
      </c>
      <c r="H101" s="2201">
        <v>0</v>
      </c>
      <c r="I101" s="2201">
        <v>0</v>
      </c>
    </row>
    <row r="102" spans="2:9" ht="15" customHeight="1">
      <c r="B102" s="2133" t="s">
        <v>1168</v>
      </c>
      <c r="C102" s="2047" t="s">
        <v>319</v>
      </c>
      <c r="D102" s="2198">
        <v>37.590000000000003</v>
      </c>
      <c r="E102" s="2079" cm="1">
        <f t="array" ref="E102">IF(ISERROR(IF(C102="Fixed",ROUNDDOWN(CPI*D102,2),IF(C102="Variable",ROUNDDOWN(CPI*D102,4),ROUND(CPI*D102,4)))),D102,IF(C102="Fixed",ROUNDDOWN(CPI*D102,2),IF(C102="Variable",ROUNDDOWN(CPI*D102,4),ROUND(CPI*D102,4))))</f>
        <v>37.590000000000003</v>
      </c>
      <c r="F102" s="2201">
        <v>0</v>
      </c>
      <c r="G102" s="2201">
        <v>0</v>
      </c>
      <c r="H102" s="2201">
        <v>0</v>
      </c>
      <c r="I102" s="2201">
        <v>0</v>
      </c>
    </row>
    <row r="103" spans="2:9" ht="15" customHeight="1">
      <c r="B103" s="2133" t="s">
        <v>1169</v>
      </c>
      <c r="C103" s="2047" t="s">
        <v>319</v>
      </c>
      <c r="D103" s="2198" t="s">
        <v>1447</v>
      </c>
      <c r="E103" s="2079" t="str" cm="1">
        <f t="array" ref="E103">IF(ISERROR(IF(C103="Fixed",ROUNDDOWN(CPI*D103,2),IF(C103="Variable",ROUNDDOWN(CPI*D103,4),ROUND(CPI*D103,4)))),D103,IF(C103="Fixed",ROUNDDOWN(CPI*D103,2),IF(C103="Variable",ROUNDDOWN(CPI*D103,4),ROUND(CPI*D103,4))))</f>
        <v>At Cost</v>
      </c>
      <c r="F103" s="2201">
        <v>0</v>
      </c>
      <c r="G103" s="2201">
        <v>0</v>
      </c>
      <c r="H103" s="2201">
        <v>0</v>
      </c>
      <c r="I103" s="2201">
        <v>0</v>
      </c>
    </row>
    <row r="104" spans="2:9" ht="15" customHeight="1">
      <c r="B104" s="2133" t="s">
        <v>1170</v>
      </c>
      <c r="C104" s="2047" t="s">
        <v>319</v>
      </c>
      <c r="D104" s="2198">
        <v>118.81</v>
      </c>
      <c r="E104" s="2079" cm="1">
        <f t="array" ref="E104">IF(ISERROR(IF(C104="Fixed",ROUNDDOWN(CPI*D104,2),IF(C104="Variable",ROUNDDOWN(CPI*D104,4),ROUND(CPI*D104,4)))),D104,IF(C104="Fixed",ROUNDDOWN(CPI*D104,2),IF(C104="Variable",ROUNDDOWN(CPI*D104,4),ROUND(CPI*D104,4))))</f>
        <v>118.81</v>
      </c>
      <c r="F104" s="2201">
        <v>0</v>
      </c>
      <c r="G104" s="2201">
        <v>0</v>
      </c>
      <c r="H104" s="2201">
        <v>0</v>
      </c>
      <c r="I104" s="2201">
        <v>0</v>
      </c>
    </row>
    <row r="105" spans="2:9" ht="15" customHeight="1">
      <c r="B105" s="2133" t="s">
        <v>1171</v>
      </c>
      <c r="C105" s="2047" t="s">
        <v>319</v>
      </c>
      <c r="D105" s="2198">
        <v>301.52999999999997</v>
      </c>
      <c r="E105" s="2079" cm="1">
        <f t="array" ref="E105">IF(ISERROR(IF(C105="Fixed",ROUNDDOWN(CPI*D105,2),IF(C105="Variable",ROUNDDOWN(CPI*D105,4),ROUND(CPI*D105,4)))),D105,IF(C105="Fixed",ROUNDDOWN(CPI*D105,2),IF(C105="Variable",ROUNDDOWN(CPI*D105,4),ROUND(CPI*D105,4))))</f>
        <v>301.52999999999997</v>
      </c>
      <c r="F105" s="2201">
        <v>0</v>
      </c>
      <c r="G105" s="2201">
        <v>0</v>
      </c>
      <c r="H105" s="2201">
        <v>0</v>
      </c>
      <c r="I105" s="2201">
        <v>0</v>
      </c>
    </row>
    <row r="106" spans="2:9" ht="15" customHeight="1">
      <c r="B106" s="2133" t="s">
        <v>1172</v>
      </c>
      <c r="C106" s="2047" t="s">
        <v>319</v>
      </c>
      <c r="D106" s="2198">
        <v>75.41</v>
      </c>
      <c r="E106" s="2079" cm="1">
        <f t="array" ref="E106">IF(ISERROR(IF(C106="Fixed",ROUNDDOWN(CPI*D106,2),IF(C106="Variable",ROUNDDOWN(CPI*D106,4),ROUND(CPI*D106,4)))),D106,IF(C106="Fixed",ROUNDDOWN(CPI*D106,2),IF(C106="Variable",ROUNDDOWN(CPI*D106,4),ROUND(CPI*D106,4))))</f>
        <v>75.41</v>
      </c>
      <c r="F106" s="2201">
        <v>0</v>
      </c>
      <c r="G106" s="2201">
        <v>0</v>
      </c>
      <c r="H106" s="2201">
        <v>0</v>
      </c>
      <c r="I106" s="2201">
        <v>0</v>
      </c>
    </row>
    <row r="107" spans="2:9" ht="15" customHeight="1">
      <c r="B107" s="2133" t="s">
        <v>1173</v>
      </c>
      <c r="C107" s="2047" t="s">
        <v>319</v>
      </c>
      <c r="D107" s="2198">
        <v>225</v>
      </c>
      <c r="E107" s="2079" cm="1">
        <f t="array" ref="E107">IF(ISERROR(IF(C107="Fixed",ROUNDDOWN(CPI*D107,2),IF(C107="Variable",ROUNDDOWN(CPI*D107,4),ROUND(CPI*D107,4)))),D107,IF(C107="Fixed",ROUNDDOWN(CPI*D107,2),IF(C107="Variable",ROUNDDOWN(CPI*D107,4),ROUND(CPI*D107,4))))</f>
        <v>225</v>
      </c>
      <c r="F107" s="2201">
        <v>0</v>
      </c>
      <c r="G107" s="2201">
        <v>0</v>
      </c>
      <c r="H107" s="2201">
        <v>0</v>
      </c>
      <c r="I107" s="2201">
        <v>0</v>
      </c>
    </row>
    <row r="108" spans="2:9" ht="15" customHeight="1">
      <c r="B108" s="2133" t="s">
        <v>1174</v>
      </c>
      <c r="C108" s="2047" t="s">
        <v>319</v>
      </c>
      <c r="D108" s="2198">
        <v>75</v>
      </c>
      <c r="E108" s="2079" cm="1">
        <f t="array" ref="E108">IF(ISERROR(IF(C108="Fixed",ROUNDDOWN(CPI*D108,2),IF(C108="Variable",ROUNDDOWN(CPI*D108,4),ROUND(CPI*D108,4)))),D108,IF(C108="Fixed",ROUNDDOWN(CPI*D108,2),IF(C108="Variable",ROUNDDOWN(CPI*D108,4),ROUND(CPI*D108,4))))</f>
        <v>75</v>
      </c>
      <c r="F108" s="2201">
        <v>0</v>
      </c>
      <c r="G108" s="2201">
        <v>0</v>
      </c>
      <c r="H108" s="2201">
        <v>0</v>
      </c>
      <c r="I108" s="2201">
        <v>0</v>
      </c>
    </row>
    <row r="109" spans="2:9" ht="15" customHeight="1">
      <c r="B109" s="2133" t="s">
        <v>1175</v>
      </c>
      <c r="C109" s="2047" t="s">
        <v>319</v>
      </c>
      <c r="D109" s="2198">
        <v>76.41</v>
      </c>
      <c r="E109" s="2079" cm="1">
        <f t="array" ref="E109">IF(ISERROR(IF(C109="Fixed",ROUNDDOWN(CPI*D109,2),IF(C109="Variable",ROUNDDOWN(CPI*D109,4),ROUND(CPI*D109,4)))),D109,IF(C109="Fixed",ROUNDDOWN(CPI*D109,2),IF(C109="Variable",ROUNDDOWN(CPI*D109,4),ROUND(CPI*D109,4))))</f>
        <v>76.41</v>
      </c>
      <c r="F109" s="2201">
        <v>0</v>
      </c>
      <c r="G109" s="2201">
        <v>0</v>
      </c>
      <c r="H109" s="2201">
        <v>0</v>
      </c>
      <c r="I109" s="2201">
        <v>0</v>
      </c>
    </row>
    <row r="110" spans="2:9" ht="15" customHeight="1">
      <c r="B110" s="2133" t="s">
        <v>1176</v>
      </c>
      <c r="C110" s="2047" t="s">
        <v>319</v>
      </c>
      <c r="D110" s="2198">
        <v>35.74</v>
      </c>
      <c r="E110" s="2079" cm="1">
        <f t="array" ref="E110">IF(ISERROR(IF(C110="Fixed",ROUNDDOWN(CPI*D110,2),IF(C110="Variable",ROUNDDOWN(CPI*D110,4),ROUND(CPI*D110,4)))),D110,IF(C110="Fixed",ROUNDDOWN(CPI*D110,2),IF(C110="Variable",ROUNDDOWN(CPI*D110,4),ROUND(CPI*D110,4))))</f>
        <v>35.74</v>
      </c>
      <c r="F110" s="2201">
        <v>0</v>
      </c>
      <c r="G110" s="2201">
        <v>0</v>
      </c>
      <c r="H110" s="2201">
        <v>0</v>
      </c>
      <c r="I110" s="2201">
        <v>0</v>
      </c>
    </row>
    <row r="111" spans="2:9" ht="15" customHeight="1">
      <c r="B111" s="2133" t="s">
        <v>1177</v>
      </c>
      <c r="C111" s="2047" t="s">
        <v>319</v>
      </c>
      <c r="D111" s="2198">
        <v>3.9741</v>
      </c>
      <c r="E111" s="2079" cm="1">
        <f t="array" ref="E111">IF(ISERROR(IF(C111="Fixed",ROUNDDOWN(CPI*D111,2),IF(C111="Variable",ROUNDDOWN(CPI*D111,4),ROUND(CPI*D111,4)))),D111,IF(C111="Fixed",ROUNDDOWN(CPI*D111,2),IF(C111="Variable",ROUNDDOWN(CPI*D111,4),ROUND(CPI*D111,4))))</f>
        <v>3.97</v>
      </c>
      <c r="F111" s="2201">
        <v>0</v>
      </c>
      <c r="G111" s="2201">
        <v>0</v>
      </c>
      <c r="H111" s="2201">
        <v>0</v>
      </c>
      <c r="I111" s="2201">
        <v>0</v>
      </c>
    </row>
    <row r="112" spans="2:9" ht="15" customHeight="1">
      <c r="B112" s="2133" t="s">
        <v>1178</v>
      </c>
      <c r="C112" s="2047" t="s">
        <v>319</v>
      </c>
      <c r="D112" s="2198">
        <v>1.9869000000000001</v>
      </c>
      <c r="E112" s="2079" cm="1">
        <f t="array" ref="E112">IF(ISERROR(IF(C112="Fixed",ROUNDDOWN(CPI*D112,2),IF(C112="Variable",ROUNDDOWN(CPI*D112,4),ROUND(CPI*D112,4)))),D112,IF(C112="Fixed",ROUNDDOWN(CPI*D112,2),IF(C112="Variable",ROUNDDOWN(CPI*D112,4),ROUND(CPI*D112,4))))</f>
        <v>1.98</v>
      </c>
      <c r="F112" s="2201">
        <v>0</v>
      </c>
      <c r="G112" s="2201">
        <v>0</v>
      </c>
      <c r="H112" s="2201">
        <v>0</v>
      </c>
      <c r="I112" s="2201">
        <v>0</v>
      </c>
    </row>
    <row r="113" spans="2:9" ht="15" customHeight="1">
      <c r="B113" s="2133" t="s">
        <v>1179</v>
      </c>
      <c r="C113" s="2047" t="s">
        <v>319</v>
      </c>
      <c r="D113" s="2198">
        <v>2.2536</v>
      </c>
      <c r="E113" s="2079" cm="1">
        <f t="array" ref="E113">IF(ISERROR(IF(C113="Fixed",ROUNDDOWN(CPI*D113,2),IF(C113="Variable",ROUNDDOWN(CPI*D113,4),ROUND(CPI*D113,4)))),D113,IF(C113="Fixed",ROUNDDOWN(CPI*D113,2),IF(C113="Variable",ROUNDDOWN(CPI*D113,4),ROUND(CPI*D113,4))))</f>
        <v>2.25</v>
      </c>
      <c r="F113" s="2201">
        <v>0</v>
      </c>
      <c r="G113" s="2201">
        <v>0</v>
      </c>
      <c r="H113" s="2201">
        <v>0</v>
      </c>
      <c r="I113" s="2201">
        <v>0</v>
      </c>
    </row>
    <row r="114" spans="2:9" ht="15" customHeight="1">
      <c r="B114" s="2133" t="s">
        <v>1180</v>
      </c>
      <c r="C114" s="2047" t="s">
        <v>319</v>
      </c>
      <c r="D114" s="2198" t="s">
        <v>1447</v>
      </c>
      <c r="E114" s="2079" t="str" cm="1">
        <f t="array" ref="E114">IF(ISERROR(IF(C114="Fixed",ROUNDDOWN(CPI*D114,2),IF(C114="Variable",ROUNDDOWN(CPI*D114,4),ROUND(CPI*D114,4)))),D114,IF(C114="Fixed",ROUNDDOWN(CPI*D114,2),IF(C114="Variable",ROUNDDOWN(CPI*D114,4),ROUND(CPI*D114,4))))</f>
        <v>At Cost</v>
      </c>
      <c r="F114" s="2201">
        <v>0</v>
      </c>
      <c r="G114" s="2201">
        <v>0</v>
      </c>
      <c r="H114" s="2201">
        <v>0</v>
      </c>
      <c r="I114" s="2201">
        <v>0</v>
      </c>
    </row>
    <row r="115" spans="2:9" ht="15" customHeight="1">
      <c r="B115" s="2133" t="s">
        <v>1473</v>
      </c>
      <c r="C115" s="2047" t="s">
        <v>319</v>
      </c>
      <c r="D115" s="2198">
        <v>228.35</v>
      </c>
      <c r="E115" s="2079" cm="1">
        <f t="array" ref="E115">IF(ISERROR(IF(C115="Fixed",ROUNDDOWN(CPI*D115,2),IF(C115="Variable",ROUNDDOWN(CPI*D115,4),ROUND(CPI*D115,4)))),D115,IF(C115="Fixed",ROUNDDOWN(CPI*D115,2),IF(C115="Variable",ROUNDDOWN(CPI*D115,4),ROUND(CPI*D115,4))))</f>
        <v>228.35</v>
      </c>
      <c r="F115" s="2201">
        <v>0</v>
      </c>
      <c r="G115" s="2201">
        <v>0</v>
      </c>
      <c r="H115" s="2201">
        <v>0</v>
      </c>
      <c r="I115" s="2201">
        <v>0</v>
      </c>
    </row>
    <row r="116" spans="2:9" ht="15" customHeight="1">
      <c r="B116" s="2133" t="s">
        <v>1181</v>
      </c>
      <c r="C116" s="2047" t="s">
        <v>319</v>
      </c>
      <c r="D116" s="2198">
        <v>0</v>
      </c>
      <c r="E116" s="2079" cm="1">
        <f t="array" ref="E116">IF(ISERROR(IF(C116="Fixed",ROUNDDOWN(CPI*D116,2),IF(C116="Variable",ROUNDDOWN(CPI*D116,4),ROUND(CPI*D116,4)))),D116,IF(C116="Fixed",ROUNDDOWN(CPI*D116,2),IF(C116="Variable",ROUNDDOWN(CPI*D116,4),ROUND(CPI*D116,4))))</f>
        <v>0</v>
      </c>
      <c r="F116" s="2201">
        <v>0</v>
      </c>
      <c r="G116" s="2201">
        <v>0</v>
      </c>
      <c r="H116" s="2201">
        <v>0</v>
      </c>
      <c r="I116" s="2201">
        <v>0</v>
      </c>
    </row>
    <row r="117" spans="2:9" ht="15" customHeight="1">
      <c r="B117" s="2133" t="s">
        <v>1182</v>
      </c>
      <c r="C117" s="2047" t="s">
        <v>319</v>
      </c>
      <c r="D117" s="2198">
        <v>210.93</v>
      </c>
      <c r="E117" s="2079" cm="1">
        <f t="array" ref="E117">IF(ISERROR(IF(C117="Fixed",ROUNDDOWN(CPI*D117,2),IF(C117="Variable",ROUNDDOWN(CPI*D117,4),ROUND(CPI*D117,4)))),D117,IF(C117="Fixed",ROUNDDOWN(CPI*D117,2),IF(C117="Variable",ROUNDDOWN(CPI*D117,4),ROUND(CPI*D117,4))))</f>
        <v>210.93</v>
      </c>
      <c r="F117" s="2201">
        <v>0</v>
      </c>
      <c r="G117" s="2201">
        <v>0</v>
      </c>
      <c r="H117" s="2201">
        <v>0</v>
      </c>
      <c r="I117" s="2201">
        <v>0</v>
      </c>
    </row>
    <row r="118" spans="2:9" ht="15" customHeight="1">
      <c r="B118" s="2133" t="s">
        <v>1183</v>
      </c>
      <c r="C118" s="2047" t="s">
        <v>319</v>
      </c>
      <c r="D118" s="2198">
        <v>90.24</v>
      </c>
      <c r="E118" s="2079" cm="1">
        <f t="array" ref="E118">IF(ISERROR(IF(C118="Fixed",ROUNDDOWN(CPI*D118,2),IF(C118="Variable",ROUNDDOWN(CPI*D118,4),ROUND(CPI*D118,4)))),D118,IF(C118="Fixed",ROUNDDOWN(CPI*D118,2),IF(C118="Variable",ROUNDDOWN(CPI*D118,4),ROUND(CPI*D118,4))))</f>
        <v>90.24</v>
      </c>
      <c r="F118" s="2201">
        <v>0</v>
      </c>
      <c r="G118" s="2201">
        <v>0</v>
      </c>
      <c r="H118" s="2201">
        <v>0</v>
      </c>
      <c r="I118" s="2201">
        <v>0</v>
      </c>
    </row>
    <row r="119" spans="2:9" ht="15" customHeight="1">
      <c r="B119" s="2133" t="s">
        <v>1184</v>
      </c>
      <c r="C119" s="2047" t="s">
        <v>319</v>
      </c>
      <c r="D119" s="2198" t="s">
        <v>1447</v>
      </c>
      <c r="E119" s="2079" t="str" cm="1">
        <f t="array" ref="E119">IF(ISERROR(IF(C119="Fixed",ROUNDDOWN(CPI*D119,2),IF(C119="Variable",ROUNDDOWN(CPI*D119,4),ROUND(CPI*D119,4)))),D119,IF(C119="Fixed",ROUNDDOWN(CPI*D119,2),IF(C119="Variable",ROUNDDOWN(CPI*D119,4),ROUND(CPI*D119,4))))</f>
        <v>At Cost</v>
      </c>
      <c r="F119" s="2201">
        <v>0</v>
      </c>
      <c r="G119" s="2201">
        <v>0</v>
      </c>
      <c r="H119" s="2201">
        <v>0</v>
      </c>
      <c r="I119" s="2201">
        <v>0</v>
      </c>
    </row>
    <row r="120" spans="2:9" ht="15" customHeight="1">
      <c r="B120" s="2133" t="s">
        <v>1185</v>
      </c>
      <c r="C120" s="2047" t="s">
        <v>319</v>
      </c>
      <c r="D120" s="2198">
        <v>375</v>
      </c>
      <c r="E120" s="2079" cm="1">
        <f t="array" ref="E120">IF(ISERROR(IF(C120="Fixed",ROUNDDOWN(CPI*D120,2),IF(C120="Variable",ROUNDDOWN(CPI*D120,4),ROUND(CPI*D120,4)))),D120,IF(C120="Fixed",ROUNDDOWN(CPI*D120,2),IF(C120="Variable",ROUNDDOWN(CPI*D120,4),ROUND(CPI*D120,4))))</f>
        <v>375</v>
      </c>
      <c r="F120" s="2201">
        <v>0</v>
      </c>
      <c r="G120" s="2201">
        <v>0</v>
      </c>
      <c r="H120" s="2201">
        <v>0</v>
      </c>
      <c r="I120" s="2201">
        <v>0</v>
      </c>
    </row>
    <row r="121" spans="2:9" ht="15" customHeight="1">
      <c r="B121" s="2133" t="s">
        <v>1470</v>
      </c>
      <c r="C121" s="2047" t="s">
        <v>319</v>
      </c>
      <c r="D121" s="2198">
        <v>195</v>
      </c>
      <c r="E121" s="2079" cm="1">
        <f t="array" ref="E121">IF(ISERROR(IF(C121="Fixed",ROUNDDOWN(CPI*D121,2),IF(C121="Variable",ROUNDDOWN(CPI*D121,4),ROUND(CPI*D121,4)))),D121,IF(C121="Fixed",ROUNDDOWN(CPI*D121,2),IF(C121="Variable",ROUNDDOWN(CPI*D121,4),ROUND(CPI*D121,4))))</f>
        <v>195</v>
      </c>
      <c r="F121" s="2201">
        <v>0</v>
      </c>
      <c r="G121" s="2201">
        <v>0</v>
      </c>
      <c r="H121" s="2201">
        <v>0</v>
      </c>
      <c r="I121" s="2201">
        <v>0</v>
      </c>
    </row>
    <row r="122" spans="2:9" ht="15" customHeight="1">
      <c r="B122" s="2133" t="s">
        <v>1471</v>
      </c>
      <c r="C122" s="2047" t="s">
        <v>319</v>
      </c>
      <c r="D122" s="2198">
        <v>75</v>
      </c>
      <c r="E122" s="2079" cm="1">
        <f t="array" ref="E122">IF(ISERROR(IF(C122="Fixed",ROUNDDOWN(CPI*D122,2),IF(C122="Variable",ROUNDDOWN(CPI*D122,4),ROUND(CPI*D122,4)))),D122,IF(C122="Fixed",ROUNDDOWN(CPI*D122,2),IF(C122="Variable",ROUNDDOWN(CPI*D122,4),ROUND(CPI*D122,4))))</f>
        <v>75</v>
      </c>
      <c r="F122" s="2201">
        <v>0</v>
      </c>
      <c r="G122" s="2201">
        <v>0</v>
      </c>
      <c r="H122" s="2201">
        <v>0</v>
      </c>
      <c r="I122" s="2201">
        <v>0</v>
      </c>
    </row>
    <row r="123" spans="2:9" ht="15" customHeight="1">
      <c r="B123" s="2133" t="s">
        <v>1472</v>
      </c>
      <c r="C123" s="2047" t="s">
        <v>319</v>
      </c>
      <c r="D123" s="2198">
        <v>130</v>
      </c>
      <c r="E123" s="2079" cm="1">
        <f t="array" ref="E123">IF(ISERROR(IF(C123="Fixed",ROUNDDOWN(CPI*D123,2),IF(C123="Variable",ROUNDDOWN(CPI*D123,4),ROUND(CPI*D123,4)))),D123,IF(C123="Fixed",ROUNDDOWN(CPI*D123,2),IF(C123="Variable",ROUNDDOWN(CPI*D123,4),ROUND(CPI*D123,4))))</f>
        <v>130</v>
      </c>
      <c r="F123" s="2201">
        <v>0</v>
      </c>
      <c r="G123" s="2201">
        <v>0</v>
      </c>
      <c r="H123" s="2201">
        <v>0</v>
      </c>
      <c r="I123" s="2201">
        <v>0</v>
      </c>
    </row>
    <row r="124" spans="2:9" ht="15" customHeight="1">
      <c r="B124" s="2060"/>
      <c r="C124" s="2049"/>
      <c r="D124" s="2052"/>
      <c r="E124" s="2080"/>
      <c r="F124" s="2202"/>
      <c r="G124" s="2202"/>
      <c r="H124" s="2202"/>
      <c r="I124" s="2203"/>
    </row>
    <row r="125" spans="2:9" ht="15" customHeight="1">
      <c r="B125" s="2133" t="s">
        <v>1448</v>
      </c>
      <c r="C125" s="2047" t="s">
        <v>319</v>
      </c>
      <c r="D125" s="2198">
        <v>130</v>
      </c>
      <c r="E125" s="2079" cm="1">
        <f t="array" ref="E125">IF(ISERROR(IF(C125="Fixed",ROUNDDOWN(CPI*D125,2),IF(C125="Variable",ROUNDDOWN(CPI*D125,4),ROUND(CPI*D125,4)))),D125,IF(C125="Fixed",ROUNDDOWN(CPI*D125,2),IF(C125="Variable",ROUNDDOWN(CPI*D125,4),ROUND(CPI*D125,4))))</f>
        <v>130</v>
      </c>
      <c r="F125" s="2201">
        <v>0</v>
      </c>
      <c r="G125" s="2201">
        <v>0</v>
      </c>
      <c r="H125" s="2201">
        <v>0</v>
      </c>
      <c r="I125" s="2201">
        <v>0</v>
      </c>
    </row>
    <row r="126" spans="2:9" ht="15" customHeight="1">
      <c r="B126" s="2133" t="s">
        <v>1449</v>
      </c>
      <c r="C126" s="2047" t="s">
        <v>319</v>
      </c>
      <c r="D126" s="2198">
        <v>195</v>
      </c>
      <c r="E126" s="2079" cm="1">
        <f t="array" ref="E126">IF(ISERROR(IF(C126="Fixed",ROUNDDOWN(CPI*D126,2),IF(C126="Variable",ROUNDDOWN(CPI*D126,4),ROUND(CPI*D126,4)))),D126,IF(C126="Fixed",ROUNDDOWN(CPI*D126,2),IF(C126="Variable",ROUNDDOWN(CPI*D126,4),ROUND(CPI*D126,4))))</f>
        <v>195</v>
      </c>
      <c r="F126" s="2201">
        <v>0</v>
      </c>
      <c r="G126" s="2201">
        <v>0</v>
      </c>
      <c r="H126" s="2201">
        <v>0</v>
      </c>
      <c r="I126" s="2201">
        <v>0</v>
      </c>
    </row>
    <row r="127" spans="2:9" ht="15" customHeight="1">
      <c r="B127" s="2133" t="s">
        <v>1450</v>
      </c>
      <c r="C127" s="2047" t="s">
        <v>319</v>
      </c>
      <c r="D127" s="2198">
        <v>260</v>
      </c>
      <c r="E127" s="2079" cm="1">
        <f t="array" ref="E127">IF(ISERROR(IF(C127="Fixed",ROUNDDOWN(CPI*D127,2),IF(C127="Variable",ROUNDDOWN(CPI*D127,4),ROUND(CPI*D127,4)))),D127,IF(C127="Fixed",ROUNDDOWN(CPI*D127,2),IF(C127="Variable",ROUNDDOWN(CPI*D127,4),ROUND(CPI*D127,4))))</f>
        <v>260</v>
      </c>
      <c r="F127" s="2201">
        <v>0</v>
      </c>
      <c r="G127" s="2201">
        <v>0</v>
      </c>
      <c r="H127" s="2201">
        <v>0</v>
      </c>
      <c r="I127" s="2201">
        <v>0</v>
      </c>
    </row>
    <row r="128" spans="2:9" ht="15" customHeight="1">
      <c r="B128" s="2133" t="s">
        <v>1451</v>
      </c>
      <c r="C128" s="2047" t="s">
        <v>319</v>
      </c>
      <c r="D128" s="2198">
        <v>260</v>
      </c>
      <c r="E128" s="2079" cm="1">
        <f t="array" ref="E128">IF(ISERROR(IF(C128="Fixed",ROUNDDOWN(CPI*D128,2),IF(C128="Variable",ROUNDDOWN(CPI*D128,4),ROUND(CPI*D128,4)))),D128,IF(C128="Fixed",ROUNDDOWN(CPI*D128,2),IF(C128="Variable",ROUNDDOWN(CPI*D128,4),ROUND(CPI*D128,4))))</f>
        <v>260</v>
      </c>
      <c r="F128" s="2201">
        <v>0</v>
      </c>
      <c r="G128" s="2201">
        <v>0</v>
      </c>
      <c r="H128" s="2201">
        <v>0</v>
      </c>
      <c r="I128" s="2201">
        <v>0</v>
      </c>
    </row>
    <row r="129" spans="2:9" ht="15" customHeight="1">
      <c r="B129" s="2133" t="s">
        <v>1452</v>
      </c>
      <c r="C129" s="2047" t="s">
        <v>319</v>
      </c>
      <c r="D129" s="2198">
        <v>260</v>
      </c>
      <c r="E129" s="2079" cm="1">
        <f t="array" ref="E129">IF(ISERROR(IF(C129="Fixed",ROUNDDOWN(CPI*D129,2),IF(C129="Variable",ROUNDDOWN(CPI*D129,4),ROUND(CPI*D129,4)))),D129,IF(C129="Fixed",ROUNDDOWN(CPI*D129,2),IF(C129="Variable",ROUNDDOWN(CPI*D129,4),ROUND(CPI*D129,4))))</f>
        <v>260</v>
      </c>
      <c r="F129" s="2201">
        <v>0</v>
      </c>
      <c r="G129" s="2201">
        <v>0</v>
      </c>
      <c r="H129" s="2201">
        <v>0</v>
      </c>
      <c r="I129" s="2201">
        <v>0</v>
      </c>
    </row>
    <row r="130" spans="2:9" ht="15" customHeight="1">
      <c r="B130" s="2133" t="s">
        <v>1453</v>
      </c>
      <c r="C130" s="2047" t="s">
        <v>319</v>
      </c>
      <c r="D130" s="2198">
        <v>660</v>
      </c>
      <c r="E130" s="2079" cm="1">
        <f t="array" ref="E130">IF(ISERROR(IF(C130="Fixed",ROUNDDOWN(CPI*D130,2),IF(C130="Variable",ROUNDDOWN(CPI*D130,4),ROUND(CPI*D130,4)))),D130,IF(C130="Fixed",ROUNDDOWN(CPI*D130,2),IF(C130="Variable",ROUNDDOWN(CPI*D130,4),ROUND(CPI*D130,4))))</f>
        <v>660</v>
      </c>
      <c r="F130" s="2201">
        <v>0</v>
      </c>
      <c r="G130" s="2201">
        <v>0</v>
      </c>
      <c r="H130" s="2201">
        <v>0</v>
      </c>
      <c r="I130" s="2201">
        <v>0</v>
      </c>
    </row>
    <row r="131" spans="2:9" ht="15" customHeight="1">
      <c r="B131" s="2133" t="s">
        <v>1454</v>
      </c>
      <c r="C131" s="2047" t="s">
        <v>319</v>
      </c>
      <c r="D131" s="2198">
        <v>660</v>
      </c>
      <c r="E131" s="2079" cm="1">
        <f t="array" ref="E131">IF(ISERROR(IF(C131="Fixed",ROUNDDOWN(CPI*D131,2),IF(C131="Variable",ROUNDDOWN(CPI*D131,4),ROUND(CPI*D131,4)))),D131,IF(C131="Fixed",ROUNDDOWN(CPI*D131,2),IF(C131="Variable",ROUNDDOWN(CPI*D131,4),ROUND(CPI*D131,4))))</f>
        <v>660</v>
      </c>
      <c r="F131" s="2201">
        <v>0</v>
      </c>
      <c r="G131" s="2201">
        <v>0</v>
      </c>
      <c r="H131" s="2201">
        <v>0</v>
      </c>
      <c r="I131" s="2201">
        <v>0</v>
      </c>
    </row>
    <row r="132" spans="2:9" ht="15" customHeight="1">
      <c r="B132" s="2133" t="s">
        <v>1455</v>
      </c>
      <c r="C132" s="2047" t="s">
        <v>319</v>
      </c>
      <c r="D132" s="2198">
        <v>660</v>
      </c>
      <c r="E132" s="2079" cm="1">
        <f t="array" ref="E132">IF(ISERROR(IF(C132="Fixed",ROUNDDOWN(CPI*D132,2),IF(C132="Variable",ROUNDDOWN(CPI*D132,4),ROUND(CPI*D132,4)))),D132,IF(C132="Fixed",ROUNDDOWN(CPI*D132,2),IF(C132="Variable",ROUNDDOWN(CPI*D132,4),ROUND(CPI*D132,4))))</f>
        <v>660</v>
      </c>
      <c r="F132" s="2201">
        <v>0</v>
      </c>
      <c r="G132" s="2201">
        <v>0</v>
      </c>
      <c r="H132" s="2201">
        <v>0</v>
      </c>
      <c r="I132" s="2201">
        <v>0</v>
      </c>
    </row>
    <row r="133" spans="2:9" ht="15" customHeight="1">
      <c r="B133" s="2133" t="s">
        <v>1456</v>
      </c>
      <c r="C133" s="2047" t="s">
        <v>319</v>
      </c>
      <c r="D133" s="2198">
        <v>660</v>
      </c>
      <c r="E133" s="2079" cm="1">
        <f t="array" ref="E133">IF(ISERROR(IF(C133="Fixed",ROUNDDOWN(CPI*D133,2),IF(C133="Variable",ROUNDDOWN(CPI*D133,4),ROUND(CPI*D133,4)))),D133,IF(C133="Fixed",ROUNDDOWN(CPI*D133,2),IF(C133="Variable",ROUNDDOWN(CPI*D133,4),ROUND(CPI*D133,4))))</f>
        <v>660</v>
      </c>
      <c r="F133" s="2201">
        <v>0</v>
      </c>
      <c r="G133" s="2201">
        <v>0</v>
      </c>
      <c r="H133" s="2201">
        <v>0</v>
      </c>
      <c r="I133" s="2201">
        <v>0</v>
      </c>
    </row>
    <row r="134" spans="2:9" ht="15" customHeight="1">
      <c r="B134" s="2133" t="s">
        <v>1457</v>
      </c>
      <c r="C134" s="2047" t="s">
        <v>319</v>
      </c>
      <c r="D134" s="2198">
        <v>700</v>
      </c>
      <c r="E134" s="2079" cm="1">
        <f t="array" ref="E134">IF(ISERROR(IF(C134="Fixed",ROUNDDOWN(CPI*D134,2),IF(C134="Variable",ROUNDDOWN(CPI*D134,4),ROUND(CPI*D134,4)))),D134,IF(C134="Fixed",ROUNDDOWN(CPI*D134,2),IF(C134="Variable",ROUNDDOWN(CPI*D134,4),ROUND(CPI*D134,4))))</f>
        <v>700</v>
      </c>
      <c r="F134" s="2201">
        <v>0</v>
      </c>
      <c r="G134" s="2201">
        <v>0</v>
      </c>
      <c r="H134" s="2201">
        <v>0</v>
      </c>
      <c r="I134" s="2201">
        <v>0</v>
      </c>
    </row>
    <row r="135" spans="2:9" ht="15" customHeight="1">
      <c r="B135" s="2060"/>
      <c r="C135" s="2049"/>
      <c r="D135" s="2052"/>
      <c r="E135" s="2080"/>
      <c r="F135" s="2202"/>
      <c r="G135" s="2202"/>
      <c r="H135" s="2202"/>
      <c r="I135" s="2203"/>
    </row>
    <row r="136" spans="2:9" ht="15" customHeight="1">
      <c r="B136" s="2133" t="s">
        <v>1459</v>
      </c>
      <c r="C136" s="2047" t="s">
        <v>319</v>
      </c>
      <c r="D136" s="2198">
        <v>256.27</v>
      </c>
      <c r="E136" s="2079" cm="1">
        <f t="array" ref="E136">IF(ISERROR(IF(C136="Fixed",ROUNDDOWN(CPI*D136,2),IF(C136="Variable",ROUNDDOWN(CPI*D136,4),ROUND(CPI*D136,4)))),D136,IF(C136="Fixed",ROUNDDOWN(CPI*D136,2),IF(C136="Variable",ROUNDDOWN(CPI*D136,4),ROUND(CPI*D136,4))))</f>
        <v>256.27</v>
      </c>
      <c r="F136" s="2201">
        <v>0</v>
      </c>
      <c r="G136" s="2201">
        <v>0</v>
      </c>
      <c r="H136" s="2201">
        <v>0</v>
      </c>
      <c r="I136" s="2201">
        <v>0</v>
      </c>
    </row>
    <row r="137" spans="2:9" ht="15" customHeight="1">
      <c r="B137" s="2133" t="s">
        <v>1460</v>
      </c>
      <c r="C137" s="2047" t="s">
        <v>319</v>
      </c>
      <c r="D137" s="2198">
        <v>452.36</v>
      </c>
      <c r="E137" s="2079" cm="1">
        <f t="array" ref="E137">IF(ISERROR(IF(C137="Fixed",ROUNDDOWN(CPI*D137,2),IF(C137="Variable",ROUNDDOWN(CPI*D137,4),ROUND(CPI*D137,4)))),D137,IF(C137="Fixed",ROUNDDOWN(CPI*D137,2),IF(C137="Variable",ROUNDDOWN(CPI*D137,4),ROUND(CPI*D137,4))))</f>
        <v>452.36</v>
      </c>
      <c r="F137" s="2201">
        <v>0</v>
      </c>
      <c r="G137" s="2201">
        <v>0</v>
      </c>
      <c r="H137" s="2201">
        <v>0</v>
      </c>
      <c r="I137" s="2201">
        <v>0</v>
      </c>
    </row>
    <row r="138" spans="2:9" ht="15" customHeight="1">
      <c r="B138" s="2133" t="s">
        <v>1461</v>
      </c>
      <c r="C138" s="2047" t="s">
        <v>319</v>
      </c>
      <c r="D138" s="2198">
        <v>904.82</v>
      </c>
      <c r="E138" s="2079" cm="1">
        <f t="array" ref="E138">IF(ISERROR(IF(C138="Fixed",ROUNDDOWN(CPI*D138,2),IF(C138="Variable",ROUNDDOWN(CPI*D138,4),ROUND(CPI*D138,4)))),D138,IF(C138="Fixed",ROUNDDOWN(CPI*D138,2),IF(C138="Variable",ROUNDDOWN(CPI*D138,4),ROUND(CPI*D138,4))))</f>
        <v>904.82</v>
      </c>
      <c r="F138" s="2201">
        <v>0</v>
      </c>
      <c r="G138" s="2201">
        <v>0</v>
      </c>
      <c r="H138" s="2201">
        <v>0</v>
      </c>
      <c r="I138" s="2201">
        <v>0</v>
      </c>
    </row>
    <row r="139" spans="2:9" ht="15" customHeight="1">
      <c r="B139" s="2133" t="s">
        <v>1462</v>
      </c>
      <c r="C139" s="2047" t="s">
        <v>319</v>
      </c>
      <c r="D139" s="2198">
        <v>1281.9100000000001</v>
      </c>
      <c r="E139" s="2079" cm="1">
        <f t="array" ref="E139">IF(ISERROR(IF(C139="Fixed",ROUNDDOWN(CPI*D139,2),IF(C139="Variable",ROUNDDOWN(CPI*D139,4),ROUND(CPI*D139,4)))),D139,IF(C139="Fixed",ROUNDDOWN(CPI*D139,2),IF(C139="Variable",ROUNDDOWN(CPI*D139,4),ROUND(CPI*D139,4))))</f>
        <v>1281.9100000000001</v>
      </c>
      <c r="F139" s="2201">
        <v>0</v>
      </c>
      <c r="G139" s="2201">
        <v>0</v>
      </c>
      <c r="H139" s="2201">
        <v>0</v>
      </c>
      <c r="I139" s="2201">
        <v>0</v>
      </c>
    </row>
    <row r="140" spans="2:9" ht="15" customHeight="1">
      <c r="B140" s="2133" t="s">
        <v>1463</v>
      </c>
      <c r="C140" s="2047" t="s">
        <v>319</v>
      </c>
      <c r="D140" s="2198">
        <v>3016.4</v>
      </c>
      <c r="E140" s="2079" cm="1">
        <f t="array" ref="E140">IF(ISERROR(IF(C140="Fixed",ROUNDDOWN(CPI*D140,2),IF(C140="Variable",ROUNDDOWN(CPI*D140,4),ROUND(CPI*D140,4)))),D140,IF(C140="Fixed",ROUNDDOWN(CPI*D140,2),IF(C140="Variable",ROUNDDOWN(CPI*D140,4),ROUND(CPI*D140,4))))</f>
        <v>3016.4</v>
      </c>
      <c r="F140" s="2201">
        <v>0</v>
      </c>
      <c r="G140" s="2201">
        <v>0</v>
      </c>
      <c r="H140" s="2201">
        <v>0</v>
      </c>
      <c r="I140" s="2201">
        <v>0</v>
      </c>
    </row>
    <row r="141" spans="2:9" ht="15" customHeight="1">
      <c r="B141" s="2133" t="s">
        <v>1464</v>
      </c>
      <c r="C141" s="2047" t="s">
        <v>319</v>
      </c>
      <c r="D141" s="2198">
        <v>3921.14</v>
      </c>
      <c r="E141" s="2079" cm="1">
        <f t="array" ref="E141">IF(ISERROR(IF(C141="Fixed",ROUNDDOWN(CPI*D141,2),IF(C141="Variable",ROUNDDOWN(CPI*D141,4),ROUND(CPI*D141,4)))),D141,IF(C141="Fixed",ROUNDDOWN(CPI*D141,2),IF(C141="Variable",ROUNDDOWN(CPI*D141,4),ROUND(CPI*D141,4))))</f>
        <v>3921.14</v>
      </c>
      <c r="F141" s="2201">
        <v>0</v>
      </c>
      <c r="G141" s="2201">
        <v>0</v>
      </c>
      <c r="H141" s="2201">
        <v>0</v>
      </c>
      <c r="I141" s="2201">
        <v>0</v>
      </c>
    </row>
    <row r="142" spans="2:9" ht="15" customHeight="1">
      <c r="B142" s="2133" t="s">
        <v>1465</v>
      </c>
      <c r="C142" s="2047" t="s">
        <v>319</v>
      </c>
      <c r="D142" s="2198">
        <v>5052.21</v>
      </c>
      <c r="E142" s="2079" cm="1">
        <f t="array" ref="E142">IF(ISERROR(IF(C142="Fixed",ROUNDDOWN(CPI*D142,2),IF(C142="Variable",ROUNDDOWN(CPI*D142,4),ROUND(CPI*D142,4)))),D142,IF(C142="Fixed",ROUNDDOWN(CPI*D142,2),IF(C142="Variable",ROUNDDOWN(CPI*D142,4),ROUND(CPI*D142,4))))</f>
        <v>5052.21</v>
      </c>
      <c r="F142" s="2201">
        <v>0</v>
      </c>
      <c r="G142" s="2201">
        <v>0</v>
      </c>
      <c r="H142" s="2201">
        <v>0</v>
      </c>
      <c r="I142" s="2201">
        <v>0</v>
      </c>
    </row>
    <row r="143" spans="2:9" ht="15" customHeight="1">
      <c r="B143" s="2133" t="s">
        <v>1466</v>
      </c>
      <c r="C143" s="2047" t="s">
        <v>319</v>
      </c>
      <c r="D143" s="2198">
        <v>5429.44</v>
      </c>
      <c r="E143" s="2079" cm="1">
        <f t="array" ref="E143">IF(ISERROR(IF(C143="Fixed",ROUNDDOWN(CPI*D143,2),IF(C143="Variable",ROUNDDOWN(CPI*D143,4),ROUND(CPI*D143,4)))),D143,IF(C143="Fixed",ROUNDDOWN(CPI*D143,2),IF(C143="Variable",ROUNDDOWN(CPI*D143,4),ROUND(CPI*D143,4))))</f>
        <v>5429.44</v>
      </c>
      <c r="F143" s="2201">
        <v>0</v>
      </c>
      <c r="G143" s="2201">
        <v>0</v>
      </c>
      <c r="H143" s="2201">
        <v>0</v>
      </c>
      <c r="I143" s="2201">
        <v>0</v>
      </c>
    </row>
    <row r="144" spans="2:9" ht="15" customHeight="1">
      <c r="B144" s="2133" t="s">
        <v>1467</v>
      </c>
      <c r="C144" s="2047" t="s">
        <v>319</v>
      </c>
      <c r="D144" s="2198">
        <v>8672.33</v>
      </c>
      <c r="E144" s="2079" cm="1">
        <f t="array" ref="E144">IF(ISERROR(IF(C144="Fixed",ROUNDDOWN(CPI*D144,2),IF(C144="Variable",ROUNDDOWN(CPI*D144,4),ROUND(CPI*D144,4)))),D144,IF(C144="Fixed",ROUNDDOWN(CPI*D144,2),IF(C144="Variable",ROUNDDOWN(CPI*D144,4),ROUND(CPI*D144,4))))</f>
        <v>8672.33</v>
      </c>
      <c r="F144" s="2201">
        <v>0</v>
      </c>
      <c r="G144" s="2201">
        <v>0</v>
      </c>
      <c r="H144" s="2201">
        <v>0</v>
      </c>
      <c r="I144" s="2201">
        <v>0</v>
      </c>
    </row>
    <row r="145" spans="2:9" ht="15" customHeight="1">
      <c r="B145" s="2060"/>
      <c r="C145" s="2049"/>
      <c r="D145" s="2052"/>
      <c r="E145" s="2080"/>
      <c r="F145" s="2202"/>
      <c r="G145" s="2202"/>
      <c r="H145" s="2202"/>
      <c r="I145" s="2203"/>
    </row>
    <row r="146" spans="2:9" ht="15" customHeight="1">
      <c r="B146" s="2133" t="s">
        <v>1186</v>
      </c>
      <c r="C146" s="2053" t="s">
        <v>319</v>
      </c>
      <c r="D146" s="2198">
        <v>150.6</v>
      </c>
      <c r="E146" s="2079" cm="1">
        <f t="array" ref="E146">IF(ISERROR(IF(C146="Fixed",ROUNDDOWN(CPI*D146,2),IF(C146="Variable",ROUNDDOWN(CPI*D146,4),ROUND(CPI*D146,4)))),D146,IF(C146="Fixed",ROUNDDOWN(CPI*D146,2),IF(C146="Variable",ROUNDDOWN(CPI*D146,4),ROUND(CPI*D146,4))))</f>
        <v>150.6</v>
      </c>
      <c r="F146" s="2201">
        <v>0</v>
      </c>
      <c r="G146" s="2201">
        <v>0</v>
      </c>
      <c r="H146" s="2201">
        <v>0</v>
      </c>
      <c r="I146" s="2201">
        <v>0</v>
      </c>
    </row>
    <row r="147" spans="2:9" ht="15" customHeight="1">
      <c r="B147" s="2060"/>
      <c r="C147" s="2049"/>
      <c r="D147" s="2052"/>
      <c r="E147" s="2080"/>
      <c r="F147" s="2202"/>
      <c r="G147" s="2202"/>
      <c r="H147" s="2202"/>
      <c r="I147" s="2203"/>
    </row>
    <row r="148" spans="2:9" ht="15" customHeight="1">
      <c r="B148" s="2133" t="s">
        <v>1474</v>
      </c>
      <c r="C148" s="2053" t="s">
        <v>319</v>
      </c>
      <c r="D148" s="2198">
        <v>888.08</v>
      </c>
      <c r="E148" s="2079" cm="1">
        <f t="array" ref="E148">IF(ISERROR(IF(C148="Fixed",ROUNDDOWN(CPI*D148,2),IF(C148="Variable",ROUNDDOWN(CPI*D148,4),ROUND(CPI*D148,4)))),D148,IF(C148="Fixed",ROUNDDOWN(CPI*D148,2),IF(C148="Variable",ROUNDDOWN(CPI*D148,4),ROUND(CPI*D148,4))))</f>
        <v>888.08</v>
      </c>
      <c r="F148" s="2201">
        <v>0</v>
      </c>
      <c r="G148" s="2201">
        <v>0</v>
      </c>
      <c r="H148" s="2201">
        <v>0</v>
      </c>
      <c r="I148" s="2201">
        <v>0</v>
      </c>
    </row>
    <row r="149" spans="2:9" ht="15" customHeight="1">
      <c r="B149" s="2133" t="s">
        <v>1475</v>
      </c>
      <c r="C149" s="2053" t="s">
        <v>319</v>
      </c>
      <c r="D149" s="2198">
        <v>1013.56</v>
      </c>
      <c r="E149" s="2079" cm="1">
        <f t="array" ref="E149">IF(ISERROR(IF(C149="Fixed",ROUNDDOWN(CPI*D149,2),IF(C149="Variable",ROUNDDOWN(CPI*D149,4),ROUND(CPI*D149,4)))),D149,IF(C149="Fixed",ROUNDDOWN(CPI*D149,2),IF(C149="Variable",ROUNDDOWN(CPI*D149,4),ROUND(CPI*D149,4))))</f>
        <v>1013.56</v>
      </c>
      <c r="F149" s="2201">
        <v>0</v>
      </c>
      <c r="G149" s="2201">
        <v>0</v>
      </c>
      <c r="H149" s="2201">
        <v>0</v>
      </c>
      <c r="I149" s="2201">
        <v>0</v>
      </c>
    </row>
    <row r="150" spans="2:9" ht="15" customHeight="1">
      <c r="B150" s="2133" t="s">
        <v>1476</v>
      </c>
      <c r="C150" s="2053" t="s">
        <v>319</v>
      </c>
      <c r="D150" s="2198">
        <v>1136.18</v>
      </c>
      <c r="E150" s="2079" cm="1">
        <f t="array" ref="E150">IF(ISERROR(IF(C150="Fixed",ROUNDDOWN(CPI*D150,2),IF(C150="Variable",ROUNDDOWN(CPI*D150,4),ROUND(CPI*D150,4)))),D150,IF(C150="Fixed",ROUNDDOWN(CPI*D150,2),IF(C150="Variable",ROUNDDOWN(CPI*D150,4),ROUND(CPI*D150,4))))</f>
        <v>1136.18</v>
      </c>
      <c r="F150" s="2201">
        <v>0</v>
      </c>
      <c r="G150" s="2201">
        <v>0</v>
      </c>
      <c r="H150" s="2201">
        <v>0</v>
      </c>
      <c r="I150" s="2201">
        <v>0</v>
      </c>
    </row>
    <row r="151" spans="2:9" ht="15" customHeight="1">
      <c r="B151" s="2133" t="s">
        <v>1477</v>
      </c>
      <c r="C151" s="2053" t="s">
        <v>319</v>
      </c>
      <c r="D151" s="2198">
        <v>1257.53</v>
      </c>
      <c r="E151" s="2079" cm="1">
        <f t="array" ref="E151">IF(ISERROR(IF(C151="Fixed",ROUNDDOWN(CPI*D151,2),IF(C151="Variable",ROUNDDOWN(CPI*D151,4),ROUND(CPI*D151,4)))),D151,IF(C151="Fixed",ROUNDDOWN(CPI*D151,2),IF(C151="Variable",ROUNDDOWN(CPI*D151,4),ROUND(CPI*D151,4))))</f>
        <v>1257.53</v>
      </c>
      <c r="F151" s="2201">
        <v>0</v>
      </c>
      <c r="G151" s="2201">
        <v>0</v>
      </c>
      <c r="H151" s="2201">
        <v>0</v>
      </c>
      <c r="I151" s="2201">
        <v>0</v>
      </c>
    </row>
    <row r="152" spans="2:9" ht="15" customHeight="1">
      <c r="B152" s="2133" t="s">
        <v>1478</v>
      </c>
      <c r="C152" s="2053" t="s">
        <v>319</v>
      </c>
      <c r="D152" s="2198">
        <v>1384.56</v>
      </c>
      <c r="E152" s="2079" cm="1">
        <f t="array" ref="E152">IF(ISERROR(IF(C152="Fixed",ROUNDDOWN(CPI*D152,2),IF(C152="Variable",ROUNDDOWN(CPI*D152,4),ROUND(CPI*D152,4)))),D152,IF(C152="Fixed",ROUNDDOWN(CPI*D152,2),IF(C152="Variable",ROUNDDOWN(CPI*D152,4),ROUND(CPI*D152,4))))</f>
        <v>1384.56</v>
      </c>
      <c r="F152" s="2201">
        <v>0</v>
      </c>
      <c r="G152" s="2201">
        <v>0</v>
      </c>
      <c r="H152" s="2201">
        <v>0</v>
      </c>
      <c r="I152" s="2201">
        <v>0</v>
      </c>
    </row>
    <row r="153" spans="2:9" ht="15" customHeight="1">
      <c r="B153" s="2133" t="s">
        <v>1479</v>
      </c>
      <c r="C153" s="2053" t="s">
        <v>319</v>
      </c>
      <c r="D153" s="2198">
        <v>1508.75</v>
      </c>
      <c r="E153" s="2079" cm="1">
        <f t="array" ref="E153">IF(ISERROR(IF(C153="Fixed",ROUNDDOWN(CPI*D153,2),IF(C153="Variable",ROUNDDOWN(CPI*D153,4),ROUND(CPI*D153,4)))),D153,IF(C153="Fixed",ROUNDDOWN(CPI*D153,2),IF(C153="Variable",ROUNDDOWN(CPI*D153,4),ROUND(CPI*D153,4))))</f>
        <v>1508.75</v>
      </c>
      <c r="F153" s="2201">
        <v>0</v>
      </c>
      <c r="G153" s="2201">
        <v>0</v>
      </c>
      <c r="H153" s="2201">
        <v>0</v>
      </c>
      <c r="I153" s="2201">
        <v>0</v>
      </c>
    </row>
    <row r="154" spans="2:9" ht="15" customHeight="1">
      <c r="B154" s="2133" t="s">
        <v>1480</v>
      </c>
      <c r="C154" s="2053" t="s">
        <v>319</v>
      </c>
      <c r="D154" s="2198">
        <v>1632.89</v>
      </c>
      <c r="E154" s="2079" cm="1">
        <f t="array" ref="E154">IF(ISERROR(IF(C154="Fixed",ROUNDDOWN(CPI*D154,2),IF(C154="Variable",ROUNDDOWN(CPI*D154,4),ROUND(CPI*D154,4)))),D154,IF(C154="Fixed",ROUNDDOWN(CPI*D154,2),IF(C154="Variable",ROUNDDOWN(CPI*D154,4),ROUND(CPI*D154,4))))</f>
        <v>1632.89</v>
      </c>
      <c r="F154" s="2201">
        <v>0</v>
      </c>
      <c r="G154" s="2201">
        <v>0</v>
      </c>
      <c r="H154" s="2201">
        <v>0</v>
      </c>
      <c r="I154" s="2201">
        <v>0</v>
      </c>
    </row>
    <row r="155" spans="2:9" ht="15" customHeight="1">
      <c r="B155" s="2133" t="s">
        <v>1481</v>
      </c>
      <c r="C155" s="2053" t="s">
        <v>319</v>
      </c>
      <c r="D155" s="2198">
        <v>1756.87</v>
      </c>
      <c r="E155" s="2079" cm="1">
        <f t="array" ref="E155">IF(ISERROR(IF(C155="Fixed",ROUNDDOWN(CPI*D155,2),IF(C155="Variable",ROUNDDOWN(CPI*D155,4),ROUND(CPI*D155,4)))),D155,IF(C155="Fixed",ROUNDDOWN(CPI*D155,2),IF(C155="Variable",ROUNDDOWN(CPI*D155,4),ROUND(CPI*D155,4))))</f>
        <v>1756.87</v>
      </c>
      <c r="F155" s="2201">
        <v>0</v>
      </c>
      <c r="G155" s="2201">
        <v>0</v>
      </c>
      <c r="H155" s="2201">
        <v>0</v>
      </c>
      <c r="I155" s="2201">
        <v>0</v>
      </c>
    </row>
    <row r="156" spans="2:9" ht="15" customHeight="1">
      <c r="B156" s="2133" t="s">
        <v>1458</v>
      </c>
      <c r="C156" s="2053" t="s">
        <v>319</v>
      </c>
      <c r="D156" s="2198">
        <v>1360</v>
      </c>
      <c r="E156" s="2079" cm="1">
        <f t="array" ref="E156">IF(ISERROR(IF(C156="Fixed",ROUNDDOWN(CPI*D156,2),IF(C156="Variable",ROUNDDOWN(CPI*D156,4),ROUND(CPI*D156,4)))),D156,IF(C156="Fixed",ROUNDDOWN(CPI*D156,2),IF(C156="Variable",ROUNDDOWN(CPI*D156,4),ROUND(CPI*D156,4))))</f>
        <v>1360</v>
      </c>
      <c r="F156" s="2201">
        <v>0</v>
      </c>
      <c r="G156" s="2201">
        <v>0</v>
      </c>
      <c r="H156" s="2201">
        <v>0</v>
      </c>
      <c r="I156" s="2201">
        <v>0</v>
      </c>
    </row>
    <row r="157" spans="2:9" ht="15" customHeight="1">
      <c r="B157" s="2060"/>
      <c r="C157" s="2054"/>
      <c r="D157" s="2052"/>
      <c r="E157" s="2079"/>
      <c r="F157" s="2204"/>
      <c r="G157" s="2204"/>
      <c r="H157" s="2204"/>
      <c r="I157" s="2204"/>
    </row>
    <row r="158" spans="2:9" ht="15" customHeight="1">
      <c r="B158" s="2134" t="s">
        <v>1208</v>
      </c>
      <c r="C158" s="2054"/>
      <c r="D158" s="2052"/>
      <c r="E158" s="2079"/>
      <c r="F158" s="2204"/>
      <c r="G158" s="2204"/>
      <c r="H158" s="2204"/>
      <c r="I158" s="2204"/>
    </row>
    <row r="159" spans="2:9" ht="15" customHeight="1">
      <c r="B159" s="2133"/>
      <c r="C159" s="2053"/>
      <c r="D159" s="2051"/>
      <c r="E159" s="2079" cm="1">
        <f t="array" ref="E159">IF(ISERROR(IF(C159="Fixed",ROUNDDOWN(CPI*D159,2),IF(C159="Variable",ROUNDDOWN(CPI*D159,4),ROUND(CPI*D159,4)))),D159,IF(C159="Fixed",ROUNDDOWN(CPI*D159,2),IF(C159="Variable",ROUNDDOWN(CPI*D159,4),ROUND(CPI*D159,4))))</f>
        <v>0</v>
      </c>
      <c r="F159" s="2201"/>
      <c r="G159" s="2201"/>
      <c r="H159" s="2201"/>
      <c r="I159" s="2201"/>
    </row>
    <row r="160" spans="2:9" ht="15" customHeight="1">
      <c r="B160" s="2133"/>
      <c r="C160" s="2053"/>
      <c r="D160" s="2051"/>
      <c r="E160" s="2079" cm="1">
        <f t="array" ref="E160">IF(ISERROR(IF(C160="Fixed",ROUNDDOWN(CPI*D160,2),IF(C160="Variable",ROUNDDOWN(CPI*D160,4),ROUND(CPI*D160,4)))),D160,IF(C160="Fixed",ROUNDDOWN(CPI*D160,2),IF(C160="Variable",ROUNDDOWN(CPI*D160,4),ROUND(CPI*D160,4))))</f>
        <v>0</v>
      </c>
      <c r="F160" s="2201"/>
      <c r="G160" s="2201"/>
      <c r="H160" s="2201"/>
      <c r="I160" s="2201"/>
    </row>
    <row r="161" spans="2:9" ht="15" customHeight="1">
      <c r="B161" s="2133"/>
      <c r="C161" s="2053"/>
      <c r="D161" s="2051"/>
      <c r="E161" s="2079" cm="1">
        <f t="array" ref="E161">IF(ISERROR(IF(C161="Fixed",ROUNDDOWN(CPI*D161,2),IF(C161="Variable",ROUNDDOWN(CPI*D161,4),ROUND(CPI*D161,4)))),D161,IF(C161="Fixed",ROUNDDOWN(CPI*D161,2),IF(C161="Variable",ROUNDDOWN(CPI*D161,4),ROUND(CPI*D161,4))))</f>
        <v>0</v>
      </c>
      <c r="F161" s="2201"/>
      <c r="G161" s="2201"/>
      <c r="H161" s="2201"/>
      <c r="I161" s="2201"/>
    </row>
    <row r="162" spans="2:9" ht="15" customHeight="1">
      <c r="B162" s="2133"/>
      <c r="C162" s="2053"/>
      <c r="D162" s="2051"/>
      <c r="E162" s="2079" cm="1">
        <f t="array" ref="E162">IF(ISERROR(IF(C162="Fixed",ROUNDDOWN(CPI*D162,2),IF(C162="Variable",ROUNDDOWN(CPI*D162,4),ROUND(CPI*D162,4)))),D162,IF(C162="Fixed",ROUNDDOWN(CPI*D162,2),IF(C162="Variable",ROUNDDOWN(CPI*D162,4),ROUND(CPI*D162,4))))</f>
        <v>0</v>
      </c>
      <c r="F162" s="2201"/>
      <c r="G162" s="2201"/>
      <c r="H162" s="2201"/>
      <c r="I162" s="2201"/>
    </row>
    <row r="163" spans="2:9" ht="15" customHeight="1" thickBot="1">
      <c r="B163" s="2062"/>
      <c r="C163" s="2016"/>
      <c r="D163" s="2017"/>
      <c r="E163" s="2016"/>
      <c r="F163" s="2016"/>
      <c r="G163" s="2016"/>
      <c r="H163" s="2016"/>
      <c r="I163" s="2016"/>
    </row>
    <row r="164" spans="2:9" ht="15" customHeight="1"/>
    <row r="165" spans="2:9" ht="15" hidden="1" customHeight="1"/>
    <row r="166" spans="2:9" ht="15" hidden="1" customHeight="1"/>
    <row r="167" spans="2:9" ht="15" hidden="1" customHeight="1"/>
    <row r="168" spans="2:9" ht="15" hidden="1" customHeight="1"/>
    <row r="169" spans="2:9"/>
    <row r="170" spans="2:9"/>
    <row r="171" spans="2:9"/>
    <row r="172" spans="2:9"/>
    <row r="173" spans="2:9"/>
    <row r="174" spans="2:9"/>
    <row r="175" spans="2:9"/>
    <row r="176" spans="2:9"/>
    <row r="177"/>
    <row r="178"/>
  </sheetData>
  <sheetProtection algorithmName="SHA-512" hashValue="dSRU2k+qJdP5JfYk8BbQQhGrB8yBioM1vbwUdTc7lwe6LQPddgpUIe2FtfChLiSRn0V7tTyqH44gudMBXxy6DA==" saltValue="jm2Vsb4W+9/hCG9NKjgs+w==" spinCount="100000" sheet="1" objects="1" scenarios="1"/>
  <mergeCells count="1">
    <mergeCell ref="B4:I5"/>
  </mergeCells>
  <dataValidations count="1">
    <dataValidation type="list" allowBlank="1" showInputMessage="1" showErrorMessage="1" sqref="C125:C134 C18:C29 C32:C42 C45:C55 C58:C63 C13:C14 C67:C71 C82:C84 C86 C88 C91:C97 C74:C79 C146 C136:C144 C100:C123 C148:C156 C159:C162" xr:uid="{DEC9F648-4084-42AE-A506-E4B20B69A49F}">
      <formula1>"Fixed, Variable"</formula1>
    </dataValidation>
  </dataValidations>
  <pageMargins left="0.7" right="0.7" top="0.75" bottom="0.75" header="0.3" footer="0.3"/>
  <pageSetup paperSize="9" orientation="portrait" r:id="rId1"/>
  <headerFooter>
    <oddHeader>&amp;C&amp;"Calibri"&amp;12&amp;KFF0000 OFFICIAL&amp;1#_x000D_&amp;"Arial"&amp;8&amp;K000000&amp;B&amp;"Arial"&amp;12&amp;Kff0000​‌OFFICIAL‌​</oddHead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outlinePr summaryBelow="0"/>
  </sheetPr>
  <dimension ref="A2:BA173"/>
  <sheetViews>
    <sheetView showGridLines="0" zoomScale="120" zoomScaleNormal="120" workbookViewId="0">
      <pane xSplit="2" ySplit="6" topLeftCell="C81" activePane="bottomRight" state="frozen"/>
      <selection activeCell="V32" sqref="V32"/>
      <selection pane="topRight" activeCell="V32" sqref="V32"/>
      <selection pane="bottomLeft" activeCell="V32" sqref="V32"/>
      <selection pane="bottomRight" activeCell="M10" sqref="M10"/>
    </sheetView>
  </sheetViews>
  <sheetFormatPr defaultColWidth="9.33203125" defaultRowHeight="11.25" outlineLevelRow="1"/>
  <cols>
    <col min="1" max="1" width="31.33203125" style="1052" bestFit="1" customWidth="1"/>
    <col min="2" max="2" width="10.83203125" style="1052" customWidth="1"/>
    <col min="3" max="13" width="9.33203125" style="1052" customWidth="1"/>
    <col min="14" max="18" width="9.33203125" style="1055" customWidth="1"/>
    <col min="19" max="20" width="9.33203125" style="1052" customWidth="1"/>
    <col min="21" max="33" width="9.33203125" style="1052"/>
    <col min="34" max="52" width="9.33203125" style="1053"/>
    <col min="53" max="53" width="9.33203125" style="1054"/>
    <col min="54" max="16384" width="9.33203125" style="1052"/>
  </cols>
  <sheetData>
    <row r="2" spans="1:53" ht="18.75" customHeight="1">
      <c r="A2" s="2308" t="s">
        <v>779</v>
      </c>
      <c r="B2" s="2308"/>
      <c r="C2" s="2308"/>
      <c r="D2" s="2308"/>
      <c r="E2" s="2308"/>
      <c r="F2" s="2308"/>
      <c r="G2" s="2308"/>
      <c r="H2" s="2308"/>
      <c r="I2" s="2308"/>
      <c r="J2" s="2308"/>
      <c r="K2" s="2308"/>
      <c r="L2" s="2308"/>
      <c r="M2" s="2308"/>
      <c r="N2" s="2308"/>
      <c r="O2" s="2308"/>
      <c r="P2" s="2308"/>
      <c r="Q2" s="2308"/>
      <c r="R2" s="2308"/>
      <c r="S2" s="2308"/>
      <c r="T2" s="2308"/>
    </row>
    <row r="3" spans="1:53">
      <c r="O3" s="1056"/>
      <c r="P3" s="1056"/>
      <c r="Q3" s="1056"/>
      <c r="R3" s="1056"/>
    </row>
    <row r="4" spans="1:53">
      <c r="A4" s="1057" t="str">
        <f>"Billing"&amp;IF(B4="Q"," : Quarterly"," : Triannual")</f>
        <v>Billing : Quarterly</v>
      </c>
      <c r="B4" s="1058" t="s">
        <v>780</v>
      </c>
      <c r="C4" s="1059">
        <v>2019</v>
      </c>
      <c r="D4" s="1059">
        <f t="shared" ref="D4:T4" si="0">C4+1</f>
        <v>2020</v>
      </c>
      <c r="E4" s="1059">
        <f t="shared" si="0"/>
        <v>2021</v>
      </c>
      <c r="F4" s="1059">
        <f t="shared" si="0"/>
        <v>2022</v>
      </c>
      <c r="G4" s="1059">
        <f t="shared" si="0"/>
        <v>2023</v>
      </c>
      <c r="H4" s="1059">
        <f t="shared" si="0"/>
        <v>2024</v>
      </c>
      <c r="I4" s="1059">
        <f t="shared" si="0"/>
        <v>2025</v>
      </c>
      <c r="J4" s="1059">
        <f t="shared" si="0"/>
        <v>2026</v>
      </c>
      <c r="K4" s="1059">
        <f t="shared" si="0"/>
        <v>2027</v>
      </c>
      <c r="L4" s="1059">
        <f t="shared" si="0"/>
        <v>2028</v>
      </c>
      <c r="M4" s="1059">
        <f t="shared" si="0"/>
        <v>2029</v>
      </c>
      <c r="N4" s="1059">
        <f t="shared" si="0"/>
        <v>2030</v>
      </c>
      <c r="O4" s="1059">
        <f t="shared" si="0"/>
        <v>2031</v>
      </c>
      <c r="P4" s="1059">
        <f t="shared" si="0"/>
        <v>2032</v>
      </c>
      <c r="Q4" s="1059">
        <f t="shared" si="0"/>
        <v>2033</v>
      </c>
      <c r="R4" s="1059">
        <f t="shared" si="0"/>
        <v>2034</v>
      </c>
      <c r="S4" s="1059">
        <f t="shared" si="0"/>
        <v>2035</v>
      </c>
      <c r="T4" s="1059">
        <f t="shared" si="0"/>
        <v>2036</v>
      </c>
    </row>
    <row r="5" spans="1:53">
      <c r="B5" s="1053" t="s">
        <v>780</v>
      </c>
      <c r="C5" s="1960"/>
      <c r="D5" s="1960"/>
      <c r="E5" s="1960"/>
      <c r="F5" s="1961" t="s">
        <v>727</v>
      </c>
      <c r="G5" s="1960"/>
      <c r="H5" s="1853"/>
      <c r="I5" s="1853"/>
      <c r="J5" s="1853"/>
      <c r="K5" s="2309" t="s">
        <v>728</v>
      </c>
      <c r="L5" s="2310"/>
      <c r="M5" s="2310"/>
      <c r="N5" s="2310"/>
      <c r="O5" s="2311"/>
      <c r="P5" s="1853"/>
      <c r="Q5" s="1853"/>
      <c r="R5" s="1853" t="s">
        <v>1038</v>
      </c>
      <c r="S5" s="1853"/>
      <c r="T5" s="1853"/>
    </row>
    <row r="6" spans="1:53" s="1053" customFormat="1">
      <c r="B6" s="1053" t="s">
        <v>781</v>
      </c>
      <c r="C6" s="1060" t="str">
        <f t="shared" ref="C6:S6" si="1">+CONCATENATE(C4-1,"-",RIGHT(C4,2))</f>
        <v>2018-19</v>
      </c>
      <c r="D6" s="1060" t="str">
        <f t="shared" si="1"/>
        <v>2019-20</v>
      </c>
      <c r="E6" s="1060" t="str">
        <f t="shared" si="1"/>
        <v>2020-21</v>
      </c>
      <c r="F6" s="1060" t="str">
        <f t="shared" si="1"/>
        <v>2021-22</v>
      </c>
      <c r="G6" s="1060" t="str">
        <f t="shared" si="1"/>
        <v>2022-23</v>
      </c>
      <c r="H6" s="1060" t="str">
        <f>+CONCATENATE(H4-1,"-",RIGHT(H4,2))</f>
        <v>2023-24</v>
      </c>
      <c r="I6" s="1060" t="str">
        <f>+CONCATENATE(I4-1,"-",RIGHT(I4,2))</f>
        <v>2024-25</v>
      </c>
      <c r="J6" s="1060" t="str">
        <f>+CONCATENATE(J4-1,"-",RIGHT(J4,2))</f>
        <v>2025-26</v>
      </c>
      <c r="K6" s="1061" t="str">
        <f t="shared" si="1"/>
        <v>2026-27</v>
      </c>
      <c r="L6" s="1060" t="str">
        <f t="shared" si="1"/>
        <v>2027-28</v>
      </c>
      <c r="M6" s="1060" t="str">
        <f t="shared" si="1"/>
        <v>2028-29</v>
      </c>
      <c r="N6" s="1060" t="str">
        <f t="shared" si="1"/>
        <v>2029-30</v>
      </c>
      <c r="O6" s="1062" t="str">
        <f t="shared" si="1"/>
        <v>2030-31</v>
      </c>
      <c r="P6" s="1060" t="str">
        <f t="shared" si="1"/>
        <v>2031-32</v>
      </c>
      <c r="Q6" s="1060" t="str">
        <f t="shared" si="1"/>
        <v>2032-33</v>
      </c>
      <c r="R6" s="1060" t="str">
        <f t="shared" si="1"/>
        <v>2033-34</v>
      </c>
      <c r="S6" s="1060" t="str">
        <f t="shared" si="1"/>
        <v>2034-35</v>
      </c>
      <c r="T6" s="1060" t="str">
        <f>+CONCATENATE(T4-1,"-",RIGHT(T4,2))</f>
        <v>2035-36</v>
      </c>
      <c r="BA6" s="1054"/>
    </row>
    <row r="7" spans="1:53">
      <c r="C7" s="1063"/>
      <c r="D7" s="1063"/>
      <c r="E7" s="1063"/>
      <c r="F7" s="1063"/>
      <c r="G7" s="1063"/>
      <c r="H7" s="1063"/>
      <c r="I7" s="1063"/>
      <c r="J7" s="1063"/>
      <c r="K7" s="1064"/>
      <c r="O7" s="1065"/>
    </row>
    <row r="8" spans="1:53" s="1066" customFormat="1">
      <c r="A8" s="1066" t="s">
        <v>782</v>
      </c>
      <c r="C8" s="1067">
        <v>200</v>
      </c>
      <c r="D8" s="1067">
        <v>200</v>
      </c>
      <c r="E8" s="1067">
        <v>200</v>
      </c>
      <c r="F8" s="1067">
        <v>200</v>
      </c>
      <c r="G8" s="1067">
        <v>200</v>
      </c>
      <c r="H8" s="1067">
        <v>200</v>
      </c>
      <c r="I8" s="1067">
        <v>200</v>
      </c>
      <c r="J8" s="1067">
        <v>200</v>
      </c>
      <c r="K8" s="1596">
        <v>200</v>
      </c>
      <c r="L8" s="1597">
        <v>200</v>
      </c>
      <c r="M8" s="1597">
        <v>200</v>
      </c>
      <c r="N8" s="1598">
        <v>200</v>
      </c>
      <c r="O8" s="1599">
        <v>200</v>
      </c>
      <c r="P8" s="1598">
        <v>200</v>
      </c>
      <c r="Q8" s="1598">
        <v>200</v>
      </c>
      <c r="R8" s="1598">
        <v>200</v>
      </c>
      <c r="S8" s="1597">
        <v>200</v>
      </c>
      <c r="T8" s="1597">
        <v>200</v>
      </c>
      <c r="AH8" s="1068"/>
      <c r="AI8" s="1068"/>
      <c r="AJ8" s="1068"/>
      <c r="AK8" s="1068"/>
      <c r="AL8" s="1068"/>
      <c r="AM8" s="1068"/>
      <c r="AN8" s="1068"/>
      <c r="AO8" s="1068"/>
      <c r="AP8" s="1068"/>
      <c r="AQ8" s="1068"/>
      <c r="AR8" s="1068"/>
      <c r="AS8" s="1068"/>
      <c r="AT8" s="1068"/>
      <c r="AU8" s="1068"/>
      <c r="AV8" s="1068"/>
      <c r="AW8" s="1068"/>
      <c r="AX8" s="1068"/>
      <c r="AY8" s="1068"/>
      <c r="AZ8" s="1068"/>
      <c r="BA8" s="1069"/>
    </row>
    <row r="9" spans="1:53">
      <c r="C9" s="1070"/>
      <c r="D9" s="1070"/>
      <c r="E9" s="1070"/>
      <c r="F9" s="1070"/>
      <c r="G9" s="1070"/>
      <c r="H9" s="1070"/>
      <c r="I9" s="1070"/>
      <c r="J9" s="1070"/>
      <c r="K9" s="1064"/>
      <c r="O9" s="1065"/>
    </row>
    <row r="10" spans="1:53">
      <c r="A10" s="1055" t="s">
        <v>783</v>
      </c>
      <c r="B10" s="1055"/>
      <c r="C10" s="1071">
        <v>207.12</v>
      </c>
      <c r="D10" s="1071">
        <v>207.82</v>
      </c>
      <c r="E10" s="1071">
        <v>207.5</v>
      </c>
      <c r="F10" s="1071">
        <v>204.52</v>
      </c>
      <c r="G10" s="1071">
        <v>211.71</v>
      </c>
      <c r="H10" s="1071">
        <v>230.41</v>
      </c>
      <c r="I10" s="1071">
        <v>239.17</v>
      </c>
      <c r="J10" s="1071">
        <f>ROUNDDOWN(RevenuePriceCap_FO!W72,2)</f>
        <v>247.21</v>
      </c>
      <c r="K10" s="1600">
        <f>ROUNDDOWN(RevenuePriceCap_FO!X72,2)</f>
        <v>270.41000000000003</v>
      </c>
      <c r="L10" s="1601">
        <f>ROUNDDOWN(RevenuePriceCap_FO!Y72,2)</f>
        <v>294.97000000000003</v>
      </c>
      <c r="M10" s="1601">
        <f>ROUNDDOWN(RevenuePriceCap_FO!Z72,2)</f>
        <v>320.95999999999998</v>
      </c>
      <c r="N10" s="1602">
        <f>ROUNDDOWN(RevenuePriceCap_FO!AA72,2)</f>
        <v>348.45</v>
      </c>
      <c r="O10" s="1603">
        <f>ROUNDDOWN(RevenuePriceCap_FO!AB72,2)</f>
        <v>377.52</v>
      </c>
      <c r="P10" s="1602">
        <f>ROUNDDOWN(RevenuePriceCap_FO!AC72,2)</f>
        <v>383.56</v>
      </c>
      <c r="Q10" s="1602">
        <f>ROUNDDOWN(RevenuePriceCap_FO!AD72,2)</f>
        <v>389.7</v>
      </c>
      <c r="R10" s="1602">
        <f>ROUNDDOWN(RevenuePriceCap_FO!AE72,2)</f>
        <v>395.94</v>
      </c>
      <c r="S10" s="1601">
        <f>ROUNDDOWN(RevenuePriceCap_FO!AF72,2)</f>
        <v>402.27</v>
      </c>
      <c r="T10" s="1601">
        <f>ROUNDDOWN(RevenuePriceCap_FO!AG72,2)</f>
        <v>408.71</v>
      </c>
    </row>
    <row r="11" spans="1:53">
      <c r="A11" s="1055" t="s">
        <v>784</v>
      </c>
      <c r="B11" s="1055"/>
      <c r="C11" s="1076">
        <v>2.2547000000000001</v>
      </c>
      <c r="D11" s="1076">
        <v>2.2949999999999999</v>
      </c>
      <c r="E11" s="1076">
        <v>2.3557999999999999</v>
      </c>
      <c r="F11" s="1076">
        <v>2.3927</v>
      </c>
      <c r="G11" s="1076">
        <v>2.5257000000000001</v>
      </c>
      <c r="H11" s="1076">
        <v>2.7151999999999998</v>
      </c>
      <c r="I11" s="1076">
        <v>2.8260999999999998</v>
      </c>
      <c r="J11" s="1076">
        <f>ROUNDDOWN(RevenuePriceCap_FO!W66,4)</f>
        <v>2.9068999999999998</v>
      </c>
      <c r="K11" s="1600">
        <f>ROUNDDOWN(RevenuePriceCap_FO!X66,4)</f>
        <v>2.9676999999999998</v>
      </c>
      <c r="L11" s="1604">
        <f>ROUNDDOWN(RevenuePriceCap_FO!Y66,4)</f>
        <v>3.0299</v>
      </c>
      <c r="M11" s="1604">
        <f>ROUNDDOWN(RevenuePriceCap_FO!Z66,4)</f>
        <v>3.0931999999999999</v>
      </c>
      <c r="N11" s="1605">
        <f>ROUNDDOWN(RevenuePriceCap_FO!AA66,4)</f>
        <v>3.1579999999999999</v>
      </c>
      <c r="O11" s="1606">
        <f>ROUNDDOWN(RevenuePriceCap_FO!AB66,4)</f>
        <v>3.2241</v>
      </c>
      <c r="P11" s="1605">
        <f>ROUNDDOWN(RevenuePriceCap_FO!AC66,4)</f>
        <v>3.2757000000000001</v>
      </c>
      <c r="Q11" s="1605">
        <f>ROUNDDOWN(RevenuePriceCap_FO!AD66,4)</f>
        <v>3.3281000000000001</v>
      </c>
      <c r="R11" s="1605">
        <f>ROUNDDOWN(RevenuePriceCap_FO!AE66,4)</f>
        <v>3.3813</v>
      </c>
      <c r="S11" s="1604">
        <f>ROUNDDOWN(RevenuePriceCap_FO!AF66,4)</f>
        <v>3.4354</v>
      </c>
      <c r="T11" s="1604">
        <f>ROUNDDOWN(RevenuePriceCap_FO!AG66,4)</f>
        <v>3.4904000000000002</v>
      </c>
    </row>
    <row r="12" spans="1:53">
      <c r="A12" s="1055" t="s">
        <v>785</v>
      </c>
      <c r="B12" s="1055"/>
      <c r="C12" s="1076">
        <v>0</v>
      </c>
      <c r="D12" s="1076">
        <v>0</v>
      </c>
      <c r="E12" s="1076">
        <v>0</v>
      </c>
      <c r="F12" s="1076">
        <v>0</v>
      </c>
      <c r="G12" s="1076">
        <v>0</v>
      </c>
      <c r="H12" s="1076">
        <v>0</v>
      </c>
      <c r="I12" s="1076">
        <v>0</v>
      </c>
      <c r="J12" s="1076">
        <v>0</v>
      </c>
      <c r="K12" s="1600">
        <v>0</v>
      </c>
      <c r="L12" s="1604">
        <v>0</v>
      </c>
      <c r="M12" s="1604">
        <v>0</v>
      </c>
      <c r="N12" s="1605">
        <v>0</v>
      </c>
      <c r="O12" s="1606">
        <v>0</v>
      </c>
      <c r="P12" s="1605">
        <v>0</v>
      </c>
      <c r="Q12" s="1605">
        <v>0</v>
      </c>
      <c r="R12" s="1605">
        <v>0</v>
      </c>
      <c r="S12" s="1604">
        <v>0</v>
      </c>
      <c r="T12" s="1604">
        <v>0</v>
      </c>
    </row>
    <row r="13" spans="1:53">
      <c r="A13" s="1055" t="s">
        <v>786</v>
      </c>
      <c r="B13" s="1055"/>
      <c r="C13" s="1076">
        <v>0</v>
      </c>
      <c r="D13" s="1076">
        <v>0</v>
      </c>
      <c r="E13" s="1076">
        <v>0</v>
      </c>
      <c r="F13" s="1076">
        <v>0</v>
      </c>
      <c r="G13" s="1076">
        <v>0</v>
      </c>
      <c r="H13" s="1076">
        <v>0</v>
      </c>
      <c r="I13" s="1076">
        <v>0</v>
      </c>
      <c r="J13" s="1076">
        <v>0</v>
      </c>
      <c r="K13" s="1600">
        <v>0</v>
      </c>
      <c r="L13" s="1604">
        <v>0</v>
      </c>
      <c r="M13" s="1604">
        <v>0</v>
      </c>
      <c r="N13" s="1605">
        <v>0</v>
      </c>
      <c r="O13" s="1606">
        <v>0</v>
      </c>
      <c r="P13" s="1605">
        <v>0</v>
      </c>
      <c r="Q13" s="1605">
        <v>0</v>
      </c>
      <c r="R13" s="1605">
        <v>0</v>
      </c>
      <c r="S13" s="1604">
        <v>0</v>
      </c>
      <c r="T13" s="1604">
        <v>0</v>
      </c>
    </row>
    <row r="14" spans="1:53">
      <c r="A14" s="1055" t="s">
        <v>787</v>
      </c>
      <c r="B14" s="1055"/>
      <c r="C14" s="1071">
        <v>239.16</v>
      </c>
      <c r="D14" s="1071">
        <v>239.97</v>
      </c>
      <c r="E14" s="1071">
        <v>239.59</v>
      </c>
      <c r="F14" s="1071">
        <v>236.16</v>
      </c>
      <c r="G14" s="1071">
        <v>244.48</v>
      </c>
      <c r="H14" s="1071">
        <v>266.07</v>
      </c>
      <c r="I14" s="1071">
        <v>276.19</v>
      </c>
      <c r="J14" s="1071">
        <f>ROUNDDOWN(RevenuePriceCap_FO!W168,2)</f>
        <v>285.47000000000003</v>
      </c>
      <c r="K14" s="1600">
        <f>ROUNDDOWN(RevenuePriceCap_FO!X168,2)</f>
        <v>311.68</v>
      </c>
      <c r="L14" s="1601">
        <f>ROUNDDOWN(RevenuePriceCap_FO!Y168,2)</f>
        <v>339.43</v>
      </c>
      <c r="M14" s="1601">
        <f>ROUNDDOWN(RevenuePriceCap_FO!Z168,2)</f>
        <v>368.78</v>
      </c>
      <c r="N14" s="1602">
        <f>ROUNDDOWN(RevenuePriceCap_FO!AA168,2)</f>
        <v>399.81</v>
      </c>
      <c r="O14" s="1603">
        <f>ROUNDDOWN(RevenuePriceCap_FO!AB168,2)</f>
        <v>432.6</v>
      </c>
      <c r="P14" s="1602">
        <f>ROUNDDOWN(RevenuePriceCap_FO!AC168,2)</f>
        <v>439.52</v>
      </c>
      <c r="Q14" s="1602">
        <f>ROUNDDOWN(RevenuePriceCap_FO!AD168,2)</f>
        <v>446.55</v>
      </c>
      <c r="R14" s="1602">
        <f>ROUNDDOWN(RevenuePriceCap_FO!AE168,2)</f>
        <v>453.7</v>
      </c>
      <c r="S14" s="1601">
        <f>ROUNDDOWN(RevenuePriceCap_FO!AF168,2)</f>
        <v>460.96</v>
      </c>
      <c r="T14" s="1601">
        <f>ROUNDDOWN(RevenuePriceCap_FO!AG168,2)</f>
        <v>468.33</v>
      </c>
    </row>
    <row r="15" spans="1:53">
      <c r="A15" s="1055" t="s">
        <v>788</v>
      </c>
      <c r="B15" s="1055"/>
      <c r="C15" s="1076">
        <v>0</v>
      </c>
      <c r="D15" s="1076">
        <v>0</v>
      </c>
      <c r="E15" s="1076">
        <v>0</v>
      </c>
      <c r="F15" s="1076">
        <v>0</v>
      </c>
      <c r="G15" s="1076">
        <v>0</v>
      </c>
      <c r="H15" s="1076">
        <v>0</v>
      </c>
      <c r="I15" s="1076">
        <v>0</v>
      </c>
      <c r="J15" s="1076">
        <v>0</v>
      </c>
      <c r="K15" s="1600">
        <v>0</v>
      </c>
      <c r="L15" s="1604">
        <v>0</v>
      </c>
      <c r="M15" s="1604">
        <v>0</v>
      </c>
      <c r="N15" s="1605">
        <v>0</v>
      </c>
      <c r="O15" s="1606">
        <v>0</v>
      </c>
      <c r="P15" s="1605">
        <v>0</v>
      </c>
      <c r="Q15" s="1605">
        <v>0</v>
      </c>
      <c r="R15" s="1605">
        <v>0</v>
      </c>
      <c r="S15" s="1604">
        <v>0</v>
      </c>
      <c r="T15" s="1604">
        <v>0</v>
      </c>
    </row>
    <row r="16" spans="1:53">
      <c r="A16" s="1055"/>
      <c r="B16" s="1055"/>
      <c r="C16" s="1081"/>
      <c r="D16" s="1081"/>
      <c r="E16" s="1081"/>
      <c r="F16" s="1081"/>
      <c r="G16" s="1081"/>
      <c r="H16" s="1081"/>
      <c r="I16" s="1081"/>
      <c r="J16" s="1081"/>
      <c r="K16" s="1064"/>
      <c r="O16" s="1065"/>
    </row>
    <row r="17" spans="1:53">
      <c r="A17" s="1082" t="s">
        <v>789</v>
      </c>
      <c r="B17" s="1055"/>
      <c r="C17" s="1083">
        <f t="shared" ref="C17:S17" si="2">C10</f>
        <v>207.12</v>
      </c>
      <c r="D17" s="1083">
        <f t="shared" si="2"/>
        <v>207.82</v>
      </c>
      <c r="E17" s="1083">
        <f t="shared" si="2"/>
        <v>207.5</v>
      </c>
      <c r="F17" s="1083">
        <f t="shared" si="2"/>
        <v>204.52</v>
      </c>
      <c r="G17" s="1083">
        <f t="shared" si="2"/>
        <v>211.71</v>
      </c>
      <c r="H17" s="1083">
        <f>H10</f>
        <v>230.41</v>
      </c>
      <c r="I17" s="1083">
        <f>I10</f>
        <v>239.17</v>
      </c>
      <c r="J17" s="1083">
        <f>J10</f>
        <v>247.21</v>
      </c>
      <c r="K17" s="1084">
        <f t="shared" si="2"/>
        <v>270.41000000000003</v>
      </c>
      <c r="L17" s="1085">
        <f t="shared" si="2"/>
        <v>294.97000000000003</v>
      </c>
      <c r="M17" s="1085">
        <f t="shared" si="2"/>
        <v>320.95999999999998</v>
      </c>
      <c r="N17" s="1086">
        <f t="shared" si="2"/>
        <v>348.45</v>
      </c>
      <c r="O17" s="1087">
        <f t="shared" si="2"/>
        <v>377.52</v>
      </c>
      <c r="P17" s="1086">
        <f t="shared" si="2"/>
        <v>383.56</v>
      </c>
      <c r="Q17" s="1086">
        <f t="shared" si="2"/>
        <v>389.7</v>
      </c>
      <c r="R17" s="1086">
        <f t="shared" si="2"/>
        <v>395.94</v>
      </c>
      <c r="S17" s="1085">
        <f t="shared" si="2"/>
        <v>402.27</v>
      </c>
      <c r="T17" s="1085">
        <f>T10</f>
        <v>408.71</v>
      </c>
    </row>
    <row r="18" spans="1:53">
      <c r="A18" s="1082" t="s">
        <v>790</v>
      </c>
      <c r="B18" s="1055"/>
      <c r="C18" s="1083">
        <f t="shared" ref="C18:S18" si="3">(C11*C$140)+(C12*C$141)+(C13*C$142)</f>
        <v>450.94000000000005</v>
      </c>
      <c r="D18" s="1083">
        <f t="shared" si="3"/>
        <v>459</v>
      </c>
      <c r="E18" s="1083">
        <f t="shared" si="3"/>
        <v>471.15999999999997</v>
      </c>
      <c r="F18" s="1083">
        <f t="shared" si="3"/>
        <v>478.54</v>
      </c>
      <c r="G18" s="1083">
        <f t="shared" si="3"/>
        <v>505.14</v>
      </c>
      <c r="H18" s="1083">
        <f>(H11*H$140)+(H12*H$141)+(H13*H$142)</f>
        <v>543.04</v>
      </c>
      <c r="I18" s="1083">
        <f>(I11*I$140)+(I12*I$141)+(I13*I$142)</f>
        <v>565.21999999999991</v>
      </c>
      <c r="J18" s="1083">
        <f>(J11*J$140)+(J12*J$141)+(J13*J$142)</f>
        <v>581.38</v>
      </c>
      <c r="K18" s="1084">
        <f t="shared" si="3"/>
        <v>593.54</v>
      </c>
      <c r="L18" s="1085">
        <f t="shared" si="3"/>
        <v>605.98</v>
      </c>
      <c r="M18" s="1085">
        <f t="shared" si="3"/>
        <v>618.64</v>
      </c>
      <c r="N18" s="1086">
        <f t="shared" si="3"/>
        <v>631.6</v>
      </c>
      <c r="O18" s="1087">
        <f t="shared" si="3"/>
        <v>644.81999999999994</v>
      </c>
      <c r="P18" s="1086">
        <f t="shared" si="3"/>
        <v>655.14</v>
      </c>
      <c r="Q18" s="1086">
        <f t="shared" si="3"/>
        <v>665.62</v>
      </c>
      <c r="R18" s="1086">
        <f t="shared" si="3"/>
        <v>676.26</v>
      </c>
      <c r="S18" s="1085">
        <f t="shared" si="3"/>
        <v>687.08</v>
      </c>
      <c r="T18" s="1085">
        <f>(T11*T$140)+(T12*T$141)+(T13*T$142)</f>
        <v>698.08</v>
      </c>
    </row>
    <row r="19" spans="1:53">
      <c r="A19" s="1082" t="s">
        <v>791</v>
      </c>
      <c r="B19" s="1055"/>
      <c r="C19" s="1083">
        <f t="shared" ref="C19:S19" si="4">C14</f>
        <v>239.16</v>
      </c>
      <c r="D19" s="1083">
        <f t="shared" si="4"/>
        <v>239.97</v>
      </c>
      <c r="E19" s="1083">
        <f t="shared" si="4"/>
        <v>239.59</v>
      </c>
      <c r="F19" s="1083">
        <f t="shared" si="4"/>
        <v>236.16</v>
      </c>
      <c r="G19" s="1083">
        <f t="shared" si="4"/>
        <v>244.48</v>
      </c>
      <c r="H19" s="1083">
        <f>H14</f>
        <v>266.07</v>
      </c>
      <c r="I19" s="1083">
        <f>I14</f>
        <v>276.19</v>
      </c>
      <c r="J19" s="1083">
        <f>J14</f>
        <v>285.47000000000003</v>
      </c>
      <c r="K19" s="1084">
        <f t="shared" si="4"/>
        <v>311.68</v>
      </c>
      <c r="L19" s="1085">
        <f t="shared" si="4"/>
        <v>339.43</v>
      </c>
      <c r="M19" s="1085">
        <f t="shared" si="4"/>
        <v>368.78</v>
      </c>
      <c r="N19" s="1086">
        <f t="shared" si="4"/>
        <v>399.81</v>
      </c>
      <c r="O19" s="1087">
        <f t="shared" si="4"/>
        <v>432.6</v>
      </c>
      <c r="P19" s="1086">
        <f t="shared" si="4"/>
        <v>439.52</v>
      </c>
      <c r="Q19" s="1086">
        <f t="shared" si="4"/>
        <v>446.55</v>
      </c>
      <c r="R19" s="1086">
        <f t="shared" si="4"/>
        <v>453.7</v>
      </c>
      <c r="S19" s="1085">
        <f t="shared" si="4"/>
        <v>460.96</v>
      </c>
      <c r="T19" s="1085">
        <f>T14</f>
        <v>468.33</v>
      </c>
    </row>
    <row r="20" spans="1:53">
      <c r="A20" s="1082" t="s">
        <v>792</v>
      </c>
      <c r="B20" s="1055"/>
      <c r="C20" s="1083">
        <f t="shared" ref="C20:S20" si="5">C15*C$150</f>
        <v>0</v>
      </c>
      <c r="D20" s="1083">
        <f t="shared" si="5"/>
        <v>0</v>
      </c>
      <c r="E20" s="1083">
        <f t="shared" si="5"/>
        <v>0</v>
      </c>
      <c r="F20" s="1083">
        <f t="shared" si="5"/>
        <v>0</v>
      </c>
      <c r="G20" s="1083">
        <f t="shared" si="5"/>
        <v>0</v>
      </c>
      <c r="H20" s="1083">
        <f>H15*H$150</f>
        <v>0</v>
      </c>
      <c r="I20" s="1083">
        <f>I15*I$150</f>
        <v>0</v>
      </c>
      <c r="J20" s="1083">
        <f>J15*J$150</f>
        <v>0</v>
      </c>
      <c r="K20" s="1084">
        <f t="shared" si="5"/>
        <v>0</v>
      </c>
      <c r="L20" s="1085">
        <f t="shared" si="5"/>
        <v>0</v>
      </c>
      <c r="M20" s="1085">
        <f t="shared" si="5"/>
        <v>0</v>
      </c>
      <c r="N20" s="1086">
        <f t="shared" si="5"/>
        <v>0</v>
      </c>
      <c r="O20" s="1087">
        <f t="shared" si="5"/>
        <v>0</v>
      </c>
      <c r="P20" s="1086">
        <f t="shared" si="5"/>
        <v>0</v>
      </c>
      <c r="Q20" s="1086">
        <f t="shared" si="5"/>
        <v>0</v>
      </c>
      <c r="R20" s="1086">
        <f t="shared" si="5"/>
        <v>0</v>
      </c>
      <c r="S20" s="1085">
        <f t="shared" si="5"/>
        <v>0</v>
      </c>
      <c r="T20" s="1085">
        <f>T15*T$150</f>
        <v>0</v>
      </c>
    </row>
    <row r="21" spans="1:53" ht="12" thickBot="1">
      <c r="A21" s="1082"/>
      <c r="B21" s="1055"/>
      <c r="C21" s="1083"/>
      <c r="D21" s="1083"/>
      <c r="E21" s="1083"/>
      <c r="F21" s="1083"/>
      <c r="G21" s="1083"/>
      <c r="H21" s="1083"/>
      <c r="I21" s="1083"/>
      <c r="J21" s="1083"/>
      <c r="K21" s="1084"/>
      <c r="L21" s="1085"/>
      <c r="M21" s="1085"/>
      <c r="N21" s="1086"/>
      <c r="O21" s="1087"/>
      <c r="P21" s="1086"/>
      <c r="Q21" s="1086"/>
      <c r="R21" s="1086"/>
      <c r="S21" s="1085"/>
      <c r="T21" s="1085"/>
      <c r="AK21" s="1053" t="s">
        <v>726</v>
      </c>
      <c r="AP21" s="1053" t="s">
        <v>727</v>
      </c>
      <c r="AU21" s="1053" t="s">
        <v>728</v>
      </c>
    </row>
    <row r="22" spans="1:53" ht="12" thickBot="1">
      <c r="A22" s="1088" t="s">
        <v>793</v>
      </c>
      <c r="B22" s="1055"/>
      <c r="C22" s="1083"/>
      <c r="D22" s="1083"/>
      <c r="E22" s="1083"/>
      <c r="F22" s="1083"/>
      <c r="G22" s="1083"/>
      <c r="H22" s="1083"/>
      <c r="I22" s="1083"/>
      <c r="J22" s="1083"/>
      <c r="K22" s="1064"/>
      <c r="O22" s="1065"/>
      <c r="AK22" s="1053" t="str">
        <f>C6</f>
        <v>2018-19</v>
      </c>
      <c r="AL22" s="1053" t="str">
        <f>D6</f>
        <v>2019-20</v>
      </c>
      <c r="AM22" s="1053" t="str">
        <f>E6</f>
        <v>2020-21</v>
      </c>
      <c r="AN22" s="1053" t="str">
        <f>F6</f>
        <v>2021-22</v>
      </c>
      <c r="AO22" s="1053" t="str">
        <f>G6</f>
        <v>2022-23</v>
      </c>
      <c r="AP22" s="1053" t="str">
        <f t="shared" ref="AP22:AY22" si="6">K6</f>
        <v>2026-27</v>
      </c>
      <c r="AQ22" s="1053" t="str">
        <f t="shared" si="6"/>
        <v>2027-28</v>
      </c>
      <c r="AR22" s="1053" t="str">
        <f t="shared" si="6"/>
        <v>2028-29</v>
      </c>
      <c r="AS22" s="1053" t="str">
        <f t="shared" si="6"/>
        <v>2029-30</v>
      </c>
      <c r="AT22" s="1053" t="str">
        <f t="shared" si="6"/>
        <v>2030-31</v>
      </c>
      <c r="AU22" s="1053" t="str">
        <f t="shared" si="6"/>
        <v>2031-32</v>
      </c>
      <c r="AV22" s="1053" t="str">
        <f t="shared" si="6"/>
        <v>2032-33</v>
      </c>
      <c r="AW22" s="1053" t="str">
        <f t="shared" si="6"/>
        <v>2033-34</v>
      </c>
      <c r="AX22" s="1053" t="str">
        <f t="shared" si="6"/>
        <v>2034-35</v>
      </c>
      <c r="AY22" s="1053" t="str">
        <f t="shared" si="6"/>
        <v>2035-36</v>
      </c>
    </row>
    <row r="23" spans="1:53" s="1066" customFormat="1">
      <c r="A23" s="1089" t="s">
        <v>794</v>
      </c>
      <c r="B23" s="1090"/>
      <c r="C23" s="1091">
        <f>SUM(C17:C20)</f>
        <v>897.22</v>
      </c>
      <c r="D23" s="1091">
        <f t="shared" ref="D23:T23" si="7">SUM(D17:D20)</f>
        <v>906.79</v>
      </c>
      <c r="E23" s="1091">
        <f t="shared" si="7"/>
        <v>918.25</v>
      </c>
      <c r="F23" s="1091">
        <f t="shared" si="7"/>
        <v>919.22</v>
      </c>
      <c r="G23" s="1091">
        <f t="shared" si="7"/>
        <v>961.33</v>
      </c>
      <c r="H23" s="1091">
        <f>SUM(H17:H20)</f>
        <v>1039.52</v>
      </c>
      <c r="I23" s="1091">
        <f>SUM(I17:I20)</f>
        <v>1080.58</v>
      </c>
      <c r="J23" s="1091">
        <f>SUM(J17:J20)</f>
        <v>1114.06</v>
      </c>
      <c r="K23" s="1092">
        <f t="shared" si="7"/>
        <v>1175.6300000000001</v>
      </c>
      <c r="L23" s="1091">
        <f t="shared" si="7"/>
        <v>1240.3800000000001</v>
      </c>
      <c r="M23" s="1091">
        <f t="shared" si="7"/>
        <v>1308.3799999999999</v>
      </c>
      <c r="N23" s="1091">
        <f t="shared" si="7"/>
        <v>1379.86</v>
      </c>
      <c r="O23" s="1093">
        <f t="shared" si="7"/>
        <v>1454.94</v>
      </c>
      <c r="P23" s="1091">
        <f t="shared" si="7"/>
        <v>1478.22</v>
      </c>
      <c r="Q23" s="1091">
        <f t="shared" si="7"/>
        <v>1501.87</v>
      </c>
      <c r="R23" s="1091">
        <f t="shared" si="7"/>
        <v>1525.9</v>
      </c>
      <c r="S23" s="1091">
        <f t="shared" si="7"/>
        <v>1550.31</v>
      </c>
      <c r="T23" s="1094">
        <f t="shared" si="7"/>
        <v>1575.12</v>
      </c>
      <c r="U23" s="1066" t="s">
        <v>1053</v>
      </c>
      <c r="AH23" s="1068"/>
      <c r="AI23" s="1068"/>
      <c r="AJ23" s="1095" t="s">
        <v>795</v>
      </c>
      <c r="AK23" s="1096">
        <f>IF(C23="0","",C23)</f>
        <v>897.22</v>
      </c>
      <c r="AL23" s="1096">
        <f>IF(D23="0","",D23)</f>
        <v>906.79</v>
      </c>
      <c r="AM23" s="1096">
        <f>IF(E23="0","",E23)</f>
        <v>918.25</v>
      </c>
      <c r="AN23" s="1096">
        <f>IF(F23="0","",F23)</f>
        <v>919.22</v>
      </c>
      <c r="AO23" s="1096">
        <f>IF(G23="0","",G23)</f>
        <v>961.33</v>
      </c>
      <c r="AP23" s="1096">
        <f t="shared" ref="AP23:AY23" si="8">IF(K23="0","",K23)</f>
        <v>1175.6300000000001</v>
      </c>
      <c r="AQ23" s="1096">
        <f t="shared" si="8"/>
        <v>1240.3800000000001</v>
      </c>
      <c r="AR23" s="1096">
        <f t="shared" si="8"/>
        <v>1308.3799999999999</v>
      </c>
      <c r="AS23" s="1096">
        <f t="shared" si="8"/>
        <v>1379.86</v>
      </c>
      <c r="AT23" s="1096">
        <f t="shared" si="8"/>
        <v>1454.94</v>
      </c>
      <c r="AU23" s="1096">
        <f t="shared" si="8"/>
        <v>1478.22</v>
      </c>
      <c r="AV23" s="1096">
        <f t="shared" si="8"/>
        <v>1501.87</v>
      </c>
      <c r="AW23" s="1096">
        <f t="shared" si="8"/>
        <v>1525.9</v>
      </c>
      <c r="AX23" s="1096">
        <f t="shared" si="8"/>
        <v>1550.31</v>
      </c>
      <c r="AY23" s="1096">
        <f t="shared" si="8"/>
        <v>1575.12</v>
      </c>
      <c r="AZ23" s="1068"/>
      <c r="BA23" s="1069"/>
    </row>
    <row r="24" spans="1:53" s="1100" customFormat="1">
      <c r="A24" s="1097" t="s">
        <v>796</v>
      </c>
      <c r="B24" s="2166"/>
      <c r="C24" s="2167"/>
      <c r="D24" s="2168">
        <f t="shared" ref="D24:J24" si="9">IF(D23=0,"-",D23/C23-1)</f>
        <v>1.0666280288000651E-2</v>
      </c>
      <c r="E24" s="2168">
        <f t="shared" si="9"/>
        <v>1.2637986744450158E-2</v>
      </c>
      <c r="F24" s="2168">
        <f t="shared" si="9"/>
        <v>1.0563572011978994E-3</v>
      </c>
      <c r="G24" s="2168">
        <f t="shared" si="9"/>
        <v>4.5810578533974411E-2</v>
      </c>
      <c r="H24" s="2168">
        <f t="shared" si="9"/>
        <v>8.1335233478618152E-2</v>
      </c>
      <c r="I24" s="2168">
        <f t="shared" si="9"/>
        <v>3.9498999538248425E-2</v>
      </c>
      <c r="J24" s="1098">
        <f t="shared" si="9"/>
        <v>3.0983360787725234E-2</v>
      </c>
      <c r="K24" s="2168">
        <f t="shared" ref="K24:T24" si="10">IF(K23=0,"-",K23/J23-1)</f>
        <v>5.5266323178285059E-2</v>
      </c>
      <c r="L24" s="2168">
        <f t="shared" si="10"/>
        <v>5.507685241104765E-2</v>
      </c>
      <c r="M24" s="2168">
        <f t="shared" si="10"/>
        <v>5.482190941485654E-2</v>
      </c>
      <c r="N24" s="2168">
        <f t="shared" si="10"/>
        <v>5.4632446231217324E-2</v>
      </c>
      <c r="O24" s="1098">
        <f t="shared" si="10"/>
        <v>5.4411317090139688E-2</v>
      </c>
      <c r="P24" s="2168">
        <f t="shared" si="10"/>
        <v>1.6000659821023611E-2</v>
      </c>
      <c r="Q24" s="2168">
        <f t="shared" si="10"/>
        <v>1.5998971736277401E-2</v>
      </c>
      <c r="R24" s="2168">
        <f t="shared" si="10"/>
        <v>1.6000053266927328E-2</v>
      </c>
      <c r="S24" s="2168">
        <f t="shared" si="10"/>
        <v>1.5997116455862104E-2</v>
      </c>
      <c r="T24" s="1099">
        <f t="shared" si="10"/>
        <v>1.6003250962710602E-2</v>
      </c>
      <c r="U24" s="1100" t="s">
        <v>1053</v>
      </c>
      <c r="AH24" s="1101"/>
      <c r="AI24" s="1101"/>
      <c r="AJ24" s="1102" t="s">
        <v>797</v>
      </c>
      <c r="AK24" s="1103"/>
      <c r="AL24" s="1103">
        <f>D24</f>
        <v>1.0666280288000651E-2</v>
      </c>
      <c r="AM24" s="1103">
        <f>E24</f>
        <v>1.2637986744450158E-2</v>
      </c>
      <c r="AN24" s="1103">
        <f>F24</f>
        <v>1.0563572011978994E-3</v>
      </c>
      <c r="AO24" s="1103">
        <f>G24</f>
        <v>4.5810578533974411E-2</v>
      </c>
      <c r="AP24" s="1103">
        <f t="shared" ref="AP24:AY24" si="11">K24</f>
        <v>5.5266323178285059E-2</v>
      </c>
      <c r="AQ24" s="1103">
        <f t="shared" si="11"/>
        <v>5.507685241104765E-2</v>
      </c>
      <c r="AR24" s="1103">
        <f t="shared" si="11"/>
        <v>5.482190941485654E-2</v>
      </c>
      <c r="AS24" s="1103">
        <f t="shared" si="11"/>
        <v>5.4632446231217324E-2</v>
      </c>
      <c r="AT24" s="1103">
        <f t="shared" si="11"/>
        <v>5.4411317090139688E-2</v>
      </c>
      <c r="AU24" s="1103">
        <f t="shared" si="11"/>
        <v>1.6000659821023611E-2</v>
      </c>
      <c r="AV24" s="1103">
        <f t="shared" si="11"/>
        <v>1.5998971736277401E-2</v>
      </c>
      <c r="AW24" s="1103">
        <f t="shared" si="11"/>
        <v>1.6000053266927328E-2</v>
      </c>
      <c r="AX24" s="1103">
        <f t="shared" si="11"/>
        <v>1.5997116455862104E-2</v>
      </c>
      <c r="AY24" s="1103">
        <f t="shared" si="11"/>
        <v>1.6003250962710602E-2</v>
      </c>
      <c r="AZ24" s="1101"/>
      <c r="BA24" s="1104"/>
    </row>
    <row r="25" spans="1:53" s="1100" customFormat="1">
      <c r="A25" s="1105"/>
      <c r="B25" s="1106"/>
      <c r="C25" s="1107"/>
      <c r="D25" s="2163"/>
      <c r="E25" s="2163"/>
      <c r="F25" s="2163"/>
      <c r="G25" s="2163"/>
      <c r="H25" s="2163"/>
      <c r="I25" s="2163"/>
      <c r="J25" s="2163"/>
      <c r="K25" s="1108"/>
      <c r="L25" s="2163"/>
      <c r="M25" s="2163"/>
      <c r="N25" s="2163"/>
      <c r="O25" s="1109"/>
      <c r="P25" s="2163"/>
      <c r="Q25" s="2163"/>
      <c r="R25" s="2163"/>
      <c r="S25" s="2163"/>
      <c r="T25" s="1110"/>
      <c r="AH25" s="1101"/>
      <c r="AI25" s="1101"/>
      <c r="AJ25" s="1111" t="s">
        <v>798</v>
      </c>
      <c r="AK25" s="1112">
        <f>C26</f>
        <v>450.94000000000005</v>
      </c>
      <c r="AL25" s="1112">
        <f>D26</f>
        <v>459</v>
      </c>
      <c r="AM25" s="1112">
        <f>E26</f>
        <v>471.15999999999997</v>
      </c>
      <c r="AN25" s="1112">
        <f>F26</f>
        <v>478.54</v>
      </c>
      <c r="AO25" s="1112">
        <f>G26</f>
        <v>505.14</v>
      </c>
      <c r="AP25" s="1112">
        <f t="shared" ref="AP25:AY26" si="12">K26</f>
        <v>593.54</v>
      </c>
      <c r="AQ25" s="1112">
        <f t="shared" si="12"/>
        <v>605.98</v>
      </c>
      <c r="AR25" s="1112">
        <f t="shared" si="12"/>
        <v>618.64</v>
      </c>
      <c r="AS25" s="1112">
        <f t="shared" si="12"/>
        <v>631.6</v>
      </c>
      <c r="AT25" s="1112">
        <f t="shared" si="12"/>
        <v>644.81999999999994</v>
      </c>
      <c r="AU25" s="1112">
        <f t="shared" si="12"/>
        <v>655.14</v>
      </c>
      <c r="AV25" s="1112">
        <f t="shared" si="12"/>
        <v>665.62</v>
      </c>
      <c r="AW25" s="1112">
        <f t="shared" si="12"/>
        <v>676.26</v>
      </c>
      <c r="AX25" s="1112">
        <f t="shared" si="12"/>
        <v>687.08</v>
      </c>
      <c r="AY25" s="1112">
        <f t="shared" si="12"/>
        <v>698.08</v>
      </c>
      <c r="AZ25" s="1101"/>
      <c r="BA25" s="1104"/>
    </row>
    <row r="26" spans="1:53" s="1066" customFormat="1">
      <c r="A26" s="1113" t="s">
        <v>799</v>
      </c>
      <c r="B26" s="2169"/>
      <c r="C26" s="2170">
        <f t="shared" ref="C26:T26" si="13">C18+C20</f>
        <v>450.94000000000005</v>
      </c>
      <c r="D26" s="2170">
        <f t="shared" si="13"/>
        <v>459</v>
      </c>
      <c r="E26" s="2170">
        <f t="shared" si="13"/>
        <v>471.15999999999997</v>
      </c>
      <c r="F26" s="2170">
        <f t="shared" si="13"/>
        <v>478.54</v>
      </c>
      <c r="G26" s="2170">
        <f t="shared" si="13"/>
        <v>505.14</v>
      </c>
      <c r="H26" s="2170">
        <f>H18+H20</f>
        <v>543.04</v>
      </c>
      <c r="I26" s="2170">
        <f>I18+I20</f>
        <v>565.21999999999991</v>
      </c>
      <c r="J26" s="2170">
        <f>J18+J20</f>
        <v>581.38</v>
      </c>
      <c r="K26" s="1114">
        <f t="shared" si="13"/>
        <v>593.54</v>
      </c>
      <c r="L26" s="2170">
        <f t="shared" si="13"/>
        <v>605.98</v>
      </c>
      <c r="M26" s="2170">
        <f t="shared" si="13"/>
        <v>618.64</v>
      </c>
      <c r="N26" s="2170">
        <f t="shared" si="13"/>
        <v>631.6</v>
      </c>
      <c r="O26" s="1115">
        <f t="shared" si="13"/>
        <v>644.81999999999994</v>
      </c>
      <c r="P26" s="2170">
        <f t="shared" si="13"/>
        <v>655.14</v>
      </c>
      <c r="Q26" s="2170">
        <f t="shared" si="13"/>
        <v>665.62</v>
      </c>
      <c r="R26" s="2170">
        <f t="shared" si="13"/>
        <v>676.26</v>
      </c>
      <c r="S26" s="2170">
        <f t="shared" si="13"/>
        <v>687.08</v>
      </c>
      <c r="T26" s="1116">
        <f t="shared" si="13"/>
        <v>698.08</v>
      </c>
      <c r="U26" s="1066" t="s">
        <v>1053</v>
      </c>
      <c r="AH26" s="1068"/>
      <c r="AI26" s="1068"/>
      <c r="AJ26" s="1103" t="s">
        <v>800</v>
      </c>
      <c r="AK26" s="1103"/>
      <c r="AL26" s="1103">
        <f>D27</f>
        <v>1.7873774781567375E-2</v>
      </c>
      <c r="AM26" s="1103">
        <f>E27</f>
        <v>2.6492374727668855E-2</v>
      </c>
      <c r="AN26" s="1103">
        <f>F27</f>
        <v>1.5663468885304566E-2</v>
      </c>
      <c r="AO26" s="1103">
        <f>G27</f>
        <v>5.5585739959042035E-2</v>
      </c>
      <c r="AP26" s="1103">
        <f t="shared" si="12"/>
        <v>2.0915752175857394E-2</v>
      </c>
      <c r="AQ26" s="1103">
        <f t="shared" si="12"/>
        <v>2.095899181184091E-2</v>
      </c>
      <c r="AR26" s="1103">
        <f t="shared" si="12"/>
        <v>2.0891778606554556E-2</v>
      </c>
      <c r="AS26" s="1103">
        <f t="shared" si="12"/>
        <v>2.0949178843915783E-2</v>
      </c>
      <c r="AT26" s="1103">
        <f t="shared" si="12"/>
        <v>2.0930968967700858E-2</v>
      </c>
      <c r="AU26" s="1103">
        <f t="shared" si="12"/>
        <v>1.6004466362705916E-2</v>
      </c>
      <c r="AV26" s="1103">
        <f t="shared" si="12"/>
        <v>1.599658088347522E-2</v>
      </c>
      <c r="AW26" s="1103">
        <f t="shared" si="12"/>
        <v>1.5985096601664583E-2</v>
      </c>
      <c r="AX26" s="1103">
        <f t="shared" si="12"/>
        <v>1.5999763404607847E-2</v>
      </c>
      <c r="AY26" s="1103">
        <f t="shared" si="12"/>
        <v>1.6009780520463313E-2</v>
      </c>
      <c r="AZ26" s="1068"/>
      <c r="BA26" s="1069"/>
    </row>
    <row r="27" spans="1:53" s="1100" customFormat="1" ht="12" thickBot="1">
      <c r="A27" s="1117" t="s">
        <v>796</v>
      </c>
      <c r="B27" s="1118"/>
      <c r="C27" s="1119"/>
      <c r="D27" s="1120">
        <f t="shared" ref="D27:I27" si="14">IF(D26=0,"-",D26/C26-1)</f>
        <v>1.7873774781567375E-2</v>
      </c>
      <c r="E27" s="1120">
        <f t="shared" si="14"/>
        <v>2.6492374727668855E-2</v>
      </c>
      <c r="F27" s="1120">
        <f t="shared" si="14"/>
        <v>1.5663468885304566E-2</v>
      </c>
      <c r="G27" s="1120">
        <f t="shared" si="14"/>
        <v>5.5585739959042035E-2</v>
      </c>
      <c r="H27" s="1120">
        <f t="shared" si="14"/>
        <v>7.502870491348923E-2</v>
      </c>
      <c r="I27" s="1120">
        <f t="shared" si="14"/>
        <v>4.0844136711844392E-2</v>
      </c>
      <c r="J27" s="1121">
        <f t="shared" ref="J27:T27" si="15">IF(J26=0,"-",J26/I26-1)</f>
        <v>2.8590637273981923E-2</v>
      </c>
      <c r="K27" s="1120">
        <f t="shared" si="15"/>
        <v>2.0915752175857394E-2</v>
      </c>
      <c r="L27" s="1120">
        <f t="shared" si="15"/>
        <v>2.095899181184091E-2</v>
      </c>
      <c r="M27" s="1120">
        <f t="shared" si="15"/>
        <v>2.0891778606554556E-2</v>
      </c>
      <c r="N27" s="1120">
        <f t="shared" si="15"/>
        <v>2.0949178843915783E-2</v>
      </c>
      <c r="O27" s="1121">
        <f t="shared" si="15"/>
        <v>2.0930968967700858E-2</v>
      </c>
      <c r="P27" s="1120">
        <f t="shared" si="15"/>
        <v>1.6004466362705916E-2</v>
      </c>
      <c r="Q27" s="1120">
        <f t="shared" si="15"/>
        <v>1.599658088347522E-2</v>
      </c>
      <c r="R27" s="1120">
        <f t="shared" si="15"/>
        <v>1.5985096601664583E-2</v>
      </c>
      <c r="S27" s="1120">
        <f t="shared" si="15"/>
        <v>1.5999763404607847E-2</v>
      </c>
      <c r="T27" s="1122">
        <f t="shared" si="15"/>
        <v>1.6009780520463313E-2</v>
      </c>
      <c r="U27" s="1100" t="s">
        <v>1053</v>
      </c>
      <c r="AH27" s="1101"/>
      <c r="AI27" s="1101"/>
      <c r="AJ27" s="1103" t="s">
        <v>801</v>
      </c>
      <c r="AK27" s="1103">
        <v>0</v>
      </c>
      <c r="AL27" s="1103">
        <v>0</v>
      </c>
      <c r="AM27" s="1103">
        <v>0</v>
      </c>
      <c r="AN27" s="1103">
        <v>0</v>
      </c>
      <c r="AO27" s="1103">
        <v>0</v>
      </c>
      <c r="AP27" s="1103">
        <v>0</v>
      </c>
      <c r="AQ27" s="1103">
        <v>0</v>
      </c>
      <c r="AR27" s="1103">
        <v>0</v>
      </c>
      <c r="AS27" s="1103">
        <v>0</v>
      </c>
      <c r="AT27" s="1103">
        <v>0</v>
      </c>
      <c r="AU27" s="1103">
        <v>0</v>
      </c>
      <c r="AV27" s="1103">
        <v>0</v>
      </c>
      <c r="AW27" s="1103">
        <v>0</v>
      </c>
      <c r="AX27" s="1103">
        <v>0</v>
      </c>
      <c r="AY27" s="1103">
        <v>0</v>
      </c>
      <c r="AZ27" s="1101"/>
      <c r="BA27" s="1104"/>
    </row>
    <row r="28" spans="1:53">
      <c r="A28" s="1082"/>
      <c r="B28" s="1055"/>
      <c r="C28" s="1083"/>
      <c r="D28" s="1083"/>
      <c r="E28" s="1083"/>
      <c r="F28" s="1083"/>
      <c r="G28" s="1083"/>
      <c r="H28" s="1083"/>
      <c r="I28" s="1083"/>
      <c r="J28" s="1083"/>
      <c r="K28" s="1084"/>
      <c r="L28" s="1085"/>
      <c r="M28" s="1085"/>
      <c r="N28" s="1086"/>
      <c r="O28" s="1087"/>
      <c r="P28" s="1086"/>
      <c r="Q28" s="1086"/>
      <c r="R28" s="1086"/>
      <c r="S28" s="1085"/>
      <c r="T28" s="1085"/>
    </row>
    <row r="29" spans="1:53">
      <c r="A29" s="1123" t="s">
        <v>802</v>
      </c>
      <c r="B29" s="1124"/>
      <c r="C29" s="1125"/>
      <c r="D29" s="1125"/>
      <c r="E29" s="1125"/>
      <c r="F29" s="1125"/>
      <c r="G29" s="1125"/>
      <c r="H29" s="1125"/>
      <c r="I29" s="1125"/>
      <c r="J29" s="1125"/>
      <c r="K29" s="1126"/>
      <c r="L29" s="1127"/>
      <c r="M29" s="1127"/>
      <c r="N29" s="1128"/>
      <c r="O29" s="1129"/>
      <c r="P29" s="1128"/>
      <c r="Q29" s="1128"/>
      <c r="R29" s="1128"/>
      <c r="S29" s="1127"/>
      <c r="T29" s="1127"/>
    </row>
    <row r="30" spans="1:53" outlineLevel="1">
      <c r="A30" s="1082"/>
      <c r="B30" s="1055"/>
      <c r="C30" s="1083"/>
      <c r="D30" s="1083"/>
      <c r="E30" s="1083"/>
      <c r="F30" s="1083"/>
      <c r="G30" s="1083"/>
      <c r="H30" s="1083"/>
      <c r="I30" s="1083"/>
      <c r="J30" s="1083"/>
      <c r="K30" s="1084"/>
      <c r="L30" s="1085"/>
      <c r="M30" s="1085"/>
      <c r="N30" s="1086"/>
      <c r="O30" s="1087"/>
      <c r="P30" s="1086"/>
      <c r="Q30" s="1086"/>
      <c r="R30" s="1086"/>
      <c r="S30" s="1085"/>
      <c r="T30" s="1085"/>
    </row>
    <row r="31" spans="1:53" outlineLevel="1">
      <c r="A31" s="1130" t="s">
        <v>803</v>
      </c>
      <c r="B31" s="1131"/>
      <c r="C31" s="1132"/>
      <c r="D31" s="1132"/>
      <c r="E31" s="1132"/>
      <c r="F31" s="1132"/>
      <c r="G31" s="1132"/>
      <c r="H31" s="1132"/>
      <c r="I31" s="1132"/>
      <c r="J31" s="1132"/>
      <c r="K31" s="1133"/>
      <c r="L31" s="1134"/>
      <c r="M31" s="1134"/>
      <c r="N31" s="1135"/>
      <c r="O31" s="1136"/>
      <c r="P31" s="1135"/>
      <c r="Q31" s="1135"/>
      <c r="R31" s="1135"/>
      <c r="S31" s="1134"/>
      <c r="T31" s="1134"/>
    </row>
    <row r="32" spans="1:53" outlineLevel="1">
      <c r="A32" s="1082" t="str">
        <f t="shared" ref="A32:A37" si="16">A10</f>
        <v>Supply charge Water (annual)</v>
      </c>
      <c r="B32" s="1055"/>
      <c r="C32" s="1137"/>
      <c r="D32" s="1137"/>
      <c r="E32" s="1137"/>
      <c r="F32" s="1137"/>
      <c r="G32" s="1137"/>
      <c r="H32" s="1137"/>
      <c r="I32" s="1137"/>
      <c r="J32" s="1137"/>
      <c r="K32" s="1072"/>
      <c r="L32" s="1073"/>
      <c r="M32" s="1073"/>
      <c r="N32" s="1074"/>
      <c r="O32" s="1075"/>
      <c r="P32" s="1074"/>
      <c r="Q32" s="1074"/>
      <c r="R32" s="1074"/>
      <c r="S32" s="1073"/>
      <c r="T32" s="1073"/>
    </row>
    <row r="33" spans="1:25" outlineLevel="1">
      <c r="A33" s="1082" t="str">
        <f t="shared" si="16"/>
        <v>Tier 1</v>
      </c>
      <c r="B33" s="1055"/>
      <c r="C33" s="1138"/>
      <c r="D33" s="1138"/>
      <c r="E33" s="1138"/>
      <c r="F33" s="1138"/>
      <c r="G33" s="1138"/>
      <c r="H33" s="1138"/>
      <c r="I33" s="1138"/>
      <c r="J33" s="1138"/>
      <c r="K33" s="1077"/>
      <c r="L33" s="1078"/>
      <c r="M33" s="1078"/>
      <c r="N33" s="1079"/>
      <c r="O33" s="1080"/>
      <c r="P33" s="1079"/>
      <c r="Q33" s="1079"/>
      <c r="R33" s="1079"/>
      <c r="S33" s="1078"/>
      <c r="T33" s="1078"/>
    </row>
    <row r="34" spans="1:25" outlineLevel="1">
      <c r="A34" s="1082" t="str">
        <f t="shared" si="16"/>
        <v>Tier 2</v>
      </c>
      <c r="B34" s="1055"/>
      <c r="C34" s="1138"/>
      <c r="D34" s="1138"/>
      <c r="E34" s="1138"/>
      <c r="F34" s="1138"/>
      <c r="G34" s="1138"/>
      <c r="H34" s="1138"/>
      <c r="I34" s="1138"/>
      <c r="J34" s="1138"/>
      <c r="K34" s="1077"/>
      <c r="L34" s="1078"/>
      <c r="M34" s="1078"/>
      <c r="N34" s="1079"/>
      <c r="O34" s="1080"/>
      <c r="P34" s="1079"/>
      <c r="Q34" s="1079"/>
      <c r="R34" s="1079"/>
      <c r="S34" s="1078"/>
      <c r="T34" s="1078"/>
    </row>
    <row r="35" spans="1:25" outlineLevel="1">
      <c r="A35" s="1082" t="str">
        <f t="shared" si="16"/>
        <v>Tier 3</v>
      </c>
      <c r="B35" s="1055"/>
      <c r="C35" s="1138"/>
      <c r="D35" s="1138"/>
      <c r="E35" s="1138"/>
      <c r="F35" s="1138"/>
      <c r="G35" s="1138"/>
      <c r="H35" s="1138"/>
      <c r="I35" s="1138"/>
      <c r="J35" s="1138"/>
      <c r="K35" s="1077"/>
      <c r="L35" s="1078"/>
      <c r="M35" s="1078"/>
      <c r="N35" s="1079"/>
      <c r="O35" s="1080"/>
      <c r="P35" s="1079"/>
      <c r="Q35" s="1079"/>
      <c r="R35" s="1079"/>
      <c r="S35" s="1078"/>
      <c r="T35" s="1078"/>
    </row>
    <row r="36" spans="1:25" outlineLevel="1">
      <c r="A36" s="1082" t="str">
        <f t="shared" si="16"/>
        <v>Supply charge Wastewater (annual)</v>
      </c>
      <c r="B36" s="1055"/>
      <c r="C36" s="1137"/>
      <c r="D36" s="1138"/>
      <c r="E36" s="1137"/>
      <c r="F36" s="1137"/>
      <c r="G36" s="1137"/>
      <c r="H36" s="1137"/>
      <c r="I36" s="1137"/>
      <c r="J36" s="1137"/>
      <c r="K36" s="1072"/>
      <c r="L36" s="1073"/>
      <c r="M36" s="1073"/>
      <c r="N36" s="1074"/>
      <c r="O36" s="1075"/>
      <c r="P36" s="1074"/>
      <c r="Q36" s="1074"/>
      <c r="R36" s="1074"/>
      <c r="S36" s="1073"/>
      <c r="T36" s="1073"/>
    </row>
    <row r="37" spans="1:25" outlineLevel="1">
      <c r="A37" s="1082" t="str">
        <f t="shared" si="16"/>
        <v>Volumetric wastewater</v>
      </c>
      <c r="B37" s="1055"/>
      <c r="C37" s="1138"/>
      <c r="D37" s="1138"/>
      <c r="E37" s="1138"/>
      <c r="F37" s="1138"/>
      <c r="G37" s="1138"/>
      <c r="H37" s="1138"/>
      <c r="I37" s="1138"/>
      <c r="J37" s="1138"/>
      <c r="K37" s="1077"/>
      <c r="L37" s="1078"/>
      <c r="M37" s="1078"/>
      <c r="N37" s="1079"/>
      <c r="O37" s="1080"/>
      <c r="P37" s="1079"/>
      <c r="Q37" s="1079"/>
      <c r="R37" s="1079"/>
      <c r="S37" s="1078"/>
      <c r="T37" s="1078"/>
    </row>
    <row r="38" spans="1:25" outlineLevel="1">
      <c r="A38" s="1082"/>
      <c r="B38" s="1055"/>
      <c r="C38" s="1083"/>
      <c r="D38" s="1083"/>
      <c r="E38" s="1083"/>
      <c r="F38" s="1083"/>
      <c r="G38" s="1083"/>
      <c r="H38" s="1083"/>
      <c r="I38" s="1083"/>
      <c r="J38" s="1083"/>
      <c r="K38" s="1084"/>
      <c r="L38" s="1085"/>
      <c r="M38" s="1085"/>
      <c r="N38" s="1086"/>
      <c r="O38" s="1087"/>
      <c r="P38" s="1086"/>
      <c r="Q38" s="1086"/>
      <c r="R38" s="1086"/>
      <c r="S38" s="1085"/>
      <c r="T38" s="1085"/>
    </row>
    <row r="39" spans="1:25" outlineLevel="1">
      <c r="A39" s="1130" t="s">
        <v>804</v>
      </c>
      <c r="B39" s="1131"/>
      <c r="C39" s="1132"/>
      <c r="D39" s="1132"/>
      <c r="E39" s="1132"/>
      <c r="F39" s="1132"/>
      <c r="G39" s="1132"/>
      <c r="H39" s="1132"/>
      <c r="I39" s="1132"/>
      <c r="J39" s="1132"/>
      <c r="K39" s="1133"/>
      <c r="L39" s="1134"/>
      <c r="M39" s="1134"/>
      <c r="N39" s="1135"/>
      <c r="O39" s="1136"/>
      <c r="P39" s="1135"/>
      <c r="Q39" s="1135"/>
      <c r="R39" s="1135"/>
      <c r="S39" s="1134"/>
      <c r="T39" s="1134"/>
    </row>
    <row r="40" spans="1:25" outlineLevel="1">
      <c r="A40" s="1082" t="str">
        <f t="shared" ref="A40:A45" si="17">A32</f>
        <v>Supply charge Water (annual)</v>
      </c>
      <c r="B40" s="1055"/>
      <c r="C40" s="1137"/>
      <c r="D40" s="1137"/>
      <c r="E40" s="1137"/>
      <c r="F40" s="1137"/>
      <c r="G40" s="1137"/>
      <c r="H40" s="1137"/>
      <c r="I40" s="1137"/>
      <c r="J40" s="1137"/>
      <c r="K40" s="1072"/>
      <c r="L40" s="1073"/>
      <c r="M40" s="1073"/>
      <c r="N40" s="1074"/>
      <c r="O40" s="1075"/>
      <c r="P40" s="1074"/>
      <c r="Q40" s="1074"/>
      <c r="R40" s="1074"/>
      <c r="S40" s="1073"/>
      <c r="T40" s="1073"/>
    </row>
    <row r="41" spans="1:25" outlineLevel="1">
      <c r="A41" s="1082" t="str">
        <f t="shared" si="17"/>
        <v>Tier 1</v>
      </c>
      <c r="B41" s="1055"/>
      <c r="C41" s="1138"/>
      <c r="D41" s="1138"/>
      <c r="E41" s="1138"/>
      <c r="F41" s="1138"/>
      <c r="G41" s="1138"/>
      <c r="H41" s="1138"/>
      <c r="I41" s="1138"/>
      <c r="J41" s="1138"/>
      <c r="K41" s="1077"/>
      <c r="L41" s="1078"/>
      <c r="M41" s="1078"/>
      <c r="N41" s="1079"/>
      <c r="O41" s="1080"/>
      <c r="P41" s="1079"/>
      <c r="Q41" s="1079"/>
      <c r="R41" s="1079"/>
      <c r="S41" s="1078"/>
      <c r="T41" s="1078"/>
    </row>
    <row r="42" spans="1:25" outlineLevel="1">
      <c r="A42" s="1082" t="str">
        <f t="shared" si="17"/>
        <v>Tier 2</v>
      </c>
      <c r="B42" s="1055"/>
      <c r="C42" s="1138"/>
      <c r="D42" s="1138"/>
      <c r="E42" s="1138"/>
      <c r="F42" s="1138"/>
      <c r="G42" s="1138"/>
      <c r="H42" s="1138"/>
      <c r="I42" s="1138"/>
      <c r="J42" s="1138"/>
      <c r="K42" s="1077"/>
      <c r="L42" s="1078"/>
      <c r="M42" s="1078"/>
      <c r="N42" s="1079"/>
      <c r="O42" s="1080"/>
      <c r="P42" s="1079"/>
      <c r="Q42" s="1079"/>
      <c r="R42" s="1079"/>
      <c r="S42" s="1078"/>
      <c r="T42" s="1078"/>
      <c r="Y42" s="1139"/>
    </row>
    <row r="43" spans="1:25" outlineLevel="1">
      <c r="A43" s="1082" t="str">
        <f t="shared" si="17"/>
        <v>Tier 3</v>
      </c>
      <c r="B43" s="1055"/>
      <c r="C43" s="1138"/>
      <c r="D43" s="1138"/>
      <c r="E43" s="1138"/>
      <c r="F43" s="1138"/>
      <c r="G43" s="1138"/>
      <c r="H43" s="1138"/>
      <c r="I43" s="1138"/>
      <c r="J43" s="1138"/>
      <c r="K43" s="1077"/>
      <c r="L43" s="1078"/>
      <c r="M43" s="1078"/>
      <c r="N43" s="1079"/>
      <c r="O43" s="1080"/>
      <c r="P43" s="1079"/>
      <c r="Q43" s="1079"/>
      <c r="R43" s="1079"/>
      <c r="S43" s="1078"/>
      <c r="T43" s="1078"/>
    </row>
    <row r="44" spans="1:25" outlineLevel="1">
      <c r="A44" s="1082" t="str">
        <f t="shared" si="17"/>
        <v>Supply charge Wastewater (annual)</v>
      </c>
      <c r="B44" s="1055"/>
      <c r="C44" s="1137"/>
      <c r="D44" s="1138"/>
      <c r="E44" s="1138"/>
      <c r="F44" s="1137"/>
      <c r="G44" s="1137"/>
      <c r="H44" s="1137"/>
      <c r="I44" s="1137"/>
      <c r="J44" s="1137"/>
      <c r="K44" s="1072"/>
      <c r="L44" s="1073"/>
      <c r="M44" s="1073"/>
      <c r="N44" s="1074"/>
      <c r="O44" s="1075"/>
      <c r="P44" s="1074"/>
      <c r="Q44" s="1074"/>
      <c r="R44" s="1074"/>
      <c r="S44" s="1073"/>
      <c r="T44" s="1073"/>
    </row>
    <row r="45" spans="1:25" outlineLevel="1">
      <c r="A45" s="1082" t="str">
        <f t="shared" si="17"/>
        <v>Volumetric wastewater</v>
      </c>
      <c r="B45" s="1055"/>
      <c r="C45" s="1138"/>
      <c r="D45" s="1138"/>
      <c r="E45" s="1138"/>
      <c r="F45" s="1138"/>
      <c r="G45" s="1138"/>
      <c r="H45" s="1138"/>
      <c r="I45" s="1138"/>
      <c r="J45" s="1138"/>
      <c r="K45" s="1077"/>
      <c r="L45" s="1078"/>
      <c r="M45" s="1078"/>
      <c r="N45" s="1079"/>
      <c r="O45" s="1080"/>
      <c r="P45" s="1079"/>
      <c r="Q45" s="1079"/>
      <c r="R45" s="1079"/>
      <c r="S45" s="1078"/>
      <c r="T45" s="1078"/>
    </row>
    <row r="46" spans="1:25" outlineLevel="1">
      <c r="A46" s="1082"/>
      <c r="B46" s="1055"/>
      <c r="C46" s="1083"/>
      <c r="D46" s="1083"/>
      <c r="E46" s="1083"/>
      <c r="F46" s="1083"/>
      <c r="G46" s="1083"/>
      <c r="H46" s="1083"/>
      <c r="I46" s="1083"/>
      <c r="J46" s="1083"/>
      <c r="K46" s="1084"/>
      <c r="L46" s="1085"/>
      <c r="M46" s="1085"/>
      <c r="N46" s="1086"/>
      <c r="O46" s="1087"/>
      <c r="P46" s="1086"/>
      <c r="Q46" s="1086"/>
      <c r="R46" s="1086"/>
      <c r="S46" s="1085"/>
      <c r="T46" s="1085"/>
    </row>
    <row r="47" spans="1:25" outlineLevel="1">
      <c r="A47" s="1130" t="s">
        <v>805</v>
      </c>
      <c r="B47" s="1131"/>
      <c r="C47" s="1132"/>
      <c r="D47" s="1132"/>
      <c r="E47" s="1132"/>
      <c r="F47" s="1132"/>
      <c r="G47" s="1132"/>
      <c r="H47" s="1132"/>
      <c r="I47" s="1132"/>
      <c r="J47" s="1132"/>
      <c r="K47" s="1133"/>
      <c r="L47" s="1134"/>
      <c r="M47" s="1134"/>
      <c r="N47" s="1135"/>
      <c r="O47" s="1136"/>
      <c r="P47" s="1135"/>
      <c r="Q47" s="1135"/>
      <c r="R47" s="1135"/>
      <c r="S47" s="1134"/>
      <c r="T47" s="1134"/>
    </row>
    <row r="48" spans="1:25" outlineLevel="1">
      <c r="A48" s="1082" t="str">
        <f t="shared" ref="A48:A53" si="18">A40</f>
        <v>Supply charge Water (annual)</v>
      </c>
      <c r="B48" s="1055"/>
      <c r="C48" s="1137"/>
      <c r="D48" s="1137"/>
      <c r="E48" s="1137"/>
      <c r="F48" s="1137"/>
      <c r="G48" s="1137"/>
      <c r="H48" s="1137"/>
      <c r="I48" s="1137"/>
      <c r="J48" s="1137"/>
      <c r="K48" s="1072"/>
      <c r="L48" s="1073"/>
      <c r="M48" s="1073"/>
      <c r="N48" s="1074"/>
      <c r="O48" s="1075"/>
      <c r="P48" s="1074"/>
      <c r="Q48" s="1074"/>
      <c r="R48" s="1074"/>
      <c r="S48" s="1073"/>
      <c r="T48" s="1073"/>
    </row>
    <row r="49" spans="1:25" outlineLevel="1">
      <c r="A49" s="1082" t="str">
        <f t="shared" si="18"/>
        <v>Tier 1</v>
      </c>
      <c r="B49" s="1055"/>
      <c r="C49" s="1138"/>
      <c r="D49" s="1138"/>
      <c r="E49" s="1138"/>
      <c r="F49" s="1138"/>
      <c r="G49" s="1138"/>
      <c r="H49" s="1138"/>
      <c r="I49" s="1138"/>
      <c r="J49" s="1138"/>
      <c r="K49" s="1077"/>
      <c r="L49" s="1078"/>
      <c r="M49" s="1078"/>
      <c r="N49" s="1079"/>
      <c r="O49" s="1080"/>
      <c r="P49" s="1079"/>
      <c r="Q49" s="1079"/>
      <c r="R49" s="1079"/>
      <c r="S49" s="1078"/>
      <c r="T49" s="1078"/>
    </row>
    <row r="50" spans="1:25" outlineLevel="1">
      <c r="A50" s="1082" t="str">
        <f t="shared" si="18"/>
        <v>Tier 2</v>
      </c>
      <c r="B50" s="1055"/>
      <c r="C50" s="1138"/>
      <c r="D50" s="1138"/>
      <c r="E50" s="1138"/>
      <c r="F50" s="1138"/>
      <c r="G50" s="1138"/>
      <c r="H50" s="1138"/>
      <c r="I50" s="1138"/>
      <c r="J50" s="1138"/>
      <c r="K50" s="1077"/>
      <c r="L50" s="1078"/>
      <c r="M50" s="1078"/>
      <c r="N50" s="1079"/>
      <c r="O50" s="1080"/>
      <c r="P50" s="1079"/>
      <c r="Q50" s="1079"/>
      <c r="R50" s="1079"/>
      <c r="S50" s="1078"/>
      <c r="T50" s="1078"/>
      <c r="Y50" s="1139"/>
    </row>
    <row r="51" spans="1:25" outlineLevel="1">
      <c r="A51" s="1082" t="str">
        <f t="shared" si="18"/>
        <v>Tier 3</v>
      </c>
      <c r="B51" s="1055"/>
      <c r="C51" s="1138"/>
      <c r="D51" s="1138"/>
      <c r="E51" s="1138"/>
      <c r="F51" s="1138"/>
      <c r="G51" s="1138"/>
      <c r="H51" s="1138"/>
      <c r="I51" s="1138"/>
      <c r="J51" s="1138"/>
      <c r="K51" s="1077"/>
      <c r="L51" s="1078"/>
      <c r="M51" s="1078"/>
      <c r="N51" s="1079"/>
      <c r="O51" s="1080"/>
      <c r="P51" s="1079"/>
      <c r="Q51" s="1079"/>
      <c r="R51" s="1079"/>
      <c r="S51" s="1078"/>
      <c r="T51" s="1078"/>
    </row>
    <row r="52" spans="1:25" outlineLevel="1">
      <c r="A52" s="1082" t="str">
        <f t="shared" si="18"/>
        <v>Supply charge Wastewater (annual)</v>
      </c>
      <c r="B52" s="1055"/>
      <c r="C52" s="1137"/>
      <c r="D52" s="1137"/>
      <c r="E52" s="1137"/>
      <c r="F52" s="1137"/>
      <c r="G52" s="1137"/>
      <c r="H52" s="1137"/>
      <c r="I52" s="1137"/>
      <c r="J52" s="1137"/>
      <c r="K52" s="1072"/>
      <c r="L52" s="1073"/>
      <c r="M52" s="1073"/>
      <c r="N52" s="1074"/>
      <c r="O52" s="1075"/>
      <c r="P52" s="1074"/>
      <c r="Q52" s="1074"/>
      <c r="R52" s="1074"/>
      <c r="S52" s="1073"/>
      <c r="T52" s="1073"/>
    </row>
    <row r="53" spans="1:25" outlineLevel="1">
      <c r="A53" s="1082" t="str">
        <f t="shared" si="18"/>
        <v>Volumetric wastewater</v>
      </c>
      <c r="B53" s="1055"/>
      <c r="C53" s="1138"/>
      <c r="D53" s="1138"/>
      <c r="E53" s="1138"/>
      <c r="F53" s="1138"/>
      <c r="G53" s="1138"/>
      <c r="H53" s="1138"/>
      <c r="I53" s="1138"/>
      <c r="J53" s="1138"/>
      <c r="K53" s="1077"/>
      <c r="L53" s="1078"/>
      <c r="M53" s="1078"/>
      <c r="N53" s="1079"/>
      <c r="O53" s="1080"/>
      <c r="P53" s="1079"/>
      <c r="Q53" s="1079"/>
      <c r="R53" s="1079"/>
      <c r="S53" s="1078"/>
      <c r="T53" s="1078"/>
    </row>
    <row r="54" spans="1:25" outlineLevel="1">
      <c r="A54" s="1082"/>
      <c r="B54" s="1055"/>
      <c r="C54" s="1083"/>
      <c r="D54" s="1083"/>
      <c r="E54" s="1083"/>
      <c r="F54" s="1083"/>
      <c r="G54" s="1083"/>
      <c r="H54" s="1083"/>
      <c r="I54" s="1083"/>
      <c r="J54" s="1083"/>
      <c r="K54" s="1084"/>
      <c r="L54" s="1085"/>
      <c r="M54" s="1085"/>
      <c r="N54" s="1086"/>
      <c r="O54" s="1087"/>
      <c r="P54" s="1086"/>
      <c r="Q54" s="1086"/>
      <c r="R54" s="1086"/>
      <c r="S54" s="1085"/>
      <c r="T54" s="1085"/>
    </row>
    <row r="55" spans="1:25" outlineLevel="1">
      <c r="A55" s="1055" t="s">
        <v>783</v>
      </c>
      <c r="B55" s="1055"/>
      <c r="C55" s="1140">
        <f>C10-C32-C40-C48</f>
        <v>207.12</v>
      </c>
      <c r="D55" s="1140">
        <f t="shared" ref="D55:T55" si="19">D10-D32-D40-D48</f>
        <v>207.82</v>
      </c>
      <c r="E55" s="1140">
        <f>E10-E32-E40-E48</f>
        <v>207.5</v>
      </c>
      <c r="F55" s="1140">
        <f t="shared" si="19"/>
        <v>204.52</v>
      </c>
      <c r="G55" s="1140">
        <f t="shared" si="19"/>
        <v>211.71</v>
      </c>
      <c r="H55" s="1140">
        <f t="shared" ref="H55:J60" si="20">H10-H32-H40-H48</f>
        <v>230.41</v>
      </c>
      <c r="I55" s="1140">
        <f t="shared" si="20"/>
        <v>239.17</v>
      </c>
      <c r="J55" s="1140">
        <f t="shared" si="20"/>
        <v>247.21</v>
      </c>
      <c r="K55" s="1084">
        <f t="shared" si="19"/>
        <v>270.41000000000003</v>
      </c>
      <c r="L55" s="1085">
        <f t="shared" si="19"/>
        <v>294.97000000000003</v>
      </c>
      <c r="M55" s="1085">
        <f t="shared" si="19"/>
        <v>320.95999999999998</v>
      </c>
      <c r="N55" s="1086">
        <f t="shared" si="19"/>
        <v>348.45</v>
      </c>
      <c r="O55" s="1087">
        <f t="shared" si="19"/>
        <v>377.52</v>
      </c>
      <c r="P55" s="1086">
        <f t="shared" si="19"/>
        <v>383.56</v>
      </c>
      <c r="Q55" s="1086">
        <f t="shared" si="19"/>
        <v>389.7</v>
      </c>
      <c r="R55" s="1086">
        <f t="shared" si="19"/>
        <v>395.94</v>
      </c>
      <c r="S55" s="1085">
        <f t="shared" si="19"/>
        <v>402.27</v>
      </c>
      <c r="T55" s="1085">
        <f t="shared" si="19"/>
        <v>408.71</v>
      </c>
      <c r="U55" s="1052" t="s">
        <v>1053</v>
      </c>
    </row>
    <row r="56" spans="1:25" outlineLevel="1">
      <c r="A56" s="1055" t="s">
        <v>784</v>
      </c>
      <c r="B56" s="1055"/>
      <c r="C56" s="1141">
        <f t="shared" ref="C56:T60" si="21">C11-C33-C41-C49</f>
        <v>2.2547000000000001</v>
      </c>
      <c r="D56" s="1141">
        <f t="shared" si="21"/>
        <v>2.2949999999999999</v>
      </c>
      <c r="E56" s="1141">
        <f>E11-E33-E41-E49</f>
        <v>2.3557999999999999</v>
      </c>
      <c r="F56" s="1141">
        <f t="shared" si="21"/>
        <v>2.3927</v>
      </c>
      <c r="G56" s="1141">
        <f t="shared" si="21"/>
        <v>2.5257000000000001</v>
      </c>
      <c r="H56" s="1141">
        <f t="shared" si="20"/>
        <v>2.7151999999999998</v>
      </c>
      <c r="I56" s="1141">
        <f t="shared" si="20"/>
        <v>2.8260999999999998</v>
      </c>
      <c r="J56" s="1141">
        <f t="shared" si="20"/>
        <v>2.9068999999999998</v>
      </c>
      <c r="K56" s="1142">
        <f t="shared" si="21"/>
        <v>2.9676999999999998</v>
      </c>
      <c r="L56" s="1143">
        <f t="shared" si="21"/>
        <v>3.0299</v>
      </c>
      <c r="M56" s="1143">
        <f t="shared" si="21"/>
        <v>3.0931999999999999</v>
      </c>
      <c r="N56" s="1144">
        <f t="shared" si="21"/>
        <v>3.1579999999999999</v>
      </c>
      <c r="O56" s="1145">
        <f t="shared" si="21"/>
        <v>3.2241</v>
      </c>
      <c r="P56" s="1144">
        <f t="shared" si="21"/>
        <v>3.2757000000000001</v>
      </c>
      <c r="Q56" s="1144">
        <f t="shared" si="21"/>
        <v>3.3281000000000001</v>
      </c>
      <c r="R56" s="1144">
        <f t="shared" si="21"/>
        <v>3.3813</v>
      </c>
      <c r="S56" s="1143">
        <f t="shared" si="21"/>
        <v>3.4354</v>
      </c>
      <c r="T56" s="1143">
        <f t="shared" si="21"/>
        <v>3.4904000000000002</v>
      </c>
      <c r="U56" s="1052" t="s">
        <v>1053</v>
      </c>
    </row>
    <row r="57" spans="1:25" outlineLevel="1">
      <c r="A57" s="1055" t="s">
        <v>785</v>
      </c>
      <c r="B57" s="1055"/>
      <c r="C57" s="1141">
        <f t="shared" si="21"/>
        <v>0</v>
      </c>
      <c r="D57" s="1141">
        <f t="shared" si="21"/>
        <v>0</v>
      </c>
      <c r="E57" s="1141">
        <f t="shared" si="21"/>
        <v>0</v>
      </c>
      <c r="F57" s="1141">
        <f t="shared" si="21"/>
        <v>0</v>
      </c>
      <c r="G57" s="1141">
        <f t="shared" si="21"/>
        <v>0</v>
      </c>
      <c r="H57" s="1141">
        <f t="shared" si="20"/>
        <v>0</v>
      </c>
      <c r="I57" s="1141">
        <f t="shared" si="20"/>
        <v>0</v>
      </c>
      <c r="J57" s="1141">
        <f t="shared" si="20"/>
        <v>0</v>
      </c>
      <c r="K57" s="1142">
        <f t="shared" si="21"/>
        <v>0</v>
      </c>
      <c r="L57" s="1143">
        <f t="shared" si="21"/>
        <v>0</v>
      </c>
      <c r="M57" s="1143">
        <f t="shared" si="21"/>
        <v>0</v>
      </c>
      <c r="N57" s="1144">
        <f t="shared" si="21"/>
        <v>0</v>
      </c>
      <c r="O57" s="1145">
        <f t="shared" si="21"/>
        <v>0</v>
      </c>
      <c r="P57" s="1144">
        <f t="shared" si="21"/>
        <v>0</v>
      </c>
      <c r="Q57" s="1144">
        <f t="shared" si="21"/>
        <v>0</v>
      </c>
      <c r="R57" s="1144">
        <f t="shared" si="21"/>
        <v>0</v>
      </c>
      <c r="S57" s="1143">
        <f t="shared" si="21"/>
        <v>0</v>
      </c>
      <c r="T57" s="1143">
        <f t="shared" si="21"/>
        <v>0</v>
      </c>
      <c r="U57" s="1052" t="s">
        <v>1053</v>
      </c>
    </row>
    <row r="58" spans="1:25" outlineLevel="1">
      <c r="A58" s="1055" t="s">
        <v>786</v>
      </c>
      <c r="B58" s="1055"/>
      <c r="C58" s="1141">
        <f t="shared" si="21"/>
        <v>0</v>
      </c>
      <c r="D58" s="1141">
        <f t="shared" si="21"/>
        <v>0</v>
      </c>
      <c r="E58" s="1141">
        <f t="shared" si="21"/>
        <v>0</v>
      </c>
      <c r="F58" s="1141">
        <f t="shared" si="21"/>
        <v>0</v>
      </c>
      <c r="G58" s="1141">
        <f t="shared" si="21"/>
        <v>0</v>
      </c>
      <c r="H58" s="1141">
        <f t="shared" si="20"/>
        <v>0</v>
      </c>
      <c r="I58" s="1141">
        <f t="shared" si="20"/>
        <v>0</v>
      </c>
      <c r="J58" s="1141">
        <f t="shared" si="20"/>
        <v>0</v>
      </c>
      <c r="K58" s="1142">
        <f t="shared" si="21"/>
        <v>0</v>
      </c>
      <c r="L58" s="1143">
        <f t="shared" si="21"/>
        <v>0</v>
      </c>
      <c r="M58" s="1143">
        <f t="shared" si="21"/>
        <v>0</v>
      </c>
      <c r="N58" s="1144">
        <f t="shared" si="21"/>
        <v>0</v>
      </c>
      <c r="O58" s="1145">
        <f t="shared" si="21"/>
        <v>0</v>
      </c>
      <c r="P58" s="1144">
        <f t="shared" si="21"/>
        <v>0</v>
      </c>
      <c r="Q58" s="1144">
        <f t="shared" si="21"/>
        <v>0</v>
      </c>
      <c r="R58" s="1144">
        <f t="shared" si="21"/>
        <v>0</v>
      </c>
      <c r="S58" s="1143">
        <f t="shared" si="21"/>
        <v>0</v>
      </c>
      <c r="T58" s="1143">
        <f t="shared" si="21"/>
        <v>0</v>
      </c>
      <c r="U58" s="1052" t="s">
        <v>1053</v>
      </c>
    </row>
    <row r="59" spans="1:25" outlineLevel="1">
      <c r="A59" s="1055" t="s">
        <v>787</v>
      </c>
      <c r="B59" s="1055"/>
      <c r="C59" s="1140">
        <f t="shared" si="21"/>
        <v>239.16</v>
      </c>
      <c r="D59" s="1140">
        <f t="shared" si="21"/>
        <v>239.97</v>
      </c>
      <c r="E59" s="1140">
        <f t="shared" si="21"/>
        <v>239.59</v>
      </c>
      <c r="F59" s="1140">
        <f t="shared" si="21"/>
        <v>236.16</v>
      </c>
      <c r="G59" s="1140">
        <f t="shared" si="21"/>
        <v>244.48</v>
      </c>
      <c r="H59" s="1140">
        <f t="shared" si="20"/>
        <v>266.07</v>
      </c>
      <c r="I59" s="1140">
        <f t="shared" si="20"/>
        <v>276.19</v>
      </c>
      <c r="J59" s="1140">
        <f t="shared" si="20"/>
        <v>285.47000000000003</v>
      </c>
      <c r="K59" s="1084">
        <f t="shared" si="21"/>
        <v>311.68</v>
      </c>
      <c r="L59" s="1085">
        <f t="shared" si="21"/>
        <v>339.43</v>
      </c>
      <c r="M59" s="1085">
        <f t="shared" si="21"/>
        <v>368.78</v>
      </c>
      <c r="N59" s="1086">
        <f t="shared" si="21"/>
        <v>399.81</v>
      </c>
      <c r="O59" s="1087">
        <f t="shared" si="21"/>
        <v>432.6</v>
      </c>
      <c r="P59" s="1086">
        <f t="shared" si="21"/>
        <v>439.52</v>
      </c>
      <c r="Q59" s="1086">
        <f t="shared" si="21"/>
        <v>446.55</v>
      </c>
      <c r="R59" s="1086">
        <f t="shared" si="21"/>
        <v>453.7</v>
      </c>
      <c r="S59" s="1085">
        <f t="shared" si="21"/>
        <v>460.96</v>
      </c>
      <c r="T59" s="1085">
        <f t="shared" si="21"/>
        <v>468.33</v>
      </c>
      <c r="U59" s="1052" t="s">
        <v>1053</v>
      </c>
    </row>
    <row r="60" spans="1:25" outlineLevel="1">
      <c r="A60" s="1055" t="s">
        <v>788</v>
      </c>
      <c r="B60" s="1055"/>
      <c r="C60" s="1141">
        <f t="shared" si="21"/>
        <v>0</v>
      </c>
      <c r="D60" s="1141">
        <f t="shared" si="21"/>
        <v>0</v>
      </c>
      <c r="E60" s="1141">
        <f t="shared" si="21"/>
        <v>0</v>
      </c>
      <c r="F60" s="1141">
        <f t="shared" si="21"/>
        <v>0</v>
      </c>
      <c r="G60" s="1141">
        <f t="shared" si="21"/>
        <v>0</v>
      </c>
      <c r="H60" s="1141">
        <f t="shared" si="20"/>
        <v>0</v>
      </c>
      <c r="I60" s="1141">
        <f t="shared" si="20"/>
        <v>0</v>
      </c>
      <c r="J60" s="1141">
        <f t="shared" si="20"/>
        <v>0</v>
      </c>
      <c r="K60" s="1142">
        <f t="shared" si="21"/>
        <v>0</v>
      </c>
      <c r="L60" s="1143">
        <f t="shared" si="21"/>
        <v>0</v>
      </c>
      <c r="M60" s="1143">
        <f t="shared" si="21"/>
        <v>0</v>
      </c>
      <c r="N60" s="1144">
        <f t="shared" si="21"/>
        <v>0</v>
      </c>
      <c r="O60" s="1145">
        <f t="shared" si="21"/>
        <v>0</v>
      </c>
      <c r="P60" s="1144">
        <f t="shared" si="21"/>
        <v>0</v>
      </c>
      <c r="Q60" s="1144">
        <f t="shared" si="21"/>
        <v>0</v>
      </c>
      <c r="R60" s="1144">
        <f t="shared" si="21"/>
        <v>0</v>
      </c>
      <c r="S60" s="1143">
        <f t="shared" si="21"/>
        <v>0</v>
      </c>
      <c r="T60" s="1143">
        <f t="shared" si="21"/>
        <v>0</v>
      </c>
      <c r="U60" s="1052" t="s">
        <v>1053</v>
      </c>
    </row>
    <row r="61" spans="1:25" outlineLevel="1">
      <c r="A61" s="1055"/>
      <c r="B61" s="1055"/>
      <c r="C61" s="1081"/>
      <c r="D61" s="1081"/>
      <c r="E61" s="1081"/>
      <c r="F61" s="1081"/>
      <c r="G61" s="1081"/>
      <c r="H61" s="1081"/>
      <c r="I61" s="1081"/>
      <c r="J61" s="1081"/>
      <c r="K61" s="1064"/>
      <c r="O61" s="1065"/>
    </row>
    <row r="62" spans="1:25" outlineLevel="1">
      <c r="A62" s="1082" t="s">
        <v>789</v>
      </c>
      <c r="B62" s="1055"/>
      <c r="C62" s="1083">
        <f t="shared" ref="C62:T62" si="22">C55</f>
        <v>207.12</v>
      </c>
      <c r="D62" s="1083">
        <f t="shared" si="22"/>
        <v>207.82</v>
      </c>
      <c r="E62" s="1083">
        <f t="shared" si="22"/>
        <v>207.5</v>
      </c>
      <c r="F62" s="1083">
        <f t="shared" si="22"/>
        <v>204.52</v>
      </c>
      <c r="G62" s="1083">
        <f t="shared" si="22"/>
        <v>211.71</v>
      </c>
      <c r="H62" s="1083">
        <f>H55</f>
        <v>230.41</v>
      </c>
      <c r="I62" s="1083">
        <f>I55</f>
        <v>239.17</v>
      </c>
      <c r="J62" s="1083">
        <f>J55</f>
        <v>247.21</v>
      </c>
      <c r="K62" s="1084">
        <f t="shared" si="22"/>
        <v>270.41000000000003</v>
      </c>
      <c r="L62" s="1085">
        <f t="shared" si="22"/>
        <v>294.97000000000003</v>
      </c>
      <c r="M62" s="1085">
        <f t="shared" si="22"/>
        <v>320.95999999999998</v>
      </c>
      <c r="N62" s="1086">
        <f t="shared" si="22"/>
        <v>348.45</v>
      </c>
      <c r="O62" s="1087">
        <f t="shared" si="22"/>
        <v>377.52</v>
      </c>
      <c r="P62" s="1086">
        <f t="shared" si="22"/>
        <v>383.56</v>
      </c>
      <c r="Q62" s="1086">
        <f t="shared" si="22"/>
        <v>389.7</v>
      </c>
      <c r="R62" s="1086">
        <f t="shared" si="22"/>
        <v>395.94</v>
      </c>
      <c r="S62" s="1085">
        <f t="shared" si="22"/>
        <v>402.27</v>
      </c>
      <c r="T62" s="1085">
        <f t="shared" si="22"/>
        <v>408.71</v>
      </c>
    </row>
    <row r="63" spans="1:25" outlineLevel="1">
      <c r="A63" s="1082" t="s">
        <v>790</v>
      </c>
      <c r="B63" s="1055"/>
      <c r="C63" s="1083">
        <f t="shared" ref="C63:T63" si="23">(C56*C$140)+(C57*C$141)+(C58*C$142)</f>
        <v>450.94000000000005</v>
      </c>
      <c r="D63" s="1083">
        <f t="shared" si="23"/>
        <v>459</v>
      </c>
      <c r="E63" s="1083">
        <f t="shared" si="23"/>
        <v>471.15999999999997</v>
      </c>
      <c r="F63" s="1083">
        <f t="shared" si="23"/>
        <v>478.54</v>
      </c>
      <c r="G63" s="1083">
        <f t="shared" si="23"/>
        <v>505.14</v>
      </c>
      <c r="H63" s="1083">
        <f>(H56*H$140)+(H57*H$141)+(H58*H$142)</f>
        <v>543.04</v>
      </c>
      <c r="I63" s="1083">
        <f>(I56*I$140)+(I57*I$141)+(I58*I$142)</f>
        <v>565.21999999999991</v>
      </c>
      <c r="J63" s="1083">
        <f>(J56*J$140)+(J57*J$141)+(J58*J$142)</f>
        <v>581.38</v>
      </c>
      <c r="K63" s="1084">
        <f t="shared" si="23"/>
        <v>593.54</v>
      </c>
      <c r="L63" s="1085">
        <f t="shared" si="23"/>
        <v>605.98</v>
      </c>
      <c r="M63" s="1085">
        <f t="shared" si="23"/>
        <v>618.64</v>
      </c>
      <c r="N63" s="1086">
        <f t="shared" si="23"/>
        <v>631.6</v>
      </c>
      <c r="O63" s="1087">
        <f t="shared" si="23"/>
        <v>644.81999999999994</v>
      </c>
      <c r="P63" s="1086">
        <f t="shared" si="23"/>
        <v>655.14</v>
      </c>
      <c r="Q63" s="1086">
        <f t="shared" si="23"/>
        <v>665.62</v>
      </c>
      <c r="R63" s="1086">
        <f t="shared" si="23"/>
        <v>676.26</v>
      </c>
      <c r="S63" s="1085">
        <f t="shared" si="23"/>
        <v>687.08</v>
      </c>
      <c r="T63" s="1085">
        <f t="shared" si="23"/>
        <v>698.08</v>
      </c>
    </row>
    <row r="64" spans="1:25" outlineLevel="1">
      <c r="A64" s="1082" t="s">
        <v>791</v>
      </c>
      <c r="B64" s="1055"/>
      <c r="C64" s="1083">
        <f t="shared" ref="C64:T64" si="24">C59</f>
        <v>239.16</v>
      </c>
      <c r="D64" s="1083">
        <f t="shared" si="24"/>
        <v>239.97</v>
      </c>
      <c r="E64" s="1083">
        <f t="shared" si="24"/>
        <v>239.59</v>
      </c>
      <c r="F64" s="1083">
        <f t="shared" si="24"/>
        <v>236.16</v>
      </c>
      <c r="G64" s="1083">
        <f t="shared" si="24"/>
        <v>244.48</v>
      </c>
      <c r="H64" s="1083">
        <f>H59</f>
        <v>266.07</v>
      </c>
      <c r="I64" s="1083">
        <f>I59</f>
        <v>276.19</v>
      </c>
      <c r="J64" s="1083">
        <f>J59</f>
        <v>285.47000000000003</v>
      </c>
      <c r="K64" s="1084">
        <f t="shared" si="24"/>
        <v>311.68</v>
      </c>
      <c r="L64" s="1085">
        <f t="shared" si="24"/>
        <v>339.43</v>
      </c>
      <c r="M64" s="1085">
        <f t="shared" si="24"/>
        <v>368.78</v>
      </c>
      <c r="N64" s="1086">
        <f t="shared" si="24"/>
        <v>399.81</v>
      </c>
      <c r="O64" s="1087">
        <f t="shared" si="24"/>
        <v>432.6</v>
      </c>
      <c r="P64" s="1086">
        <f t="shared" si="24"/>
        <v>439.52</v>
      </c>
      <c r="Q64" s="1086">
        <f t="shared" si="24"/>
        <v>446.55</v>
      </c>
      <c r="R64" s="1086">
        <f t="shared" si="24"/>
        <v>453.7</v>
      </c>
      <c r="S64" s="1085">
        <f t="shared" si="24"/>
        <v>460.96</v>
      </c>
      <c r="T64" s="1085">
        <f t="shared" si="24"/>
        <v>468.33</v>
      </c>
    </row>
    <row r="65" spans="1:53" outlineLevel="1">
      <c r="A65" s="1082" t="s">
        <v>792</v>
      </c>
      <c r="B65" s="1055"/>
      <c r="C65" s="1083">
        <f t="shared" ref="C65:T65" si="25">C60*C$150</f>
        <v>0</v>
      </c>
      <c r="D65" s="1083">
        <f t="shared" si="25"/>
        <v>0</v>
      </c>
      <c r="E65" s="1083">
        <f t="shared" si="25"/>
        <v>0</v>
      </c>
      <c r="F65" s="1083">
        <f t="shared" si="25"/>
        <v>0</v>
      </c>
      <c r="G65" s="1083">
        <f t="shared" si="25"/>
        <v>0</v>
      </c>
      <c r="H65" s="1083">
        <f>H60*H$150</f>
        <v>0</v>
      </c>
      <c r="I65" s="1083">
        <f>I60*I$150</f>
        <v>0</v>
      </c>
      <c r="J65" s="1083">
        <f>J60*J$150</f>
        <v>0</v>
      </c>
      <c r="K65" s="1084">
        <f t="shared" si="25"/>
        <v>0</v>
      </c>
      <c r="L65" s="1085">
        <f t="shared" si="25"/>
        <v>0</v>
      </c>
      <c r="M65" s="1085">
        <f t="shared" si="25"/>
        <v>0</v>
      </c>
      <c r="N65" s="1086">
        <f t="shared" si="25"/>
        <v>0</v>
      </c>
      <c r="O65" s="1087">
        <f t="shared" si="25"/>
        <v>0</v>
      </c>
      <c r="P65" s="1086">
        <f t="shared" si="25"/>
        <v>0</v>
      </c>
      <c r="Q65" s="1086">
        <f t="shared" si="25"/>
        <v>0</v>
      </c>
      <c r="R65" s="1086">
        <f t="shared" si="25"/>
        <v>0</v>
      </c>
      <c r="S65" s="1085">
        <f t="shared" si="25"/>
        <v>0</v>
      </c>
      <c r="T65" s="1085">
        <f t="shared" si="25"/>
        <v>0</v>
      </c>
    </row>
    <row r="66" spans="1:53" outlineLevel="1">
      <c r="A66" s="1082"/>
      <c r="B66" s="1055"/>
      <c r="C66" s="1083"/>
      <c r="D66" s="1083"/>
      <c r="E66" s="1083"/>
      <c r="F66" s="1083"/>
      <c r="G66" s="1083"/>
      <c r="H66" s="1083"/>
      <c r="I66" s="1083"/>
      <c r="J66" s="1083"/>
      <c r="K66" s="1084"/>
      <c r="L66" s="1085"/>
      <c r="M66" s="1085"/>
      <c r="N66" s="1086"/>
      <c r="O66" s="1087"/>
      <c r="P66" s="1086"/>
      <c r="Q66" s="1086"/>
      <c r="R66" s="1086"/>
      <c r="S66" s="1085"/>
      <c r="T66" s="1085"/>
    </row>
    <row r="67" spans="1:53" s="1066" customFormat="1" outlineLevel="1">
      <c r="A67" s="1146" t="s">
        <v>794</v>
      </c>
      <c r="B67" s="1147"/>
      <c r="C67" s="1148">
        <f t="shared" ref="C67:T67" si="26">SUM(C62:C65)</f>
        <v>897.22</v>
      </c>
      <c r="D67" s="1148">
        <f t="shared" si="26"/>
        <v>906.79</v>
      </c>
      <c r="E67" s="1148">
        <f t="shared" si="26"/>
        <v>918.25</v>
      </c>
      <c r="F67" s="1148">
        <f t="shared" si="26"/>
        <v>919.22</v>
      </c>
      <c r="G67" s="1148">
        <f t="shared" si="26"/>
        <v>961.33</v>
      </c>
      <c r="H67" s="1148">
        <f>SUM(H62:H65)</f>
        <v>1039.52</v>
      </c>
      <c r="I67" s="1148">
        <f>SUM(I62:I65)</f>
        <v>1080.58</v>
      </c>
      <c r="J67" s="1148">
        <f>SUM(J62:J65)</f>
        <v>1114.06</v>
      </c>
      <c r="K67" s="1149">
        <f t="shared" si="26"/>
        <v>1175.6300000000001</v>
      </c>
      <c r="L67" s="1148">
        <f t="shared" si="26"/>
        <v>1240.3800000000001</v>
      </c>
      <c r="M67" s="1148">
        <f t="shared" si="26"/>
        <v>1308.3799999999999</v>
      </c>
      <c r="N67" s="1148">
        <f t="shared" si="26"/>
        <v>1379.86</v>
      </c>
      <c r="O67" s="1150">
        <f t="shared" si="26"/>
        <v>1454.94</v>
      </c>
      <c r="P67" s="1148">
        <f t="shared" si="26"/>
        <v>1478.22</v>
      </c>
      <c r="Q67" s="1148">
        <f t="shared" si="26"/>
        <v>1501.87</v>
      </c>
      <c r="R67" s="1148">
        <f t="shared" si="26"/>
        <v>1525.9</v>
      </c>
      <c r="S67" s="1148">
        <f t="shared" si="26"/>
        <v>1550.31</v>
      </c>
      <c r="T67" s="1151">
        <f t="shared" si="26"/>
        <v>1575.12</v>
      </c>
      <c r="U67" s="1066" t="s">
        <v>1053</v>
      </c>
      <c r="AH67" s="1068"/>
      <c r="AI67" s="1068"/>
      <c r="AJ67" s="1095"/>
      <c r="AK67" s="1096"/>
      <c r="AL67" s="1096"/>
      <c r="AM67" s="1096"/>
      <c r="AN67" s="1096"/>
      <c r="AO67" s="1096"/>
      <c r="AP67" s="1096"/>
      <c r="AQ67" s="1096"/>
      <c r="AR67" s="1096"/>
      <c r="AS67" s="1096"/>
      <c r="AT67" s="1096"/>
      <c r="AU67" s="1096"/>
      <c r="AV67" s="1096"/>
      <c r="AW67" s="1096"/>
      <c r="AX67" s="1096"/>
      <c r="AY67" s="1096"/>
      <c r="AZ67" s="1068"/>
      <c r="BA67" s="1069"/>
    </row>
    <row r="68" spans="1:53" s="1066" customFormat="1" outlineLevel="1">
      <c r="A68" s="1152" t="s">
        <v>799</v>
      </c>
      <c r="B68" s="1153"/>
      <c r="C68" s="1154">
        <f t="shared" ref="C68:T68" si="27">C63+C65</f>
        <v>450.94000000000005</v>
      </c>
      <c r="D68" s="1154">
        <f t="shared" si="27"/>
        <v>459</v>
      </c>
      <c r="E68" s="1154">
        <f t="shared" si="27"/>
        <v>471.15999999999997</v>
      </c>
      <c r="F68" s="1154">
        <f t="shared" si="27"/>
        <v>478.54</v>
      </c>
      <c r="G68" s="1154">
        <f t="shared" si="27"/>
        <v>505.14</v>
      </c>
      <c r="H68" s="1154">
        <f>H63+H65</f>
        <v>543.04</v>
      </c>
      <c r="I68" s="1154">
        <f>I63+I65</f>
        <v>565.21999999999991</v>
      </c>
      <c r="J68" s="1154">
        <f>J63+J65</f>
        <v>581.38</v>
      </c>
      <c r="K68" s="1155">
        <f t="shared" si="27"/>
        <v>593.54</v>
      </c>
      <c r="L68" s="1154">
        <f t="shared" si="27"/>
        <v>605.98</v>
      </c>
      <c r="M68" s="1154">
        <f t="shared" si="27"/>
        <v>618.64</v>
      </c>
      <c r="N68" s="1154">
        <f t="shared" si="27"/>
        <v>631.6</v>
      </c>
      <c r="O68" s="1156">
        <f t="shared" si="27"/>
        <v>644.81999999999994</v>
      </c>
      <c r="P68" s="1154">
        <f t="shared" si="27"/>
        <v>655.14</v>
      </c>
      <c r="Q68" s="1154">
        <f t="shared" si="27"/>
        <v>665.62</v>
      </c>
      <c r="R68" s="1154">
        <f t="shared" si="27"/>
        <v>676.26</v>
      </c>
      <c r="S68" s="1154">
        <f t="shared" si="27"/>
        <v>687.08</v>
      </c>
      <c r="T68" s="1157">
        <f t="shared" si="27"/>
        <v>698.08</v>
      </c>
      <c r="U68" s="1066" t="s">
        <v>1053</v>
      </c>
      <c r="AH68" s="1068"/>
      <c r="AI68" s="1068"/>
      <c r="AJ68" s="1103"/>
      <c r="AK68" s="1103"/>
      <c r="AL68" s="1103"/>
      <c r="AM68" s="1103"/>
      <c r="AN68" s="1103"/>
      <c r="AO68" s="1103"/>
      <c r="AP68" s="1103"/>
      <c r="AQ68" s="1103"/>
      <c r="AR68" s="1103"/>
      <c r="AS68" s="1103"/>
      <c r="AT68" s="1103"/>
      <c r="AU68" s="1103"/>
      <c r="AV68" s="1103"/>
      <c r="AW68" s="1103"/>
      <c r="AX68" s="1103"/>
      <c r="AY68" s="1103"/>
      <c r="AZ68" s="1068"/>
      <c r="BA68" s="1069"/>
    </row>
    <row r="69" spans="1:53" outlineLevel="1">
      <c r="A69" s="1082"/>
      <c r="B69" s="1055"/>
      <c r="C69" s="1083"/>
      <c r="D69" s="1083"/>
      <c r="E69" s="1083"/>
      <c r="F69" s="1083"/>
      <c r="G69" s="1083"/>
      <c r="H69" s="1083"/>
      <c r="I69" s="1083"/>
      <c r="J69" s="1083"/>
      <c r="K69" s="1084"/>
      <c r="L69" s="1085"/>
      <c r="M69" s="1085"/>
      <c r="N69" s="1086"/>
      <c r="O69" s="1087"/>
      <c r="P69" s="1086"/>
      <c r="Q69" s="1086"/>
      <c r="R69" s="1086"/>
      <c r="S69" s="1085"/>
      <c r="T69" s="1085"/>
    </row>
    <row r="70" spans="1:53" outlineLevel="1">
      <c r="A70" s="1130" t="s">
        <v>806</v>
      </c>
      <c r="B70" s="1131"/>
      <c r="C70" s="1132"/>
      <c r="D70" s="1132"/>
      <c r="E70" s="1132"/>
      <c r="F70" s="1132"/>
      <c r="G70" s="1132"/>
      <c r="H70" s="1132"/>
      <c r="I70" s="1132"/>
      <c r="J70" s="1132"/>
      <c r="K70" s="1133"/>
      <c r="L70" s="1134"/>
      <c r="M70" s="1134"/>
      <c r="N70" s="1135"/>
      <c r="O70" s="1136"/>
      <c r="P70" s="1135"/>
      <c r="Q70" s="1135"/>
      <c r="R70" s="1135"/>
      <c r="S70" s="1134"/>
      <c r="T70" s="1134"/>
    </row>
    <row r="71" spans="1:53" outlineLevel="1">
      <c r="A71" s="1082" t="s">
        <v>794</v>
      </c>
      <c r="B71" s="1055"/>
      <c r="C71" s="1137"/>
      <c r="D71" s="1137"/>
      <c r="E71" s="1137"/>
      <c r="F71" s="1137"/>
      <c r="G71" s="1137"/>
      <c r="H71" s="1137"/>
      <c r="I71" s="1137"/>
      <c r="J71" s="1137"/>
      <c r="K71" s="1072"/>
      <c r="L71" s="1073"/>
      <c r="M71" s="1073"/>
      <c r="N71" s="1074"/>
      <c r="O71" s="1075"/>
      <c r="P71" s="1074"/>
      <c r="Q71" s="1074"/>
      <c r="R71" s="1074"/>
      <c r="S71" s="1073"/>
      <c r="T71" s="1073"/>
    </row>
    <row r="72" spans="1:53" outlineLevel="1">
      <c r="A72" s="1082" t="s">
        <v>799</v>
      </c>
      <c r="B72" s="1055"/>
      <c r="C72" s="1137"/>
      <c r="D72" s="1137"/>
      <c r="E72" s="1137"/>
      <c r="F72" s="1137"/>
      <c r="G72" s="1137"/>
      <c r="H72" s="1137"/>
      <c r="I72" s="1137"/>
      <c r="J72" s="1137"/>
      <c r="K72" s="1072"/>
      <c r="L72" s="1073"/>
      <c r="M72" s="1073"/>
      <c r="N72" s="1074"/>
      <c r="O72" s="1075"/>
      <c r="P72" s="1074"/>
      <c r="Q72" s="1074"/>
      <c r="R72" s="1074"/>
      <c r="S72" s="1073"/>
      <c r="T72" s="1073"/>
    </row>
    <row r="73" spans="1:53" ht="12" thickBot="1">
      <c r="A73" s="1082"/>
      <c r="B73" s="1055"/>
      <c r="C73" s="1083"/>
      <c r="D73" s="1083"/>
      <c r="E73" s="1083"/>
      <c r="F73" s="1083"/>
      <c r="G73" s="1083"/>
      <c r="H73" s="1083"/>
      <c r="I73" s="1083"/>
      <c r="J73" s="1083"/>
      <c r="K73" s="1084"/>
      <c r="L73" s="1085"/>
      <c r="M73" s="1085"/>
      <c r="N73" s="1086"/>
      <c r="O73" s="1087"/>
      <c r="P73" s="1086"/>
      <c r="Q73" s="1086"/>
      <c r="R73" s="1086"/>
      <c r="S73" s="1085"/>
      <c r="T73" s="1085"/>
      <c r="AK73" s="1053" t="s">
        <v>726</v>
      </c>
      <c r="AP73" s="1053" t="s">
        <v>727</v>
      </c>
      <c r="AU73" s="1053" t="s">
        <v>728</v>
      </c>
    </row>
    <row r="74" spans="1:53" ht="12" thickBot="1">
      <c r="A74" s="1158" t="s">
        <v>807</v>
      </c>
      <c r="B74" s="1055"/>
      <c r="C74" s="1083"/>
      <c r="D74" s="1083"/>
      <c r="E74" s="1083"/>
      <c r="F74" s="1083"/>
      <c r="G74" s="1083"/>
      <c r="H74" s="1083"/>
      <c r="I74" s="1083"/>
      <c r="J74" s="1083"/>
      <c r="K74" s="1064"/>
      <c r="O74" s="1065"/>
      <c r="AK74" s="1053" t="str">
        <f t="shared" ref="AK74:AY74" si="28">AK22</f>
        <v>2018-19</v>
      </c>
      <c r="AL74" s="1053" t="str">
        <f t="shared" si="28"/>
        <v>2019-20</v>
      </c>
      <c r="AM74" s="1053" t="str">
        <f t="shared" si="28"/>
        <v>2020-21</v>
      </c>
      <c r="AN74" s="1053" t="str">
        <f t="shared" si="28"/>
        <v>2021-22</v>
      </c>
      <c r="AO74" s="1053" t="str">
        <f t="shared" si="28"/>
        <v>2022-23</v>
      </c>
      <c r="AP74" s="1053" t="str">
        <f t="shared" si="28"/>
        <v>2026-27</v>
      </c>
      <c r="AQ74" s="1053" t="str">
        <f t="shared" si="28"/>
        <v>2027-28</v>
      </c>
      <c r="AR74" s="1053" t="str">
        <f t="shared" si="28"/>
        <v>2028-29</v>
      </c>
      <c r="AS74" s="1053" t="str">
        <f t="shared" si="28"/>
        <v>2029-30</v>
      </c>
      <c r="AT74" s="1053" t="str">
        <f t="shared" si="28"/>
        <v>2030-31</v>
      </c>
      <c r="AU74" s="1053" t="str">
        <f t="shared" si="28"/>
        <v>2031-32</v>
      </c>
      <c r="AV74" s="1053" t="str">
        <f t="shared" si="28"/>
        <v>2032-33</v>
      </c>
      <c r="AW74" s="1053" t="str">
        <f t="shared" si="28"/>
        <v>2033-34</v>
      </c>
      <c r="AX74" s="1053" t="str">
        <f t="shared" si="28"/>
        <v>2034-35</v>
      </c>
      <c r="AY74" s="1053" t="str">
        <f t="shared" si="28"/>
        <v>2035-36</v>
      </c>
    </row>
    <row r="75" spans="1:53" s="1066" customFormat="1">
      <c r="A75" s="1159" t="s">
        <v>794</v>
      </c>
      <c r="B75" s="1160"/>
      <c r="C75" s="1161">
        <f t="shared" ref="C75:T75" si="29">C67-C71</f>
        <v>897.22</v>
      </c>
      <c r="D75" s="1161">
        <f t="shared" si="29"/>
        <v>906.79</v>
      </c>
      <c r="E75" s="1161">
        <f t="shared" si="29"/>
        <v>918.25</v>
      </c>
      <c r="F75" s="1161">
        <f t="shared" si="29"/>
        <v>919.22</v>
      </c>
      <c r="G75" s="1161">
        <f t="shared" si="29"/>
        <v>961.33</v>
      </c>
      <c r="H75" s="1161">
        <f>H67-H71</f>
        <v>1039.52</v>
      </c>
      <c r="I75" s="1161">
        <f>I67-I71</f>
        <v>1080.58</v>
      </c>
      <c r="J75" s="2172">
        <f>J67-J71</f>
        <v>1114.06</v>
      </c>
      <c r="K75" s="1161">
        <f t="shared" si="29"/>
        <v>1175.6300000000001</v>
      </c>
      <c r="L75" s="1161">
        <f t="shared" si="29"/>
        <v>1240.3800000000001</v>
      </c>
      <c r="M75" s="1161">
        <f t="shared" si="29"/>
        <v>1308.3799999999999</v>
      </c>
      <c r="N75" s="1161">
        <f t="shared" si="29"/>
        <v>1379.86</v>
      </c>
      <c r="O75" s="1614">
        <f t="shared" si="29"/>
        <v>1454.94</v>
      </c>
      <c r="P75" s="1161">
        <f t="shared" si="29"/>
        <v>1478.22</v>
      </c>
      <c r="Q75" s="1161">
        <f t="shared" si="29"/>
        <v>1501.87</v>
      </c>
      <c r="R75" s="1615">
        <f t="shared" si="29"/>
        <v>1525.9</v>
      </c>
      <c r="S75" s="1161">
        <f t="shared" si="29"/>
        <v>1550.31</v>
      </c>
      <c r="T75" s="1162">
        <f t="shared" si="29"/>
        <v>1575.12</v>
      </c>
      <c r="U75" s="1066" t="s">
        <v>1053</v>
      </c>
      <c r="AH75" s="1068"/>
      <c r="AI75" s="1068"/>
      <c r="AJ75" s="1095" t="s">
        <v>795</v>
      </c>
      <c r="AK75" s="1096">
        <f>C75</f>
        <v>897.22</v>
      </c>
      <c r="AL75" s="1096">
        <f>D75</f>
        <v>906.79</v>
      </c>
      <c r="AM75" s="1096">
        <f>E75</f>
        <v>918.25</v>
      </c>
      <c r="AN75" s="1096">
        <f>F75</f>
        <v>919.22</v>
      </c>
      <c r="AO75" s="1096">
        <f>G75</f>
        <v>961.33</v>
      </c>
      <c r="AP75" s="1096">
        <f t="shared" ref="AP75:AY76" si="30">K75</f>
        <v>1175.6300000000001</v>
      </c>
      <c r="AQ75" s="1096">
        <f t="shared" si="30"/>
        <v>1240.3800000000001</v>
      </c>
      <c r="AR75" s="1096">
        <f t="shared" si="30"/>
        <v>1308.3799999999999</v>
      </c>
      <c r="AS75" s="1096">
        <f t="shared" si="30"/>
        <v>1379.86</v>
      </c>
      <c r="AT75" s="1096">
        <f t="shared" si="30"/>
        <v>1454.94</v>
      </c>
      <c r="AU75" s="1096">
        <f t="shared" si="30"/>
        <v>1478.22</v>
      </c>
      <c r="AV75" s="1096">
        <f t="shared" si="30"/>
        <v>1501.87</v>
      </c>
      <c r="AW75" s="1096">
        <f t="shared" si="30"/>
        <v>1525.9</v>
      </c>
      <c r="AX75" s="1096">
        <f t="shared" si="30"/>
        <v>1550.31</v>
      </c>
      <c r="AY75" s="1096">
        <f t="shared" si="30"/>
        <v>1575.12</v>
      </c>
      <c r="AZ75" s="1068"/>
      <c r="BA75" s="1069"/>
    </row>
    <row r="76" spans="1:53" s="1100" customFormat="1">
      <c r="A76" s="1163" t="s">
        <v>796</v>
      </c>
      <c r="B76" s="2174"/>
      <c r="C76" s="2175"/>
      <c r="D76" s="2176">
        <f t="shared" ref="D76:J76" si="31">IF(D75=0,"-",D75/C75-1)</f>
        <v>1.0666280288000651E-2</v>
      </c>
      <c r="E76" s="2176">
        <f t="shared" si="31"/>
        <v>1.2637986744450158E-2</v>
      </c>
      <c r="F76" s="2176">
        <f t="shared" si="31"/>
        <v>1.0563572011978994E-3</v>
      </c>
      <c r="G76" s="2176">
        <f t="shared" si="31"/>
        <v>4.5810578533974411E-2</v>
      </c>
      <c r="H76" s="2176">
        <f t="shared" si="31"/>
        <v>8.1335233478618152E-2</v>
      </c>
      <c r="I76" s="2176">
        <f t="shared" si="31"/>
        <v>3.9498999538248425E-2</v>
      </c>
      <c r="J76" s="1617">
        <f t="shared" si="31"/>
        <v>3.0983360787725234E-2</v>
      </c>
      <c r="K76" s="2176">
        <f t="shared" ref="K76:T76" si="32">IF(K75=0,"-",K75/J75-1)</f>
        <v>5.5266323178285059E-2</v>
      </c>
      <c r="L76" s="2176">
        <f t="shared" si="32"/>
        <v>5.507685241104765E-2</v>
      </c>
      <c r="M76" s="2176">
        <f t="shared" si="32"/>
        <v>5.482190941485654E-2</v>
      </c>
      <c r="N76" s="2176">
        <f t="shared" si="32"/>
        <v>5.4632446231217324E-2</v>
      </c>
      <c r="O76" s="1617">
        <f t="shared" si="32"/>
        <v>5.4411317090139688E-2</v>
      </c>
      <c r="P76" s="2176">
        <f t="shared" si="32"/>
        <v>1.6000659821023611E-2</v>
      </c>
      <c r="Q76" s="2176">
        <f t="shared" si="32"/>
        <v>1.5998971736277401E-2</v>
      </c>
      <c r="R76" s="2176">
        <f t="shared" si="32"/>
        <v>1.6000053266927328E-2</v>
      </c>
      <c r="S76" s="2176">
        <f t="shared" si="32"/>
        <v>1.5997116455862104E-2</v>
      </c>
      <c r="T76" s="1164">
        <f t="shared" si="32"/>
        <v>1.6003250962710602E-2</v>
      </c>
      <c r="U76" s="1066" t="s">
        <v>1053</v>
      </c>
      <c r="AH76" s="1101"/>
      <c r="AI76" s="1101"/>
      <c r="AJ76" s="1102" t="s">
        <v>797</v>
      </c>
      <c r="AK76" s="1103"/>
      <c r="AL76" s="1103">
        <f>D76</f>
        <v>1.0666280288000651E-2</v>
      </c>
      <c r="AM76" s="1103">
        <f>E76</f>
        <v>1.2637986744450158E-2</v>
      </c>
      <c r="AN76" s="1103">
        <f>F76</f>
        <v>1.0563572011978994E-3</v>
      </c>
      <c r="AO76" s="1103">
        <f>G76</f>
        <v>4.5810578533974411E-2</v>
      </c>
      <c r="AP76" s="1103">
        <f t="shared" si="30"/>
        <v>5.5266323178285059E-2</v>
      </c>
      <c r="AQ76" s="1103">
        <f t="shared" si="30"/>
        <v>5.507685241104765E-2</v>
      </c>
      <c r="AR76" s="1103">
        <f t="shared" si="30"/>
        <v>5.482190941485654E-2</v>
      </c>
      <c r="AS76" s="1103">
        <f t="shared" si="30"/>
        <v>5.4632446231217324E-2</v>
      </c>
      <c r="AT76" s="1103">
        <f t="shared" si="30"/>
        <v>5.4411317090139688E-2</v>
      </c>
      <c r="AU76" s="1103">
        <f t="shared" si="30"/>
        <v>1.6000659821023611E-2</v>
      </c>
      <c r="AV76" s="1103">
        <f t="shared" si="30"/>
        <v>1.5998971736277401E-2</v>
      </c>
      <c r="AW76" s="1103">
        <f t="shared" si="30"/>
        <v>1.6000053266927328E-2</v>
      </c>
      <c r="AX76" s="1103">
        <f t="shared" si="30"/>
        <v>1.5997116455862104E-2</v>
      </c>
      <c r="AY76" s="1103">
        <f t="shared" si="30"/>
        <v>1.6003250962710602E-2</v>
      </c>
      <c r="AZ76" s="1101"/>
      <c r="BA76" s="1104"/>
    </row>
    <row r="77" spans="1:53" s="1100" customFormat="1">
      <c r="A77" s="1105"/>
      <c r="B77" s="1106"/>
      <c r="C77" s="1107"/>
      <c r="D77" s="2163"/>
      <c r="E77" s="2163"/>
      <c r="F77" s="2163"/>
      <c r="G77" s="2163"/>
      <c r="H77" s="2163"/>
      <c r="I77" s="2163"/>
      <c r="J77" s="1109"/>
      <c r="K77" s="2163"/>
      <c r="L77" s="2163"/>
      <c r="M77" s="2163"/>
      <c r="N77" s="2163"/>
      <c r="O77" s="1109"/>
      <c r="P77" s="2163"/>
      <c r="Q77" s="2163"/>
      <c r="R77" s="2163"/>
      <c r="S77" s="2163"/>
      <c r="T77" s="1110"/>
      <c r="AH77" s="1101"/>
      <c r="AI77" s="1101"/>
      <c r="AJ77" s="1111" t="s">
        <v>798</v>
      </c>
      <c r="AK77" s="1112">
        <f>C78</f>
        <v>450.94000000000005</v>
      </c>
      <c r="AL77" s="1112">
        <f>D78</f>
        <v>459</v>
      </c>
      <c r="AM77" s="1112">
        <f>E78</f>
        <v>471.15999999999997</v>
      </c>
      <c r="AN77" s="1112">
        <f>F78</f>
        <v>478.54</v>
      </c>
      <c r="AO77" s="1112">
        <f>G78</f>
        <v>505.14</v>
      </c>
      <c r="AP77" s="1112">
        <f t="shared" ref="AP77:AY78" si="33">K78</f>
        <v>593.54</v>
      </c>
      <c r="AQ77" s="1112">
        <f t="shared" si="33"/>
        <v>605.98</v>
      </c>
      <c r="AR77" s="1112">
        <f t="shared" si="33"/>
        <v>618.64</v>
      </c>
      <c r="AS77" s="1112">
        <f t="shared" si="33"/>
        <v>631.6</v>
      </c>
      <c r="AT77" s="1112">
        <f t="shared" si="33"/>
        <v>644.81999999999994</v>
      </c>
      <c r="AU77" s="1112">
        <f t="shared" si="33"/>
        <v>655.14</v>
      </c>
      <c r="AV77" s="1112">
        <f t="shared" si="33"/>
        <v>665.62</v>
      </c>
      <c r="AW77" s="1112">
        <f t="shared" si="33"/>
        <v>676.26</v>
      </c>
      <c r="AX77" s="1112">
        <f t="shared" si="33"/>
        <v>687.08</v>
      </c>
      <c r="AY77" s="1112">
        <f t="shared" si="33"/>
        <v>698.08</v>
      </c>
      <c r="AZ77" s="1101"/>
      <c r="BA77" s="1104"/>
    </row>
    <row r="78" spans="1:53" s="1066" customFormat="1">
      <c r="A78" s="1165" t="s">
        <v>799</v>
      </c>
      <c r="B78" s="2177"/>
      <c r="C78" s="2171">
        <f t="shared" ref="C78:T78" si="34">C68-C72</f>
        <v>450.94000000000005</v>
      </c>
      <c r="D78" s="2171">
        <f t="shared" si="34"/>
        <v>459</v>
      </c>
      <c r="E78" s="2171">
        <f t="shared" si="34"/>
        <v>471.15999999999997</v>
      </c>
      <c r="F78" s="2171">
        <f t="shared" si="34"/>
        <v>478.54</v>
      </c>
      <c r="G78" s="2171">
        <f t="shared" si="34"/>
        <v>505.14</v>
      </c>
      <c r="H78" s="2171">
        <f>H68-H72</f>
        <v>543.04</v>
      </c>
      <c r="I78" s="2171">
        <f>I68-I72</f>
        <v>565.21999999999991</v>
      </c>
      <c r="J78" s="2173">
        <f>J68-J72</f>
        <v>581.38</v>
      </c>
      <c r="K78" s="2171">
        <f t="shared" si="34"/>
        <v>593.54</v>
      </c>
      <c r="L78" s="2171">
        <f t="shared" si="34"/>
        <v>605.98</v>
      </c>
      <c r="M78" s="2171">
        <f t="shared" si="34"/>
        <v>618.64</v>
      </c>
      <c r="N78" s="2171">
        <f t="shared" si="34"/>
        <v>631.6</v>
      </c>
      <c r="O78" s="1616">
        <f t="shared" si="34"/>
        <v>644.81999999999994</v>
      </c>
      <c r="P78" s="2171">
        <f t="shared" si="34"/>
        <v>655.14</v>
      </c>
      <c r="Q78" s="2171">
        <f t="shared" si="34"/>
        <v>665.62</v>
      </c>
      <c r="R78" s="2178">
        <f t="shared" si="34"/>
        <v>676.26</v>
      </c>
      <c r="S78" s="2171">
        <f t="shared" si="34"/>
        <v>687.08</v>
      </c>
      <c r="T78" s="1166">
        <f t="shared" si="34"/>
        <v>698.08</v>
      </c>
      <c r="U78" s="1066" t="s">
        <v>1053</v>
      </c>
      <c r="AH78" s="1068"/>
      <c r="AI78" s="1068"/>
      <c r="AJ78" s="1103" t="s">
        <v>800</v>
      </c>
      <c r="AK78" s="1103"/>
      <c r="AL78" s="1103">
        <f>D79</f>
        <v>1.7873774781567375E-2</v>
      </c>
      <c r="AM78" s="1103">
        <f>E79</f>
        <v>2.6492374727668855E-2</v>
      </c>
      <c r="AN78" s="1103">
        <f>F79</f>
        <v>1.5663468885304566E-2</v>
      </c>
      <c r="AO78" s="1103">
        <f>G79</f>
        <v>5.5585739959042035E-2</v>
      </c>
      <c r="AP78" s="1103">
        <f t="shared" si="33"/>
        <v>2.0915752175857394E-2</v>
      </c>
      <c r="AQ78" s="1103">
        <f t="shared" si="33"/>
        <v>2.095899181184091E-2</v>
      </c>
      <c r="AR78" s="1103">
        <f t="shared" si="33"/>
        <v>2.0891778606554556E-2</v>
      </c>
      <c r="AS78" s="1103">
        <f t="shared" si="33"/>
        <v>2.0949178843915783E-2</v>
      </c>
      <c r="AT78" s="1103">
        <f t="shared" si="33"/>
        <v>2.0930968967700858E-2</v>
      </c>
      <c r="AU78" s="1103">
        <f t="shared" si="33"/>
        <v>1.6004466362705916E-2</v>
      </c>
      <c r="AV78" s="1103">
        <f t="shared" si="33"/>
        <v>1.599658088347522E-2</v>
      </c>
      <c r="AW78" s="1103">
        <f t="shared" si="33"/>
        <v>1.5985096601664583E-2</v>
      </c>
      <c r="AX78" s="1103">
        <f t="shared" si="33"/>
        <v>1.5999763404607847E-2</v>
      </c>
      <c r="AY78" s="1103">
        <f t="shared" si="33"/>
        <v>1.6009780520463313E-2</v>
      </c>
      <c r="AZ78" s="1068"/>
      <c r="BA78" s="1069"/>
    </row>
    <row r="79" spans="1:53" s="1100" customFormat="1" ht="12" thickBot="1">
      <c r="A79" s="1167" t="s">
        <v>796</v>
      </c>
      <c r="B79" s="1168"/>
      <c r="C79" s="1169"/>
      <c r="D79" s="1170">
        <f t="shared" ref="D79:J79" si="35">IF(D78=0,"-",D78/C78-1)</f>
        <v>1.7873774781567375E-2</v>
      </c>
      <c r="E79" s="1170">
        <f t="shared" si="35"/>
        <v>2.6492374727668855E-2</v>
      </c>
      <c r="F79" s="1170">
        <f t="shared" si="35"/>
        <v>1.5663468885304566E-2</v>
      </c>
      <c r="G79" s="1170">
        <f t="shared" si="35"/>
        <v>5.5585739959042035E-2</v>
      </c>
      <c r="H79" s="1170">
        <f t="shared" si="35"/>
        <v>7.502870491348923E-2</v>
      </c>
      <c r="I79" s="1170">
        <f t="shared" si="35"/>
        <v>4.0844136711844392E-2</v>
      </c>
      <c r="J79" s="1618">
        <f t="shared" si="35"/>
        <v>2.8590637273981923E-2</v>
      </c>
      <c r="K79" s="1170">
        <f t="shared" ref="K79:T79" si="36">IF(K78=0,"-",K78/J78-1)</f>
        <v>2.0915752175857394E-2</v>
      </c>
      <c r="L79" s="1170">
        <f t="shared" si="36"/>
        <v>2.095899181184091E-2</v>
      </c>
      <c r="M79" s="1170">
        <f t="shared" si="36"/>
        <v>2.0891778606554556E-2</v>
      </c>
      <c r="N79" s="1170">
        <f t="shared" si="36"/>
        <v>2.0949178843915783E-2</v>
      </c>
      <c r="O79" s="1618">
        <f t="shared" si="36"/>
        <v>2.0930968967700858E-2</v>
      </c>
      <c r="P79" s="1170">
        <f t="shared" si="36"/>
        <v>1.6004466362705916E-2</v>
      </c>
      <c r="Q79" s="1170">
        <f t="shared" si="36"/>
        <v>1.599658088347522E-2</v>
      </c>
      <c r="R79" s="1170">
        <f t="shared" si="36"/>
        <v>1.5985096601664583E-2</v>
      </c>
      <c r="S79" s="1170">
        <f t="shared" si="36"/>
        <v>1.5999763404607847E-2</v>
      </c>
      <c r="T79" s="1171">
        <f t="shared" si="36"/>
        <v>1.6009780520463313E-2</v>
      </c>
      <c r="U79" s="1066" t="s">
        <v>1053</v>
      </c>
      <c r="AH79" s="1101"/>
      <c r="AI79" s="1101"/>
      <c r="AJ79" s="1103" t="s">
        <v>801</v>
      </c>
      <c r="AK79" s="1103">
        <v>0</v>
      </c>
      <c r="AL79" s="1103">
        <v>0</v>
      </c>
      <c r="AM79" s="1103">
        <v>0</v>
      </c>
      <c r="AN79" s="1103">
        <v>0</v>
      </c>
      <c r="AO79" s="1103">
        <v>0</v>
      </c>
      <c r="AP79" s="1103">
        <v>0</v>
      </c>
      <c r="AQ79" s="1103">
        <v>0</v>
      </c>
      <c r="AR79" s="1103">
        <v>0</v>
      </c>
      <c r="AS79" s="1103">
        <v>0</v>
      </c>
      <c r="AT79" s="1103">
        <v>0</v>
      </c>
      <c r="AU79" s="1103">
        <v>0</v>
      </c>
      <c r="AV79" s="1103">
        <v>0</v>
      </c>
      <c r="AW79" s="1103">
        <v>0</v>
      </c>
      <c r="AX79" s="1103">
        <v>0</v>
      </c>
      <c r="AY79" s="1103">
        <v>0</v>
      </c>
      <c r="AZ79" s="1101"/>
      <c r="BA79" s="1104"/>
    </row>
    <row r="80" spans="1:53" customFormat="1">
      <c r="A80" s="1082"/>
      <c r="B80" s="1055"/>
      <c r="C80" s="1083"/>
      <c r="D80" s="1083"/>
      <c r="E80" s="1083"/>
      <c r="F80" s="1083"/>
      <c r="G80" s="1086"/>
      <c r="H80" s="1086"/>
      <c r="I80" s="1086"/>
      <c r="J80" s="1086"/>
      <c r="K80" s="1451"/>
      <c r="L80" s="1452"/>
      <c r="M80" s="1452"/>
      <c r="N80" s="1453"/>
      <c r="O80" s="1454"/>
      <c r="P80" s="1055"/>
      <c r="Q80" s="1086"/>
      <c r="R80" s="1086"/>
      <c r="S80" s="1455"/>
      <c r="T80" s="1455"/>
      <c r="AH80" s="1456"/>
      <c r="AI80" s="1456"/>
      <c r="AJ80" s="1456"/>
      <c r="AK80" s="1456"/>
      <c r="AL80" s="1456"/>
      <c r="AM80" s="1456"/>
      <c r="AN80" s="1456"/>
      <c r="AO80" s="1456"/>
      <c r="AP80" s="1456"/>
      <c r="AQ80" s="1456"/>
      <c r="AR80" s="1456"/>
      <c r="AS80" s="1456"/>
      <c r="AT80" s="1456"/>
      <c r="AU80" s="1456"/>
      <c r="AV80" s="1456"/>
      <c r="AW80" s="1456"/>
      <c r="AX80" s="1456"/>
      <c r="AY80" s="1456"/>
      <c r="AZ80" s="1456"/>
      <c r="BA80" s="1457"/>
    </row>
    <row r="81" spans="1:53" customFormat="1">
      <c r="A81" s="1458" t="s">
        <v>857</v>
      </c>
      <c r="B81" s="1459"/>
      <c r="C81" s="1460"/>
      <c r="D81" s="1460"/>
      <c r="E81" s="1460"/>
      <c r="F81" s="1460"/>
      <c r="G81" s="1461"/>
      <c r="H81" s="1461"/>
      <c r="I81" s="1461"/>
      <c r="J81" s="1461"/>
      <c r="K81" s="1462"/>
      <c r="L81" s="1463"/>
      <c r="M81" s="1463"/>
      <c r="N81" s="1459"/>
      <c r="O81" s="1464"/>
      <c r="P81" s="1459"/>
      <c r="Q81" s="1461"/>
      <c r="R81" s="1461"/>
      <c r="S81" s="1465"/>
      <c r="T81" s="1465"/>
      <c r="AH81" s="1456"/>
      <c r="AI81" s="1456"/>
      <c r="AJ81" s="1456"/>
      <c r="AK81" s="1456"/>
      <c r="AL81" s="1456"/>
      <c r="AM81" s="1456"/>
      <c r="AN81" s="1456"/>
      <c r="AO81" s="1456"/>
      <c r="AP81" s="1456"/>
      <c r="AQ81" s="1456"/>
      <c r="AR81" s="1456"/>
      <c r="AS81" s="1456"/>
      <c r="AT81" s="1456"/>
      <c r="AU81" s="1456"/>
      <c r="AV81" s="1456"/>
      <c r="AW81" s="1456"/>
      <c r="AX81" s="1456"/>
      <c r="AY81" s="1456"/>
      <c r="AZ81" s="1456"/>
      <c r="BA81" s="1457"/>
    </row>
    <row r="82" spans="1:53" customFormat="1" outlineLevel="1">
      <c r="A82" s="1082"/>
      <c r="B82" s="1055"/>
      <c r="C82" s="1083"/>
      <c r="D82" s="1083"/>
      <c r="E82" s="1083"/>
      <c r="F82" s="1083"/>
      <c r="G82" s="1086"/>
      <c r="H82" s="1086"/>
      <c r="I82" s="1086"/>
      <c r="J82" s="1086"/>
      <c r="K82" s="1466"/>
      <c r="N82" s="1055"/>
      <c r="O82" s="1065"/>
      <c r="P82" s="1055"/>
      <c r="Q82" s="1086"/>
      <c r="R82" s="1086"/>
      <c r="S82" s="1455"/>
      <c r="T82" s="1455"/>
      <c r="AH82" s="1456"/>
      <c r="AI82" s="1456"/>
      <c r="AJ82" s="1456"/>
      <c r="AK82" s="1456"/>
      <c r="AL82" s="1456"/>
      <c r="AM82" s="1456"/>
      <c r="AN82" s="1456"/>
      <c r="AO82" s="1456"/>
      <c r="AP82" s="1456"/>
      <c r="AQ82" s="1456"/>
      <c r="AR82" s="1456"/>
      <c r="AS82" s="1456"/>
      <c r="AT82" s="1456"/>
      <c r="AU82" s="1456"/>
      <c r="AV82" s="1456"/>
      <c r="AW82" s="1456"/>
      <c r="AX82" s="1456"/>
      <c r="AY82" s="1456"/>
      <c r="AZ82" s="1456"/>
      <c r="BA82" s="1457"/>
    </row>
    <row r="83" spans="1:53" customFormat="1" outlineLevel="1">
      <c r="A83" s="1082"/>
      <c r="B83" s="1055"/>
      <c r="C83" s="1083"/>
      <c r="D83" s="1083"/>
      <c r="E83" s="1083"/>
      <c r="F83" s="1083"/>
      <c r="G83" s="1083"/>
      <c r="H83" s="1083"/>
      <c r="I83" s="1985"/>
      <c r="J83" s="1985" t="s">
        <v>55</v>
      </c>
      <c r="K83" s="1467">
        <f>KeyAssumptionsPriceControl_FO!AF14</f>
        <v>2.9000000000000001E-2</v>
      </c>
      <c r="N83" s="1055"/>
      <c r="O83" s="1065"/>
      <c r="P83" s="1055"/>
      <c r="Q83" s="1086"/>
      <c r="R83" s="1086"/>
      <c r="S83" s="1455"/>
      <c r="T83" s="1455"/>
      <c r="AH83" s="1456"/>
      <c r="AI83" s="1456"/>
      <c r="AJ83" s="1456"/>
      <c r="AK83" s="1456"/>
      <c r="AL83" s="1456"/>
      <c r="AM83" s="1456"/>
      <c r="AN83" s="1456"/>
      <c r="AO83" s="1456"/>
      <c r="AP83" s="1456"/>
      <c r="AQ83" s="1456"/>
      <c r="AR83" s="1456"/>
      <c r="AS83" s="1456"/>
      <c r="AT83" s="1456"/>
      <c r="AU83" s="1456"/>
      <c r="AV83" s="1456"/>
      <c r="AW83" s="1456"/>
      <c r="AX83" s="1456"/>
      <c r="AY83" s="1456"/>
      <c r="AZ83" s="1456"/>
      <c r="BA83" s="1457"/>
    </row>
    <row r="84" spans="1:53" customFormat="1" outlineLevel="1">
      <c r="A84" s="1468" t="s">
        <v>858</v>
      </c>
      <c r="B84" s="2124" t="s">
        <v>272</v>
      </c>
      <c r="C84" s="1469" t="str">
        <f>C6</f>
        <v>2018-19</v>
      </c>
      <c r="D84" s="1469" t="str">
        <f t="shared" ref="D84:T84" si="37">D6</f>
        <v>2019-20</v>
      </c>
      <c r="E84" s="1469" t="str">
        <f t="shared" si="37"/>
        <v>2020-21</v>
      </c>
      <c r="F84" s="1469" t="str">
        <f t="shared" si="37"/>
        <v>2021-22</v>
      </c>
      <c r="G84" s="1469" t="str">
        <f t="shared" si="37"/>
        <v>2022-23</v>
      </c>
      <c r="H84" s="1469" t="str">
        <f>H6</f>
        <v>2023-24</v>
      </c>
      <c r="I84" s="1469" t="str">
        <f>I6</f>
        <v>2024-25</v>
      </c>
      <c r="J84" s="1469" t="str">
        <f>J6</f>
        <v>2025-26</v>
      </c>
      <c r="K84" s="1470" t="str">
        <f t="shared" si="37"/>
        <v>2026-27</v>
      </c>
      <c r="L84" s="1469" t="str">
        <f t="shared" si="37"/>
        <v>2027-28</v>
      </c>
      <c r="M84" s="1469" t="str">
        <f t="shared" si="37"/>
        <v>2028-29</v>
      </c>
      <c r="N84" s="1469" t="str">
        <f t="shared" si="37"/>
        <v>2029-30</v>
      </c>
      <c r="O84" s="1471" t="str">
        <f t="shared" si="37"/>
        <v>2030-31</v>
      </c>
      <c r="P84" s="1469" t="str">
        <f t="shared" si="37"/>
        <v>2031-32</v>
      </c>
      <c r="Q84" s="1469" t="str">
        <f t="shared" si="37"/>
        <v>2032-33</v>
      </c>
      <c r="R84" s="1469" t="str">
        <f t="shared" si="37"/>
        <v>2033-34</v>
      </c>
      <c r="S84" s="1469" t="str">
        <f t="shared" si="37"/>
        <v>2034-35</v>
      </c>
      <c r="T84" s="1469" t="str">
        <f t="shared" si="37"/>
        <v>2035-36</v>
      </c>
      <c r="AH84" s="1456"/>
      <c r="AI84" s="1456"/>
      <c r="AJ84" s="1456"/>
      <c r="AK84" s="1456"/>
      <c r="AL84" s="1456"/>
      <c r="AM84" s="1456"/>
      <c r="AN84" s="1456"/>
      <c r="AO84" s="1456"/>
      <c r="AP84" s="1456"/>
      <c r="AQ84" s="1456"/>
      <c r="AR84" s="1456"/>
      <c r="AS84" s="1456"/>
      <c r="AT84" s="1456"/>
      <c r="AU84" s="1456"/>
      <c r="AV84" s="1456"/>
      <c r="AW84" s="1456"/>
      <c r="AX84" s="1456"/>
      <c r="AY84" s="1456"/>
      <c r="AZ84" s="1456"/>
      <c r="BA84" s="1457"/>
    </row>
    <row r="85" spans="1:53" customFormat="1" ht="11.25" customHeight="1" outlineLevel="1">
      <c r="A85" s="1472" t="s">
        <v>859</v>
      </c>
      <c r="B85" s="2125" t="str">
        <f t="shared" ref="B85:G85" si="38">+"$,"&amp;B84</f>
        <v>$,2012-13</v>
      </c>
      <c r="C85" s="1473" t="str">
        <f t="shared" si="38"/>
        <v>$,2018-19</v>
      </c>
      <c r="D85" s="1473" t="str">
        <f t="shared" si="38"/>
        <v>$,2019-20</v>
      </c>
      <c r="E85" s="1473" t="str">
        <f t="shared" si="38"/>
        <v>$,2020-21</v>
      </c>
      <c r="F85" s="1473" t="str">
        <f t="shared" si="38"/>
        <v>$,2021-22</v>
      </c>
      <c r="G85" s="1473" t="str">
        <f t="shared" si="38"/>
        <v>$,2022-23</v>
      </c>
      <c r="H85" s="1473" t="str">
        <f>+"$,"&amp;H84</f>
        <v>$,2023-24</v>
      </c>
      <c r="I85" s="1473" t="str">
        <f>+"$,"&amp;I84</f>
        <v>$,2024-25</v>
      </c>
      <c r="J85" s="1473" t="str">
        <f>+"$,"&amp;J84</f>
        <v>$,2025-26</v>
      </c>
      <c r="K85" s="1474" t="str">
        <f t="shared" ref="K85:T85" si="39">+"$,"&amp;K84</f>
        <v>$,2026-27</v>
      </c>
      <c r="L85" s="1473" t="str">
        <f t="shared" si="39"/>
        <v>$,2027-28</v>
      </c>
      <c r="M85" s="1473" t="str">
        <f t="shared" si="39"/>
        <v>$,2028-29</v>
      </c>
      <c r="N85" s="1473" t="str">
        <f t="shared" si="39"/>
        <v>$,2029-30</v>
      </c>
      <c r="O85" s="1475" t="str">
        <f t="shared" si="39"/>
        <v>$,2030-31</v>
      </c>
      <c r="P85" s="1473" t="str">
        <f t="shared" si="39"/>
        <v>$,2031-32</v>
      </c>
      <c r="Q85" s="1473" t="str">
        <f t="shared" si="39"/>
        <v>$,2032-33</v>
      </c>
      <c r="R85" s="1473" t="str">
        <f t="shared" si="39"/>
        <v>$,2033-34</v>
      </c>
      <c r="S85" s="1473" t="str">
        <f t="shared" si="39"/>
        <v>$,2034-35</v>
      </c>
      <c r="T85" s="1473" t="str">
        <f t="shared" si="39"/>
        <v>$,2035-36</v>
      </c>
      <c r="AH85" s="1456"/>
      <c r="AI85" s="1456"/>
      <c r="AJ85" s="1456"/>
      <c r="AK85" s="1456"/>
      <c r="AL85" s="1456"/>
      <c r="AM85" s="1456"/>
      <c r="AN85" s="1456"/>
      <c r="AO85" s="1456"/>
      <c r="AP85" s="1456"/>
      <c r="AQ85" s="1456"/>
      <c r="AR85" s="1456"/>
      <c r="AS85" s="1456"/>
      <c r="AT85" s="1456"/>
      <c r="AU85" s="1456"/>
      <c r="AV85" s="1456"/>
      <c r="AW85" s="1456"/>
      <c r="AX85" s="1456"/>
      <c r="AY85" s="1456"/>
      <c r="AZ85" s="1456"/>
      <c r="BA85" s="1457"/>
    </row>
    <row r="86" spans="1:53" customFormat="1" outlineLevel="1">
      <c r="A86" s="1472" t="s">
        <v>860</v>
      </c>
      <c r="B86" s="1476">
        <v>99.9</v>
      </c>
      <c r="C86" s="1477">
        <f>KeyAssumptionsPriceControl_FO!X13</f>
        <v>112.6</v>
      </c>
      <c r="D86" s="1477">
        <f>KeyAssumptionsPriceControl_FO!Y13</f>
        <v>114.1</v>
      </c>
      <c r="E86" s="1477">
        <f>KeyAssumptionsPriceControl_FO!Z13</f>
        <v>116.6</v>
      </c>
      <c r="F86" s="1477">
        <f>KeyAssumptionsPriceControl_FO!AA13</f>
        <v>117.9</v>
      </c>
      <c r="G86" s="1477">
        <f>KeyAssumptionsPriceControl_FO!AB13</f>
        <v>123.9</v>
      </c>
      <c r="H86" s="1477">
        <f>KeyAssumptionsPriceControl_FO!AC13</f>
        <v>132.6</v>
      </c>
      <c r="I86" s="1477">
        <f>KeyAssumptionsPriceControl_FO!AD13</f>
        <v>137.4</v>
      </c>
      <c r="J86" s="1477">
        <f>KeyAssumptionsPriceControl_FO!AE13</f>
        <v>140.69999999999999</v>
      </c>
      <c r="K86" s="1478">
        <f>J86*(1+$K$83)</f>
        <v>144.78029999999998</v>
      </c>
      <c r="L86" s="2179">
        <f t="shared" ref="L86:T86" si="40">K86*(1+$K$83)</f>
        <v>148.97892869999998</v>
      </c>
      <c r="M86" s="2179">
        <f t="shared" si="40"/>
        <v>153.29931763229996</v>
      </c>
      <c r="N86" s="2179">
        <f t="shared" si="40"/>
        <v>157.74499784363664</v>
      </c>
      <c r="O86" s="1479">
        <f t="shared" si="40"/>
        <v>162.31960278110208</v>
      </c>
      <c r="P86" s="2179">
        <f t="shared" si="40"/>
        <v>167.02687126175402</v>
      </c>
      <c r="Q86" s="2179">
        <f t="shared" si="40"/>
        <v>171.87065052834487</v>
      </c>
      <c r="R86" s="2179">
        <f t="shared" si="40"/>
        <v>176.85489939366684</v>
      </c>
      <c r="S86" s="2179">
        <f t="shared" si="40"/>
        <v>181.98369147608315</v>
      </c>
      <c r="T86" s="2179">
        <f t="shared" si="40"/>
        <v>187.26121852888954</v>
      </c>
      <c r="U86" s="2180" t="s">
        <v>1053</v>
      </c>
      <c r="AH86" s="1456"/>
      <c r="AI86" s="1456"/>
      <c r="AJ86" s="1456"/>
      <c r="AK86" s="1456"/>
      <c r="AL86" s="1456"/>
      <c r="AM86" s="1456"/>
      <c r="AN86" s="1456"/>
      <c r="AO86" s="1456"/>
      <c r="AP86" s="1456"/>
      <c r="AQ86" s="1456"/>
      <c r="AR86" s="1456"/>
      <c r="AS86" s="1456"/>
      <c r="AT86" s="1456"/>
      <c r="AU86" s="1456"/>
      <c r="AV86" s="1456"/>
      <c r="AW86" s="1456"/>
      <c r="AX86" s="1456"/>
      <c r="AY86" s="1456"/>
      <c r="AZ86" s="1456"/>
      <c r="BA86" s="1457"/>
    </row>
    <row r="87" spans="1:53" customFormat="1" outlineLevel="1">
      <c r="A87" s="1472" t="s">
        <v>79</v>
      </c>
      <c r="B87" s="1480"/>
      <c r="C87" s="1481"/>
      <c r="D87" s="1481">
        <f t="shared" ref="D87:J87" si="41">D86/C86-1</f>
        <v>1.3321492007104752E-2</v>
      </c>
      <c r="E87" s="1481">
        <f t="shared" si="41"/>
        <v>2.1910604732690686E-2</v>
      </c>
      <c r="F87" s="1481">
        <f t="shared" si="41"/>
        <v>1.1149228130360234E-2</v>
      </c>
      <c r="G87" s="1481">
        <f t="shared" si="41"/>
        <v>5.0890585241730291E-2</v>
      </c>
      <c r="H87" s="1481">
        <f t="shared" si="41"/>
        <v>7.0217917675544639E-2</v>
      </c>
      <c r="I87" s="1481">
        <f t="shared" si="41"/>
        <v>3.6199095022624528E-2</v>
      </c>
      <c r="J87" s="1481">
        <f t="shared" si="41"/>
        <v>2.4017467248908186E-2</v>
      </c>
      <c r="K87" s="1482">
        <f>K86/J86-1</f>
        <v>2.8999999999999915E-2</v>
      </c>
      <c r="L87" s="1481">
        <f t="shared" ref="L87:T87" si="42">L86/K86-1</f>
        <v>2.8999999999999915E-2</v>
      </c>
      <c r="M87" s="1481">
        <f t="shared" si="42"/>
        <v>2.8999999999999915E-2</v>
      </c>
      <c r="N87" s="1481">
        <f t="shared" si="42"/>
        <v>2.8999999999999915E-2</v>
      </c>
      <c r="O87" s="1483">
        <f t="shared" si="42"/>
        <v>2.8999999999999915E-2</v>
      </c>
      <c r="P87" s="1481">
        <f t="shared" si="42"/>
        <v>2.8999999999999915E-2</v>
      </c>
      <c r="Q87" s="1481">
        <f t="shared" si="42"/>
        <v>2.8999999999999915E-2</v>
      </c>
      <c r="R87" s="1481">
        <f t="shared" si="42"/>
        <v>2.8999999999999915E-2</v>
      </c>
      <c r="S87" s="1481">
        <f t="shared" si="42"/>
        <v>2.8999999999999915E-2</v>
      </c>
      <c r="T87" s="1481">
        <f t="shared" si="42"/>
        <v>2.8999999999999915E-2</v>
      </c>
      <c r="U87" s="2180" t="s">
        <v>1053</v>
      </c>
      <c r="AH87" s="1456"/>
      <c r="AI87" s="1456"/>
      <c r="AJ87" s="1456"/>
      <c r="AK87" s="1456"/>
      <c r="AL87" s="1456"/>
      <c r="AM87" s="1456"/>
      <c r="AN87" s="1456"/>
      <c r="AO87" s="1456"/>
      <c r="AP87" s="1456"/>
      <c r="AQ87" s="1456"/>
      <c r="AR87" s="1456"/>
      <c r="AS87" s="1456"/>
      <c r="AT87" s="1456"/>
      <c r="AU87" s="1456"/>
      <c r="AV87" s="1456"/>
      <c r="AW87" s="1456"/>
      <c r="AX87" s="1456"/>
      <c r="AY87" s="1456"/>
      <c r="AZ87" s="1456"/>
      <c r="BA87" s="1457"/>
    </row>
    <row r="88" spans="1:53" customFormat="1" ht="12" thickBot="1">
      <c r="A88" s="1472"/>
      <c r="B88" s="1480"/>
      <c r="C88" s="1481"/>
      <c r="D88" s="1481"/>
      <c r="E88" s="1481"/>
      <c r="F88" s="1481"/>
      <c r="G88" s="1481"/>
      <c r="H88" s="1481"/>
      <c r="I88" s="1481"/>
      <c r="J88" s="1481"/>
      <c r="K88" s="1482"/>
      <c r="L88" s="1481"/>
      <c r="M88" s="1481"/>
      <c r="N88" s="1481"/>
      <c r="O88" s="1483"/>
      <c r="P88" s="1481"/>
      <c r="Q88" s="1481"/>
      <c r="R88" s="1481"/>
      <c r="S88" s="1481"/>
      <c r="T88" s="1481"/>
      <c r="AH88" s="1456"/>
      <c r="AI88" s="1456"/>
      <c r="AJ88" s="1456"/>
      <c r="AK88" s="1456"/>
      <c r="AL88" s="1456"/>
      <c r="AM88" s="1456"/>
      <c r="AN88" s="1456"/>
      <c r="AO88" s="1456"/>
      <c r="AP88" s="1456"/>
      <c r="AQ88" s="1456"/>
      <c r="AR88" s="1456"/>
      <c r="AS88" s="1456"/>
      <c r="AT88" s="1456"/>
      <c r="AU88" s="1456"/>
      <c r="AV88" s="1456"/>
      <c r="AW88" s="1456"/>
      <c r="AX88" s="1456"/>
      <c r="AY88" s="1456"/>
      <c r="AZ88" s="1456"/>
      <c r="BA88" s="1457"/>
    </row>
    <row r="89" spans="1:53" customFormat="1" ht="12" thickBot="1">
      <c r="A89" s="1484" t="s">
        <v>1224</v>
      </c>
      <c r="B89" s="1055"/>
      <c r="C89" s="1083"/>
      <c r="D89" s="1083"/>
      <c r="E89" s="1083"/>
      <c r="F89" s="1083"/>
      <c r="G89" s="1083"/>
      <c r="H89" s="1083"/>
      <c r="I89" s="1083"/>
      <c r="J89" s="1083"/>
      <c r="K89" s="1485"/>
      <c r="L89" s="1486"/>
      <c r="M89" s="1486"/>
      <c r="N89" s="1486"/>
      <c r="O89" s="1487"/>
      <c r="P89" s="1486"/>
      <c r="Q89" s="1055"/>
      <c r="R89" s="1055"/>
      <c r="AH89" s="1456"/>
      <c r="AI89" s="1456"/>
      <c r="AJ89" s="1456"/>
      <c r="AK89" s="1456">
        <f t="shared" ref="AK89:AY89" si="43">AK35</f>
        <v>0</v>
      </c>
      <c r="AL89" s="1456">
        <f t="shared" si="43"/>
        <v>0</v>
      </c>
      <c r="AM89" s="1456">
        <f t="shared" si="43"/>
        <v>0</v>
      </c>
      <c r="AN89" s="1456">
        <f t="shared" si="43"/>
        <v>0</v>
      </c>
      <c r="AO89" s="1456">
        <f t="shared" si="43"/>
        <v>0</v>
      </c>
      <c r="AP89" s="1456">
        <f t="shared" si="43"/>
        <v>0</v>
      </c>
      <c r="AQ89" s="1456">
        <f t="shared" si="43"/>
        <v>0</v>
      </c>
      <c r="AR89" s="1456">
        <f t="shared" si="43"/>
        <v>0</v>
      </c>
      <c r="AS89" s="1456">
        <f t="shared" si="43"/>
        <v>0</v>
      </c>
      <c r="AT89" s="1456">
        <f t="shared" si="43"/>
        <v>0</v>
      </c>
      <c r="AU89" s="1456">
        <f t="shared" si="43"/>
        <v>0</v>
      </c>
      <c r="AV89" s="1456">
        <f t="shared" si="43"/>
        <v>0</v>
      </c>
      <c r="AW89" s="1456">
        <f t="shared" si="43"/>
        <v>0</v>
      </c>
      <c r="AX89" s="1456">
        <f t="shared" si="43"/>
        <v>0</v>
      </c>
      <c r="AY89" s="1456">
        <f t="shared" si="43"/>
        <v>0</v>
      </c>
      <c r="AZ89" s="1456"/>
      <c r="BA89" s="1457"/>
    </row>
    <row r="90" spans="1:53" s="1493" customFormat="1">
      <c r="A90" s="1488" t="s">
        <v>794</v>
      </c>
      <c r="B90" s="1489"/>
      <c r="C90" s="1490">
        <f>C75*($J$86/C$86)</f>
        <v>1121.126589698046</v>
      </c>
      <c r="D90" s="1490">
        <f t="shared" ref="D90:J90" si="44">D75*($J$86/D$86)</f>
        <v>1118.1888957055214</v>
      </c>
      <c r="E90" s="1490">
        <f t="shared" si="44"/>
        <v>1108.0426672384219</v>
      </c>
      <c r="F90" s="1490">
        <f t="shared" si="44"/>
        <v>1096.9826463104325</v>
      </c>
      <c r="G90" s="1490">
        <f t="shared" si="44"/>
        <v>1091.6798305084744</v>
      </c>
      <c r="H90" s="1490">
        <f t="shared" si="44"/>
        <v>1103.0200904977376</v>
      </c>
      <c r="I90" s="1490">
        <f t="shared" si="44"/>
        <v>1106.532794759825</v>
      </c>
      <c r="J90" s="1490">
        <f t="shared" si="44"/>
        <v>1114.06</v>
      </c>
      <c r="K90" s="1490">
        <f>K75</f>
        <v>1175.6300000000001</v>
      </c>
      <c r="L90" s="1490">
        <f t="shared" ref="L90:T90" si="45">L75</f>
        <v>1240.3800000000001</v>
      </c>
      <c r="M90" s="1490">
        <f t="shared" si="45"/>
        <v>1308.3799999999999</v>
      </c>
      <c r="N90" s="1490">
        <f t="shared" si="45"/>
        <v>1379.86</v>
      </c>
      <c r="O90" s="1491">
        <f t="shared" si="45"/>
        <v>1454.94</v>
      </c>
      <c r="P90" s="1490">
        <f t="shared" si="45"/>
        <v>1478.22</v>
      </c>
      <c r="Q90" s="1490">
        <f t="shared" si="45"/>
        <v>1501.87</v>
      </c>
      <c r="R90" s="1490">
        <f t="shared" si="45"/>
        <v>1525.9</v>
      </c>
      <c r="S90" s="1490">
        <f t="shared" si="45"/>
        <v>1550.31</v>
      </c>
      <c r="T90" s="1492">
        <f t="shared" si="45"/>
        <v>1575.12</v>
      </c>
      <c r="U90" s="1493" t="s">
        <v>1053</v>
      </c>
      <c r="AH90" s="1494"/>
      <c r="AI90" s="1494"/>
      <c r="AJ90" s="1095" t="s">
        <v>795</v>
      </c>
      <c r="AK90" s="1096">
        <f>C90</f>
        <v>1121.126589698046</v>
      </c>
      <c r="AL90" s="1096">
        <f>D90</f>
        <v>1118.1888957055214</v>
      </c>
      <c r="AM90" s="1096">
        <f>E90</f>
        <v>1108.0426672384219</v>
      </c>
      <c r="AN90" s="1096">
        <f>F90</f>
        <v>1096.9826463104325</v>
      </c>
      <c r="AO90" s="1096">
        <f>G90</f>
        <v>1091.6798305084744</v>
      </c>
      <c r="AP90" s="1096">
        <f t="shared" ref="AP90:AY91" si="46">K90</f>
        <v>1175.6300000000001</v>
      </c>
      <c r="AQ90" s="1096">
        <f t="shared" si="46"/>
        <v>1240.3800000000001</v>
      </c>
      <c r="AR90" s="1096">
        <f t="shared" si="46"/>
        <v>1308.3799999999999</v>
      </c>
      <c r="AS90" s="1096">
        <f t="shared" si="46"/>
        <v>1379.86</v>
      </c>
      <c r="AT90" s="1096">
        <f t="shared" si="46"/>
        <v>1454.94</v>
      </c>
      <c r="AU90" s="1096">
        <f t="shared" si="46"/>
        <v>1478.22</v>
      </c>
      <c r="AV90" s="1096">
        <f t="shared" si="46"/>
        <v>1501.87</v>
      </c>
      <c r="AW90" s="1096">
        <f t="shared" si="46"/>
        <v>1525.9</v>
      </c>
      <c r="AX90" s="1096">
        <f t="shared" si="46"/>
        <v>1550.31</v>
      </c>
      <c r="AY90" s="1096">
        <f t="shared" si="46"/>
        <v>1575.12</v>
      </c>
      <c r="AZ90" s="1494"/>
      <c r="BA90" s="1495"/>
    </row>
    <row r="91" spans="1:53" s="1499" customFormat="1">
      <c r="A91" s="1496" t="s">
        <v>796</v>
      </c>
      <c r="B91" s="2160"/>
      <c r="C91" s="2161"/>
      <c r="D91" s="2162">
        <f t="shared" ref="D91:J91" si="47">IF(D90=0,"-",D90/C90-1)</f>
        <v>-2.6203053424286304E-3</v>
      </c>
      <c r="E91" s="2162">
        <f t="shared" si="47"/>
        <v>-9.0738054241700228E-3</v>
      </c>
      <c r="F91" s="2162">
        <f t="shared" si="47"/>
        <v>-9.9815839723521593E-3</v>
      </c>
      <c r="G91" s="2162">
        <f t="shared" si="47"/>
        <v>-4.8340015403101066E-3</v>
      </c>
      <c r="H91" s="2162">
        <f t="shared" si="47"/>
        <v>1.0387899155360536E-2</v>
      </c>
      <c r="I91" s="2162">
        <f t="shared" si="47"/>
        <v>3.1846240085275923E-3</v>
      </c>
      <c r="J91" s="1497">
        <f t="shared" si="47"/>
        <v>6.802514372661328E-3</v>
      </c>
      <c r="K91" s="2162">
        <f t="shared" ref="K91:T91" si="48">IF(K90=0,"-",K90/J90-1)</f>
        <v>5.5266323178285059E-2</v>
      </c>
      <c r="L91" s="2162">
        <f t="shared" si="48"/>
        <v>5.507685241104765E-2</v>
      </c>
      <c r="M91" s="2162">
        <f t="shared" si="48"/>
        <v>5.482190941485654E-2</v>
      </c>
      <c r="N91" s="2162">
        <f t="shared" si="48"/>
        <v>5.4632446231217324E-2</v>
      </c>
      <c r="O91" s="1497">
        <f t="shared" si="48"/>
        <v>5.4411317090139688E-2</v>
      </c>
      <c r="P91" s="2162">
        <f t="shared" si="48"/>
        <v>1.6000659821023611E-2</v>
      </c>
      <c r="Q91" s="2162">
        <f t="shared" si="48"/>
        <v>1.5998971736277401E-2</v>
      </c>
      <c r="R91" s="2162">
        <f t="shared" si="48"/>
        <v>1.6000053266927328E-2</v>
      </c>
      <c r="S91" s="2162">
        <f t="shared" si="48"/>
        <v>1.5997116455862104E-2</v>
      </c>
      <c r="T91" s="1498">
        <f t="shared" si="48"/>
        <v>1.6003250962710602E-2</v>
      </c>
      <c r="U91" s="1499" t="s">
        <v>1053</v>
      </c>
      <c r="AH91" s="1500"/>
      <c r="AI91" s="1500"/>
      <c r="AJ91" s="1102" t="s">
        <v>797</v>
      </c>
      <c r="AK91" s="1103"/>
      <c r="AL91" s="1103">
        <f>D91</f>
        <v>-2.6203053424286304E-3</v>
      </c>
      <c r="AM91" s="1103">
        <f>E91</f>
        <v>-9.0738054241700228E-3</v>
      </c>
      <c r="AN91" s="1103">
        <f>F91</f>
        <v>-9.9815839723521593E-3</v>
      </c>
      <c r="AO91" s="1103">
        <f>G91</f>
        <v>-4.8340015403101066E-3</v>
      </c>
      <c r="AP91" s="1103">
        <f t="shared" si="46"/>
        <v>5.5266323178285059E-2</v>
      </c>
      <c r="AQ91" s="1103">
        <f t="shared" si="46"/>
        <v>5.507685241104765E-2</v>
      </c>
      <c r="AR91" s="1103">
        <f t="shared" si="46"/>
        <v>5.482190941485654E-2</v>
      </c>
      <c r="AS91" s="1103">
        <f t="shared" si="46"/>
        <v>5.4632446231217324E-2</v>
      </c>
      <c r="AT91" s="1103">
        <f t="shared" si="46"/>
        <v>5.4411317090139688E-2</v>
      </c>
      <c r="AU91" s="1103">
        <f t="shared" si="46"/>
        <v>1.6000659821023611E-2</v>
      </c>
      <c r="AV91" s="1103">
        <f t="shared" si="46"/>
        <v>1.5998971736277401E-2</v>
      </c>
      <c r="AW91" s="1103">
        <f t="shared" si="46"/>
        <v>1.6000053266927328E-2</v>
      </c>
      <c r="AX91" s="1103">
        <f t="shared" si="46"/>
        <v>1.5997116455862104E-2</v>
      </c>
      <c r="AY91" s="1103">
        <f t="shared" si="46"/>
        <v>1.6003250962710602E-2</v>
      </c>
      <c r="AZ91" s="1500"/>
      <c r="BA91" s="1501"/>
    </row>
    <row r="92" spans="1:53" s="1499" customFormat="1">
      <c r="A92" s="1105"/>
      <c r="B92" s="1106"/>
      <c r="C92" s="1107"/>
      <c r="D92" s="2163"/>
      <c r="E92" s="2163"/>
      <c r="F92" s="2163"/>
      <c r="G92" s="2163"/>
      <c r="H92" s="2163"/>
      <c r="I92" s="2163"/>
      <c r="J92" s="1109"/>
      <c r="K92" s="2163"/>
      <c r="L92" s="2163"/>
      <c r="M92" s="2163"/>
      <c r="N92" s="2163"/>
      <c r="O92" s="1109"/>
      <c r="P92" s="2163"/>
      <c r="Q92" s="2163"/>
      <c r="R92" s="2163"/>
      <c r="S92" s="2163"/>
      <c r="T92" s="1110"/>
      <c r="AH92" s="1500"/>
      <c r="AI92" s="1500"/>
      <c r="AJ92" s="1111" t="s">
        <v>798</v>
      </c>
      <c r="AK92" s="1112">
        <f>C93</f>
        <v>563.4747602131439</v>
      </c>
      <c r="AL92" s="1112">
        <f>D93</f>
        <v>566.0061349693251</v>
      </c>
      <c r="AM92" s="1112">
        <f>E93</f>
        <v>568.54384219554026</v>
      </c>
      <c r="AN92" s="1112">
        <f>F93</f>
        <v>571.08208651399491</v>
      </c>
      <c r="AO92" s="1112">
        <f>G93</f>
        <v>573.63355932203376</v>
      </c>
      <c r="AP92" s="1112">
        <f t="shared" ref="AP92:AY93" si="49">K93</f>
        <v>593.54</v>
      </c>
      <c r="AQ92" s="1112">
        <f t="shared" si="49"/>
        <v>605.98</v>
      </c>
      <c r="AR92" s="1112">
        <f t="shared" si="49"/>
        <v>618.64</v>
      </c>
      <c r="AS92" s="1112">
        <f t="shared" si="49"/>
        <v>631.6</v>
      </c>
      <c r="AT92" s="1112">
        <f t="shared" si="49"/>
        <v>644.81999999999994</v>
      </c>
      <c r="AU92" s="1112">
        <f t="shared" si="49"/>
        <v>655.14</v>
      </c>
      <c r="AV92" s="1112">
        <f t="shared" si="49"/>
        <v>665.62</v>
      </c>
      <c r="AW92" s="1112">
        <f t="shared" si="49"/>
        <v>676.26</v>
      </c>
      <c r="AX92" s="1112">
        <f t="shared" si="49"/>
        <v>687.08</v>
      </c>
      <c r="AY92" s="1112">
        <f t="shared" si="49"/>
        <v>698.08</v>
      </c>
      <c r="AZ92" s="1500"/>
      <c r="BA92" s="1501"/>
    </row>
    <row r="93" spans="1:53" s="1493" customFormat="1">
      <c r="A93" s="1502" t="s">
        <v>799</v>
      </c>
      <c r="B93" s="2164"/>
      <c r="C93" s="2165">
        <f>C78*($J$86/C$86)</f>
        <v>563.4747602131439</v>
      </c>
      <c r="D93" s="2165">
        <f t="shared" ref="D93:J93" si="50">D78*($J$86/D$86)</f>
        <v>566.0061349693251</v>
      </c>
      <c r="E93" s="2165">
        <f t="shared" si="50"/>
        <v>568.54384219554026</v>
      </c>
      <c r="F93" s="2165">
        <f t="shared" si="50"/>
        <v>571.08208651399491</v>
      </c>
      <c r="G93" s="2165">
        <f t="shared" si="50"/>
        <v>573.63355932203376</v>
      </c>
      <c r="H93" s="2165">
        <f t="shared" si="50"/>
        <v>576.21212669683257</v>
      </c>
      <c r="I93" s="2165">
        <f t="shared" si="50"/>
        <v>578.79515283842784</v>
      </c>
      <c r="J93" s="2165">
        <f t="shared" si="50"/>
        <v>581.38</v>
      </c>
      <c r="K93" s="2165">
        <f>K78</f>
        <v>593.54</v>
      </c>
      <c r="L93" s="2165">
        <f t="shared" ref="L93:T93" si="51">L78</f>
        <v>605.98</v>
      </c>
      <c r="M93" s="2165">
        <f t="shared" si="51"/>
        <v>618.64</v>
      </c>
      <c r="N93" s="2165">
        <f t="shared" si="51"/>
        <v>631.6</v>
      </c>
      <c r="O93" s="1503">
        <f t="shared" si="51"/>
        <v>644.81999999999994</v>
      </c>
      <c r="P93" s="2165">
        <f t="shared" si="51"/>
        <v>655.14</v>
      </c>
      <c r="Q93" s="2165">
        <f t="shared" si="51"/>
        <v>665.62</v>
      </c>
      <c r="R93" s="2165">
        <f t="shared" si="51"/>
        <v>676.26</v>
      </c>
      <c r="S93" s="2165">
        <f t="shared" si="51"/>
        <v>687.08</v>
      </c>
      <c r="T93" s="1504">
        <f t="shared" si="51"/>
        <v>698.08</v>
      </c>
      <c r="U93" s="1493" t="s">
        <v>1053</v>
      </c>
      <c r="AH93" s="1494"/>
      <c r="AI93" s="1494"/>
      <c r="AJ93" s="1103" t="s">
        <v>800</v>
      </c>
      <c r="AK93" s="1103"/>
      <c r="AL93" s="1103">
        <f>D94</f>
        <v>4.4924368133607562E-3</v>
      </c>
      <c r="AM93" s="1103">
        <f>E94</f>
        <v>4.4835330739880774E-3</v>
      </c>
      <c r="AN93" s="1103">
        <f>F94</f>
        <v>4.4644654115904014E-3</v>
      </c>
      <c r="AO93" s="1103">
        <f>G94</f>
        <v>4.4677864501294628E-3</v>
      </c>
      <c r="AP93" s="1103">
        <f t="shared" si="49"/>
        <v>2.0915752175857394E-2</v>
      </c>
      <c r="AQ93" s="1103">
        <f t="shared" si="49"/>
        <v>2.095899181184091E-2</v>
      </c>
      <c r="AR93" s="1103">
        <f t="shared" si="49"/>
        <v>2.0891778606554556E-2</v>
      </c>
      <c r="AS93" s="1103">
        <f t="shared" si="49"/>
        <v>2.0949178843915783E-2</v>
      </c>
      <c r="AT93" s="1103">
        <f t="shared" si="49"/>
        <v>2.0930968967700858E-2</v>
      </c>
      <c r="AU93" s="1103">
        <f t="shared" si="49"/>
        <v>1.6004466362705916E-2</v>
      </c>
      <c r="AV93" s="1103">
        <f t="shared" si="49"/>
        <v>1.599658088347522E-2</v>
      </c>
      <c r="AW93" s="1103">
        <f t="shared" si="49"/>
        <v>1.5985096601664583E-2</v>
      </c>
      <c r="AX93" s="1103">
        <f t="shared" si="49"/>
        <v>1.5999763404607847E-2</v>
      </c>
      <c r="AY93" s="1103">
        <f t="shared" si="49"/>
        <v>1.6009780520463313E-2</v>
      </c>
      <c r="AZ93" s="1494"/>
      <c r="BA93" s="1495"/>
    </row>
    <row r="94" spans="1:53" s="1499" customFormat="1" ht="12" thickBot="1">
      <c r="A94" s="1505" t="s">
        <v>796</v>
      </c>
      <c r="B94" s="1506"/>
      <c r="C94" s="1507"/>
      <c r="D94" s="1508">
        <f t="shared" ref="D94:J94" si="52">IF(D93=0,"-",D93/C93-1)</f>
        <v>4.4924368133607562E-3</v>
      </c>
      <c r="E94" s="1508">
        <f t="shared" si="52"/>
        <v>4.4835330739880774E-3</v>
      </c>
      <c r="F94" s="1508">
        <f t="shared" si="52"/>
        <v>4.4644654115904014E-3</v>
      </c>
      <c r="G94" s="1508">
        <f t="shared" si="52"/>
        <v>4.4677864501294628E-3</v>
      </c>
      <c r="H94" s="1508">
        <f t="shared" si="52"/>
        <v>4.4951473512921947E-3</v>
      </c>
      <c r="I94" s="1508">
        <f t="shared" si="52"/>
        <v>4.4827694904698845E-3</v>
      </c>
      <c r="J94" s="1509">
        <f t="shared" si="52"/>
        <v>4.4659101737394291E-3</v>
      </c>
      <c r="K94" s="1508">
        <f t="shared" ref="K94:T94" si="53">IF(K93=0,"-",K93/J93-1)</f>
        <v>2.0915752175857394E-2</v>
      </c>
      <c r="L94" s="1508">
        <f t="shared" si="53"/>
        <v>2.095899181184091E-2</v>
      </c>
      <c r="M94" s="1508">
        <f t="shared" si="53"/>
        <v>2.0891778606554556E-2</v>
      </c>
      <c r="N94" s="1508">
        <f t="shared" si="53"/>
        <v>2.0949178843915783E-2</v>
      </c>
      <c r="O94" s="1509">
        <f t="shared" si="53"/>
        <v>2.0930968967700858E-2</v>
      </c>
      <c r="P94" s="1508">
        <f t="shared" si="53"/>
        <v>1.6004466362705916E-2</v>
      </c>
      <c r="Q94" s="1508">
        <f t="shared" si="53"/>
        <v>1.599658088347522E-2</v>
      </c>
      <c r="R94" s="1508">
        <f t="shared" si="53"/>
        <v>1.5985096601664583E-2</v>
      </c>
      <c r="S94" s="1508">
        <f t="shared" si="53"/>
        <v>1.5999763404607847E-2</v>
      </c>
      <c r="T94" s="1510">
        <f t="shared" si="53"/>
        <v>1.6009780520463313E-2</v>
      </c>
      <c r="U94" s="1499" t="s">
        <v>1053</v>
      </c>
      <c r="AH94" s="1500"/>
      <c r="AI94" s="1500"/>
      <c r="AJ94" s="1103" t="s">
        <v>801</v>
      </c>
      <c r="AK94" s="1103">
        <v>0</v>
      </c>
      <c r="AL94" s="1103">
        <v>0</v>
      </c>
      <c r="AM94" s="1103">
        <v>0</v>
      </c>
      <c r="AN94" s="1103">
        <v>0</v>
      </c>
      <c r="AO94" s="1103">
        <v>0</v>
      </c>
      <c r="AP94" s="1103">
        <v>0</v>
      </c>
      <c r="AQ94" s="1103">
        <v>0</v>
      </c>
      <c r="AR94" s="1103">
        <v>0</v>
      </c>
      <c r="AS94" s="1103">
        <v>0</v>
      </c>
      <c r="AT94" s="1103">
        <v>0</v>
      </c>
      <c r="AU94" s="1103">
        <v>0</v>
      </c>
      <c r="AV94" s="1103">
        <v>0</v>
      </c>
      <c r="AW94" s="1103">
        <v>0</v>
      </c>
      <c r="AX94" s="1103">
        <v>0</v>
      </c>
      <c r="AY94" s="1103">
        <v>0</v>
      </c>
      <c r="AZ94" s="1500"/>
      <c r="BA94" s="1501"/>
    </row>
    <row r="95" spans="1:53">
      <c r="A95" s="1082"/>
      <c r="B95" s="1055"/>
      <c r="C95" s="1083"/>
      <c r="D95" s="1083"/>
      <c r="E95" s="1083"/>
      <c r="F95" s="1083"/>
      <c r="G95" s="1086"/>
      <c r="H95" s="1086"/>
      <c r="I95" s="1086"/>
      <c r="J95" s="1086"/>
      <c r="Q95" s="1086"/>
      <c r="R95" s="1086"/>
      <c r="S95" s="1085"/>
      <c r="T95" s="1085"/>
    </row>
    <row r="96" spans="1:53">
      <c r="A96" s="1082"/>
      <c r="B96" s="1055"/>
      <c r="C96" s="1083"/>
      <c r="D96" s="1083"/>
      <c r="E96" s="1083"/>
      <c r="F96" s="1083"/>
      <c r="G96" s="1086"/>
      <c r="H96" s="1086"/>
      <c r="I96" s="1086"/>
      <c r="J96" s="1086"/>
      <c r="Q96" s="1086"/>
      <c r="R96" s="1086"/>
      <c r="S96" s="1085"/>
      <c r="T96" s="1085"/>
    </row>
    <row r="97" spans="1:20" collapsed="1">
      <c r="A97" s="1172" t="s">
        <v>808</v>
      </c>
      <c r="B97" s="1173"/>
      <c r="C97" s="1174"/>
      <c r="D97" s="1174"/>
      <c r="E97" s="1174"/>
      <c r="F97" s="1174"/>
      <c r="G97" s="1174"/>
      <c r="H97" s="1174"/>
      <c r="I97" s="1174"/>
      <c r="J97" s="1174"/>
      <c r="K97" s="1175"/>
      <c r="L97" s="1175"/>
      <c r="M97" s="1175"/>
      <c r="N97" s="1173"/>
      <c r="O97" s="1173"/>
      <c r="P97" s="1173"/>
      <c r="Q97" s="1173"/>
      <c r="R97" s="1173"/>
      <c r="S97" s="1175"/>
      <c r="T97" s="1175"/>
    </row>
    <row r="98" spans="1:20" ht="11.25" hidden="1" customHeight="1" outlineLevel="1">
      <c r="A98" s="1176"/>
      <c r="B98" s="1055"/>
      <c r="C98" s="1086"/>
      <c r="D98" s="1086"/>
      <c r="E98" s="1086"/>
      <c r="F98" s="1086"/>
      <c r="G98" s="1086"/>
      <c r="H98" s="1086"/>
      <c r="I98" s="1086"/>
      <c r="J98" s="1086"/>
    </row>
    <row r="99" spans="1:20" ht="11.25" hidden="1" customHeight="1" outlineLevel="1">
      <c r="A99" s="1176"/>
      <c r="B99" s="1055"/>
      <c r="C99" s="1060" t="str">
        <f t="shared" ref="C99:T99" si="54">C6</f>
        <v>2018-19</v>
      </c>
      <c r="D99" s="1060" t="str">
        <f t="shared" si="54"/>
        <v>2019-20</v>
      </c>
      <c r="E99" s="1060" t="str">
        <f t="shared" si="54"/>
        <v>2020-21</v>
      </c>
      <c r="F99" s="1060" t="str">
        <f t="shared" si="54"/>
        <v>2021-22</v>
      </c>
      <c r="G99" s="1060" t="str">
        <f t="shared" si="54"/>
        <v>2022-23</v>
      </c>
      <c r="H99" s="1060" t="str">
        <f>H6</f>
        <v>2023-24</v>
      </c>
      <c r="I99" s="1060" t="str">
        <f>I6</f>
        <v>2024-25</v>
      </c>
      <c r="J99" s="1060" t="str">
        <f>J6</f>
        <v>2025-26</v>
      </c>
      <c r="K99" s="1061" t="str">
        <f t="shared" si="54"/>
        <v>2026-27</v>
      </c>
      <c r="L99" s="1060" t="str">
        <f t="shared" si="54"/>
        <v>2027-28</v>
      </c>
      <c r="M99" s="1060" t="str">
        <f t="shared" si="54"/>
        <v>2028-29</v>
      </c>
      <c r="N99" s="1060" t="str">
        <f t="shared" si="54"/>
        <v>2029-30</v>
      </c>
      <c r="O99" s="1062" t="str">
        <f t="shared" si="54"/>
        <v>2030-31</v>
      </c>
      <c r="P99" s="1060" t="str">
        <f t="shared" si="54"/>
        <v>2031-32</v>
      </c>
      <c r="Q99" s="1060" t="str">
        <f t="shared" si="54"/>
        <v>2032-33</v>
      </c>
      <c r="R99" s="1060" t="str">
        <f t="shared" si="54"/>
        <v>2033-34</v>
      </c>
      <c r="S99" s="1060" t="str">
        <f t="shared" si="54"/>
        <v>2034-35</v>
      </c>
      <c r="T99" s="1060" t="str">
        <f t="shared" si="54"/>
        <v>2035-36</v>
      </c>
    </row>
    <row r="100" spans="1:20" ht="11.25" hidden="1" customHeight="1" outlineLevel="1">
      <c r="A100" s="1176" t="s">
        <v>809</v>
      </c>
      <c r="B100" s="1055"/>
      <c r="C100" s="1086"/>
      <c r="D100" s="1086"/>
      <c r="E100" s="1086"/>
      <c r="F100" s="1086"/>
      <c r="G100" s="1086"/>
      <c r="H100" s="1086"/>
      <c r="I100" s="1086"/>
      <c r="J100" s="1086"/>
      <c r="K100" s="1064"/>
      <c r="O100" s="1065"/>
    </row>
    <row r="101" spans="1:20" ht="11.25" hidden="1" customHeight="1" outlineLevel="1">
      <c r="A101" s="1177" t="s">
        <v>810</v>
      </c>
      <c r="C101" s="1073">
        <v>0</v>
      </c>
      <c r="D101" s="1073">
        <v>0</v>
      </c>
      <c r="E101" s="1073">
        <v>0</v>
      </c>
      <c r="F101" s="1073">
        <v>0</v>
      </c>
      <c r="G101" s="1073">
        <v>0</v>
      </c>
      <c r="H101" s="1073">
        <v>0</v>
      </c>
      <c r="I101" s="1073">
        <v>0</v>
      </c>
      <c r="J101" s="1073">
        <v>0</v>
      </c>
      <c r="K101" s="1600"/>
      <c r="L101" s="1601"/>
      <c r="M101" s="1601"/>
      <c r="N101" s="1602"/>
      <c r="O101" s="1603"/>
      <c r="P101" s="1602"/>
      <c r="Q101" s="1602"/>
      <c r="R101" s="1602"/>
      <c r="S101" s="1601"/>
      <c r="T101" s="1601"/>
    </row>
    <row r="102" spans="1:20" ht="11.25" hidden="1" customHeight="1" outlineLevel="1">
      <c r="A102" s="1177" t="s">
        <v>811</v>
      </c>
      <c r="C102" s="1073">
        <v>0</v>
      </c>
      <c r="D102" s="1073">
        <v>0</v>
      </c>
      <c r="E102" s="1073">
        <v>0</v>
      </c>
      <c r="F102" s="1073">
        <v>0</v>
      </c>
      <c r="G102" s="1073">
        <v>0</v>
      </c>
      <c r="H102" s="1073">
        <v>0</v>
      </c>
      <c r="I102" s="1073">
        <v>0</v>
      </c>
      <c r="J102" s="1073">
        <v>0</v>
      </c>
      <c r="K102" s="1600"/>
      <c r="L102" s="1601"/>
      <c r="M102" s="1601"/>
      <c r="N102" s="1602"/>
      <c r="O102" s="1603"/>
      <c r="P102" s="1602"/>
      <c r="Q102" s="1602"/>
      <c r="R102" s="1602"/>
      <c r="S102" s="1601"/>
      <c r="T102" s="1601"/>
    </row>
    <row r="103" spans="1:20" ht="11.25" hidden="1" customHeight="1" outlineLevel="1">
      <c r="A103" s="1177" t="s">
        <v>812</v>
      </c>
      <c r="C103" s="1073">
        <v>0</v>
      </c>
      <c r="D103" s="1073">
        <v>0</v>
      </c>
      <c r="E103" s="1073">
        <v>0</v>
      </c>
      <c r="F103" s="1073">
        <v>0</v>
      </c>
      <c r="G103" s="1073">
        <v>0</v>
      </c>
      <c r="H103" s="1073">
        <v>0</v>
      </c>
      <c r="I103" s="1073">
        <v>0</v>
      </c>
      <c r="J103" s="1073">
        <v>0</v>
      </c>
      <c r="K103" s="1600"/>
      <c r="L103" s="1601"/>
      <c r="M103" s="1601"/>
      <c r="N103" s="1602"/>
      <c r="O103" s="1603"/>
      <c r="P103" s="1602"/>
      <c r="Q103" s="1602"/>
      <c r="R103" s="1602"/>
      <c r="S103" s="1601"/>
      <c r="T103" s="1601"/>
    </row>
    <row r="104" spans="1:20" ht="11.25" hidden="1" customHeight="1" outlineLevel="1">
      <c r="A104" s="1178"/>
      <c r="C104" s="1086"/>
      <c r="D104" s="1086"/>
      <c r="E104" s="1086"/>
      <c r="F104" s="1086"/>
      <c r="G104" s="1086"/>
      <c r="H104" s="1086"/>
      <c r="I104" s="1086"/>
      <c r="J104" s="1086"/>
      <c r="K104" s="1064"/>
      <c r="O104" s="1065"/>
    </row>
    <row r="105" spans="1:20" ht="11.25" hidden="1" customHeight="1" outlineLevel="1">
      <c r="A105" s="1178" t="s">
        <v>813</v>
      </c>
      <c r="B105" s="1179" t="s">
        <v>814</v>
      </c>
      <c r="C105" s="1085">
        <f t="shared" ref="C105:J105" si="55">C101</f>
        <v>0</v>
      </c>
      <c r="D105" s="1085">
        <f t="shared" si="55"/>
        <v>0</v>
      </c>
      <c r="E105" s="1085">
        <f t="shared" si="55"/>
        <v>0</v>
      </c>
      <c r="F105" s="1085">
        <f t="shared" si="55"/>
        <v>0</v>
      </c>
      <c r="G105" s="1085">
        <f t="shared" si="55"/>
        <v>0</v>
      </c>
      <c r="H105" s="1085">
        <f t="shared" si="55"/>
        <v>0</v>
      </c>
      <c r="I105" s="1085">
        <f t="shared" si="55"/>
        <v>0</v>
      </c>
      <c r="J105" s="1085">
        <f t="shared" si="55"/>
        <v>0</v>
      </c>
      <c r="K105" s="1084">
        <f t="shared" ref="K105:T105" si="56">K101</f>
        <v>0</v>
      </c>
      <c r="L105" s="1085">
        <f t="shared" si="56"/>
        <v>0</v>
      </c>
      <c r="M105" s="1085">
        <f t="shared" si="56"/>
        <v>0</v>
      </c>
      <c r="N105" s="1085">
        <f t="shared" si="56"/>
        <v>0</v>
      </c>
      <c r="O105" s="1180">
        <f t="shared" si="56"/>
        <v>0</v>
      </c>
      <c r="P105" s="1085">
        <f t="shared" si="56"/>
        <v>0</v>
      </c>
      <c r="Q105" s="1085">
        <f t="shared" si="56"/>
        <v>0</v>
      </c>
      <c r="R105" s="1085">
        <f t="shared" si="56"/>
        <v>0</v>
      </c>
      <c r="S105" s="1085">
        <f t="shared" si="56"/>
        <v>0</v>
      </c>
      <c r="T105" s="1085">
        <f t="shared" si="56"/>
        <v>0</v>
      </c>
    </row>
    <row r="106" spans="1:20" ht="11.25" hidden="1" customHeight="1" outlineLevel="1">
      <c r="A106" s="1055"/>
      <c r="B106" s="1179" t="s">
        <v>815</v>
      </c>
      <c r="C106" s="1085">
        <f t="shared" ref="C106:J106" si="57">C102-C101</f>
        <v>0</v>
      </c>
      <c r="D106" s="1085">
        <f t="shared" si="57"/>
        <v>0</v>
      </c>
      <c r="E106" s="1085">
        <f t="shared" si="57"/>
        <v>0</v>
      </c>
      <c r="F106" s="1085">
        <f t="shared" si="57"/>
        <v>0</v>
      </c>
      <c r="G106" s="1085">
        <f t="shared" si="57"/>
        <v>0</v>
      </c>
      <c r="H106" s="1085">
        <f t="shared" si="57"/>
        <v>0</v>
      </c>
      <c r="I106" s="1085">
        <f t="shared" si="57"/>
        <v>0</v>
      </c>
      <c r="J106" s="1085">
        <f t="shared" si="57"/>
        <v>0</v>
      </c>
      <c r="K106" s="1084">
        <f t="shared" ref="K106:T106" si="58">K102-K101</f>
        <v>0</v>
      </c>
      <c r="L106" s="1085">
        <f t="shared" si="58"/>
        <v>0</v>
      </c>
      <c r="M106" s="1085">
        <f t="shared" si="58"/>
        <v>0</v>
      </c>
      <c r="N106" s="1085">
        <f t="shared" si="58"/>
        <v>0</v>
      </c>
      <c r="O106" s="1180">
        <f t="shared" si="58"/>
        <v>0</v>
      </c>
      <c r="P106" s="1085">
        <f t="shared" si="58"/>
        <v>0</v>
      </c>
      <c r="Q106" s="1085">
        <f t="shared" si="58"/>
        <v>0</v>
      </c>
      <c r="R106" s="1085">
        <f t="shared" si="58"/>
        <v>0</v>
      </c>
      <c r="S106" s="1085">
        <f t="shared" si="58"/>
        <v>0</v>
      </c>
      <c r="T106" s="1085">
        <f t="shared" si="58"/>
        <v>0</v>
      </c>
    </row>
    <row r="107" spans="1:20" ht="11.25" hidden="1" customHeight="1" outlineLevel="1">
      <c r="A107" s="1055"/>
      <c r="B107" s="1179" t="s">
        <v>816</v>
      </c>
      <c r="C107" s="1085"/>
      <c r="D107" s="1085"/>
      <c r="E107" s="1085"/>
      <c r="F107" s="1085"/>
      <c r="G107" s="1085"/>
      <c r="H107" s="1085"/>
      <c r="I107" s="1085"/>
      <c r="J107" s="1085"/>
      <c r="K107" s="1084"/>
      <c r="L107" s="1085"/>
      <c r="M107" s="1085"/>
      <c r="N107" s="1085"/>
      <c r="O107" s="1180"/>
      <c r="P107" s="1085"/>
      <c r="Q107" s="1085"/>
      <c r="R107" s="1085"/>
      <c r="S107" s="1085"/>
      <c r="T107" s="1085"/>
    </row>
    <row r="108" spans="1:20" ht="11.25" hidden="1" customHeight="1" outlineLevel="1">
      <c r="A108" s="1055"/>
      <c r="B108" s="1179"/>
      <c r="C108" s="1085"/>
      <c r="D108" s="1085"/>
      <c r="E108" s="1085"/>
      <c r="F108" s="1085"/>
      <c r="G108" s="1085"/>
      <c r="H108" s="1085"/>
      <c r="I108" s="1085"/>
      <c r="J108" s="1085"/>
      <c r="K108" s="1064"/>
      <c r="O108" s="1065"/>
    </row>
    <row r="109" spans="1:20" ht="11.25" hidden="1" customHeight="1" outlineLevel="1">
      <c r="A109" s="1176" t="s">
        <v>817</v>
      </c>
      <c r="B109" s="1055"/>
      <c r="C109" s="1086"/>
      <c r="D109" s="1086"/>
      <c r="E109" s="1086"/>
      <c r="F109" s="1086"/>
      <c r="G109" s="1086"/>
      <c r="H109" s="1086"/>
      <c r="I109" s="1086"/>
      <c r="J109" s="1086"/>
      <c r="K109" s="1064"/>
      <c r="O109" s="1065"/>
    </row>
    <row r="110" spans="1:20" ht="11.25" hidden="1" customHeight="1" outlineLevel="1">
      <c r="A110" s="1179" t="s">
        <v>420</v>
      </c>
      <c r="B110" s="1181">
        <v>0.14492753623188406</v>
      </c>
      <c r="C110" s="1085">
        <f t="shared" ref="C110:T121" si="59">$B110*C$8</f>
        <v>28.985507246376812</v>
      </c>
      <c r="D110" s="1085">
        <f t="shared" si="59"/>
        <v>28.985507246376812</v>
      </c>
      <c r="E110" s="1085">
        <f t="shared" si="59"/>
        <v>28.985507246376812</v>
      </c>
      <c r="F110" s="1085">
        <f t="shared" si="59"/>
        <v>28.985507246376812</v>
      </c>
      <c r="G110" s="1085">
        <f t="shared" si="59"/>
        <v>28.985507246376812</v>
      </c>
      <c r="H110" s="1085">
        <f t="shared" si="59"/>
        <v>28.985507246376812</v>
      </c>
      <c r="I110" s="1085">
        <f t="shared" si="59"/>
        <v>28.985507246376812</v>
      </c>
      <c r="J110" s="1085">
        <f t="shared" si="59"/>
        <v>28.985507246376812</v>
      </c>
      <c r="K110" s="1084">
        <f t="shared" si="59"/>
        <v>28.985507246376812</v>
      </c>
      <c r="L110" s="1085">
        <f t="shared" si="59"/>
        <v>28.985507246376812</v>
      </c>
      <c r="M110" s="1085">
        <f t="shared" si="59"/>
        <v>28.985507246376812</v>
      </c>
      <c r="N110" s="1085">
        <f t="shared" si="59"/>
        <v>28.985507246376812</v>
      </c>
      <c r="O110" s="1180">
        <f t="shared" si="59"/>
        <v>28.985507246376812</v>
      </c>
      <c r="P110" s="1085">
        <f t="shared" si="59"/>
        <v>28.985507246376812</v>
      </c>
      <c r="Q110" s="1085">
        <f t="shared" si="59"/>
        <v>28.985507246376812</v>
      </c>
      <c r="R110" s="1085">
        <f t="shared" si="59"/>
        <v>28.985507246376812</v>
      </c>
      <c r="S110" s="1085">
        <f t="shared" si="59"/>
        <v>28.985507246376812</v>
      </c>
      <c r="T110" s="1085">
        <f t="shared" si="59"/>
        <v>28.985507246376812</v>
      </c>
    </row>
    <row r="111" spans="1:20" ht="11.25" hidden="1" customHeight="1" outlineLevel="1">
      <c r="A111" s="1179" t="s">
        <v>421</v>
      </c>
      <c r="B111" s="1181">
        <v>0.14492753623188406</v>
      </c>
      <c r="C111" s="1085">
        <f t="shared" si="59"/>
        <v>28.985507246376812</v>
      </c>
      <c r="D111" s="1085">
        <f t="shared" si="59"/>
        <v>28.985507246376812</v>
      </c>
      <c r="E111" s="1085">
        <f t="shared" si="59"/>
        <v>28.985507246376812</v>
      </c>
      <c r="F111" s="1085">
        <f t="shared" si="59"/>
        <v>28.985507246376812</v>
      </c>
      <c r="G111" s="1085">
        <f t="shared" si="59"/>
        <v>28.985507246376812</v>
      </c>
      <c r="H111" s="1085">
        <f t="shared" si="59"/>
        <v>28.985507246376812</v>
      </c>
      <c r="I111" s="1085">
        <f t="shared" si="59"/>
        <v>28.985507246376812</v>
      </c>
      <c r="J111" s="1085">
        <f t="shared" si="59"/>
        <v>28.985507246376812</v>
      </c>
      <c r="K111" s="1084">
        <f t="shared" si="59"/>
        <v>28.985507246376812</v>
      </c>
      <c r="L111" s="1085">
        <f t="shared" si="59"/>
        <v>28.985507246376812</v>
      </c>
      <c r="M111" s="1085">
        <f t="shared" si="59"/>
        <v>28.985507246376812</v>
      </c>
      <c r="N111" s="1085">
        <f t="shared" si="59"/>
        <v>28.985507246376812</v>
      </c>
      <c r="O111" s="1180">
        <f t="shared" si="59"/>
        <v>28.985507246376812</v>
      </c>
      <c r="P111" s="1085">
        <f t="shared" si="59"/>
        <v>28.985507246376812</v>
      </c>
      <c r="Q111" s="1085">
        <f t="shared" si="59"/>
        <v>28.985507246376812</v>
      </c>
      <c r="R111" s="1085">
        <f t="shared" si="59"/>
        <v>28.985507246376812</v>
      </c>
      <c r="S111" s="1085">
        <f t="shared" si="59"/>
        <v>28.985507246376812</v>
      </c>
      <c r="T111" s="1085">
        <f t="shared" si="59"/>
        <v>28.985507246376812</v>
      </c>
    </row>
    <row r="112" spans="1:20" ht="11.25" hidden="1" customHeight="1" outlineLevel="1">
      <c r="A112" s="1179" t="s">
        <v>422</v>
      </c>
      <c r="B112" s="1181">
        <v>0.10144927536231885</v>
      </c>
      <c r="C112" s="1085">
        <f t="shared" si="59"/>
        <v>20.289855072463769</v>
      </c>
      <c r="D112" s="1085">
        <f t="shared" si="59"/>
        <v>20.289855072463769</v>
      </c>
      <c r="E112" s="1085">
        <f t="shared" si="59"/>
        <v>20.289855072463769</v>
      </c>
      <c r="F112" s="1085">
        <f t="shared" si="59"/>
        <v>20.289855072463769</v>
      </c>
      <c r="G112" s="1085">
        <f t="shared" si="59"/>
        <v>20.289855072463769</v>
      </c>
      <c r="H112" s="1085">
        <f t="shared" si="59"/>
        <v>20.289855072463769</v>
      </c>
      <c r="I112" s="1085">
        <f t="shared" si="59"/>
        <v>20.289855072463769</v>
      </c>
      <c r="J112" s="1085">
        <f t="shared" si="59"/>
        <v>20.289855072463769</v>
      </c>
      <c r="K112" s="1084">
        <f t="shared" si="59"/>
        <v>20.289855072463769</v>
      </c>
      <c r="L112" s="1085">
        <f t="shared" si="59"/>
        <v>20.289855072463769</v>
      </c>
      <c r="M112" s="1085">
        <f t="shared" si="59"/>
        <v>20.289855072463769</v>
      </c>
      <c r="N112" s="1085">
        <f t="shared" si="59"/>
        <v>20.289855072463769</v>
      </c>
      <c r="O112" s="1180">
        <f t="shared" si="59"/>
        <v>20.289855072463769</v>
      </c>
      <c r="P112" s="1085">
        <f t="shared" si="59"/>
        <v>20.289855072463769</v>
      </c>
      <c r="Q112" s="1085">
        <f t="shared" si="59"/>
        <v>20.289855072463769</v>
      </c>
      <c r="R112" s="1085">
        <f t="shared" si="59"/>
        <v>20.289855072463769</v>
      </c>
      <c r="S112" s="1085">
        <f t="shared" si="59"/>
        <v>20.289855072463769</v>
      </c>
      <c r="T112" s="1085">
        <f t="shared" si="59"/>
        <v>20.289855072463769</v>
      </c>
    </row>
    <row r="113" spans="1:20" ht="11.25" hidden="1" customHeight="1" outlineLevel="1">
      <c r="A113" s="1179" t="s">
        <v>424</v>
      </c>
      <c r="B113" s="1181">
        <v>5.7971014492753624E-2</v>
      </c>
      <c r="C113" s="1085">
        <f t="shared" si="59"/>
        <v>11.594202898550725</v>
      </c>
      <c r="D113" s="1085">
        <f t="shared" si="59"/>
        <v>11.594202898550725</v>
      </c>
      <c r="E113" s="1085">
        <f t="shared" si="59"/>
        <v>11.594202898550725</v>
      </c>
      <c r="F113" s="1085">
        <f t="shared" si="59"/>
        <v>11.594202898550725</v>
      </c>
      <c r="G113" s="1085">
        <f t="shared" si="59"/>
        <v>11.594202898550725</v>
      </c>
      <c r="H113" s="1085">
        <f t="shared" si="59"/>
        <v>11.594202898550725</v>
      </c>
      <c r="I113" s="1085">
        <f t="shared" si="59"/>
        <v>11.594202898550725</v>
      </c>
      <c r="J113" s="1085">
        <f t="shared" si="59"/>
        <v>11.594202898550725</v>
      </c>
      <c r="K113" s="1084">
        <f t="shared" si="59"/>
        <v>11.594202898550725</v>
      </c>
      <c r="L113" s="1085">
        <f t="shared" si="59"/>
        <v>11.594202898550725</v>
      </c>
      <c r="M113" s="1085">
        <f t="shared" si="59"/>
        <v>11.594202898550725</v>
      </c>
      <c r="N113" s="1085">
        <f t="shared" si="59"/>
        <v>11.594202898550725</v>
      </c>
      <c r="O113" s="1180">
        <f t="shared" si="59"/>
        <v>11.594202898550725</v>
      </c>
      <c r="P113" s="1085">
        <f t="shared" si="59"/>
        <v>11.594202898550725</v>
      </c>
      <c r="Q113" s="1085">
        <f t="shared" si="59"/>
        <v>11.594202898550725</v>
      </c>
      <c r="R113" s="1085">
        <f t="shared" si="59"/>
        <v>11.594202898550725</v>
      </c>
      <c r="S113" s="1085">
        <f t="shared" si="59"/>
        <v>11.594202898550725</v>
      </c>
      <c r="T113" s="1085">
        <f t="shared" si="59"/>
        <v>11.594202898550725</v>
      </c>
    </row>
    <row r="114" spans="1:20" ht="11.25" hidden="1" customHeight="1" outlineLevel="1">
      <c r="A114" s="1179" t="s">
        <v>426</v>
      </c>
      <c r="B114" s="1181">
        <v>5.7971014492753624E-2</v>
      </c>
      <c r="C114" s="1085">
        <f t="shared" si="59"/>
        <v>11.594202898550725</v>
      </c>
      <c r="D114" s="1085">
        <f t="shared" si="59"/>
        <v>11.594202898550725</v>
      </c>
      <c r="E114" s="1085">
        <f t="shared" si="59"/>
        <v>11.594202898550725</v>
      </c>
      <c r="F114" s="1085">
        <f t="shared" si="59"/>
        <v>11.594202898550725</v>
      </c>
      <c r="G114" s="1085">
        <f t="shared" si="59"/>
        <v>11.594202898550725</v>
      </c>
      <c r="H114" s="1085">
        <f t="shared" si="59"/>
        <v>11.594202898550725</v>
      </c>
      <c r="I114" s="1085">
        <f t="shared" si="59"/>
        <v>11.594202898550725</v>
      </c>
      <c r="J114" s="1085">
        <f t="shared" si="59"/>
        <v>11.594202898550725</v>
      </c>
      <c r="K114" s="1084">
        <f t="shared" si="59"/>
        <v>11.594202898550725</v>
      </c>
      <c r="L114" s="1085">
        <f t="shared" si="59"/>
        <v>11.594202898550725</v>
      </c>
      <c r="M114" s="1085">
        <f t="shared" si="59"/>
        <v>11.594202898550725</v>
      </c>
      <c r="N114" s="1085">
        <f t="shared" si="59"/>
        <v>11.594202898550725</v>
      </c>
      <c r="O114" s="1180">
        <f t="shared" si="59"/>
        <v>11.594202898550725</v>
      </c>
      <c r="P114" s="1085">
        <f t="shared" si="59"/>
        <v>11.594202898550725</v>
      </c>
      <c r="Q114" s="1085">
        <f t="shared" si="59"/>
        <v>11.594202898550725</v>
      </c>
      <c r="R114" s="1085">
        <f t="shared" si="59"/>
        <v>11.594202898550725</v>
      </c>
      <c r="S114" s="1085">
        <f t="shared" si="59"/>
        <v>11.594202898550725</v>
      </c>
      <c r="T114" s="1085">
        <f t="shared" si="59"/>
        <v>11.594202898550725</v>
      </c>
    </row>
    <row r="115" spans="1:20" ht="11.25" hidden="1" customHeight="1" outlineLevel="1">
      <c r="A115" s="1179" t="s">
        <v>417</v>
      </c>
      <c r="B115" s="1181">
        <v>5.7971014492753624E-2</v>
      </c>
      <c r="C115" s="1085">
        <f t="shared" si="59"/>
        <v>11.594202898550725</v>
      </c>
      <c r="D115" s="1085">
        <f t="shared" si="59"/>
        <v>11.594202898550725</v>
      </c>
      <c r="E115" s="1085">
        <f t="shared" si="59"/>
        <v>11.594202898550725</v>
      </c>
      <c r="F115" s="1085">
        <f t="shared" si="59"/>
        <v>11.594202898550725</v>
      </c>
      <c r="G115" s="1085">
        <f t="shared" si="59"/>
        <v>11.594202898550725</v>
      </c>
      <c r="H115" s="1085">
        <f t="shared" si="59"/>
        <v>11.594202898550725</v>
      </c>
      <c r="I115" s="1085">
        <f t="shared" si="59"/>
        <v>11.594202898550725</v>
      </c>
      <c r="J115" s="1085">
        <f t="shared" si="59"/>
        <v>11.594202898550725</v>
      </c>
      <c r="K115" s="1084">
        <f t="shared" si="59"/>
        <v>11.594202898550725</v>
      </c>
      <c r="L115" s="1085">
        <f t="shared" si="59"/>
        <v>11.594202898550725</v>
      </c>
      <c r="M115" s="1085">
        <f t="shared" si="59"/>
        <v>11.594202898550725</v>
      </c>
      <c r="N115" s="1085">
        <f t="shared" si="59"/>
        <v>11.594202898550725</v>
      </c>
      <c r="O115" s="1180">
        <f t="shared" si="59"/>
        <v>11.594202898550725</v>
      </c>
      <c r="P115" s="1085">
        <f t="shared" si="59"/>
        <v>11.594202898550725</v>
      </c>
      <c r="Q115" s="1085">
        <f t="shared" si="59"/>
        <v>11.594202898550725</v>
      </c>
      <c r="R115" s="1085">
        <f t="shared" si="59"/>
        <v>11.594202898550725</v>
      </c>
      <c r="S115" s="1085">
        <f t="shared" si="59"/>
        <v>11.594202898550725</v>
      </c>
      <c r="T115" s="1085">
        <f t="shared" si="59"/>
        <v>11.594202898550725</v>
      </c>
    </row>
    <row r="116" spans="1:20" ht="11.25" hidden="1" customHeight="1" outlineLevel="1">
      <c r="A116" s="1179" t="s">
        <v>429</v>
      </c>
      <c r="B116" s="1181">
        <v>5.7971014492753624E-2</v>
      </c>
      <c r="C116" s="1085">
        <f t="shared" si="59"/>
        <v>11.594202898550725</v>
      </c>
      <c r="D116" s="1085">
        <f t="shared" si="59"/>
        <v>11.594202898550725</v>
      </c>
      <c r="E116" s="1085">
        <f t="shared" si="59"/>
        <v>11.594202898550725</v>
      </c>
      <c r="F116" s="1085">
        <f t="shared" si="59"/>
        <v>11.594202898550725</v>
      </c>
      <c r="G116" s="1085">
        <f t="shared" si="59"/>
        <v>11.594202898550725</v>
      </c>
      <c r="H116" s="1085">
        <f t="shared" si="59"/>
        <v>11.594202898550725</v>
      </c>
      <c r="I116" s="1085">
        <f t="shared" si="59"/>
        <v>11.594202898550725</v>
      </c>
      <c r="J116" s="1085">
        <f t="shared" si="59"/>
        <v>11.594202898550725</v>
      </c>
      <c r="K116" s="1084">
        <f t="shared" si="59"/>
        <v>11.594202898550725</v>
      </c>
      <c r="L116" s="1085">
        <f t="shared" si="59"/>
        <v>11.594202898550725</v>
      </c>
      <c r="M116" s="1085">
        <f t="shared" si="59"/>
        <v>11.594202898550725</v>
      </c>
      <c r="N116" s="1085">
        <f t="shared" si="59"/>
        <v>11.594202898550725</v>
      </c>
      <c r="O116" s="1180">
        <f t="shared" si="59"/>
        <v>11.594202898550725</v>
      </c>
      <c r="P116" s="1085">
        <f t="shared" si="59"/>
        <v>11.594202898550725</v>
      </c>
      <c r="Q116" s="1085">
        <f t="shared" si="59"/>
        <v>11.594202898550725</v>
      </c>
      <c r="R116" s="1085">
        <f t="shared" si="59"/>
        <v>11.594202898550725</v>
      </c>
      <c r="S116" s="1085">
        <f t="shared" si="59"/>
        <v>11.594202898550725</v>
      </c>
      <c r="T116" s="1085">
        <f t="shared" si="59"/>
        <v>11.594202898550725</v>
      </c>
    </row>
    <row r="117" spans="1:20" ht="11.25" hidden="1" customHeight="1" outlineLevel="1">
      <c r="A117" s="1179" t="s">
        <v>431</v>
      </c>
      <c r="B117" s="1181">
        <v>5.7971014492753624E-2</v>
      </c>
      <c r="C117" s="1085">
        <f t="shared" si="59"/>
        <v>11.594202898550725</v>
      </c>
      <c r="D117" s="1085">
        <f t="shared" si="59"/>
        <v>11.594202898550725</v>
      </c>
      <c r="E117" s="1085">
        <f t="shared" si="59"/>
        <v>11.594202898550725</v>
      </c>
      <c r="F117" s="1085">
        <f t="shared" si="59"/>
        <v>11.594202898550725</v>
      </c>
      <c r="G117" s="1085">
        <f t="shared" si="59"/>
        <v>11.594202898550725</v>
      </c>
      <c r="H117" s="1085">
        <f t="shared" si="59"/>
        <v>11.594202898550725</v>
      </c>
      <c r="I117" s="1085">
        <f t="shared" si="59"/>
        <v>11.594202898550725</v>
      </c>
      <c r="J117" s="1085">
        <f t="shared" si="59"/>
        <v>11.594202898550725</v>
      </c>
      <c r="K117" s="1084">
        <f t="shared" si="59"/>
        <v>11.594202898550725</v>
      </c>
      <c r="L117" s="1085">
        <f t="shared" si="59"/>
        <v>11.594202898550725</v>
      </c>
      <c r="M117" s="1085">
        <f t="shared" si="59"/>
        <v>11.594202898550725</v>
      </c>
      <c r="N117" s="1085">
        <f t="shared" si="59"/>
        <v>11.594202898550725</v>
      </c>
      <c r="O117" s="1180">
        <f t="shared" si="59"/>
        <v>11.594202898550725</v>
      </c>
      <c r="P117" s="1085">
        <f t="shared" si="59"/>
        <v>11.594202898550725</v>
      </c>
      <c r="Q117" s="1085">
        <f t="shared" si="59"/>
        <v>11.594202898550725</v>
      </c>
      <c r="R117" s="1085">
        <f t="shared" si="59"/>
        <v>11.594202898550725</v>
      </c>
      <c r="S117" s="1085">
        <f t="shared" si="59"/>
        <v>11.594202898550725</v>
      </c>
      <c r="T117" s="1085">
        <f t="shared" si="59"/>
        <v>11.594202898550725</v>
      </c>
    </row>
    <row r="118" spans="1:20" ht="11.25" hidden="1" customHeight="1" outlineLevel="1">
      <c r="A118" s="1179" t="s">
        <v>433</v>
      </c>
      <c r="B118" s="1181">
        <v>5.7971014492753624E-2</v>
      </c>
      <c r="C118" s="1085">
        <f t="shared" si="59"/>
        <v>11.594202898550725</v>
      </c>
      <c r="D118" s="1085">
        <f t="shared" si="59"/>
        <v>11.594202898550725</v>
      </c>
      <c r="E118" s="1085">
        <f t="shared" si="59"/>
        <v>11.594202898550725</v>
      </c>
      <c r="F118" s="1085">
        <f t="shared" si="59"/>
        <v>11.594202898550725</v>
      </c>
      <c r="G118" s="1085">
        <f t="shared" si="59"/>
        <v>11.594202898550725</v>
      </c>
      <c r="H118" s="1085">
        <f t="shared" si="59"/>
        <v>11.594202898550725</v>
      </c>
      <c r="I118" s="1085">
        <f t="shared" si="59"/>
        <v>11.594202898550725</v>
      </c>
      <c r="J118" s="1085">
        <f t="shared" si="59"/>
        <v>11.594202898550725</v>
      </c>
      <c r="K118" s="1084">
        <f t="shared" si="59"/>
        <v>11.594202898550725</v>
      </c>
      <c r="L118" s="1085">
        <f t="shared" si="59"/>
        <v>11.594202898550725</v>
      </c>
      <c r="M118" s="1085">
        <f t="shared" si="59"/>
        <v>11.594202898550725</v>
      </c>
      <c r="N118" s="1085">
        <f t="shared" si="59"/>
        <v>11.594202898550725</v>
      </c>
      <c r="O118" s="1180">
        <f t="shared" si="59"/>
        <v>11.594202898550725</v>
      </c>
      <c r="P118" s="1085">
        <f t="shared" si="59"/>
        <v>11.594202898550725</v>
      </c>
      <c r="Q118" s="1085">
        <f t="shared" si="59"/>
        <v>11.594202898550725</v>
      </c>
      <c r="R118" s="1085">
        <f t="shared" si="59"/>
        <v>11.594202898550725</v>
      </c>
      <c r="S118" s="1085">
        <f t="shared" si="59"/>
        <v>11.594202898550725</v>
      </c>
      <c r="T118" s="1085">
        <f t="shared" si="59"/>
        <v>11.594202898550725</v>
      </c>
    </row>
    <row r="119" spans="1:20" ht="11.25" hidden="1" customHeight="1" outlineLevel="1">
      <c r="A119" s="1179" t="s">
        <v>434</v>
      </c>
      <c r="B119" s="1181">
        <v>5.7971014492753624E-2</v>
      </c>
      <c r="C119" s="1085">
        <f t="shared" si="59"/>
        <v>11.594202898550725</v>
      </c>
      <c r="D119" s="1085">
        <f t="shared" si="59"/>
        <v>11.594202898550725</v>
      </c>
      <c r="E119" s="1085">
        <f t="shared" si="59"/>
        <v>11.594202898550725</v>
      </c>
      <c r="F119" s="1085">
        <f t="shared" si="59"/>
        <v>11.594202898550725</v>
      </c>
      <c r="G119" s="1085">
        <f t="shared" si="59"/>
        <v>11.594202898550725</v>
      </c>
      <c r="H119" s="1085">
        <f t="shared" si="59"/>
        <v>11.594202898550725</v>
      </c>
      <c r="I119" s="1085">
        <f t="shared" si="59"/>
        <v>11.594202898550725</v>
      </c>
      <c r="J119" s="1085">
        <f t="shared" si="59"/>
        <v>11.594202898550725</v>
      </c>
      <c r="K119" s="1084">
        <f t="shared" si="59"/>
        <v>11.594202898550725</v>
      </c>
      <c r="L119" s="1085">
        <f t="shared" si="59"/>
        <v>11.594202898550725</v>
      </c>
      <c r="M119" s="1085">
        <f t="shared" si="59"/>
        <v>11.594202898550725</v>
      </c>
      <c r="N119" s="1085">
        <f t="shared" si="59"/>
        <v>11.594202898550725</v>
      </c>
      <c r="O119" s="1180">
        <f t="shared" si="59"/>
        <v>11.594202898550725</v>
      </c>
      <c r="P119" s="1085">
        <f t="shared" si="59"/>
        <v>11.594202898550725</v>
      </c>
      <c r="Q119" s="1085">
        <f t="shared" si="59"/>
        <v>11.594202898550725</v>
      </c>
      <c r="R119" s="1085">
        <f t="shared" si="59"/>
        <v>11.594202898550725</v>
      </c>
      <c r="S119" s="1085">
        <f t="shared" si="59"/>
        <v>11.594202898550725</v>
      </c>
      <c r="T119" s="1085">
        <f t="shared" si="59"/>
        <v>11.594202898550725</v>
      </c>
    </row>
    <row r="120" spans="1:20" ht="11.25" hidden="1" customHeight="1" outlineLevel="1">
      <c r="A120" s="1179" t="s">
        <v>435</v>
      </c>
      <c r="B120" s="1181">
        <v>5.7971014492753624E-2</v>
      </c>
      <c r="C120" s="1085">
        <f t="shared" si="59"/>
        <v>11.594202898550725</v>
      </c>
      <c r="D120" s="1085">
        <f t="shared" si="59"/>
        <v>11.594202898550725</v>
      </c>
      <c r="E120" s="1085">
        <f t="shared" si="59"/>
        <v>11.594202898550725</v>
      </c>
      <c r="F120" s="1085">
        <f t="shared" si="59"/>
        <v>11.594202898550725</v>
      </c>
      <c r="G120" s="1085">
        <f t="shared" si="59"/>
        <v>11.594202898550725</v>
      </c>
      <c r="H120" s="1085">
        <f t="shared" si="59"/>
        <v>11.594202898550725</v>
      </c>
      <c r="I120" s="1085">
        <f t="shared" si="59"/>
        <v>11.594202898550725</v>
      </c>
      <c r="J120" s="1085">
        <f t="shared" si="59"/>
        <v>11.594202898550725</v>
      </c>
      <c r="K120" s="1084">
        <f t="shared" si="59"/>
        <v>11.594202898550725</v>
      </c>
      <c r="L120" s="1085">
        <f t="shared" si="59"/>
        <v>11.594202898550725</v>
      </c>
      <c r="M120" s="1085">
        <f t="shared" si="59"/>
        <v>11.594202898550725</v>
      </c>
      <c r="N120" s="1085">
        <f t="shared" si="59"/>
        <v>11.594202898550725</v>
      </c>
      <c r="O120" s="1180">
        <f t="shared" si="59"/>
        <v>11.594202898550725</v>
      </c>
      <c r="P120" s="1085">
        <f t="shared" si="59"/>
        <v>11.594202898550725</v>
      </c>
      <c r="Q120" s="1085">
        <f t="shared" si="59"/>
        <v>11.594202898550725</v>
      </c>
      <c r="R120" s="1085">
        <f t="shared" si="59"/>
        <v>11.594202898550725</v>
      </c>
      <c r="S120" s="1085">
        <f t="shared" si="59"/>
        <v>11.594202898550725</v>
      </c>
      <c r="T120" s="1085">
        <f t="shared" si="59"/>
        <v>11.594202898550725</v>
      </c>
    </row>
    <row r="121" spans="1:20" ht="11.25" hidden="1" customHeight="1" outlineLevel="1">
      <c r="A121" s="1179" t="s">
        <v>436</v>
      </c>
      <c r="B121" s="1181">
        <v>0.14492753623188406</v>
      </c>
      <c r="C121" s="1085">
        <f t="shared" si="59"/>
        <v>28.985507246376812</v>
      </c>
      <c r="D121" s="1085">
        <f t="shared" si="59"/>
        <v>28.985507246376812</v>
      </c>
      <c r="E121" s="1085">
        <f t="shared" si="59"/>
        <v>28.985507246376812</v>
      </c>
      <c r="F121" s="1085">
        <f t="shared" si="59"/>
        <v>28.985507246376812</v>
      </c>
      <c r="G121" s="1085">
        <f t="shared" si="59"/>
        <v>28.985507246376812</v>
      </c>
      <c r="H121" s="1085">
        <f t="shared" si="59"/>
        <v>28.985507246376812</v>
      </c>
      <c r="I121" s="1085">
        <f t="shared" si="59"/>
        <v>28.985507246376812</v>
      </c>
      <c r="J121" s="1085">
        <f t="shared" si="59"/>
        <v>28.985507246376812</v>
      </c>
      <c r="K121" s="1084">
        <f t="shared" si="59"/>
        <v>28.985507246376812</v>
      </c>
      <c r="L121" s="1085">
        <f t="shared" si="59"/>
        <v>28.985507246376812</v>
      </c>
      <c r="M121" s="1085">
        <f t="shared" si="59"/>
        <v>28.985507246376812</v>
      </c>
      <c r="N121" s="1085">
        <f t="shared" si="59"/>
        <v>28.985507246376812</v>
      </c>
      <c r="O121" s="1180">
        <f t="shared" si="59"/>
        <v>28.985507246376812</v>
      </c>
      <c r="P121" s="1085">
        <f t="shared" si="59"/>
        <v>28.985507246376812</v>
      </c>
      <c r="Q121" s="1085">
        <f t="shared" si="59"/>
        <v>28.985507246376812</v>
      </c>
      <c r="R121" s="1085">
        <f t="shared" si="59"/>
        <v>28.985507246376812</v>
      </c>
      <c r="S121" s="1085">
        <f t="shared" si="59"/>
        <v>28.985507246376812</v>
      </c>
      <c r="T121" s="1085">
        <f t="shared" si="59"/>
        <v>28.985507246376812</v>
      </c>
    </row>
    <row r="122" spans="1:20" ht="11.25" hidden="1" customHeight="1" outlineLevel="1">
      <c r="A122" s="1179" t="s">
        <v>690</v>
      </c>
      <c r="B122" s="1182">
        <f t="shared" ref="B122:G122" si="60">SUM(B110:B121)</f>
        <v>1.0000000000000002</v>
      </c>
      <c r="C122" s="1183">
        <f t="shared" si="60"/>
        <v>199.99999999999997</v>
      </c>
      <c r="D122" s="1183">
        <f t="shared" si="60"/>
        <v>199.99999999999997</v>
      </c>
      <c r="E122" s="1183">
        <f t="shared" si="60"/>
        <v>199.99999999999997</v>
      </c>
      <c r="F122" s="1183">
        <f t="shared" si="60"/>
        <v>199.99999999999997</v>
      </c>
      <c r="G122" s="1183">
        <f t="shared" si="60"/>
        <v>199.99999999999997</v>
      </c>
      <c r="H122" s="1183">
        <f>SUM(H110:H121)</f>
        <v>199.99999999999997</v>
      </c>
      <c r="I122" s="1183">
        <f>SUM(I110:I121)</f>
        <v>199.99999999999997</v>
      </c>
      <c r="J122" s="1183">
        <f>SUM(J110:J121)</f>
        <v>199.99999999999997</v>
      </c>
      <c r="K122" s="1184">
        <f t="shared" ref="K122:T122" si="61">SUM(K110:K121)</f>
        <v>199.99999999999997</v>
      </c>
      <c r="L122" s="1183">
        <f t="shared" si="61"/>
        <v>199.99999999999997</v>
      </c>
      <c r="M122" s="1183">
        <f t="shared" si="61"/>
        <v>199.99999999999997</v>
      </c>
      <c r="N122" s="1183">
        <f t="shared" si="61"/>
        <v>199.99999999999997</v>
      </c>
      <c r="O122" s="1185">
        <f t="shared" si="61"/>
        <v>199.99999999999997</v>
      </c>
      <c r="P122" s="1183">
        <f t="shared" si="61"/>
        <v>199.99999999999997</v>
      </c>
      <c r="Q122" s="1183">
        <f t="shared" si="61"/>
        <v>199.99999999999997</v>
      </c>
      <c r="R122" s="1183">
        <f t="shared" si="61"/>
        <v>199.99999999999997</v>
      </c>
      <c r="S122" s="1183">
        <f t="shared" si="61"/>
        <v>199.99999999999997</v>
      </c>
      <c r="T122" s="1183">
        <f t="shared" si="61"/>
        <v>199.99999999999997</v>
      </c>
    </row>
    <row r="123" spans="1:20" ht="11.25" hidden="1" customHeight="1" outlineLevel="1">
      <c r="B123" s="1186"/>
      <c r="C123" s="1187"/>
      <c r="D123" s="1187"/>
      <c r="E123" s="1187"/>
      <c r="F123" s="1187"/>
      <c r="G123" s="1187"/>
      <c r="H123" s="1187"/>
      <c r="I123" s="1187"/>
      <c r="J123" s="1187"/>
      <c r="K123" s="1064"/>
      <c r="O123" s="1065"/>
    </row>
    <row r="124" spans="1:20" ht="11.25" hidden="1" customHeight="1" outlineLevel="1">
      <c r="A124" s="1176" t="s">
        <v>818</v>
      </c>
      <c r="K124" s="1064"/>
      <c r="O124" s="1065"/>
    </row>
    <row r="125" spans="1:20" ht="11.25" hidden="1" customHeight="1" outlineLevel="1">
      <c r="A125" s="1179" t="s">
        <v>819</v>
      </c>
      <c r="C125" s="1188">
        <f t="shared" ref="C125:J125" si="62">IF($B$4="Q",SUM(C110:C112),SUM(C110:C113))</f>
        <v>78.260869565217391</v>
      </c>
      <c r="D125" s="1188">
        <f t="shared" si="62"/>
        <v>78.260869565217391</v>
      </c>
      <c r="E125" s="1188">
        <f t="shared" si="62"/>
        <v>78.260869565217391</v>
      </c>
      <c r="F125" s="1188">
        <f t="shared" si="62"/>
        <v>78.260869565217391</v>
      </c>
      <c r="G125" s="1188">
        <f t="shared" si="62"/>
        <v>78.260869565217391</v>
      </c>
      <c r="H125" s="1188">
        <f t="shared" si="62"/>
        <v>78.260869565217391</v>
      </c>
      <c r="I125" s="1188">
        <f t="shared" si="62"/>
        <v>78.260869565217391</v>
      </c>
      <c r="J125" s="1188">
        <f t="shared" si="62"/>
        <v>78.260869565217391</v>
      </c>
      <c r="K125" s="1189">
        <f t="shared" ref="K125:T125" si="63">IF($B$4="Q",SUM(K110:K112),SUM(K110:K113))</f>
        <v>78.260869565217391</v>
      </c>
      <c r="L125" s="1188">
        <f t="shared" si="63"/>
        <v>78.260869565217391</v>
      </c>
      <c r="M125" s="1188">
        <f t="shared" si="63"/>
        <v>78.260869565217391</v>
      </c>
      <c r="N125" s="1188">
        <f t="shared" si="63"/>
        <v>78.260869565217391</v>
      </c>
      <c r="O125" s="1190">
        <f t="shared" si="63"/>
        <v>78.260869565217391</v>
      </c>
      <c r="P125" s="1188">
        <f t="shared" si="63"/>
        <v>78.260869565217391</v>
      </c>
      <c r="Q125" s="1188">
        <f t="shared" si="63"/>
        <v>78.260869565217391</v>
      </c>
      <c r="R125" s="1188">
        <f t="shared" si="63"/>
        <v>78.260869565217391</v>
      </c>
      <c r="S125" s="1188">
        <f t="shared" si="63"/>
        <v>78.260869565217391</v>
      </c>
      <c r="T125" s="1188">
        <f t="shared" si="63"/>
        <v>78.260869565217391</v>
      </c>
    </row>
    <row r="126" spans="1:20" ht="11.25" hidden="1" customHeight="1" outlineLevel="1">
      <c r="A126" s="1179" t="s">
        <v>820</v>
      </c>
      <c r="C126" s="1191">
        <f t="shared" ref="C126:J126" si="64">IF($B$4="Q",SUM(C113:C115),SUM(C114:C117))</f>
        <v>34.782608695652172</v>
      </c>
      <c r="D126" s="1191">
        <f t="shared" si="64"/>
        <v>34.782608695652172</v>
      </c>
      <c r="E126" s="1191">
        <f t="shared" si="64"/>
        <v>34.782608695652172</v>
      </c>
      <c r="F126" s="1191">
        <f t="shared" si="64"/>
        <v>34.782608695652172</v>
      </c>
      <c r="G126" s="1191">
        <f t="shared" si="64"/>
        <v>34.782608695652172</v>
      </c>
      <c r="H126" s="1191">
        <f t="shared" si="64"/>
        <v>34.782608695652172</v>
      </c>
      <c r="I126" s="1191">
        <f t="shared" si="64"/>
        <v>34.782608695652172</v>
      </c>
      <c r="J126" s="1191">
        <f t="shared" si="64"/>
        <v>34.782608695652172</v>
      </c>
      <c r="K126" s="1192">
        <f t="shared" ref="K126:T126" si="65">IF($B$4="Q",SUM(K113:K115),SUM(K114:K117))</f>
        <v>34.782608695652172</v>
      </c>
      <c r="L126" s="1191">
        <f t="shared" si="65"/>
        <v>34.782608695652172</v>
      </c>
      <c r="M126" s="1191">
        <f t="shared" si="65"/>
        <v>34.782608695652172</v>
      </c>
      <c r="N126" s="1191">
        <f t="shared" si="65"/>
        <v>34.782608695652172</v>
      </c>
      <c r="O126" s="1193">
        <f t="shared" si="65"/>
        <v>34.782608695652172</v>
      </c>
      <c r="P126" s="1191">
        <f t="shared" si="65"/>
        <v>34.782608695652172</v>
      </c>
      <c r="Q126" s="1191">
        <f t="shared" si="65"/>
        <v>34.782608695652172</v>
      </c>
      <c r="R126" s="1191">
        <f t="shared" si="65"/>
        <v>34.782608695652172</v>
      </c>
      <c r="S126" s="1191">
        <f t="shared" si="65"/>
        <v>34.782608695652172</v>
      </c>
      <c r="T126" s="1191">
        <f t="shared" si="65"/>
        <v>34.782608695652172</v>
      </c>
    </row>
    <row r="127" spans="1:20" ht="11.25" hidden="1" customHeight="1" outlineLevel="1">
      <c r="A127" s="1179" t="s">
        <v>821</v>
      </c>
      <c r="C127" s="1191">
        <f t="shared" ref="C127:J127" si="66">IF($B$4="Q",SUM(C116:C118),SUM(C118:C121))</f>
        <v>34.782608695652172</v>
      </c>
      <c r="D127" s="1191">
        <f t="shared" si="66"/>
        <v>34.782608695652172</v>
      </c>
      <c r="E127" s="1191">
        <f t="shared" si="66"/>
        <v>34.782608695652172</v>
      </c>
      <c r="F127" s="1191">
        <f t="shared" si="66"/>
        <v>34.782608695652172</v>
      </c>
      <c r="G127" s="1191">
        <f t="shared" si="66"/>
        <v>34.782608695652172</v>
      </c>
      <c r="H127" s="1191">
        <f t="shared" si="66"/>
        <v>34.782608695652172</v>
      </c>
      <c r="I127" s="1191">
        <f t="shared" si="66"/>
        <v>34.782608695652172</v>
      </c>
      <c r="J127" s="1191">
        <f t="shared" si="66"/>
        <v>34.782608695652172</v>
      </c>
      <c r="K127" s="1192">
        <f t="shared" ref="K127:T127" si="67">IF($B$4="Q",SUM(K116:K118),SUM(K118:K121))</f>
        <v>34.782608695652172</v>
      </c>
      <c r="L127" s="1191">
        <f t="shared" si="67"/>
        <v>34.782608695652172</v>
      </c>
      <c r="M127" s="1191">
        <f t="shared" si="67"/>
        <v>34.782608695652172</v>
      </c>
      <c r="N127" s="1191">
        <f t="shared" si="67"/>
        <v>34.782608695652172</v>
      </c>
      <c r="O127" s="1193">
        <f t="shared" si="67"/>
        <v>34.782608695652172</v>
      </c>
      <c r="P127" s="1191">
        <f t="shared" si="67"/>
        <v>34.782608695652172</v>
      </c>
      <c r="Q127" s="1191">
        <f t="shared" si="67"/>
        <v>34.782608695652172</v>
      </c>
      <c r="R127" s="1191">
        <f t="shared" si="67"/>
        <v>34.782608695652172</v>
      </c>
      <c r="S127" s="1191">
        <f t="shared" si="67"/>
        <v>34.782608695652172</v>
      </c>
      <c r="T127" s="1191">
        <f t="shared" si="67"/>
        <v>34.782608695652172</v>
      </c>
    </row>
    <row r="128" spans="1:20" ht="11.25" hidden="1" customHeight="1" outlineLevel="1">
      <c r="A128" s="1179" t="s">
        <v>822</v>
      </c>
      <c r="C128" s="1194">
        <f t="shared" ref="C128:J128" si="68">IF($B$4="Q",SUM(C119:C121),0)</f>
        <v>52.173913043478265</v>
      </c>
      <c r="D128" s="1194">
        <f t="shared" si="68"/>
        <v>52.173913043478265</v>
      </c>
      <c r="E128" s="1194">
        <f t="shared" si="68"/>
        <v>52.173913043478265</v>
      </c>
      <c r="F128" s="1194">
        <f t="shared" si="68"/>
        <v>52.173913043478265</v>
      </c>
      <c r="G128" s="1194">
        <f t="shared" si="68"/>
        <v>52.173913043478265</v>
      </c>
      <c r="H128" s="1194">
        <f t="shared" si="68"/>
        <v>52.173913043478265</v>
      </c>
      <c r="I128" s="1194">
        <f t="shared" si="68"/>
        <v>52.173913043478265</v>
      </c>
      <c r="J128" s="1194">
        <f t="shared" si="68"/>
        <v>52.173913043478265</v>
      </c>
      <c r="K128" s="1195">
        <f t="shared" ref="K128:T128" si="69">IF($B$4="Q",SUM(K119:K121),0)</f>
        <v>52.173913043478265</v>
      </c>
      <c r="L128" s="1194">
        <f t="shared" si="69"/>
        <v>52.173913043478265</v>
      </c>
      <c r="M128" s="1194">
        <f t="shared" si="69"/>
        <v>52.173913043478265</v>
      </c>
      <c r="N128" s="1194">
        <f t="shared" si="69"/>
        <v>52.173913043478265</v>
      </c>
      <c r="O128" s="1196">
        <f t="shared" si="69"/>
        <v>52.173913043478265</v>
      </c>
      <c r="P128" s="1194">
        <f t="shared" si="69"/>
        <v>52.173913043478265</v>
      </c>
      <c r="Q128" s="1194">
        <f t="shared" si="69"/>
        <v>52.173913043478265</v>
      </c>
      <c r="R128" s="1194">
        <f t="shared" si="69"/>
        <v>52.173913043478265</v>
      </c>
      <c r="S128" s="1194">
        <f t="shared" si="69"/>
        <v>52.173913043478265</v>
      </c>
      <c r="T128" s="1194">
        <f t="shared" si="69"/>
        <v>52.173913043478265</v>
      </c>
    </row>
    <row r="129" spans="1:20" ht="11.25" hidden="1" customHeight="1" outlineLevel="1">
      <c r="A129" s="1197" t="s">
        <v>690</v>
      </c>
      <c r="B129" s="1179"/>
      <c r="C129" s="1198">
        <f t="shared" ref="C129:J129" si="70">SUM(C125:C128)</f>
        <v>200</v>
      </c>
      <c r="D129" s="1198">
        <f t="shared" si="70"/>
        <v>200</v>
      </c>
      <c r="E129" s="1198">
        <f t="shared" si="70"/>
        <v>200</v>
      </c>
      <c r="F129" s="1198">
        <f t="shared" si="70"/>
        <v>200</v>
      </c>
      <c r="G129" s="1198">
        <f t="shared" si="70"/>
        <v>200</v>
      </c>
      <c r="H129" s="1198">
        <f t="shared" si="70"/>
        <v>200</v>
      </c>
      <c r="I129" s="1198">
        <f t="shared" si="70"/>
        <v>200</v>
      </c>
      <c r="J129" s="1198">
        <f t="shared" si="70"/>
        <v>200</v>
      </c>
      <c r="K129" s="1199">
        <f t="shared" ref="K129:T129" si="71">SUM(K125:K128)</f>
        <v>200</v>
      </c>
      <c r="L129" s="1198">
        <f t="shared" si="71"/>
        <v>200</v>
      </c>
      <c r="M129" s="1198">
        <f t="shared" si="71"/>
        <v>200</v>
      </c>
      <c r="N129" s="1198">
        <f t="shared" si="71"/>
        <v>200</v>
      </c>
      <c r="O129" s="1200">
        <f t="shared" si="71"/>
        <v>200</v>
      </c>
      <c r="P129" s="1198">
        <f t="shared" si="71"/>
        <v>200</v>
      </c>
      <c r="Q129" s="1198">
        <f t="shared" si="71"/>
        <v>200</v>
      </c>
      <c r="R129" s="1198">
        <f t="shared" si="71"/>
        <v>200</v>
      </c>
      <c r="S129" s="1198">
        <f t="shared" si="71"/>
        <v>200</v>
      </c>
      <c r="T129" s="1198">
        <f t="shared" si="71"/>
        <v>200</v>
      </c>
    </row>
    <row r="130" spans="1:20" ht="11.25" hidden="1" customHeight="1" outlineLevel="1">
      <c r="A130" s="1055"/>
      <c r="B130" s="1179"/>
      <c r="C130" s="1187"/>
      <c r="D130" s="1187"/>
      <c r="E130" s="1187"/>
      <c r="F130" s="1187"/>
      <c r="G130" s="1187"/>
      <c r="H130" s="1187"/>
      <c r="I130" s="1187"/>
      <c r="J130" s="1187"/>
      <c r="K130" s="1064"/>
      <c r="O130" s="1065"/>
    </row>
    <row r="131" spans="1:20" ht="11.25" hidden="1" customHeight="1" outlineLevel="1">
      <c r="A131" s="1176" t="s">
        <v>823</v>
      </c>
      <c r="B131" s="1055"/>
      <c r="C131" s="1201"/>
      <c r="D131" s="1201"/>
      <c r="E131" s="1201"/>
      <c r="F131" s="1201"/>
      <c r="G131" s="1201"/>
      <c r="H131" s="1201"/>
      <c r="I131" s="1201"/>
      <c r="J131" s="1201"/>
      <c r="K131" s="1064"/>
      <c r="O131" s="1065"/>
    </row>
    <row r="132" spans="1:20" ht="11.25" hidden="1" customHeight="1" outlineLevel="1">
      <c r="A132" s="1179" t="s">
        <v>819</v>
      </c>
      <c r="B132" s="1179" t="s">
        <v>814</v>
      </c>
      <c r="C132" s="1085">
        <f t="shared" ref="C132:J132" si="72">IF(C105=0,C125,IF(C125&lt;C105,C125,C105))</f>
        <v>78.260869565217391</v>
      </c>
      <c r="D132" s="1085">
        <f t="shared" si="72"/>
        <v>78.260869565217391</v>
      </c>
      <c r="E132" s="1085">
        <f t="shared" si="72"/>
        <v>78.260869565217391</v>
      </c>
      <c r="F132" s="1085">
        <f t="shared" si="72"/>
        <v>78.260869565217391</v>
      </c>
      <c r="G132" s="1085">
        <f t="shared" si="72"/>
        <v>78.260869565217391</v>
      </c>
      <c r="H132" s="1085">
        <f t="shared" si="72"/>
        <v>78.260869565217391</v>
      </c>
      <c r="I132" s="1085">
        <f t="shared" si="72"/>
        <v>78.260869565217391</v>
      </c>
      <c r="J132" s="1085">
        <f t="shared" si="72"/>
        <v>78.260869565217391</v>
      </c>
      <c r="K132" s="1084">
        <f t="shared" ref="K132:T132" si="73">IF(K105=0,K125,IF(K125&lt;K105,K125,K105))</f>
        <v>78.260869565217391</v>
      </c>
      <c r="L132" s="1085">
        <f t="shared" si="73"/>
        <v>78.260869565217391</v>
      </c>
      <c r="M132" s="1085">
        <f t="shared" si="73"/>
        <v>78.260869565217391</v>
      </c>
      <c r="N132" s="1085">
        <f t="shared" si="73"/>
        <v>78.260869565217391</v>
      </c>
      <c r="O132" s="1180">
        <f t="shared" si="73"/>
        <v>78.260869565217391</v>
      </c>
      <c r="P132" s="1085">
        <f t="shared" si="73"/>
        <v>78.260869565217391</v>
      </c>
      <c r="Q132" s="1085">
        <f t="shared" si="73"/>
        <v>78.260869565217391</v>
      </c>
      <c r="R132" s="1085">
        <f t="shared" si="73"/>
        <v>78.260869565217391</v>
      </c>
      <c r="S132" s="1085">
        <f t="shared" si="73"/>
        <v>78.260869565217391</v>
      </c>
      <c r="T132" s="1085">
        <f t="shared" si="73"/>
        <v>78.260869565217391</v>
      </c>
    </row>
    <row r="133" spans="1:20" ht="11.25" hidden="1" customHeight="1" outlineLevel="1">
      <c r="A133" s="1179"/>
      <c r="B133" s="1179" t="s">
        <v>815</v>
      </c>
      <c r="C133" s="1085">
        <f t="shared" ref="C133:J133" si="74">IF((C125-C132)&lt;C106,(C125-C132),C106)</f>
        <v>0</v>
      </c>
      <c r="D133" s="1085">
        <f t="shared" si="74"/>
        <v>0</v>
      </c>
      <c r="E133" s="1085">
        <f t="shared" si="74"/>
        <v>0</v>
      </c>
      <c r="F133" s="1085">
        <f t="shared" si="74"/>
        <v>0</v>
      </c>
      <c r="G133" s="1085">
        <f t="shared" si="74"/>
        <v>0</v>
      </c>
      <c r="H133" s="1085">
        <f t="shared" si="74"/>
        <v>0</v>
      </c>
      <c r="I133" s="1085">
        <f t="shared" si="74"/>
        <v>0</v>
      </c>
      <c r="J133" s="1085">
        <f t="shared" si="74"/>
        <v>0</v>
      </c>
      <c r="K133" s="1084">
        <f t="shared" ref="K133:T133" si="75">IF((K125-K132)&lt;K106,(K125-K132),K106)</f>
        <v>0</v>
      </c>
      <c r="L133" s="1085">
        <f t="shared" si="75"/>
        <v>0</v>
      </c>
      <c r="M133" s="1085">
        <f t="shared" si="75"/>
        <v>0</v>
      </c>
      <c r="N133" s="1085">
        <f t="shared" si="75"/>
        <v>0</v>
      </c>
      <c r="O133" s="1180">
        <f t="shared" si="75"/>
        <v>0</v>
      </c>
      <c r="P133" s="1085">
        <f t="shared" si="75"/>
        <v>0</v>
      </c>
      <c r="Q133" s="1085">
        <f t="shared" si="75"/>
        <v>0</v>
      </c>
      <c r="R133" s="1085">
        <f t="shared" si="75"/>
        <v>0</v>
      </c>
      <c r="S133" s="1085">
        <f t="shared" si="75"/>
        <v>0</v>
      </c>
      <c r="T133" s="1085">
        <f t="shared" si="75"/>
        <v>0</v>
      </c>
    </row>
    <row r="134" spans="1:20" ht="11.25" hidden="1" customHeight="1" outlineLevel="1">
      <c r="A134" s="1179" t="s">
        <v>820</v>
      </c>
      <c r="B134" s="1202" t="s">
        <v>814</v>
      </c>
      <c r="C134" s="1183">
        <f t="shared" ref="C134:J134" si="76">IF(C105=0,C126,IF(C126&lt;C105,C126,C105))</f>
        <v>34.782608695652172</v>
      </c>
      <c r="D134" s="1183">
        <f t="shared" si="76"/>
        <v>34.782608695652172</v>
      </c>
      <c r="E134" s="1183">
        <f t="shared" si="76"/>
        <v>34.782608695652172</v>
      </c>
      <c r="F134" s="1183">
        <f t="shared" si="76"/>
        <v>34.782608695652172</v>
      </c>
      <c r="G134" s="1183">
        <f t="shared" si="76"/>
        <v>34.782608695652172</v>
      </c>
      <c r="H134" s="1183">
        <f t="shared" si="76"/>
        <v>34.782608695652172</v>
      </c>
      <c r="I134" s="1183">
        <f t="shared" si="76"/>
        <v>34.782608695652172</v>
      </c>
      <c r="J134" s="1183">
        <f t="shared" si="76"/>
        <v>34.782608695652172</v>
      </c>
      <c r="K134" s="1184">
        <f t="shared" ref="K134:T134" si="77">IF(K105=0,K126,IF(K126&lt;K105,K126,K105))</f>
        <v>34.782608695652172</v>
      </c>
      <c r="L134" s="1183">
        <f t="shared" si="77"/>
        <v>34.782608695652172</v>
      </c>
      <c r="M134" s="1183">
        <f t="shared" si="77"/>
        <v>34.782608695652172</v>
      </c>
      <c r="N134" s="1183">
        <f t="shared" si="77"/>
        <v>34.782608695652172</v>
      </c>
      <c r="O134" s="1185">
        <f t="shared" si="77"/>
        <v>34.782608695652172</v>
      </c>
      <c r="P134" s="1183">
        <f t="shared" si="77"/>
        <v>34.782608695652172</v>
      </c>
      <c r="Q134" s="1183">
        <f t="shared" si="77"/>
        <v>34.782608695652172</v>
      </c>
      <c r="R134" s="1183">
        <f t="shared" si="77"/>
        <v>34.782608695652172</v>
      </c>
      <c r="S134" s="1183">
        <f t="shared" si="77"/>
        <v>34.782608695652172</v>
      </c>
      <c r="T134" s="1183">
        <f t="shared" si="77"/>
        <v>34.782608695652172</v>
      </c>
    </row>
    <row r="135" spans="1:20" ht="11.25" hidden="1" customHeight="1" outlineLevel="1">
      <c r="A135" s="1179"/>
      <c r="B135" s="1179" t="s">
        <v>815</v>
      </c>
      <c r="C135" s="1085">
        <f t="shared" ref="C135:J135" si="78">IF((C126-C134)&lt;C106,(C126-C134),C106)</f>
        <v>0</v>
      </c>
      <c r="D135" s="1085">
        <f t="shared" si="78"/>
        <v>0</v>
      </c>
      <c r="E135" s="1085">
        <f t="shared" si="78"/>
        <v>0</v>
      </c>
      <c r="F135" s="1085">
        <f t="shared" si="78"/>
        <v>0</v>
      </c>
      <c r="G135" s="1085">
        <f t="shared" si="78"/>
        <v>0</v>
      </c>
      <c r="H135" s="1085">
        <f t="shared" si="78"/>
        <v>0</v>
      </c>
      <c r="I135" s="1085">
        <f t="shared" si="78"/>
        <v>0</v>
      </c>
      <c r="J135" s="1085">
        <f t="shared" si="78"/>
        <v>0</v>
      </c>
      <c r="K135" s="1084">
        <f t="shared" ref="K135:T135" si="79">IF((K126-K134)&lt;K106,(K126-K134),K106)</f>
        <v>0</v>
      </c>
      <c r="L135" s="1085">
        <f t="shared" si="79"/>
        <v>0</v>
      </c>
      <c r="M135" s="1085">
        <f t="shared" si="79"/>
        <v>0</v>
      </c>
      <c r="N135" s="1085">
        <f t="shared" si="79"/>
        <v>0</v>
      </c>
      <c r="O135" s="1180">
        <f t="shared" si="79"/>
        <v>0</v>
      </c>
      <c r="P135" s="1085">
        <f t="shared" si="79"/>
        <v>0</v>
      </c>
      <c r="Q135" s="1085">
        <f t="shared" si="79"/>
        <v>0</v>
      </c>
      <c r="R135" s="1085">
        <f t="shared" si="79"/>
        <v>0</v>
      </c>
      <c r="S135" s="1085">
        <f t="shared" si="79"/>
        <v>0</v>
      </c>
      <c r="T135" s="1085">
        <f t="shared" si="79"/>
        <v>0</v>
      </c>
    </row>
    <row r="136" spans="1:20" ht="11.25" hidden="1" customHeight="1" outlineLevel="1">
      <c r="A136" s="1179" t="s">
        <v>821</v>
      </c>
      <c r="B136" s="1202" t="s">
        <v>814</v>
      </c>
      <c r="C136" s="1183">
        <f t="shared" ref="C136:J136" si="80">IF(C105=0,C127,IF(C127&lt;C105,C127,C105))</f>
        <v>34.782608695652172</v>
      </c>
      <c r="D136" s="1183">
        <f t="shared" si="80"/>
        <v>34.782608695652172</v>
      </c>
      <c r="E136" s="1183">
        <f t="shared" si="80"/>
        <v>34.782608695652172</v>
      </c>
      <c r="F136" s="1183">
        <f t="shared" si="80"/>
        <v>34.782608695652172</v>
      </c>
      <c r="G136" s="1183">
        <f t="shared" si="80"/>
        <v>34.782608695652172</v>
      </c>
      <c r="H136" s="1183">
        <f t="shared" si="80"/>
        <v>34.782608695652172</v>
      </c>
      <c r="I136" s="1183">
        <f t="shared" si="80"/>
        <v>34.782608695652172</v>
      </c>
      <c r="J136" s="1183">
        <f t="shared" si="80"/>
        <v>34.782608695652172</v>
      </c>
      <c r="K136" s="1184">
        <f t="shared" ref="K136:T136" si="81">IF(K105=0,K127,IF(K127&lt;K105,K127,K105))</f>
        <v>34.782608695652172</v>
      </c>
      <c r="L136" s="1183">
        <f t="shared" si="81"/>
        <v>34.782608695652172</v>
      </c>
      <c r="M136" s="1183">
        <f t="shared" si="81"/>
        <v>34.782608695652172</v>
      </c>
      <c r="N136" s="1183">
        <f t="shared" si="81"/>
        <v>34.782608695652172</v>
      </c>
      <c r="O136" s="1185">
        <f t="shared" si="81"/>
        <v>34.782608695652172</v>
      </c>
      <c r="P136" s="1183">
        <f t="shared" si="81"/>
        <v>34.782608695652172</v>
      </c>
      <c r="Q136" s="1183">
        <f t="shared" si="81"/>
        <v>34.782608695652172</v>
      </c>
      <c r="R136" s="1183">
        <f t="shared" si="81"/>
        <v>34.782608695652172</v>
      </c>
      <c r="S136" s="1183">
        <f t="shared" si="81"/>
        <v>34.782608695652172</v>
      </c>
      <c r="T136" s="1183">
        <f t="shared" si="81"/>
        <v>34.782608695652172</v>
      </c>
    </row>
    <row r="137" spans="1:20" ht="11.25" hidden="1" customHeight="1" outlineLevel="1">
      <c r="A137" s="1179"/>
      <c r="B137" s="1179" t="s">
        <v>815</v>
      </c>
      <c r="C137" s="1085">
        <f t="shared" ref="C137:J137" si="82">IF((C127-C136)&lt;C106,(C127-C136),C106)</f>
        <v>0</v>
      </c>
      <c r="D137" s="1085">
        <f t="shared" si="82"/>
        <v>0</v>
      </c>
      <c r="E137" s="1085">
        <f t="shared" si="82"/>
        <v>0</v>
      </c>
      <c r="F137" s="1085">
        <f t="shared" si="82"/>
        <v>0</v>
      </c>
      <c r="G137" s="1085">
        <f t="shared" si="82"/>
        <v>0</v>
      </c>
      <c r="H137" s="1085">
        <f t="shared" si="82"/>
        <v>0</v>
      </c>
      <c r="I137" s="1085">
        <f t="shared" si="82"/>
        <v>0</v>
      </c>
      <c r="J137" s="1085">
        <f t="shared" si="82"/>
        <v>0</v>
      </c>
      <c r="K137" s="1084">
        <f t="shared" ref="K137:T137" si="83">IF((K127-K136)&lt;K106,(K127-K136),K106)</f>
        <v>0</v>
      </c>
      <c r="L137" s="1085">
        <f t="shared" si="83"/>
        <v>0</v>
      </c>
      <c r="M137" s="1085">
        <f t="shared" si="83"/>
        <v>0</v>
      </c>
      <c r="N137" s="1085">
        <f t="shared" si="83"/>
        <v>0</v>
      </c>
      <c r="O137" s="1180">
        <f t="shared" si="83"/>
        <v>0</v>
      </c>
      <c r="P137" s="1085">
        <f t="shared" si="83"/>
        <v>0</v>
      </c>
      <c r="Q137" s="1085">
        <f t="shared" si="83"/>
        <v>0</v>
      </c>
      <c r="R137" s="1085">
        <f t="shared" si="83"/>
        <v>0</v>
      </c>
      <c r="S137" s="1085">
        <f t="shared" si="83"/>
        <v>0</v>
      </c>
      <c r="T137" s="1085">
        <f t="shared" si="83"/>
        <v>0</v>
      </c>
    </row>
    <row r="138" spans="1:20" ht="11.25" hidden="1" customHeight="1" outlineLevel="1">
      <c r="A138" s="1179" t="s">
        <v>822</v>
      </c>
      <c r="B138" s="1202" t="s">
        <v>814</v>
      </c>
      <c r="C138" s="1183">
        <f t="shared" ref="C138:J138" si="84">IF($B$4="T",0,IF(C105=0,C128,IF(C128&lt;C105,C128,C105)))</f>
        <v>52.173913043478265</v>
      </c>
      <c r="D138" s="1183">
        <f t="shared" si="84"/>
        <v>52.173913043478265</v>
      </c>
      <c r="E138" s="1183">
        <f t="shared" si="84"/>
        <v>52.173913043478265</v>
      </c>
      <c r="F138" s="1183">
        <f t="shared" si="84"/>
        <v>52.173913043478265</v>
      </c>
      <c r="G138" s="1183">
        <f t="shared" si="84"/>
        <v>52.173913043478265</v>
      </c>
      <c r="H138" s="1183">
        <f t="shared" si="84"/>
        <v>52.173913043478265</v>
      </c>
      <c r="I138" s="1183">
        <f t="shared" si="84"/>
        <v>52.173913043478265</v>
      </c>
      <c r="J138" s="1183">
        <f t="shared" si="84"/>
        <v>52.173913043478265</v>
      </c>
      <c r="K138" s="1184">
        <f t="shared" ref="K138:T138" si="85">IF($B$4="T",0,IF(K105=0,K128,IF(K128&lt;K105,K128,K105)))</f>
        <v>52.173913043478265</v>
      </c>
      <c r="L138" s="1183">
        <f t="shared" si="85"/>
        <v>52.173913043478265</v>
      </c>
      <c r="M138" s="1183">
        <f t="shared" si="85"/>
        <v>52.173913043478265</v>
      </c>
      <c r="N138" s="1183">
        <f t="shared" si="85"/>
        <v>52.173913043478265</v>
      </c>
      <c r="O138" s="1185">
        <f t="shared" si="85"/>
        <v>52.173913043478265</v>
      </c>
      <c r="P138" s="1183">
        <f t="shared" si="85"/>
        <v>52.173913043478265</v>
      </c>
      <c r="Q138" s="1183">
        <f t="shared" si="85"/>
        <v>52.173913043478265</v>
      </c>
      <c r="R138" s="1183">
        <f t="shared" si="85"/>
        <v>52.173913043478265</v>
      </c>
      <c r="S138" s="1183">
        <f t="shared" si="85"/>
        <v>52.173913043478265</v>
      </c>
      <c r="T138" s="1183">
        <f t="shared" si="85"/>
        <v>52.173913043478265</v>
      </c>
    </row>
    <row r="139" spans="1:20" ht="11.25" hidden="1" customHeight="1" outlineLevel="1">
      <c r="A139" s="1179"/>
      <c r="B139" s="1179" t="s">
        <v>815</v>
      </c>
      <c r="C139" s="1085">
        <f t="shared" ref="C139:J139" si="86">IF($B$4="T",0,IF((C128-C138)&lt;C106,(C128-C138),C106))</f>
        <v>0</v>
      </c>
      <c r="D139" s="1085">
        <f t="shared" si="86"/>
        <v>0</v>
      </c>
      <c r="E139" s="1085">
        <f t="shared" si="86"/>
        <v>0</v>
      </c>
      <c r="F139" s="1085">
        <f t="shared" si="86"/>
        <v>0</v>
      </c>
      <c r="G139" s="1085">
        <f t="shared" si="86"/>
        <v>0</v>
      </c>
      <c r="H139" s="1085">
        <f t="shared" si="86"/>
        <v>0</v>
      </c>
      <c r="I139" s="1085">
        <f t="shared" si="86"/>
        <v>0</v>
      </c>
      <c r="J139" s="1085">
        <f t="shared" si="86"/>
        <v>0</v>
      </c>
      <c r="K139" s="1084">
        <f t="shared" ref="K139:T139" si="87">IF($B$4="T",0,IF((K128-K138)&lt;K106,(K128-K138),K106))</f>
        <v>0</v>
      </c>
      <c r="L139" s="1085">
        <f t="shared" si="87"/>
        <v>0</v>
      </c>
      <c r="M139" s="1085">
        <f t="shared" si="87"/>
        <v>0</v>
      </c>
      <c r="N139" s="1085">
        <f t="shared" si="87"/>
        <v>0</v>
      </c>
      <c r="O139" s="1180">
        <f t="shared" si="87"/>
        <v>0</v>
      </c>
      <c r="P139" s="1085">
        <f t="shared" si="87"/>
        <v>0</v>
      </c>
      <c r="Q139" s="1085">
        <f t="shared" si="87"/>
        <v>0</v>
      </c>
      <c r="R139" s="1085">
        <f t="shared" si="87"/>
        <v>0</v>
      </c>
      <c r="S139" s="1085">
        <f t="shared" si="87"/>
        <v>0</v>
      </c>
      <c r="T139" s="1085">
        <f t="shared" si="87"/>
        <v>0</v>
      </c>
    </row>
    <row r="140" spans="1:20" ht="11.25" hidden="1" customHeight="1" outlineLevel="1">
      <c r="A140" s="1179" t="s">
        <v>824</v>
      </c>
      <c r="B140" s="1202" t="s">
        <v>814</v>
      </c>
      <c r="C140" s="1183">
        <f t="shared" ref="C140:T141" si="88">C132+C134+C136+C138</f>
        <v>200</v>
      </c>
      <c r="D140" s="1183">
        <f t="shared" si="88"/>
        <v>200</v>
      </c>
      <c r="E140" s="1183">
        <f t="shared" si="88"/>
        <v>200</v>
      </c>
      <c r="F140" s="1183">
        <f t="shared" si="88"/>
        <v>200</v>
      </c>
      <c r="G140" s="1183">
        <f t="shared" si="88"/>
        <v>200</v>
      </c>
      <c r="H140" s="1183">
        <f t="shared" ref="H140:J141" si="89">H132+H134+H136+H138</f>
        <v>200</v>
      </c>
      <c r="I140" s="1183">
        <f t="shared" si="89"/>
        <v>200</v>
      </c>
      <c r="J140" s="1183">
        <f t="shared" si="89"/>
        <v>200</v>
      </c>
      <c r="K140" s="1184">
        <f t="shared" si="88"/>
        <v>200</v>
      </c>
      <c r="L140" s="1183">
        <f t="shared" si="88"/>
        <v>200</v>
      </c>
      <c r="M140" s="1183">
        <f t="shared" si="88"/>
        <v>200</v>
      </c>
      <c r="N140" s="1183">
        <f t="shared" si="88"/>
        <v>200</v>
      </c>
      <c r="O140" s="1185">
        <f t="shared" si="88"/>
        <v>200</v>
      </c>
      <c r="P140" s="1183">
        <f t="shared" si="88"/>
        <v>200</v>
      </c>
      <c r="Q140" s="1183">
        <f t="shared" si="88"/>
        <v>200</v>
      </c>
      <c r="R140" s="1183">
        <f t="shared" si="88"/>
        <v>200</v>
      </c>
      <c r="S140" s="1183">
        <f t="shared" si="88"/>
        <v>200</v>
      </c>
      <c r="T140" s="1183">
        <f t="shared" si="88"/>
        <v>200</v>
      </c>
    </row>
    <row r="141" spans="1:20" ht="11.25" hidden="1" customHeight="1" outlineLevel="1">
      <c r="B141" s="1179" t="s">
        <v>815</v>
      </c>
      <c r="C141" s="1085">
        <f t="shared" si="88"/>
        <v>0</v>
      </c>
      <c r="D141" s="1085">
        <f t="shared" si="88"/>
        <v>0</v>
      </c>
      <c r="E141" s="1085">
        <f t="shared" si="88"/>
        <v>0</v>
      </c>
      <c r="F141" s="1085">
        <f t="shared" si="88"/>
        <v>0</v>
      </c>
      <c r="G141" s="1085">
        <f t="shared" si="88"/>
        <v>0</v>
      </c>
      <c r="H141" s="1085">
        <f t="shared" si="89"/>
        <v>0</v>
      </c>
      <c r="I141" s="1085">
        <f t="shared" si="89"/>
        <v>0</v>
      </c>
      <c r="J141" s="1085">
        <f t="shared" si="89"/>
        <v>0</v>
      </c>
      <c r="K141" s="1084">
        <f t="shared" si="88"/>
        <v>0</v>
      </c>
      <c r="L141" s="1085">
        <f t="shared" si="88"/>
        <v>0</v>
      </c>
      <c r="M141" s="1085">
        <f t="shared" si="88"/>
        <v>0</v>
      </c>
      <c r="N141" s="1085">
        <f t="shared" si="88"/>
        <v>0</v>
      </c>
      <c r="O141" s="1180">
        <f t="shared" si="88"/>
        <v>0</v>
      </c>
      <c r="P141" s="1085">
        <f t="shared" si="88"/>
        <v>0</v>
      </c>
      <c r="Q141" s="1085">
        <f t="shared" si="88"/>
        <v>0</v>
      </c>
      <c r="R141" s="1085">
        <f t="shared" si="88"/>
        <v>0</v>
      </c>
      <c r="S141" s="1085">
        <f t="shared" si="88"/>
        <v>0</v>
      </c>
      <c r="T141" s="1085">
        <f t="shared" si="88"/>
        <v>0</v>
      </c>
    </row>
    <row r="142" spans="1:20" ht="11.25" hidden="1" customHeight="1" outlineLevel="1">
      <c r="B142" s="1179" t="s">
        <v>816</v>
      </c>
      <c r="C142" s="1085">
        <f t="shared" ref="C142:J142" si="90">SUM(C125:C128)-SUM(C140:C141)</f>
        <v>0</v>
      </c>
      <c r="D142" s="1085">
        <f t="shared" si="90"/>
        <v>0</v>
      </c>
      <c r="E142" s="1085">
        <f t="shared" si="90"/>
        <v>0</v>
      </c>
      <c r="F142" s="1085">
        <f t="shared" si="90"/>
        <v>0</v>
      </c>
      <c r="G142" s="1085">
        <f t="shared" si="90"/>
        <v>0</v>
      </c>
      <c r="H142" s="1085">
        <f t="shared" si="90"/>
        <v>0</v>
      </c>
      <c r="I142" s="1085">
        <f t="shared" si="90"/>
        <v>0</v>
      </c>
      <c r="J142" s="1085">
        <f t="shared" si="90"/>
        <v>0</v>
      </c>
      <c r="K142" s="1084">
        <f t="shared" ref="K142:T142" si="91">SUM(K125:K128)-SUM(K140:K141)</f>
        <v>0</v>
      </c>
      <c r="L142" s="1085">
        <f t="shared" si="91"/>
        <v>0</v>
      </c>
      <c r="M142" s="1085">
        <f t="shared" si="91"/>
        <v>0</v>
      </c>
      <c r="N142" s="1085">
        <f t="shared" si="91"/>
        <v>0</v>
      </c>
      <c r="O142" s="1180">
        <f t="shared" si="91"/>
        <v>0</v>
      </c>
      <c r="P142" s="1085">
        <f t="shared" si="91"/>
        <v>0</v>
      </c>
      <c r="Q142" s="1085">
        <f t="shared" si="91"/>
        <v>0</v>
      </c>
      <c r="R142" s="1085">
        <f t="shared" si="91"/>
        <v>0</v>
      </c>
      <c r="S142" s="1085">
        <f t="shared" si="91"/>
        <v>0</v>
      </c>
      <c r="T142" s="1085">
        <f t="shared" si="91"/>
        <v>0</v>
      </c>
    </row>
    <row r="143" spans="1:20" ht="11.25" hidden="1" customHeight="1" outlineLevel="1">
      <c r="A143" s="1197" t="s">
        <v>690</v>
      </c>
      <c r="B143" s="1203"/>
      <c r="C143" s="1204">
        <f t="shared" ref="C143:J143" si="92">SUM(C140:C142)</f>
        <v>200</v>
      </c>
      <c r="D143" s="1204">
        <f t="shared" si="92"/>
        <v>200</v>
      </c>
      <c r="E143" s="1204">
        <f t="shared" si="92"/>
        <v>200</v>
      </c>
      <c r="F143" s="1204">
        <f t="shared" si="92"/>
        <v>200</v>
      </c>
      <c r="G143" s="1204">
        <f t="shared" si="92"/>
        <v>200</v>
      </c>
      <c r="H143" s="1204">
        <f t="shared" si="92"/>
        <v>200</v>
      </c>
      <c r="I143" s="1204">
        <f t="shared" si="92"/>
        <v>200</v>
      </c>
      <c r="J143" s="1204">
        <f t="shared" si="92"/>
        <v>200</v>
      </c>
      <c r="K143" s="1205">
        <f t="shared" ref="K143:T143" si="93">SUM(K140:K142)</f>
        <v>200</v>
      </c>
      <c r="L143" s="1204">
        <f t="shared" si="93"/>
        <v>200</v>
      </c>
      <c r="M143" s="1204">
        <f t="shared" si="93"/>
        <v>200</v>
      </c>
      <c r="N143" s="1204">
        <f t="shared" si="93"/>
        <v>200</v>
      </c>
      <c r="O143" s="1206">
        <f t="shared" si="93"/>
        <v>200</v>
      </c>
      <c r="P143" s="1204">
        <f t="shared" si="93"/>
        <v>200</v>
      </c>
      <c r="Q143" s="1204">
        <f t="shared" si="93"/>
        <v>200</v>
      </c>
      <c r="R143" s="1204">
        <f t="shared" si="93"/>
        <v>200</v>
      </c>
      <c r="S143" s="1204">
        <f t="shared" si="93"/>
        <v>200</v>
      </c>
      <c r="T143" s="1204">
        <f t="shared" si="93"/>
        <v>200</v>
      </c>
    </row>
    <row r="144" spans="1:20" ht="11.25" hidden="1" customHeight="1" outlineLevel="1">
      <c r="A144" s="1055"/>
      <c r="B144" s="1201"/>
      <c r="C144" s="1207"/>
      <c r="D144" s="1207"/>
      <c r="E144" s="1207"/>
      <c r="F144" s="1207"/>
      <c r="G144" s="1207"/>
      <c r="H144" s="1207"/>
      <c r="I144" s="1207"/>
      <c r="J144" s="1207"/>
      <c r="K144" s="1064"/>
      <c r="O144" s="1065"/>
    </row>
    <row r="145" spans="1:53" ht="11.25" hidden="1" customHeight="1" outlineLevel="1">
      <c r="A145" s="1176" t="s">
        <v>825</v>
      </c>
      <c r="B145" s="1055"/>
      <c r="C145" s="1055"/>
      <c r="D145" s="1055"/>
      <c r="E145" s="1055"/>
      <c r="F145" s="1055"/>
      <c r="G145" s="1055"/>
      <c r="H145" s="1055"/>
      <c r="I145" s="1055"/>
      <c r="J145" s="1055"/>
      <c r="K145" s="1064"/>
      <c r="O145" s="1065"/>
    </row>
    <row r="146" spans="1:53" ht="11.25" hidden="1" customHeight="1" outlineLevel="1">
      <c r="A146" s="1055"/>
      <c r="B146" s="1208" t="s">
        <v>819</v>
      </c>
      <c r="C146" s="1209">
        <f t="shared" ref="C146:J146" si="94">C125*$F$157*$G$157</f>
        <v>39.130434782608695</v>
      </c>
      <c r="D146" s="1209">
        <f t="shared" si="94"/>
        <v>39.130434782608695</v>
      </c>
      <c r="E146" s="1209">
        <f t="shared" si="94"/>
        <v>39.130434782608695</v>
      </c>
      <c r="F146" s="1209">
        <f t="shared" si="94"/>
        <v>39.130434782608695</v>
      </c>
      <c r="G146" s="1209">
        <f t="shared" si="94"/>
        <v>39.130434782608695</v>
      </c>
      <c r="H146" s="1209">
        <f t="shared" si="94"/>
        <v>39.130434782608695</v>
      </c>
      <c r="I146" s="1209">
        <f t="shared" si="94"/>
        <v>39.130434782608695</v>
      </c>
      <c r="J146" s="1209">
        <f t="shared" si="94"/>
        <v>39.130434782608695</v>
      </c>
      <c r="K146" s="1210">
        <f t="shared" ref="K146:T146" si="95">K125*$F$157*$G$157</f>
        <v>39.130434782608695</v>
      </c>
      <c r="L146" s="1209">
        <f t="shared" si="95"/>
        <v>39.130434782608695</v>
      </c>
      <c r="M146" s="1209">
        <f t="shared" si="95"/>
        <v>39.130434782608695</v>
      </c>
      <c r="N146" s="1209">
        <f t="shared" si="95"/>
        <v>39.130434782608695</v>
      </c>
      <c r="O146" s="1211">
        <f t="shared" si="95"/>
        <v>39.130434782608695</v>
      </c>
      <c r="P146" s="1209">
        <f t="shared" si="95"/>
        <v>39.130434782608695</v>
      </c>
      <c r="Q146" s="1209">
        <f t="shared" si="95"/>
        <v>39.130434782608695</v>
      </c>
      <c r="R146" s="1209">
        <f t="shared" si="95"/>
        <v>39.130434782608695</v>
      </c>
      <c r="S146" s="1209">
        <f t="shared" si="95"/>
        <v>39.130434782608695</v>
      </c>
      <c r="T146" s="1209">
        <f t="shared" si="95"/>
        <v>39.130434782608695</v>
      </c>
    </row>
    <row r="147" spans="1:53" ht="11.25" hidden="1" customHeight="1" outlineLevel="1">
      <c r="A147" s="1055"/>
      <c r="B147" s="1212" t="s">
        <v>820</v>
      </c>
      <c r="C147" s="1213">
        <f t="shared" ref="C147:J147" si="96">C126*$F$160*$G$160</f>
        <v>17.391304347826086</v>
      </c>
      <c r="D147" s="1213">
        <f t="shared" si="96"/>
        <v>17.391304347826086</v>
      </c>
      <c r="E147" s="1213">
        <f t="shared" si="96"/>
        <v>17.391304347826086</v>
      </c>
      <c r="F147" s="1213">
        <f t="shared" si="96"/>
        <v>17.391304347826086</v>
      </c>
      <c r="G147" s="1213">
        <f t="shared" si="96"/>
        <v>17.391304347826086</v>
      </c>
      <c r="H147" s="1213">
        <f t="shared" si="96"/>
        <v>17.391304347826086</v>
      </c>
      <c r="I147" s="1213">
        <f t="shared" si="96"/>
        <v>17.391304347826086</v>
      </c>
      <c r="J147" s="1213">
        <f t="shared" si="96"/>
        <v>17.391304347826086</v>
      </c>
      <c r="K147" s="1214">
        <f t="shared" ref="K147:T147" si="97">K126*$F$160*$G$160</f>
        <v>17.391304347826086</v>
      </c>
      <c r="L147" s="1213">
        <f t="shared" si="97"/>
        <v>17.391304347826086</v>
      </c>
      <c r="M147" s="1213">
        <f t="shared" si="97"/>
        <v>17.391304347826086</v>
      </c>
      <c r="N147" s="1213">
        <f t="shared" si="97"/>
        <v>17.391304347826086</v>
      </c>
      <c r="O147" s="1215">
        <f t="shared" si="97"/>
        <v>17.391304347826086</v>
      </c>
      <c r="P147" s="1213">
        <f t="shared" si="97"/>
        <v>17.391304347826086</v>
      </c>
      <c r="Q147" s="1213">
        <f t="shared" si="97"/>
        <v>17.391304347826086</v>
      </c>
      <c r="R147" s="1213">
        <f t="shared" si="97"/>
        <v>17.391304347826086</v>
      </c>
      <c r="S147" s="1213">
        <f t="shared" si="97"/>
        <v>17.391304347826086</v>
      </c>
      <c r="T147" s="1213">
        <f t="shared" si="97"/>
        <v>17.391304347826086</v>
      </c>
    </row>
    <row r="148" spans="1:53" ht="11.25" hidden="1" customHeight="1" outlineLevel="1">
      <c r="A148" s="1055"/>
      <c r="B148" s="1212" t="s">
        <v>821</v>
      </c>
      <c r="C148" s="1213">
        <f t="shared" ref="C148:J148" si="98">C127*$F$163*$G$163</f>
        <v>17.391304347826086</v>
      </c>
      <c r="D148" s="1213">
        <f t="shared" si="98"/>
        <v>17.391304347826086</v>
      </c>
      <c r="E148" s="1213">
        <f t="shared" si="98"/>
        <v>17.391304347826086</v>
      </c>
      <c r="F148" s="1213">
        <f t="shared" si="98"/>
        <v>17.391304347826086</v>
      </c>
      <c r="G148" s="1213">
        <f t="shared" si="98"/>
        <v>17.391304347826086</v>
      </c>
      <c r="H148" s="1213">
        <f t="shared" si="98"/>
        <v>17.391304347826086</v>
      </c>
      <c r="I148" s="1213">
        <f t="shared" si="98"/>
        <v>17.391304347826086</v>
      </c>
      <c r="J148" s="1213">
        <f t="shared" si="98"/>
        <v>17.391304347826086</v>
      </c>
      <c r="K148" s="1214">
        <f t="shared" ref="K148:T148" si="99">K127*$F$163*$G$163</f>
        <v>17.391304347826086</v>
      </c>
      <c r="L148" s="1213">
        <f t="shared" si="99"/>
        <v>17.391304347826086</v>
      </c>
      <c r="M148" s="1213">
        <f t="shared" si="99"/>
        <v>17.391304347826086</v>
      </c>
      <c r="N148" s="1213">
        <f t="shared" si="99"/>
        <v>17.391304347826086</v>
      </c>
      <c r="O148" s="1215">
        <f t="shared" si="99"/>
        <v>17.391304347826086</v>
      </c>
      <c r="P148" s="1213">
        <f t="shared" si="99"/>
        <v>17.391304347826086</v>
      </c>
      <c r="Q148" s="1213">
        <f t="shared" si="99"/>
        <v>17.391304347826086</v>
      </c>
      <c r="R148" s="1213">
        <f t="shared" si="99"/>
        <v>17.391304347826086</v>
      </c>
      <c r="S148" s="1213">
        <f t="shared" si="99"/>
        <v>17.391304347826086</v>
      </c>
      <c r="T148" s="1213">
        <f t="shared" si="99"/>
        <v>17.391304347826086</v>
      </c>
    </row>
    <row r="149" spans="1:53" ht="11.25" hidden="1" customHeight="1" outlineLevel="1">
      <c r="A149" s="1055"/>
      <c r="B149" s="1202" t="s">
        <v>822</v>
      </c>
      <c r="C149" s="1216">
        <f t="shared" ref="C149:J149" si="100">C128*$F$166*$G$166</f>
        <v>26.086956521739133</v>
      </c>
      <c r="D149" s="1216">
        <f t="shared" si="100"/>
        <v>26.086956521739133</v>
      </c>
      <c r="E149" s="1216">
        <f t="shared" si="100"/>
        <v>26.086956521739133</v>
      </c>
      <c r="F149" s="1216">
        <f t="shared" si="100"/>
        <v>26.086956521739133</v>
      </c>
      <c r="G149" s="1216">
        <f t="shared" si="100"/>
        <v>26.086956521739133</v>
      </c>
      <c r="H149" s="1216">
        <f t="shared" si="100"/>
        <v>26.086956521739133</v>
      </c>
      <c r="I149" s="1216">
        <f t="shared" si="100"/>
        <v>26.086956521739133</v>
      </c>
      <c r="J149" s="1216">
        <f t="shared" si="100"/>
        <v>26.086956521739133</v>
      </c>
      <c r="K149" s="1217">
        <f t="shared" ref="K149:T149" si="101">K128*$F$166*$G$166</f>
        <v>26.086956521739133</v>
      </c>
      <c r="L149" s="1216">
        <f t="shared" si="101"/>
        <v>26.086956521739133</v>
      </c>
      <c r="M149" s="1216">
        <f t="shared" si="101"/>
        <v>26.086956521739133</v>
      </c>
      <c r="N149" s="1216">
        <f t="shared" si="101"/>
        <v>26.086956521739133</v>
      </c>
      <c r="O149" s="1218">
        <f t="shared" si="101"/>
        <v>26.086956521739133</v>
      </c>
      <c r="P149" s="1216">
        <f t="shared" si="101"/>
        <v>26.086956521739133</v>
      </c>
      <c r="Q149" s="1216">
        <f t="shared" si="101"/>
        <v>26.086956521739133</v>
      </c>
      <c r="R149" s="1216">
        <f t="shared" si="101"/>
        <v>26.086956521739133</v>
      </c>
      <c r="S149" s="1216">
        <f t="shared" si="101"/>
        <v>26.086956521739133</v>
      </c>
      <c r="T149" s="1216">
        <f t="shared" si="101"/>
        <v>26.086956521739133</v>
      </c>
    </row>
    <row r="150" spans="1:53" ht="11.25" hidden="1" customHeight="1" outlineLevel="1">
      <c r="A150" s="1055"/>
      <c r="B150" s="1219" t="s">
        <v>690</v>
      </c>
      <c r="C150" s="1204">
        <f t="shared" ref="C150:J150" si="102">SUM(C146:C149)</f>
        <v>100</v>
      </c>
      <c r="D150" s="1204">
        <f t="shared" si="102"/>
        <v>100</v>
      </c>
      <c r="E150" s="1204">
        <f t="shared" si="102"/>
        <v>100</v>
      </c>
      <c r="F150" s="1204">
        <f t="shared" si="102"/>
        <v>100</v>
      </c>
      <c r="G150" s="1204">
        <f t="shared" si="102"/>
        <v>100</v>
      </c>
      <c r="H150" s="1204">
        <f t="shared" si="102"/>
        <v>100</v>
      </c>
      <c r="I150" s="1204">
        <f t="shared" si="102"/>
        <v>100</v>
      </c>
      <c r="J150" s="1204">
        <f t="shared" si="102"/>
        <v>100</v>
      </c>
      <c r="K150" s="1205">
        <f t="shared" ref="K150:T150" si="103">SUM(K146:K149)</f>
        <v>100</v>
      </c>
      <c r="L150" s="1204">
        <f t="shared" si="103"/>
        <v>100</v>
      </c>
      <c r="M150" s="1204">
        <f t="shared" si="103"/>
        <v>100</v>
      </c>
      <c r="N150" s="1204">
        <f t="shared" si="103"/>
        <v>100</v>
      </c>
      <c r="O150" s="1206">
        <f t="shared" si="103"/>
        <v>100</v>
      </c>
      <c r="P150" s="1204">
        <f t="shared" si="103"/>
        <v>100</v>
      </c>
      <c r="Q150" s="1204">
        <f t="shared" si="103"/>
        <v>100</v>
      </c>
      <c r="R150" s="1204">
        <f t="shared" si="103"/>
        <v>100</v>
      </c>
      <c r="S150" s="1204">
        <f t="shared" si="103"/>
        <v>100</v>
      </c>
      <c r="T150" s="1204">
        <f t="shared" si="103"/>
        <v>100</v>
      </c>
    </row>
    <row r="151" spans="1:53" s="1100" customFormat="1" ht="11.25" hidden="1" customHeight="1" outlineLevel="1">
      <c r="A151" s="1106"/>
      <c r="B151" s="1220" t="s">
        <v>826</v>
      </c>
      <c r="C151" s="1107">
        <f t="shared" ref="C151:J151" si="104">IF(C150=0,0,C150/C129)</f>
        <v>0.5</v>
      </c>
      <c r="D151" s="1107">
        <f t="shared" si="104"/>
        <v>0.5</v>
      </c>
      <c r="E151" s="1107">
        <f t="shared" si="104"/>
        <v>0.5</v>
      </c>
      <c r="F151" s="1107">
        <f t="shared" si="104"/>
        <v>0.5</v>
      </c>
      <c r="G151" s="1107">
        <f t="shared" si="104"/>
        <v>0.5</v>
      </c>
      <c r="H151" s="1107">
        <f t="shared" si="104"/>
        <v>0.5</v>
      </c>
      <c r="I151" s="1107">
        <f t="shared" si="104"/>
        <v>0.5</v>
      </c>
      <c r="J151" s="1107">
        <f t="shared" si="104"/>
        <v>0.5</v>
      </c>
      <c r="K151" s="1221">
        <f t="shared" ref="K151:T151" si="105">IF(K150=0,0,K150/K129)</f>
        <v>0.5</v>
      </c>
      <c r="L151" s="1107">
        <f t="shared" si="105"/>
        <v>0.5</v>
      </c>
      <c r="M151" s="1107">
        <f t="shared" si="105"/>
        <v>0.5</v>
      </c>
      <c r="N151" s="1107">
        <f t="shared" si="105"/>
        <v>0.5</v>
      </c>
      <c r="O151" s="1222">
        <f t="shared" si="105"/>
        <v>0.5</v>
      </c>
      <c r="P151" s="1107">
        <f t="shared" si="105"/>
        <v>0.5</v>
      </c>
      <c r="Q151" s="1107">
        <f t="shared" si="105"/>
        <v>0.5</v>
      </c>
      <c r="R151" s="1107">
        <f t="shared" si="105"/>
        <v>0.5</v>
      </c>
      <c r="S151" s="1107">
        <f t="shared" si="105"/>
        <v>0.5</v>
      </c>
      <c r="T151" s="1107">
        <f t="shared" si="105"/>
        <v>0.5</v>
      </c>
      <c r="AH151" s="1101"/>
      <c r="AI151" s="1101"/>
      <c r="AJ151" s="1101"/>
      <c r="AK151" s="1101"/>
      <c r="AL151" s="1101"/>
      <c r="AM151" s="1101"/>
      <c r="AN151" s="1101"/>
      <c r="AO151" s="1101"/>
      <c r="AP151" s="1101"/>
      <c r="AQ151" s="1101"/>
      <c r="AR151" s="1101"/>
      <c r="AS151" s="1101"/>
      <c r="AT151" s="1101"/>
      <c r="AU151" s="1101"/>
      <c r="AV151" s="1101"/>
      <c r="AW151" s="1101"/>
      <c r="AX151" s="1101"/>
      <c r="AY151" s="1101"/>
      <c r="AZ151" s="1101"/>
      <c r="BA151" s="1104"/>
    </row>
    <row r="152" spans="1:53" ht="11.25" hidden="1" customHeight="1" outlineLevel="1">
      <c r="A152" s="1055"/>
      <c r="B152" s="1055"/>
      <c r="C152" s="1223"/>
      <c r="D152" s="1223"/>
      <c r="E152" s="1223"/>
      <c r="F152" s="1223"/>
      <c r="G152" s="1223"/>
      <c r="H152" s="1223"/>
      <c r="I152" s="1223"/>
      <c r="J152" s="1223"/>
    </row>
    <row r="153" spans="1:53" ht="11.25" hidden="1" customHeight="1" outlineLevel="1">
      <c r="A153" s="1176" t="s">
        <v>827</v>
      </c>
      <c r="B153" s="1055"/>
    </row>
    <row r="154" spans="1:53" ht="11.25" hidden="1" customHeight="1" outlineLevel="1">
      <c r="A154" s="1055"/>
      <c r="B154" s="1224" t="s">
        <v>828</v>
      </c>
      <c r="C154" s="1225" t="s">
        <v>829</v>
      </c>
      <c r="D154" s="1225" t="s">
        <v>830</v>
      </c>
      <c r="E154" s="1225" t="s">
        <v>831</v>
      </c>
      <c r="F154" s="1225" t="s">
        <v>832</v>
      </c>
      <c r="G154" s="1225" t="s">
        <v>833</v>
      </c>
      <c r="H154" s="1872"/>
      <c r="I154" s="1872"/>
      <c r="J154" s="1872"/>
      <c r="K154" s="1226"/>
      <c r="L154" s="1227"/>
      <c r="M154" s="1227"/>
      <c r="N154" s="1227"/>
      <c r="Q154" s="1227"/>
      <c r="R154" s="1227"/>
    </row>
    <row r="155" spans="1:53" ht="11.25" hidden="1" customHeight="1" outlineLevel="1">
      <c r="A155" s="1055"/>
      <c r="B155" s="1052" t="s">
        <v>420</v>
      </c>
      <c r="C155" s="1228"/>
      <c r="D155" s="1228"/>
      <c r="E155" s="1229">
        <f t="shared" ref="E155:E166" si="106">D155*C155</f>
        <v>0</v>
      </c>
      <c r="F155" s="1229"/>
      <c r="G155" s="1229"/>
      <c r="H155" s="1229"/>
      <c r="I155" s="1229"/>
      <c r="J155" s="1229"/>
      <c r="K155" s="1229"/>
      <c r="L155" s="1201"/>
      <c r="M155" s="1201"/>
      <c r="N155" s="1201"/>
      <c r="Q155" s="1201"/>
      <c r="R155" s="1201"/>
    </row>
    <row r="156" spans="1:53" ht="11.25" hidden="1" customHeight="1" outlineLevel="1">
      <c r="A156" s="1055"/>
      <c r="B156" s="1052" t="s">
        <v>421</v>
      </c>
      <c r="C156" s="1228"/>
      <c r="D156" s="1228"/>
      <c r="E156" s="1229">
        <f t="shared" si="106"/>
        <v>0</v>
      </c>
      <c r="F156" s="1229"/>
      <c r="G156" s="1229"/>
      <c r="H156" s="1229"/>
      <c r="I156" s="1229"/>
      <c r="J156" s="1229"/>
      <c r="K156" s="1229"/>
      <c r="L156" s="1201"/>
      <c r="M156" s="1201"/>
      <c r="N156" s="1201"/>
      <c r="Q156" s="1201"/>
      <c r="R156" s="1201"/>
    </row>
    <row r="157" spans="1:53" ht="11.25" hidden="1" customHeight="1" outlineLevel="1">
      <c r="A157" s="1055"/>
      <c r="B157" s="1230" t="s">
        <v>422</v>
      </c>
      <c r="C157" s="1231"/>
      <c r="D157" s="1231"/>
      <c r="E157" s="1232">
        <f t="shared" si="106"/>
        <v>0</v>
      </c>
      <c r="F157" s="1231">
        <v>1</v>
      </c>
      <c r="G157" s="1231">
        <v>0.5</v>
      </c>
      <c r="H157" s="1228"/>
      <c r="I157" s="1228"/>
      <c r="J157" s="1228"/>
      <c r="L157" s="1238" t="s">
        <v>838</v>
      </c>
      <c r="M157" s="1238"/>
      <c r="N157" s="1238"/>
      <c r="O157" s="1173"/>
      <c r="P157" s="1173"/>
      <c r="Q157" s="1201"/>
      <c r="R157" s="1201"/>
    </row>
    <row r="158" spans="1:53" ht="11.25" hidden="1" customHeight="1" outlineLevel="1">
      <c r="A158" s="1055"/>
      <c r="B158" s="1052" t="s">
        <v>424</v>
      </c>
      <c r="C158" s="1228"/>
      <c r="D158" s="1228"/>
      <c r="E158" s="1229">
        <f t="shared" si="106"/>
        <v>0</v>
      </c>
      <c r="F158" s="1229"/>
      <c r="G158" s="1233"/>
      <c r="H158" s="1233"/>
      <c r="I158" s="1233"/>
      <c r="J158" s="1233"/>
      <c r="K158" s="1229"/>
      <c r="L158" s="1201"/>
      <c r="M158" s="1201"/>
      <c r="N158" s="1201"/>
      <c r="Q158" s="1201"/>
      <c r="R158" s="1201"/>
    </row>
    <row r="159" spans="1:53" ht="11.25" hidden="1" customHeight="1" outlineLevel="1">
      <c r="A159" s="1055"/>
      <c r="B159" s="1052" t="s">
        <v>426</v>
      </c>
      <c r="C159" s="1228"/>
      <c r="D159" s="1228"/>
      <c r="E159" s="1229">
        <f t="shared" si="106"/>
        <v>0</v>
      </c>
      <c r="F159" s="1229"/>
      <c r="G159" s="1233"/>
      <c r="H159" s="1233"/>
      <c r="I159" s="1233"/>
      <c r="J159" s="1233"/>
      <c r="K159" s="1229"/>
      <c r="L159" s="1201"/>
      <c r="M159" s="1201"/>
      <c r="N159" s="1201"/>
      <c r="Q159" s="1201"/>
      <c r="R159" s="1201"/>
    </row>
    <row r="160" spans="1:53" ht="11.25" hidden="1" customHeight="1" outlineLevel="1">
      <c r="A160" s="1055"/>
      <c r="B160" s="1230" t="s">
        <v>417</v>
      </c>
      <c r="C160" s="1231"/>
      <c r="D160" s="1231"/>
      <c r="E160" s="1232">
        <f t="shared" si="106"/>
        <v>0</v>
      </c>
      <c r="F160" s="1231">
        <v>1</v>
      </c>
      <c r="G160" s="1231">
        <v>0.5</v>
      </c>
      <c r="H160" s="1228"/>
      <c r="I160" s="1228"/>
      <c r="J160" s="1228"/>
      <c r="K160" s="1229"/>
      <c r="L160" s="1201"/>
      <c r="M160" s="1201"/>
      <c r="N160" s="1201"/>
      <c r="Q160" s="1201"/>
      <c r="R160" s="1201"/>
    </row>
    <row r="161" spans="1:18" ht="11.25" hidden="1" customHeight="1" outlineLevel="1">
      <c r="A161" s="1055"/>
      <c r="B161" s="1052" t="s">
        <v>429</v>
      </c>
      <c r="C161" s="1228"/>
      <c r="D161" s="1228"/>
      <c r="E161" s="1229">
        <f t="shared" si="106"/>
        <v>0</v>
      </c>
      <c r="F161" s="1229"/>
      <c r="G161" s="1233"/>
      <c r="H161" s="1233"/>
      <c r="I161" s="1233"/>
      <c r="J161" s="1233"/>
      <c r="K161" s="1229"/>
      <c r="L161" s="1201"/>
      <c r="M161" s="1201"/>
      <c r="N161" s="1201"/>
      <c r="Q161" s="1201"/>
      <c r="R161" s="1201"/>
    </row>
    <row r="162" spans="1:18" ht="11.25" hidden="1" customHeight="1" outlineLevel="1">
      <c r="A162" s="1055"/>
      <c r="B162" s="1052" t="s">
        <v>431</v>
      </c>
      <c r="C162" s="1228"/>
      <c r="D162" s="1228"/>
      <c r="E162" s="1229">
        <f t="shared" si="106"/>
        <v>0</v>
      </c>
      <c r="F162" s="1229"/>
      <c r="G162" s="1233"/>
      <c r="H162" s="1233"/>
      <c r="I162" s="1233"/>
      <c r="J162" s="1233"/>
      <c r="K162" s="1229"/>
      <c r="L162" s="1201"/>
      <c r="M162" s="1201"/>
      <c r="N162" s="1201"/>
      <c r="Q162" s="1201"/>
      <c r="R162" s="1201"/>
    </row>
    <row r="163" spans="1:18" ht="11.25" hidden="1" customHeight="1" outlineLevel="1">
      <c r="A163" s="1055"/>
      <c r="B163" s="1230" t="s">
        <v>433</v>
      </c>
      <c r="C163" s="1231"/>
      <c r="D163" s="1231"/>
      <c r="E163" s="1232">
        <f t="shared" si="106"/>
        <v>0</v>
      </c>
      <c r="F163" s="1231">
        <v>1</v>
      </c>
      <c r="G163" s="1231">
        <v>0.5</v>
      </c>
      <c r="H163" s="1228"/>
      <c r="I163" s="1228"/>
      <c r="J163" s="1228"/>
      <c r="K163" s="1229"/>
      <c r="L163" s="1201"/>
      <c r="M163" s="1201"/>
      <c r="N163" s="1201"/>
      <c r="Q163" s="1201"/>
      <c r="R163" s="1201"/>
    </row>
    <row r="164" spans="1:18" ht="11.25" hidden="1" customHeight="1" outlineLevel="1">
      <c r="A164" s="1055"/>
      <c r="B164" s="1052" t="s">
        <v>434</v>
      </c>
      <c r="C164" s="1228"/>
      <c r="D164" s="1228"/>
      <c r="E164" s="1229">
        <f t="shared" si="106"/>
        <v>0</v>
      </c>
      <c r="F164" s="1229"/>
      <c r="G164" s="1233"/>
      <c r="H164" s="1233"/>
      <c r="I164" s="1233"/>
      <c r="J164" s="1233"/>
      <c r="K164" s="1229"/>
      <c r="L164" s="1201"/>
      <c r="M164" s="1201"/>
      <c r="N164" s="1201"/>
      <c r="Q164" s="1201"/>
      <c r="R164" s="1201"/>
    </row>
    <row r="165" spans="1:18" ht="11.25" hidden="1" customHeight="1" outlineLevel="1">
      <c r="A165" s="1055"/>
      <c r="B165" s="1052" t="s">
        <v>435</v>
      </c>
      <c r="C165" s="1228"/>
      <c r="D165" s="1228"/>
      <c r="E165" s="1229">
        <f t="shared" si="106"/>
        <v>0</v>
      </c>
      <c r="F165" s="1229"/>
      <c r="G165" s="1233"/>
      <c r="H165" s="1233"/>
      <c r="I165" s="1233"/>
      <c r="J165" s="1233"/>
      <c r="K165" s="1229"/>
      <c r="L165" s="1201"/>
      <c r="M165" s="1201"/>
      <c r="N165" s="1201"/>
      <c r="Q165" s="1201"/>
      <c r="R165" s="1201"/>
    </row>
    <row r="166" spans="1:18" ht="11.25" hidden="1" customHeight="1" outlineLevel="1">
      <c r="A166" s="1055"/>
      <c r="B166" s="1230" t="s">
        <v>436</v>
      </c>
      <c r="C166" s="1231"/>
      <c r="D166" s="1231"/>
      <c r="E166" s="1232">
        <f t="shared" si="106"/>
        <v>0</v>
      </c>
      <c r="F166" s="1231">
        <v>1</v>
      </c>
      <c r="G166" s="1231">
        <v>0.5</v>
      </c>
      <c r="H166" s="1228"/>
      <c r="I166" s="1228"/>
      <c r="J166" s="1228"/>
      <c r="K166" s="1229"/>
      <c r="L166" s="1201"/>
      <c r="M166" s="1201"/>
      <c r="N166" s="1201"/>
      <c r="Q166" s="1201"/>
      <c r="R166" s="1201"/>
    </row>
    <row r="167" spans="1:18" ht="11.25" hidden="1" customHeight="1" outlineLevel="1">
      <c r="A167" s="1055"/>
      <c r="B167" s="1055"/>
      <c r="C167" s="1056"/>
      <c r="D167" s="1056"/>
      <c r="E167" s="1056"/>
      <c r="F167" s="1056"/>
      <c r="G167" s="1056"/>
      <c r="H167" s="1056"/>
      <c r="I167" s="1056"/>
      <c r="J167" s="1056"/>
      <c r="K167" s="1229"/>
      <c r="L167" s="1234"/>
      <c r="M167" s="1234"/>
      <c r="N167" s="1234"/>
      <c r="Q167" s="1234"/>
      <c r="R167" s="1234"/>
    </row>
    <row r="168" spans="1:18" ht="11.25" hidden="1" customHeight="1" outlineLevel="1">
      <c r="A168" s="1055"/>
      <c r="B168" s="1055" t="s">
        <v>834</v>
      </c>
      <c r="C168" s="1055"/>
      <c r="L168" s="1055"/>
      <c r="M168" s="1055"/>
    </row>
    <row r="169" spans="1:18" ht="11.25" hidden="1" customHeight="1" outlineLevel="1">
      <c r="A169" s="1055"/>
      <c r="B169" s="1055" t="s">
        <v>835</v>
      </c>
      <c r="C169" s="1055"/>
      <c r="L169" s="1055"/>
      <c r="M169" s="1055"/>
    </row>
    <row r="170" spans="1:18" ht="11.25" hidden="1" customHeight="1" outlineLevel="1">
      <c r="A170" s="1055"/>
      <c r="B170" s="1055" t="s">
        <v>836</v>
      </c>
      <c r="L170" s="1055"/>
      <c r="M170" s="1055"/>
    </row>
    <row r="171" spans="1:18">
      <c r="A171" s="1055"/>
    </row>
    <row r="173" spans="1:18">
      <c r="N173" s="1235"/>
      <c r="O173" s="1235"/>
      <c r="P173" s="1235"/>
      <c r="Q173" s="1235"/>
      <c r="R173" s="1235"/>
    </row>
  </sheetData>
  <sheetProtection algorithmName="SHA-512" hashValue="ZsN4FOC8gdanCNjO70sRFo+JEwIzXc8zLUPRBl4ucxKqsytzOCy7ynv7Mi3yUqAg/rFAPzT1PZlJsaOaAZRBGw==" saltValue="Sj7eO923Ne39MAiz9AHoUA==" spinCount="100000" sheet="1" objects="1" scenarios="1"/>
  <mergeCells count="2">
    <mergeCell ref="A2:T2"/>
    <mergeCell ref="K5:O5"/>
  </mergeCells>
  <dataValidations count="1">
    <dataValidation type="list" allowBlank="1" showInputMessage="1" showErrorMessage="1" sqref="B4" xr:uid="{00000000-0002-0000-1700-000000000000}">
      <formula1>$B$5:$B$6</formula1>
    </dataValidation>
  </dataValidations>
  <pageMargins left="0.7" right="0.7" top="0.75" bottom="0.75" header="0.3" footer="0.3"/>
  <pageSetup paperSize="9" orientation="portrait" r:id="rId1"/>
  <headerFooter>
    <oddHeader>&amp;C&amp;"Calibri"&amp;12&amp;KFF0000 OFFICIAL&amp;1#_x000D_&amp;"Arial"&amp;8&amp;K000000&amp;B&amp;"Arial"&amp;12&amp;Kff0000​‌OFFICIAL‌​</oddHeader>
  </headerFooter>
  <ignoredErrors>
    <ignoredError sqref="K9:T9" unlockedFormula="1"/>
  </ignoredError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pageSetUpPr autoPageBreaks="0"/>
  </sheetPr>
  <dimension ref="B1:AG45"/>
  <sheetViews>
    <sheetView showGridLines="0" workbookViewId="0">
      <pane xSplit="10" ySplit="7" topLeftCell="K8" activePane="bottomRight" state="frozen"/>
      <selection activeCell="D35" activeCellId="1" sqref="K9 D35"/>
      <selection pane="topRight" activeCell="D35" activeCellId="1" sqref="K9 D35"/>
      <selection pane="bottomLeft" activeCell="D35" activeCellId="1" sqref="K9 D35"/>
      <selection pane="bottomRight" activeCell="Q19" sqref="Q19"/>
    </sheetView>
  </sheetViews>
  <sheetFormatPr defaultColWidth="9.33203125" defaultRowHeight="12"/>
  <cols>
    <col min="1" max="1" width="2.6640625" style="70" customWidth="1"/>
    <col min="2" max="2" width="8" style="70" customWidth="1"/>
    <col min="3" max="3" width="34.33203125" style="70" customWidth="1"/>
    <col min="4" max="5" width="9.33203125" style="70"/>
    <col min="6" max="6" width="2.83203125" style="70" customWidth="1"/>
    <col min="7" max="7" width="20.33203125" style="70" bestFit="1" customWidth="1"/>
    <col min="8" max="8" width="2.83203125" style="70" customWidth="1"/>
    <col min="9" max="9" width="20.33203125" style="70" bestFit="1" customWidth="1"/>
    <col min="10" max="10" width="2.83203125" style="70" customWidth="1"/>
    <col min="11" max="23" width="9.33203125" style="70"/>
    <col min="24" max="33" width="11.33203125" style="70" customWidth="1"/>
    <col min="34" max="16384" width="9.33203125" style="70"/>
  </cols>
  <sheetData>
    <row r="1" spans="2:33" ht="15">
      <c r="B1" s="153" t="s">
        <v>622</v>
      </c>
    </row>
    <row r="2" spans="2:33" ht="12.75">
      <c r="B2" s="155" t="str">
        <f>+Contents!H7</f>
        <v>North East Water</v>
      </c>
    </row>
    <row r="3" spans="2:33">
      <c r="B3" s="2212" t="s">
        <v>0</v>
      </c>
      <c r="C3" s="2212"/>
      <c r="D3" s="2212"/>
      <c r="E3" s="2212"/>
      <c r="F3" s="2212"/>
    </row>
    <row r="4" spans="2:33">
      <c r="K4" s="63"/>
      <c r="L4" s="149"/>
      <c r="M4" s="149" t="s">
        <v>274</v>
      </c>
      <c r="N4" s="149"/>
      <c r="O4" s="149"/>
      <c r="P4" s="1619"/>
      <c r="Q4" s="150"/>
      <c r="R4" s="150"/>
      <c r="S4" s="150"/>
      <c r="T4" s="1619" t="s">
        <v>334</v>
      </c>
      <c r="U4" s="150"/>
      <c r="V4" s="150"/>
      <c r="W4" s="150"/>
      <c r="X4" s="1619"/>
      <c r="Y4" s="150"/>
      <c r="Z4" s="150" t="s">
        <v>465</v>
      </c>
      <c r="AA4" s="150"/>
      <c r="AB4" s="62"/>
      <c r="AC4" s="64"/>
      <c r="AD4" s="64"/>
      <c r="AE4" s="150" t="s">
        <v>949</v>
      </c>
      <c r="AF4" s="63"/>
      <c r="AG4" s="62"/>
    </row>
    <row r="6" spans="2:33">
      <c r="I6" s="66">
        <v>2014</v>
      </c>
      <c r="J6" s="66">
        <v>2015</v>
      </c>
      <c r="K6" s="66">
        <v>2016</v>
      </c>
      <c r="L6" s="66">
        <v>2017</v>
      </c>
      <c r="M6" s="66">
        <v>2018</v>
      </c>
      <c r="N6" s="66">
        <v>2019</v>
      </c>
      <c r="O6" s="66">
        <v>2020</v>
      </c>
      <c r="P6" s="66">
        <v>2021</v>
      </c>
      <c r="Q6" s="66">
        <v>2022</v>
      </c>
      <c r="R6" s="66">
        <v>2023</v>
      </c>
      <c r="S6" s="67">
        <v>2024</v>
      </c>
      <c r="T6" s="67">
        <v>2025</v>
      </c>
      <c r="U6" s="67">
        <v>2026</v>
      </c>
      <c r="V6" s="67">
        <v>2027</v>
      </c>
      <c r="W6" s="67">
        <v>2028</v>
      </c>
      <c r="X6" s="67">
        <f>W6+1</f>
        <v>2029</v>
      </c>
      <c r="Y6" s="67">
        <f>X6+1</f>
        <v>2030</v>
      </c>
      <c r="Z6" s="67">
        <f t="shared" ref="Z6:AG6" si="0">Y6+1</f>
        <v>2031</v>
      </c>
      <c r="AA6" s="67">
        <f t="shared" si="0"/>
        <v>2032</v>
      </c>
      <c r="AB6" s="67">
        <f t="shared" si="0"/>
        <v>2033</v>
      </c>
      <c r="AC6" s="67">
        <f t="shared" si="0"/>
        <v>2034</v>
      </c>
      <c r="AD6" s="67">
        <f t="shared" si="0"/>
        <v>2035</v>
      </c>
      <c r="AE6" s="67">
        <f t="shared" si="0"/>
        <v>2036</v>
      </c>
      <c r="AF6" s="67">
        <f t="shared" si="0"/>
        <v>2037</v>
      </c>
      <c r="AG6" s="67">
        <f t="shared" si="0"/>
        <v>2038</v>
      </c>
    </row>
    <row r="7" spans="2:33" s="75" customFormat="1">
      <c r="I7" s="70"/>
      <c r="J7" s="70"/>
      <c r="K7" s="342" t="str">
        <f t="shared" ref="K7:X7" si="1">+CONCATENATE(I6-1,"-",RIGHT(I6,2))</f>
        <v>2013-14</v>
      </c>
      <c r="L7" s="342" t="str">
        <f t="shared" si="1"/>
        <v>2014-15</v>
      </c>
      <c r="M7" s="342" t="str">
        <f t="shared" si="1"/>
        <v>2015-16</v>
      </c>
      <c r="N7" s="342" t="str">
        <f t="shared" si="1"/>
        <v>2016-17</v>
      </c>
      <c r="O7" s="342" t="str">
        <f t="shared" si="1"/>
        <v>2017-18</v>
      </c>
      <c r="P7" s="342" t="str">
        <f t="shared" si="1"/>
        <v>2018-19</v>
      </c>
      <c r="Q7" s="342" t="str">
        <f t="shared" si="1"/>
        <v>2019-20</v>
      </c>
      <c r="R7" s="342" t="str">
        <f t="shared" si="1"/>
        <v>2020-21</v>
      </c>
      <c r="S7" s="342" t="str">
        <f t="shared" si="1"/>
        <v>2021-22</v>
      </c>
      <c r="T7" s="342" t="str">
        <f t="shared" si="1"/>
        <v>2022-23</v>
      </c>
      <c r="U7" s="342" t="str">
        <f t="shared" si="1"/>
        <v>2023-24</v>
      </c>
      <c r="V7" s="342" t="str">
        <f t="shared" si="1"/>
        <v>2024-25</v>
      </c>
      <c r="W7" s="342" t="str">
        <f t="shared" si="1"/>
        <v>2025-26</v>
      </c>
      <c r="X7" s="342" t="str">
        <f t="shared" si="1"/>
        <v>2026-27</v>
      </c>
      <c r="Y7" s="342" t="str">
        <f t="shared" ref="Y7:AG7" si="2">+CONCATENATE(W6-1,"-",RIGHT(W6,2))</f>
        <v>2027-28</v>
      </c>
      <c r="Z7" s="342" t="str">
        <f t="shared" si="2"/>
        <v>2028-29</v>
      </c>
      <c r="AA7" s="342" t="str">
        <f t="shared" si="2"/>
        <v>2029-30</v>
      </c>
      <c r="AB7" s="342" t="str">
        <f t="shared" si="2"/>
        <v>2030-31</v>
      </c>
      <c r="AC7" s="342" t="str">
        <f t="shared" si="2"/>
        <v>2031-32</v>
      </c>
      <c r="AD7" s="342" t="str">
        <f t="shared" si="2"/>
        <v>2032-33</v>
      </c>
      <c r="AE7" s="342" t="str">
        <f t="shared" si="2"/>
        <v>2033-34</v>
      </c>
      <c r="AF7" s="342" t="str">
        <f t="shared" si="2"/>
        <v>2034-35</v>
      </c>
      <c r="AG7" s="342" t="str">
        <f t="shared" si="2"/>
        <v>2035-36</v>
      </c>
    </row>
    <row r="10" spans="2:33">
      <c r="G10" s="2304" t="s">
        <v>647</v>
      </c>
      <c r="H10" s="2305"/>
      <c r="I10" s="2306"/>
      <c r="K10" s="2304" t="s">
        <v>625</v>
      </c>
      <c r="L10" s="2305"/>
      <c r="M10" s="2305"/>
      <c r="N10" s="2305"/>
      <c r="O10" s="2305"/>
      <c r="P10" s="2305"/>
      <c r="Q10" s="2305"/>
      <c r="R10" s="2305"/>
      <c r="S10" s="2305"/>
      <c r="T10" s="2305"/>
      <c r="U10" s="2305"/>
      <c r="V10" s="2306"/>
      <c r="W10" s="2304" t="s">
        <v>626</v>
      </c>
      <c r="X10" s="2305"/>
      <c r="Y10" s="2305"/>
      <c r="Z10" s="2305"/>
      <c r="AA10" s="2305"/>
      <c r="AB10" s="2305"/>
      <c r="AC10" s="2305"/>
      <c r="AD10" s="2305"/>
      <c r="AE10" s="2305"/>
      <c r="AF10" s="2305"/>
      <c r="AG10" s="2306"/>
    </row>
    <row r="12" spans="2:33">
      <c r="B12" s="950" t="s">
        <v>623</v>
      </c>
      <c r="G12" s="967" t="s">
        <v>649</v>
      </c>
      <c r="I12" s="967" t="s">
        <v>648</v>
      </c>
      <c r="K12" s="950" t="s">
        <v>624</v>
      </c>
    </row>
    <row r="13" spans="2:33">
      <c r="G13" s="968" t="s">
        <v>650</v>
      </c>
      <c r="I13" s="968" t="s">
        <v>650</v>
      </c>
    </row>
    <row r="14" spans="2:33">
      <c r="I14" s="969"/>
    </row>
    <row r="15" spans="2:33">
      <c r="B15" s="70" t="s">
        <v>627</v>
      </c>
      <c r="C15" s="954" t="s">
        <v>1231</v>
      </c>
      <c r="D15" s="327"/>
      <c r="E15" s="328"/>
      <c r="F15" s="4"/>
      <c r="G15" s="960">
        <v>50</v>
      </c>
      <c r="H15" s="4"/>
      <c r="I15" s="960">
        <v>65</v>
      </c>
      <c r="J15" s="4"/>
      <c r="K15" s="444"/>
      <c r="L15" s="445"/>
      <c r="M15" s="445"/>
      <c r="N15" s="444">
        <v>13</v>
      </c>
      <c r="O15" s="445"/>
      <c r="P15" s="445"/>
      <c r="Q15" s="445">
        <v>5</v>
      </c>
      <c r="R15" s="446"/>
      <c r="S15" s="445"/>
      <c r="T15" s="445"/>
      <c r="U15" s="445"/>
      <c r="V15" s="445"/>
      <c r="W15" s="445"/>
      <c r="X15" s="444"/>
      <c r="Y15" s="445"/>
      <c r="Z15" s="445"/>
      <c r="AA15" s="445"/>
      <c r="AB15" s="446"/>
      <c r="AC15" s="445"/>
      <c r="AD15" s="445"/>
      <c r="AE15" s="445"/>
      <c r="AF15" s="445"/>
      <c r="AG15" s="446"/>
    </row>
    <row r="16" spans="2:33">
      <c r="B16" s="70" t="s">
        <v>628</v>
      </c>
      <c r="C16" s="954" t="s">
        <v>1232</v>
      </c>
      <c r="D16" s="327"/>
      <c r="E16" s="328"/>
      <c r="F16" s="4"/>
      <c r="G16" s="960">
        <v>1000</v>
      </c>
      <c r="H16" s="4"/>
      <c r="I16" s="960">
        <v>1275</v>
      </c>
      <c r="J16" s="4"/>
      <c r="K16" s="450"/>
      <c r="L16" s="451"/>
      <c r="M16" s="451"/>
      <c r="N16" s="450"/>
      <c r="O16" s="451"/>
      <c r="P16" s="451"/>
      <c r="Q16" s="451">
        <v>1</v>
      </c>
      <c r="R16" s="452"/>
      <c r="S16" s="451">
        <v>1</v>
      </c>
      <c r="T16" s="451"/>
      <c r="U16" s="451">
        <v>1</v>
      </c>
      <c r="V16" s="451"/>
      <c r="W16" s="451"/>
      <c r="X16" s="450"/>
      <c r="Y16" s="451"/>
      <c r="Z16" s="451"/>
      <c r="AA16" s="451"/>
      <c r="AB16" s="452"/>
      <c r="AC16" s="451"/>
      <c r="AD16" s="451"/>
      <c r="AE16" s="451"/>
      <c r="AF16" s="451"/>
      <c r="AG16" s="452"/>
    </row>
    <row r="17" spans="2:33">
      <c r="B17" s="70" t="s">
        <v>629</v>
      </c>
      <c r="C17" s="954" t="s">
        <v>1233</v>
      </c>
      <c r="D17" s="327"/>
      <c r="E17" s="328"/>
      <c r="F17" s="4"/>
      <c r="G17" s="960">
        <v>300</v>
      </c>
      <c r="H17" s="4"/>
      <c r="I17" s="960">
        <v>385</v>
      </c>
      <c r="J17" s="4"/>
      <c r="K17" s="450"/>
      <c r="L17" s="451"/>
      <c r="M17" s="451"/>
      <c r="N17" s="450"/>
      <c r="O17" s="451"/>
      <c r="P17" s="451"/>
      <c r="Q17" s="451"/>
      <c r="R17" s="452"/>
      <c r="S17" s="451"/>
      <c r="T17" s="451"/>
      <c r="U17" s="451"/>
      <c r="V17" s="451"/>
      <c r="W17" s="451"/>
      <c r="X17" s="450"/>
      <c r="Y17" s="451"/>
      <c r="Z17" s="451"/>
      <c r="AA17" s="451"/>
      <c r="AB17" s="452"/>
      <c r="AC17" s="451"/>
      <c r="AD17" s="451"/>
      <c r="AE17" s="451"/>
      <c r="AF17" s="451"/>
      <c r="AG17" s="452"/>
    </row>
    <row r="18" spans="2:33">
      <c r="B18" s="70" t="s">
        <v>630</v>
      </c>
      <c r="C18" s="954" t="s">
        <v>1234</v>
      </c>
      <c r="D18" s="327"/>
      <c r="E18" s="328"/>
      <c r="F18" s="4"/>
      <c r="G18" s="960" t="s">
        <v>1235</v>
      </c>
      <c r="H18" s="4"/>
      <c r="I18" s="960">
        <v>5000</v>
      </c>
      <c r="J18" s="4"/>
      <c r="K18" s="450"/>
      <c r="L18" s="451"/>
      <c r="M18" s="451"/>
      <c r="N18" s="450"/>
      <c r="O18" s="451"/>
      <c r="P18" s="451"/>
      <c r="Q18" s="451"/>
      <c r="R18" s="452"/>
      <c r="S18" s="451"/>
      <c r="T18" s="451"/>
      <c r="U18" s="451"/>
      <c r="V18" s="451"/>
      <c r="W18" s="451"/>
      <c r="X18" s="450"/>
      <c r="Y18" s="451"/>
      <c r="Z18" s="451"/>
      <c r="AA18" s="451"/>
      <c r="AB18" s="452"/>
      <c r="AC18" s="451"/>
      <c r="AD18" s="451"/>
      <c r="AE18" s="451"/>
      <c r="AF18" s="451"/>
      <c r="AG18" s="452"/>
    </row>
    <row r="19" spans="2:33">
      <c r="B19" s="70" t="s">
        <v>631</v>
      </c>
      <c r="C19" s="954"/>
      <c r="D19" s="327"/>
      <c r="E19" s="328"/>
      <c r="F19" s="4"/>
      <c r="G19" s="960"/>
      <c r="H19" s="4"/>
      <c r="I19" s="960"/>
      <c r="J19" s="4"/>
      <c r="K19" s="450"/>
      <c r="L19" s="451"/>
      <c r="M19" s="451"/>
      <c r="N19" s="450"/>
      <c r="O19" s="451"/>
      <c r="P19" s="451"/>
      <c r="Q19" s="451"/>
      <c r="R19" s="452"/>
      <c r="S19" s="451"/>
      <c r="T19" s="451"/>
      <c r="U19" s="451"/>
      <c r="V19" s="451"/>
      <c r="W19" s="451"/>
      <c r="X19" s="450"/>
      <c r="Y19" s="451"/>
      <c r="Z19" s="451"/>
      <c r="AA19" s="451"/>
      <c r="AB19" s="452"/>
      <c r="AC19" s="451"/>
      <c r="AD19" s="451"/>
      <c r="AE19" s="451"/>
      <c r="AF19" s="451"/>
      <c r="AG19" s="452"/>
    </row>
    <row r="20" spans="2:33">
      <c r="B20" s="70" t="s">
        <v>632</v>
      </c>
      <c r="C20" s="954"/>
      <c r="D20" s="327"/>
      <c r="E20" s="328"/>
      <c r="F20" s="4"/>
      <c r="G20" s="960"/>
      <c r="H20" s="4"/>
      <c r="I20" s="960"/>
      <c r="J20" s="4"/>
      <c r="K20" s="450"/>
      <c r="L20" s="451"/>
      <c r="M20" s="451"/>
      <c r="N20" s="450"/>
      <c r="O20" s="451"/>
      <c r="P20" s="451"/>
      <c r="Q20" s="451"/>
      <c r="R20" s="452"/>
      <c r="S20" s="451"/>
      <c r="T20" s="451"/>
      <c r="U20" s="451"/>
      <c r="V20" s="451"/>
      <c r="W20" s="451"/>
      <c r="X20" s="450"/>
      <c r="Y20" s="451"/>
      <c r="Z20" s="451"/>
      <c r="AA20" s="451"/>
      <c r="AB20" s="452"/>
      <c r="AC20" s="451"/>
      <c r="AD20" s="451"/>
      <c r="AE20" s="451"/>
      <c r="AF20" s="451"/>
      <c r="AG20" s="452"/>
    </row>
    <row r="21" spans="2:33">
      <c r="B21" s="70" t="s">
        <v>633</v>
      </c>
      <c r="C21" s="954"/>
      <c r="D21" s="327"/>
      <c r="E21" s="328"/>
      <c r="F21" s="4"/>
      <c r="G21" s="960"/>
      <c r="H21" s="4"/>
      <c r="I21" s="960"/>
      <c r="J21" s="4"/>
      <c r="K21" s="450"/>
      <c r="L21" s="451"/>
      <c r="M21" s="451"/>
      <c r="N21" s="450"/>
      <c r="O21" s="451"/>
      <c r="P21" s="451"/>
      <c r="Q21" s="451"/>
      <c r="R21" s="452"/>
      <c r="S21" s="451"/>
      <c r="T21" s="451"/>
      <c r="U21" s="451"/>
      <c r="V21" s="451"/>
      <c r="W21" s="451"/>
      <c r="X21" s="450"/>
      <c r="Y21" s="451"/>
      <c r="Z21" s="451"/>
      <c r="AA21" s="451"/>
      <c r="AB21" s="452"/>
      <c r="AC21" s="451"/>
      <c r="AD21" s="451"/>
      <c r="AE21" s="451"/>
      <c r="AF21" s="451"/>
      <c r="AG21" s="452"/>
    </row>
    <row r="22" spans="2:33">
      <c r="B22" s="70" t="s">
        <v>634</v>
      </c>
      <c r="C22" s="954"/>
      <c r="D22" s="327"/>
      <c r="E22" s="328"/>
      <c r="F22" s="4"/>
      <c r="G22" s="960"/>
      <c r="H22" s="4"/>
      <c r="I22" s="960"/>
      <c r="J22" s="4"/>
      <c r="K22" s="450"/>
      <c r="L22" s="451"/>
      <c r="M22" s="451"/>
      <c r="N22" s="450"/>
      <c r="O22" s="451"/>
      <c r="P22" s="451"/>
      <c r="Q22" s="451"/>
      <c r="R22" s="452"/>
      <c r="S22" s="451"/>
      <c r="T22" s="451"/>
      <c r="U22" s="451"/>
      <c r="V22" s="451"/>
      <c r="W22" s="451"/>
      <c r="X22" s="450"/>
      <c r="Y22" s="451"/>
      <c r="Z22" s="451"/>
      <c r="AA22" s="451"/>
      <c r="AB22" s="452"/>
      <c r="AC22" s="451"/>
      <c r="AD22" s="451"/>
      <c r="AE22" s="451"/>
      <c r="AF22" s="451"/>
      <c r="AG22" s="452"/>
    </row>
    <row r="23" spans="2:33">
      <c r="B23" s="70" t="s">
        <v>635</v>
      </c>
      <c r="C23" s="954"/>
      <c r="D23" s="327"/>
      <c r="E23" s="328"/>
      <c r="F23" s="4"/>
      <c r="G23" s="960"/>
      <c r="H23" s="4"/>
      <c r="I23" s="960"/>
      <c r="J23" s="4"/>
      <c r="K23" s="450"/>
      <c r="L23" s="451"/>
      <c r="M23" s="451"/>
      <c r="N23" s="450"/>
      <c r="O23" s="451"/>
      <c r="P23" s="451"/>
      <c r="Q23" s="451"/>
      <c r="R23" s="452"/>
      <c r="S23" s="451"/>
      <c r="T23" s="451"/>
      <c r="U23" s="451"/>
      <c r="V23" s="451"/>
      <c r="W23" s="451"/>
      <c r="X23" s="450"/>
      <c r="Y23" s="451"/>
      <c r="Z23" s="451"/>
      <c r="AA23" s="451"/>
      <c r="AB23" s="452"/>
      <c r="AC23" s="451"/>
      <c r="AD23" s="451"/>
      <c r="AE23" s="451"/>
      <c r="AF23" s="451"/>
      <c r="AG23" s="452"/>
    </row>
    <row r="24" spans="2:33">
      <c r="B24" s="70" t="s">
        <v>636</v>
      </c>
      <c r="C24" s="954"/>
      <c r="D24" s="327"/>
      <c r="E24" s="328"/>
      <c r="F24" s="4"/>
      <c r="G24" s="960"/>
      <c r="H24" s="4"/>
      <c r="I24" s="960"/>
      <c r="J24" s="4"/>
      <c r="K24" s="450"/>
      <c r="L24" s="451"/>
      <c r="M24" s="451"/>
      <c r="N24" s="450"/>
      <c r="O24" s="451"/>
      <c r="P24" s="451"/>
      <c r="Q24" s="451"/>
      <c r="R24" s="452"/>
      <c r="S24" s="451"/>
      <c r="T24" s="451"/>
      <c r="U24" s="451"/>
      <c r="V24" s="451"/>
      <c r="W24" s="451"/>
      <c r="X24" s="450"/>
      <c r="Y24" s="451"/>
      <c r="Z24" s="451"/>
      <c r="AA24" s="451"/>
      <c r="AB24" s="452"/>
      <c r="AC24" s="451"/>
      <c r="AD24" s="451"/>
      <c r="AE24" s="451"/>
      <c r="AF24" s="451"/>
      <c r="AG24" s="452"/>
    </row>
    <row r="25" spans="2:33">
      <c r="B25" s="70" t="s">
        <v>637</v>
      </c>
      <c r="C25" s="954"/>
      <c r="D25" s="327"/>
      <c r="E25" s="328"/>
      <c r="F25" s="4"/>
      <c r="G25" s="960"/>
      <c r="H25" s="4"/>
      <c r="I25" s="960"/>
      <c r="J25" s="4"/>
      <c r="K25" s="450"/>
      <c r="L25" s="451"/>
      <c r="M25" s="451"/>
      <c r="N25" s="450"/>
      <c r="O25" s="451"/>
      <c r="P25" s="451"/>
      <c r="Q25" s="451"/>
      <c r="R25" s="452"/>
      <c r="S25" s="451"/>
      <c r="T25" s="451"/>
      <c r="U25" s="451"/>
      <c r="V25" s="451"/>
      <c r="W25" s="451"/>
      <c r="X25" s="450"/>
      <c r="Y25" s="451"/>
      <c r="Z25" s="451"/>
      <c r="AA25" s="451"/>
      <c r="AB25" s="452"/>
      <c r="AC25" s="451"/>
      <c r="AD25" s="451"/>
      <c r="AE25" s="451"/>
      <c r="AF25" s="451"/>
      <c r="AG25" s="452"/>
    </row>
    <row r="26" spans="2:33">
      <c r="B26" s="70" t="s">
        <v>638</v>
      </c>
      <c r="C26" s="954"/>
      <c r="D26" s="327"/>
      <c r="E26" s="328"/>
      <c r="F26" s="4"/>
      <c r="G26" s="960"/>
      <c r="H26" s="4"/>
      <c r="I26" s="960"/>
      <c r="J26" s="4"/>
      <c r="K26" s="450"/>
      <c r="L26" s="451"/>
      <c r="M26" s="451"/>
      <c r="N26" s="450"/>
      <c r="O26" s="451"/>
      <c r="P26" s="451"/>
      <c r="Q26" s="451"/>
      <c r="R26" s="452"/>
      <c r="S26" s="451"/>
      <c r="T26" s="451"/>
      <c r="U26" s="451"/>
      <c r="V26" s="451"/>
      <c r="W26" s="451"/>
      <c r="X26" s="450"/>
      <c r="Y26" s="451"/>
      <c r="Z26" s="451"/>
      <c r="AA26" s="451"/>
      <c r="AB26" s="452"/>
      <c r="AC26" s="451"/>
      <c r="AD26" s="451"/>
      <c r="AE26" s="451"/>
      <c r="AF26" s="451"/>
      <c r="AG26" s="452"/>
    </row>
    <row r="27" spans="2:33">
      <c r="B27" s="70" t="s">
        <v>639</v>
      </c>
      <c r="C27" s="954"/>
      <c r="D27" s="327"/>
      <c r="E27" s="328"/>
      <c r="F27" s="4"/>
      <c r="G27" s="960"/>
      <c r="H27" s="4"/>
      <c r="I27" s="960"/>
      <c r="J27" s="4"/>
      <c r="K27" s="450"/>
      <c r="L27" s="451"/>
      <c r="M27" s="451"/>
      <c r="N27" s="450"/>
      <c r="O27" s="451"/>
      <c r="P27" s="451"/>
      <c r="Q27" s="451"/>
      <c r="R27" s="452"/>
      <c r="S27" s="451"/>
      <c r="T27" s="451"/>
      <c r="U27" s="451"/>
      <c r="V27" s="451"/>
      <c r="W27" s="451"/>
      <c r="X27" s="450"/>
      <c r="Y27" s="451"/>
      <c r="Z27" s="451"/>
      <c r="AA27" s="451"/>
      <c r="AB27" s="452"/>
      <c r="AC27" s="451"/>
      <c r="AD27" s="451"/>
      <c r="AE27" s="451"/>
      <c r="AF27" s="451"/>
      <c r="AG27" s="452"/>
    </row>
    <row r="28" spans="2:33">
      <c r="B28" s="70" t="s">
        <v>640</v>
      </c>
      <c r="C28" s="954"/>
      <c r="D28" s="327"/>
      <c r="E28" s="328"/>
      <c r="F28" s="4"/>
      <c r="G28" s="960"/>
      <c r="H28" s="4"/>
      <c r="I28" s="960"/>
      <c r="J28" s="4"/>
      <c r="K28" s="450"/>
      <c r="L28" s="451"/>
      <c r="M28" s="451"/>
      <c r="N28" s="450"/>
      <c r="O28" s="451"/>
      <c r="P28" s="451"/>
      <c r="Q28" s="451"/>
      <c r="R28" s="452"/>
      <c r="S28" s="451"/>
      <c r="T28" s="451"/>
      <c r="U28" s="451"/>
      <c r="V28" s="451"/>
      <c r="W28" s="451"/>
      <c r="X28" s="450"/>
      <c r="Y28" s="451"/>
      <c r="Z28" s="451"/>
      <c r="AA28" s="451"/>
      <c r="AB28" s="452"/>
      <c r="AC28" s="451"/>
      <c r="AD28" s="451"/>
      <c r="AE28" s="451"/>
      <c r="AF28" s="451"/>
      <c r="AG28" s="452"/>
    </row>
    <row r="29" spans="2:33">
      <c r="B29" s="70" t="s">
        <v>641</v>
      </c>
      <c r="C29" s="954"/>
      <c r="D29" s="327"/>
      <c r="E29" s="328"/>
      <c r="F29" s="4"/>
      <c r="G29" s="960"/>
      <c r="H29" s="4"/>
      <c r="I29" s="960"/>
      <c r="J29" s="4"/>
      <c r="K29" s="450"/>
      <c r="L29" s="451"/>
      <c r="M29" s="451"/>
      <c r="N29" s="450"/>
      <c r="O29" s="451"/>
      <c r="P29" s="451"/>
      <c r="Q29" s="451"/>
      <c r="R29" s="452"/>
      <c r="S29" s="451"/>
      <c r="T29" s="451"/>
      <c r="U29" s="451"/>
      <c r="V29" s="451"/>
      <c r="W29" s="451"/>
      <c r="X29" s="450"/>
      <c r="Y29" s="451"/>
      <c r="Z29" s="451"/>
      <c r="AA29" s="451"/>
      <c r="AB29" s="452"/>
      <c r="AC29" s="451"/>
      <c r="AD29" s="451"/>
      <c r="AE29" s="451"/>
      <c r="AF29" s="451"/>
      <c r="AG29" s="452"/>
    </row>
    <row r="30" spans="2:33">
      <c r="B30" s="70" t="s">
        <v>642</v>
      </c>
      <c r="C30" s="954"/>
      <c r="D30" s="327"/>
      <c r="E30" s="328"/>
      <c r="F30" s="4"/>
      <c r="G30" s="960"/>
      <c r="H30" s="4"/>
      <c r="I30" s="960"/>
      <c r="J30" s="4"/>
      <c r="K30" s="450"/>
      <c r="L30" s="451"/>
      <c r="M30" s="451"/>
      <c r="N30" s="450"/>
      <c r="O30" s="451"/>
      <c r="P30" s="451"/>
      <c r="Q30" s="451"/>
      <c r="R30" s="452"/>
      <c r="S30" s="451"/>
      <c r="T30" s="451"/>
      <c r="U30" s="451"/>
      <c r="V30" s="451"/>
      <c r="W30" s="451"/>
      <c r="X30" s="450"/>
      <c r="Y30" s="451"/>
      <c r="Z30" s="451"/>
      <c r="AA30" s="451"/>
      <c r="AB30" s="452"/>
      <c r="AC30" s="451"/>
      <c r="AD30" s="451"/>
      <c r="AE30" s="451"/>
      <c r="AF30" s="451"/>
      <c r="AG30" s="452"/>
    </row>
    <row r="31" spans="2:33">
      <c r="B31" s="70" t="s">
        <v>643</v>
      </c>
      <c r="C31" s="954"/>
      <c r="D31" s="327"/>
      <c r="E31" s="328"/>
      <c r="F31" s="4"/>
      <c r="G31" s="960"/>
      <c r="H31" s="4"/>
      <c r="I31" s="960"/>
      <c r="J31" s="4"/>
      <c r="K31" s="450"/>
      <c r="L31" s="451"/>
      <c r="M31" s="451"/>
      <c r="N31" s="450"/>
      <c r="O31" s="451"/>
      <c r="P31" s="451"/>
      <c r="Q31" s="451"/>
      <c r="R31" s="452"/>
      <c r="S31" s="451"/>
      <c r="T31" s="451"/>
      <c r="U31" s="451"/>
      <c r="V31" s="451"/>
      <c r="W31" s="451"/>
      <c r="X31" s="450"/>
      <c r="Y31" s="451"/>
      <c r="Z31" s="451"/>
      <c r="AA31" s="451"/>
      <c r="AB31" s="452"/>
      <c r="AC31" s="451"/>
      <c r="AD31" s="451"/>
      <c r="AE31" s="451"/>
      <c r="AF31" s="451"/>
      <c r="AG31" s="452"/>
    </row>
    <row r="32" spans="2:33">
      <c r="B32" s="70" t="s">
        <v>644</v>
      </c>
      <c r="C32" s="954"/>
      <c r="D32" s="327"/>
      <c r="E32" s="328"/>
      <c r="F32" s="4"/>
      <c r="G32" s="960"/>
      <c r="H32" s="4"/>
      <c r="I32" s="960"/>
      <c r="J32" s="4"/>
      <c r="K32" s="450"/>
      <c r="L32" s="451"/>
      <c r="M32" s="451"/>
      <c r="N32" s="450"/>
      <c r="O32" s="451"/>
      <c r="P32" s="451"/>
      <c r="Q32" s="451"/>
      <c r="R32" s="452"/>
      <c r="S32" s="451"/>
      <c r="T32" s="451"/>
      <c r="U32" s="451"/>
      <c r="V32" s="451"/>
      <c r="W32" s="451"/>
      <c r="X32" s="450"/>
      <c r="Y32" s="451"/>
      <c r="Z32" s="451"/>
      <c r="AA32" s="451"/>
      <c r="AB32" s="452"/>
      <c r="AC32" s="451"/>
      <c r="AD32" s="451"/>
      <c r="AE32" s="451"/>
      <c r="AF32" s="451"/>
      <c r="AG32" s="452"/>
    </row>
    <row r="33" spans="2:33">
      <c r="B33" s="70" t="s">
        <v>645</v>
      </c>
      <c r="C33" s="954"/>
      <c r="D33" s="327"/>
      <c r="E33" s="328"/>
      <c r="F33" s="4"/>
      <c r="G33" s="960"/>
      <c r="H33" s="4"/>
      <c r="I33" s="960"/>
      <c r="J33" s="4"/>
      <c r="K33" s="450"/>
      <c r="L33" s="451"/>
      <c r="M33" s="451"/>
      <c r="N33" s="450"/>
      <c r="O33" s="451"/>
      <c r="P33" s="451"/>
      <c r="Q33" s="451"/>
      <c r="R33" s="452"/>
      <c r="S33" s="451"/>
      <c r="T33" s="451"/>
      <c r="U33" s="451"/>
      <c r="V33" s="451"/>
      <c r="W33" s="451"/>
      <c r="X33" s="450"/>
      <c r="Y33" s="451"/>
      <c r="Z33" s="451"/>
      <c r="AA33" s="451"/>
      <c r="AB33" s="452"/>
      <c r="AC33" s="451"/>
      <c r="AD33" s="451"/>
      <c r="AE33" s="451"/>
      <c r="AF33" s="451"/>
      <c r="AG33" s="452"/>
    </row>
    <row r="34" spans="2:33">
      <c r="B34" s="70" t="s">
        <v>646</v>
      </c>
      <c r="C34" s="954"/>
      <c r="D34" s="327"/>
      <c r="E34" s="328"/>
      <c r="F34" s="4"/>
      <c r="G34" s="960"/>
      <c r="H34" s="4"/>
      <c r="I34" s="960"/>
      <c r="J34" s="4"/>
      <c r="K34" s="456"/>
      <c r="L34" s="457"/>
      <c r="M34" s="457"/>
      <c r="N34" s="456"/>
      <c r="O34" s="457"/>
      <c r="P34" s="457"/>
      <c r="Q34" s="457"/>
      <c r="R34" s="458"/>
      <c r="S34" s="457"/>
      <c r="T34" s="457"/>
      <c r="U34" s="457"/>
      <c r="V34" s="457"/>
      <c r="W34" s="457"/>
      <c r="X34" s="456"/>
      <c r="Y34" s="457"/>
      <c r="Z34" s="457"/>
      <c r="AA34" s="457"/>
      <c r="AB34" s="458"/>
      <c r="AC34" s="457"/>
      <c r="AD34" s="457"/>
      <c r="AE34" s="457"/>
      <c r="AF34" s="457"/>
      <c r="AG34" s="458"/>
    </row>
    <row r="37" spans="2:33">
      <c r="W37" s="970" t="s">
        <v>717</v>
      </c>
      <c r="X37" s="971">
        <f>+SUMPRODUCT(X15:X35,$I$15:$I$35)</f>
        <v>0</v>
      </c>
      <c r="Y37" s="972">
        <f t="shared" ref="Y37:AG37" si="3">+SUMPRODUCT(Y15:Y35,$I$15:$I$35)</f>
        <v>0</v>
      </c>
      <c r="Z37" s="972">
        <f t="shared" si="3"/>
        <v>0</v>
      </c>
      <c r="AA37" s="972">
        <f t="shared" si="3"/>
        <v>0</v>
      </c>
      <c r="AB37" s="972">
        <f t="shared" si="3"/>
        <v>0</v>
      </c>
      <c r="AC37" s="972">
        <f t="shared" si="3"/>
        <v>0</v>
      </c>
      <c r="AD37" s="972">
        <f t="shared" si="3"/>
        <v>0</v>
      </c>
      <c r="AE37" s="972">
        <f t="shared" si="3"/>
        <v>0</v>
      </c>
      <c r="AF37" s="972">
        <f t="shared" si="3"/>
        <v>0</v>
      </c>
      <c r="AG37" s="973">
        <f t="shared" si="3"/>
        <v>0</v>
      </c>
    </row>
    <row r="38" spans="2:33">
      <c r="W38" s="970" t="s">
        <v>715</v>
      </c>
      <c r="X38" s="974">
        <f>+X37/1000000</f>
        <v>0</v>
      </c>
      <c r="Y38" s="975">
        <f>+Y37/1000000</f>
        <v>0</v>
      </c>
      <c r="Z38" s="975">
        <f t="shared" ref="Z38:AG38" si="4">+Z37/1000000</f>
        <v>0</v>
      </c>
      <c r="AA38" s="975">
        <f t="shared" si="4"/>
        <v>0</v>
      </c>
      <c r="AB38" s="975">
        <f t="shared" si="4"/>
        <v>0</v>
      </c>
      <c r="AC38" s="975">
        <f t="shared" si="4"/>
        <v>0</v>
      </c>
      <c r="AD38" s="975">
        <f t="shared" si="4"/>
        <v>0</v>
      </c>
      <c r="AE38" s="975">
        <f t="shared" si="4"/>
        <v>0</v>
      </c>
      <c r="AF38" s="975">
        <f t="shared" si="4"/>
        <v>0</v>
      </c>
      <c r="AG38" s="976">
        <f t="shared" si="4"/>
        <v>0</v>
      </c>
    </row>
    <row r="39" spans="2:33">
      <c r="W39" s="970" t="s">
        <v>716</v>
      </c>
      <c r="X39" s="977">
        <f>+X38/KeyAssumptionsPriceControl_FO!AF15</f>
        <v>0</v>
      </c>
      <c r="Y39" s="978">
        <f>+Y38/KeyAssumptionsPriceControl_FO!AG15</f>
        <v>0</v>
      </c>
      <c r="Z39" s="978">
        <f>+Z38/KeyAssumptionsPriceControl_FO!AH15</f>
        <v>0</v>
      </c>
      <c r="AA39" s="978">
        <f>+AA38/KeyAssumptionsPriceControl_FO!AI15</f>
        <v>0</v>
      </c>
      <c r="AB39" s="978">
        <f>+AB38/KeyAssumptionsPriceControl_FO!AJ15</f>
        <v>0</v>
      </c>
      <c r="AC39" s="978">
        <f>+AC38/KeyAssumptionsPriceControl_FO!AK15</f>
        <v>0</v>
      </c>
      <c r="AD39" s="978">
        <f>+AD38/KeyAssumptionsPriceControl_FO!AL15</f>
        <v>0</v>
      </c>
      <c r="AE39" s="978">
        <f>+AE38/KeyAssumptionsPriceControl_FO!AM15</f>
        <v>0</v>
      </c>
      <c r="AF39" s="978">
        <f>+AF38/KeyAssumptionsPriceControl_FO!AN15</f>
        <v>0</v>
      </c>
      <c r="AG39" s="979">
        <f>+AG38/KeyAssumptionsPriceControl_FO!AO15</f>
        <v>0</v>
      </c>
    </row>
    <row r="40" spans="2:33">
      <c r="W40" s="970" t="s">
        <v>718</v>
      </c>
      <c r="X40" s="980">
        <f>+Opex_Breakdown!X27</f>
        <v>1E-3</v>
      </c>
      <c r="Y40" s="981">
        <f>+Opex_Breakdown!Y27</f>
        <v>1E-3</v>
      </c>
      <c r="Z40" s="981">
        <f>+Opex_Breakdown!Z27</f>
        <v>1E-3</v>
      </c>
      <c r="AA40" s="981">
        <f>+Opex_Breakdown!AA27</f>
        <v>1E-3</v>
      </c>
      <c r="AB40" s="981">
        <f>+Opex_Breakdown!AB27</f>
        <v>1E-3</v>
      </c>
      <c r="AC40" s="981">
        <f>+Opex_Breakdown!AC27</f>
        <v>1E-3</v>
      </c>
      <c r="AD40" s="981">
        <f>+Opex_Breakdown!AD27</f>
        <v>1E-3</v>
      </c>
      <c r="AE40" s="981">
        <f>+Opex_Breakdown!AE27</f>
        <v>1E-3</v>
      </c>
      <c r="AF40" s="981">
        <f>+Opex_Breakdown!AF27</f>
        <v>1E-3</v>
      </c>
      <c r="AG40" s="982">
        <f>+Opex_Breakdown!AG27</f>
        <v>1E-3</v>
      </c>
    </row>
    <row r="41" spans="2:33">
      <c r="W41" s="970" t="s">
        <v>469</v>
      </c>
      <c r="X41" s="983">
        <f>+X40-X39</f>
        <v>1E-3</v>
      </c>
      <c r="Y41" s="984">
        <f t="shared" ref="Y41:AG41" si="5">+Y40-Y39</f>
        <v>1E-3</v>
      </c>
      <c r="Z41" s="984">
        <f t="shared" si="5"/>
        <v>1E-3</v>
      </c>
      <c r="AA41" s="984">
        <f t="shared" si="5"/>
        <v>1E-3</v>
      </c>
      <c r="AB41" s="984">
        <f t="shared" si="5"/>
        <v>1E-3</v>
      </c>
      <c r="AC41" s="984">
        <f t="shared" si="5"/>
        <v>1E-3</v>
      </c>
      <c r="AD41" s="984">
        <f t="shared" si="5"/>
        <v>1E-3</v>
      </c>
      <c r="AE41" s="984">
        <f t="shared" si="5"/>
        <v>1E-3</v>
      </c>
      <c r="AF41" s="984">
        <f t="shared" si="5"/>
        <v>1E-3</v>
      </c>
      <c r="AG41" s="985">
        <f t="shared" si="5"/>
        <v>1E-3</v>
      </c>
    </row>
    <row r="42" spans="2:33">
      <c r="X42" s="986"/>
      <c r="Y42" s="986"/>
      <c r="Z42" s="986"/>
      <c r="AA42" s="986"/>
      <c r="AB42" s="986"/>
      <c r="AC42" s="986"/>
      <c r="AD42" s="986"/>
      <c r="AE42" s="986"/>
      <c r="AF42" s="986"/>
      <c r="AG42" s="986"/>
    </row>
    <row r="45" spans="2:33">
      <c r="X45" s="986"/>
      <c r="Y45" s="986"/>
      <c r="Z45" s="986"/>
      <c r="AA45" s="986"/>
      <c r="AB45" s="986"/>
      <c r="AC45" s="986"/>
      <c r="AD45" s="986"/>
      <c r="AE45" s="986"/>
      <c r="AF45" s="986"/>
      <c r="AG45" s="986"/>
    </row>
  </sheetData>
  <sheetProtection algorithmName="SHA-512" hashValue="NwAlysQnBI0IiJYXx0ZCBpzYmYbEJCviXCa1OZ1YSii5YnmFbXvodu0AqrRWHqV+wfRPyD6w/srL0XSntRHL6A==" saltValue="F7q39RsOoU3mUbyFFNCsSA==" spinCount="100000" sheet="1" objects="1" scenarios="1"/>
  <mergeCells count="4">
    <mergeCell ref="B3:F3"/>
    <mergeCell ref="G10:I10"/>
    <mergeCell ref="K10:V10"/>
    <mergeCell ref="W10:AG10"/>
  </mergeCells>
  <hyperlinks>
    <hyperlink ref="B3" location="HL_Home" tooltip="Go to Table of Contents" display="HL_Home" xr:uid="{00000000-0004-0000-1200-000000000000}"/>
  </hyperlinks>
  <pageMargins left="0.7" right="0.7" top="0.75" bottom="0.75" header="0.3" footer="0.3"/>
  <pageSetup paperSize="9" orientation="portrait" r:id="rId1"/>
  <headerFooter>
    <oddHeader>&amp;C&amp;"Calibri"&amp;12&amp;KFF0000 OFFICIAL&amp;1#_x000D_&amp;"Arial"&amp;8&amp;K000000&amp;B&amp;"Arial"&amp;12&amp;Kff0000​‌OFFICIAL‌​</oddHead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dimension ref="A1:AP173"/>
  <sheetViews>
    <sheetView showGridLines="0" topLeftCell="U1" zoomScaleNormal="100" workbookViewId="0">
      <selection activeCell="AE73" sqref="AE73"/>
    </sheetView>
  </sheetViews>
  <sheetFormatPr defaultColWidth="9.33203125" defaultRowHeight="11.25" outlineLevelCol="1"/>
  <cols>
    <col min="1" max="1" width="9.33203125" style="988" customWidth="1" outlineLevel="1"/>
    <col min="2" max="2" width="52" style="988" customWidth="1" outlineLevel="1"/>
    <col min="3" max="3" width="12.6640625" style="988" customWidth="1" outlineLevel="1"/>
    <col min="4" max="4" width="12.5" style="988" customWidth="1" outlineLevel="1"/>
    <col min="5" max="5" width="12.83203125" style="988" customWidth="1" outlineLevel="1"/>
    <col min="6" max="7" width="9.33203125" style="988" customWidth="1" outlineLevel="1"/>
    <col min="8" max="8" width="11.83203125" style="988" customWidth="1" outlineLevel="1"/>
    <col min="9" max="9" width="9.33203125" style="988" customWidth="1" outlineLevel="1"/>
    <col min="10" max="20" width="11.6640625" style="988" customWidth="1" outlineLevel="1"/>
    <col min="21" max="21" width="9.33203125" style="988" customWidth="1" outlineLevel="1"/>
    <col min="22" max="22" width="9.33203125" style="988"/>
    <col min="23" max="23" width="55" style="988" customWidth="1"/>
    <col min="24" max="24" width="18.6640625" style="988" customWidth="1"/>
    <col min="25" max="25" width="12.33203125" style="988" customWidth="1"/>
    <col min="26" max="37" width="10.6640625" style="988" bestFit="1" customWidth="1"/>
    <col min="38" max="40" width="10.6640625" style="988" customWidth="1"/>
    <col min="41" max="41" width="10.6640625" style="988" bestFit="1" customWidth="1"/>
    <col min="42" max="16384" width="9.33203125" style="988"/>
  </cols>
  <sheetData>
    <row r="1" spans="1:41" ht="15.75">
      <c r="A1" s="987" t="s">
        <v>723</v>
      </c>
      <c r="V1" s="987" t="s">
        <v>724</v>
      </c>
    </row>
    <row r="2" spans="1:41">
      <c r="A2" s="989" t="s">
        <v>725</v>
      </c>
    </row>
    <row r="3" spans="1:41">
      <c r="C3" s="989" t="s">
        <v>727</v>
      </c>
      <c r="D3" s="989"/>
      <c r="F3" s="989"/>
      <c r="G3" s="989"/>
      <c r="K3" s="989" t="s">
        <v>728</v>
      </c>
      <c r="M3" s="989"/>
      <c r="N3" s="989"/>
      <c r="O3" s="989"/>
      <c r="P3" s="989" t="s">
        <v>1038</v>
      </c>
      <c r="Q3" s="989"/>
      <c r="R3" s="989"/>
      <c r="V3" s="989" t="s">
        <v>729</v>
      </c>
      <c r="X3" s="990" t="str">
        <f>C4</f>
        <v>2018-19</v>
      </c>
      <c r="Y3" s="990" t="str">
        <f t="shared" ref="Y3:AK3" si="0">D4</f>
        <v>2019-20</v>
      </c>
      <c r="Z3" s="990" t="str">
        <f t="shared" si="0"/>
        <v>2020-21</v>
      </c>
      <c r="AA3" s="990" t="str">
        <f t="shared" si="0"/>
        <v>2021-22</v>
      </c>
      <c r="AB3" s="990" t="str">
        <f t="shared" si="0"/>
        <v>2022-23</v>
      </c>
      <c r="AC3" s="990" t="str">
        <f t="shared" si="0"/>
        <v>2023-24</v>
      </c>
      <c r="AD3" s="990" t="str">
        <f t="shared" si="0"/>
        <v>2024-25</v>
      </c>
      <c r="AE3" s="990" t="str">
        <f t="shared" si="0"/>
        <v>2025-26</v>
      </c>
      <c r="AF3" s="2137" t="str">
        <f t="shared" si="0"/>
        <v>2026-27</v>
      </c>
      <c r="AG3" s="990" t="str">
        <f t="shared" si="0"/>
        <v>2027-28</v>
      </c>
      <c r="AH3" s="990" t="str">
        <f t="shared" si="0"/>
        <v>2028-29</v>
      </c>
      <c r="AI3" s="990" t="str">
        <f t="shared" si="0"/>
        <v>2029-30</v>
      </c>
      <c r="AJ3" s="990" t="str">
        <f t="shared" si="0"/>
        <v>2030-31</v>
      </c>
      <c r="AK3" s="990" t="str">
        <f t="shared" si="0"/>
        <v>2031-32</v>
      </c>
      <c r="AL3" s="990" t="str">
        <f>Q4</f>
        <v>2032-33</v>
      </c>
      <c r="AM3" s="990" t="str">
        <f>R4</f>
        <v>2033-34</v>
      </c>
      <c r="AN3" s="990" t="str">
        <f>S4</f>
        <v>2034-35</v>
      </c>
      <c r="AO3" s="990" t="str">
        <f>T4</f>
        <v>2035-36</v>
      </c>
    </row>
    <row r="4" spans="1:41">
      <c r="C4" s="990" t="str">
        <f>'Rev&amp;RAV_FO'!P7</f>
        <v>2018-19</v>
      </c>
      <c r="D4" s="990" t="str">
        <f>'Rev&amp;RAV_FO'!Q7</f>
        <v>2019-20</v>
      </c>
      <c r="E4" s="990" t="str">
        <f>'Rev&amp;RAV_FO'!R7</f>
        <v>2020-21</v>
      </c>
      <c r="F4" s="990" t="str">
        <f>'Rev&amp;RAV_FO'!S7</f>
        <v>2021-22</v>
      </c>
      <c r="G4" s="990" t="str">
        <f>'Rev&amp;RAV_FO'!T7</f>
        <v>2022-23</v>
      </c>
      <c r="H4" s="990" t="str">
        <f>'Rev&amp;RAV_FO'!U7</f>
        <v>2023-24</v>
      </c>
      <c r="I4" s="990" t="str">
        <f>'Rev&amp;RAV_FO'!V7</f>
        <v>2024-25</v>
      </c>
      <c r="J4" s="990" t="str">
        <f>'Rev&amp;RAV_FO'!W7</f>
        <v>2025-26</v>
      </c>
      <c r="K4" s="990" t="str">
        <f>'Rev&amp;RAV_FO'!X7</f>
        <v>2026-27</v>
      </c>
      <c r="L4" s="990" t="str">
        <f>'Rev&amp;RAV_FO'!Y7</f>
        <v>2027-28</v>
      </c>
      <c r="M4" s="990" t="str">
        <f>'Rev&amp;RAV_FO'!Z7</f>
        <v>2028-29</v>
      </c>
      <c r="N4" s="990" t="str">
        <f>'Rev&amp;RAV_FO'!AA7</f>
        <v>2029-30</v>
      </c>
      <c r="O4" s="990" t="str">
        <f>'Rev&amp;RAV_FO'!AB7</f>
        <v>2030-31</v>
      </c>
      <c r="P4" s="990" t="str">
        <f>'Rev&amp;RAV_FO'!AC7</f>
        <v>2031-32</v>
      </c>
      <c r="Q4" s="990" t="str">
        <f>'Rev&amp;RAV_FO'!AD7</f>
        <v>2032-33</v>
      </c>
      <c r="R4" s="990" t="str">
        <f>'Rev&amp;RAV_FO'!AE7</f>
        <v>2033-34</v>
      </c>
      <c r="S4" s="990" t="str">
        <f>'Rev&amp;RAV_FO'!AF7</f>
        <v>2034-35</v>
      </c>
      <c r="T4" s="990" t="str">
        <f>'Rev&amp;RAV_FO'!AG7</f>
        <v>2035-36</v>
      </c>
      <c r="V4" s="989"/>
      <c r="W4" s="988" t="s">
        <v>20</v>
      </c>
      <c r="X4" s="991">
        <f>Capex_FO_AC!P12</f>
        <v>8.8715923374777965</v>
      </c>
      <c r="Y4" s="991">
        <f>Capex_FO_AC!Q12</f>
        <v>14.898155760736197</v>
      </c>
      <c r="Z4" s="991">
        <f>Capex_FO_AC!R12</f>
        <v>17.851569935145793</v>
      </c>
      <c r="AA4" s="991">
        <f>Capex_FO_AC!S12</f>
        <v>21.247998458015267</v>
      </c>
      <c r="AB4" s="991">
        <f>Capex_FO_AC!T12</f>
        <v>15.902484067796607</v>
      </c>
      <c r="AC4" s="991">
        <f>Capex_FO_AC!U12</f>
        <v>16.848682814479638</v>
      </c>
      <c r="AD4" s="991">
        <f>Capex_FO_AC!V12</f>
        <v>20.237493280524014</v>
      </c>
      <c r="AE4" s="991">
        <f>Capex_FO_AC!W12</f>
        <v>24.322946000000005</v>
      </c>
      <c r="AF4" s="991">
        <f>Capex_FO_AC!X12</f>
        <v>21.345402999999997</v>
      </c>
      <c r="AG4" s="991">
        <f>Capex_FO_AC!Y12</f>
        <v>20.609200000000001</v>
      </c>
      <c r="AH4" s="991">
        <f>Capex_FO_AC!Z12</f>
        <v>27.6389</v>
      </c>
      <c r="AI4" s="991">
        <f>Capex_FO_AC!AA12</f>
        <v>30.192827000000005</v>
      </c>
      <c r="AJ4" s="991">
        <f>Capex_FO_AC!AB12</f>
        <v>30.617599999999999</v>
      </c>
      <c r="AK4" s="991">
        <f>Capex_FO_AC!AC12</f>
        <v>16.448999999999998</v>
      </c>
      <c r="AL4" s="991">
        <f>Capex_FO_AC!AD12</f>
        <v>24.348999999999997</v>
      </c>
      <c r="AM4" s="991">
        <f>Capex_FO_AC!AE12</f>
        <v>15.449</v>
      </c>
      <c r="AN4" s="991">
        <f>Capex_FO_AC!AF12</f>
        <v>14.498999999999999</v>
      </c>
      <c r="AO4" s="991">
        <f>Capex_FO_AC!AG12</f>
        <v>14.498999999999999</v>
      </c>
    </row>
    <row r="5" spans="1:41">
      <c r="B5" s="992" t="s">
        <v>730</v>
      </c>
      <c r="C5" s="993">
        <f>'Rev&amp;RAV_FO'!P23</f>
        <v>76.300229249037315</v>
      </c>
      <c r="D5" s="993">
        <f>'Rev&amp;RAV_FO'!Q23</f>
        <v>77.19710351339441</v>
      </c>
      <c r="E5" s="993">
        <f>'Rev&amp;RAV_FO'!R23</f>
        <v>78.087524443058456</v>
      </c>
      <c r="F5" s="993">
        <f>'Rev&amp;RAV_FO'!S23</f>
        <v>79.057372806261341</v>
      </c>
      <c r="G5" s="993">
        <f>'Rev&amp;RAV_FO'!T23</f>
        <v>79.866330737243501</v>
      </c>
      <c r="H5" s="993">
        <f>'Rev&amp;RAV_FO'!U23</f>
        <v>80.836000390929527</v>
      </c>
      <c r="I5" s="993">
        <f>'Rev&amp;RAV_FO'!V23</f>
        <v>81.862206277186004</v>
      </c>
      <c r="J5" s="993">
        <f>'Rev&amp;RAV_FO'!W23</f>
        <v>82.806383491758865</v>
      </c>
      <c r="K5" s="993">
        <f ca="1">'Rev&amp;RAV_FO'!X23</f>
        <v>95.543523619444471</v>
      </c>
      <c r="L5" s="993">
        <f ca="1">'Rev&amp;RAV_FO'!Y23</f>
        <v>98.81722300083382</v>
      </c>
      <c r="M5" s="993">
        <f ca="1">'Rev&amp;RAV_FO'!Z23</f>
        <v>100.84620293056062</v>
      </c>
      <c r="N5" s="993">
        <f ca="1">'Rev&amp;RAV_FO'!AA23</f>
        <v>103.76813997982296</v>
      </c>
      <c r="O5" s="993">
        <f ca="1">'Rev&amp;RAV_FO'!AB23</f>
        <v>107.4795465774621</v>
      </c>
      <c r="P5" s="993">
        <f ca="1">'Rev&amp;RAV_FO'!AC23</f>
        <v>116.55071571731521</v>
      </c>
      <c r="Q5" s="993">
        <f ca="1">'Rev&amp;RAV_FO'!AD23</f>
        <v>120.74904604951693</v>
      </c>
      <c r="R5" s="993">
        <f ca="1">'Rev&amp;RAV_FO'!AE23</f>
        <v>123.35941277533935</v>
      </c>
      <c r="S5" s="993">
        <f ca="1">'Rev&amp;RAV_FO'!AF23</f>
        <v>125.65524824369251</v>
      </c>
      <c r="T5" s="993">
        <f ca="1">'Rev&amp;RAV_FO'!AG23</f>
        <v>128.77114564191498</v>
      </c>
      <c r="V5" s="989"/>
      <c r="W5" s="988" t="s">
        <v>21</v>
      </c>
      <c r="X5" s="991">
        <f>Capex_FO_AC!P13</f>
        <v>8.9797932615452929</v>
      </c>
      <c r="Y5" s="991">
        <f>Capex_FO_AC!Q13</f>
        <v>14.6659255398773</v>
      </c>
      <c r="Z5" s="991">
        <f>Capex_FO_AC!R13</f>
        <v>12.901214391509434</v>
      </c>
      <c r="AA5" s="991">
        <f>Capex_FO_AC!S13</f>
        <v>29.699667256997451</v>
      </c>
      <c r="AB5" s="991">
        <f>Capex_FO_AC!T13</f>
        <v>22.647424601694912</v>
      </c>
      <c r="AC5" s="991">
        <f>Capex_FO_AC!U13</f>
        <v>28.685352032805433</v>
      </c>
      <c r="AD5" s="991">
        <f>Capex_FO_AC!V13</f>
        <v>61.397464079978171</v>
      </c>
      <c r="AE5" s="991">
        <f>Capex_FO_AC!W13</f>
        <v>61.071293999999995</v>
      </c>
      <c r="AF5" s="991">
        <f>Capex_FO_AC!X13</f>
        <v>32.777999999999999</v>
      </c>
      <c r="AG5" s="991">
        <f>Capex_FO_AC!Y13</f>
        <v>37.670000000000009</v>
      </c>
      <c r="AH5" s="991">
        <f>Capex_FO_AC!Z13</f>
        <v>16.490000000000002</v>
      </c>
      <c r="AI5" s="991">
        <f>Capex_FO_AC!AA13</f>
        <v>20.840000000000003</v>
      </c>
      <c r="AJ5" s="991">
        <f>Capex_FO_AC!AB13</f>
        <v>41.548999999999999</v>
      </c>
      <c r="AK5" s="991">
        <f>Capex_FO_AC!AC13</f>
        <v>47.93</v>
      </c>
      <c r="AL5" s="991">
        <f>Capex_FO_AC!AD13</f>
        <v>37.75</v>
      </c>
      <c r="AM5" s="991">
        <f>Capex_FO_AC!AE13</f>
        <v>37.117000000000004</v>
      </c>
      <c r="AN5" s="991">
        <f>Capex_FO_AC!AF13</f>
        <v>49.75</v>
      </c>
      <c r="AO5" s="991">
        <f>Capex_FO_AC!AG13</f>
        <v>39.75</v>
      </c>
    </row>
    <row r="6" spans="1:41">
      <c r="B6" s="992" t="s">
        <v>731</v>
      </c>
      <c r="C6" s="993">
        <f>AVERAGE($C$5:$J$5)</f>
        <v>79.501643863608678</v>
      </c>
      <c r="D6" s="993">
        <f t="shared" ref="D6:J6" si="1">AVERAGE($C$5:$J$5)</f>
        <v>79.501643863608678</v>
      </c>
      <c r="E6" s="993">
        <f t="shared" si="1"/>
        <v>79.501643863608678</v>
      </c>
      <c r="F6" s="993">
        <f t="shared" si="1"/>
        <v>79.501643863608678</v>
      </c>
      <c r="G6" s="993">
        <f t="shared" si="1"/>
        <v>79.501643863608678</v>
      </c>
      <c r="H6" s="993">
        <f t="shared" si="1"/>
        <v>79.501643863608678</v>
      </c>
      <c r="I6" s="993">
        <f t="shared" si="1"/>
        <v>79.501643863608678</v>
      </c>
      <c r="J6" s="993">
        <f t="shared" si="1"/>
        <v>79.501643863608678</v>
      </c>
      <c r="K6" s="994"/>
      <c r="L6" s="994"/>
      <c r="M6" s="994"/>
      <c r="N6" s="994"/>
      <c r="O6" s="994"/>
      <c r="P6" s="994"/>
      <c r="Q6" s="994"/>
      <c r="R6" s="994"/>
      <c r="S6" s="994"/>
      <c r="T6" s="994"/>
      <c r="V6" s="989"/>
      <c r="W6" s="988" t="s">
        <v>275</v>
      </c>
      <c r="X6" s="991">
        <f>Capex_FO_AC!P14</f>
        <v>0</v>
      </c>
      <c r="Y6" s="991">
        <f>Capex_FO_AC!Q14</f>
        <v>0</v>
      </c>
      <c r="Z6" s="991">
        <f>Capex_FO_AC!R14</f>
        <v>0</v>
      </c>
      <c r="AA6" s="991">
        <f>Capex_FO_AC!S14</f>
        <v>0</v>
      </c>
      <c r="AB6" s="991">
        <f>Capex_FO_AC!T14</f>
        <v>0</v>
      </c>
      <c r="AC6" s="991">
        <f>Capex_FO_AC!U14</f>
        <v>0</v>
      </c>
      <c r="AD6" s="991">
        <f>Capex_FO_AC!V14</f>
        <v>0</v>
      </c>
      <c r="AE6" s="991">
        <f>Capex_FO_AC!W14</f>
        <v>0</v>
      </c>
      <c r="AF6" s="991">
        <f>Capex_FO_AC!X14</f>
        <v>0</v>
      </c>
      <c r="AG6" s="991">
        <f>Capex_FO_AC!Y14</f>
        <v>0</v>
      </c>
      <c r="AH6" s="991">
        <f>Capex_FO_AC!Z14</f>
        <v>0</v>
      </c>
      <c r="AI6" s="991">
        <f>Capex_FO_AC!AA14</f>
        <v>0</v>
      </c>
      <c r="AJ6" s="991">
        <f>Capex_FO_AC!AB14</f>
        <v>0</v>
      </c>
      <c r="AK6" s="991">
        <f>Capex_FO_AC!AC14</f>
        <v>0</v>
      </c>
      <c r="AL6" s="991">
        <f>Capex_FO_AC!AD14</f>
        <v>0</v>
      </c>
      <c r="AM6" s="991">
        <f>Capex_FO_AC!AE14</f>
        <v>0</v>
      </c>
      <c r="AN6" s="991">
        <f>Capex_FO_AC!AF14</f>
        <v>0</v>
      </c>
      <c r="AO6" s="991">
        <f>Capex_FO_AC!AG14</f>
        <v>0</v>
      </c>
    </row>
    <row r="7" spans="1:41">
      <c r="B7" s="992" t="s">
        <v>731</v>
      </c>
      <c r="C7" s="994"/>
      <c r="D7" s="994"/>
      <c r="E7" s="994"/>
      <c r="F7" s="994"/>
      <c r="G7" s="994"/>
      <c r="H7" s="993"/>
      <c r="I7" s="993"/>
      <c r="J7" s="993"/>
      <c r="K7" s="993">
        <f ca="1">AVERAGE($K$5:$O$5)</f>
        <v>101.2909272216248</v>
      </c>
      <c r="L7" s="993">
        <f ca="1">AVERAGE($K$5:$O$5)</f>
        <v>101.2909272216248</v>
      </c>
      <c r="M7" s="993">
        <f ca="1">AVERAGE($K$5:$O$5)</f>
        <v>101.2909272216248</v>
      </c>
      <c r="N7" s="993">
        <f ca="1">AVERAGE($K$5:$O$5)</f>
        <v>101.2909272216248</v>
      </c>
      <c r="O7" s="993">
        <f ca="1">AVERAGE($K$5:$O$5)</f>
        <v>101.2909272216248</v>
      </c>
      <c r="P7" s="994"/>
      <c r="Q7" s="994"/>
      <c r="R7" s="994"/>
      <c r="S7" s="994"/>
      <c r="T7" s="994"/>
      <c r="V7" s="989"/>
      <c r="W7" s="988" t="s">
        <v>349</v>
      </c>
      <c r="X7" s="991">
        <f>Capex_FO_AC!P15</f>
        <v>0</v>
      </c>
      <c r="Y7" s="991">
        <f>Capex_FO_AC!Q15</f>
        <v>0</v>
      </c>
      <c r="Z7" s="991">
        <f>Capex_FO_AC!R15</f>
        <v>0</v>
      </c>
      <c r="AA7" s="991">
        <f>Capex_FO_AC!S15</f>
        <v>0</v>
      </c>
      <c r="AB7" s="991">
        <f>Capex_FO_AC!T15</f>
        <v>0</v>
      </c>
      <c r="AC7" s="991">
        <f>Capex_FO_AC!U15</f>
        <v>0</v>
      </c>
      <c r="AD7" s="991">
        <f>Capex_FO_AC!V15</f>
        <v>0</v>
      </c>
      <c r="AE7" s="991">
        <f>Capex_FO_AC!W15</f>
        <v>0</v>
      </c>
      <c r="AF7" s="991">
        <f>Capex_FO_AC!X15</f>
        <v>0</v>
      </c>
      <c r="AG7" s="991">
        <f>Capex_FO_AC!Y15</f>
        <v>0</v>
      </c>
      <c r="AH7" s="991">
        <f>Capex_FO_AC!Z15</f>
        <v>0</v>
      </c>
      <c r="AI7" s="991">
        <f>Capex_FO_AC!AA15</f>
        <v>0</v>
      </c>
      <c r="AJ7" s="991">
        <f>Capex_FO_AC!AB15</f>
        <v>0</v>
      </c>
      <c r="AK7" s="991">
        <f>Capex_FO_AC!AC15</f>
        <v>0</v>
      </c>
      <c r="AL7" s="991">
        <f>Capex_FO_AC!AD15</f>
        <v>0</v>
      </c>
      <c r="AM7" s="991">
        <f>Capex_FO_AC!AE15</f>
        <v>0</v>
      </c>
      <c r="AN7" s="991">
        <f>Capex_FO_AC!AF15</f>
        <v>0</v>
      </c>
      <c r="AO7" s="991">
        <f>Capex_FO_AC!AG15</f>
        <v>0</v>
      </c>
    </row>
    <row r="8" spans="1:41">
      <c r="B8" s="992" t="s">
        <v>731</v>
      </c>
      <c r="C8" s="1039"/>
      <c r="D8" s="1039"/>
      <c r="E8" s="1039"/>
      <c r="F8" s="1039"/>
      <c r="G8" s="1039"/>
      <c r="H8" s="1039"/>
      <c r="I8" s="1039"/>
      <c r="J8" s="1039"/>
      <c r="K8" s="1039"/>
      <c r="L8" s="1039"/>
      <c r="M8" s="1040"/>
      <c r="N8" s="1040"/>
      <c r="O8" s="1040"/>
      <c r="P8" s="1040">
        <f ca="1">AVERAGE($P$5:$T$5)</f>
        <v>123.0171136855558</v>
      </c>
      <c r="Q8" s="1040">
        <f ca="1">AVERAGE($P$5:$T$5)</f>
        <v>123.0171136855558</v>
      </c>
      <c r="R8" s="1040">
        <f ca="1">AVERAGE($P$5:$T$5)</f>
        <v>123.0171136855558</v>
      </c>
      <c r="S8" s="1040">
        <f ca="1">AVERAGE($P$5:$T$5)</f>
        <v>123.0171136855558</v>
      </c>
      <c r="T8" s="1040">
        <f ca="1">AVERAGE($P$5:$T$5)</f>
        <v>123.0171136855558</v>
      </c>
      <c r="V8" s="989"/>
      <c r="W8" s="988" t="s">
        <v>351</v>
      </c>
      <c r="X8" s="991">
        <f>Capex_FO_AC!P16</f>
        <v>0</v>
      </c>
      <c r="Y8" s="991">
        <f>Capex_FO_AC!Q16</f>
        <v>0</v>
      </c>
      <c r="Z8" s="991">
        <f>Capex_FO_AC!R16</f>
        <v>0</v>
      </c>
      <c r="AA8" s="991">
        <f>Capex_FO_AC!S16</f>
        <v>0</v>
      </c>
      <c r="AB8" s="991">
        <f>Capex_FO_AC!T16</f>
        <v>0</v>
      </c>
      <c r="AC8" s="991">
        <f>Capex_FO_AC!U16</f>
        <v>0</v>
      </c>
      <c r="AD8" s="991">
        <f>Capex_FO_AC!V16</f>
        <v>0</v>
      </c>
      <c r="AE8" s="991">
        <f>Capex_FO_AC!W16</f>
        <v>0</v>
      </c>
      <c r="AF8" s="991">
        <f>Capex_FO_AC!X16</f>
        <v>0</v>
      </c>
      <c r="AG8" s="991">
        <f>Capex_FO_AC!Y16</f>
        <v>0</v>
      </c>
      <c r="AH8" s="991">
        <f>Capex_FO_AC!Z16</f>
        <v>0</v>
      </c>
      <c r="AI8" s="991">
        <f>Capex_FO_AC!AA16</f>
        <v>0</v>
      </c>
      <c r="AJ8" s="991">
        <f>Capex_FO_AC!AB16</f>
        <v>0</v>
      </c>
      <c r="AK8" s="991">
        <f>Capex_FO_AC!AC16</f>
        <v>0</v>
      </c>
      <c r="AL8" s="991">
        <f>Capex_FO_AC!AD16</f>
        <v>0</v>
      </c>
      <c r="AM8" s="991">
        <f>Capex_FO_AC!AE16</f>
        <v>0</v>
      </c>
      <c r="AN8" s="991">
        <f>Capex_FO_AC!AF16</f>
        <v>0</v>
      </c>
      <c r="AO8" s="991">
        <f>Capex_FO_AC!AG16</f>
        <v>0</v>
      </c>
    </row>
    <row r="9" spans="1:41">
      <c r="V9" s="989"/>
      <c r="W9" s="989" t="s">
        <v>517</v>
      </c>
      <c r="X9" s="995">
        <f t="shared" ref="X9:AK9" si="2">SUM(X4:X8)</f>
        <v>17.851385599023089</v>
      </c>
      <c r="Y9" s="995">
        <f t="shared" si="2"/>
        <v>29.564081300613495</v>
      </c>
      <c r="Z9" s="995">
        <f t="shared" si="2"/>
        <v>30.752784326655227</v>
      </c>
      <c r="AA9" s="995">
        <f t="shared" si="2"/>
        <v>50.947665715012718</v>
      </c>
      <c r="AB9" s="995">
        <f t="shared" si="2"/>
        <v>38.549908669491515</v>
      </c>
      <c r="AC9" s="995">
        <f t="shared" si="2"/>
        <v>45.534034847285071</v>
      </c>
      <c r="AD9" s="995">
        <f t="shared" si="2"/>
        <v>81.634957360502185</v>
      </c>
      <c r="AE9" s="995">
        <f t="shared" si="2"/>
        <v>85.394239999999996</v>
      </c>
      <c r="AF9" s="995">
        <f t="shared" si="2"/>
        <v>54.123402999999996</v>
      </c>
      <c r="AG9" s="995">
        <f t="shared" si="2"/>
        <v>58.27920000000001</v>
      </c>
      <c r="AH9" s="995">
        <f t="shared" si="2"/>
        <v>44.128900000000002</v>
      </c>
      <c r="AI9" s="995">
        <f t="shared" si="2"/>
        <v>51.032827000000012</v>
      </c>
      <c r="AJ9" s="995">
        <f t="shared" si="2"/>
        <v>72.166600000000003</v>
      </c>
      <c r="AK9" s="995">
        <f t="shared" si="2"/>
        <v>64.378999999999991</v>
      </c>
      <c r="AL9" s="995">
        <f>SUM(AL4:AL8)</f>
        <v>62.098999999999997</v>
      </c>
      <c r="AM9" s="995">
        <f>SUM(AM4:AM8)</f>
        <v>52.566000000000003</v>
      </c>
      <c r="AN9" s="995">
        <f>SUM(AN4:AN8)</f>
        <v>64.248999999999995</v>
      </c>
      <c r="AO9" s="995">
        <f>SUM(AO4:AO8)</f>
        <v>54.248999999999995</v>
      </c>
    </row>
    <row r="10" spans="1:41" ht="15.75">
      <c r="A10" s="987" t="s">
        <v>732</v>
      </c>
      <c r="V10" s="989"/>
    </row>
    <row r="11" spans="1:41">
      <c r="V11" s="989" t="s">
        <v>733</v>
      </c>
      <c r="X11" s="990" t="s">
        <v>355</v>
      </c>
      <c r="Y11" s="990" t="s">
        <v>356</v>
      </c>
      <c r="Z11" s="990" t="s">
        <v>357</v>
      </c>
      <c r="AA11" s="990" t="s">
        <v>358</v>
      </c>
      <c r="AB11" s="990" t="s">
        <v>359</v>
      </c>
      <c r="AC11" s="990" t="s">
        <v>524</v>
      </c>
      <c r="AD11" s="990" t="s">
        <v>525</v>
      </c>
      <c r="AE11" s="990" t="s">
        <v>526</v>
      </c>
      <c r="AF11" s="2137" t="s">
        <v>527</v>
      </c>
      <c r="AG11" s="990" t="s">
        <v>528</v>
      </c>
      <c r="AH11" s="990" t="s">
        <v>963</v>
      </c>
      <c r="AI11" s="990" t="s">
        <v>964</v>
      </c>
      <c r="AJ11" s="990" t="s">
        <v>965</v>
      </c>
      <c r="AK11" s="990" t="s">
        <v>966</v>
      </c>
      <c r="AL11" s="990" t="s">
        <v>967</v>
      </c>
      <c r="AM11" s="990" t="s">
        <v>968</v>
      </c>
      <c r="AN11" s="990" t="s">
        <v>969</v>
      </c>
      <c r="AO11" s="990" t="s">
        <v>970</v>
      </c>
    </row>
    <row r="12" spans="1:41">
      <c r="A12" s="989" t="s">
        <v>725</v>
      </c>
      <c r="C12" s="989" t="str">
        <f>K3</f>
        <v>5th Reg Period</v>
      </c>
      <c r="W12" s="996" t="s">
        <v>734</v>
      </c>
      <c r="X12" s="991"/>
      <c r="Y12" s="991"/>
      <c r="Z12" s="991"/>
      <c r="AA12" s="991"/>
      <c r="AB12" s="991"/>
      <c r="AC12" s="991"/>
      <c r="AD12" s="991"/>
      <c r="AE12" s="991"/>
      <c r="AF12" s="991">
        <f>'Capex_FO input'!D11</f>
        <v>13.190000000000001</v>
      </c>
      <c r="AG12" s="991">
        <f>'Capex_FO input'!E11</f>
        <v>11.58</v>
      </c>
      <c r="AH12" s="991">
        <f>'Capex_FO input'!F11</f>
        <v>10.99</v>
      </c>
      <c r="AI12" s="991">
        <f>'Capex_FO input'!G11</f>
        <v>10.96</v>
      </c>
      <c r="AJ12" s="991">
        <f>'Capex_FO input'!H11</f>
        <v>11.790000000000001</v>
      </c>
      <c r="AK12" s="991">
        <f>'Capex_FO input'!I11</f>
        <v>16.3</v>
      </c>
      <c r="AL12" s="991">
        <f>'Capex_FO input'!J11</f>
        <v>16.3</v>
      </c>
      <c r="AM12" s="991">
        <f>'Capex_FO input'!K11</f>
        <v>16.3</v>
      </c>
      <c r="AN12" s="991">
        <f>'Capex_FO input'!L11</f>
        <v>16.3</v>
      </c>
      <c r="AO12" s="991">
        <f>'Capex_FO input'!M11</f>
        <v>16.3</v>
      </c>
    </row>
    <row r="13" spans="1:41">
      <c r="B13" s="992" t="s">
        <v>26</v>
      </c>
      <c r="C13" s="997">
        <f>SUM('Rev&amp;RAV_FO'!X15:AB15)</f>
        <v>306.8460557331403</v>
      </c>
      <c r="W13" s="996" t="s">
        <v>735</v>
      </c>
      <c r="X13" s="991"/>
      <c r="Y13" s="991"/>
      <c r="Z13" s="991"/>
      <c r="AA13" s="991"/>
      <c r="AB13" s="991"/>
      <c r="AC13" s="991"/>
      <c r="AD13" s="991"/>
      <c r="AE13" s="991"/>
      <c r="AF13" s="991">
        <f>'Capex_FO input'!D12</f>
        <v>12.167030000000004</v>
      </c>
      <c r="AG13" s="991">
        <f>'Capex_FO input'!E12</f>
        <v>8.18</v>
      </c>
      <c r="AH13" s="991">
        <f>'Capex_FO input'!F12</f>
        <v>5.3060000000000009</v>
      </c>
      <c r="AI13" s="991">
        <f>'Capex_FO input'!G12</f>
        <v>17.382000000000005</v>
      </c>
      <c r="AJ13" s="991">
        <f>'Capex_FO input'!H12</f>
        <v>36.409999999999997</v>
      </c>
      <c r="AK13" s="991">
        <f>'Capex_FO input'!I12</f>
        <v>39.213999999999999</v>
      </c>
      <c r="AL13" s="991">
        <f>'Capex_FO input'!J12</f>
        <v>37.86</v>
      </c>
      <c r="AM13" s="991">
        <f>'Capex_FO input'!K12</f>
        <v>28.251000000000001</v>
      </c>
      <c r="AN13" s="991">
        <f>'Capex_FO input'!L12</f>
        <v>39.806999999999995</v>
      </c>
      <c r="AO13" s="991">
        <f>'Capex_FO input'!M12</f>
        <v>29.725999999999999</v>
      </c>
    </row>
    <row r="14" spans="1:41">
      <c r="B14" s="992" t="s">
        <v>66</v>
      </c>
      <c r="C14" s="993">
        <f ca="1">SUM('Rev&amp;RAV_FO'!X16:AB16)</f>
        <v>85.685978756075656</v>
      </c>
      <c r="W14" s="996" t="s">
        <v>541</v>
      </c>
      <c r="X14" s="991"/>
      <c r="Y14" s="991"/>
      <c r="Z14" s="991"/>
      <c r="AA14" s="991"/>
      <c r="AB14" s="991"/>
      <c r="AC14" s="991"/>
      <c r="AD14" s="991"/>
      <c r="AE14" s="991"/>
      <c r="AF14" s="991">
        <f>'Capex_FO input'!D13</f>
        <v>23.450372999999999</v>
      </c>
      <c r="AG14" s="991">
        <f>'Capex_FO input'!E13</f>
        <v>31.0442</v>
      </c>
      <c r="AH14" s="991">
        <f>'Capex_FO input'!F13</f>
        <v>22.981900000000003</v>
      </c>
      <c r="AI14" s="991">
        <f>'Capex_FO input'!G13</f>
        <v>18.176827000000003</v>
      </c>
      <c r="AJ14" s="991">
        <f>'Capex_FO input'!H13</f>
        <v>19.3826</v>
      </c>
      <c r="AK14" s="991">
        <f>'Capex_FO input'!I13</f>
        <v>4.2089999999999996</v>
      </c>
      <c r="AL14" s="991">
        <f>'Capex_FO input'!J13</f>
        <v>3.2090000000000001</v>
      </c>
      <c r="AM14" s="991">
        <f>'Capex_FO input'!K13</f>
        <v>3.2090000000000001</v>
      </c>
      <c r="AN14" s="991">
        <f>'Capex_FO input'!L13</f>
        <v>3.2589999999999999</v>
      </c>
      <c r="AO14" s="991">
        <f>'Capex_FO input'!M13</f>
        <v>3.2589999999999999</v>
      </c>
    </row>
    <row r="15" spans="1:41">
      <c r="B15" s="992" t="s">
        <v>555</v>
      </c>
      <c r="C15" s="991">
        <f ca="1">SUM('Rev&amp;RAV_FO'!X17:AB17)</f>
        <v>113.922601618908</v>
      </c>
      <c r="W15" s="988" t="s">
        <v>19</v>
      </c>
      <c r="X15" s="991"/>
      <c r="Y15" s="991"/>
      <c r="Z15" s="991"/>
      <c r="AA15" s="991"/>
      <c r="AB15" s="991"/>
      <c r="AC15" s="991"/>
      <c r="AD15" s="991"/>
      <c r="AE15" s="991"/>
      <c r="AF15" s="991">
        <f>'Capex_FO input'!D14</f>
        <v>1</v>
      </c>
      <c r="AG15" s="991">
        <f>'Capex_FO input'!E14</f>
        <v>3.0949999999999998</v>
      </c>
      <c r="AH15" s="991">
        <f>'Capex_FO input'!F14</f>
        <v>0.40500000000000003</v>
      </c>
      <c r="AI15" s="991">
        <f>'Capex_FO input'!G14</f>
        <v>0</v>
      </c>
      <c r="AJ15" s="991">
        <f>'Capex_FO input'!H14</f>
        <v>0</v>
      </c>
      <c r="AK15" s="991">
        <f>'Capex_FO input'!I14</f>
        <v>0</v>
      </c>
      <c r="AL15" s="991">
        <f>'Capex_FO input'!J14</f>
        <v>0</v>
      </c>
      <c r="AM15" s="991">
        <f>'Capex_FO input'!K14</f>
        <v>0</v>
      </c>
      <c r="AN15" s="991">
        <f>'Capex_FO input'!L14</f>
        <v>0</v>
      </c>
      <c r="AO15" s="991">
        <f>'Capex_FO input'!M14</f>
        <v>0</v>
      </c>
    </row>
    <row r="16" spans="1:41">
      <c r="B16" s="992" t="s">
        <v>239</v>
      </c>
      <c r="C16" s="991">
        <f>SUM('Rev&amp;RAV_FO'!X18:AB18)</f>
        <v>0</v>
      </c>
      <c r="W16" s="988" t="s">
        <v>22</v>
      </c>
      <c r="X16" s="991"/>
      <c r="Y16" s="991"/>
      <c r="Z16" s="991"/>
      <c r="AA16" s="991"/>
      <c r="AB16" s="991"/>
      <c r="AC16" s="991"/>
      <c r="AD16" s="991"/>
      <c r="AE16" s="991"/>
      <c r="AF16" s="991">
        <f>'Capex_FO input'!D15</f>
        <v>4.3159999999999998</v>
      </c>
      <c r="AG16" s="991">
        <f>'Capex_FO input'!E15</f>
        <v>4.38</v>
      </c>
      <c r="AH16" s="991">
        <f>'Capex_FO input'!F15</f>
        <v>4.4459999999999997</v>
      </c>
      <c r="AI16" s="991">
        <f>'Capex_FO input'!G15</f>
        <v>4.5140000000000002</v>
      </c>
      <c r="AJ16" s="991">
        <f>'Capex_FO input'!H15</f>
        <v>4.5839999999999996</v>
      </c>
      <c r="AK16" s="991">
        <f>'Capex_FO input'!I15</f>
        <v>4.6559999999999997</v>
      </c>
      <c r="AL16" s="991">
        <f>'Capex_FO input'!J15</f>
        <v>4.7300000000000004</v>
      </c>
      <c r="AM16" s="991">
        <f>'Capex_FO input'!K15</f>
        <v>4.806</v>
      </c>
      <c r="AN16" s="991">
        <f>'Capex_FO input'!L15</f>
        <v>4.883</v>
      </c>
      <c r="AO16" s="991">
        <f>'Capex_FO input'!M15</f>
        <v>4.9640000000000004</v>
      </c>
    </row>
    <row r="17" spans="1:42">
      <c r="B17" s="992" t="s">
        <v>377</v>
      </c>
      <c r="C17" s="991">
        <f>SUM('Rev&amp;RAV_FO'!X19:AB19)</f>
        <v>0</v>
      </c>
      <c r="W17" s="989" t="s">
        <v>517</v>
      </c>
      <c r="X17" s="995"/>
      <c r="Y17" s="995"/>
      <c r="Z17" s="995"/>
      <c r="AA17" s="995"/>
      <c r="AB17" s="995"/>
      <c r="AC17" s="995"/>
      <c r="AD17" s="995"/>
      <c r="AE17" s="995"/>
      <c r="AF17" s="995">
        <f t="shared" ref="AF17:AO17" si="3">SUM(AF12:AF16)</f>
        <v>54.12340300000001</v>
      </c>
      <c r="AG17" s="995">
        <f t="shared" si="3"/>
        <v>58.279199999999996</v>
      </c>
      <c r="AH17" s="995">
        <f t="shared" si="3"/>
        <v>44.128900000000002</v>
      </c>
      <c r="AI17" s="995">
        <f t="shared" si="3"/>
        <v>51.032827000000012</v>
      </c>
      <c r="AJ17" s="995">
        <f t="shared" si="3"/>
        <v>72.166600000000003</v>
      </c>
      <c r="AK17" s="995">
        <f t="shared" si="3"/>
        <v>64.379000000000005</v>
      </c>
      <c r="AL17" s="995">
        <f t="shared" si="3"/>
        <v>62.099000000000004</v>
      </c>
      <c r="AM17" s="995">
        <f t="shared" si="3"/>
        <v>52.566000000000003</v>
      </c>
      <c r="AN17" s="995">
        <f t="shared" si="3"/>
        <v>64.248999999999995</v>
      </c>
      <c r="AO17" s="995">
        <f t="shared" si="3"/>
        <v>54.248999999999995</v>
      </c>
    </row>
    <row r="18" spans="1:42">
      <c r="B18" s="992" t="s">
        <v>391</v>
      </c>
      <c r="C18" s="991">
        <f ca="1">SUM('Rev&amp;RAV_FO'!X20:AB20)</f>
        <v>0</v>
      </c>
      <c r="W18" s="989"/>
      <c r="X18" s="998"/>
      <c r="Y18" s="998"/>
      <c r="Z18" s="998"/>
      <c r="AA18" s="998"/>
      <c r="AB18" s="998"/>
      <c r="AC18" s="998"/>
      <c r="AD18" s="998"/>
      <c r="AE18" s="998"/>
      <c r="AF18" s="998"/>
      <c r="AG18" s="998"/>
      <c r="AH18" s="998"/>
      <c r="AI18" s="998"/>
      <c r="AJ18" s="998"/>
      <c r="AK18" s="998"/>
      <c r="AL18" s="998"/>
      <c r="AM18" s="998"/>
      <c r="AN18" s="998"/>
      <c r="AO18" s="998"/>
    </row>
    <row r="19" spans="1:42" ht="16.5" customHeight="1">
      <c r="B19" s="999" t="s">
        <v>83</v>
      </c>
      <c r="C19" s="1000">
        <f ca="1">SUM(C13:C18)</f>
        <v>506.45463610812396</v>
      </c>
      <c r="F19" s="1038"/>
      <c r="V19" s="989" t="s">
        <v>736</v>
      </c>
      <c r="W19" s="989"/>
      <c r="X19" s="990" t="s">
        <v>355</v>
      </c>
      <c r="Y19" s="990" t="s">
        <v>356</v>
      </c>
      <c r="Z19" s="990" t="s">
        <v>357</v>
      </c>
      <c r="AA19" s="990" t="s">
        <v>358</v>
      </c>
      <c r="AB19" s="990" t="s">
        <v>359</v>
      </c>
      <c r="AC19" s="990" t="s">
        <v>524</v>
      </c>
      <c r="AD19" s="990" t="s">
        <v>525</v>
      </c>
      <c r="AE19" s="990" t="s">
        <v>526</v>
      </c>
      <c r="AF19" s="2137" t="s">
        <v>527</v>
      </c>
      <c r="AG19" s="990" t="s">
        <v>528</v>
      </c>
      <c r="AH19" s="990" t="s">
        <v>963</v>
      </c>
      <c r="AI19" s="990" t="s">
        <v>964</v>
      </c>
      <c r="AJ19" s="990" t="s">
        <v>965</v>
      </c>
      <c r="AK19" s="990" t="s">
        <v>966</v>
      </c>
      <c r="AL19" s="990" t="s">
        <v>967</v>
      </c>
      <c r="AM19" s="990" t="s">
        <v>968</v>
      </c>
      <c r="AN19" s="990" t="s">
        <v>969</v>
      </c>
      <c r="AO19" s="990" t="s">
        <v>970</v>
      </c>
      <c r="AP19" s="1001" t="s">
        <v>20</v>
      </c>
    </row>
    <row r="20" spans="1:42">
      <c r="W20" s="996" t="s">
        <v>734</v>
      </c>
      <c r="X20" s="991"/>
      <c r="Y20" s="991"/>
      <c r="Z20" s="991"/>
      <c r="AA20" s="991"/>
      <c r="AB20" s="991"/>
      <c r="AC20" s="991"/>
      <c r="AD20" s="991"/>
      <c r="AE20" s="991"/>
      <c r="AF20" s="991">
        <f>SUMIFS('Capex_FO input'!AV$43:AV$1238,'Capex_FO input'!$F$43:$F$1238,$AP20,'Capex_FO input'!$E$43:$E$1238,$AP$19)</f>
        <v>7.2399999999999993</v>
      </c>
      <c r="AG20" s="991">
        <f>SUMIFS('Capex_FO input'!AW$43:AW$1238,'Capex_FO input'!$F$43:$F$1238,$AP20,'Capex_FO input'!$E$43:$E$1238,$AP$19)</f>
        <v>7.14</v>
      </c>
      <c r="AH20" s="991">
        <f>SUMIFS('Capex_FO input'!AX$43:AX$1238,'Capex_FO input'!$F$43:$F$1238,$AP20,'Capex_FO input'!$E$43:$E$1238,$AP$19)</f>
        <v>6.4899999999999993</v>
      </c>
      <c r="AI20" s="991">
        <f>SUMIFS('Capex_FO input'!AY$43:AY$1238,'Capex_FO input'!$F$43:$F$1238,$AP20,'Capex_FO input'!$E$43:$E$1238,$AP$19)</f>
        <v>5.77</v>
      </c>
      <c r="AJ20" s="991">
        <f>SUMIFS('Capex_FO input'!AZ$43:AZ$1238,'Capex_FO input'!$F$43:$F$1238,$AP20,'Capex_FO input'!$E$43:$E$1238,$AP$19)</f>
        <v>5.9399999999999995</v>
      </c>
      <c r="AK20" s="991">
        <f>SUMIFS('Capex_FO input'!BA$43:BA$1238,'Capex_FO input'!$F$43:$F$1238,$AP20,'Capex_FO input'!$E$43:$E$1238,$AP$19)</f>
        <v>10.3</v>
      </c>
      <c r="AL20" s="991">
        <f>SUMIFS('Capex_FO input'!BB$43:BB$1238,'Capex_FO input'!$F$43:$F$1238,$AP20,'Capex_FO input'!$E$43:$E$1238,$AP$19)</f>
        <v>10.3</v>
      </c>
      <c r="AM20" s="991">
        <f>SUMIFS('Capex_FO input'!BC$43:BC$1238,'Capex_FO input'!$F$43:$F$1238,$AP20,'Capex_FO input'!$E$43:$E$1238,$AP$19)</f>
        <v>10.3</v>
      </c>
      <c r="AN20" s="991">
        <f>SUMIFS('Capex_FO input'!BD$43:BD$1238,'Capex_FO input'!$F$43:$F$1238,$AP20,'Capex_FO input'!$E$43:$E$1238,$AP$19)</f>
        <v>10.3</v>
      </c>
      <c r="AO20" s="991">
        <f>SUMIFS('Capex_FO input'!BE$43:BE$1238,'Capex_FO input'!$F$43:$F$1238,$AP20,'Capex_FO input'!$E$43:$E$1238,$AP$19)</f>
        <v>10.3</v>
      </c>
      <c r="AP20" s="988" t="s">
        <v>238</v>
      </c>
    </row>
    <row r="21" spans="1:42" ht="15.75">
      <c r="A21" s="987" t="s">
        <v>737</v>
      </c>
      <c r="W21" s="996" t="s">
        <v>735</v>
      </c>
      <c r="X21" s="991"/>
      <c r="Y21" s="991"/>
      <c r="Z21" s="991"/>
      <c r="AA21" s="991"/>
      <c r="AB21" s="991"/>
      <c r="AC21" s="991"/>
      <c r="AD21" s="991"/>
      <c r="AE21" s="991"/>
      <c r="AF21" s="991">
        <f>SUMIFS('Capex_FO input'!AV$43:AV$1238,'Capex_FO input'!$F$43:$F$1238,$AP21,'Capex_FO input'!$E$43:$E$1238,$AP$19)</f>
        <v>5.2830300000000001</v>
      </c>
      <c r="AG21" s="991">
        <f>SUMIFS('Capex_FO input'!AW$43:AW$1238,'Capex_FO input'!$F$43:$F$1238,$AP21,'Capex_FO input'!$E$43:$E$1238,$AP$19)</f>
        <v>6.5999999999999988</v>
      </c>
      <c r="AH21" s="991">
        <f>SUMIFS('Capex_FO input'!AX$43:AX$1238,'Capex_FO input'!$F$43:$F$1238,$AP21,'Capex_FO input'!$E$43:$E$1238,$AP$19)</f>
        <v>9.6020000000000003</v>
      </c>
      <c r="AI21" s="991">
        <f>SUMIFS('Capex_FO input'!AY$43:AY$1238,'Capex_FO input'!$F$43:$F$1238,$AP21,'Capex_FO input'!$E$43:$E$1238,$AP$19)</f>
        <v>9.6559999999999988</v>
      </c>
      <c r="AJ21" s="991">
        <f>SUMIFS('Capex_FO input'!AZ$43:AZ$1238,'Capex_FO input'!$F$43:$F$1238,$AP21,'Capex_FO input'!$E$43:$E$1238,$AP$19)</f>
        <v>8.8949999999999996</v>
      </c>
      <c r="AK21" s="991">
        <f>SUMIFS('Capex_FO input'!BA$43:BA$1238,'Capex_FO input'!$F$43:$F$1238,$AP21,'Capex_FO input'!$E$43:$E$1238,$AP$19)</f>
        <v>2.04</v>
      </c>
      <c r="AL21" s="991">
        <f>SUMIFS('Capex_FO input'!BB$43:BB$1238,'Capex_FO input'!$F$43:$F$1238,$AP21,'Capex_FO input'!$E$43:$E$1238,$AP$19)</f>
        <v>10.94</v>
      </c>
      <c r="AM21" s="991">
        <f>SUMIFS('Capex_FO input'!BC$43:BC$1238,'Capex_FO input'!$F$43:$F$1238,$AP21,'Capex_FO input'!$E$43:$E$1238,$AP$19)</f>
        <v>2.04</v>
      </c>
      <c r="AN21" s="991">
        <f>SUMIFS('Capex_FO input'!BD$43:BD$1238,'Capex_FO input'!$F$43:$F$1238,$AP21,'Capex_FO input'!$E$43:$E$1238,$AP$19)</f>
        <v>1.04</v>
      </c>
      <c r="AO21" s="991">
        <f>SUMIFS('Capex_FO input'!BE$43:BE$1238,'Capex_FO input'!$F$43:$F$1238,$AP21,'Capex_FO input'!$E$43:$E$1238,$AP$19)</f>
        <v>1.04</v>
      </c>
      <c r="AP21" s="988" t="s">
        <v>12</v>
      </c>
    </row>
    <row r="22" spans="1:42">
      <c r="W22" s="996" t="s">
        <v>541</v>
      </c>
      <c r="X22" s="991"/>
      <c r="Y22" s="991"/>
      <c r="Z22" s="991"/>
      <c r="AA22" s="991"/>
      <c r="AB22" s="991"/>
      <c r="AC22" s="991"/>
      <c r="AD22" s="991"/>
      <c r="AE22" s="991"/>
      <c r="AF22" s="991">
        <f>SUMIFS('Capex_FO input'!AV$43:AV$1238,'Capex_FO input'!$F$43:$F$1238,$AP22,'Capex_FO input'!$E$43:$E$1238,$AP$19)</f>
        <v>8.8223730000000007</v>
      </c>
      <c r="AG22" s="991">
        <f>SUMIFS('Capex_FO input'!AW$43:AW$1238,'Capex_FO input'!$F$43:$F$1238,$AP22,'Capex_FO input'!$E$43:$E$1238,$AP$19)</f>
        <v>6.8692000000000002</v>
      </c>
      <c r="AH22" s="991">
        <f>SUMIFS('Capex_FO input'!AX$43:AX$1238,'Capex_FO input'!$F$43:$F$1238,$AP22,'Capex_FO input'!$E$43:$E$1238,$AP$19)</f>
        <v>11.546899999999997</v>
      </c>
      <c r="AI22" s="991">
        <f>SUMIFS('Capex_FO input'!AY$43:AY$1238,'Capex_FO input'!$F$43:$F$1238,$AP22,'Capex_FO input'!$E$43:$E$1238,$AP$19)</f>
        <v>14.766827000000001</v>
      </c>
      <c r="AJ22" s="991">
        <f>SUMIFS('Capex_FO input'!AZ$43:AZ$1238,'Capex_FO input'!$F$43:$F$1238,$AP22,'Capex_FO input'!$E$43:$E$1238,$AP$19)</f>
        <v>15.7826</v>
      </c>
      <c r="AK22" s="991">
        <f>SUMIFS('Capex_FO input'!BA$43:BA$1238,'Capex_FO input'!$F$43:$F$1238,$AP22,'Capex_FO input'!$E$43:$E$1238,$AP$19)</f>
        <v>4.109</v>
      </c>
      <c r="AL22" s="991">
        <f>SUMIFS('Capex_FO input'!BB$43:BB$1238,'Capex_FO input'!$F$43:$F$1238,$AP22,'Capex_FO input'!$E$43:$E$1238,$AP$19)</f>
        <v>3.109</v>
      </c>
      <c r="AM22" s="991">
        <f>SUMIFS('Capex_FO input'!BC$43:BC$1238,'Capex_FO input'!$F$43:$F$1238,$AP22,'Capex_FO input'!$E$43:$E$1238,$AP$19)</f>
        <v>3.109</v>
      </c>
      <c r="AN22" s="991">
        <f>SUMIFS('Capex_FO input'!BD$43:BD$1238,'Capex_FO input'!$F$43:$F$1238,$AP22,'Capex_FO input'!$E$43:$E$1238,$AP$19)</f>
        <v>3.1589999999999998</v>
      </c>
      <c r="AO22" s="991">
        <f>SUMIFS('Capex_FO input'!BE$43:BE$1238,'Capex_FO input'!$F$43:$F$1238,$AP22,'Capex_FO input'!$E$43:$E$1238,$AP$19)</f>
        <v>3.1589999999999998</v>
      </c>
      <c r="AP22" s="988" t="s">
        <v>516</v>
      </c>
    </row>
    <row r="23" spans="1:42">
      <c r="A23" s="989" t="s">
        <v>738</v>
      </c>
      <c r="C23" s="990" t="str">
        <f>C4</f>
        <v>2018-19</v>
      </c>
      <c r="D23" s="990" t="str">
        <f t="shared" ref="D23:T23" si="4">D4</f>
        <v>2019-20</v>
      </c>
      <c r="E23" s="990" t="str">
        <f t="shared" si="4"/>
        <v>2020-21</v>
      </c>
      <c r="F23" s="990" t="str">
        <f t="shared" si="4"/>
        <v>2021-22</v>
      </c>
      <c r="G23" s="990" t="str">
        <f t="shared" si="4"/>
        <v>2022-23</v>
      </c>
      <c r="H23" s="990" t="str">
        <f t="shared" si="4"/>
        <v>2023-24</v>
      </c>
      <c r="I23" s="990" t="str">
        <f t="shared" si="4"/>
        <v>2024-25</v>
      </c>
      <c r="J23" s="990" t="str">
        <f t="shared" si="4"/>
        <v>2025-26</v>
      </c>
      <c r="K23" s="990" t="str">
        <f t="shared" si="4"/>
        <v>2026-27</v>
      </c>
      <c r="L23" s="990" t="str">
        <f t="shared" si="4"/>
        <v>2027-28</v>
      </c>
      <c r="M23" s="990" t="str">
        <f t="shared" si="4"/>
        <v>2028-29</v>
      </c>
      <c r="N23" s="990" t="str">
        <f t="shared" si="4"/>
        <v>2029-30</v>
      </c>
      <c r="O23" s="990" t="str">
        <f t="shared" si="4"/>
        <v>2030-31</v>
      </c>
      <c r="P23" s="990" t="str">
        <f t="shared" si="4"/>
        <v>2031-32</v>
      </c>
      <c r="Q23" s="990" t="str">
        <f t="shared" si="4"/>
        <v>2032-33</v>
      </c>
      <c r="R23" s="990" t="str">
        <f t="shared" si="4"/>
        <v>2033-34</v>
      </c>
      <c r="S23" s="990" t="str">
        <f t="shared" si="4"/>
        <v>2034-35</v>
      </c>
      <c r="T23" s="990" t="str">
        <f t="shared" si="4"/>
        <v>2035-36</v>
      </c>
      <c r="W23" s="988" t="s">
        <v>19</v>
      </c>
      <c r="X23" s="991"/>
      <c r="Y23" s="991"/>
      <c r="Z23" s="991"/>
      <c r="AA23" s="991"/>
      <c r="AB23" s="991"/>
      <c r="AC23" s="991"/>
      <c r="AD23" s="991"/>
      <c r="AE23" s="991"/>
      <c r="AF23" s="991">
        <f>SUMIF('Capex_FO input'!$E$43:$E$600,$AP$19,'Capex_FO input'!Z$43:Z$600)</f>
        <v>0</v>
      </c>
      <c r="AG23" s="991">
        <f>SUMIF('Capex_FO input'!$E$43:$E$600,$AP$19,'Capex_FO input'!AA$43:AA$600)</f>
        <v>0</v>
      </c>
      <c r="AH23" s="991">
        <f>SUMIF('Capex_FO input'!$E$43:$E$600,$AP$19,'Capex_FO input'!AB$43:AB$600)</f>
        <v>0</v>
      </c>
      <c r="AI23" s="991">
        <f>SUMIF('Capex_FO input'!$E$43:$E$600,$AP$19,'Capex_FO input'!AC$43:AC$600)</f>
        <v>0</v>
      </c>
      <c r="AJ23" s="991">
        <f>SUMIF('Capex_FO input'!$E$43:$E$600,$AP$19,'Capex_FO input'!AD$43:AD$600)</f>
        <v>0</v>
      </c>
      <c r="AK23" s="991">
        <f>SUMIF('Capex_FO input'!$E$43:$E$600,$AP$19,'Capex_FO input'!AE$43:AE$600)</f>
        <v>0</v>
      </c>
      <c r="AL23" s="991">
        <f>SUMIF('Capex_FO input'!$E$43:$E$600,$AP$19,'Capex_FO input'!AF$43:AF$600)</f>
        <v>0</v>
      </c>
      <c r="AM23" s="991">
        <f>SUMIF('Capex_FO input'!$E$43:$E$600,$AP$19,'Capex_FO input'!AG$43:AG$600)</f>
        <v>0</v>
      </c>
      <c r="AN23" s="991">
        <f>SUMIF('Capex_FO input'!$E$43:$E$600,$AP$19,'Capex_FO input'!AH$43:AH$600)</f>
        <v>0</v>
      </c>
      <c r="AO23" s="991">
        <f>SUMIF('Capex_FO input'!$E$43:$E$600,$AP$19,'Capex_FO input'!AI$43:AI$600)</f>
        <v>0</v>
      </c>
    </row>
    <row r="24" spans="1:42">
      <c r="B24" s="988" t="s">
        <v>510</v>
      </c>
      <c r="C24" s="991">
        <f>IF(KeyAssumptionsPriceControl_FO!$V$32=1,RevenuePriceCap_FO!P458,RevenueTariffBasket_FO!P461+RevenueTariffBasket_FO!P463)</f>
        <v>31.485013759869492</v>
      </c>
      <c r="D24" s="991">
        <f>IF(KeyAssumptionsPriceControl_FO!$V$32=1,RevenuePriceCap_FO!Q458,RevenueTariffBasket_FO!Q461+RevenueTariffBasket_FO!Q463)</f>
        <v>31.451468024927806</v>
      </c>
      <c r="E24" s="991">
        <f>IF(KeyAssumptionsPriceControl_FO!$V$32=1,RevenuePriceCap_FO!R458,RevenueTariffBasket_FO!R461+RevenueTariffBasket_FO!R463)</f>
        <v>31.47076177365787</v>
      </c>
      <c r="F24" s="991">
        <f>IF(KeyAssumptionsPriceControl_FO!$V$32=1,RevenuePriceCap_FO!S458,RevenueTariffBasket_FO!S461+RevenueTariffBasket_FO!S463)</f>
        <v>31.244175553663617</v>
      </c>
      <c r="G24" s="991">
        <f>IF(KeyAssumptionsPriceControl_FO!$V$32=1,RevenuePriceCap_FO!T458,RevenueTariffBasket_FO!T461+RevenueTariffBasket_FO!T463)</f>
        <v>31.389056009760299</v>
      </c>
      <c r="H24" s="991">
        <f>IF(KeyAssumptionsPriceControl_FO!$V$32=1,RevenuePriceCap_FO!U458,RevenueTariffBasket_FO!U461+RevenueTariffBasket_FO!U463)</f>
        <v>32.239024534977361</v>
      </c>
      <c r="I24" s="991">
        <f>IF(KeyAssumptionsPriceControl_FO!$V$32=1,RevenuePriceCap_FO!V458,RevenueTariffBasket_FO!V461+RevenueTariffBasket_FO!V463)</f>
        <v>32.609186146207328</v>
      </c>
      <c r="J24" s="991">
        <f>IF(KeyAssumptionsPriceControl_FO!$V$32=1,RevenuePriceCap_FO!W458,RevenueTariffBasket_FO!W461+RevenueTariffBasket_FO!W463)</f>
        <v>33.938833749540905</v>
      </c>
      <c r="K24" s="991">
        <f>IF(KeyAssumptionsPriceControl_FO!$V$32=1,RevenuePriceCap_FO!X458,RevenueTariffBasket_FO!X461+RevenueTariffBasket_FO!X463)</f>
        <v>37.469760831387802</v>
      </c>
      <c r="L24" s="991">
        <f>IF(KeyAssumptionsPriceControl_FO!$V$32=1,RevenuePriceCap_FO!Y458,RevenueTariffBasket_FO!Y461+RevenueTariffBasket_FO!Y463)</f>
        <v>41.269520329340594</v>
      </c>
      <c r="M24" s="991">
        <f>IF(KeyAssumptionsPriceControl_FO!$V$32=1,RevenuePriceCap_FO!Z458,RevenueTariffBasket_FO!Z461+RevenueTariffBasket_FO!Z463)</f>
        <v>45.362697949634644</v>
      </c>
      <c r="N24" s="991">
        <f>IF(KeyAssumptionsPriceControl_FO!$V$32=1,RevenuePriceCap_FO!AA458,RevenueTariffBasket_FO!AA461+RevenueTariffBasket_FO!AA463)</f>
        <v>49.786147626585951</v>
      </c>
      <c r="O24" s="991">
        <f>IF(KeyAssumptionsPriceControl_FO!$V$32=1,RevenuePriceCap_FO!AB458,RevenueTariffBasket_FO!AB461+RevenueTariffBasket_FO!AB463)</f>
        <v>54.525079605962475</v>
      </c>
      <c r="P24" s="991">
        <f>IF(KeyAssumptionsPriceControl_FO!$V$32=1,RevenuePriceCap_FO!AC458,RevenueTariffBasket_FO!AC461+RevenueTariffBasket_FO!AC463)</f>
        <v>56.190578890344554</v>
      </c>
      <c r="Q24" s="991">
        <f>IF(KeyAssumptionsPriceControl_FO!$V$32=1,RevenuePriceCap_FO!AD458,RevenueTariffBasket_FO!AD461+RevenueTariffBasket_FO!AD463)</f>
        <v>57.933189874058272</v>
      </c>
      <c r="R24" s="991">
        <f>IF(KeyAssumptionsPriceControl_FO!$V$32=1,RevenuePriceCap_FO!AE458,RevenueTariffBasket_FO!AE461+RevenueTariffBasket_FO!AE463)</f>
        <v>59.711748439096667</v>
      </c>
      <c r="S24" s="991">
        <f>IF(KeyAssumptionsPriceControl_FO!$V$32=1,RevenuePriceCap_FO!AF458,RevenueTariffBasket_FO!AF461+RevenueTariffBasket_FO!AF463)</f>
        <v>61.601498725350197</v>
      </c>
      <c r="T24" s="991">
        <f>IF(KeyAssumptionsPriceControl_FO!$V$32=1,RevenuePriceCap_FO!AG458,RevenueTariffBasket_FO!AG461+RevenueTariffBasket_FO!AG463)</f>
        <v>63.501490306232327</v>
      </c>
      <c r="W24" s="988" t="s">
        <v>22</v>
      </c>
      <c r="X24" s="991"/>
      <c r="Y24" s="991"/>
      <c r="Z24" s="991"/>
      <c r="AA24" s="991"/>
      <c r="AB24" s="991"/>
      <c r="AC24" s="991"/>
      <c r="AD24" s="991"/>
      <c r="AE24" s="991"/>
      <c r="AF24" s="991">
        <f>SUMIF('Capex_FO input'!$E$43:$E$600,'Dashboard data'!$AP$19,'Capex_FO input'!AK$43:AK$600)</f>
        <v>0</v>
      </c>
      <c r="AG24" s="991">
        <f>SUMIF('Capex_FO input'!$E$43:$E$600,'Dashboard data'!$AP$19,'Capex_FO input'!AL$43:AL$600)</f>
        <v>0</v>
      </c>
      <c r="AH24" s="991">
        <f>SUMIF('Capex_FO input'!$E$43:$E$600,'Dashboard data'!$AP$19,'Capex_FO input'!AM$43:AM$600)</f>
        <v>0</v>
      </c>
      <c r="AI24" s="991">
        <f>SUMIF('Capex_FO input'!$E$43:$E$600,'Dashboard data'!$AP$19,'Capex_FO input'!AN$43:AN$600)</f>
        <v>0</v>
      </c>
      <c r="AJ24" s="991">
        <f>SUMIF('Capex_FO input'!$E$43:$E$600,'Dashboard data'!$AP$19,'Capex_FO input'!AO$43:AO$600)</f>
        <v>0</v>
      </c>
      <c r="AK24" s="991">
        <f>SUMIF('Capex_FO input'!$E$43:$E$600,'Dashboard data'!$AP$19,'Capex_FO input'!AP$43:AP$600)</f>
        <v>0</v>
      </c>
      <c r="AL24" s="991">
        <f>SUMIF('Capex_FO input'!$E$43:$E$600,'Dashboard data'!$AP$19,'Capex_FO input'!AQ$43:AQ$600)</f>
        <v>0</v>
      </c>
      <c r="AM24" s="991">
        <f>SUMIF('Capex_FO input'!$E$43:$E$600,'Dashboard data'!$AP$19,'Capex_FO input'!AR$43:AR$600)</f>
        <v>0</v>
      </c>
      <c r="AN24" s="991">
        <f>SUMIF('Capex_FO input'!$E$43:$E$600,'Dashboard data'!$AP$19,'Capex_FO input'!AS$43:AS$600)</f>
        <v>0</v>
      </c>
      <c r="AO24" s="991">
        <f>SUMIF('Capex_FO input'!$E$43:$E$600,'Dashboard data'!$AP$19,'Capex_FO input'!AT$43:AT$600)</f>
        <v>0</v>
      </c>
    </row>
    <row r="25" spans="1:42">
      <c r="B25" s="988" t="s">
        <v>320</v>
      </c>
      <c r="C25" s="991">
        <f>IF(KeyAssumptionsPriceControl_FO!$V$32=1,RevenuePriceCap_FO!P459,RevenueTariffBasket_FO!P462+RevenueTariffBasket_FO!P464)</f>
        <v>45.874068791880937</v>
      </c>
      <c r="D25" s="991">
        <f>IF(KeyAssumptionsPriceControl_FO!$V$32=1,RevenuePriceCap_FO!Q459,RevenueTariffBasket_FO!Q462+RevenueTariffBasket_FO!Q464)</f>
        <v>44.536292521635474</v>
      </c>
      <c r="E25" s="991">
        <f>IF(KeyAssumptionsPriceControl_FO!$V$32=1,RevenuePriceCap_FO!R459,RevenueTariffBasket_FO!R462+RevenueTariffBasket_FO!R464)</f>
        <v>43.133260341231306</v>
      </c>
      <c r="F25" s="991">
        <f>IF(KeyAssumptionsPriceControl_FO!$V$32=1,RevenuePriceCap_FO!S459,RevenueTariffBasket_FO!S462+RevenueTariffBasket_FO!S464)</f>
        <v>40.836249572430731</v>
      </c>
      <c r="G25" s="991">
        <f>IF(KeyAssumptionsPriceControl_FO!$V$32=1,RevenuePriceCap_FO!T459,RevenueTariffBasket_FO!T462+RevenueTariffBasket_FO!T464)</f>
        <v>43.248810026520019</v>
      </c>
      <c r="H25" s="991">
        <f>IF(KeyAssumptionsPriceControl_FO!$V$32=1,RevenuePriceCap_FO!U459,RevenueTariffBasket_FO!U462+RevenueTariffBasket_FO!U464)</f>
        <v>46.176636522192659</v>
      </c>
      <c r="I25" s="991">
        <f>IF(KeyAssumptionsPriceControl_FO!$V$32=1,RevenuePriceCap_FO!V459,RevenueTariffBasket_FO!V462+RevenueTariffBasket_FO!V464)</f>
        <v>49.536342322451958</v>
      </c>
      <c r="J25" s="991">
        <f>IF(KeyAssumptionsPriceControl_FO!$V$32=1,RevenuePriceCap_FO!W459,RevenueTariffBasket_FO!W462+RevenueTariffBasket_FO!W464)</f>
        <v>46.734081490363145</v>
      </c>
      <c r="K25" s="991">
        <f>IF(KeyAssumptionsPriceControl_FO!$V$32=1,RevenuePriceCap_FO!X459,RevenueTariffBasket_FO!X462+RevenueTariffBasket_FO!X464)</f>
        <v>49.313063676829941</v>
      </c>
      <c r="L25" s="991">
        <f>IF(KeyAssumptionsPriceControl_FO!$V$32=1,RevenuePriceCap_FO!Y459,RevenueTariffBasket_FO!Y462+RevenueTariffBasket_FO!Y464)</f>
        <v>51.055269379745461</v>
      </c>
      <c r="M25" s="991">
        <f>IF(KeyAssumptionsPriceControl_FO!$V$32=1,RevenuePriceCap_FO!Z459,RevenueTariffBasket_FO!Z462+RevenueTariffBasket_FO!Z464)</f>
        <v>52.862162349167818</v>
      </c>
      <c r="N25" s="991">
        <f>IF(KeyAssumptionsPriceControl_FO!$V$32=1,RevenuePriceCap_FO!AA459,RevenueTariffBasket_FO!AA462+RevenueTariffBasket_FO!AA464)</f>
        <v>54.739006408822092</v>
      </c>
      <c r="O25" s="991">
        <f>IF(KeyAssumptionsPriceControl_FO!$V$32=1,RevenuePriceCap_FO!AB459,RevenueTariffBasket_FO!AB462+RevenueTariffBasket_FO!AB464)</f>
        <v>56.688281832895619</v>
      </c>
      <c r="P25" s="991">
        <f>IF(KeyAssumptionsPriceControl_FO!$V$32=1,RevenuePriceCap_FO!AC459,RevenueTariffBasket_FO!AC462+RevenueTariffBasket_FO!AC464)</f>
        <v>58.100277249471098</v>
      </c>
      <c r="Q25" s="991">
        <f>IF(KeyAssumptionsPriceControl_FO!$V$32=1,RevenuePriceCap_FO!AD459,RevenueTariffBasket_FO!AD462+RevenueTariffBasket_FO!AD464)</f>
        <v>59.550504433330005</v>
      </c>
      <c r="R25" s="991">
        <f>IF(KeyAssumptionsPriceControl_FO!$V$32=1,RevenuePriceCap_FO!AE459,RevenueTariffBasket_FO!AE462+RevenueTariffBasket_FO!AE464)</f>
        <v>61.040066963298003</v>
      </c>
      <c r="S25" s="991">
        <f>IF(KeyAssumptionsPriceControl_FO!$V$32=1,RevenuePriceCap_FO!AF459,RevenueTariffBasket_FO!AF462+RevenueTariffBasket_FO!AF464)</f>
        <v>62.570118532682514</v>
      </c>
      <c r="T25" s="991">
        <f>IF(KeyAssumptionsPriceControl_FO!$V$32=1,RevenuePriceCap_FO!AG459,RevenueTariffBasket_FO!AG462+RevenueTariffBasket_FO!AG464)</f>
        <v>64.14183437597616</v>
      </c>
      <c r="W25" s="989" t="s">
        <v>517</v>
      </c>
      <c r="X25" s="995"/>
      <c r="Y25" s="995"/>
      <c r="Z25" s="995"/>
      <c r="AA25" s="995"/>
      <c r="AB25" s="995"/>
      <c r="AC25" s="995"/>
      <c r="AD25" s="995"/>
      <c r="AE25" s="995"/>
      <c r="AF25" s="995">
        <f>SUM(AF20:AF24)</f>
        <v>21.345402999999997</v>
      </c>
      <c r="AG25" s="995">
        <f t="shared" ref="AG25:AO25" si="5">SUM(AG20:AG24)</f>
        <v>20.609199999999998</v>
      </c>
      <c r="AH25" s="995">
        <f t="shared" si="5"/>
        <v>27.638899999999996</v>
      </c>
      <c r="AI25" s="995">
        <f t="shared" si="5"/>
        <v>30.192827000000001</v>
      </c>
      <c r="AJ25" s="995">
        <f t="shared" si="5"/>
        <v>30.617599999999999</v>
      </c>
      <c r="AK25" s="995">
        <f t="shared" si="5"/>
        <v>16.448999999999998</v>
      </c>
      <c r="AL25" s="995">
        <f t="shared" si="5"/>
        <v>24.349000000000004</v>
      </c>
      <c r="AM25" s="995">
        <f t="shared" si="5"/>
        <v>15.449</v>
      </c>
      <c r="AN25" s="995">
        <f t="shared" si="5"/>
        <v>14.498999999999999</v>
      </c>
      <c r="AO25" s="995">
        <f t="shared" si="5"/>
        <v>14.498999999999999</v>
      </c>
    </row>
    <row r="26" spans="1:42">
      <c r="B26" s="989" t="s">
        <v>559</v>
      </c>
      <c r="C26" s="995">
        <f>SUM(C24:C25)</f>
        <v>77.359082551750433</v>
      </c>
      <c r="D26" s="995">
        <f t="shared" ref="D26:T26" si="6">SUM(D24:D25)</f>
        <v>75.98776054656328</v>
      </c>
      <c r="E26" s="995">
        <f t="shared" si="6"/>
        <v>74.604022114889176</v>
      </c>
      <c r="F26" s="995">
        <f t="shared" si="6"/>
        <v>72.080425126094354</v>
      </c>
      <c r="G26" s="995">
        <f t="shared" si="6"/>
        <v>74.637866036280315</v>
      </c>
      <c r="H26" s="995">
        <f t="shared" si="6"/>
        <v>78.415661057170013</v>
      </c>
      <c r="I26" s="995">
        <f t="shared" si="6"/>
        <v>82.145528468659279</v>
      </c>
      <c r="J26" s="995">
        <f t="shared" si="6"/>
        <v>80.672915239904057</v>
      </c>
      <c r="K26" s="995">
        <f t="shared" si="6"/>
        <v>86.782824508217743</v>
      </c>
      <c r="L26" s="995">
        <f t="shared" si="6"/>
        <v>92.324789709086048</v>
      </c>
      <c r="M26" s="995">
        <f t="shared" si="6"/>
        <v>98.224860298802469</v>
      </c>
      <c r="N26" s="995">
        <f t="shared" si="6"/>
        <v>104.52515403540804</v>
      </c>
      <c r="O26" s="995">
        <f t="shared" si="6"/>
        <v>111.2133614388581</v>
      </c>
      <c r="P26" s="995">
        <f t="shared" si="6"/>
        <v>114.29085613981565</v>
      </c>
      <c r="Q26" s="995">
        <f t="shared" si="6"/>
        <v>117.48369430738828</v>
      </c>
      <c r="R26" s="995">
        <f t="shared" si="6"/>
        <v>120.75181540239467</v>
      </c>
      <c r="S26" s="995">
        <f t="shared" si="6"/>
        <v>124.17161725803271</v>
      </c>
      <c r="T26" s="995">
        <f t="shared" si="6"/>
        <v>127.64332468220849</v>
      </c>
      <c r="W26" s="989"/>
      <c r="X26" s="998"/>
      <c r="Y26" s="998"/>
      <c r="Z26" s="998"/>
      <c r="AA26" s="998"/>
      <c r="AB26" s="998"/>
      <c r="AC26" s="998"/>
      <c r="AD26" s="998"/>
      <c r="AE26" s="998"/>
      <c r="AF26" s="998"/>
      <c r="AG26" s="998"/>
      <c r="AH26" s="998"/>
      <c r="AI26" s="998"/>
      <c r="AJ26" s="998"/>
      <c r="AK26" s="998"/>
      <c r="AL26" s="998"/>
      <c r="AM26" s="998"/>
      <c r="AN26" s="998"/>
      <c r="AO26" s="998"/>
      <c r="AP26" s="998"/>
    </row>
    <row r="27" spans="1:42">
      <c r="V27" s="989" t="s">
        <v>739</v>
      </c>
      <c r="W27" s="989"/>
      <c r="X27" s="990" t="s">
        <v>355</v>
      </c>
      <c r="Y27" s="990" t="s">
        <v>356</v>
      </c>
      <c r="Z27" s="990" t="s">
        <v>357</v>
      </c>
      <c r="AA27" s="990" t="s">
        <v>358</v>
      </c>
      <c r="AB27" s="990" t="s">
        <v>359</v>
      </c>
      <c r="AC27" s="990" t="s">
        <v>524</v>
      </c>
      <c r="AD27" s="990" t="s">
        <v>525</v>
      </c>
      <c r="AE27" s="990" t="s">
        <v>526</v>
      </c>
      <c r="AF27" s="2137" t="s">
        <v>527</v>
      </c>
      <c r="AG27" s="990" t="s">
        <v>528</v>
      </c>
      <c r="AH27" s="990" t="s">
        <v>963</v>
      </c>
      <c r="AI27" s="990" t="s">
        <v>964</v>
      </c>
      <c r="AJ27" s="990" t="s">
        <v>965</v>
      </c>
      <c r="AK27" s="990" t="s">
        <v>966</v>
      </c>
      <c r="AL27" s="990" t="s">
        <v>967</v>
      </c>
      <c r="AM27" s="990" t="s">
        <v>968</v>
      </c>
      <c r="AN27" s="990" t="s">
        <v>969</v>
      </c>
      <c r="AO27" s="990" t="s">
        <v>970</v>
      </c>
      <c r="AP27" s="1001" t="s">
        <v>21</v>
      </c>
    </row>
    <row r="28" spans="1:42" ht="15.75">
      <c r="A28" s="987" t="s">
        <v>1041</v>
      </c>
      <c r="W28" s="996" t="s">
        <v>734</v>
      </c>
      <c r="X28" s="991"/>
      <c r="Y28" s="991"/>
      <c r="Z28" s="991"/>
      <c r="AA28" s="991"/>
      <c r="AB28" s="991"/>
      <c r="AC28" s="991"/>
      <c r="AD28" s="991"/>
      <c r="AE28" s="991"/>
      <c r="AF28" s="991">
        <f>SUMIFS('Capex_FO input'!AV$43:AV$1238,'Capex_FO input'!$F$43:$F$1238,$AP28,'Capex_FO input'!$E$43:$E$1238,$AP$27)</f>
        <v>5.95</v>
      </c>
      <c r="AG28" s="991">
        <f>SUMIFS('Capex_FO input'!AW$43:AW$1238,'Capex_FO input'!$F$43:$F$1238,$AP28,'Capex_FO input'!$E$43:$E$1238,$AP$27)</f>
        <v>4.4399999999999995</v>
      </c>
      <c r="AH28" s="991">
        <f>SUMIFS('Capex_FO input'!AX$43:AX$1238,'Capex_FO input'!$F$43:$F$1238,$AP28,'Capex_FO input'!$E$43:$E$1238,$AP$27)</f>
        <v>4.5</v>
      </c>
      <c r="AI28" s="991">
        <f>SUMIFS('Capex_FO input'!AY$43:AY$1238,'Capex_FO input'!$F$43:$F$1238,$AP28,'Capex_FO input'!$E$43:$E$1238,$AP$27)</f>
        <v>5.1899999999999995</v>
      </c>
      <c r="AJ28" s="991">
        <f>SUMIFS('Capex_FO input'!AZ$43:AZ$1238,'Capex_FO input'!$F$43:$F$1238,$AP28,'Capex_FO input'!$E$43:$E$1238,$AP$27)</f>
        <v>5.85</v>
      </c>
      <c r="AK28" s="991">
        <f>SUMIFS('Capex_FO input'!BA$43:BA$1238,'Capex_FO input'!$F$43:$F$1238,$AP28,'Capex_FO input'!$E$43:$E$1238,$AP$27)</f>
        <v>6</v>
      </c>
      <c r="AL28" s="991">
        <f>SUMIFS('Capex_FO input'!BB$43:BB$1238,'Capex_FO input'!$F$43:$F$1238,$AP28,'Capex_FO input'!$E$43:$E$1238,$AP$27)</f>
        <v>6</v>
      </c>
      <c r="AM28" s="991">
        <f>SUMIFS('Capex_FO input'!BC$43:BC$1238,'Capex_FO input'!$F$43:$F$1238,$AP28,'Capex_FO input'!$E$43:$E$1238,$AP$27)</f>
        <v>6</v>
      </c>
      <c r="AN28" s="991">
        <f>SUMIFS('Capex_FO input'!BD$43:BD$1238,'Capex_FO input'!$F$43:$F$1238,$AP28,'Capex_FO input'!$E$43:$E$1238,$AP$27)</f>
        <v>6</v>
      </c>
      <c r="AO28" s="991">
        <f>SUMIFS('Capex_FO input'!BE$43:BE$1238,'Capex_FO input'!$F$43:$F$1238,$AP28,'Capex_FO input'!$E$43:$E$1238,$AP$27)</f>
        <v>6</v>
      </c>
      <c r="AP28" s="988" t="s">
        <v>238</v>
      </c>
    </row>
    <row r="29" spans="1:42">
      <c r="W29" s="996" t="s">
        <v>735</v>
      </c>
      <c r="X29" s="991"/>
      <c r="Y29" s="991"/>
      <c r="Z29" s="991"/>
      <c r="AA29" s="991"/>
      <c r="AB29" s="991"/>
      <c r="AC29" s="991"/>
      <c r="AD29" s="991"/>
      <c r="AE29" s="991"/>
      <c r="AF29" s="991">
        <f>SUMIFS('Capex_FO input'!AV$43:AV$1238,'Capex_FO input'!$F$43:$F$1238,$AP29,'Capex_FO input'!$E$43:$E$1238,$AP$27)</f>
        <v>6.8840000000000012</v>
      </c>
      <c r="AG29" s="991">
        <f>SUMIFS('Capex_FO input'!AW$43:AW$1238,'Capex_FO input'!$F$43:$F$1238,$AP29,'Capex_FO input'!$E$43:$E$1238,$AP$27)</f>
        <v>1.580000000000001</v>
      </c>
      <c r="AH29" s="991">
        <f>SUMIFS('Capex_FO input'!AX$43:AX$1238,'Capex_FO input'!$F$43:$F$1238,$AP29,'Capex_FO input'!$E$43:$E$1238,$AP$27)</f>
        <v>-4.2959999999999994</v>
      </c>
      <c r="AI29" s="991">
        <f>SUMIFS('Capex_FO input'!AY$43:AY$1238,'Capex_FO input'!$F$43:$F$1238,$AP29,'Capex_FO input'!$E$43:$E$1238,$AP$27)</f>
        <v>7.726</v>
      </c>
      <c r="AJ29" s="991">
        <f>SUMIFS('Capex_FO input'!AZ$43:AZ$1238,'Capex_FO input'!$F$43:$F$1238,$AP29,'Capex_FO input'!$E$43:$E$1238,$AP$27)</f>
        <v>27.515000000000004</v>
      </c>
      <c r="AK29" s="991">
        <f>SUMIFS('Capex_FO input'!BA$43:BA$1238,'Capex_FO input'!$F$43:$F$1238,$AP29,'Capex_FO input'!$E$43:$E$1238,$AP$27)</f>
        <v>37.173999999999999</v>
      </c>
      <c r="AL29" s="991">
        <f>SUMIFS('Capex_FO input'!BB$43:BB$1238,'Capex_FO input'!$F$43:$F$1238,$AP29,'Capex_FO input'!$E$43:$E$1238,$AP$27)</f>
        <v>26.919999999999998</v>
      </c>
      <c r="AM29" s="991">
        <f>SUMIFS('Capex_FO input'!BC$43:BC$1238,'Capex_FO input'!$F$43:$F$1238,$AP29,'Capex_FO input'!$E$43:$E$1238,$AP$27)</f>
        <v>26.210999999999999</v>
      </c>
      <c r="AN29" s="991">
        <f>SUMIFS('Capex_FO input'!BD$43:BD$1238,'Capex_FO input'!$F$43:$F$1238,$AP29,'Capex_FO input'!$E$43:$E$1238,$AP$27)</f>
        <v>38.766999999999996</v>
      </c>
      <c r="AO29" s="991">
        <f>SUMIFS('Capex_FO input'!BE$43:BE$1238,'Capex_FO input'!$F$43:$F$1238,$AP29,'Capex_FO input'!$E$43:$E$1238,$AP$27)</f>
        <v>28.686</v>
      </c>
      <c r="AP29" s="988" t="s">
        <v>12</v>
      </c>
    </row>
    <row r="30" spans="1:42" ht="45">
      <c r="A30" s="999" t="s">
        <v>344</v>
      </c>
      <c r="B30" s="1002"/>
      <c r="C30" s="1003" t="s">
        <v>740</v>
      </c>
      <c r="D30" s="1003" t="s">
        <v>571</v>
      </c>
      <c r="E30" s="1003" t="s">
        <v>570</v>
      </c>
      <c r="W30" s="996" t="s">
        <v>541</v>
      </c>
      <c r="X30" s="991"/>
      <c r="Y30" s="991"/>
      <c r="Z30" s="991"/>
      <c r="AA30" s="991"/>
      <c r="AB30" s="991"/>
      <c r="AC30" s="991"/>
      <c r="AD30" s="991"/>
      <c r="AE30" s="991"/>
      <c r="AF30" s="991">
        <f>SUMIFS('Capex_FO input'!AV$43:AV$1238,'Capex_FO input'!$F$43:$F$1238,$AP30,'Capex_FO input'!$E$43:$E$1238,$AP$27)</f>
        <v>14.627999999999998</v>
      </c>
      <c r="AG30" s="991">
        <f>SUMIFS('Capex_FO input'!AW$43:AW$1238,'Capex_FO input'!$F$43:$F$1238,$AP30,'Capex_FO input'!$E$43:$E$1238,$AP$27)</f>
        <v>24.175000000000001</v>
      </c>
      <c r="AH30" s="991">
        <f>SUMIFS('Capex_FO input'!AX$43:AX$1238,'Capex_FO input'!$F$43:$F$1238,$AP30,'Capex_FO input'!$E$43:$E$1238,$AP$27)</f>
        <v>11.434999999999999</v>
      </c>
      <c r="AI30" s="991">
        <f>SUMIFS('Capex_FO input'!AY$43:AY$1238,'Capex_FO input'!$F$43:$F$1238,$AP30,'Capex_FO input'!$E$43:$E$1238,$AP$27)</f>
        <v>3.41</v>
      </c>
      <c r="AJ30" s="991">
        <f>SUMIFS('Capex_FO input'!AZ$43:AZ$1238,'Capex_FO input'!$F$43:$F$1238,$AP30,'Capex_FO input'!$E$43:$E$1238,$AP$27)</f>
        <v>3.6</v>
      </c>
      <c r="AK30" s="991">
        <f>SUMIFS('Capex_FO input'!BA$43:BA$1238,'Capex_FO input'!$F$43:$F$1238,$AP30,'Capex_FO input'!$E$43:$E$1238,$AP$27)</f>
        <v>0.1</v>
      </c>
      <c r="AL30" s="991">
        <f>SUMIFS('Capex_FO input'!BB$43:BB$1238,'Capex_FO input'!$F$43:$F$1238,$AP30,'Capex_FO input'!$E$43:$E$1238,$AP$27)</f>
        <v>0.1</v>
      </c>
      <c r="AM30" s="991">
        <f>SUMIFS('Capex_FO input'!BC$43:BC$1238,'Capex_FO input'!$F$43:$F$1238,$AP30,'Capex_FO input'!$E$43:$E$1238,$AP$27)</f>
        <v>0.1</v>
      </c>
      <c r="AN30" s="991">
        <f>SUMIFS('Capex_FO input'!BD$43:BD$1238,'Capex_FO input'!$F$43:$F$1238,$AP30,'Capex_FO input'!$E$43:$E$1238,$AP$27)</f>
        <v>0.1</v>
      </c>
      <c r="AO30" s="991">
        <f>SUMIFS('Capex_FO input'!BE$43:BE$1238,'Capex_FO input'!$F$43:$F$1238,$AP30,'Capex_FO input'!$E$43:$E$1238,$AP$27)</f>
        <v>0.1</v>
      </c>
      <c r="AP30" s="988" t="s">
        <v>516</v>
      </c>
    </row>
    <row r="31" spans="1:42">
      <c r="B31" s="988" t="s">
        <v>741</v>
      </c>
      <c r="C31" s="1004">
        <f>SUM('Rev&amp;RAV_FO'!P23:W23)</f>
        <v>636.01315090886942</v>
      </c>
      <c r="D31" s="1004">
        <f>SUM(Opex_Breakdown!P42:W42)</f>
        <v>469.89258919503379</v>
      </c>
      <c r="E31" s="991">
        <f>SUM(Capex_FO_AC!P17:W17)</f>
        <v>380.22905781858333</v>
      </c>
      <c r="W31" s="988" t="s">
        <v>19</v>
      </c>
      <c r="X31" s="991"/>
      <c r="Y31" s="991"/>
      <c r="Z31" s="991"/>
      <c r="AA31" s="991"/>
      <c r="AB31" s="991"/>
      <c r="AC31" s="991"/>
      <c r="AD31" s="991"/>
      <c r="AE31" s="991"/>
      <c r="AF31" s="991">
        <f>SUMIF('Capex_FO input'!$E$43:$E$600,$AP$27,'Capex_FO input'!Z$43:Z$600)</f>
        <v>1</v>
      </c>
      <c r="AG31" s="991">
        <f>SUMIF('Capex_FO input'!$E$43:$E$600,$AP$27,'Capex_FO input'!AA$43:AA$600)</f>
        <v>3.0949999999999998</v>
      </c>
      <c r="AH31" s="991">
        <f>SUMIF('Capex_FO input'!$E$43:$E$600,$AP$27,'Capex_FO input'!AB$43:AB$600)</f>
        <v>0.40500000000000003</v>
      </c>
      <c r="AI31" s="991">
        <f>SUMIF('Capex_FO input'!$E$43:$E$600,$AP$27,'Capex_FO input'!AC$43:AC$600)</f>
        <v>0</v>
      </c>
      <c r="AJ31" s="991">
        <f>SUMIF('Capex_FO input'!$E$43:$E$600,$AP$27,'Capex_FO input'!AD$43:AD$600)</f>
        <v>0</v>
      </c>
      <c r="AK31" s="991">
        <f>SUMIF('Capex_FO input'!$E$43:$E$600,$AP$27,'Capex_FO input'!AE$43:AE$600)</f>
        <v>0</v>
      </c>
      <c r="AL31" s="991">
        <f>SUMIF('Capex_FO input'!$E$43:$E$600,$AP$27,'Capex_FO input'!AF$43:AF$600)</f>
        <v>0</v>
      </c>
      <c r="AM31" s="991">
        <f>SUMIF('Capex_FO input'!$E$43:$E$600,$AP$27,'Capex_FO input'!AG$43:AG$600)</f>
        <v>0</v>
      </c>
      <c r="AN31" s="991">
        <f>SUMIF('Capex_FO input'!$E$43:$E$600,$AP$27,'Capex_FO input'!AH$43:AH$600)</f>
        <v>0</v>
      </c>
      <c r="AO31" s="991">
        <f>SUMIF('Capex_FO input'!$E$43:$E$600,$AP$27,'Capex_FO input'!AI$43:AI$600)</f>
        <v>0</v>
      </c>
    </row>
    <row r="32" spans="1:42">
      <c r="B32" s="988" t="s">
        <v>1040</v>
      </c>
      <c r="C32" s="1041">
        <f ca="1">SUM('Rev&amp;RAV_FO'!X23:AB23)</f>
        <v>506.45463610812396</v>
      </c>
      <c r="D32" s="1041">
        <f>SUM(Opex_Breakdown!X42:AB42)</f>
        <v>306.84605809121905</v>
      </c>
      <c r="E32" s="1042">
        <f>SUM(Capex_FO_AC!X17:AB17)</f>
        <v>279.73093</v>
      </c>
      <c r="W32" s="988" t="s">
        <v>22</v>
      </c>
      <c r="X32" s="991"/>
      <c r="Y32" s="991"/>
      <c r="Z32" s="991"/>
      <c r="AA32" s="991"/>
      <c r="AB32" s="991"/>
      <c r="AC32" s="991"/>
      <c r="AD32" s="991"/>
      <c r="AE32" s="991"/>
      <c r="AF32" s="991">
        <f>SUMIF('Capex_FO input'!$E$43:$E$601,$AP$27,'Capex_FO input'!AK$43:AK$601)</f>
        <v>4.3159999999999998</v>
      </c>
      <c r="AG32" s="991">
        <f>SUMIF('Capex_FO input'!$E$43:$E$601,$AP$27,'Capex_FO input'!AL$43:AL$601)</f>
        <v>4.38</v>
      </c>
      <c r="AH32" s="991">
        <f>SUMIF('Capex_FO input'!$E$43:$E$601,$AP$27,'Capex_FO input'!AM$43:AM$601)</f>
        <v>4.4459999999999997</v>
      </c>
      <c r="AI32" s="991">
        <f>SUMIF('Capex_FO input'!$E$43:$E$601,$AP$27,'Capex_FO input'!AN$43:AN$601)</f>
        <v>4.5140000000000002</v>
      </c>
      <c r="AJ32" s="991">
        <f>SUMIF('Capex_FO input'!$E$43:$E$601,$AP$27,'Capex_FO input'!AO$43:AO$601)</f>
        <v>4.5839999999999996</v>
      </c>
      <c r="AK32" s="991">
        <f>SUMIF('Capex_FO input'!$E$43:$E$601,$AP$27,'Capex_FO input'!AP$43:AP$601)</f>
        <v>4.6559999999999997</v>
      </c>
      <c r="AL32" s="991">
        <f>SUMIF('Capex_FO input'!$E$43:$E$601,$AP$27,'Capex_FO input'!AQ$43:AQ$601)</f>
        <v>4.7300000000000004</v>
      </c>
      <c r="AM32" s="991">
        <f>SUMIF('Capex_FO input'!$E$43:$E$601,$AP$27,'Capex_FO input'!AR$43:AR$601)</f>
        <v>4.806</v>
      </c>
      <c r="AN32" s="991">
        <f>SUMIF('Capex_FO input'!$E$43:$E$601,$AP$27,'Capex_FO input'!AS$43:AS$601)</f>
        <v>4.883</v>
      </c>
      <c r="AO32" s="991">
        <f>SUMIF('Capex_FO input'!$E$43:$E$601,$AP$27,'Capex_FO input'!AT$43:AT$601)</f>
        <v>4.9640000000000004</v>
      </c>
    </row>
    <row r="33" spans="1:41">
      <c r="W33" s="989" t="s">
        <v>517</v>
      </c>
      <c r="X33" s="995"/>
      <c r="Y33" s="995"/>
      <c r="Z33" s="995"/>
      <c r="AA33" s="995"/>
      <c r="AB33" s="995"/>
      <c r="AC33" s="995"/>
      <c r="AD33" s="995"/>
      <c r="AE33" s="995"/>
      <c r="AF33" s="995">
        <f t="shared" ref="AF33:AK33" si="7">SUM(AF28:AF32)</f>
        <v>32.777999999999999</v>
      </c>
      <c r="AG33" s="995">
        <f t="shared" si="7"/>
        <v>37.67</v>
      </c>
      <c r="AH33" s="995">
        <f t="shared" si="7"/>
        <v>16.489999999999998</v>
      </c>
      <c r="AI33" s="995">
        <f t="shared" si="7"/>
        <v>20.84</v>
      </c>
      <c r="AJ33" s="995">
        <f t="shared" si="7"/>
        <v>41.549000000000007</v>
      </c>
      <c r="AK33" s="995">
        <f t="shared" si="7"/>
        <v>47.93</v>
      </c>
      <c r="AL33" s="995">
        <f>SUM(AL28:AL32)</f>
        <v>37.75</v>
      </c>
      <c r="AM33" s="995">
        <f>SUM(AM28:AM32)</f>
        <v>37.116999999999997</v>
      </c>
      <c r="AN33" s="995">
        <f>SUM(AN28:AN32)</f>
        <v>49.75</v>
      </c>
      <c r="AO33" s="995">
        <f>SUM(AO28:AO32)</f>
        <v>39.75</v>
      </c>
    </row>
    <row r="34" spans="1:41" ht="15.75">
      <c r="A34" s="987" t="s">
        <v>742</v>
      </c>
    </row>
    <row r="35" spans="1:41">
      <c r="V35" s="989" t="s">
        <v>743</v>
      </c>
      <c r="X35" s="990" t="s">
        <v>355</v>
      </c>
      <c r="Y35" s="990" t="s">
        <v>356</v>
      </c>
      <c r="Z35" s="990" t="s">
        <v>357</v>
      </c>
      <c r="AA35" s="990" t="s">
        <v>358</v>
      </c>
      <c r="AB35" s="990" t="s">
        <v>359</v>
      </c>
      <c r="AC35" s="990" t="s">
        <v>524</v>
      </c>
      <c r="AD35" s="990" t="s">
        <v>525</v>
      </c>
      <c r="AE35" s="990" t="s">
        <v>526</v>
      </c>
      <c r="AF35" s="2137" t="s">
        <v>527</v>
      </c>
      <c r="AG35" s="990" t="s">
        <v>528</v>
      </c>
      <c r="AH35" s="990" t="s">
        <v>963</v>
      </c>
      <c r="AI35" s="990" t="s">
        <v>964</v>
      </c>
      <c r="AJ35" s="990" t="s">
        <v>965</v>
      </c>
      <c r="AK35" s="990" t="s">
        <v>966</v>
      </c>
      <c r="AL35" s="990" t="s">
        <v>967</v>
      </c>
      <c r="AM35" s="990" t="s">
        <v>968</v>
      </c>
      <c r="AN35" s="990" t="s">
        <v>969</v>
      </c>
      <c r="AO35" s="990" t="s">
        <v>970</v>
      </c>
    </row>
    <row r="36" spans="1:41">
      <c r="A36" s="989" t="s">
        <v>744</v>
      </c>
      <c r="C36" s="990" t="str">
        <f>C23</f>
        <v>2018-19</v>
      </c>
      <c r="D36" s="990" t="str">
        <f t="shared" ref="D36:T36" si="8">D23</f>
        <v>2019-20</v>
      </c>
      <c r="E36" s="990" t="str">
        <f t="shared" si="8"/>
        <v>2020-21</v>
      </c>
      <c r="F36" s="990" t="str">
        <f t="shared" si="8"/>
        <v>2021-22</v>
      </c>
      <c r="G36" s="990" t="str">
        <f t="shared" si="8"/>
        <v>2022-23</v>
      </c>
      <c r="H36" s="990" t="str">
        <f t="shared" si="8"/>
        <v>2023-24</v>
      </c>
      <c r="I36" s="990" t="str">
        <f t="shared" si="8"/>
        <v>2024-25</v>
      </c>
      <c r="J36" s="990" t="str">
        <f t="shared" si="8"/>
        <v>2025-26</v>
      </c>
      <c r="K36" s="990" t="str">
        <f t="shared" si="8"/>
        <v>2026-27</v>
      </c>
      <c r="L36" s="990" t="str">
        <f t="shared" si="8"/>
        <v>2027-28</v>
      </c>
      <c r="M36" s="990" t="str">
        <f t="shared" si="8"/>
        <v>2028-29</v>
      </c>
      <c r="N36" s="990" t="str">
        <f t="shared" si="8"/>
        <v>2029-30</v>
      </c>
      <c r="O36" s="990" t="str">
        <f t="shared" si="8"/>
        <v>2030-31</v>
      </c>
      <c r="P36" s="990" t="str">
        <f t="shared" si="8"/>
        <v>2031-32</v>
      </c>
      <c r="Q36" s="990" t="str">
        <f t="shared" si="8"/>
        <v>2032-33</v>
      </c>
      <c r="R36" s="990" t="str">
        <f t="shared" si="8"/>
        <v>2033-34</v>
      </c>
      <c r="S36" s="990" t="str">
        <f t="shared" si="8"/>
        <v>2034-35</v>
      </c>
      <c r="T36" s="990" t="str">
        <f t="shared" si="8"/>
        <v>2035-36</v>
      </c>
      <c r="W36" s="1005" t="s">
        <v>518</v>
      </c>
      <c r="X36" s="991"/>
      <c r="Y36" s="991"/>
      <c r="Z36" s="991"/>
      <c r="AA36" s="991"/>
      <c r="AB36" s="991"/>
      <c r="AC36" s="991"/>
      <c r="AD36" s="991"/>
      <c r="AE36" s="991"/>
      <c r="AF36" s="991">
        <f>'Capex_FO input'!D19</f>
        <v>23.668000000000003</v>
      </c>
      <c r="AG36" s="991">
        <f>'Capex_FO input'!E19</f>
        <v>38.370000000000005</v>
      </c>
      <c r="AH36" s="991">
        <f>'Capex_FO input'!F19</f>
        <v>29.401999999999997</v>
      </c>
      <c r="AI36" s="991">
        <f>'Capex_FO input'!G19</f>
        <v>29.835999999999999</v>
      </c>
      <c r="AJ36" s="991">
        <f>'Capex_FO input'!H19</f>
        <v>43.954000000000008</v>
      </c>
      <c r="AK36" s="991">
        <f>'Capex_FO input'!I19</f>
        <v>42.68</v>
      </c>
      <c r="AL36" s="991">
        <f>'Capex_FO input'!J19</f>
        <v>41.4</v>
      </c>
      <c r="AM36" s="991">
        <f>'Capex_FO input'!K19</f>
        <v>31.867000000000001</v>
      </c>
      <c r="AN36" s="991">
        <f>'Capex_FO input'!L19</f>
        <v>43.5</v>
      </c>
      <c r="AO36" s="991">
        <f>'Capex_FO input'!M19</f>
        <v>33.5</v>
      </c>
    </row>
    <row r="37" spans="1:41">
      <c r="A37" s="1006"/>
      <c r="B37" s="988" t="s">
        <v>745</v>
      </c>
      <c r="C37" s="991">
        <f>Opex_Breakdown!P17</f>
        <v>48.04167761989342</v>
      </c>
      <c r="D37" s="991">
        <f>Opex_Breakdown!Q17</f>
        <v>53.262533742331293</v>
      </c>
      <c r="E37" s="991">
        <f>Opex_Breakdown!R17</f>
        <v>50.409455403087478</v>
      </c>
      <c r="F37" s="991">
        <f>Opex_Breakdown!S17</f>
        <v>52.173564885496177</v>
      </c>
      <c r="G37" s="991">
        <f>Opex_Breakdown!T17</f>
        <v>58.135559322033892</v>
      </c>
      <c r="H37" s="991">
        <f>Opex_Breakdown!U17</f>
        <v>57.475843891402711</v>
      </c>
      <c r="I37" s="991">
        <f>Opex_Breakdown!V17</f>
        <v>57.607126637554572</v>
      </c>
      <c r="J37" s="991">
        <f>Opex_Breakdown!W17</f>
        <v>54.994000000000014</v>
      </c>
      <c r="K37" s="991">
        <f>Opex_Breakdown!X17</f>
        <v>56.927501659388653</v>
      </c>
      <c r="L37" s="991">
        <f>Opex_Breakdown!Y17</f>
        <v>57.746535659388655</v>
      </c>
      <c r="M37" s="991">
        <f>Opex_Breakdown!Z17</f>
        <v>57.222382659388657</v>
      </c>
      <c r="N37" s="991">
        <f>Opex_Breakdown!AA17</f>
        <v>58.098912659388652</v>
      </c>
      <c r="O37" s="991">
        <f>Opex_Breakdown!AB17</f>
        <v>58.181688659388655</v>
      </c>
      <c r="P37" s="991">
        <f>Opex_Breakdown!AC17</f>
        <v>59.036976659388657</v>
      </c>
      <c r="Q37" s="991">
        <f>Opex_Breakdown!AD17</f>
        <v>59.904816659388658</v>
      </c>
      <c r="R37" s="991">
        <f>Opex_Breakdown!AE17</f>
        <v>60.785214659388657</v>
      </c>
      <c r="S37" s="991">
        <f>Opex_Breakdown!AF17</f>
        <v>61.678456659388658</v>
      </c>
      <c r="T37" s="991">
        <f>Opex_Breakdown!AG17</f>
        <v>62.58484665938866</v>
      </c>
      <c r="W37" s="1005" t="s">
        <v>519</v>
      </c>
      <c r="X37" s="991"/>
      <c r="Y37" s="991"/>
      <c r="Z37" s="991"/>
      <c r="AA37" s="991"/>
      <c r="AB37" s="991"/>
      <c r="AC37" s="991"/>
      <c r="AD37" s="991"/>
      <c r="AE37" s="991"/>
      <c r="AF37" s="991">
        <f>'Capex_FO input'!D20</f>
        <v>0</v>
      </c>
      <c r="AG37" s="991">
        <f>'Capex_FO input'!E20</f>
        <v>0</v>
      </c>
      <c r="AH37" s="991">
        <f>'Capex_FO input'!F20</f>
        <v>0</v>
      </c>
      <c r="AI37" s="991">
        <f>'Capex_FO input'!G20</f>
        <v>0</v>
      </c>
      <c r="AJ37" s="991">
        <f>'Capex_FO input'!H20</f>
        <v>0</v>
      </c>
      <c r="AK37" s="991">
        <f>'Capex_FO input'!I20</f>
        <v>0</v>
      </c>
      <c r="AL37" s="991">
        <f>'Capex_FO input'!J20</f>
        <v>0</v>
      </c>
      <c r="AM37" s="991">
        <f>'Capex_FO input'!K20</f>
        <v>0</v>
      </c>
      <c r="AN37" s="991">
        <f>'Capex_FO input'!L20</f>
        <v>0</v>
      </c>
      <c r="AO37" s="991">
        <f>'Capex_FO input'!M20</f>
        <v>0</v>
      </c>
    </row>
    <row r="38" spans="1:41">
      <c r="A38" s="1007"/>
      <c r="B38" s="988" t="s">
        <v>746</v>
      </c>
      <c r="C38" s="991">
        <f>Opex_Breakdown!P38</f>
        <v>4.6545959147424503</v>
      </c>
      <c r="D38" s="991">
        <f>Opex_Breakdown!Q38</f>
        <v>4.694521472392637</v>
      </c>
      <c r="E38" s="991">
        <f>Opex_Breakdown!R38</f>
        <v>5.1706646655231561</v>
      </c>
      <c r="F38" s="991">
        <f>Opex_Breakdown!S38</f>
        <v>5.1446793893129783</v>
      </c>
      <c r="G38" s="991">
        <f>Opex_Breakdown!T38</f>
        <v>4.8364915254237282</v>
      </c>
      <c r="H38" s="991">
        <f>Opex_Breakdown!U38</f>
        <v>4.5669140271493216</v>
      </c>
      <c r="I38" s="991">
        <f>Opex_Breakdown!V38</f>
        <v>4.7309606986899553</v>
      </c>
      <c r="J38" s="991">
        <f>Opex_Breakdown!W38</f>
        <v>3.9939999999999998</v>
      </c>
      <c r="K38" s="991">
        <f>Opex_Breakdown!X38</f>
        <v>3.9039562682215747</v>
      </c>
      <c r="L38" s="991">
        <f>Opex_Breakdown!Y38</f>
        <v>3.8164502120715014</v>
      </c>
      <c r="M38" s="991">
        <f>Opex_Breakdown!Z38</f>
        <v>3.7314103129946563</v>
      </c>
      <c r="N38" s="991">
        <f>Opex_Breakdown!AA38</f>
        <v>3.6487670680220186</v>
      </c>
      <c r="O38" s="991">
        <f>Opex_Breakdown!AB38</f>
        <v>3.5684529329660046</v>
      </c>
      <c r="P38" s="991">
        <f>Opex_Breakdown!AC38</f>
        <v>3.4904022672167194</v>
      </c>
      <c r="Q38" s="991">
        <f>Opex_Breakdown!AD38</f>
        <v>3.4145512800939937</v>
      </c>
      <c r="R38" s="991">
        <f>Opex_Breakdown!AE38</f>
        <v>3.3408379787113649</v>
      </c>
      <c r="S38" s="991">
        <f>Opex_Breakdown!AF38</f>
        <v>3.2692021173093924</v>
      </c>
      <c r="T38" s="991">
        <f>Opex_Breakdown!AG38</f>
        <v>3.1995851480169026</v>
      </c>
      <c r="W38" s="1008" t="s">
        <v>520</v>
      </c>
      <c r="X38" s="991"/>
      <c r="Y38" s="991"/>
      <c r="Z38" s="991"/>
      <c r="AA38" s="991"/>
      <c r="AB38" s="991"/>
      <c r="AC38" s="991"/>
      <c r="AD38" s="991"/>
      <c r="AE38" s="991"/>
      <c r="AF38" s="991">
        <f>'Capex_FO input'!D21</f>
        <v>17.045403000000004</v>
      </c>
      <c r="AG38" s="991">
        <f>'Capex_FO input'!E21</f>
        <v>14.857200000000001</v>
      </c>
      <c r="AH38" s="991">
        <f>'Capex_FO input'!F21</f>
        <v>14.226899999999999</v>
      </c>
      <c r="AI38" s="991">
        <f>'Capex_FO input'!G21</f>
        <v>14.756499999999999</v>
      </c>
      <c r="AJ38" s="991">
        <f>'Capex_FO input'!H21</f>
        <v>15.912599999999999</v>
      </c>
      <c r="AK38" s="991">
        <f>'Capex_FO input'!I21</f>
        <v>20.699000000000005</v>
      </c>
      <c r="AL38" s="991">
        <f>'Capex_FO input'!J21</f>
        <v>20.699000000000005</v>
      </c>
      <c r="AM38" s="991">
        <f>'Capex_FO input'!K21</f>
        <v>20.699000000000005</v>
      </c>
      <c r="AN38" s="991">
        <f>'Capex_FO input'!L21</f>
        <v>20.699000000000005</v>
      </c>
      <c r="AO38" s="991">
        <f>'Capex_FO input'!M21</f>
        <v>20.699000000000005</v>
      </c>
    </row>
    <row r="39" spans="1:41">
      <c r="B39" s="989" t="s">
        <v>326</v>
      </c>
      <c r="C39" s="1009">
        <f t="shared" ref="C39:T39" si="9">SUM(C37:C38)</f>
        <v>52.696273534635871</v>
      </c>
      <c r="D39" s="1009">
        <f t="shared" si="9"/>
        <v>57.95705521472393</v>
      </c>
      <c r="E39" s="995">
        <f t="shared" si="9"/>
        <v>55.580120068610633</v>
      </c>
      <c r="F39" s="995">
        <f t="shared" si="9"/>
        <v>57.318244274809153</v>
      </c>
      <c r="G39" s="995">
        <f t="shared" si="9"/>
        <v>62.972050847457623</v>
      </c>
      <c r="H39" s="995">
        <f t="shared" si="9"/>
        <v>62.042757918552034</v>
      </c>
      <c r="I39" s="995">
        <f t="shared" si="9"/>
        <v>62.338087336244527</v>
      </c>
      <c r="J39" s="995">
        <f t="shared" si="9"/>
        <v>58.988000000000014</v>
      </c>
      <c r="K39" s="995">
        <f t="shared" si="9"/>
        <v>60.831457927610231</v>
      </c>
      <c r="L39" s="995">
        <f t="shared" si="9"/>
        <v>61.562985871460157</v>
      </c>
      <c r="M39" s="995">
        <f t="shared" si="9"/>
        <v>60.953792972383312</v>
      </c>
      <c r="N39" s="995">
        <f t="shared" si="9"/>
        <v>61.74767972741067</v>
      </c>
      <c r="O39" s="995">
        <f t="shared" si="9"/>
        <v>61.750141592354659</v>
      </c>
      <c r="P39" s="995">
        <f t="shared" si="9"/>
        <v>62.52737892660538</v>
      </c>
      <c r="Q39" s="995">
        <f t="shared" si="9"/>
        <v>63.319367939482653</v>
      </c>
      <c r="R39" s="995">
        <f t="shared" si="9"/>
        <v>64.12605263810002</v>
      </c>
      <c r="S39" s="995">
        <f t="shared" si="9"/>
        <v>64.947658776698049</v>
      </c>
      <c r="T39" s="995">
        <f t="shared" si="9"/>
        <v>65.784431807405568</v>
      </c>
      <c r="W39" s="1005" t="s">
        <v>521</v>
      </c>
      <c r="X39" s="991"/>
      <c r="Y39" s="991"/>
      <c r="Z39" s="991"/>
      <c r="AA39" s="991"/>
      <c r="AB39" s="991"/>
      <c r="AC39" s="991"/>
      <c r="AD39" s="991"/>
      <c r="AE39" s="991"/>
      <c r="AF39" s="991">
        <f>'Capex_FO input'!D22</f>
        <v>13.409999999999998</v>
      </c>
      <c r="AG39" s="991">
        <f>'Capex_FO input'!E22</f>
        <v>5.0519999999999996</v>
      </c>
      <c r="AH39" s="991">
        <f>'Capex_FO input'!F22</f>
        <v>0.5</v>
      </c>
      <c r="AI39" s="991">
        <f>'Capex_FO input'!G22</f>
        <v>6.4403269999999999</v>
      </c>
      <c r="AJ39" s="991">
        <f>'Capex_FO input'!H22</f>
        <v>12.3</v>
      </c>
      <c r="AK39" s="991">
        <f>'Capex_FO input'!I22</f>
        <v>1</v>
      </c>
      <c r="AL39" s="991">
        <f>'Capex_FO input'!J22</f>
        <v>0</v>
      </c>
      <c r="AM39" s="991">
        <f>'Capex_FO input'!K22</f>
        <v>0</v>
      </c>
      <c r="AN39" s="991">
        <f>'Capex_FO input'!L22</f>
        <v>0.05</v>
      </c>
      <c r="AO39" s="991">
        <f>'Capex_FO input'!M22</f>
        <v>0.05</v>
      </c>
    </row>
    <row r="40" spans="1:41">
      <c r="C40" s="1010"/>
      <c r="D40" s="1010"/>
      <c r="E40" s="1010"/>
      <c r="F40" s="1010"/>
      <c r="G40" s="1010"/>
      <c r="H40" s="1010"/>
      <c r="I40" s="1010"/>
      <c r="J40" s="1010"/>
      <c r="K40" s="1010"/>
      <c r="L40" s="1010"/>
      <c r="M40" s="1010"/>
      <c r="W40" s="1011" t="s">
        <v>517</v>
      </c>
      <c r="X40" s="995"/>
      <c r="Y40" s="995"/>
      <c r="Z40" s="995"/>
      <c r="AA40" s="995"/>
      <c r="AB40" s="995"/>
      <c r="AC40" s="995"/>
      <c r="AD40" s="995"/>
      <c r="AE40" s="995"/>
      <c r="AF40" s="995">
        <f>SUM(AF36:AF39)</f>
        <v>54.123403000000003</v>
      </c>
      <c r="AG40" s="995">
        <f t="shared" ref="AG40:AO40" si="10">SUM(AG36:AG39)</f>
        <v>58.279200000000003</v>
      </c>
      <c r="AH40" s="995">
        <f t="shared" si="10"/>
        <v>44.128899999999994</v>
      </c>
      <c r="AI40" s="995">
        <f t="shared" si="10"/>
        <v>51.032826999999997</v>
      </c>
      <c r="AJ40" s="995">
        <f t="shared" si="10"/>
        <v>72.166600000000003</v>
      </c>
      <c r="AK40" s="995">
        <f t="shared" si="10"/>
        <v>64.379000000000005</v>
      </c>
      <c r="AL40" s="995">
        <f t="shared" si="10"/>
        <v>62.099000000000004</v>
      </c>
      <c r="AM40" s="995">
        <f t="shared" si="10"/>
        <v>52.566000000000003</v>
      </c>
      <c r="AN40" s="995">
        <f t="shared" si="10"/>
        <v>64.249000000000009</v>
      </c>
      <c r="AO40" s="995">
        <f t="shared" si="10"/>
        <v>54.249000000000002</v>
      </c>
    </row>
    <row r="41" spans="1:41">
      <c r="A41" s="1066"/>
      <c r="B41" s="1052"/>
      <c r="C41" s="1052"/>
      <c r="D41" s="1052"/>
      <c r="E41" s="1052"/>
      <c r="F41" s="1052"/>
      <c r="G41" s="1052"/>
      <c r="H41" s="1915"/>
      <c r="I41" s="1915"/>
      <c r="J41" s="1915"/>
      <c r="K41" s="1915"/>
      <c r="L41" s="1915"/>
      <c r="M41" s="1915"/>
      <c r="N41" s="1915"/>
      <c r="O41" s="1915"/>
      <c r="P41" s="1915"/>
      <c r="Q41" s="1915"/>
      <c r="R41" s="1915"/>
      <c r="S41" s="1915"/>
      <c r="T41" s="1915"/>
    </row>
    <row r="42" spans="1:41">
      <c r="A42" s="1052"/>
      <c r="B42" s="1052"/>
      <c r="C42" s="1916"/>
      <c r="D42" s="1916"/>
      <c r="E42" s="1916"/>
      <c r="F42" s="1916"/>
      <c r="G42" s="1916"/>
      <c r="H42" s="1916"/>
      <c r="I42" s="1916"/>
      <c r="J42" s="1916"/>
      <c r="K42" s="1916"/>
      <c r="L42" s="1916"/>
      <c r="M42" s="1916"/>
      <c r="N42" s="1916"/>
      <c r="O42" s="1916"/>
      <c r="P42" s="1916"/>
      <c r="Q42" s="1916"/>
      <c r="R42" s="1916"/>
      <c r="S42" s="1916"/>
      <c r="T42" s="1916"/>
      <c r="V42" s="989" t="s">
        <v>747</v>
      </c>
      <c r="X42" s="990" t="s">
        <v>355</v>
      </c>
      <c r="Y42" s="990" t="s">
        <v>356</v>
      </c>
      <c r="Z42" s="990" t="s">
        <v>357</v>
      </c>
      <c r="AA42" s="990" t="s">
        <v>358</v>
      </c>
      <c r="AB42" s="990" t="s">
        <v>359</v>
      </c>
      <c r="AC42" s="990" t="s">
        <v>524</v>
      </c>
      <c r="AD42" s="990" t="s">
        <v>525</v>
      </c>
      <c r="AE42" s="990" t="s">
        <v>526</v>
      </c>
      <c r="AF42" s="2137" t="s">
        <v>527</v>
      </c>
      <c r="AG42" s="990" t="s">
        <v>528</v>
      </c>
      <c r="AH42" s="990" t="s">
        <v>963</v>
      </c>
      <c r="AI42" s="990" t="s">
        <v>964</v>
      </c>
      <c r="AJ42" s="990" t="s">
        <v>965</v>
      </c>
      <c r="AK42" s="990" t="s">
        <v>966</v>
      </c>
      <c r="AL42" s="990" t="s">
        <v>967</v>
      </c>
      <c r="AM42" s="990" t="s">
        <v>968</v>
      </c>
      <c r="AN42" s="990" t="s">
        <v>969</v>
      </c>
      <c r="AO42" s="990" t="s">
        <v>970</v>
      </c>
    </row>
    <row r="43" spans="1:41">
      <c r="A43" s="1052"/>
      <c r="B43" s="1052"/>
      <c r="C43" s="1916"/>
      <c r="D43" s="1916"/>
      <c r="E43" s="1916"/>
      <c r="F43" s="1916"/>
      <c r="G43" s="1916"/>
      <c r="H43" s="1916"/>
      <c r="I43" s="1916"/>
      <c r="J43" s="1916"/>
      <c r="K43" s="1916"/>
      <c r="L43" s="1916"/>
      <c r="M43" s="1916"/>
      <c r="N43" s="1916"/>
      <c r="O43" s="1916"/>
      <c r="P43" s="1916"/>
      <c r="Q43" s="1916"/>
      <c r="R43" s="1916"/>
      <c r="S43" s="1916"/>
      <c r="T43" s="1916"/>
      <c r="W43" s="1005" t="s">
        <v>518</v>
      </c>
      <c r="X43" s="991"/>
      <c r="Y43" s="991"/>
      <c r="Z43" s="991"/>
      <c r="AA43" s="991"/>
      <c r="AB43" s="991"/>
      <c r="AC43" s="991"/>
      <c r="AD43" s="991"/>
      <c r="AE43" s="991"/>
      <c r="AF43" s="991">
        <f>SUMIFS('Capex_FO input'!O$43:O$363,'Capex_FO input'!$H$43:$H$363,$W43,'Capex_FO input'!$E$43:$E$363,$AP$19)</f>
        <v>4.0999999999999996</v>
      </c>
      <c r="AG43" s="991">
        <f>SUMIFS('Capex_FO input'!P$43:P$363,'Capex_FO input'!$H$43:$H$363,$W43,'Capex_FO input'!$E$43:$E$363,$AP$19)</f>
        <v>6.39</v>
      </c>
      <c r="AH43" s="991">
        <f>SUMIFS('Capex_FO input'!Q$43:Q$363,'Capex_FO input'!$H$43:$H$363,$W43,'Capex_FO input'!$E$43:$E$363,$AP$19)</f>
        <v>17.661999999999999</v>
      </c>
      <c r="AI43" s="991">
        <f>SUMIFS('Capex_FO input'!R$43:R$363,'Capex_FO input'!$H$43:$H$363,$W43,'Capex_FO input'!$E$43:$E$363,$AP$19)</f>
        <v>18.515999999999998</v>
      </c>
      <c r="AJ43" s="991">
        <f>SUMIFS('Capex_FO input'!S$43:S$363,'Capex_FO input'!$H$43:$H$363,$W43,'Capex_FO input'!$E$43:$E$363,$AP$19)</f>
        <v>12.504999999999999</v>
      </c>
      <c r="AK43" s="991">
        <f>SUMIFS('Capex_FO input'!T$43:T$363,'Capex_FO input'!$H$43:$H$363,$W43,'Capex_FO input'!$E$43:$E$363,$AP$19)</f>
        <v>1</v>
      </c>
      <c r="AL43" s="991">
        <f>SUMIFS('Capex_FO input'!U$43:U$363,'Capex_FO input'!$H$43:$H$363,$W43,'Capex_FO input'!$E$43:$E$363,$AP$19)</f>
        <v>9.9</v>
      </c>
      <c r="AM43" s="991">
        <f>SUMIFS('Capex_FO input'!V$43:V$363,'Capex_FO input'!$H$43:$H$363,$W43,'Capex_FO input'!$E$43:$E$363,$AP$19)</f>
        <v>1</v>
      </c>
      <c r="AN43" s="991">
        <f>SUMIFS('Capex_FO input'!W$43:W$363,'Capex_FO input'!$H$43:$H$363,$W43,'Capex_FO input'!$E$43:$E$363,$AP$19)</f>
        <v>0</v>
      </c>
      <c r="AO43" s="991">
        <f>SUMIFS('Capex_FO input'!X$43:X$363,'Capex_FO input'!$H$43:$H$363,$W43,'Capex_FO input'!$E$43:$E$363,$AP$19)</f>
        <v>0</v>
      </c>
    </row>
    <row r="44" spans="1:41">
      <c r="A44" s="1052"/>
      <c r="B44" s="1052"/>
      <c r="C44" s="1916"/>
      <c r="D44" s="1916"/>
      <c r="E44" s="1916"/>
      <c r="F44" s="1916"/>
      <c r="G44" s="1916"/>
      <c r="H44" s="1916"/>
      <c r="I44" s="1916"/>
      <c r="J44" s="1916"/>
      <c r="K44" s="1916"/>
      <c r="L44" s="1916"/>
      <c r="M44" s="1916"/>
      <c r="N44" s="1916"/>
      <c r="O44" s="1916"/>
      <c r="P44" s="1916"/>
      <c r="Q44" s="1916"/>
      <c r="R44" s="1916"/>
      <c r="S44" s="1916"/>
      <c r="T44" s="1916"/>
      <c r="W44" s="1005" t="s">
        <v>519</v>
      </c>
      <c r="X44" s="991"/>
      <c r="Y44" s="991"/>
      <c r="Z44" s="991"/>
      <c r="AA44" s="991"/>
      <c r="AB44" s="991"/>
      <c r="AC44" s="991"/>
      <c r="AD44" s="991"/>
      <c r="AE44" s="991"/>
      <c r="AF44" s="991">
        <f>SUMIFS('Capex_FO input'!O$43:O$363,'Capex_FO input'!$H$43:$H$363,$W44,'Capex_FO input'!$E$43:$E$363,$AP$19)</f>
        <v>0</v>
      </c>
      <c r="AG44" s="991">
        <f>SUMIFS('Capex_FO input'!P$43:P$363,'Capex_FO input'!$H$43:$H$363,$W44,'Capex_FO input'!$E$43:$E$363,$AP$19)</f>
        <v>0</v>
      </c>
      <c r="AH44" s="991">
        <f>SUMIFS('Capex_FO input'!Q$43:Q$363,'Capex_FO input'!$H$43:$H$363,$W44,'Capex_FO input'!$E$43:$E$363,$AP$19)</f>
        <v>0</v>
      </c>
      <c r="AI44" s="991">
        <f>SUMIFS('Capex_FO input'!R$43:R$363,'Capex_FO input'!$H$43:$H$363,$W44,'Capex_FO input'!$E$43:$E$363,$AP$19)</f>
        <v>0</v>
      </c>
      <c r="AJ44" s="991">
        <f>SUMIFS('Capex_FO input'!S$43:S$363,'Capex_FO input'!$H$43:$H$363,$W44,'Capex_FO input'!$E$43:$E$363,$AP$19)</f>
        <v>0</v>
      </c>
      <c r="AK44" s="991">
        <f>SUMIFS('Capex_FO input'!T$43:T$363,'Capex_FO input'!$H$43:$H$363,$W44,'Capex_FO input'!$E$43:$E$363,$AP$19)</f>
        <v>0</v>
      </c>
      <c r="AL44" s="991">
        <f>SUMIFS('Capex_FO input'!U$43:U$363,'Capex_FO input'!$H$43:$H$363,$W44,'Capex_FO input'!$E$43:$E$363,$AP$19)</f>
        <v>0</v>
      </c>
      <c r="AM44" s="991">
        <f>SUMIFS('Capex_FO input'!V$43:V$363,'Capex_FO input'!$H$43:$H$363,$W44,'Capex_FO input'!$E$43:$E$363,$AP$19)</f>
        <v>0</v>
      </c>
      <c r="AN44" s="991">
        <f>SUMIFS('Capex_FO input'!W$43:W$363,'Capex_FO input'!$H$43:$H$363,$W44,'Capex_FO input'!$E$43:$E$363,$AP$19)</f>
        <v>0</v>
      </c>
      <c r="AO44" s="991">
        <f>SUMIFS('Capex_FO input'!X$43:X$363,'Capex_FO input'!$H$43:$H$363,$W44,'Capex_FO input'!$E$43:$E$363,$AP$19)</f>
        <v>0</v>
      </c>
    </row>
    <row r="45" spans="1:41">
      <c r="A45" s="1052"/>
      <c r="B45" s="1052"/>
      <c r="C45" s="1916"/>
      <c r="D45" s="1916"/>
      <c r="E45" s="1916"/>
      <c r="F45" s="1916"/>
      <c r="G45" s="1916"/>
      <c r="H45" s="1916"/>
      <c r="I45" s="1916"/>
      <c r="J45" s="1916"/>
      <c r="K45" s="1916"/>
      <c r="L45" s="1916"/>
      <c r="M45" s="1916"/>
      <c r="N45" s="1916"/>
      <c r="O45" s="1916"/>
      <c r="P45" s="1916"/>
      <c r="Q45" s="1916"/>
      <c r="R45" s="1916"/>
      <c r="S45" s="1916"/>
      <c r="T45" s="1916"/>
      <c r="W45" s="1008" t="s">
        <v>520</v>
      </c>
      <c r="X45" s="991"/>
      <c r="Y45" s="991"/>
      <c r="Z45" s="991"/>
      <c r="AA45" s="991"/>
      <c r="AB45" s="991"/>
      <c r="AC45" s="991"/>
      <c r="AD45" s="991"/>
      <c r="AE45" s="991"/>
      <c r="AF45" s="991">
        <f>SUMIFS('Capex_FO input'!O$43:O$363,'Capex_FO input'!$H$43:$H$363,$W45,'Capex_FO input'!$E$43:$E$363,$AP$19)</f>
        <v>10.845403000000001</v>
      </c>
      <c r="AG45" s="991">
        <f>SUMIFS('Capex_FO input'!P$43:P$363,'Capex_FO input'!$H$43:$H$363,$W45,'Capex_FO input'!$E$43:$E$363,$AP$19)</f>
        <v>10.167200000000001</v>
      </c>
      <c r="AH45" s="991">
        <f>SUMIFS('Capex_FO input'!Q$43:Q$363,'Capex_FO input'!$H$43:$H$363,$W45,'Capex_FO input'!$E$43:$E$363,$AP$19)</f>
        <v>9.4769000000000005</v>
      </c>
      <c r="AI45" s="991">
        <f>SUMIFS('Capex_FO input'!R$43:R$363,'Capex_FO input'!$H$43:$H$363,$W45,'Capex_FO input'!$E$43:$E$363,$AP$19)</f>
        <v>9.3165000000000013</v>
      </c>
      <c r="AJ45" s="991">
        <f>SUMIFS('Capex_FO input'!S$43:S$363,'Capex_FO input'!$H$43:$H$363,$W45,'Capex_FO input'!$E$43:$E$363,$AP$19)</f>
        <v>9.8125999999999998</v>
      </c>
      <c r="AK45" s="991">
        <f>SUMIFS('Capex_FO input'!T$43:T$363,'Capex_FO input'!$H$43:$H$363,$W45,'Capex_FO input'!$E$43:$E$363,$AP$19)</f>
        <v>14.449</v>
      </c>
      <c r="AL45" s="991">
        <f>SUMIFS('Capex_FO input'!U$43:U$363,'Capex_FO input'!$H$43:$H$363,$W45,'Capex_FO input'!$E$43:$E$363,$AP$19)</f>
        <v>14.449</v>
      </c>
      <c r="AM45" s="991">
        <f>SUMIFS('Capex_FO input'!V$43:V$363,'Capex_FO input'!$H$43:$H$363,$W45,'Capex_FO input'!$E$43:$E$363,$AP$19)</f>
        <v>14.449</v>
      </c>
      <c r="AN45" s="991">
        <f>SUMIFS('Capex_FO input'!W$43:W$363,'Capex_FO input'!$H$43:$H$363,$W45,'Capex_FO input'!$E$43:$E$363,$AP$19)</f>
        <v>14.449</v>
      </c>
      <c r="AO45" s="991">
        <f>SUMIFS('Capex_FO input'!X$43:X$363,'Capex_FO input'!$H$43:$H$363,$W45,'Capex_FO input'!$E$43:$E$363,$AP$19)</f>
        <v>14.449</v>
      </c>
    </row>
    <row r="46" spans="1:41">
      <c r="A46" s="1052"/>
      <c r="B46" s="1052"/>
      <c r="C46" s="1916"/>
      <c r="D46" s="1916"/>
      <c r="E46" s="1916"/>
      <c r="F46" s="1916"/>
      <c r="G46" s="1916"/>
      <c r="H46" s="1916"/>
      <c r="I46" s="1916"/>
      <c r="J46" s="1916"/>
      <c r="K46" s="1916"/>
      <c r="L46" s="1916"/>
      <c r="M46" s="1916"/>
      <c r="N46" s="1916"/>
      <c r="O46" s="1916"/>
      <c r="P46" s="1916"/>
      <c r="Q46" s="1916"/>
      <c r="R46" s="1916"/>
      <c r="S46" s="1916"/>
      <c r="T46" s="1916"/>
      <c r="W46" s="1005" t="s">
        <v>521</v>
      </c>
      <c r="X46" s="991"/>
      <c r="Y46" s="991"/>
      <c r="Z46" s="991"/>
      <c r="AA46" s="991"/>
      <c r="AB46" s="991"/>
      <c r="AC46" s="991"/>
      <c r="AD46" s="991"/>
      <c r="AE46" s="991"/>
      <c r="AF46" s="991">
        <f>SUMIFS('Capex_FO input'!O$43:O$363,'Capex_FO input'!$H$43:$H$363,$W46,'Capex_FO input'!$E$43:$E$363,$AP$19)</f>
        <v>6.4</v>
      </c>
      <c r="AG46" s="991">
        <f>SUMIFS('Capex_FO input'!P$43:P$363,'Capex_FO input'!$H$43:$H$363,$W46,'Capex_FO input'!$E$43:$E$363,$AP$19)</f>
        <v>4.0519999999999996</v>
      </c>
      <c r="AH46" s="991">
        <f>SUMIFS('Capex_FO input'!Q$43:Q$363,'Capex_FO input'!$H$43:$H$363,$W46,'Capex_FO input'!$E$43:$E$363,$AP$19)</f>
        <v>0.5</v>
      </c>
      <c r="AI46" s="991">
        <f>SUMIFS('Capex_FO input'!R$43:R$363,'Capex_FO input'!$H$43:$H$363,$W46,'Capex_FO input'!$E$43:$E$363,$AP$19)</f>
        <v>2.3603269999999998</v>
      </c>
      <c r="AJ46" s="991">
        <f>SUMIFS('Capex_FO input'!S$43:S$363,'Capex_FO input'!$H$43:$H$363,$W46,'Capex_FO input'!$E$43:$E$363,$AP$19)</f>
        <v>8.3000000000000007</v>
      </c>
      <c r="AK46" s="991">
        <f>SUMIFS('Capex_FO input'!T$43:T$363,'Capex_FO input'!$H$43:$H$363,$W46,'Capex_FO input'!$E$43:$E$363,$AP$19)</f>
        <v>1</v>
      </c>
      <c r="AL46" s="991">
        <f>SUMIFS('Capex_FO input'!U$43:U$363,'Capex_FO input'!$H$43:$H$363,$W46,'Capex_FO input'!$E$43:$E$363,$AP$19)</f>
        <v>0</v>
      </c>
      <c r="AM46" s="991">
        <f>SUMIFS('Capex_FO input'!V$43:V$363,'Capex_FO input'!$H$43:$H$363,$W46,'Capex_FO input'!$E$43:$E$363,$AP$19)</f>
        <v>0</v>
      </c>
      <c r="AN46" s="991">
        <f>SUMIFS('Capex_FO input'!W$43:W$363,'Capex_FO input'!$H$43:$H$363,$W46,'Capex_FO input'!$E$43:$E$363,$AP$19)</f>
        <v>0.05</v>
      </c>
      <c r="AO46" s="991">
        <f>SUMIFS('Capex_FO input'!X$43:X$363,'Capex_FO input'!$H$43:$H$363,$W46,'Capex_FO input'!$E$43:$E$363,$AP$19)</f>
        <v>0.05</v>
      </c>
    </row>
    <row r="47" spans="1:41">
      <c r="A47" s="1052"/>
      <c r="B47" s="1066"/>
      <c r="C47" s="1917"/>
      <c r="D47" s="1917"/>
      <c r="E47" s="1917"/>
      <c r="F47" s="1917"/>
      <c r="G47" s="1917"/>
      <c r="H47" s="1917"/>
      <c r="I47" s="1917"/>
      <c r="J47" s="1917"/>
      <c r="K47" s="1917"/>
      <c r="L47" s="1917"/>
      <c r="M47" s="1917"/>
      <c r="N47" s="1917"/>
      <c r="O47" s="1917"/>
      <c r="P47" s="1917"/>
      <c r="Q47" s="1917"/>
      <c r="R47" s="1917"/>
      <c r="S47" s="1917"/>
      <c r="T47" s="1917"/>
      <c r="W47" s="1011" t="s">
        <v>517</v>
      </c>
      <c r="X47" s="995"/>
      <c r="Y47" s="995"/>
      <c r="Z47" s="995"/>
      <c r="AA47" s="995"/>
      <c r="AB47" s="995"/>
      <c r="AC47" s="995"/>
      <c r="AD47" s="995"/>
      <c r="AE47" s="995"/>
      <c r="AF47" s="995">
        <f t="shared" ref="AF47:AO47" si="11">SUM(AF43:AF46)</f>
        <v>21.345403000000001</v>
      </c>
      <c r="AG47" s="995">
        <f t="shared" si="11"/>
        <v>20.609200000000001</v>
      </c>
      <c r="AH47" s="995">
        <f t="shared" si="11"/>
        <v>27.6389</v>
      </c>
      <c r="AI47" s="995">
        <f>SUM(AI43:AI46)</f>
        <v>30.192827000000001</v>
      </c>
      <c r="AJ47" s="995">
        <f t="shared" si="11"/>
        <v>30.617599999999999</v>
      </c>
      <c r="AK47" s="995">
        <f t="shared" si="11"/>
        <v>16.448999999999998</v>
      </c>
      <c r="AL47" s="995">
        <f t="shared" si="11"/>
        <v>24.349</v>
      </c>
      <c r="AM47" s="995">
        <f t="shared" si="11"/>
        <v>15.449</v>
      </c>
      <c r="AN47" s="995">
        <f t="shared" si="11"/>
        <v>14.499000000000001</v>
      </c>
      <c r="AO47" s="995">
        <f t="shared" si="11"/>
        <v>14.499000000000001</v>
      </c>
    </row>
    <row r="48" spans="1:41">
      <c r="A48" s="1052"/>
      <c r="B48" s="1052"/>
      <c r="C48" s="1916"/>
      <c r="D48" s="1916"/>
      <c r="E48" s="1916"/>
      <c r="F48" s="1916"/>
      <c r="G48" s="1916"/>
      <c r="H48" s="1916"/>
      <c r="I48" s="1916"/>
      <c r="J48" s="1916"/>
      <c r="K48" s="1916"/>
      <c r="L48" s="1916"/>
      <c r="M48" s="1916"/>
      <c r="N48" s="1052"/>
      <c r="O48" s="1052"/>
      <c r="P48" s="1052"/>
      <c r="Q48" s="1052"/>
      <c r="R48" s="1052"/>
      <c r="S48" s="1052"/>
      <c r="T48" s="1052"/>
    </row>
    <row r="49" spans="1:41">
      <c r="A49" s="1066"/>
      <c r="B49" s="1052"/>
      <c r="C49" s="1915"/>
      <c r="D49" s="1915"/>
      <c r="E49" s="1915"/>
      <c r="F49" s="1918"/>
      <c r="G49" s="1918"/>
      <c r="H49" s="1918"/>
      <c r="I49" s="1918"/>
      <c r="J49" s="1918"/>
      <c r="K49" s="1918"/>
      <c r="L49" s="1918"/>
      <c r="M49" s="1918"/>
      <c r="N49" s="1918"/>
      <c r="O49" s="1918"/>
      <c r="P49" s="1918"/>
      <c r="Q49" s="1918"/>
      <c r="R49" s="1918"/>
      <c r="S49" s="1918"/>
      <c r="T49" s="1918"/>
      <c r="V49" s="989" t="s">
        <v>748</v>
      </c>
      <c r="X49" s="990" t="s">
        <v>355</v>
      </c>
      <c r="Y49" s="990" t="s">
        <v>356</v>
      </c>
      <c r="Z49" s="990" t="s">
        <v>357</v>
      </c>
      <c r="AA49" s="990" t="s">
        <v>358</v>
      </c>
      <c r="AB49" s="990" t="s">
        <v>359</v>
      </c>
      <c r="AC49" s="990" t="s">
        <v>524</v>
      </c>
      <c r="AD49" s="990" t="s">
        <v>525</v>
      </c>
      <c r="AE49" s="990" t="s">
        <v>526</v>
      </c>
      <c r="AF49" s="2137" t="s">
        <v>527</v>
      </c>
      <c r="AG49" s="990" t="s">
        <v>528</v>
      </c>
      <c r="AH49" s="990" t="s">
        <v>963</v>
      </c>
      <c r="AI49" s="990" t="s">
        <v>964</v>
      </c>
      <c r="AJ49" s="990" t="s">
        <v>965</v>
      </c>
      <c r="AK49" s="990" t="s">
        <v>966</v>
      </c>
      <c r="AL49" s="990" t="s">
        <v>967</v>
      </c>
      <c r="AM49" s="990" t="s">
        <v>968</v>
      </c>
      <c r="AN49" s="990" t="s">
        <v>969</v>
      </c>
      <c r="AO49" s="990" t="s">
        <v>970</v>
      </c>
    </row>
    <row r="50" spans="1:41">
      <c r="A50" s="1052"/>
      <c r="B50" s="1052"/>
      <c r="C50" s="1916"/>
      <c r="D50" s="1916"/>
      <c r="E50" s="1916"/>
      <c r="F50" s="1916"/>
      <c r="G50" s="1916"/>
      <c r="H50" s="1916"/>
      <c r="I50" s="1916"/>
      <c r="J50" s="1916"/>
      <c r="K50" s="1916"/>
      <c r="L50" s="1916"/>
      <c r="M50" s="1916"/>
      <c r="N50" s="1916"/>
      <c r="O50" s="1916"/>
      <c r="P50" s="1916"/>
      <c r="Q50" s="1916"/>
      <c r="R50" s="1916"/>
      <c r="S50" s="1916"/>
      <c r="T50" s="1916"/>
      <c r="W50" s="1005" t="s">
        <v>518</v>
      </c>
      <c r="X50" s="991"/>
      <c r="Y50" s="991"/>
      <c r="Z50" s="991"/>
      <c r="AA50" s="991"/>
      <c r="AB50" s="991"/>
      <c r="AC50" s="991"/>
      <c r="AD50" s="991"/>
      <c r="AE50" s="991"/>
      <c r="AF50" s="991">
        <f>SUMIFS('Capex_FO input'!O$43:O$363,'Capex_FO input'!$H$43:$H$363,$W50,'Capex_FO input'!$E$43:$E$363,$AP$27)</f>
        <v>19.568000000000001</v>
      </c>
      <c r="AG50" s="991">
        <f>SUMIFS('Capex_FO input'!P$43:P$363,'Capex_FO input'!$H$43:$H$363,$W50,'Capex_FO input'!$E$43:$E$363,$AP$27)</f>
        <v>31.979999999999997</v>
      </c>
      <c r="AH50" s="991">
        <f>SUMIFS('Capex_FO input'!Q$43:Q$363,'Capex_FO input'!$H$43:$H$363,$W50,'Capex_FO input'!$E$43:$E$363,$AP$27)</f>
        <v>11.739999999999998</v>
      </c>
      <c r="AI50" s="991">
        <f>SUMIFS('Capex_FO input'!R$43:R$363,'Capex_FO input'!$H$43:$H$363,$W50,'Capex_FO input'!$E$43:$E$363,$AP$27)</f>
        <v>11.32</v>
      </c>
      <c r="AJ50" s="991">
        <f>SUMIFS('Capex_FO input'!S$43:S$363,'Capex_FO input'!$H$43:$H$363,$W50,'Capex_FO input'!$E$43:$E$363,$AP$27)</f>
        <v>31.449000000000002</v>
      </c>
      <c r="AK50" s="991">
        <f>SUMIFS('Capex_FO input'!T$43:T$363,'Capex_FO input'!$H$43:$H$363,$W50,'Capex_FO input'!$E$43:$E$363,$AP$27)</f>
        <v>41.68</v>
      </c>
      <c r="AL50" s="991">
        <f>SUMIFS('Capex_FO input'!U$43:U$363,'Capex_FO input'!$H$43:$H$363,$W50,'Capex_FO input'!$E$43:$E$363,$AP$27)</f>
        <v>31.5</v>
      </c>
      <c r="AM50" s="991">
        <f>SUMIFS('Capex_FO input'!V$43:V$363,'Capex_FO input'!$H$43:$H$363,$W50,'Capex_FO input'!$E$43:$E$363,$AP$27)</f>
        <v>30.867000000000001</v>
      </c>
      <c r="AN50" s="991">
        <f>SUMIFS('Capex_FO input'!W$43:W$363,'Capex_FO input'!$H$43:$H$363,$W50,'Capex_FO input'!$E$43:$E$363,$AP$27)</f>
        <v>43.5</v>
      </c>
      <c r="AO50" s="991">
        <f>SUMIFS('Capex_FO input'!X$43:X$363,'Capex_FO input'!$H$43:$H$363,$W50,'Capex_FO input'!$E$43:$E$363,$AP$27)</f>
        <v>33.5</v>
      </c>
    </row>
    <row r="51" spans="1:41">
      <c r="A51" s="1052"/>
      <c r="B51" s="1052"/>
      <c r="C51" s="1916"/>
      <c r="D51" s="1916"/>
      <c r="E51" s="1916"/>
      <c r="F51" s="1916"/>
      <c r="G51" s="1916"/>
      <c r="H51" s="1916"/>
      <c r="I51" s="1916"/>
      <c r="J51" s="1916"/>
      <c r="K51" s="1916"/>
      <c r="L51" s="1916"/>
      <c r="M51" s="1916"/>
      <c r="N51" s="1916"/>
      <c r="O51" s="1916"/>
      <c r="P51" s="1916"/>
      <c r="Q51" s="1916"/>
      <c r="R51" s="1916"/>
      <c r="S51" s="1916"/>
      <c r="T51" s="1916"/>
      <c r="W51" s="1005" t="s">
        <v>519</v>
      </c>
      <c r="X51" s="991"/>
      <c r="Y51" s="991"/>
      <c r="Z51" s="991"/>
      <c r="AA51" s="991"/>
      <c r="AB51" s="991"/>
      <c r="AC51" s="991"/>
      <c r="AD51" s="991"/>
      <c r="AE51" s="991"/>
      <c r="AF51" s="991">
        <f>SUMIFS('Capex_FO input'!O$43:O$363,'Capex_FO input'!$H$43:$H$363,$W51,'Capex_FO input'!$E$43:$E$363,$AP$27)</f>
        <v>0</v>
      </c>
      <c r="AG51" s="991">
        <f>SUMIFS('Capex_FO input'!P$43:P$363,'Capex_FO input'!$H$43:$H$363,$W51,'Capex_FO input'!$E$43:$E$363,$AP$27)</f>
        <v>0</v>
      </c>
      <c r="AH51" s="991">
        <f>SUMIFS('Capex_FO input'!Q$43:Q$363,'Capex_FO input'!$H$43:$H$363,$W51,'Capex_FO input'!$E$43:$E$363,$AP$27)</f>
        <v>0</v>
      </c>
      <c r="AI51" s="991">
        <f>SUMIFS('Capex_FO input'!R$43:R$363,'Capex_FO input'!$H$43:$H$363,$W51,'Capex_FO input'!$E$43:$E$363,$AP$27)</f>
        <v>0</v>
      </c>
      <c r="AJ51" s="991">
        <f>SUMIFS('Capex_FO input'!S$43:S$363,'Capex_FO input'!$H$43:$H$363,$W51,'Capex_FO input'!$E$43:$E$363,$AP$27)</f>
        <v>0</v>
      </c>
      <c r="AK51" s="991">
        <f>SUMIFS('Capex_FO input'!T$43:T$363,'Capex_FO input'!$H$43:$H$363,$W51,'Capex_FO input'!$E$43:$E$363,$AP$27)</f>
        <v>0</v>
      </c>
      <c r="AL51" s="991">
        <f>SUMIFS('Capex_FO input'!U$43:U$363,'Capex_FO input'!$H$43:$H$363,$W51,'Capex_FO input'!$E$43:$E$363,$AP$27)</f>
        <v>0</v>
      </c>
      <c r="AM51" s="991">
        <f>SUMIFS('Capex_FO input'!V$43:V$363,'Capex_FO input'!$H$43:$H$363,$W51,'Capex_FO input'!$E$43:$E$363,$AP$27)</f>
        <v>0</v>
      </c>
      <c r="AN51" s="991">
        <f>SUMIFS('Capex_FO input'!W$43:W$363,'Capex_FO input'!$H$43:$H$363,$W51,'Capex_FO input'!$E$43:$E$363,$AP$27)</f>
        <v>0</v>
      </c>
      <c r="AO51" s="991">
        <f>SUMIFS('Capex_FO input'!X$43:X$363,'Capex_FO input'!$H$43:$H$363,$W51,'Capex_FO input'!$E$43:$E$363,$AP$27)</f>
        <v>0</v>
      </c>
    </row>
    <row r="52" spans="1:41">
      <c r="A52" s="1052"/>
      <c r="B52" s="1052"/>
      <c r="C52" s="1916"/>
      <c r="D52" s="1916"/>
      <c r="E52" s="1916"/>
      <c r="F52" s="1916"/>
      <c r="G52" s="1916"/>
      <c r="H52" s="1916"/>
      <c r="I52" s="1916"/>
      <c r="J52" s="1916"/>
      <c r="K52" s="1916"/>
      <c r="L52" s="1916"/>
      <c r="M52" s="1916"/>
      <c r="N52" s="1916"/>
      <c r="O52" s="1916"/>
      <c r="P52" s="1916"/>
      <c r="Q52" s="1916"/>
      <c r="R52" s="1916"/>
      <c r="S52" s="1916"/>
      <c r="T52" s="1916"/>
      <c r="W52" s="1008" t="s">
        <v>520</v>
      </c>
      <c r="X52" s="991"/>
      <c r="Y52" s="991"/>
      <c r="Z52" s="991"/>
      <c r="AA52" s="991"/>
      <c r="AB52" s="991"/>
      <c r="AC52" s="991"/>
      <c r="AD52" s="991"/>
      <c r="AE52" s="991"/>
      <c r="AF52" s="991">
        <f>SUMIFS('Capex_FO input'!O$43:O$363,'Capex_FO input'!$H$43:$H$363,$W52,'Capex_FO input'!$E$43:$E$363,$AP$27)</f>
        <v>6.2</v>
      </c>
      <c r="AG52" s="991">
        <f>SUMIFS('Capex_FO input'!P$43:P$363,'Capex_FO input'!$H$43:$H$363,$W52,'Capex_FO input'!$E$43:$E$363,$AP$27)</f>
        <v>4.6899999999999995</v>
      </c>
      <c r="AH52" s="991">
        <f>SUMIFS('Capex_FO input'!Q$43:Q$363,'Capex_FO input'!$H$43:$H$363,$W52,'Capex_FO input'!$E$43:$E$363,$AP$27)</f>
        <v>4.75</v>
      </c>
      <c r="AI52" s="991">
        <f>SUMIFS('Capex_FO input'!R$43:R$363,'Capex_FO input'!$H$43:$H$363,$W52,'Capex_FO input'!$E$43:$E$363,$AP$27)</f>
        <v>5.4399999999999995</v>
      </c>
      <c r="AJ52" s="991">
        <f>SUMIFS('Capex_FO input'!S$43:S$363,'Capex_FO input'!$H$43:$H$363,$W52,'Capex_FO input'!$E$43:$E$363,$AP$27)</f>
        <v>6.1</v>
      </c>
      <c r="AK52" s="991">
        <f>SUMIFS('Capex_FO input'!T$43:T$363,'Capex_FO input'!$H$43:$H$363,$W52,'Capex_FO input'!$E$43:$E$363,$AP$27)</f>
        <v>6.25</v>
      </c>
      <c r="AL52" s="991">
        <f>SUMIFS('Capex_FO input'!U$43:U$363,'Capex_FO input'!$H$43:$H$363,$W52,'Capex_FO input'!$E$43:$E$363,$AP$27)</f>
        <v>6.25</v>
      </c>
      <c r="AM52" s="991">
        <f>SUMIFS('Capex_FO input'!V$43:V$363,'Capex_FO input'!$H$43:$H$363,$W52,'Capex_FO input'!$E$43:$E$363,$AP$27)</f>
        <v>6.25</v>
      </c>
      <c r="AN52" s="991">
        <f>SUMIFS('Capex_FO input'!W$43:W$363,'Capex_FO input'!$H$43:$H$363,$W52,'Capex_FO input'!$E$43:$E$363,$AP$27)</f>
        <v>6.25</v>
      </c>
      <c r="AO52" s="991">
        <f>SUMIFS('Capex_FO input'!X$43:X$363,'Capex_FO input'!$H$43:$H$363,$W52,'Capex_FO input'!$E$43:$E$363,$AP$27)</f>
        <v>6.25</v>
      </c>
    </row>
    <row r="53" spans="1:41">
      <c r="A53" s="1052"/>
      <c r="B53" s="1052"/>
      <c r="C53" s="1916"/>
      <c r="D53" s="1916"/>
      <c r="E53" s="1916"/>
      <c r="F53" s="1916"/>
      <c r="G53" s="1916"/>
      <c r="H53" s="1916"/>
      <c r="I53" s="1916"/>
      <c r="J53" s="1916"/>
      <c r="K53" s="1916"/>
      <c r="L53" s="1916"/>
      <c r="M53" s="1916"/>
      <c r="N53" s="1916"/>
      <c r="O53" s="1916"/>
      <c r="P53" s="1916"/>
      <c r="Q53" s="1916"/>
      <c r="R53" s="1916"/>
      <c r="S53" s="1916"/>
      <c r="T53" s="1916"/>
      <c r="W53" s="1005" t="s">
        <v>521</v>
      </c>
      <c r="X53" s="991"/>
      <c r="Y53" s="991"/>
      <c r="Z53" s="991"/>
      <c r="AA53" s="991"/>
      <c r="AB53" s="991"/>
      <c r="AC53" s="991"/>
      <c r="AD53" s="991"/>
      <c r="AE53" s="991"/>
      <c r="AF53" s="991">
        <f>SUMIFS('Capex_FO input'!O$43:O$363,'Capex_FO input'!$H$43:$H$363,$W53,'Capex_FO input'!$E$43:$E$363,$AP$27)</f>
        <v>7.01</v>
      </c>
      <c r="AG53" s="991">
        <f>SUMIFS('Capex_FO input'!P$43:P$363,'Capex_FO input'!$H$43:$H$363,$W53,'Capex_FO input'!$E$43:$E$363,$AP$27)</f>
        <v>1</v>
      </c>
      <c r="AH53" s="991">
        <f>SUMIFS('Capex_FO input'!Q$43:Q$363,'Capex_FO input'!$H$43:$H$363,$W53,'Capex_FO input'!$E$43:$E$363,$AP$27)</f>
        <v>0</v>
      </c>
      <c r="AI53" s="991">
        <f>SUMIFS('Capex_FO input'!R$43:R$363,'Capex_FO input'!$H$43:$H$363,$W53,'Capex_FO input'!$E$43:$E$363,$AP$27)</f>
        <v>4.08</v>
      </c>
      <c r="AJ53" s="991">
        <f>SUMIFS('Capex_FO input'!S$43:S$363,'Capex_FO input'!$H$43:$H$363,$W53,'Capex_FO input'!$E$43:$E$363,$AP$27)</f>
        <v>4</v>
      </c>
      <c r="AK53" s="991">
        <f>SUMIFS('Capex_FO input'!T$43:T$363,'Capex_FO input'!$H$43:$H$363,$W53,'Capex_FO input'!$E$43:$E$363,$AP$27)</f>
        <v>0</v>
      </c>
      <c r="AL53" s="991">
        <f>SUMIFS('Capex_FO input'!U$43:U$363,'Capex_FO input'!$H$43:$H$363,$W53,'Capex_FO input'!$E$43:$E$363,$AP$27)</f>
        <v>0</v>
      </c>
      <c r="AM53" s="991">
        <f>SUMIFS('Capex_FO input'!V$43:V$363,'Capex_FO input'!$H$43:$H$363,$W53,'Capex_FO input'!$E$43:$E$363,$AP$27)</f>
        <v>0</v>
      </c>
      <c r="AN53" s="991">
        <f>SUMIFS('Capex_FO input'!W$43:W$363,'Capex_FO input'!$H$43:$H$363,$W53,'Capex_FO input'!$E$43:$E$363,$AP$27)</f>
        <v>0</v>
      </c>
      <c r="AO53" s="991">
        <f>SUMIFS('Capex_FO input'!X$43:X$363,'Capex_FO input'!$H$43:$H$363,$W53,'Capex_FO input'!$E$43:$E$363,$AP$27)</f>
        <v>0</v>
      </c>
    </row>
    <row r="54" spans="1:41">
      <c r="A54" s="1052"/>
      <c r="B54" s="1052"/>
      <c r="C54" s="1916"/>
      <c r="D54" s="1916"/>
      <c r="E54" s="1916"/>
      <c r="F54" s="1916"/>
      <c r="G54" s="1916"/>
      <c r="H54" s="1916"/>
      <c r="I54" s="1916"/>
      <c r="J54" s="1916"/>
      <c r="K54" s="1916"/>
      <c r="L54" s="1916"/>
      <c r="M54" s="1916"/>
      <c r="N54" s="1916"/>
      <c r="O54" s="1916"/>
      <c r="P54" s="1916"/>
      <c r="Q54" s="1916"/>
      <c r="R54" s="1916"/>
      <c r="S54" s="1916"/>
      <c r="T54" s="1916"/>
      <c r="W54" s="1011" t="s">
        <v>517</v>
      </c>
      <c r="X54" s="995"/>
      <c r="Y54" s="995"/>
      <c r="Z54" s="995"/>
      <c r="AA54" s="995"/>
      <c r="AB54" s="995"/>
      <c r="AC54" s="995"/>
      <c r="AD54" s="995"/>
      <c r="AE54" s="995"/>
      <c r="AF54" s="995">
        <f>SUM(AF50:AF53)</f>
        <v>32.777999999999999</v>
      </c>
      <c r="AG54" s="995">
        <f t="shared" ref="AG54:AO54" si="12">SUM(AG50:AG53)</f>
        <v>37.669999999999995</v>
      </c>
      <c r="AH54" s="995">
        <f>SUM(AH50:AH53)</f>
        <v>16.489999999999998</v>
      </c>
      <c r="AI54" s="995">
        <f t="shared" si="12"/>
        <v>20.839999999999996</v>
      </c>
      <c r="AJ54" s="995">
        <f t="shared" si="12"/>
        <v>41.548999999999999</v>
      </c>
      <c r="AK54" s="995">
        <f t="shared" si="12"/>
        <v>47.93</v>
      </c>
      <c r="AL54" s="995">
        <f t="shared" si="12"/>
        <v>37.75</v>
      </c>
      <c r="AM54" s="995">
        <f t="shared" si="12"/>
        <v>37.117000000000004</v>
      </c>
      <c r="AN54" s="995">
        <f t="shared" si="12"/>
        <v>49.75</v>
      </c>
      <c r="AO54" s="995">
        <f t="shared" si="12"/>
        <v>39.75</v>
      </c>
    </row>
    <row r="55" spans="1:41">
      <c r="A55" s="1052"/>
      <c r="B55" s="1066"/>
      <c r="C55" s="1917"/>
      <c r="D55" s="1917"/>
      <c r="E55" s="1917"/>
      <c r="F55" s="1917"/>
      <c r="G55" s="1917"/>
      <c r="H55" s="1917"/>
      <c r="I55" s="1917"/>
      <c r="J55" s="1917"/>
      <c r="K55" s="1917"/>
      <c r="L55" s="1917"/>
      <c r="M55" s="1917"/>
      <c r="N55" s="1917"/>
      <c r="O55" s="1917"/>
      <c r="P55" s="1917"/>
      <c r="Q55" s="1917"/>
      <c r="R55" s="1917"/>
      <c r="S55" s="1917"/>
      <c r="T55" s="1917"/>
    </row>
    <row r="56" spans="1:41">
      <c r="C56" s="1010"/>
      <c r="D56" s="1010"/>
      <c r="E56" s="1010"/>
      <c r="F56" s="1010"/>
      <c r="G56" s="1010"/>
      <c r="H56" s="1010"/>
      <c r="I56" s="1010"/>
      <c r="J56" s="1010"/>
      <c r="K56" s="1010"/>
      <c r="L56" s="1010"/>
      <c r="M56" s="1010"/>
      <c r="V56" s="989" t="s">
        <v>749</v>
      </c>
      <c r="X56" s="990" t="s">
        <v>355</v>
      </c>
      <c r="Y56" s="990" t="s">
        <v>356</v>
      </c>
      <c r="Z56" s="990" t="s">
        <v>357</v>
      </c>
      <c r="AA56" s="990" t="s">
        <v>358</v>
      </c>
      <c r="AB56" s="990" t="s">
        <v>359</v>
      </c>
      <c r="AC56" s="990" t="s">
        <v>524</v>
      </c>
      <c r="AD56" s="990" t="s">
        <v>525</v>
      </c>
      <c r="AE56" s="990" t="s">
        <v>526</v>
      </c>
      <c r="AF56" s="990" t="s">
        <v>527</v>
      </c>
      <c r="AG56" s="990" t="s">
        <v>528</v>
      </c>
      <c r="AH56" s="990" t="s">
        <v>963</v>
      </c>
      <c r="AI56" s="990" t="s">
        <v>964</v>
      </c>
      <c r="AJ56" s="990" t="s">
        <v>965</v>
      </c>
      <c r="AK56" s="990" t="s">
        <v>966</v>
      </c>
      <c r="AL56" s="990" t="s">
        <v>967</v>
      </c>
      <c r="AM56" s="990" t="s">
        <v>968</v>
      </c>
      <c r="AN56" s="990" t="s">
        <v>969</v>
      </c>
      <c r="AO56" s="990" t="s">
        <v>970</v>
      </c>
    </row>
    <row r="57" spans="1:41">
      <c r="A57" s="989" t="s">
        <v>750</v>
      </c>
      <c r="C57" s="990" t="str">
        <f>C36</f>
        <v>2018-19</v>
      </c>
      <c r="D57" s="990" t="str">
        <f t="shared" ref="D57:T57" si="13">D36</f>
        <v>2019-20</v>
      </c>
      <c r="E57" s="990" t="str">
        <f t="shared" si="13"/>
        <v>2020-21</v>
      </c>
      <c r="F57" s="990" t="str">
        <f t="shared" si="13"/>
        <v>2021-22</v>
      </c>
      <c r="G57" s="990" t="str">
        <f t="shared" si="13"/>
        <v>2022-23</v>
      </c>
      <c r="H57" s="990" t="str">
        <f t="shared" si="13"/>
        <v>2023-24</v>
      </c>
      <c r="I57" s="990" t="str">
        <f t="shared" si="13"/>
        <v>2024-25</v>
      </c>
      <c r="J57" s="990" t="str">
        <f t="shared" si="13"/>
        <v>2025-26</v>
      </c>
      <c r="K57" s="990" t="str">
        <f t="shared" si="13"/>
        <v>2026-27</v>
      </c>
      <c r="L57" s="990" t="str">
        <f t="shared" si="13"/>
        <v>2027-28</v>
      </c>
      <c r="M57" s="990" t="str">
        <f t="shared" si="13"/>
        <v>2028-29</v>
      </c>
      <c r="N57" s="990" t="str">
        <f t="shared" si="13"/>
        <v>2029-30</v>
      </c>
      <c r="O57" s="990" t="str">
        <f t="shared" si="13"/>
        <v>2030-31</v>
      </c>
      <c r="P57" s="990" t="str">
        <f t="shared" si="13"/>
        <v>2031-32</v>
      </c>
      <c r="Q57" s="990" t="str">
        <f t="shared" si="13"/>
        <v>2032-33</v>
      </c>
      <c r="R57" s="990" t="str">
        <f t="shared" si="13"/>
        <v>2033-34</v>
      </c>
      <c r="S57" s="990" t="str">
        <f t="shared" si="13"/>
        <v>2034-35</v>
      </c>
      <c r="T57" s="990" t="str">
        <f t="shared" si="13"/>
        <v>2035-36</v>
      </c>
      <c r="W57" s="988" t="s">
        <v>20</v>
      </c>
      <c r="X57" s="991"/>
      <c r="Y57" s="991"/>
      <c r="Z57" s="991"/>
      <c r="AA57" s="991"/>
      <c r="AB57" s="991"/>
      <c r="AC57" s="991"/>
      <c r="AD57" s="991"/>
      <c r="AE57" s="991"/>
      <c r="AF57" s="991">
        <f>SUMIFS('Capex_FO input'!O$43:O$504,'Capex_FO input'!$H$43:$H$504,$W$52,'Capex_FO input'!$E$43:$E$504,$W57) + SUMIFS('Capex_FO input'!O$43:O$504,'Capex_FO input'!$H$43:$H$504,$W$53,'Capex_FO input'!$E$43:$E$504,$W57)</f>
        <v>17.245403000000003</v>
      </c>
      <c r="AG57" s="991">
        <f>SUMIFS('Capex_FO input'!P$43:P$504,'Capex_FO input'!$H$43:$H$504,$W$52,'Capex_FO input'!$E$43:$E$504,$W57) + SUMIFS('Capex_FO input'!P$43:P$504,'Capex_FO input'!$H$43:$H$504,$W$53,'Capex_FO input'!$E$43:$E$504,$W57)</f>
        <v>14.219200000000001</v>
      </c>
      <c r="AH57" s="991">
        <f>SUMIFS('Capex_FO input'!Q$43:Q$504,'Capex_FO input'!$H$43:$H$504,$W$52,'Capex_FO input'!$E$43:$E$504,$W57) + SUMIFS('Capex_FO input'!Q$43:Q$504,'Capex_FO input'!$H$43:$H$504,$W$53,'Capex_FO input'!$E$43:$E$504,$W57)</f>
        <v>9.9769000000000005</v>
      </c>
      <c r="AI57" s="991">
        <f>SUMIFS('Capex_FO input'!R$43:R$504,'Capex_FO input'!$H$43:$H$504,$W$52,'Capex_FO input'!$E$43:$E$504,$W57) + SUMIFS('Capex_FO input'!R$43:R$504,'Capex_FO input'!$H$43:$H$504,$W$53,'Capex_FO input'!$E$43:$E$504,$W57)</f>
        <v>11.676827000000001</v>
      </c>
      <c r="AJ57" s="991">
        <f>SUMIFS('Capex_FO input'!S$43:S$504,'Capex_FO input'!$H$43:$H$504,$W$52,'Capex_FO input'!$E$43:$E$504,$W57) + SUMIFS('Capex_FO input'!S$43:S$504,'Capex_FO input'!$H$43:$H$504,$W$53,'Capex_FO input'!$E$43:$E$504,$W57)</f>
        <v>18.1126</v>
      </c>
      <c r="AK57" s="991">
        <f>SUMIFS('Capex_FO input'!T$43:T$504,'Capex_FO input'!$H$43:$H$504,$W$52,'Capex_FO input'!$E$43:$E$504,$W57) + SUMIFS('Capex_FO input'!T$43:T$504,'Capex_FO input'!$H$43:$H$504,$W$53,'Capex_FO input'!$E$43:$E$504,$W57)</f>
        <v>15.449</v>
      </c>
      <c r="AL57" s="991">
        <f>SUMIFS('Capex_FO input'!U$43:U$504,'Capex_FO input'!$H$43:$H$504,$W$52,'Capex_FO input'!$E$43:$E$504,$W57) + SUMIFS('Capex_FO input'!U$43:U$504,'Capex_FO input'!$H$43:$H$504,$W$53,'Capex_FO input'!$E$43:$E$504,$W57)</f>
        <v>14.449</v>
      </c>
      <c r="AM57" s="991">
        <f>SUMIFS('Capex_FO input'!V$43:V$504,'Capex_FO input'!$H$43:$H$504,$W$52,'Capex_FO input'!$E$43:$E$504,$W57) + SUMIFS('Capex_FO input'!V$43:V$504,'Capex_FO input'!$H$43:$H$504,$W$53,'Capex_FO input'!$E$43:$E$504,$W57)</f>
        <v>14.449</v>
      </c>
      <c r="AN57" s="991">
        <f>SUMIFS('Capex_FO input'!W$43:W$504,'Capex_FO input'!$H$43:$H$504,$W$52,'Capex_FO input'!$E$43:$E$504,$W57) + SUMIFS('Capex_FO input'!W$43:W$504,'Capex_FO input'!$H$43:$H$504,$W$53,'Capex_FO input'!$E$43:$E$504,$W57)</f>
        <v>14.499000000000001</v>
      </c>
      <c r="AO57" s="991">
        <f>SUMIFS('Capex_FO input'!X$43:X$504,'Capex_FO input'!$H$43:$H$504,$W$52,'Capex_FO input'!$E$43:$E$504,$W57) + SUMIFS('Capex_FO input'!X$43:X$504,'Capex_FO input'!$H$43:$H$504,$W$53,'Capex_FO input'!$E$43:$E$504,$W57)</f>
        <v>14.499000000000001</v>
      </c>
    </row>
    <row r="58" spans="1:41">
      <c r="B58" s="988" t="s">
        <v>5</v>
      </c>
      <c r="C58" s="991">
        <f>Opex_Breakdown!P55</f>
        <v>8.3707753108348122</v>
      </c>
      <c r="D58" s="991">
        <f>Opex_Breakdown!Q55</f>
        <v>8.4358343558282218</v>
      </c>
      <c r="E58" s="991">
        <f>Opex_Breakdown!R55</f>
        <v>7.9653576329331042</v>
      </c>
      <c r="F58" s="991">
        <f>Opex_Breakdown!S55</f>
        <v>7.9192977099236641</v>
      </c>
      <c r="G58" s="991">
        <f>Opex_Breakdown!T55</f>
        <v>9.5310338983050844</v>
      </c>
      <c r="H58" s="991">
        <f>Opex_Breakdown!U55</f>
        <v>9.7428914027149318</v>
      </c>
      <c r="I58" s="991">
        <f>Opex_Breakdown!V55</f>
        <v>9.4404170305676836</v>
      </c>
      <c r="J58" s="991">
        <f>Opex_Breakdown!W55</f>
        <v>8.6349999999999998</v>
      </c>
      <c r="K58" s="991">
        <f>Opex_Breakdown!X55</f>
        <v>7.9976816593886459</v>
      </c>
      <c r="L58" s="991">
        <f>Opex_Breakdown!Y55</f>
        <v>7.9460816593886454</v>
      </c>
      <c r="M58" s="991">
        <f>Opex_Breakdown!Z55</f>
        <v>8.1293816593886454</v>
      </c>
      <c r="N58" s="991">
        <f>Opex_Breakdown!AA55</f>
        <v>8.4187616593886467</v>
      </c>
      <c r="O58" s="991">
        <f>Opex_Breakdown!AB55</f>
        <v>8.7257616593886453</v>
      </c>
      <c r="P58" s="991">
        <f>Opex_Breakdown!AC55</f>
        <v>8.7257616593886453</v>
      </c>
      <c r="Q58" s="991">
        <f>Opex_Breakdown!AD55</f>
        <v>8.7257616593886453</v>
      </c>
      <c r="R58" s="991">
        <f>Opex_Breakdown!AE55</f>
        <v>8.7257616593886453</v>
      </c>
      <c r="S58" s="991">
        <f>Opex_Breakdown!AF55</f>
        <v>8.7257616593886453</v>
      </c>
      <c r="T58" s="991">
        <f>Opex_Breakdown!AG55</f>
        <v>8.7257616593886453</v>
      </c>
      <c r="W58" s="988" t="s">
        <v>21</v>
      </c>
      <c r="X58" s="991"/>
      <c r="Y58" s="991"/>
      <c r="Z58" s="991"/>
      <c r="AA58" s="991"/>
      <c r="AB58" s="991"/>
      <c r="AC58" s="991"/>
      <c r="AD58" s="991"/>
      <c r="AE58" s="991"/>
      <c r="AF58" s="991">
        <f>SUMIFS('Capex_FO input'!O$43:O$504,'Capex_FO input'!$H$43:$H$504,$W$52,'Capex_FO input'!$E$43:$E$504,$W58) + SUMIFS('Capex_FO input'!O$43:O$504,'Capex_FO input'!$H$43:$H$504,$W$53,'Capex_FO input'!$E$43:$E$504,$W58)</f>
        <v>13.21</v>
      </c>
      <c r="AG58" s="991">
        <f>SUMIFS('Capex_FO input'!P$43:P$504,'Capex_FO input'!$H$43:$H$504,$W$52,'Capex_FO input'!$E$43:$E$504,$W58) + SUMIFS('Capex_FO input'!P$43:P$504,'Capex_FO input'!$H$43:$H$504,$W$53,'Capex_FO input'!$E$43:$E$504,$W58)</f>
        <v>5.6899999999999995</v>
      </c>
      <c r="AH58" s="991">
        <f>SUMIFS('Capex_FO input'!Q$43:Q$504,'Capex_FO input'!$H$43:$H$504,$W$52,'Capex_FO input'!$E$43:$E$504,$W58) + SUMIFS('Capex_FO input'!Q$43:Q$504,'Capex_FO input'!$H$43:$H$504,$W$53,'Capex_FO input'!$E$43:$E$504,$W58)</f>
        <v>4.75</v>
      </c>
      <c r="AI58" s="991">
        <f>SUMIFS('Capex_FO input'!R$43:R$504,'Capex_FO input'!$H$43:$H$504,$W$52,'Capex_FO input'!$E$43:$E$504,$W58) + SUMIFS('Capex_FO input'!R$43:R$504,'Capex_FO input'!$H$43:$H$504,$W$53,'Capex_FO input'!$E$43:$E$504,$W58)</f>
        <v>9.52</v>
      </c>
      <c r="AJ58" s="991">
        <f>SUMIFS('Capex_FO input'!S$43:S$504,'Capex_FO input'!$H$43:$H$504,$W$52,'Capex_FO input'!$E$43:$E$504,$W58) + SUMIFS('Capex_FO input'!S$43:S$504,'Capex_FO input'!$H$43:$H$504,$W$53,'Capex_FO input'!$E$43:$E$504,$W58)</f>
        <v>10.1</v>
      </c>
      <c r="AK58" s="991">
        <f>SUMIFS('Capex_FO input'!T$43:T$504,'Capex_FO input'!$H$43:$H$504,$W$52,'Capex_FO input'!$E$43:$E$504,$W58) + SUMIFS('Capex_FO input'!T$43:T$504,'Capex_FO input'!$H$43:$H$504,$W$53,'Capex_FO input'!$E$43:$E$504,$W58)</f>
        <v>6.25</v>
      </c>
      <c r="AL58" s="991">
        <f>SUMIFS('Capex_FO input'!U$43:U$504,'Capex_FO input'!$H$43:$H$504,$W$52,'Capex_FO input'!$E$43:$E$504,$W58) + SUMIFS('Capex_FO input'!U$43:U$504,'Capex_FO input'!$H$43:$H$504,$W$53,'Capex_FO input'!$E$43:$E$504,$W58)</f>
        <v>6.25</v>
      </c>
      <c r="AM58" s="991">
        <f>SUMIFS('Capex_FO input'!V$43:V$504,'Capex_FO input'!$H$43:$H$504,$W$52,'Capex_FO input'!$E$43:$E$504,$W58) + SUMIFS('Capex_FO input'!V$43:V$504,'Capex_FO input'!$H$43:$H$504,$W$53,'Capex_FO input'!$E$43:$E$504,$W58)</f>
        <v>6.25</v>
      </c>
      <c r="AN58" s="991">
        <f>SUMIFS('Capex_FO input'!W$43:W$504,'Capex_FO input'!$H$43:$H$504,$W$52,'Capex_FO input'!$E$43:$E$504,$W58) + SUMIFS('Capex_FO input'!W$43:W$504,'Capex_FO input'!$H$43:$H$504,$W$53,'Capex_FO input'!$E$43:$E$504,$W58)</f>
        <v>6.25</v>
      </c>
      <c r="AO58" s="991">
        <f>SUMIFS('Capex_FO input'!X$43:X$504,'Capex_FO input'!$H$43:$H$504,$W$52,'Capex_FO input'!$E$43:$E$504,$W58) + SUMIFS('Capex_FO input'!X$43:X$504,'Capex_FO input'!$H$43:$H$504,$W$53,'Capex_FO input'!$E$43:$E$504,$W58)</f>
        <v>6.25</v>
      </c>
    </row>
    <row r="59" spans="1:41">
      <c r="B59" s="988" t="s">
        <v>389</v>
      </c>
      <c r="C59" s="991">
        <f>Opex_Breakdown!P56</f>
        <v>1.119602131438721</v>
      </c>
      <c r="D59" s="991">
        <f>Opex_Breakdown!Q56</f>
        <v>1.1838036809815951</v>
      </c>
      <c r="E59" s="991">
        <f>Opex_Breakdown!R56</f>
        <v>1.1572152658662092</v>
      </c>
      <c r="F59" s="991">
        <f>Opex_Breakdown!S56</f>
        <v>1.1742900763358779</v>
      </c>
      <c r="G59" s="991">
        <f>Opex_Breakdown!T56</f>
        <v>1.1378644067796608</v>
      </c>
      <c r="H59" s="991">
        <f>Opex_Breakdown!U56</f>
        <v>1.1014072398190045</v>
      </c>
      <c r="I59" s="991">
        <f>Opex_Breakdown!V56</f>
        <v>1.092626637554585</v>
      </c>
      <c r="J59" s="991">
        <f>Opex_Breakdown!W56</f>
        <v>0.45500000000000002</v>
      </c>
      <c r="K59" s="991">
        <f>Opex_Breakdown!X56</f>
        <v>0.45500000000000002</v>
      </c>
      <c r="L59" s="991">
        <f>Opex_Breakdown!Y56</f>
        <v>0.45500000000000002</v>
      </c>
      <c r="M59" s="991">
        <f>Opex_Breakdown!Z56</f>
        <v>0.45500000000000002</v>
      </c>
      <c r="N59" s="991">
        <f>Opex_Breakdown!AA56</f>
        <v>0.45500000000000002</v>
      </c>
      <c r="O59" s="991">
        <f>Opex_Breakdown!AB56</f>
        <v>0.45500000000000002</v>
      </c>
      <c r="P59" s="991">
        <f>Opex_Breakdown!AC56</f>
        <v>0.45500000000000002</v>
      </c>
      <c r="Q59" s="991">
        <f>Opex_Breakdown!AD56</f>
        <v>0.45500000000000002</v>
      </c>
      <c r="R59" s="991">
        <f>Opex_Breakdown!AE56</f>
        <v>0.45500000000000002</v>
      </c>
      <c r="S59" s="991">
        <f>Opex_Breakdown!AF56</f>
        <v>0.45500000000000002</v>
      </c>
      <c r="T59" s="991">
        <f>Opex_Breakdown!AG56</f>
        <v>0.45500000000000002</v>
      </c>
      <c r="W59" s="988" t="s">
        <v>275</v>
      </c>
      <c r="X59" s="991"/>
      <c r="Y59" s="991"/>
      <c r="Z59" s="991"/>
      <c r="AA59" s="991"/>
      <c r="AB59" s="991"/>
      <c r="AC59" s="991"/>
      <c r="AD59" s="991"/>
      <c r="AE59" s="991"/>
      <c r="AF59" s="991">
        <f>SUMIFS('Capex_FO input'!O$43:O$504,'Capex_FO input'!$H$43:$H$504,$W$52,'Capex_FO input'!$E$43:$E$504,$W59) + SUMIFS('Capex_FO input'!O$43:O$504,'Capex_FO input'!$H$43:$H$504,$W$53,'Capex_FO input'!$E$43:$E$504,$W59)</f>
        <v>0</v>
      </c>
      <c r="AG59" s="991">
        <f>SUMIFS('Capex_FO input'!P$43:P$504,'Capex_FO input'!$H$43:$H$504,$W$52,'Capex_FO input'!$E$43:$E$504,$W59) + SUMIFS('Capex_FO input'!P$43:P$504,'Capex_FO input'!$H$43:$H$504,$W$53,'Capex_FO input'!$E$43:$E$504,$W59)</f>
        <v>0</v>
      </c>
      <c r="AH59" s="991">
        <f>SUMIFS('Capex_FO input'!Q$43:Q$504,'Capex_FO input'!$H$43:$H$504,$W$52,'Capex_FO input'!$E$43:$E$504,$W59) + SUMIFS('Capex_FO input'!Q$43:Q$504,'Capex_FO input'!$H$43:$H$504,$W$53,'Capex_FO input'!$E$43:$E$504,$W59)</f>
        <v>0</v>
      </c>
      <c r="AI59" s="991">
        <f>SUMIFS('Capex_FO input'!R$43:R$504,'Capex_FO input'!$H$43:$H$504,$W$52,'Capex_FO input'!$E$43:$E$504,$W59) + SUMIFS('Capex_FO input'!R$43:R$504,'Capex_FO input'!$H$43:$H$504,$W$53,'Capex_FO input'!$E$43:$E$504,$W59)</f>
        <v>0</v>
      </c>
      <c r="AJ59" s="991">
        <f>SUMIFS('Capex_FO input'!S$43:S$504,'Capex_FO input'!$H$43:$H$504,$W$52,'Capex_FO input'!$E$43:$E$504,$W59) + SUMIFS('Capex_FO input'!S$43:S$504,'Capex_FO input'!$H$43:$H$504,$W$53,'Capex_FO input'!$E$43:$E$504,$W59)</f>
        <v>0</v>
      </c>
      <c r="AK59" s="991">
        <f>SUMIFS('Capex_FO input'!T$43:T$504,'Capex_FO input'!$H$43:$H$504,$W$52,'Capex_FO input'!$E$43:$E$504,$W59) + SUMIFS('Capex_FO input'!T$43:T$504,'Capex_FO input'!$H$43:$H$504,$W$53,'Capex_FO input'!$E$43:$E$504,$W59)</f>
        <v>0</v>
      </c>
      <c r="AL59" s="991">
        <f>SUMIFS('Capex_FO input'!U$43:U$504,'Capex_FO input'!$H$43:$H$504,$W$52,'Capex_FO input'!$E$43:$E$504,$W59) + SUMIFS('Capex_FO input'!U$43:U$504,'Capex_FO input'!$H$43:$H$504,$W$53,'Capex_FO input'!$E$43:$E$504,$W59)</f>
        <v>0</v>
      </c>
      <c r="AM59" s="991">
        <f>SUMIFS('Capex_FO input'!V$43:V$504,'Capex_FO input'!$H$43:$H$504,$W$52,'Capex_FO input'!$E$43:$E$504,$W59) + SUMIFS('Capex_FO input'!V$43:V$504,'Capex_FO input'!$H$43:$H$504,$W$53,'Capex_FO input'!$E$43:$E$504,$W59)</f>
        <v>0</v>
      </c>
      <c r="AN59" s="991">
        <f>SUMIFS('Capex_FO input'!W$43:W$504,'Capex_FO input'!$H$43:$H$504,$W$52,'Capex_FO input'!$E$43:$E$504,$W59) + SUMIFS('Capex_FO input'!W$43:W$504,'Capex_FO input'!$H$43:$H$504,$W$53,'Capex_FO input'!$E$43:$E$504,$W59)</f>
        <v>0</v>
      </c>
      <c r="AO59" s="991">
        <f>SUMIFS('Capex_FO input'!X$43:X$504,'Capex_FO input'!$H$43:$H$504,$W$52,'Capex_FO input'!$E$43:$E$504,$W59) + SUMIFS('Capex_FO input'!X$43:X$504,'Capex_FO input'!$H$43:$H$504,$W$53,'Capex_FO input'!$E$43:$E$504,$W59)</f>
        <v>0</v>
      </c>
    </row>
    <row r="60" spans="1:41">
      <c r="B60" s="988" t="s">
        <v>6</v>
      </c>
      <c r="C60" s="991">
        <f>Opex_Breakdown!P57</f>
        <v>6.0640950266429829</v>
      </c>
      <c r="D60" s="991">
        <f>Opex_Breakdown!Q57</f>
        <v>6.4763926380368098</v>
      </c>
      <c r="E60" s="991">
        <f>Opex_Breakdown!R57</f>
        <v>6.4871629502572894</v>
      </c>
      <c r="F60" s="991">
        <f>Opex_Breakdown!S57</f>
        <v>6.6889185750636138</v>
      </c>
      <c r="G60" s="991">
        <f>Opex_Breakdown!T57</f>
        <v>7.4506271186440669</v>
      </c>
      <c r="H60" s="991">
        <f>Opex_Breakdown!U57</f>
        <v>6.7994389140271494</v>
      </c>
      <c r="I60" s="991">
        <f>Opex_Breakdown!V57</f>
        <v>7.0913209606986891</v>
      </c>
      <c r="J60" s="991">
        <f>Opex_Breakdown!W57</f>
        <v>6.9640000000000004</v>
      </c>
      <c r="K60" s="991">
        <f>Opex_Breakdown!X57</f>
        <v>6.9630000000000001</v>
      </c>
      <c r="L60" s="991">
        <f>Opex_Breakdown!Y57</f>
        <v>6.9770000000000003</v>
      </c>
      <c r="M60" s="991">
        <f>Opex_Breakdown!Z57</f>
        <v>6.9910000000000005</v>
      </c>
      <c r="N60" s="991">
        <f>Opex_Breakdown!AA57</f>
        <v>7.0050000000000008</v>
      </c>
      <c r="O60" s="991">
        <f>Opex_Breakdown!AB57</f>
        <v>7.0200000000000005</v>
      </c>
      <c r="P60" s="991">
        <f>Opex_Breakdown!AC57</f>
        <v>7.0200000000000005</v>
      </c>
      <c r="Q60" s="991">
        <f>Opex_Breakdown!AD57</f>
        <v>7.0200000000000005</v>
      </c>
      <c r="R60" s="991">
        <f>Opex_Breakdown!AE57</f>
        <v>7.0200000000000005</v>
      </c>
      <c r="S60" s="991">
        <f>Opex_Breakdown!AF57</f>
        <v>7.0200000000000005</v>
      </c>
      <c r="T60" s="991">
        <f>Opex_Breakdown!AG57</f>
        <v>7.0200000000000005</v>
      </c>
      <c r="W60" s="988" t="s">
        <v>349</v>
      </c>
      <c r="X60" s="991"/>
      <c r="Y60" s="991"/>
      <c r="Z60" s="991"/>
      <c r="AA60" s="991"/>
      <c r="AB60" s="991"/>
      <c r="AC60" s="991"/>
      <c r="AD60" s="991"/>
      <c r="AE60" s="991"/>
      <c r="AF60" s="991">
        <f>SUMIFS('Capex_FO input'!O$43:O$504,'Capex_FO input'!$H$43:$H$504,$W$52,'Capex_FO input'!$E$43:$E$504,$W60) + SUMIFS('Capex_FO input'!O$43:O$504,'Capex_FO input'!$H$43:$H$504,$W$53,'Capex_FO input'!$E$43:$E$504,$W60)</f>
        <v>0</v>
      </c>
      <c r="AG60" s="991">
        <f>SUMIFS('Capex_FO input'!P$43:P$504,'Capex_FO input'!$H$43:$H$504,$W$52,'Capex_FO input'!$E$43:$E$504,$W60) + SUMIFS('Capex_FO input'!P$43:P$504,'Capex_FO input'!$H$43:$H$504,$W$53,'Capex_FO input'!$E$43:$E$504,$W60)</f>
        <v>0</v>
      </c>
      <c r="AH60" s="991">
        <f>SUMIFS('Capex_FO input'!Q$43:Q$504,'Capex_FO input'!$H$43:$H$504,$W$52,'Capex_FO input'!$E$43:$E$504,$W60) + SUMIFS('Capex_FO input'!Q$43:Q$504,'Capex_FO input'!$H$43:$H$504,$W$53,'Capex_FO input'!$E$43:$E$504,$W60)</f>
        <v>0</v>
      </c>
      <c r="AI60" s="991">
        <f>SUMIFS('Capex_FO input'!R$43:R$504,'Capex_FO input'!$H$43:$H$504,$W$52,'Capex_FO input'!$E$43:$E$504,$W60) + SUMIFS('Capex_FO input'!R$43:R$504,'Capex_FO input'!$H$43:$H$504,$W$53,'Capex_FO input'!$E$43:$E$504,$W60)</f>
        <v>0</v>
      </c>
      <c r="AJ60" s="991">
        <f>SUMIFS('Capex_FO input'!S$43:S$504,'Capex_FO input'!$H$43:$H$504,$W$52,'Capex_FO input'!$E$43:$E$504,$W60) + SUMIFS('Capex_FO input'!S$43:S$504,'Capex_FO input'!$H$43:$H$504,$W$53,'Capex_FO input'!$E$43:$E$504,$W60)</f>
        <v>0</v>
      </c>
      <c r="AK60" s="991">
        <f>SUMIFS('Capex_FO input'!T$43:T$504,'Capex_FO input'!$H$43:$H$504,$W$52,'Capex_FO input'!$E$43:$E$504,$W60) + SUMIFS('Capex_FO input'!T$43:T$504,'Capex_FO input'!$H$43:$H$504,$W$53,'Capex_FO input'!$E$43:$E$504,$W60)</f>
        <v>0</v>
      </c>
      <c r="AL60" s="991">
        <f>SUMIFS('Capex_FO input'!U$43:U$504,'Capex_FO input'!$H$43:$H$504,$W$52,'Capex_FO input'!$E$43:$E$504,$W60) + SUMIFS('Capex_FO input'!U$43:U$504,'Capex_FO input'!$H$43:$H$504,$W$53,'Capex_FO input'!$E$43:$E$504,$W60)</f>
        <v>0</v>
      </c>
      <c r="AM60" s="991">
        <f>SUMIFS('Capex_FO input'!V$43:V$504,'Capex_FO input'!$H$43:$H$504,$W$52,'Capex_FO input'!$E$43:$E$504,$W60) + SUMIFS('Capex_FO input'!V$43:V$504,'Capex_FO input'!$H$43:$H$504,$W$53,'Capex_FO input'!$E$43:$E$504,$W60)</f>
        <v>0</v>
      </c>
      <c r="AN60" s="991">
        <f>SUMIFS('Capex_FO input'!W$43:W$504,'Capex_FO input'!$H$43:$H$504,$W$52,'Capex_FO input'!$E$43:$E$504,$W60) + SUMIFS('Capex_FO input'!W$43:W$504,'Capex_FO input'!$H$43:$H$504,$W$53,'Capex_FO input'!$E$43:$E$504,$W60)</f>
        <v>0</v>
      </c>
      <c r="AO60" s="991">
        <f>SUMIFS('Capex_FO input'!X$43:X$504,'Capex_FO input'!$H$43:$H$504,$W$52,'Capex_FO input'!$E$43:$E$504,$W60) + SUMIFS('Capex_FO input'!X$43:X$504,'Capex_FO input'!$H$43:$H$504,$W$53,'Capex_FO input'!$E$43:$E$504,$W60)</f>
        <v>0</v>
      </c>
    </row>
    <row r="61" spans="1:41">
      <c r="B61" s="988" t="s">
        <v>7</v>
      </c>
      <c r="C61" s="991">
        <f>Opex_Breakdown!P58</f>
        <v>2.6440603907637654</v>
      </c>
      <c r="D61" s="991">
        <f>Opex_Breakdown!Q58</f>
        <v>2.654926380368098</v>
      </c>
      <c r="E61" s="991">
        <f>Opex_Breakdown!R58</f>
        <v>2.6993644939965695</v>
      </c>
      <c r="F61" s="991">
        <f>Opex_Breakdown!S58</f>
        <v>2.4679185750636128</v>
      </c>
      <c r="G61" s="991">
        <f>Opex_Breakdown!T58</f>
        <v>3.0490677966101694</v>
      </c>
      <c r="H61" s="991">
        <f>Opex_Breakdown!U58</f>
        <v>3.0219728506787331</v>
      </c>
      <c r="I61" s="991">
        <f>Opex_Breakdown!V58</f>
        <v>3.4069061135371177</v>
      </c>
      <c r="J61" s="991">
        <f>Opex_Breakdown!W58</f>
        <v>3.0259999999999998</v>
      </c>
      <c r="K61" s="991">
        <f>Opex_Breakdown!X58</f>
        <v>3.0259999999999998</v>
      </c>
      <c r="L61" s="991">
        <f>Opex_Breakdown!Y58</f>
        <v>3.0259999999999998</v>
      </c>
      <c r="M61" s="991">
        <f>Opex_Breakdown!Z58</f>
        <v>3.0259999999999998</v>
      </c>
      <c r="N61" s="991">
        <f>Opex_Breakdown!AA58</f>
        <v>3.0259999999999998</v>
      </c>
      <c r="O61" s="991">
        <f>Opex_Breakdown!AB58</f>
        <v>3.0259999999999998</v>
      </c>
      <c r="P61" s="991">
        <f>Opex_Breakdown!AC58</f>
        <v>3.0259999999999998</v>
      </c>
      <c r="Q61" s="991">
        <f>Opex_Breakdown!AD58</f>
        <v>3.0259999999999998</v>
      </c>
      <c r="R61" s="991">
        <f>Opex_Breakdown!AE58</f>
        <v>3.0259999999999998</v>
      </c>
      <c r="S61" s="991">
        <f>Opex_Breakdown!AF58</f>
        <v>3.0259999999999998</v>
      </c>
      <c r="T61" s="991">
        <f>Opex_Breakdown!AG58</f>
        <v>3.0259999999999998</v>
      </c>
      <c r="W61" s="988" t="s">
        <v>351</v>
      </c>
      <c r="X61" s="991"/>
      <c r="Y61" s="991"/>
      <c r="Z61" s="991"/>
      <c r="AA61" s="991"/>
      <c r="AB61" s="991"/>
      <c r="AC61" s="991"/>
      <c r="AD61" s="991"/>
      <c r="AE61" s="991"/>
      <c r="AF61" s="991">
        <f>SUMIFS('Capex_FO input'!O$43:O$504,'Capex_FO input'!$H$43:$H$504,$W$52,'Capex_FO input'!$E$43:$E$504,$W61) + SUMIFS('Capex_FO input'!O$43:O$504,'Capex_FO input'!$H$43:$H$504,$W$53,'Capex_FO input'!$E$43:$E$504,$W61)</f>
        <v>0</v>
      </c>
      <c r="AG61" s="991">
        <f>SUMIFS('Capex_FO input'!P$43:P$504,'Capex_FO input'!$H$43:$H$504,$W$52,'Capex_FO input'!$E$43:$E$504,$W61) + SUMIFS('Capex_FO input'!P$43:P$504,'Capex_FO input'!$H$43:$H$504,$W$53,'Capex_FO input'!$E$43:$E$504,$W61)</f>
        <v>0</v>
      </c>
      <c r="AH61" s="991">
        <f>SUMIFS('Capex_FO input'!Q$43:Q$504,'Capex_FO input'!$H$43:$H$504,$W$52,'Capex_FO input'!$E$43:$E$504,$W61) + SUMIFS('Capex_FO input'!Q$43:Q$504,'Capex_FO input'!$H$43:$H$504,$W$53,'Capex_FO input'!$E$43:$E$504,$W61)</f>
        <v>0</v>
      </c>
      <c r="AI61" s="991">
        <f>SUMIFS('Capex_FO input'!R$43:R$504,'Capex_FO input'!$H$43:$H$504,$W$52,'Capex_FO input'!$E$43:$E$504,$W61) + SUMIFS('Capex_FO input'!R$43:R$504,'Capex_FO input'!$H$43:$H$504,$W$53,'Capex_FO input'!$E$43:$E$504,$W61)</f>
        <v>0</v>
      </c>
      <c r="AJ61" s="991">
        <f>SUMIFS('Capex_FO input'!S$43:S$504,'Capex_FO input'!$H$43:$H$504,$W$52,'Capex_FO input'!$E$43:$E$504,$W61) + SUMIFS('Capex_FO input'!S$43:S$504,'Capex_FO input'!$H$43:$H$504,$W$53,'Capex_FO input'!$E$43:$E$504,$W61)</f>
        <v>0</v>
      </c>
      <c r="AK61" s="991">
        <f>SUMIFS('Capex_FO input'!T$43:T$504,'Capex_FO input'!$H$43:$H$504,$W$52,'Capex_FO input'!$E$43:$E$504,$W61) + SUMIFS('Capex_FO input'!T$43:T$504,'Capex_FO input'!$H$43:$H$504,$W$53,'Capex_FO input'!$E$43:$E$504,$W61)</f>
        <v>0</v>
      </c>
      <c r="AL61" s="991">
        <f>SUMIFS('Capex_FO input'!U$43:U$504,'Capex_FO input'!$H$43:$H$504,$W$52,'Capex_FO input'!$E$43:$E$504,$W61) + SUMIFS('Capex_FO input'!U$43:U$504,'Capex_FO input'!$H$43:$H$504,$W$53,'Capex_FO input'!$E$43:$E$504,$W61)</f>
        <v>0</v>
      </c>
      <c r="AM61" s="991">
        <f>SUMIFS('Capex_FO input'!V$43:V$504,'Capex_FO input'!$H$43:$H$504,$W$52,'Capex_FO input'!$E$43:$E$504,$W61) + SUMIFS('Capex_FO input'!V$43:V$504,'Capex_FO input'!$H$43:$H$504,$W$53,'Capex_FO input'!$E$43:$E$504,$W61)</f>
        <v>0</v>
      </c>
      <c r="AN61" s="991">
        <f>SUMIFS('Capex_FO input'!W$43:W$504,'Capex_FO input'!$H$43:$H$504,$W$52,'Capex_FO input'!$E$43:$E$504,$W61) + SUMIFS('Capex_FO input'!W$43:W$504,'Capex_FO input'!$H$43:$H$504,$W$53,'Capex_FO input'!$E$43:$E$504,$W61)</f>
        <v>0</v>
      </c>
      <c r="AO61" s="991">
        <f>SUMIFS('Capex_FO input'!X$43:X$504,'Capex_FO input'!$H$43:$H$504,$W$52,'Capex_FO input'!$E$43:$E$504,$W61) + SUMIFS('Capex_FO input'!X$43:X$504,'Capex_FO input'!$H$43:$H$504,$W$53,'Capex_FO input'!$E$43:$E$504,$W61)</f>
        <v>0</v>
      </c>
    </row>
    <row r="62" spans="1:41">
      <c r="B62" s="988" t="s">
        <v>8</v>
      </c>
      <c r="C62" s="991">
        <f>Opex_Breakdown!P59</f>
        <v>0</v>
      </c>
      <c r="D62" s="991">
        <f>Opex_Breakdown!Q59</f>
        <v>1.2331288343558281E-3</v>
      </c>
      <c r="E62" s="991">
        <f>Opex_Breakdown!R59</f>
        <v>0</v>
      </c>
      <c r="F62" s="991">
        <f>Opex_Breakdown!S59</f>
        <v>1.1933842239185751E-3</v>
      </c>
      <c r="G62" s="991">
        <f>Opex_Breakdown!T59</f>
        <v>0</v>
      </c>
      <c r="H62" s="991">
        <f>Opex_Breakdown!U59</f>
        <v>1.0610859728506787E-3</v>
      </c>
      <c r="I62" s="991">
        <f>Opex_Breakdown!V59</f>
        <v>0</v>
      </c>
      <c r="J62" s="991">
        <f>Opex_Breakdown!W59</f>
        <v>1E-3</v>
      </c>
      <c r="K62" s="991">
        <f>Opex_Breakdown!X59</f>
        <v>1E-3</v>
      </c>
      <c r="L62" s="991">
        <f>Opex_Breakdown!Y59</f>
        <v>1E-3</v>
      </c>
      <c r="M62" s="991">
        <f>Opex_Breakdown!Z59</f>
        <v>1E-3</v>
      </c>
      <c r="N62" s="991">
        <f>Opex_Breakdown!AA59</f>
        <v>1E-3</v>
      </c>
      <c r="O62" s="991">
        <f>Opex_Breakdown!AB59</f>
        <v>1E-3</v>
      </c>
      <c r="P62" s="991">
        <f>Opex_Breakdown!AC59</f>
        <v>1E-3</v>
      </c>
      <c r="Q62" s="991">
        <f>Opex_Breakdown!AD59</f>
        <v>1E-3</v>
      </c>
      <c r="R62" s="991">
        <f>Opex_Breakdown!AE59</f>
        <v>1E-3</v>
      </c>
      <c r="S62" s="991">
        <f>Opex_Breakdown!AF59</f>
        <v>1E-3</v>
      </c>
      <c r="T62" s="991">
        <f>Opex_Breakdown!AG59</f>
        <v>1E-3</v>
      </c>
      <c r="W62" s="989" t="s">
        <v>751</v>
      </c>
      <c r="X62" s="995"/>
      <c r="Y62" s="995"/>
      <c r="Z62" s="995"/>
      <c r="AA62" s="995"/>
      <c r="AB62" s="995"/>
      <c r="AC62" s="995"/>
      <c r="AD62" s="995"/>
      <c r="AE62" s="995"/>
      <c r="AF62" s="995">
        <f>SUM(AF57:AF61)</f>
        <v>30.455403000000004</v>
      </c>
      <c r="AG62" s="995">
        <f t="shared" ref="AG62:AO62" si="14">SUM(AG57:AG61)</f>
        <v>19.909199999999998</v>
      </c>
      <c r="AH62" s="995">
        <f t="shared" si="14"/>
        <v>14.726900000000001</v>
      </c>
      <c r="AI62" s="995">
        <f t="shared" si="14"/>
        <v>21.196826999999999</v>
      </c>
      <c r="AJ62" s="995">
        <f t="shared" si="14"/>
        <v>28.212600000000002</v>
      </c>
      <c r="AK62" s="995">
        <f t="shared" si="14"/>
        <v>21.698999999999998</v>
      </c>
      <c r="AL62" s="995">
        <f t="shared" si="14"/>
        <v>20.698999999999998</v>
      </c>
      <c r="AM62" s="995">
        <f t="shared" si="14"/>
        <v>20.698999999999998</v>
      </c>
      <c r="AN62" s="995">
        <f t="shared" si="14"/>
        <v>20.749000000000002</v>
      </c>
      <c r="AO62" s="995">
        <f t="shared" si="14"/>
        <v>20.749000000000002</v>
      </c>
    </row>
    <row r="63" spans="1:41">
      <c r="B63" s="988" t="s">
        <v>9</v>
      </c>
      <c r="C63" s="991">
        <f>Opex_Breakdown!P60</f>
        <v>0.16869005328596803</v>
      </c>
      <c r="D63" s="991">
        <f>Opex_Breakdown!Q60</f>
        <v>0.15414110429447853</v>
      </c>
      <c r="E63" s="991">
        <f>Opex_Breakdown!R60</f>
        <v>0.17255660377358487</v>
      </c>
      <c r="F63" s="991">
        <f>Opex_Breakdown!S60</f>
        <v>0.15155979643765902</v>
      </c>
      <c r="G63" s="991">
        <f>Opex_Breakdown!T60</f>
        <v>0.14422033898305084</v>
      </c>
      <c r="H63" s="991">
        <f>Opex_Breakdown!U60</f>
        <v>0.13581900452488688</v>
      </c>
      <c r="I63" s="991">
        <f>Opex_Breakdown!V60</f>
        <v>0.16486681222707422</v>
      </c>
      <c r="J63" s="991">
        <f>Opex_Breakdown!W60</f>
        <v>6.2E-2</v>
      </c>
      <c r="K63" s="991">
        <f>Opex_Breakdown!X60</f>
        <v>6.2E-2</v>
      </c>
      <c r="L63" s="991">
        <f>Opex_Breakdown!Y60</f>
        <v>6.2E-2</v>
      </c>
      <c r="M63" s="991">
        <f>Opex_Breakdown!Z60</f>
        <v>6.2E-2</v>
      </c>
      <c r="N63" s="991">
        <f>Opex_Breakdown!AA60</f>
        <v>6.2E-2</v>
      </c>
      <c r="O63" s="991">
        <f>Opex_Breakdown!AB60</f>
        <v>6.2E-2</v>
      </c>
      <c r="P63" s="991">
        <f>Opex_Breakdown!AC60</f>
        <v>6.2E-2</v>
      </c>
      <c r="Q63" s="991">
        <f>Opex_Breakdown!AD60</f>
        <v>6.2E-2</v>
      </c>
      <c r="R63" s="991">
        <f>Opex_Breakdown!AE60</f>
        <v>6.2E-2</v>
      </c>
      <c r="S63" s="991">
        <f>Opex_Breakdown!AF60</f>
        <v>6.2E-2</v>
      </c>
      <c r="T63" s="991">
        <f>Opex_Breakdown!AG60</f>
        <v>6.2E-2</v>
      </c>
    </row>
    <row r="64" spans="1:41" ht="15.75">
      <c r="B64" s="988" t="s">
        <v>10</v>
      </c>
      <c r="C64" s="991">
        <f>Opex_Breakdown!P61</f>
        <v>11.211015985790407</v>
      </c>
      <c r="D64" s="991">
        <f>Opex_Breakdown!Q61</f>
        <v>11.470564417177913</v>
      </c>
      <c r="E64" s="991">
        <f>Opex_Breakdown!R61</f>
        <v>11.397182675814751</v>
      </c>
      <c r="F64" s="991">
        <f>Opex_Breakdown!S61</f>
        <v>12.794272264631044</v>
      </c>
      <c r="G64" s="991">
        <f>Opex_Breakdown!T61</f>
        <v>13.502203389830507</v>
      </c>
      <c r="H64" s="991">
        <f>Opex_Breakdown!U61</f>
        <v>14.514595022624432</v>
      </c>
      <c r="I64" s="991">
        <f>Opex_Breakdown!V61</f>
        <v>14.545656113537115</v>
      </c>
      <c r="J64" s="991">
        <f>Opex_Breakdown!W61</f>
        <v>13.679</v>
      </c>
      <c r="K64" s="991">
        <f>Opex_Breakdown!X61</f>
        <v>15.493820000000001</v>
      </c>
      <c r="L64" s="991">
        <f>Opex_Breakdown!Y61</f>
        <v>16.340454000000001</v>
      </c>
      <c r="M64" s="991">
        <f>Opex_Breakdown!Z61</f>
        <v>15.608001</v>
      </c>
      <c r="N64" s="991">
        <f>Opex_Breakdown!AA61</f>
        <v>16.170151000000001</v>
      </c>
      <c r="O64" s="991">
        <f>Opex_Breakdown!AB61</f>
        <v>15.919926999999999</v>
      </c>
      <c r="P64" s="991">
        <f>Opex_Breakdown!AC61</f>
        <v>16.375215000000001</v>
      </c>
      <c r="Q64" s="991">
        <f>Opex_Breakdown!AD61</f>
        <v>16.843055</v>
      </c>
      <c r="R64" s="991">
        <f>Opex_Breakdown!AE61</f>
        <v>17.323453000000001</v>
      </c>
      <c r="S64" s="991">
        <f>Opex_Breakdown!AF61</f>
        <v>17.816694999999999</v>
      </c>
      <c r="T64" s="991">
        <f>Opex_Breakdown!AG61</f>
        <v>18.323084999999999</v>
      </c>
      <c r="V64" s="987" t="s">
        <v>752</v>
      </c>
    </row>
    <row r="65" spans="1:41">
      <c r="B65" s="988" t="s">
        <v>11</v>
      </c>
      <c r="C65" s="991">
        <f>Opex_Breakdown!P62</f>
        <v>0</v>
      </c>
      <c r="D65" s="991">
        <f>Opex_Breakdown!Q62</f>
        <v>0</v>
      </c>
      <c r="E65" s="991">
        <f>Opex_Breakdown!R62</f>
        <v>0</v>
      </c>
      <c r="F65" s="991">
        <f>Opex_Breakdown!S62</f>
        <v>0</v>
      </c>
      <c r="G65" s="991">
        <f>Opex_Breakdown!T62</f>
        <v>0</v>
      </c>
      <c r="H65" s="991">
        <f>Opex_Breakdown!U62</f>
        <v>0</v>
      </c>
      <c r="I65" s="991">
        <f>Opex_Breakdown!V62</f>
        <v>0</v>
      </c>
      <c r="J65" s="991">
        <f>Opex_Breakdown!W62</f>
        <v>0</v>
      </c>
      <c r="K65" s="991">
        <f>Opex_Breakdown!X62</f>
        <v>0</v>
      </c>
      <c r="L65" s="991">
        <f>Opex_Breakdown!Y62</f>
        <v>0</v>
      </c>
      <c r="M65" s="991">
        <f>Opex_Breakdown!Z62</f>
        <v>0</v>
      </c>
      <c r="N65" s="991">
        <f>Opex_Breakdown!AA62</f>
        <v>0</v>
      </c>
      <c r="O65" s="991">
        <f>Opex_Breakdown!AB62</f>
        <v>0</v>
      </c>
      <c r="P65" s="991">
        <f>Opex_Breakdown!AC62</f>
        <v>0</v>
      </c>
      <c r="Q65" s="991">
        <f>Opex_Breakdown!AD62</f>
        <v>0</v>
      </c>
      <c r="R65" s="991">
        <f>Opex_Breakdown!AE62</f>
        <v>0</v>
      </c>
      <c r="S65" s="991">
        <f>Opex_Breakdown!AF62</f>
        <v>0</v>
      </c>
      <c r="T65" s="991">
        <f>Opex_Breakdown!AG62</f>
        <v>0</v>
      </c>
      <c r="W65" s="1012"/>
      <c r="X65" s="1013"/>
      <c r="Y65" s="989"/>
    </row>
    <row r="66" spans="1:41">
      <c r="B66" s="989" t="s">
        <v>753</v>
      </c>
      <c r="C66" s="995">
        <f t="shared" ref="C66:T66" si="15">SUM(C58:C65)</f>
        <v>29.578238898756656</v>
      </c>
      <c r="D66" s="995">
        <f t="shared" si="15"/>
        <v>30.376895705521477</v>
      </c>
      <c r="E66" s="995">
        <f t="shared" si="15"/>
        <v>29.878839622641511</v>
      </c>
      <c r="F66" s="995">
        <f t="shared" si="15"/>
        <v>31.197450381679388</v>
      </c>
      <c r="G66" s="995">
        <f t="shared" si="15"/>
        <v>34.815016949152543</v>
      </c>
      <c r="H66" s="995">
        <f t="shared" si="15"/>
        <v>35.317185520361988</v>
      </c>
      <c r="I66" s="995">
        <f t="shared" si="15"/>
        <v>35.741793668122263</v>
      </c>
      <c r="J66" s="995">
        <f t="shared" si="15"/>
        <v>32.822000000000003</v>
      </c>
      <c r="K66" s="995">
        <f t="shared" si="15"/>
        <v>33.998501659388651</v>
      </c>
      <c r="L66" s="995">
        <f t="shared" si="15"/>
        <v>34.807535659388648</v>
      </c>
      <c r="M66" s="995">
        <f t="shared" si="15"/>
        <v>34.272382659388647</v>
      </c>
      <c r="N66" s="995">
        <f t="shared" si="15"/>
        <v>35.137912659388647</v>
      </c>
      <c r="O66" s="995">
        <f t="shared" si="15"/>
        <v>35.209688659388647</v>
      </c>
      <c r="P66" s="995">
        <f t="shared" si="15"/>
        <v>35.66497665938865</v>
      </c>
      <c r="Q66" s="995">
        <f>SUM(Q58:Q65)</f>
        <v>36.132816659388652</v>
      </c>
      <c r="R66" s="995">
        <f t="shared" si="15"/>
        <v>36.613214659388646</v>
      </c>
      <c r="S66" s="995">
        <f t="shared" si="15"/>
        <v>37.106456659388648</v>
      </c>
      <c r="T66" s="995">
        <f t="shared" si="15"/>
        <v>37.612846659388651</v>
      </c>
      <c r="V66" s="999" t="s">
        <v>344</v>
      </c>
      <c r="X66" s="1046" t="s">
        <v>741</v>
      </c>
      <c r="Y66" s="1046" t="s">
        <v>1040</v>
      </c>
      <c r="Z66" s="999"/>
      <c r="AA66" s="999"/>
      <c r="AB66" s="999"/>
      <c r="AC66" s="999"/>
      <c r="AD66" s="999"/>
      <c r="AE66" s="999"/>
      <c r="AF66" s="1014"/>
      <c r="AG66" s="999"/>
      <c r="AH66" s="999"/>
      <c r="AI66" s="999"/>
      <c r="AJ66" s="999"/>
      <c r="AK66" s="999"/>
      <c r="AL66" s="999"/>
      <c r="AM66" s="999"/>
      <c r="AN66" s="999"/>
      <c r="AO66" s="999"/>
    </row>
    <row r="67" spans="1:41">
      <c r="W67" s="988" t="s">
        <v>754</v>
      </c>
      <c r="X67" s="1015">
        <f>SUM(Capex_FO_AC!P17:W17)</f>
        <v>380.22905781858333</v>
      </c>
      <c r="Y67" s="1015">
        <f>SUM('Capex_FO input'!D16:H16)</f>
        <v>279.73093</v>
      </c>
    </row>
    <row r="68" spans="1:41">
      <c r="A68" s="989" t="s">
        <v>755</v>
      </c>
      <c r="C68" s="990" t="str">
        <f>C57</f>
        <v>2018-19</v>
      </c>
      <c r="D68" s="990" t="str">
        <f t="shared" ref="D68:T68" si="16">D57</f>
        <v>2019-20</v>
      </c>
      <c r="E68" s="990" t="str">
        <f t="shared" si="16"/>
        <v>2020-21</v>
      </c>
      <c r="F68" s="990" t="str">
        <f t="shared" si="16"/>
        <v>2021-22</v>
      </c>
      <c r="G68" s="990" t="str">
        <f t="shared" si="16"/>
        <v>2022-23</v>
      </c>
      <c r="H68" s="990" t="str">
        <f t="shared" si="16"/>
        <v>2023-24</v>
      </c>
      <c r="I68" s="990" t="str">
        <f t="shared" si="16"/>
        <v>2024-25</v>
      </c>
      <c r="J68" s="990" t="str">
        <f t="shared" si="16"/>
        <v>2025-26</v>
      </c>
      <c r="K68" s="990" t="str">
        <f t="shared" si="16"/>
        <v>2026-27</v>
      </c>
      <c r="L68" s="990" t="str">
        <f t="shared" si="16"/>
        <v>2027-28</v>
      </c>
      <c r="M68" s="990" t="str">
        <f t="shared" si="16"/>
        <v>2028-29</v>
      </c>
      <c r="N68" s="990" t="str">
        <f t="shared" si="16"/>
        <v>2029-30</v>
      </c>
      <c r="O68" s="990" t="str">
        <f t="shared" si="16"/>
        <v>2030-31</v>
      </c>
      <c r="P68" s="990" t="str">
        <f t="shared" si="16"/>
        <v>2031-32</v>
      </c>
      <c r="Q68" s="990" t="str">
        <f t="shared" si="16"/>
        <v>2032-33</v>
      </c>
      <c r="R68" s="990" t="str">
        <f t="shared" si="16"/>
        <v>2033-34</v>
      </c>
      <c r="S68" s="990" t="str">
        <f t="shared" si="16"/>
        <v>2034-35</v>
      </c>
      <c r="T68" s="990" t="str">
        <f t="shared" si="16"/>
        <v>2035-36</v>
      </c>
      <c r="W68" s="988" t="s">
        <v>756</v>
      </c>
      <c r="X68" s="1045">
        <f>SUM(RollForward_FO!P17:W17)</f>
        <v>103.47322816905785</v>
      </c>
      <c r="Y68" s="1045">
        <f ca="1">SUM(RollForward_FO!X17:AB17)</f>
        <v>113.922601618908</v>
      </c>
    </row>
    <row r="69" spans="1:41">
      <c r="B69" s="988" t="s">
        <v>5</v>
      </c>
      <c r="C69" s="991">
        <f>Opex_Breakdown!P66</f>
        <v>4.0310674955595021</v>
      </c>
      <c r="D69" s="991">
        <f>Opex_Breakdown!Q66</f>
        <v>3.965742331288344</v>
      </c>
      <c r="E69" s="991">
        <f>Opex_Breakdown!R66</f>
        <v>4.2041063464837043</v>
      </c>
      <c r="F69" s="991">
        <f>Opex_Breakdown!S66</f>
        <v>4.3105038167938927</v>
      </c>
      <c r="G69" s="991">
        <f>Opex_Breakdown!T66</f>
        <v>4.2664237288135594</v>
      </c>
      <c r="H69" s="991">
        <f>Opex_Breakdown!U66</f>
        <v>4.3133144796380094</v>
      </c>
      <c r="I69" s="991">
        <f>Opex_Breakdown!V66</f>
        <v>3.8666899563318777</v>
      </c>
      <c r="J69" s="991">
        <f>Opex_Breakdown!W66</f>
        <v>3.9049999999999998</v>
      </c>
      <c r="K69" s="991">
        <f>Opex_Breakdown!X66</f>
        <v>3.9049999999999998</v>
      </c>
      <c r="L69" s="991">
        <f>Opex_Breakdown!Y66</f>
        <v>3.9049999999999998</v>
      </c>
      <c r="M69" s="991">
        <f>Opex_Breakdown!Z66</f>
        <v>3.9049999999999998</v>
      </c>
      <c r="N69" s="991">
        <f>Opex_Breakdown!AA66</f>
        <v>3.9049999999999998</v>
      </c>
      <c r="O69" s="991">
        <f>Opex_Breakdown!AB66</f>
        <v>3.9049999999999998</v>
      </c>
      <c r="P69" s="991">
        <f>Opex_Breakdown!AC66</f>
        <v>3.9049999999999998</v>
      </c>
      <c r="Q69" s="991">
        <f>Opex_Breakdown!AD66</f>
        <v>3.9049999999999998</v>
      </c>
      <c r="R69" s="991">
        <f>Opex_Breakdown!AE66</f>
        <v>3.9049999999999998</v>
      </c>
      <c r="S69" s="991">
        <f>Opex_Breakdown!AF66</f>
        <v>3.9049999999999998</v>
      </c>
      <c r="T69" s="991">
        <f>Opex_Breakdown!AG66</f>
        <v>3.9049999999999998</v>
      </c>
      <c r="W69" s="1016"/>
      <c r="X69" s="1017"/>
      <c r="Y69" s="1017"/>
    </row>
    <row r="70" spans="1:41" ht="15.75">
      <c r="B70" s="988" t="s">
        <v>389</v>
      </c>
      <c r="C70" s="991">
        <f>Opex_Breakdown!P67</f>
        <v>0</v>
      </c>
      <c r="D70" s="991">
        <f>Opex_Breakdown!Q67</f>
        <v>0</v>
      </c>
      <c r="E70" s="991">
        <f>Opex_Breakdown!R67</f>
        <v>0</v>
      </c>
      <c r="F70" s="991">
        <f>Opex_Breakdown!S67</f>
        <v>0</v>
      </c>
      <c r="G70" s="991">
        <f>Opex_Breakdown!T67</f>
        <v>0</v>
      </c>
      <c r="H70" s="991">
        <f>Opex_Breakdown!U67</f>
        <v>0</v>
      </c>
      <c r="I70" s="991">
        <f>Opex_Breakdown!V67</f>
        <v>0</v>
      </c>
      <c r="J70" s="991">
        <f>Opex_Breakdown!W67</f>
        <v>0</v>
      </c>
      <c r="K70" s="991">
        <f>Opex_Breakdown!X67</f>
        <v>0</v>
      </c>
      <c r="L70" s="991">
        <f>Opex_Breakdown!Y67</f>
        <v>0</v>
      </c>
      <c r="M70" s="991">
        <f>Opex_Breakdown!Z67</f>
        <v>0</v>
      </c>
      <c r="N70" s="991">
        <f>Opex_Breakdown!AA67</f>
        <v>0</v>
      </c>
      <c r="O70" s="991">
        <f>Opex_Breakdown!AB67</f>
        <v>0</v>
      </c>
      <c r="P70" s="991">
        <f>Opex_Breakdown!AC67</f>
        <v>0</v>
      </c>
      <c r="Q70" s="991">
        <f>Opex_Breakdown!AD67</f>
        <v>0</v>
      </c>
      <c r="R70" s="991">
        <f>Opex_Breakdown!AE67</f>
        <v>0</v>
      </c>
      <c r="S70" s="991">
        <f>Opex_Breakdown!AF67</f>
        <v>0</v>
      </c>
      <c r="T70" s="991">
        <f>Opex_Breakdown!AG67</f>
        <v>0</v>
      </c>
      <c r="V70" s="987" t="s">
        <v>757</v>
      </c>
    </row>
    <row r="71" spans="1:41">
      <c r="B71" s="988" t="s">
        <v>6</v>
      </c>
      <c r="C71" s="991">
        <f>Opex_Breakdown!P68</f>
        <v>5.9816243339253994</v>
      </c>
      <c r="D71" s="991">
        <f>Opex_Breakdown!Q68</f>
        <v>9.8083067484662578</v>
      </c>
      <c r="E71" s="991">
        <f>Opex_Breakdown!R68</f>
        <v>7.5140557461406514</v>
      </c>
      <c r="F71" s="991">
        <f>Opex_Breakdown!S68</f>
        <v>7.1185368956742998</v>
      </c>
      <c r="G71" s="991">
        <f>Opex_Breakdown!T68</f>
        <v>8.8156101694915243</v>
      </c>
      <c r="H71" s="991">
        <f>Opex_Breakdown!U68</f>
        <v>7.3925859728506786</v>
      </c>
      <c r="I71" s="991">
        <f>Opex_Breakdown!V68</f>
        <v>7.0431921397379904</v>
      </c>
      <c r="J71" s="991">
        <f>Opex_Breakdown!W68</f>
        <v>6.9859999999999998</v>
      </c>
      <c r="K71" s="991">
        <f>Opex_Breakdown!X68</f>
        <v>7.7430000000000003</v>
      </c>
      <c r="L71" s="991">
        <f>Opex_Breakdown!Y68</f>
        <v>7.7530000000000001</v>
      </c>
      <c r="M71" s="991">
        <f>Opex_Breakdown!Z68</f>
        <v>7.7640000000000002</v>
      </c>
      <c r="N71" s="991">
        <f>Opex_Breakdown!AA68</f>
        <v>7.7750000000000004</v>
      </c>
      <c r="O71" s="991">
        <f>Opex_Breakdown!AB68</f>
        <v>7.7860000000000005</v>
      </c>
      <c r="P71" s="991">
        <f>Opex_Breakdown!AC68</f>
        <v>7.7860000000000005</v>
      </c>
      <c r="Q71" s="991">
        <f>Opex_Breakdown!AD68</f>
        <v>7.7860000000000005</v>
      </c>
      <c r="R71" s="991">
        <f>Opex_Breakdown!AE68</f>
        <v>7.7860000000000005</v>
      </c>
      <c r="S71" s="991">
        <f>Opex_Breakdown!AF68</f>
        <v>7.7860000000000005</v>
      </c>
      <c r="T71" s="991">
        <f>Opex_Breakdown!AG68</f>
        <v>7.7860000000000005</v>
      </c>
    </row>
    <row r="72" spans="1:41">
      <c r="B72" s="988" t="s">
        <v>7</v>
      </c>
      <c r="C72" s="991">
        <f>Opex_Breakdown!P69</f>
        <v>1.9255657193605682</v>
      </c>
      <c r="D72" s="991">
        <f>Opex_Breakdown!Q69</f>
        <v>2.4563926380368097</v>
      </c>
      <c r="E72" s="991">
        <f>Opex_Breakdown!R69</f>
        <v>2.1985883361921097</v>
      </c>
      <c r="F72" s="991">
        <f>Opex_Breakdown!S69</f>
        <v>1.9607302798982185</v>
      </c>
      <c r="G72" s="991">
        <f>Opex_Breakdown!T69</f>
        <v>2.4324406779661012</v>
      </c>
      <c r="H72" s="991">
        <f>Opex_Breakdown!U69</f>
        <v>2.2484411764705885</v>
      </c>
      <c r="I72" s="991">
        <f>Opex_Breakdown!V69</f>
        <v>2.3101834061135365</v>
      </c>
      <c r="J72" s="991">
        <f>Opex_Breakdown!W69</f>
        <v>2.3239999999999998</v>
      </c>
      <c r="K72" s="991">
        <f>Opex_Breakdown!X69</f>
        <v>2.3239999999999998</v>
      </c>
      <c r="L72" s="991">
        <f>Opex_Breakdown!Y69</f>
        <v>2.3239999999999998</v>
      </c>
      <c r="M72" s="991">
        <f>Opex_Breakdown!Z69</f>
        <v>2.3239999999999998</v>
      </c>
      <c r="N72" s="991">
        <f>Opex_Breakdown!AA69</f>
        <v>2.3239999999999998</v>
      </c>
      <c r="O72" s="991">
        <f>Opex_Breakdown!AB69</f>
        <v>2.3239999999999998</v>
      </c>
      <c r="P72" s="991">
        <f>Opex_Breakdown!AC69</f>
        <v>2.3239999999999998</v>
      </c>
      <c r="Q72" s="991">
        <f>Opex_Breakdown!AD69</f>
        <v>2.3239999999999998</v>
      </c>
      <c r="R72" s="991">
        <f>Opex_Breakdown!AE69</f>
        <v>2.3239999999999998</v>
      </c>
      <c r="S72" s="991">
        <f>Opex_Breakdown!AF69</f>
        <v>2.3239999999999998</v>
      </c>
      <c r="T72" s="991">
        <f>Opex_Breakdown!AG69</f>
        <v>2.3239999999999998</v>
      </c>
      <c r="X72" s="990" t="str">
        <f>C68</f>
        <v>2018-19</v>
      </c>
      <c r="Y72" s="990" t="str">
        <f t="shared" ref="Y72:AK72" si="17">D68</f>
        <v>2019-20</v>
      </c>
      <c r="Z72" s="990" t="str">
        <f t="shared" si="17"/>
        <v>2020-21</v>
      </c>
      <c r="AA72" s="990" t="str">
        <f t="shared" si="17"/>
        <v>2021-22</v>
      </c>
      <c r="AB72" s="990" t="str">
        <f t="shared" si="17"/>
        <v>2022-23</v>
      </c>
      <c r="AC72" s="990" t="str">
        <f t="shared" si="17"/>
        <v>2023-24</v>
      </c>
      <c r="AD72" s="990" t="str">
        <f t="shared" si="17"/>
        <v>2024-25</v>
      </c>
      <c r="AE72" s="990" t="str">
        <f t="shared" si="17"/>
        <v>2025-26</v>
      </c>
      <c r="AF72" s="990" t="str">
        <f t="shared" si="17"/>
        <v>2026-27</v>
      </c>
      <c r="AG72" s="990" t="str">
        <f t="shared" si="17"/>
        <v>2027-28</v>
      </c>
      <c r="AH72" s="990" t="str">
        <f t="shared" si="17"/>
        <v>2028-29</v>
      </c>
      <c r="AI72" s="990" t="str">
        <f t="shared" si="17"/>
        <v>2029-30</v>
      </c>
      <c r="AJ72" s="990" t="str">
        <f t="shared" si="17"/>
        <v>2030-31</v>
      </c>
      <c r="AK72" s="990" t="str">
        <f t="shared" si="17"/>
        <v>2031-32</v>
      </c>
      <c r="AL72" s="990" t="str">
        <f>Q68</f>
        <v>2032-33</v>
      </c>
      <c r="AM72" s="990" t="str">
        <f>R68</f>
        <v>2033-34</v>
      </c>
      <c r="AN72" s="990" t="str">
        <f>S68</f>
        <v>2034-35</v>
      </c>
      <c r="AO72" s="990" t="str">
        <f>T68</f>
        <v>2035-36</v>
      </c>
    </row>
    <row r="73" spans="1:41">
      <c r="B73" s="988" t="s">
        <v>8</v>
      </c>
      <c r="C73" s="991">
        <f>Opex_Breakdown!P70</f>
        <v>0</v>
      </c>
      <c r="D73" s="991">
        <f>Opex_Breakdown!Q70</f>
        <v>0</v>
      </c>
      <c r="E73" s="991">
        <f>Opex_Breakdown!R70</f>
        <v>0</v>
      </c>
      <c r="F73" s="991">
        <f>Opex_Breakdown!S70</f>
        <v>0</v>
      </c>
      <c r="G73" s="991">
        <f>Opex_Breakdown!T70</f>
        <v>0</v>
      </c>
      <c r="H73" s="991">
        <f>Opex_Breakdown!U70</f>
        <v>0</v>
      </c>
      <c r="I73" s="991">
        <f>Opex_Breakdown!V70</f>
        <v>0</v>
      </c>
      <c r="J73" s="991">
        <f>Opex_Breakdown!W70</f>
        <v>0</v>
      </c>
      <c r="K73" s="991">
        <f>Opex_Breakdown!X70</f>
        <v>0</v>
      </c>
      <c r="L73" s="991">
        <f>Opex_Breakdown!Y70</f>
        <v>0</v>
      </c>
      <c r="M73" s="991">
        <f>Opex_Breakdown!Z70</f>
        <v>0</v>
      </c>
      <c r="N73" s="991">
        <f>Opex_Breakdown!AA70</f>
        <v>0</v>
      </c>
      <c r="O73" s="991">
        <f>Opex_Breakdown!AB70</f>
        <v>0</v>
      </c>
      <c r="P73" s="991">
        <f>Opex_Breakdown!AC70</f>
        <v>0</v>
      </c>
      <c r="Q73" s="991">
        <f>Opex_Breakdown!AD70</f>
        <v>0</v>
      </c>
      <c r="R73" s="991">
        <f>Opex_Breakdown!AE70</f>
        <v>0</v>
      </c>
      <c r="S73" s="991">
        <f>Opex_Breakdown!AF70</f>
        <v>0</v>
      </c>
      <c r="T73" s="991">
        <f>Opex_Breakdown!AG70</f>
        <v>0</v>
      </c>
      <c r="W73" s="988" t="s">
        <v>758</v>
      </c>
      <c r="X73" s="1881">
        <f>(Expenditure_Detail!P49*1000000)/Opex_FO!P15</f>
        <v>448.29320804967068</v>
      </c>
      <c r="Y73" s="1881">
        <f>(Expenditure_Detail!Q49*1000000)/Opex_FO!Q15</f>
        <v>482.04956652944549</v>
      </c>
      <c r="Z73" s="1881">
        <f>(Expenditure_Detail!R49*1000000)/Opex_FO!R15</f>
        <v>461.8490860041403</v>
      </c>
      <c r="AA73" s="1881">
        <f>(Expenditure_Detail!S49*1000000)/Opex_FO!S15</f>
        <v>463.59914957120696</v>
      </c>
      <c r="AB73" s="1881">
        <f>(Expenditure_Detail!T49*1000000)/Opex_FO!T15</f>
        <v>482.17461125930549</v>
      </c>
      <c r="AC73" s="1881">
        <f>(Expenditure_Detail!U49*1000000)/Opex_FO!U15</f>
        <v>495.73328403809313</v>
      </c>
      <c r="AD73" s="1881">
        <f>(Expenditure_Detail!V49*1000000)/Opex_FO!V15</f>
        <v>488.05652883496055</v>
      </c>
      <c r="AE73" s="1881">
        <f>(Expenditure_Detail!W49*1000000)/Opex_FO!W15</f>
        <v>495.72248682628447</v>
      </c>
      <c r="AF73" s="1881">
        <f>(Expenditure_Detail!X49*1000000)/Opex_FO!X15</f>
        <v>513.13818345394145</v>
      </c>
      <c r="AG73" s="1881">
        <f>(Expenditure_Detail!Y49*1000000)/Opex_FO!Y15</f>
        <v>511.50029322934313</v>
      </c>
      <c r="AH73" s="1881">
        <f>(Expenditure_Detail!Z49*1000000)/Opex_FO!Z15</f>
        <v>504.13985139891895</v>
      </c>
      <c r="AI73" s="1881">
        <f>(Expenditure_Detail!AA49*1000000)/Opex_FO!AA15</f>
        <v>498.35979650853358</v>
      </c>
      <c r="AJ73" s="1881">
        <f>(Expenditure_Detail!AB49*1000000)/Opex_FO!AB15</f>
        <v>491.18844520848967</v>
      </c>
      <c r="AK73" s="1881">
        <f>(Expenditure_Detail!AC49*1000000)/Opex_FO!AC15</f>
        <v>454.43259231314045</v>
      </c>
      <c r="AL73" s="1881">
        <f>(Expenditure_Detail!AD49*1000000)/Opex_FO!AD15</f>
        <v>447.89334941172922</v>
      </c>
      <c r="AM73" s="1881">
        <f>(Expenditure_Detail!AE49*1000000)/Opex_FO!AE15</f>
        <v>441.44820560982578</v>
      </c>
      <c r="AN73" s="1881">
        <f>(Expenditure_Detail!AF49*1000000)/Opex_FO!AF15</f>
        <v>435.09580683010626</v>
      </c>
      <c r="AO73" s="1881">
        <f>(Expenditure_Detail!AG49*1000000)/Opex_FO!AG15</f>
        <v>428.83481848029402</v>
      </c>
    </row>
    <row r="74" spans="1:41">
      <c r="B74" s="988" t="s">
        <v>9</v>
      </c>
      <c r="C74" s="991">
        <f>Opex_Breakdown!P71</f>
        <v>0.21242451154529307</v>
      </c>
      <c r="D74" s="991">
        <f>Opex_Breakdown!Q71</f>
        <v>0.24415950920245399</v>
      </c>
      <c r="E74" s="991">
        <f>Opex_Breakdown!R71</f>
        <v>0.22323756432246997</v>
      </c>
      <c r="F74" s="991">
        <f>Opex_Breakdown!S71</f>
        <v>0.24106361323155218</v>
      </c>
      <c r="G74" s="991">
        <f>Opex_Breakdown!T71</f>
        <v>0.15671186440677964</v>
      </c>
      <c r="H74" s="991">
        <f>Opex_Breakdown!U71</f>
        <v>0.14961312217194569</v>
      </c>
      <c r="I74" s="991">
        <f>Opex_Breakdown!V71</f>
        <v>0.23757205240174673</v>
      </c>
      <c r="J74" s="991">
        <f>Opex_Breakdown!W71</f>
        <v>0.185</v>
      </c>
      <c r="K74" s="991">
        <f>Opex_Breakdown!X71</f>
        <v>0.185</v>
      </c>
      <c r="L74" s="991">
        <f>Opex_Breakdown!Y71</f>
        <v>0.185</v>
      </c>
      <c r="M74" s="991">
        <f>Opex_Breakdown!Z71</f>
        <v>0.185</v>
      </c>
      <c r="N74" s="991">
        <f>Opex_Breakdown!AA71</f>
        <v>0.185</v>
      </c>
      <c r="O74" s="991">
        <f>Opex_Breakdown!AB71</f>
        <v>0.185</v>
      </c>
      <c r="P74" s="991">
        <f>Opex_Breakdown!AC71</f>
        <v>0.185</v>
      </c>
      <c r="Q74" s="991">
        <f>Opex_Breakdown!AD71</f>
        <v>0.185</v>
      </c>
      <c r="R74" s="991">
        <f>Opex_Breakdown!AE71</f>
        <v>0.185</v>
      </c>
      <c r="S74" s="991">
        <f>Opex_Breakdown!AF71</f>
        <v>0.185</v>
      </c>
      <c r="T74" s="991">
        <f>Opex_Breakdown!AG71</f>
        <v>0.185</v>
      </c>
    </row>
    <row r="75" spans="1:41">
      <c r="B75" s="988" t="s">
        <v>10</v>
      </c>
      <c r="C75" s="991">
        <f>Opex_Breakdown!P72</f>
        <v>7.8134733570159849</v>
      </c>
      <c r="D75" s="991">
        <f>Opex_Breakdown!Q72</f>
        <v>7.9931411042944784</v>
      </c>
      <c r="E75" s="991">
        <f>Opex_Breakdown!R72</f>
        <v>7.9436372212692961</v>
      </c>
      <c r="F75" s="991">
        <f>Opex_Breakdown!S72</f>
        <v>8.9121933842239187</v>
      </c>
      <c r="G75" s="991">
        <f>Opex_Breakdown!T72</f>
        <v>9.0881525423728799</v>
      </c>
      <c r="H75" s="991">
        <f>Opex_Breakdown!U72</f>
        <v>9.4415429864253397</v>
      </c>
      <c r="I75" s="991">
        <f>Opex_Breakdown!V72</f>
        <v>9.9027609170305677</v>
      </c>
      <c r="J75" s="991">
        <f>Opex_Breakdown!W72</f>
        <v>9.4740000000000002</v>
      </c>
      <c r="K75" s="991">
        <f>Opex_Breakdown!X72</f>
        <v>9.4740000000000002</v>
      </c>
      <c r="L75" s="991">
        <f>Opex_Breakdown!Y72</f>
        <v>9.4740000000000002</v>
      </c>
      <c r="M75" s="991">
        <f>Opex_Breakdown!Z72</f>
        <v>9.4740000000000002</v>
      </c>
      <c r="N75" s="991">
        <f>Opex_Breakdown!AA72</f>
        <v>9.4740000000000002</v>
      </c>
      <c r="O75" s="991">
        <f>Opex_Breakdown!AB72</f>
        <v>9.4740000000000002</v>
      </c>
      <c r="P75" s="991">
        <f>Opex_Breakdown!AC72</f>
        <v>9.8740000000000006</v>
      </c>
      <c r="Q75" s="991">
        <f>Opex_Breakdown!AD72</f>
        <v>10.274000000000001</v>
      </c>
      <c r="R75" s="991">
        <f>Opex_Breakdown!AE72</f>
        <v>10.674000000000001</v>
      </c>
      <c r="S75" s="991">
        <f>Opex_Breakdown!AF72</f>
        <v>11.074000000000002</v>
      </c>
      <c r="T75" s="991">
        <f>Opex_Breakdown!AG72</f>
        <v>11.474000000000002</v>
      </c>
      <c r="X75" s="990" t="str">
        <f>X72</f>
        <v>2018-19</v>
      </c>
      <c r="Y75" s="990" t="str">
        <f t="shared" ref="Y75:AK75" si="18">Y72</f>
        <v>2019-20</v>
      </c>
      <c r="Z75" s="990" t="str">
        <f t="shared" si="18"/>
        <v>2020-21</v>
      </c>
      <c r="AA75" s="990" t="str">
        <f t="shared" si="18"/>
        <v>2021-22</v>
      </c>
      <c r="AB75" s="990" t="str">
        <f t="shared" si="18"/>
        <v>2022-23</v>
      </c>
      <c r="AC75" s="990" t="str">
        <f t="shared" si="18"/>
        <v>2023-24</v>
      </c>
      <c r="AD75" s="990" t="str">
        <f t="shared" si="18"/>
        <v>2024-25</v>
      </c>
      <c r="AE75" s="990" t="str">
        <f t="shared" si="18"/>
        <v>2025-26</v>
      </c>
      <c r="AF75" s="990" t="str">
        <f t="shared" si="18"/>
        <v>2026-27</v>
      </c>
      <c r="AG75" s="990" t="str">
        <f t="shared" si="18"/>
        <v>2027-28</v>
      </c>
      <c r="AH75" s="990" t="str">
        <f t="shared" si="18"/>
        <v>2028-29</v>
      </c>
      <c r="AI75" s="990" t="str">
        <f t="shared" si="18"/>
        <v>2029-30</v>
      </c>
      <c r="AJ75" s="990" t="str">
        <f t="shared" si="18"/>
        <v>2030-31</v>
      </c>
      <c r="AK75" s="990" t="str">
        <f t="shared" si="18"/>
        <v>2031-32</v>
      </c>
      <c r="AL75" s="990" t="str">
        <f>AL72</f>
        <v>2032-33</v>
      </c>
      <c r="AM75" s="990" t="str">
        <f>AM72</f>
        <v>2033-34</v>
      </c>
      <c r="AN75" s="990" t="str">
        <f>AN72</f>
        <v>2034-35</v>
      </c>
      <c r="AO75" s="990" t="str">
        <f>AO72</f>
        <v>2035-36</v>
      </c>
    </row>
    <row r="76" spans="1:41">
      <c r="B76" s="988" t="s">
        <v>11</v>
      </c>
      <c r="C76" s="991">
        <f>Opex_Breakdown!P73</f>
        <v>0</v>
      </c>
      <c r="D76" s="991">
        <f>Opex_Breakdown!Q73</f>
        <v>0</v>
      </c>
      <c r="E76" s="991">
        <f>Opex_Breakdown!R73</f>
        <v>0</v>
      </c>
      <c r="F76" s="991">
        <f>Opex_Breakdown!S73</f>
        <v>0</v>
      </c>
      <c r="G76" s="991">
        <f>Opex_Breakdown!T73</f>
        <v>0</v>
      </c>
      <c r="H76" s="991">
        <f>Opex_Breakdown!U73</f>
        <v>0</v>
      </c>
      <c r="I76" s="991">
        <f>Opex_Breakdown!V73</f>
        <v>0</v>
      </c>
      <c r="J76" s="991">
        <f>Opex_Breakdown!W73</f>
        <v>0</v>
      </c>
      <c r="K76" s="991">
        <f>Opex_Breakdown!X73</f>
        <v>0</v>
      </c>
      <c r="L76" s="991">
        <f>Opex_Breakdown!Y73</f>
        <v>0</v>
      </c>
      <c r="M76" s="991">
        <f>Opex_Breakdown!Z73</f>
        <v>0</v>
      </c>
      <c r="N76" s="991">
        <f>Opex_Breakdown!AA73</f>
        <v>0</v>
      </c>
      <c r="O76" s="991">
        <f>Opex_Breakdown!AB73</f>
        <v>0</v>
      </c>
      <c r="P76" s="991">
        <f>Opex_Breakdown!AC73</f>
        <v>0</v>
      </c>
      <c r="Q76" s="991">
        <f>Opex_Breakdown!AD73</f>
        <v>0</v>
      </c>
      <c r="R76" s="991">
        <f>Opex_Breakdown!AE73</f>
        <v>0</v>
      </c>
      <c r="S76" s="991">
        <f>Opex_Breakdown!AF73</f>
        <v>0</v>
      </c>
      <c r="T76" s="991">
        <f>Opex_Breakdown!AG73</f>
        <v>0</v>
      </c>
      <c r="W76" s="988" t="s">
        <v>759</v>
      </c>
      <c r="X76" s="1882">
        <f>Expenditure_Detail!P48/Opex_FO!P15</f>
        <v>3.5866571654180226E-3</v>
      </c>
      <c r="Y76" s="1882">
        <f>Expenditure_Detail!Q48/Opex_FO!Q15</f>
        <v>3.5630940861745121E-3</v>
      </c>
      <c r="Z76" s="1882">
        <f>Expenditure_Detail!R48/Opex_FO!R15</f>
        <v>3.5557992972802144E-3</v>
      </c>
      <c r="AA76" s="1882">
        <f>Expenditure_Detail!S48/Opex_FO!S15</f>
        <v>3.5862687003913821E-3</v>
      </c>
      <c r="AB76" s="1882">
        <f>Expenditure_Detail!T48/Opex_FO!T15</f>
        <v>3.7701952128525681E-3</v>
      </c>
      <c r="AC76" s="1882">
        <f>Expenditure_Detail!U48/Opex_FO!U15</f>
        <v>3.8680640963941319E-3</v>
      </c>
      <c r="AD76" s="1882">
        <f>Expenditure_Detail!V48/Opex_FO!V15</f>
        <v>3.8146684233640758E-3</v>
      </c>
      <c r="AE76" s="1882">
        <f>Expenditure_Detail!W48/Opex_FO!W15</f>
        <v>3.7597756981707824E-3</v>
      </c>
      <c r="AF76" s="1882">
        <f>Expenditure_Detail!X48/Opex_FO!X15</f>
        <v>3.961648435400587E-3</v>
      </c>
      <c r="AG76" s="1882">
        <f>Expenditure_Detail!Y48/Opex_FO!Y15</f>
        <v>3.9550991007680208E-3</v>
      </c>
      <c r="AH76" s="1882">
        <f>Expenditure_Detail!Z48/Opex_FO!Z15</f>
        <v>3.8981855911374153E-3</v>
      </c>
      <c r="AI76" s="1882">
        <f>Expenditure_Detail!AA48/Opex_FO!AA15</f>
        <v>3.8584299562224003E-3</v>
      </c>
      <c r="AJ76" s="1882">
        <f>Expenditure_Detail!AB48/Opex_FO!AB15</f>
        <v>3.8029075066256658E-3</v>
      </c>
      <c r="AK76" s="1882">
        <f>Expenditure_Detail!AC48/Opex_FO!AC15</f>
        <v>3.7481840199346203E-3</v>
      </c>
      <c r="AL76" s="1882">
        <f>Expenditure_Detail!AD48/Opex_FO!AD15</f>
        <v>3.6942479991470736E-3</v>
      </c>
      <c r="AM76" s="1882">
        <f>Expenditure_Detail!AE48/Opex_FO!AE15</f>
        <v>3.6410881127016295E-3</v>
      </c>
      <c r="AN76" s="1882">
        <f>Expenditure_Detail!AF48/Opex_FO!AF15</f>
        <v>3.5886931920970136E-3</v>
      </c>
      <c r="AO76" s="1882">
        <f>Expenditure_Detail!AG48/Opex_FO!AG15</f>
        <v>3.5370522295456478E-3</v>
      </c>
    </row>
    <row r="77" spans="1:41">
      <c r="B77" s="989" t="s">
        <v>760</v>
      </c>
      <c r="C77" s="995">
        <f>SUM(C69:C76)</f>
        <v>19.964155417406747</v>
      </c>
      <c r="D77" s="995">
        <f t="shared" ref="D77:T77" si="19">SUM(D69:D76)</f>
        <v>24.467742331288342</v>
      </c>
      <c r="E77" s="995">
        <f t="shared" si="19"/>
        <v>22.083625214408233</v>
      </c>
      <c r="F77" s="995">
        <f t="shared" si="19"/>
        <v>22.54302798982188</v>
      </c>
      <c r="G77" s="995">
        <f t="shared" si="19"/>
        <v>24.759338983050846</v>
      </c>
      <c r="H77" s="995">
        <f t="shared" si="19"/>
        <v>23.545497737556563</v>
      </c>
      <c r="I77" s="995">
        <f t="shared" si="19"/>
        <v>23.360398471615717</v>
      </c>
      <c r="J77" s="995">
        <f t="shared" si="19"/>
        <v>22.874000000000002</v>
      </c>
      <c r="K77" s="995">
        <f t="shared" si="19"/>
        <v>23.631</v>
      </c>
      <c r="L77" s="995">
        <f t="shared" si="19"/>
        <v>23.640999999999998</v>
      </c>
      <c r="M77" s="995">
        <f t="shared" si="19"/>
        <v>23.652000000000001</v>
      </c>
      <c r="N77" s="995">
        <f t="shared" si="19"/>
        <v>23.663</v>
      </c>
      <c r="O77" s="995">
        <f t="shared" si="19"/>
        <v>23.673999999999999</v>
      </c>
      <c r="P77" s="995">
        <f t="shared" si="19"/>
        <v>24.074000000000002</v>
      </c>
      <c r="Q77" s="995">
        <f t="shared" si="19"/>
        <v>24.474000000000004</v>
      </c>
      <c r="R77" s="995">
        <f t="shared" si="19"/>
        <v>24.874000000000002</v>
      </c>
      <c r="S77" s="995">
        <f t="shared" si="19"/>
        <v>25.274000000000001</v>
      </c>
      <c r="T77" s="995">
        <f t="shared" si="19"/>
        <v>25.674000000000003</v>
      </c>
    </row>
    <row r="78" spans="1:41" ht="11.25" customHeight="1">
      <c r="X78" s="990" t="str">
        <f>X75</f>
        <v>2018-19</v>
      </c>
      <c r="Y78" s="990" t="str">
        <f t="shared" ref="Y78:AK78" si="20">Y75</f>
        <v>2019-20</v>
      </c>
      <c r="Z78" s="990" t="str">
        <f t="shared" si="20"/>
        <v>2020-21</v>
      </c>
      <c r="AA78" s="990" t="str">
        <f t="shared" si="20"/>
        <v>2021-22</v>
      </c>
      <c r="AB78" s="990" t="str">
        <f t="shared" si="20"/>
        <v>2022-23</v>
      </c>
      <c r="AC78" s="990" t="str">
        <f t="shared" si="20"/>
        <v>2023-24</v>
      </c>
      <c r="AD78" s="990" t="str">
        <f t="shared" si="20"/>
        <v>2024-25</v>
      </c>
      <c r="AE78" s="990" t="str">
        <f t="shared" si="20"/>
        <v>2025-26</v>
      </c>
      <c r="AF78" s="990" t="str">
        <f t="shared" si="20"/>
        <v>2026-27</v>
      </c>
      <c r="AG78" s="990" t="str">
        <f t="shared" si="20"/>
        <v>2027-28</v>
      </c>
      <c r="AH78" s="990" t="str">
        <f t="shared" si="20"/>
        <v>2028-29</v>
      </c>
      <c r="AI78" s="990" t="str">
        <f t="shared" si="20"/>
        <v>2029-30</v>
      </c>
      <c r="AJ78" s="990" t="str">
        <f t="shared" si="20"/>
        <v>2030-31</v>
      </c>
      <c r="AK78" s="990" t="str">
        <f t="shared" si="20"/>
        <v>2031-32</v>
      </c>
      <c r="AL78" s="990" t="str">
        <f>AL75</f>
        <v>2032-33</v>
      </c>
      <c r="AM78" s="990" t="str">
        <f>AM75</f>
        <v>2033-34</v>
      </c>
      <c r="AN78" s="990" t="str">
        <f>AN75</f>
        <v>2034-35</v>
      </c>
      <c r="AO78" s="990" t="str">
        <f>AO75</f>
        <v>2035-36</v>
      </c>
    </row>
    <row r="79" spans="1:41">
      <c r="A79" s="989" t="s">
        <v>761</v>
      </c>
      <c r="C79" s="990" t="str">
        <f>C68</f>
        <v>2018-19</v>
      </c>
      <c r="D79" s="990" t="str">
        <f t="shared" ref="D79:T79" si="21">D68</f>
        <v>2019-20</v>
      </c>
      <c r="E79" s="990" t="str">
        <f t="shared" si="21"/>
        <v>2020-21</v>
      </c>
      <c r="F79" s="990" t="str">
        <f t="shared" si="21"/>
        <v>2021-22</v>
      </c>
      <c r="G79" s="990" t="str">
        <f t="shared" si="21"/>
        <v>2022-23</v>
      </c>
      <c r="H79" s="990" t="str">
        <f t="shared" si="21"/>
        <v>2023-24</v>
      </c>
      <c r="I79" s="990" t="str">
        <f t="shared" si="21"/>
        <v>2024-25</v>
      </c>
      <c r="J79" s="990" t="str">
        <f t="shared" si="21"/>
        <v>2025-26</v>
      </c>
      <c r="K79" s="990" t="str">
        <f t="shared" si="21"/>
        <v>2026-27</v>
      </c>
      <c r="L79" s="990" t="str">
        <f t="shared" si="21"/>
        <v>2027-28</v>
      </c>
      <c r="M79" s="990" t="str">
        <f t="shared" si="21"/>
        <v>2028-29</v>
      </c>
      <c r="N79" s="990" t="str">
        <f t="shared" si="21"/>
        <v>2029-30</v>
      </c>
      <c r="O79" s="990" t="str">
        <f t="shared" si="21"/>
        <v>2030-31</v>
      </c>
      <c r="P79" s="990" t="str">
        <f t="shared" si="21"/>
        <v>2031-32</v>
      </c>
      <c r="Q79" s="990" t="str">
        <f t="shared" si="21"/>
        <v>2032-33</v>
      </c>
      <c r="R79" s="990" t="str">
        <f t="shared" si="21"/>
        <v>2033-34</v>
      </c>
      <c r="S79" s="990" t="str">
        <f t="shared" si="21"/>
        <v>2034-35</v>
      </c>
      <c r="T79" s="990" t="str">
        <f t="shared" si="21"/>
        <v>2035-36</v>
      </c>
      <c r="W79" s="988" t="s">
        <v>762</v>
      </c>
      <c r="X79" s="1880">
        <f>(Expenditure_Detail!P49*1000000)/Expenditure_Detail!P48</f>
        <v>124989.14375537267</v>
      </c>
      <c r="Y79" s="1880">
        <f>(Expenditure_Detail!Q49*1000000)/Expenditure_Detail!Q48</f>
        <v>135289.59799290457</v>
      </c>
      <c r="Z79" s="1880">
        <f>(Expenditure_Detail!R49*1000000)/Expenditure_Detail!R48</f>
        <v>129886.15143644434</v>
      </c>
      <c r="AA79" s="1880">
        <f>(Expenditure_Detail!S49*1000000)/Expenditure_Detail!S48</f>
        <v>129270.61196519177</v>
      </c>
      <c r="AB79" s="1880">
        <f>(Expenditure_Detail!T49*1000000)/Expenditure_Detail!T48</f>
        <v>127891.15258954649</v>
      </c>
      <c r="AC79" s="1880">
        <f>(Expenditure_Detail!U49*1000000)/Expenditure_Detail!U48</f>
        <v>128160.56603100843</v>
      </c>
      <c r="AD79" s="1880">
        <f>(Expenditure_Detail!V49*1000000)/Expenditure_Detail!V48</f>
        <v>127942.05804250577</v>
      </c>
      <c r="AE79" s="1880">
        <f>(Expenditure_Detail!W49*1000000)/Expenditure_Detail!W48</f>
        <v>131848.95233709418</v>
      </c>
      <c r="AF79" s="1880">
        <f>(Expenditure_Detail!X49*1000000)/Expenditure_Detail!X48</f>
        <v>129526.43118673272</v>
      </c>
      <c r="AG79" s="1880">
        <f>(Expenditure_Detail!Y49*1000000)/Expenditure_Detail!Y48</f>
        <v>129326.79566234318</v>
      </c>
      <c r="AH79" s="1880">
        <f>(Expenditure_Detail!Z49*1000000)/Expenditure_Detail!Z48</f>
        <v>129326.79566234318</v>
      </c>
      <c r="AI79" s="1880">
        <f>(Expenditure_Detail!AA49*1000000)/Expenditure_Detail!AA48</f>
        <v>129161.29155197967</v>
      </c>
      <c r="AJ79" s="1880">
        <f>(Expenditure_Detail!AB49*1000000)/Expenditure_Detail!AB48</f>
        <v>129161.29155197967</v>
      </c>
      <c r="AK79" s="1880">
        <f>(Expenditure_Detail!AC49*1000000)/Expenditure_Detail!AC48</f>
        <v>121240.7368198179</v>
      </c>
      <c r="AL79" s="1880">
        <f>(Expenditure_Detail!AD49*1000000)/Expenditure_Detail!AD48</f>
        <v>121240.7368198179</v>
      </c>
      <c r="AM79" s="1880">
        <f>(Expenditure_Detail!AE49*1000000)/Expenditure_Detail!AE48</f>
        <v>121240.7368198179</v>
      </c>
      <c r="AN79" s="1880">
        <f>(Expenditure_Detail!AF49*1000000)/Expenditure_Detail!AF48</f>
        <v>121240.7368198179</v>
      </c>
      <c r="AO79" s="1880">
        <f>(Expenditure_Detail!AG49*1000000)/Expenditure_Detail!AG48</f>
        <v>121240.7368198179</v>
      </c>
    </row>
    <row r="80" spans="1:41">
      <c r="B80" s="988" t="s">
        <v>761</v>
      </c>
      <c r="C80" s="1044">
        <f>(Opex_Breakdown!P17*1000000)/Opex_FO!P15</f>
        <v>925.2484952697921</v>
      </c>
      <c r="D80" s="1044">
        <f>(Opex_Breakdown!Q17*1000000)/Opex_FO!Q15</f>
        <v>1010.5400372309426</v>
      </c>
      <c r="E80" s="1044">
        <f>(Opex_Breakdown!R17*1000000)/Opex_FO!R15</f>
        <v>937.13549484277064</v>
      </c>
      <c r="F80" s="1044">
        <f>(Opex_Breakdown!S17*1000000)/Opex_FO!S15</f>
        <v>954.19665835429566</v>
      </c>
      <c r="G80" s="1044">
        <f>(Opex_Breakdown!T17*1000000)/Opex_FO!T15</f>
        <v>1051.7894690361277</v>
      </c>
      <c r="H80" s="1044">
        <f>(Opex_Breakdown!U17*1000000)/Opex_FO!U15</f>
        <v>1024.470062053771</v>
      </c>
      <c r="I80" s="1044">
        <f>(Opex_Breakdown!V17*1000000)/Opex_FO!V15</f>
        <v>1011.9829009671422</v>
      </c>
      <c r="J80" s="1044">
        <f>(Opex_Breakdown!W17*1000000)/Opex_FO!W15</f>
        <v>952.17639762930719</v>
      </c>
      <c r="K80" s="1044">
        <f>(Opex_Breakdown!X17*1000000)/Opex_FO!X15</f>
        <v>971.4699456393771</v>
      </c>
      <c r="L80" s="1044">
        <f>(Opex_Breakdown!Y17*1000000)/Opex_FO!Y15</f>
        <v>971.26630346126524</v>
      </c>
      <c r="M80" s="1044">
        <f>(Opex_Breakdown!Z17*1000000)/Opex_FO!Z15</f>
        <v>948.60075514939535</v>
      </c>
      <c r="N80" s="1044">
        <f>(Opex_Breakdown!AA17*1000000)/Opex_FO!AA15</f>
        <v>949.27200943863647</v>
      </c>
      <c r="O80" s="1044">
        <f>(Opex_Breakdown!AB17*1000000)/Opex_FO!AB15</f>
        <v>936.94507961442503</v>
      </c>
      <c r="P80" s="1044">
        <f>(Opex_Breakdown!AC17*1000000)/Opex_FO!AC15</f>
        <v>937.03769849660694</v>
      </c>
      <c r="Q80" s="1044">
        <f>(Opex_Breakdown!AD17*1000000)/Opex_FO!AD15</f>
        <v>937.12999823509983</v>
      </c>
      <c r="R80" s="1044">
        <f>(Opex_Breakdown!AE17*1000000)/Opex_FO!AE15</f>
        <v>937.21923575827589</v>
      </c>
      <c r="S80" s="1044">
        <f>(Opex_Breakdown!AF17*1000000)/Opex_FO!AF15</f>
        <v>937.30704007028919</v>
      </c>
      <c r="T80" s="1044">
        <f>(Opex_Breakdown!AG17*1000000)/Opex_FO!AG15</f>
        <v>937.39517854060193</v>
      </c>
    </row>
    <row r="81" spans="1:41" ht="15.75">
      <c r="V81" s="987" t="s">
        <v>763</v>
      </c>
    </row>
    <row r="82" spans="1:41">
      <c r="A82" s="989" t="s">
        <v>764</v>
      </c>
      <c r="C82" s="990" t="str">
        <f>C79</f>
        <v>2018-19</v>
      </c>
      <c r="D82" s="990" t="str">
        <f t="shared" ref="D82:T82" si="22">D79</f>
        <v>2019-20</v>
      </c>
      <c r="E82" s="990" t="str">
        <f t="shared" si="22"/>
        <v>2020-21</v>
      </c>
      <c r="F82" s="990" t="str">
        <f t="shared" si="22"/>
        <v>2021-22</v>
      </c>
      <c r="G82" s="990" t="str">
        <f t="shared" si="22"/>
        <v>2022-23</v>
      </c>
      <c r="H82" s="990" t="str">
        <f t="shared" si="22"/>
        <v>2023-24</v>
      </c>
      <c r="I82" s="990" t="str">
        <f t="shared" si="22"/>
        <v>2024-25</v>
      </c>
      <c r="J82" s="990" t="str">
        <f t="shared" si="22"/>
        <v>2025-26</v>
      </c>
      <c r="K82" s="990" t="str">
        <f t="shared" si="22"/>
        <v>2026-27</v>
      </c>
      <c r="L82" s="990" t="str">
        <f t="shared" si="22"/>
        <v>2027-28</v>
      </c>
      <c r="M82" s="990" t="str">
        <f t="shared" si="22"/>
        <v>2028-29</v>
      </c>
      <c r="N82" s="990" t="str">
        <f t="shared" si="22"/>
        <v>2029-30</v>
      </c>
      <c r="O82" s="990" t="str">
        <f t="shared" si="22"/>
        <v>2030-31</v>
      </c>
      <c r="P82" s="990" t="str">
        <f t="shared" si="22"/>
        <v>2031-32</v>
      </c>
      <c r="Q82" s="990" t="str">
        <f t="shared" si="22"/>
        <v>2032-33</v>
      </c>
      <c r="R82" s="990" t="str">
        <f t="shared" si="22"/>
        <v>2033-34</v>
      </c>
      <c r="S82" s="990" t="str">
        <f t="shared" si="22"/>
        <v>2034-35</v>
      </c>
      <c r="T82" s="990" t="str">
        <f t="shared" si="22"/>
        <v>2035-36</v>
      </c>
    </row>
    <row r="83" spans="1:41">
      <c r="B83" s="988" t="s">
        <v>764</v>
      </c>
      <c r="C83" s="1044">
        <f>(Opex_Breakdown!P12*1000000)/Opex_FO!P15</f>
        <v>544.84422537280147</v>
      </c>
      <c r="D83" s="1044">
        <f>(Opex_Breakdown!Q12*1000000)/Opex_FO!Q15</f>
        <v>550.95055533886216</v>
      </c>
      <c r="E83" s="1044">
        <f>(Opex_Breakdown!R12*1000000)/Opex_FO!R15</f>
        <v>530.74060257295298</v>
      </c>
      <c r="F83" s="1044">
        <f>(Opex_Breakdown!S12*1000000)/Opex_FO!S15</f>
        <v>546.31845548311662</v>
      </c>
      <c r="G83" s="1044">
        <f>(Opex_Breakdown!T12*1000000)/Opex_FO!T15</f>
        <v>606.67834572738639</v>
      </c>
      <c r="H83" s="1044">
        <f>(Opex_Breakdown!U12*1000000)/Opex_FO!U15</f>
        <v>607.45342095820365</v>
      </c>
      <c r="I83" s="1044">
        <f>(Opex_Breakdown!V12*1000000)/Opex_FO!V15</f>
        <v>605.78480840299687</v>
      </c>
      <c r="J83" s="1044">
        <f>(Opex_Breakdown!W12*1000000)/Opex_FO!W15</f>
        <v>559.3348097140555</v>
      </c>
      <c r="K83" s="1044">
        <f>(Opex_Breakdown!X12*1000000)/Opex_FO!X15</f>
        <v>571.36307845694262</v>
      </c>
      <c r="L83" s="1044">
        <f>(Opex_Breakdown!Y12*1000000)/Opex_FO!Y15</f>
        <v>576.74874229769011</v>
      </c>
      <c r="M83" s="1044">
        <f>(Opex_Breakdown!Z12*1000000)/Opex_FO!Z15</f>
        <v>559.57791327305381</v>
      </c>
      <c r="N83" s="1044">
        <f>(Opex_Breakdown!AA12*1000000)/Opex_FO!AA15</f>
        <v>565.66744237452679</v>
      </c>
      <c r="O83" s="1044">
        <f>(Opex_Breakdown!AB12*1000000)/Opex_FO!AB15</f>
        <v>558.68340515696048</v>
      </c>
      <c r="P83" s="1044">
        <f>(Opex_Breakdown!AC12*1000000)/Opex_FO!AC15</f>
        <v>557.87035548488495</v>
      </c>
      <c r="Q83" s="1044">
        <f>(Opex_Breakdown!AD12*1000000)/Opex_FO!AD15</f>
        <v>557.16137807298549</v>
      </c>
      <c r="R83" s="1044">
        <f>(Opex_Breakdown!AE12*1000000)/Opex_FO!AE15</f>
        <v>556.5509130206492</v>
      </c>
      <c r="S83" s="1044">
        <f>(Opex_Breakdown!AF12*1000000)/Opex_FO!AF15</f>
        <v>556.03783195459152</v>
      </c>
      <c r="T83" s="1044">
        <f>(Opex_Breakdown!AG12*1000000)/Opex_FO!AG15</f>
        <v>555.62120319065889</v>
      </c>
      <c r="X83" s="990" t="str">
        <f>X78</f>
        <v>2018-19</v>
      </c>
      <c r="Y83" s="990" t="str">
        <f t="shared" ref="Y83:AK83" si="23">Y78</f>
        <v>2019-20</v>
      </c>
      <c r="Z83" s="990" t="str">
        <f t="shared" si="23"/>
        <v>2020-21</v>
      </c>
      <c r="AA83" s="990" t="str">
        <f t="shared" si="23"/>
        <v>2021-22</v>
      </c>
      <c r="AB83" s="990" t="str">
        <f t="shared" si="23"/>
        <v>2022-23</v>
      </c>
      <c r="AC83" s="990" t="str">
        <f t="shared" si="23"/>
        <v>2023-24</v>
      </c>
      <c r="AD83" s="990" t="str">
        <f t="shared" si="23"/>
        <v>2024-25</v>
      </c>
      <c r="AE83" s="990" t="str">
        <f t="shared" si="23"/>
        <v>2025-26</v>
      </c>
      <c r="AF83" s="990" t="str">
        <f t="shared" si="23"/>
        <v>2026-27</v>
      </c>
      <c r="AG83" s="990" t="str">
        <f t="shared" si="23"/>
        <v>2027-28</v>
      </c>
      <c r="AH83" s="990" t="str">
        <f t="shared" si="23"/>
        <v>2028-29</v>
      </c>
      <c r="AI83" s="990" t="str">
        <f t="shared" si="23"/>
        <v>2029-30</v>
      </c>
      <c r="AJ83" s="990" t="str">
        <f t="shared" si="23"/>
        <v>2030-31</v>
      </c>
      <c r="AK83" s="990" t="str">
        <f t="shared" si="23"/>
        <v>2031-32</v>
      </c>
      <c r="AL83" s="990" t="str">
        <f>AL78</f>
        <v>2032-33</v>
      </c>
      <c r="AM83" s="990" t="str">
        <f>AM78</f>
        <v>2033-34</v>
      </c>
      <c r="AN83" s="990" t="str">
        <f>AN78</f>
        <v>2034-35</v>
      </c>
      <c r="AO83" s="990" t="str">
        <f>AO78</f>
        <v>2035-36</v>
      </c>
    </row>
    <row r="84" spans="1:41">
      <c r="W84" s="988" t="s">
        <v>765</v>
      </c>
      <c r="X84" s="1045">
        <f>(Expenditure_Detail!P130*1000000)/Opex_FO!P19</f>
        <v>114.11488526604188</v>
      </c>
      <c r="Y84" s="1045">
        <f>(Expenditure_Detail!Q130*1000000)/Opex_FO!Q19</f>
        <v>136.8780119446933</v>
      </c>
      <c r="Z84" s="1045">
        <f>(Expenditure_Detail!R130*1000000)/Opex_FO!R19</f>
        <v>131.57533048435698</v>
      </c>
      <c r="AA84" s="1045">
        <f>(Expenditure_Detail!S130*1000000)/Opex_FO!S19</f>
        <v>147.85235310558721</v>
      </c>
      <c r="AB84" s="1045">
        <f>(Expenditure_Detail!T130*1000000)/Opex_FO!T19</f>
        <v>185.21367473249751</v>
      </c>
      <c r="AC84" s="1045">
        <f>(Expenditure_Detail!U130*1000000)/Opex_FO!U19</f>
        <v>156.69063709884637</v>
      </c>
      <c r="AD84" s="1045">
        <f>(Expenditure_Detail!V130*1000000)/Opex_FO!V19</f>
        <v>130.95052049003047</v>
      </c>
      <c r="AE84" s="1045">
        <f>(Expenditure_Detail!W130*1000000)/Opex_FO!W19</f>
        <v>158.32674857864609</v>
      </c>
      <c r="AF84" s="1045">
        <f>(Expenditure_Detail!X130*1000000)/Opex_FO!X19</f>
        <v>177.72871748139562</v>
      </c>
      <c r="AG84" s="1045">
        <f>(Expenditure_Detail!Y130*1000000)/Opex_FO!Y19</f>
        <v>177.57480539723983</v>
      </c>
      <c r="AH84" s="1045">
        <f>(Expenditure_Detail!Z130*1000000)/Opex_FO!Z19</f>
        <v>177.46423389665173</v>
      </c>
      <c r="AI84" s="1045">
        <f>(Expenditure_Detail!AA130*1000000)/Opex_FO!AA19</f>
        <v>177.3314967359097</v>
      </c>
      <c r="AJ84" s="1045">
        <f>(Expenditure_Detail!AB130*1000000)/Opex_FO!AB19</f>
        <v>177.24015413313433</v>
      </c>
      <c r="AK84" s="1045">
        <f>(Expenditure_Detail!AC130*1000000)/Opex_FO!AC19</f>
        <v>175.4974809894853</v>
      </c>
      <c r="AL84" s="1045">
        <f>(Expenditure_Detail!AD130*1000000)/Opex_FO!AD19</f>
        <v>173.7644285302535</v>
      </c>
      <c r="AM84" s="1045">
        <f>(Expenditure_Detail!AE130*1000000)/Opex_FO!AE19</f>
        <v>172.04105447266679</v>
      </c>
      <c r="AN84" s="1045">
        <f>(Expenditure_Detail!AF130*1000000)/Opex_FO!AF19</f>
        <v>170.32735919547025</v>
      </c>
      <c r="AO84" s="1045">
        <f>(Expenditure_Detail!AG130*1000000)/Opex_FO!AG19</f>
        <v>168.62340302059368</v>
      </c>
    </row>
    <row r="85" spans="1:41">
      <c r="A85" s="989" t="s">
        <v>766</v>
      </c>
      <c r="C85" s="990" t="str">
        <f>C82</f>
        <v>2018-19</v>
      </c>
      <c r="D85" s="990" t="str">
        <f t="shared" ref="D85:T85" si="24">D82</f>
        <v>2019-20</v>
      </c>
      <c r="E85" s="990" t="str">
        <f t="shared" si="24"/>
        <v>2020-21</v>
      </c>
      <c r="F85" s="990" t="str">
        <f t="shared" si="24"/>
        <v>2021-22</v>
      </c>
      <c r="G85" s="990" t="str">
        <f t="shared" si="24"/>
        <v>2022-23</v>
      </c>
      <c r="H85" s="990" t="str">
        <f t="shared" si="24"/>
        <v>2023-24</v>
      </c>
      <c r="I85" s="990" t="str">
        <f t="shared" si="24"/>
        <v>2024-25</v>
      </c>
      <c r="J85" s="990" t="str">
        <f t="shared" si="24"/>
        <v>2025-26</v>
      </c>
      <c r="K85" s="990" t="str">
        <f t="shared" si="24"/>
        <v>2026-27</v>
      </c>
      <c r="L85" s="990" t="str">
        <f t="shared" si="24"/>
        <v>2027-28</v>
      </c>
      <c r="M85" s="990" t="str">
        <f t="shared" si="24"/>
        <v>2028-29</v>
      </c>
      <c r="N85" s="990" t="str">
        <f t="shared" si="24"/>
        <v>2029-30</v>
      </c>
      <c r="O85" s="990" t="str">
        <f t="shared" si="24"/>
        <v>2030-31</v>
      </c>
      <c r="P85" s="990" t="str">
        <f t="shared" si="24"/>
        <v>2031-32</v>
      </c>
      <c r="Q85" s="990" t="str">
        <f t="shared" si="24"/>
        <v>2032-33</v>
      </c>
      <c r="R85" s="990" t="str">
        <f t="shared" si="24"/>
        <v>2033-34</v>
      </c>
      <c r="S85" s="990" t="str">
        <f t="shared" si="24"/>
        <v>2034-35</v>
      </c>
      <c r="T85" s="990" t="str">
        <f t="shared" si="24"/>
        <v>2035-36</v>
      </c>
    </row>
    <row r="86" spans="1:41" ht="12.75" customHeight="1">
      <c r="B86" s="988" t="s">
        <v>766</v>
      </c>
      <c r="C86" s="1044">
        <f>(Opex_Breakdown!P13*1000000)/Opex_FO!P17</f>
        <v>419.09929991855233</v>
      </c>
      <c r="D86" s="1044">
        <f>(Opex_Breakdown!Q13*1000000)/Opex_FO!Q17</f>
        <v>506.21881681195953</v>
      </c>
      <c r="E86" s="1044">
        <f>(Opex_Breakdown!R13*1000000)/Opex_FO!R17</f>
        <v>445.45762827741294</v>
      </c>
      <c r="F86" s="1044">
        <f>(Opex_Breakdown!S13*1000000)/Opex_FO!S17</f>
        <v>446.65567235966284</v>
      </c>
      <c r="G86" s="1044">
        <f>(Opex_Breakdown!T13*1000000)/Opex_FO!T17</f>
        <v>485.36422337477688</v>
      </c>
      <c r="H86" s="1044">
        <f>(Opex_Breakdown!U13*1000000)/Opex_FO!U17</f>
        <v>454.85427745906787</v>
      </c>
      <c r="I86" s="1044">
        <f>(Opex_Breakdown!V13*1000000)/Opex_FO!V17</f>
        <v>441.9415993427873</v>
      </c>
      <c r="J86" s="1044">
        <f>(Opex_Breakdown!W13*1000000)/Opex_FO!W17</f>
        <v>427.40978559422985</v>
      </c>
      <c r="K86" s="1044">
        <f>(Opex_Breakdown!X13*1000000)/Opex_FO!X17</f>
        <v>435.31437499971491</v>
      </c>
      <c r="L86" s="1044">
        <f>(Opex_Breakdown!Y13*1000000)/Opex_FO!Y17</f>
        <v>429.23323654434188</v>
      </c>
      <c r="M86" s="1044">
        <f>(Opex_Breakdown!Z13*1000000)/Opex_FO!Z17</f>
        <v>423.25500800463954</v>
      </c>
      <c r="N86" s="1044">
        <f>(Opex_Breakdown!AA13*1000000)/Opex_FO!AA17</f>
        <v>417.35995069139432</v>
      </c>
      <c r="O86" s="1044">
        <f>(Opex_Breakdown!AB13*1000000)/Opex_FO!AB17</f>
        <v>411.54690886051816</v>
      </c>
      <c r="P86" s="1044">
        <f>(Opex_Breakdown!AC13*1000000)/Opex_FO!AC17</f>
        <v>412.53227195470794</v>
      </c>
      <c r="Q86" s="1044">
        <f>(Opex_Breakdown!AD13*1000000)/Opex_FO!AD17</f>
        <v>413.40405769630456</v>
      </c>
      <c r="R86" s="1044">
        <f>(Opex_Breakdown!AE13*1000000)/Opex_FO!AE17</f>
        <v>414.16533078189252</v>
      </c>
      <c r="S86" s="1044">
        <f>(Opex_Breakdown!AF13*1000000)/Opex_FO!AF17</f>
        <v>414.81909122505459</v>
      </c>
      <c r="T86" s="1044">
        <f>(Opex_Breakdown!AG13*1000000)/Opex_FO!AG17</f>
        <v>415.36827558333169</v>
      </c>
      <c r="V86" s="987" t="s">
        <v>767</v>
      </c>
    </row>
    <row r="88" spans="1:41" ht="15.75">
      <c r="A88" s="987" t="s">
        <v>768</v>
      </c>
      <c r="V88" s="987"/>
      <c r="X88" s="990" t="str">
        <f>X83</f>
        <v>2018-19</v>
      </c>
      <c r="Y88" s="990" t="str">
        <f t="shared" ref="Y88:AK88" si="25">Y83</f>
        <v>2019-20</v>
      </c>
      <c r="Z88" s="990" t="str">
        <f t="shared" si="25"/>
        <v>2020-21</v>
      </c>
      <c r="AA88" s="990" t="str">
        <f t="shared" si="25"/>
        <v>2021-22</v>
      </c>
      <c r="AB88" s="990" t="str">
        <f t="shared" si="25"/>
        <v>2022-23</v>
      </c>
      <c r="AC88" s="990" t="str">
        <f t="shared" si="25"/>
        <v>2023-24</v>
      </c>
      <c r="AD88" s="990" t="str">
        <f t="shared" si="25"/>
        <v>2024-25</v>
      </c>
      <c r="AE88" s="990" t="str">
        <f t="shared" si="25"/>
        <v>2025-26</v>
      </c>
      <c r="AF88" s="990" t="str">
        <f t="shared" si="25"/>
        <v>2026-27</v>
      </c>
      <c r="AG88" s="990" t="str">
        <f t="shared" si="25"/>
        <v>2027-28</v>
      </c>
      <c r="AH88" s="990" t="str">
        <f t="shared" si="25"/>
        <v>2028-29</v>
      </c>
      <c r="AI88" s="990" t="str">
        <f t="shared" si="25"/>
        <v>2029-30</v>
      </c>
      <c r="AJ88" s="990" t="str">
        <f t="shared" si="25"/>
        <v>2030-31</v>
      </c>
      <c r="AK88" s="990" t="str">
        <f t="shared" si="25"/>
        <v>2031-32</v>
      </c>
      <c r="AL88" s="990" t="str">
        <f>AL83</f>
        <v>2032-33</v>
      </c>
      <c r="AM88" s="990" t="str">
        <f>AM83</f>
        <v>2033-34</v>
      </c>
      <c r="AN88" s="990" t="str">
        <f>AN83</f>
        <v>2034-35</v>
      </c>
      <c r="AO88" s="990" t="str">
        <f>AO83</f>
        <v>2035-36</v>
      </c>
    </row>
    <row r="89" spans="1:41" ht="15.75">
      <c r="A89" s="987"/>
      <c r="W89" s="988" t="s">
        <v>769</v>
      </c>
      <c r="X89" s="1045">
        <f>(Expenditure_Detail!P108*1000000)/Opex_FO!P19</f>
        <v>313.97431657863092</v>
      </c>
      <c r="Y89" s="1045">
        <f>(Expenditure_Detail!Q108*1000000)/Opex_FO!Q19</f>
        <v>312.10285479560031</v>
      </c>
      <c r="Z89" s="1045">
        <f>(Expenditure_Detail!R108*1000000)/Opex_FO!R19</f>
        <v>303.94703736722994</v>
      </c>
      <c r="AA89" s="1045">
        <f>(Expenditure_Detail!S108*1000000)/Opex_FO!S19</f>
        <v>364.84368496948161</v>
      </c>
      <c r="AB89" s="1045">
        <f>(Expenditure_Detail!T108*1000000)/Opex_FO!T19</f>
        <v>408.39235804454319</v>
      </c>
      <c r="AC89" s="1045">
        <f>(Expenditure_Detail!U108*1000000)/Opex_FO!U19</f>
        <v>301.81547113551864</v>
      </c>
      <c r="AD89" s="1045">
        <f>(Expenditure_Detail!V108*1000000)/Opex_FO!V19</f>
        <v>315.17518744335496</v>
      </c>
      <c r="AE89" s="1045">
        <f>(Expenditure_Detail!W108*1000000)/Opex_FO!W19</f>
        <v>289.6472911602184</v>
      </c>
      <c r="AF89" s="1045">
        <f>(Expenditure_Detail!X108*1000000)/Opex_FO!X19</f>
        <v>269.54315378447694</v>
      </c>
      <c r="AG89" s="1045">
        <f>(Expenditure_Detail!Y108*1000000)/Opex_FO!Y19</f>
        <v>261.93664464877264</v>
      </c>
      <c r="AH89" s="1045">
        <f>(Expenditure_Detail!Z108*1000000)/Opex_FO!Z19</f>
        <v>269.43024225504269</v>
      </c>
      <c r="AI89" s="1045">
        <f>(Expenditure_Detail!AA108*1000000)/Opex_FO!AA19</f>
        <v>283.2976774060138</v>
      </c>
      <c r="AJ89" s="1045">
        <f>(Expenditure_Detail!AB108*1000000)/Opex_FO!AB19</f>
        <v>299.822555282986</v>
      </c>
      <c r="AK89" s="1045">
        <f>(Expenditure_Detail!AC108*1000000)/Opex_FO!AC19</f>
        <v>335.39443546846752</v>
      </c>
      <c r="AL89" s="1045">
        <f>(Expenditure_Detail!AD108*1000000)/Opex_FO!AD19</f>
        <v>364.30956016985488</v>
      </c>
      <c r="AM89" s="1045">
        <f>(Expenditure_Detail!AE108*1000000)/Opex_FO!AE19</f>
        <v>368.14709785563684</v>
      </c>
      <c r="AN89" s="1045">
        <f>(Expenditure_Detail!AF108*1000000)/Opex_FO!AF19</f>
        <v>372.02641356189838</v>
      </c>
      <c r="AO89" s="1045">
        <f>(Expenditure_Detail!AG108*1000000)/Opex_FO!AG19</f>
        <v>375.94837673274378</v>
      </c>
    </row>
    <row r="90" spans="1:41">
      <c r="C90" s="990" t="str">
        <f>C85</f>
        <v>2018-19</v>
      </c>
      <c r="D90" s="990" t="str">
        <f t="shared" ref="D90:T90" si="26">D85</f>
        <v>2019-20</v>
      </c>
      <c r="E90" s="990" t="str">
        <f t="shared" si="26"/>
        <v>2020-21</v>
      </c>
      <c r="F90" s="990" t="str">
        <f t="shared" si="26"/>
        <v>2021-22</v>
      </c>
      <c r="G90" s="990" t="str">
        <f t="shared" si="26"/>
        <v>2022-23</v>
      </c>
      <c r="H90" s="990" t="str">
        <f t="shared" si="26"/>
        <v>2023-24</v>
      </c>
      <c r="I90" s="990" t="str">
        <f t="shared" si="26"/>
        <v>2024-25</v>
      </c>
      <c r="J90" s="990" t="str">
        <f t="shared" si="26"/>
        <v>2025-26</v>
      </c>
      <c r="K90" s="1906" t="str">
        <f t="shared" si="26"/>
        <v>2026-27</v>
      </c>
      <c r="L90" s="990" t="str">
        <f t="shared" si="26"/>
        <v>2027-28</v>
      </c>
      <c r="M90" s="990" t="str">
        <f t="shared" si="26"/>
        <v>2028-29</v>
      </c>
      <c r="N90" s="990" t="str">
        <f t="shared" si="26"/>
        <v>2029-30</v>
      </c>
      <c r="O90" s="990" t="str">
        <f t="shared" si="26"/>
        <v>2030-31</v>
      </c>
      <c r="P90" s="990" t="str">
        <f t="shared" si="26"/>
        <v>2031-32</v>
      </c>
      <c r="Q90" s="990" t="str">
        <f t="shared" si="26"/>
        <v>2032-33</v>
      </c>
      <c r="R90" s="990" t="str">
        <f t="shared" si="26"/>
        <v>2033-34</v>
      </c>
      <c r="S90" s="990" t="str">
        <f t="shared" si="26"/>
        <v>2034-35</v>
      </c>
      <c r="T90" s="990" t="str">
        <f t="shared" si="26"/>
        <v>2035-36</v>
      </c>
    </row>
    <row r="91" spans="1:41" ht="15.75">
      <c r="B91" s="988" t="s">
        <v>770</v>
      </c>
      <c r="C91" s="1044">
        <f>(SUM(Capex_FO_AC!P17,Opex_Breakdown!P42)*1000000)/Opex_FO!P15</f>
        <v>1358.6976702744248</v>
      </c>
      <c r="D91" s="1044">
        <f>(SUM(Capex_FO_AC!Q17,Opex_Breakdown!Q42)*1000000)/Opex_FO!Q15</f>
        <v>1660.5220656713041</v>
      </c>
      <c r="E91" s="1044">
        <f>(SUM(Capex_FO_AC!R17,Opex_Breakdown!R42)*1000000)/Opex_FO!R15</f>
        <v>1604.9693144813418</v>
      </c>
      <c r="F91" s="1044">
        <f>(SUM(Capex_FO_AC!S17,Opex_Breakdown!S42)*1000000)/Opex_FO!S15</f>
        <v>1980.0634622667594</v>
      </c>
      <c r="G91" s="1044">
        <f>(SUM(Capex_FO_AC!T17,Opex_Breakdown!T42)*1000000)/Opex_FO!T15</f>
        <v>1836.7369152560768</v>
      </c>
      <c r="H91" s="1044">
        <f>(SUM(Capex_FO_AC!U17,Opex_Breakdown!U42)*1000000)/Opex_FO!U15</f>
        <v>1917.4873494436501</v>
      </c>
      <c r="I91" s="1044">
        <f>(SUM(Capex_FO_AC!V17,Opex_Breakdown!V42)*1000000)/Opex_FO!V15</f>
        <v>2529.1707456608997</v>
      </c>
      <c r="J91" s="1044">
        <f>(SUM(Capex_FO_AC!W17,Opex_Breakdown!W42)*1000000)/Opex_FO!W15</f>
        <v>2499.8610969351212</v>
      </c>
      <c r="K91" s="1044">
        <f>(SUM(Capex_FO_AC!X17,Opex_Breakdown!X42)*1000000)/Opex_FO!X15</f>
        <v>1961.7090025223313</v>
      </c>
      <c r="L91" s="1044">
        <f>(SUM(Capex_FO_AC!Y17,Opex_Breakdown!Y42)*1000000)/Opex_FO!Y15</f>
        <v>2015.6824221742977</v>
      </c>
      <c r="M91" s="1044">
        <f>(SUM(Capex_FO_AC!Z17,Opex_Breakdown!Z42)*1000000)/Opex_FO!Z15</f>
        <v>1742.0022948027283</v>
      </c>
      <c r="N91" s="1044">
        <f>(SUM(Capex_FO_AC!AA17,Opex_Breakdown!AA42)*1000000)/Opex_FO!AA15</f>
        <v>1842.70881064994</v>
      </c>
      <c r="O91" s="1044">
        <f>(SUM(Capex_FO_AC!AB17,Opex_Breakdown!AB42)*1000000)/Opex_FO!AB15</f>
        <v>2156.5656653161764</v>
      </c>
      <c r="P91" s="1044">
        <f>(SUM(Capex_FO_AC!AC17,Opex_Breakdown!AC42)*1000000)/Opex_FO!AC15</f>
        <v>2014.264075885962</v>
      </c>
      <c r="Q91" s="1044">
        <f>(SUM(Capex_FO_AC!AD17,Opex_Breakdown!AD42)*1000000)/Opex_FO!AD15</f>
        <v>1962.0010790460522</v>
      </c>
      <c r="R91" s="1044">
        <f>(SUM(Capex_FO_AC!AE17,Opex_Breakdown!AE42)*1000000)/Opex_FO!AE15</f>
        <v>1799.2210277676852</v>
      </c>
      <c r="S91" s="1044">
        <f>(SUM(Capex_FO_AC!AF17,Opex_Breakdown!AF42)*1000000)/Opex_FO!AF15</f>
        <v>1963.3587541546351</v>
      </c>
      <c r="T91" s="1044">
        <f>(SUM(Capex_FO_AC!AG17,Opex_Breakdown!AG42)*1000000)/Opex_FO!AG15</f>
        <v>1797.8594858962495</v>
      </c>
      <c r="V91" s="987" t="s">
        <v>771</v>
      </c>
    </row>
    <row r="93" spans="1:41" ht="15.75">
      <c r="A93" s="987" t="s">
        <v>772</v>
      </c>
      <c r="V93" s="989" t="s">
        <v>344</v>
      </c>
      <c r="X93" s="990" t="str">
        <f>X88</f>
        <v>2018-19</v>
      </c>
      <c r="Y93" s="990" t="str">
        <f t="shared" ref="Y93:AO93" si="27">Y88</f>
        <v>2019-20</v>
      </c>
      <c r="Z93" s="990" t="str">
        <f t="shared" si="27"/>
        <v>2020-21</v>
      </c>
      <c r="AA93" s="990" t="str">
        <f t="shared" si="27"/>
        <v>2021-22</v>
      </c>
      <c r="AB93" s="990" t="str">
        <f t="shared" si="27"/>
        <v>2022-23</v>
      </c>
      <c r="AC93" s="990" t="str">
        <f t="shared" si="27"/>
        <v>2023-24</v>
      </c>
      <c r="AD93" s="990" t="str">
        <f t="shared" si="27"/>
        <v>2024-25</v>
      </c>
      <c r="AE93" s="990" t="str">
        <f t="shared" si="27"/>
        <v>2025-26</v>
      </c>
      <c r="AF93" s="990" t="str">
        <f t="shared" si="27"/>
        <v>2026-27</v>
      </c>
      <c r="AG93" s="990" t="str">
        <f t="shared" si="27"/>
        <v>2027-28</v>
      </c>
      <c r="AH93" s="990" t="str">
        <f t="shared" si="27"/>
        <v>2028-29</v>
      </c>
      <c r="AI93" s="990" t="str">
        <f t="shared" si="27"/>
        <v>2029-30</v>
      </c>
      <c r="AJ93" s="990" t="str">
        <f t="shared" si="27"/>
        <v>2030-31</v>
      </c>
      <c r="AK93" s="990" t="str">
        <f t="shared" si="27"/>
        <v>2031-32</v>
      </c>
      <c r="AL93" s="990" t="str">
        <f t="shared" si="27"/>
        <v>2032-33</v>
      </c>
      <c r="AM93" s="990" t="str">
        <f t="shared" si="27"/>
        <v>2033-34</v>
      </c>
      <c r="AN93" s="990" t="str">
        <f t="shared" si="27"/>
        <v>2034-35</v>
      </c>
      <c r="AO93" s="990" t="str">
        <f t="shared" si="27"/>
        <v>2035-36</v>
      </c>
    </row>
    <row r="94" spans="1:41">
      <c r="C94" s="990" t="str">
        <f>C90</f>
        <v>2018-19</v>
      </c>
      <c r="D94" s="990" t="str">
        <f t="shared" ref="D94:T94" si="28">D90</f>
        <v>2019-20</v>
      </c>
      <c r="E94" s="990" t="str">
        <f t="shared" si="28"/>
        <v>2020-21</v>
      </c>
      <c r="F94" s="990" t="str">
        <f t="shared" si="28"/>
        <v>2021-22</v>
      </c>
      <c r="G94" s="990" t="str">
        <f t="shared" si="28"/>
        <v>2022-23</v>
      </c>
      <c r="H94" s="990" t="str">
        <f t="shared" si="28"/>
        <v>2023-24</v>
      </c>
      <c r="I94" s="990" t="str">
        <f t="shared" si="28"/>
        <v>2024-25</v>
      </c>
      <c r="J94" s="990" t="str">
        <f t="shared" si="28"/>
        <v>2025-26</v>
      </c>
      <c r="K94" s="990" t="str">
        <f t="shared" si="28"/>
        <v>2026-27</v>
      </c>
      <c r="L94" s="990" t="str">
        <f t="shared" si="28"/>
        <v>2027-28</v>
      </c>
      <c r="M94" s="990" t="str">
        <f t="shared" si="28"/>
        <v>2028-29</v>
      </c>
      <c r="N94" s="990" t="str">
        <f t="shared" si="28"/>
        <v>2029-30</v>
      </c>
      <c r="O94" s="990" t="str">
        <f t="shared" si="28"/>
        <v>2030-31</v>
      </c>
      <c r="P94" s="990" t="str">
        <f t="shared" si="28"/>
        <v>2031-32</v>
      </c>
      <c r="Q94" s="990" t="str">
        <f t="shared" si="28"/>
        <v>2032-33</v>
      </c>
      <c r="R94" s="990" t="str">
        <f t="shared" si="28"/>
        <v>2033-34</v>
      </c>
      <c r="S94" s="990" t="str">
        <f t="shared" si="28"/>
        <v>2034-35</v>
      </c>
      <c r="T94" s="990" t="str">
        <f t="shared" si="28"/>
        <v>2035-36</v>
      </c>
      <c r="W94" s="988" t="s">
        <v>773</v>
      </c>
      <c r="X94" s="991">
        <f>+'Rev&amp;RAV_FO'!P37</f>
        <v>344.71089538050893</v>
      </c>
      <c r="Y94" s="991">
        <f>+'Rev&amp;RAV_FO'!Q37</f>
        <v>346.67654130320284</v>
      </c>
      <c r="Z94" s="991">
        <f>+'Rev&amp;RAV_FO'!R37</f>
        <v>360.42824661396583</v>
      </c>
      <c r="AA94" s="991">
        <f>+'Rev&amp;RAV_FO'!S37</f>
        <v>373.43126920151866</v>
      </c>
      <c r="AB94" s="991">
        <f>+'Rev&amp;RAV_FO'!T37</f>
        <v>407.60440691158357</v>
      </c>
      <c r="AC94" s="991">
        <f>+'Rev&amp;RAV_FO'!U37</f>
        <v>427.91464625980456</v>
      </c>
      <c r="AD94" s="991">
        <f>+'Rev&amp;RAV_FO'!V37</f>
        <v>454.19275262699648</v>
      </c>
      <c r="AE94" s="991">
        <f>+'Rev&amp;RAV_FO'!W37</f>
        <v>516.37143299877437</v>
      </c>
      <c r="AF94" s="991">
        <f>+'Rev&amp;RAV_FO'!X37</f>
        <v>512.60235118726871</v>
      </c>
      <c r="AG94" s="991">
        <f>+'Rev&amp;RAV_FO'!Y37</f>
        <v>492.81265003693949</v>
      </c>
      <c r="AH94" s="991">
        <f>+'Rev&amp;RAV_FO'!Z37</f>
        <v>473.02294888661027</v>
      </c>
      <c r="AI94" s="991">
        <f>+'Rev&amp;RAV_FO'!AA37</f>
        <v>453.23324773628104</v>
      </c>
      <c r="AJ94" s="991">
        <f>+'Rev&amp;RAV_FO'!AB37</f>
        <v>433.44354658595182</v>
      </c>
      <c r="AK94" s="991">
        <f>+'Rev&amp;RAV_FO'!AC37</f>
        <v>413.6538454356226</v>
      </c>
      <c r="AL94" s="991">
        <f>+'Rev&amp;RAV_FO'!AD37</f>
        <v>393.86414428529338</v>
      </c>
      <c r="AM94" s="991">
        <f>+'Rev&amp;RAV_FO'!AE37</f>
        <v>374.07444313496416</v>
      </c>
      <c r="AN94" s="991">
        <f>+'Rev&amp;RAV_FO'!AF37</f>
        <v>354.28474198463493</v>
      </c>
      <c r="AO94" s="991">
        <f>+'Rev&amp;RAV_FO'!AG37</f>
        <v>334.49504083430571</v>
      </c>
    </row>
    <row r="95" spans="1:41">
      <c r="B95" s="988" t="s">
        <v>774</v>
      </c>
      <c r="C95" s="1044">
        <f ca="1">Indicators_FO!P225</f>
        <v>17.171183685523058</v>
      </c>
      <c r="D95" s="1044">
        <f ca="1">Indicators_FO!Q225</f>
        <v>18.647434693378653</v>
      </c>
      <c r="E95" s="1044">
        <f ca="1">Indicators_FO!R225</f>
        <v>14.434358209998218</v>
      </c>
      <c r="F95" s="1044">
        <f ca="1">Indicators_FO!S225</f>
        <v>8.4065275590933926</v>
      </c>
      <c r="G95" s="1044">
        <f ca="1">Indicators_FO!T225</f>
        <v>3.197799901696575</v>
      </c>
      <c r="H95" s="1044">
        <f ca="1">Indicators_FO!U225</f>
        <v>3.5206751401817842</v>
      </c>
      <c r="I95" s="1044">
        <f ca="1">Indicators_FO!V225</f>
        <v>3.036048160262717</v>
      </c>
      <c r="J95" s="1044">
        <f ca="1">Indicators_FO!W225</f>
        <v>2.1867082221445666</v>
      </c>
      <c r="K95" s="1044">
        <f ca="1">Indicators_FO!X225</f>
        <v>4.2934739290126176</v>
      </c>
      <c r="L95" s="1044">
        <f ca="1">Indicators_FO!Y225</f>
        <v>4.7940514434776613</v>
      </c>
      <c r="M95" s="1044">
        <f ca="1">Indicators_FO!Z225</f>
        <v>27.472557179204074</v>
      </c>
      <c r="N95" s="1044">
        <f ca="1">Indicators_FO!AA225</f>
        <v>89.205123671080415</v>
      </c>
      <c r="O95" s="1044">
        <f ca="1">Indicators_FO!AB225</f>
        <v>8.953957144527168</v>
      </c>
      <c r="P95" s="1044">
        <f ca="1">Indicators_FO!AC225</f>
        <v>7.6518146726448615</v>
      </c>
      <c r="Q95" s="1044">
        <f ca="1">Indicators_FO!AD225</f>
        <v>5.3255545725844984</v>
      </c>
      <c r="R95" s="1044">
        <f ca="1">Indicators_FO!AE225</f>
        <v>5.2351454151593932</v>
      </c>
      <c r="S95" s="1044">
        <f ca="1">Indicators_FO!AF225</f>
        <v>5.3756087716235204</v>
      </c>
      <c r="T95" s="1044">
        <f ca="1">Indicators_FO!AG225</f>
        <v>5.3203456691909521</v>
      </c>
      <c r="W95" s="988" t="s">
        <v>775</v>
      </c>
      <c r="X95" s="991">
        <f>+'Rev&amp;RAV_FO'!P54</f>
        <v>0</v>
      </c>
      <c r="Y95" s="991">
        <f>+'Rev&amp;RAV_FO'!Q54</f>
        <v>0</v>
      </c>
      <c r="Z95" s="991">
        <f>+'Rev&amp;RAV_FO'!R54</f>
        <v>0</v>
      </c>
      <c r="AA95" s="991">
        <f>+'Rev&amp;RAV_FO'!S54</f>
        <v>0</v>
      </c>
      <c r="AB95" s="991">
        <f>+'Rev&amp;RAV_FO'!T54</f>
        <v>0</v>
      </c>
      <c r="AC95" s="991">
        <f>+'Rev&amp;RAV_FO'!U54</f>
        <v>0</v>
      </c>
      <c r="AD95" s="991">
        <f>+'Rev&amp;RAV_FO'!V54</f>
        <v>0</v>
      </c>
      <c r="AE95" s="991">
        <f>+'Rev&amp;RAV_FO'!W54</f>
        <v>0</v>
      </c>
      <c r="AF95" s="991">
        <f>+'Rev&amp;RAV_FO'!X54</f>
        <v>0</v>
      </c>
      <c r="AG95" s="991">
        <f ca="1">+'Rev&amp;RAV_FO'!Y54</f>
        <v>48.188162436309518</v>
      </c>
      <c r="AH95" s="991">
        <f ca="1">+'Rev&amp;RAV_FO'!Z54</f>
        <v>96.970594999404767</v>
      </c>
      <c r="AI95" s="991">
        <f ca="1">+'Rev&amp;RAV_FO'!AA54</f>
        <v>132.69564161011908</v>
      </c>
      <c r="AJ95" s="991">
        <f ca="1">+'Rev&amp;RAV_FO'!AB54</f>
        <v>174.51135426845241</v>
      </c>
      <c r="AK95" s="991">
        <f ca="1">+'Rev&amp;RAV_FO'!AC54</f>
        <v>235.51683413273815</v>
      </c>
      <c r="AL95" s="991">
        <f ca="1">+'Rev&amp;RAV_FO'!AD54</f>
        <v>286.41496653630958</v>
      </c>
      <c r="AM95" s="991">
        <f ca="1">+'Rev&amp;RAV_FO'!AE54</f>
        <v>333.4447763208334</v>
      </c>
      <c r="AN95" s="991">
        <f ca="1">+'Rev&amp;RAV_FO'!AF54</f>
        <v>369.56032687916678</v>
      </c>
      <c r="AO95" s="991">
        <f ca="1">+'Rev&amp;RAV_FO'!AG54</f>
        <v>416.28947535416677</v>
      </c>
    </row>
    <row r="96" spans="1:41">
      <c r="W96" s="989" t="s">
        <v>690</v>
      </c>
      <c r="X96" s="995">
        <f>SUM(X94,X95)</f>
        <v>344.71089538050893</v>
      </c>
      <c r="Y96" s="995">
        <f t="shared" ref="Y96:AK96" si="29">SUM(Y94,Y95)</f>
        <v>346.67654130320284</v>
      </c>
      <c r="Z96" s="995">
        <f t="shared" si="29"/>
        <v>360.42824661396583</v>
      </c>
      <c r="AA96" s="995">
        <f t="shared" si="29"/>
        <v>373.43126920151866</v>
      </c>
      <c r="AB96" s="995">
        <f t="shared" si="29"/>
        <v>407.60440691158357</v>
      </c>
      <c r="AC96" s="995">
        <f t="shared" si="29"/>
        <v>427.91464625980456</v>
      </c>
      <c r="AD96" s="995">
        <f t="shared" si="29"/>
        <v>454.19275262699648</v>
      </c>
      <c r="AE96" s="995">
        <f t="shared" si="29"/>
        <v>516.37143299877437</v>
      </c>
      <c r="AF96" s="995">
        <f t="shared" si="29"/>
        <v>512.60235118726871</v>
      </c>
      <c r="AG96" s="995">
        <f t="shared" ca="1" si="29"/>
        <v>541.00081247324897</v>
      </c>
      <c r="AH96" s="995">
        <f t="shared" ca="1" si="29"/>
        <v>569.993543886015</v>
      </c>
      <c r="AI96" s="995">
        <f t="shared" ca="1" si="29"/>
        <v>585.92888934640018</v>
      </c>
      <c r="AJ96" s="995">
        <f t="shared" ca="1" si="29"/>
        <v>607.95490085440429</v>
      </c>
      <c r="AK96" s="995">
        <f t="shared" ca="1" si="29"/>
        <v>649.17067956836081</v>
      </c>
      <c r="AL96" s="995">
        <f ca="1">SUM(AL94,AL95)</f>
        <v>680.2791108216029</v>
      </c>
      <c r="AM96" s="995">
        <f ca="1">SUM(AM94,AM95)</f>
        <v>707.51921945579761</v>
      </c>
      <c r="AN96" s="995">
        <f ca="1">SUM(AN94,AN95)</f>
        <v>723.84506886380177</v>
      </c>
      <c r="AO96" s="995">
        <f ca="1">SUM(AO94,AO95)</f>
        <v>750.78451618847248</v>
      </c>
    </row>
    <row r="97" spans="1:42" ht="15.75">
      <c r="A97" s="987" t="s">
        <v>776</v>
      </c>
    </row>
    <row r="98" spans="1:42">
      <c r="C98" s="990" t="str">
        <f>C94</f>
        <v>2018-19</v>
      </c>
      <c r="D98" s="990" t="str">
        <f t="shared" ref="D98:T98" si="30">D94</f>
        <v>2019-20</v>
      </c>
      <c r="E98" s="990" t="str">
        <f t="shared" si="30"/>
        <v>2020-21</v>
      </c>
      <c r="F98" s="990" t="str">
        <f t="shared" si="30"/>
        <v>2021-22</v>
      </c>
      <c r="G98" s="990" t="str">
        <f t="shared" si="30"/>
        <v>2022-23</v>
      </c>
      <c r="H98" s="990" t="str">
        <f t="shared" si="30"/>
        <v>2023-24</v>
      </c>
      <c r="I98" s="990" t="str">
        <f t="shared" si="30"/>
        <v>2024-25</v>
      </c>
      <c r="J98" s="990" t="str">
        <f t="shared" si="30"/>
        <v>2025-26</v>
      </c>
      <c r="K98" s="990" t="str">
        <f t="shared" si="30"/>
        <v>2026-27</v>
      </c>
      <c r="L98" s="990" t="str">
        <f t="shared" si="30"/>
        <v>2027-28</v>
      </c>
      <c r="M98" s="990" t="str">
        <f t="shared" si="30"/>
        <v>2028-29</v>
      </c>
      <c r="N98" s="990" t="str">
        <f t="shared" si="30"/>
        <v>2029-30</v>
      </c>
      <c r="O98" s="990" t="str">
        <f t="shared" si="30"/>
        <v>2030-31</v>
      </c>
      <c r="P98" s="990" t="str">
        <f t="shared" si="30"/>
        <v>2031-32</v>
      </c>
      <c r="Q98" s="990" t="str">
        <f t="shared" si="30"/>
        <v>2032-33</v>
      </c>
      <c r="R98" s="990" t="str">
        <f t="shared" si="30"/>
        <v>2033-34</v>
      </c>
      <c r="S98" s="990" t="str">
        <f t="shared" si="30"/>
        <v>2034-35</v>
      </c>
      <c r="T98" s="990" t="str">
        <f t="shared" si="30"/>
        <v>2035-36</v>
      </c>
    </row>
    <row r="99" spans="1:42" ht="15.75">
      <c r="B99" s="988" t="s">
        <v>777</v>
      </c>
      <c r="C99" s="1043">
        <f ca="1">Indicators_FO!P263</f>
        <v>1.9974438089061919</v>
      </c>
      <c r="D99" s="1043">
        <f ca="1">Indicators_FO!Q263</f>
        <v>0.74484273420668712</v>
      </c>
      <c r="E99" s="1043">
        <f ca="1">Indicators_FO!R263</f>
        <v>0.71572145413892774</v>
      </c>
      <c r="F99" s="1043">
        <f ca="1">Indicators_FO!S263</f>
        <v>0.29398222217883929</v>
      </c>
      <c r="G99" s="1043">
        <f ca="1">Indicators_FO!T263</f>
        <v>0.26540722483291002</v>
      </c>
      <c r="H99" s="1043">
        <f ca="1">Indicators_FO!U263</f>
        <v>0.31353920293786319</v>
      </c>
      <c r="I99" s="1043">
        <f ca="1">Indicators_FO!V263</f>
        <v>0.18745037555697183</v>
      </c>
      <c r="J99" s="1043">
        <f ca="1">Indicators_FO!W263</f>
        <v>1.1608650105109808</v>
      </c>
      <c r="K99" s="1043">
        <f ca="1">Indicators_FO!X263</f>
        <v>0.51004216366831945</v>
      </c>
      <c r="L99" s="1043">
        <f ca="1">Indicators_FO!Y263</f>
        <v>0.58146250915794429</v>
      </c>
      <c r="M99" s="1043">
        <f ca="1">Indicators_FO!Z263</f>
        <v>1.0770441968174693</v>
      </c>
      <c r="N99" s="1043">
        <f ca="1">Indicators_FO!AA263</f>
        <v>1.0516567332693616</v>
      </c>
      <c r="O99" s="1043">
        <f ca="1">Indicators_FO!AB263</f>
        <v>0.73912615635553736</v>
      </c>
      <c r="P99" s="1043">
        <f ca="1">Indicators_FO!AC263</f>
        <v>0.66653019375632339</v>
      </c>
      <c r="Q99" s="1043">
        <f ca="1">Indicators_FO!AD263</f>
        <v>0.69061789658134909</v>
      </c>
      <c r="R99" s="1043">
        <f ca="1">Indicators_FO!AE263</f>
        <v>0.86328327350234146</v>
      </c>
      <c r="S99" s="1043">
        <f ca="1">Indicators_FO!AF263</f>
        <v>0.7284292803960839</v>
      </c>
      <c r="T99" s="1043">
        <f ca="1">Indicators_FO!AG263</f>
        <v>0.91388992570941929</v>
      </c>
      <c r="W99" s="987" t="s">
        <v>1052</v>
      </c>
    </row>
    <row r="101" spans="1:42">
      <c r="W101" s="1921">
        <v>26</v>
      </c>
      <c r="X101" s="990" t="s">
        <v>333</v>
      </c>
      <c r="Y101" s="990" t="str">
        <f>X93</f>
        <v>2018-19</v>
      </c>
      <c r="Z101" s="990" t="str">
        <f t="shared" ref="Z101:AK101" si="31">Y93</f>
        <v>2019-20</v>
      </c>
      <c r="AA101" s="990" t="str">
        <f t="shared" si="31"/>
        <v>2020-21</v>
      </c>
      <c r="AB101" s="990" t="str">
        <f t="shared" si="31"/>
        <v>2021-22</v>
      </c>
      <c r="AC101" s="990" t="str">
        <f t="shared" si="31"/>
        <v>2022-23</v>
      </c>
      <c r="AD101" s="990" t="str">
        <f t="shared" si="31"/>
        <v>2023-24</v>
      </c>
      <c r="AE101" s="990" t="str">
        <f t="shared" si="31"/>
        <v>2024-25</v>
      </c>
      <c r="AF101" s="990" t="str">
        <f t="shared" si="31"/>
        <v>2025-26</v>
      </c>
      <c r="AG101" s="2137" t="str">
        <f t="shared" si="31"/>
        <v>2026-27</v>
      </c>
      <c r="AH101" s="990" t="str">
        <f t="shared" si="31"/>
        <v>2027-28</v>
      </c>
      <c r="AI101" s="990" t="str">
        <f t="shared" si="31"/>
        <v>2028-29</v>
      </c>
      <c r="AJ101" s="990" t="str">
        <f t="shared" si="31"/>
        <v>2029-30</v>
      </c>
      <c r="AK101" s="990" t="str">
        <f t="shared" si="31"/>
        <v>2030-31</v>
      </c>
      <c r="AL101" s="990"/>
      <c r="AM101" s="990"/>
      <c r="AN101" s="990"/>
      <c r="AO101" s="990"/>
      <c r="AP101" s="990"/>
    </row>
    <row r="102" spans="1:42" ht="12">
      <c r="K102" s="1883" t="str">
        <f t="shared" ref="K102:T102" si="32">+K$123</f>
        <v>2026-27</v>
      </c>
      <c r="L102" s="1883" t="str">
        <f t="shared" si="32"/>
        <v>2027-28</v>
      </c>
      <c r="M102" s="1883" t="str">
        <f t="shared" si="32"/>
        <v>2028-29</v>
      </c>
      <c r="N102" s="1883" t="str">
        <f t="shared" si="32"/>
        <v>2029-30</v>
      </c>
      <c r="O102" s="1883" t="str">
        <f t="shared" si="32"/>
        <v>2030-31</v>
      </c>
      <c r="P102" s="1883" t="str">
        <f t="shared" si="32"/>
        <v>2031-32</v>
      </c>
      <c r="Q102" s="1883" t="str">
        <f t="shared" si="32"/>
        <v>2032-33</v>
      </c>
      <c r="R102" s="1883" t="str">
        <f t="shared" si="32"/>
        <v>2033-34</v>
      </c>
      <c r="S102" s="1883" t="str">
        <f t="shared" si="32"/>
        <v>2034-35</v>
      </c>
      <c r="T102" s="1883" t="str">
        <f t="shared" si="32"/>
        <v>2035-36</v>
      </c>
      <c r="W102" s="999" t="s">
        <v>1049</v>
      </c>
      <c r="X102" s="1010">
        <f>SUM('Determination Lookup'!I13:I17)</f>
        <v>15.419255255255255</v>
      </c>
      <c r="Y102" s="1010">
        <f>SUM('Determination Lookup'!J13:J17)</f>
        <v>20.358994593665155</v>
      </c>
      <c r="Z102" s="1010">
        <f>SUM('Determination Lookup'!K13:K17)</f>
        <v>26.414381348416285</v>
      </c>
      <c r="AA102" s="1010">
        <f>SUM('Determination Lookup'!L13:L17)</f>
        <v>28.49783766244343</v>
      </c>
      <c r="AB102" s="1010">
        <f>SUM('Determination Lookup'!M13:M17)</f>
        <v>32.284592896832571</v>
      </c>
      <c r="AC102" s="1010">
        <f>SUM('Determination Lookup'!N13:N17)</f>
        <v>20.546128140271492</v>
      </c>
      <c r="AD102" s="1010">
        <f>SUM('Determination Lookup'!O13:O17)</f>
        <v>19.68022596108597</v>
      </c>
      <c r="AE102" s="1010">
        <f>SUM('Determination Lookup'!P13:P17)</f>
        <v>18.160792018099542</v>
      </c>
      <c r="AF102" s="1010">
        <f>SUM('Determination Lookup'!Q13:Q17)</f>
        <v>13.967881085972849</v>
      </c>
      <c r="AG102" s="1010">
        <f>SUM('Determination Lookup'!R13:R17)</f>
        <v>24.840871493212667</v>
      </c>
      <c r="AH102" s="1010">
        <f>SUM('Determination Lookup'!S13:S17)</f>
        <v>25.755103167420813</v>
      </c>
      <c r="AI102" s="1010"/>
      <c r="AJ102" s="1010"/>
      <c r="AK102" s="1010"/>
      <c r="AL102" s="1010"/>
      <c r="AM102" s="1010"/>
      <c r="AN102" s="1010"/>
      <c r="AO102" s="1010"/>
      <c r="AP102" s="1010"/>
    </row>
    <row r="103" spans="1:42" ht="12">
      <c r="H103" s="1052"/>
      <c r="I103" s="1179" t="s">
        <v>1042</v>
      </c>
      <c r="K103" s="1884">
        <f>+Opex_FO!X113</f>
        <v>56.927501187772911</v>
      </c>
      <c r="L103" s="1884">
        <f>+Opex_FO!Y113</f>
        <v>57.746535187772913</v>
      </c>
      <c r="M103" s="1884">
        <f>+Opex_FO!Z113</f>
        <v>57.222382187772908</v>
      </c>
      <c r="N103" s="1884">
        <f>+Opex_FO!AA113</f>
        <v>58.09891218777291</v>
      </c>
      <c r="O103" s="1884">
        <f>+Opex_FO!AB113</f>
        <v>58.181688187772913</v>
      </c>
      <c r="P103" s="1884">
        <f>+Opex_FO!AC113</f>
        <v>59.036974242999989</v>
      </c>
      <c r="Q103" s="1884">
        <f>+Opex_FO!AD113</f>
        <v>59.904816298227061</v>
      </c>
      <c r="R103" s="1884">
        <f>+Opex_FO!AE113</f>
        <v>60.785214353454137</v>
      </c>
      <c r="S103" s="1884">
        <f>+Opex_FO!AF113</f>
        <v>61.678460408681211</v>
      </c>
      <c r="T103" s="1884">
        <f>+Opex_FO!AG113</f>
        <v>62.584846463908285</v>
      </c>
      <c r="W103" s="999" t="s">
        <v>1010</v>
      </c>
      <c r="AA103" s="1920"/>
      <c r="AB103" s="1920"/>
      <c r="AC103" s="1920"/>
      <c r="AD103" s="1010"/>
      <c r="AE103" s="1010"/>
      <c r="AF103" s="1010">
        <f>SUM('Determination Lookup'!Q13:Q17)</f>
        <v>13.967881085972849</v>
      </c>
      <c r="AG103" s="1010">
        <f>SUM('Determination Lookup'!R13:R17)</f>
        <v>24.840871493212667</v>
      </c>
      <c r="AH103" s="1010">
        <f>SUM('Determination Lookup'!S13:S17)</f>
        <v>25.755103167420813</v>
      </c>
      <c r="AI103" s="1010"/>
      <c r="AJ103" s="1919"/>
      <c r="AK103" s="1919"/>
    </row>
    <row r="104" spans="1:42" ht="12">
      <c r="A104" s="992"/>
      <c r="H104" s="1052"/>
      <c r="I104" s="1179" t="s">
        <v>501</v>
      </c>
      <c r="K104" s="1885"/>
      <c r="L104" s="1885">
        <f t="shared" ref="L104:T104" si="33">+L103-K103</f>
        <v>0.81903400000000204</v>
      </c>
      <c r="M104" s="1885">
        <f t="shared" si="33"/>
        <v>-0.52415300000000542</v>
      </c>
      <c r="N104" s="1885">
        <f t="shared" si="33"/>
        <v>0.87653000000000247</v>
      </c>
      <c r="O104" s="1885">
        <f t="shared" si="33"/>
        <v>8.2776000000002625E-2</v>
      </c>
      <c r="P104" s="1885">
        <f t="shared" si="33"/>
        <v>0.85528605522707579</v>
      </c>
      <c r="Q104" s="1885">
        <f t="shared" si="33"/>
        <v>0.86784205522707225</v>
      </c>
      <c r="R104" s="1885">
        <f t="shared" si="33"/>
        <v>0.88039805522707582</v>
      </c>
      <c r="S104" s="1885">
        <f t="shared" si="33"/>
        <v>0.89324605522707401</v>
      </c>
      <c r="T104" s="1885">
        <f t="shared" si="33"/>
        <v>0.90638605522707394</v>
      </c>
      <c r="W104" s="999" t="s">
        <v>1050</v>
      </c>
      <c r="X104" s="1010">
        <f>Summary_FO!O19</f>
        <v>23.432855397285067</v>
      </c>
      <c r="Y104" s="1010">
        <f>Summary_FO!P19</f>
        <v>17.851385599023089</v>
      </c>
      <c r="Z104" s="1010">
        <f>Summary_FO!Q19</f>
        <v>29.564081300613495</v>
      </c>
      <c r="AA104" s="1010">
        <f>Summary_FO!R19</f>
        <v>30.752784326655227</v>
      </c>
      <c r="AB104" s="1010">
        <f>Summary_FO!S19</f>
        <v>50.947665715012718</v>
      </c>
      <c r="AC104" s="1010">
        <f>Summary_FO!T19</f>
        <v>38.549908669491515</v>
      </c>
      <c r="AD104" s="1010">
        <f>Summary_FO!U19</f>
        <v>45.534034847285071</v>
      </c>
      <c r="AE104" s="1010">
        <f>Summary_FO!V19</f>
        <v>81.634957360502185</v>
      </c>
      <c r="AF104" s="1010">
        <f>Summary_FO!W19</f>
        <v>13.967881085972849</v>
      </c>
      <c r="AG104" s="1919"/>
      <c r="AH104" s="1920"/>
      <c r="AI104" s="1920"/>
      <c r="AJ104" s="1920"/>
      <c r="AK104" s="1920"/>
    </row>
    <row r="105" spans="1:42" ht="12">
      <c r="A105" s="992"/>
      <c r="H105" s="1052"/>
      <c r="I105" s="1179" t="s">
        <v>502</v>
      </c>
      <c r="K105" s="1886"/>
      <c r="L105" s="1886">
        <f>IFERROR(L104/K103,"")</f>
        <v>1.4387316901517488E-2</v>
      </c>
      <c r="M105" s="1886">
        <f t="shared" ref="M105:T105" si="34">IFERROR(M104/L103,"")</f>
        <v>-9.0767870019496533E-3</v>
      </c>
      <c r="N105" s="1886">
        <f t="shared" si="34"/>
        <v>1.5317957178428978E-2</v>
      </c>
      <c r="O105" s="1886">
        <f t="shared" si="34"/>
        <v>1.4247426824873166E-3</v>
      </c>
      <c r="P105" s="1886">
        <f t="shared" si="34"/>
        <v>1.4700261918608563E-2</v>
      </c>
      <c r="Q105" s="1886">
        <f t="shared" si="34"/>
        <v>1.4699975165647522E-2</v>
      </c>
      <c r="R105" s="1886">
        <f t="shared" si="34"/>
        <v>1.4696615558324182E-2</v>
      </c>
      <c r="S105" s="1886">
        <f t="shared" si="34"/>
        <v>1.4695120593521689E-2</v>
      </c>
      <c r="T105" s="1886">
        <f t="shared" si="34"/>
        <v>1.4695341764715979E-2</v>
      </c>
      <c r="W105" s="999" t="s">
        <v>1051</v>
      </c>
      <c r="AA105" s="1920"/>
      <c r="AB105" s="1920"/>
      <c r="AC105" s="1920"/>
      <c r="AD105" s="1920"/>
      <c r="AE105" s="1920"/>
      <c r="AF105" s="1919">
        <f>Summary_FO!W19</f>
        <v>13.967881085972849</v>
      </c>
      <c r="AG105" s="1919">
        <f>Summary_FO!X19</f>
        <v>54.123402999999996</v>
      </c>
      <c r="AH105" s="1919">
        <f>Summary_FO!Y19</f>
        <v>58.27920000000001</v>
      </c>
      <c r="AI105" s="1919">
        <f>Summary_FO!Z19</f>
        <v>44.128900000000002</v>
      </c>
      <c r="AJ105" s="1919">
        <f>Summary_FO!AA19</f>
        <v>51.032827000000012</v>
      </c>
      <c r="AK105" s="1919">
        <f>Summary_FO!AB19</f>
        <v>72.166600000000003</v>
      </c>
      <c r="AL105" s="1919"/>
      <c r="AM105" s="1919"/>
      <c r="AN105" s="1919"/>
      <c r="AO105" s="1919"/>
      <c r="AP105" s="1919"/>
    </row>
    <row r="106" spans="1:42">
      <c r="A106" s="992"/>
      <c r="H106" s="1052"/>
      <c r="I106" s="1052"/>
    </row>
    <row r="107" spans="1:42" ht="12">
      <c r="A107" s="992"/>
      <c r="H107" s="1052"/>
      <c r="I107" s="1052"/>
      <c r="K107" s="1883" t="str">
        <f t="shared" ref="K107:T107" si="35">+K$123</f>
        <v>2026-27</v>
      </c>
      <c r="L107" s="1883" t="str">
        <f t="shared" si="35"/>
        <v>2027-28</v>
      </c>
      <c r="M107" s="1883" t="str">
        <f t="shared" si="35"/>
        <v>2028-29</v>
      </c>
      <c r="N107" s="1883" t="str">
        <f t="shared" si="35"/>
        <v>2029-30</v>
      </c>
      <c r="O107" s="1883" t="str">
        <f t="shared" si="35"/>
        <v>2030-31</v>
      </c>
      <c r="P107" s="1883" t="str">
        <f t="shared" si="35"/>
        <v>2031-32</v>
      </c>
      <c r="Q107" s="1883" t="str">
        <f t="shared" si="35"/>
        <v>2032-33</v>
      </c>
      <c r="R107" s="1883" t="str">
        <f t="shared" si="35"/>
        <v>2033-34</v>
      </c>
      <c r="S107" s="1883" t="str">
        <f t="shared" si="35"/>
        <v>2034-35</v>
      </c>
      <c r="T107" s="1883" t="str">
        <f t="shared" si="35"/>
        <v>2035-36</v>
      </c>
    </row>
    <row r="108" spans="1:42" ht="12">
      <c r="A108" s="992"/>
      <c r="H108" s="1052"/>
      <c r="I108" s="1179" t="s">
        <v>1043</v>
      </c>
      <c r="K108" s="1884">
        <f>+Opex_FO!X121</f>
        <v>3.9039562682215747</v>
      </c>
      <c r="L108" s="1884">
        <f>+Opex_FO!Y121</f>
        <v>3.8164502120715014</v>
      </c>
      <c r="M108" s="1884">
        <f>+Opex_FO!Z121</f>
        <v>3.7314103129946563</v>
      </c>
      <c r="N108" s="1884">
        <f>+Opex_FO!AA121</f>
        <v>3.6487670680220186</v>
      </c>
      <c r="O108" s="1884">
        <f>+Opex_FO!AB121</f>
        <v>3.5684529329660046</v>
      </c>
      <c r="P108" s="1884">
        <f>+Opex_FO!AC121</f>
        <v>3.4904022672167194</v>
      </c>
      <c r="Q108" s="1884">
        <f>+Opex_FO!AD121</f>
        <v>3.4145512800939937</v>
      </c>
      <c r="R108" s="1884">
        <f>+Opex_FO!AE121</f>
        <v>3.3408379787113649</v>
      </c>
      <c r="S108" s="1884">
        <f>+Opex_FO!AF121</f>
        <v>3.2692021173093924</v>
      </c>
      <c r="T108" s="1884">
        <f>+Opex_FO!AG121</f>
        <v>3.1995851480169026</v>
      </c>
    </row>
    <row r="109" spans="1:42" ht="12">
      <c r="A109" s="992"/>
      <c r="H109" s="1052"/>
      <c r="I109" s="1179" t="s">
        <v>501</v>
      </c>
      <c r="K109" s="1885"/>
      <c r="L109" s="1885">
        <f t="shared" ref="L109:S109" si="36">+L108-K108</f>
        <v>-8.7506056150073341E-2</v>
      </c>
      <c r="M109" s="1885">
        <f t="shared" si="36"/>
        <v>-8.503989907684506E-2</v>
      </c>
      <c r="N109" s="1885">
        <f t="shared" si="36"/>
        <v>-8.2643244972637753E-2</v>
      </c>
      <c r="O109" s="1885">
        <f t="shared" si="36"/>
        <v>-8.0314135056013924E-2</v>
      </c>
      <c r="P109" s="1885">
        <f t="shared" si="36"/>
        <v>-7.8050665749285209E-2</v>
      </c>
      <c r="Q109" s="1885">
        <f t="shared" si="36"/>
        <v>-7.5850987122725755E-2</v>
      </c>
      <c r="R109" s="1885">
        <f t="shared" si="36"/>
        <v>-7.3713301382628771E-2</v>
      </c>
      <c r="S109" s="1885">
        <f t="shared" si="36"/>
        <v>-7.1635861401972534E-2</v>
      </c>
      <c r="T109" s="1885">
        <f>+T108-S108</f>
        <v>-6.9616969292489728E-2</v>
      </c>
    </row>
    <row r="110" spans="1:42" ht="12">
      <c r="A110" s="992"/>
      <c r="H110" s="1052"/>
      <c r="I110" s="1179" t="s">
        <v>502</v>
      </c>
      <c r="K110" s="1886"/>
      <c r="L110" s="1886">
        <f>IFERROR(L109/K108,"")</f>
        <v>-2.2414712188857645E-2</v>
      </c>
      <c r="M110" s="1886">
        <f t="shared" ref="M110:T110" si="37">IFERROR(M109/L108,"")</f>
        <v>-2.2282459969702295E-2</v>
      </c>
      <c r="N110" s="1886">
        <f t="shared" si="37"/>
        <v>-2.2147991788743309E-2</v>
      </c>
      <c r="O110" s="1886">
        <f t="shared" si="37"/>
        <v>-2.2011307808572137E-2</v>
      </c>
      <c r="P110" s="1886">
        <f t="shared" si="37"/>
        <v>-2.1872410037481294E-2</v>
      </c>
      <c r="Q110" s="1886">
        <f t="shared" si="37"/>
        <v>-2.1731302387449476E-2</v>
      </c>
      <c r="R110" s="1886">
        <f t="shared" si="37"/>
        <v>-2.1587990730248936E-2</v>
      </c>
      <c r="S110" s="1886">
        <f t="shared" si="37"/>
        <v>-2.1442482951419293E-2</v>
      </c>
      <c r="T110" s="1886">
        <f t="shared" si="37"/>
        <v>-2.1294789001845393E-2</v>
      </c>
    </row>
    <row r="111" spans="1:42">
      <c r="A111" s="992"/>
      <c r="H111" s="1052"/>
      <c r="I111" s="1179"/>
    </row>
    <row r="112" spans="1:42" ht="12">
      <c r="A112" s="992"/>
      <c r="H112" s="1052"/>
      <c r="I112" s="1052"/>
      <c r="K112" s="1883" t="str">
        <f t="shared" ref="K112:T112" si="38">+K$123</f>
        <v>2026-27</v>
      </c>
      <c r="L112" s="1883" t="str">
        <f t="shared" si="38"/>
        <v>2027-28</v>
      </c>
      <c r="M112" s="1883" t="str">
        <f t="shared" si="38"/>
        <v>2028-29</v>
      </c>
      <c r="N112" s="1883" t="str">
        <f t="shared" si="38"/>
        <v>2029-30</v>
      </c>
      <c r="O112" s="1883" t="str">
        <f t="shared" si="38"/>
        <v>2030-31</v>
      </c>
      <c r="P112" s="1883" t="str">
        <f t="shared" si="38"/>
        <v>2031-32</v>
      </c>
      <c r="Q112" s="1883" t="str">
        <f t="shared" si="38"/>
        <v>2032-33</v>
      </c>
      <c r="R112" s="1883" t="str">
        <f t="shared" si="38"/>
        <v>2033-34</v>
      </c>
      <c r="S112" s="1883" t="str">
        <f t="shared" si="38"/>
        <v>2034-35</v>
      </c>
      <c r="T112" s="1883" t="str">
        <f t="shared" si="38"/>
        <v>2035-36</v>
      </c>
    </row>
    <row r="113" spans="1:21" ht="12">
      <c r="A113" s="992"/>
      <c r="H113" s="1052"/>
      <c r="I113" s="1179" t="s">
        <v>1044</v>
      </c>
      <c r="K113" s="1884">
        <f t="shared" ref="K113:T113" si="39">+K103+K108</f>
        <v>60.831457455994489</v>
      </c>
      <c r="L113" s="1884">
        <f t="shared" si="39"/>
        <v>61.562985399844415</v>
      </c>
      <c r="M113" s="1884">
        <f t="shared" si="39"/>
        <v>60.953792500767563</v>
      </c>
      <c r="N113" s="1884">
        <f t="shared" si="39"/>
        <v>61.747679255794928</v>
      </c>
      <c r="O113" s="1884">
        <f t="shared" si="39"/>
        <v>61.750141120738917</v>
      </c>
      <c r="P113" s="1884">
        <f t="shared" si="39"/>
        <v>62.527376510216712</v>
      </c>
      <c r="Q113" s="1884">
        <f t="shared" si="39"/>
        <v>63.319367578321057</v>
      </c>
      <c r="R113" s="1884">
        <f t="shared" si="39"/>
        <v>64.1260523321655</v>
      </c>
      <c r="S113" s="1884">
        <f t="shared" si="39"/>
        <v>64.947662525990609</v>
      </c>
      <c r="T113" s="1884">
        <f t="shared" si="39"/>
        <v>65.784431611925186</v>
      </c>
    </row>
    <row r="114" spans="1:21" ht="12">
      <c r="A114" s="992"/>
      <c r="H114" s="1052"/>
      <c r="I114" s="1179" t="s">
        <v>501</v>
      </c>
      <c r="K114" s="1885"/>
      <c r="L114" s="1885">
        <f t="shared" ref="L114:T114" si="40">+L113-K113</f>
        <v>0.73152794384992603</v>
      </c>
      <c r="M114" s="1885">
        <f t="shared" si="40"/>
        <v>-0.60919289907685226</v>
      </c>
      <c r="N114" s="1885">
        <f t="shared" si="40"/>
        <v>0.79388675502736561</v>
      </c>
      <c r="O114" s="1885">
        <f t="shared" si="40"/>
        <v>2.4618649439887008E-3</v>
      </c>
      <c r="P114" s="1885">
        <f t="shared" si="40"/>
        <v>0.77723538947779502</v>
      </c>
      <c r="Q114" s="1885">
        <f t="shared" si="40"/>
        <v>0.79199106810434472</v>
      </c>
      <c r="R114" s="1885">
        <f t="shared" si="40"/>
        <v>0.80668475384444349</v>
      </c>
      <c r="S114" s="1885">
        <f t="shared" si="40"/>
        <v>0.82161019382510858</v>
      </c>
      <c r="T114" s="1885">
        <f t="shared" si="40"/>
        <v>0.83676908593457711</v>
      </c>
    </row>
    <row r="115" spans="1:21" ht="12">
      <c r="A115" s="992"/>
      <c r="H115" s="1052"/>
      <c r="I115" s="1179" t="s">
        <v>502</v>
      </c>
      <c r="K115" s="1886"/>
      <c r="L115" s="1886">
        <f t="shared" ref="L115:T115" si="41">IFERROR(L114/K113,"")</f>
        <v>1.2025487707229665E-2</v>
      </c>
      <c r="M115" s="1886">
        <f t="shared" si="41"/>
        <v>-9.8954411505584958E-3</v>
      </c>
      <c r="N115" s="1886">
        <f t="shared" si="41"/>
        <v>1.3024402952734541E-2</v>
      </c>
      <c r="O115" s="1886">
        <f t="shared" si="41"/>
        <v>3.9869756623406351E-5</v>
      </c>
      <c r="P115" s="1886">
        <f t="shared" si="41"/>
        <v>1.2586779161493427E-2</v>
      </c>
      <c r="Q115" s="1886">
        <f t="shared" si="41"/>
        <v>1.2666308940291724E-2</v>
      </c>
      <c r="R115" s="1886">
        <f t="shared" si="41"/>
        <v>1.2739937000265175E-2</v>
      </c>
      <c r="S115" s="1886">
        <f t="shared" si="41"/>
        <v>1.2812424341502628E-2</v>
      </c>
      <c r="T115" s="1886">
        <f t="shared" si="41"/>
        <v>1.2883744439605055E-2</v>
      </c>
    </row>
    <row r="116" spans="1:21">
      <c r="A116" s="992"/>
      <c r="H116" s="1052"/>
      <c r="I116" s="1179" t="s">
        <v>1046</v>
      </c>
      <c r="K116" s="1908" t="str">
        <f>IF(Opex_FO!X124-K113=0,"OK","Check")</f>
        <v>OK</v>
      </c>
      <c r="L116" s="1908" t="str">
        <f>IF(Opex_FO!Y124-L113=0,"OK","Check")</f>
        <v>OK</v>
      </c>
      <c r="M116" s="1908" t="str">
        <f>IF(Opex_FO!Z124-M113=0,"OK","Check")</f>
        <v>OK</v>
      </c>
      <c r="N116" s="1908" t="str">
        <f>IF(Opex_FO!AA124-N113=0,"OK","Check")</f>
        <v>OK</v>
      </c>
      <c r="O116" s="1908" t="str">
        <f>IF(Opex_FO!AB124-O113=0,"OK","Check")</f>
        <v>OK</v>
      </c>
      <c r="P116" s="1908" t="str">
        <f>IF(Opex_FO!AC124-P113=0,"OK","Check")</f>
        <v>OK</v>
      </c>
      <c r="Q116" s="1908" t="str">
        <f>IF(Opex_FO!AD124-Q113=0,"OK","Check")</f>
        <v>OK</v>
      </c>
      <c r="R116" s="1908" t="str">
        <f>IF(Opex_FO!AE124-R113=0,"OK","Check")</f>
        <v>OK</v>
      </c>
      <c r="S116" s="1908" t="str">
        <f>IF(Opex_FO!AF124-S113=0,"OK","Check")</f>
        <v>OK</v>
      </c>
      <c r="T116" s="1908" t="str">
        <f>IF(Opex_FO!AG124-T113=0,"OK","Check")</f>
        <v>OK</v>
      </c>
    </row>
    <row r="117" spans="1:21">
      <c r="A117" s="992"/>
      <c r="H117" s="1052"/>
      <c r="I117" s="1052"/>
    </row>
    <row r="118" spans="1:21" ht="12">
      <c r="A118" s="992"/>
      <c r="H118" s="1052"/>
      <c r="I118" s="1179" t="s">
        <v>1045</v>
      </c>
      <c r="K118" s="1883" t="str">
        <f t="shared" ref="K118:T118" si="42">+K$123</f>
        <v>2026-27</v>
      </c>
      <c r="L118" s="1883" t="str">
        <f t="shared" si="42"/>
        <v>2027-28</v>
      </c>
      <c r="M118" s="1883" t="str">
        <f t="shared" si="42"/>
        <v>2028-29</v>
      </c>
      <c r="N118" s="1883" t="str">
        <f t="shared" si="42"/>
        <v>2029-30</v>
      </c>
      <c r="O118" s="1883" t="str">
        <f t="shared" si="42"/>
        <v>2030-31</v>
      </c>
      <c r="P118" s="1883" t="str">
        <f t="shared" si="42"/>
        <v>2031-32</v>
      </c>
      <c r="Q118" s="1883" t="str">
        <f t="shared" si="42"/>
        <v>2032-33</v>
      </c>
      <c r="R118" s="1883" t="str">
        <f t="shared" si="42"/>
        <v>2033-34</v>
      </c>
      <c r="S118" s="1883" t="str">
        <f t="shared" si="42"/>
        <v>2034-35</v>
      </c>
      <c r="T118" s="1883" t="str">
        <f t="shared" si="42"/>
        <v>2035-36</v>
      </c>
    </row>
    <row r="119" spans="1:21" ht="12">
      <c r="A119" s="992"/>
      <c r="H119" s="1052"/>
      <c r="I119" s="1179" t="s">
        <v>503</v>
      </c>
      <c r="K119" s="1887">
        <f>+Opex_FO!X113/Opex_FO!X124</f>
        <v>0.93582339744127119</v>
      </c>
      <c r="L119" s="1887">
        <f>+Opex_FO!Y113/Opex_FO!Y124</f>
        <v>0.93800738889961066</v>
      </c>
      <c r="M119" s="1887">
        <f>+Opex_FO!Z113/Opex_FO!Z124</f>
        <v>0.93878296722968191</v>
      </c>
      <c r="N119" s="1887">
        <f>+Opex_FO!AA113/Opex_FO!AA124</f>
        <v>0.9409084339363315</v>
      </c>
      <c r="O119" s="1887">
        <f>+Opex_FO!AB113/Opex_FO!AB124</f>
        <v>0.94221142060244567</v>
      </c>
      <c r="P119" s="1887">
        <f>+Opex_FO!AC113/Opex_FO!AC124</f>
        <v>0.94417801510277011</v>
      </c>
      <c r="Q119" s="1887">
        <f>+Opex_FO!AD113/Opex_FO!AD124</f>
        <v>0.94607414112482302</v>
      </c>
      <c r="R119" s="1887">
        <f>+Opex_FO!AE113/Opex_FO!AE124</f>
        <v>0.94790201708650001</v>
      </c>
      <c r="S119" s="1887">
        <f>+Opex_FO!AF113/Opex_FO!AF124</f>
        <v>0.94966405271319598</v>
      </c>
      <c r="T119" s="1887">
        <f>+Opex_FO!AG113/Opex_FO!AG124</f>
        <v>0.95136257820251668</v>
      </c>
    </row>
    <row r="120" spans="1:21" ht="12">
      <c r="H120" s="1052"/>
      <c r="I120" s="1179" t="s">
        <v>504</v>
      </c>
      <c r="K120" s="1888">
        <f>+Opex_FO!X121/Opex_FO!X124</f>
        <v>6.4176602558728743E-2</v>
      </c>
      <c r="L120" s="1888">
        <f>+Opex_FO!Y121/Opex_FO!Y124</f>
        <v>6.1992611100389332E-2</v>
      </c>
      <c r="M120" s="1888">
        <f>+Opex_FO!Z121/Opex_FO!Z124</f>
        <v>6.1217032770318078E-2</v>
      </c>
      <c r="N120" s="1888">
        <f>+Opex_FO!AA121/Opex_FO!AA124</f>
        <v>5.9091566063668492E-2</v>
      </c>
      <c r="O120" s="1888">
        <f>+Opex_FO!AB121/Opex_FO!AB124</f>
        <v>5.7788579397554315E-2</v>
      </c>
      <c r="P120" s="1888">
        <f>+Opex_FO!AC121/Opex_FO!AC124</f>
        <v>5.5821984897229809E-2</v>
      </c>
      <c r="Q120" s="1888">
        <f>+Opex_FO!AD121/Opex_FO!AD124</f>
        <v>5.392585887517691E-2</v>
      </c>
      <c r="R120" s="1888">
        <f>+Opex_FO!AE121/Opex_FO!AE124</f>
        <v>5.2097982913499999E-2</v>
      </c>
      <c r="S120" s="1888">
        <f>+Opex_FO!AF121/Opex_FO!AF124</f>
        <v>5.0335947286803899E-2</v>
      </c>
      <c r="T120" s="1888">
        <f>+Opex_FO!AG121/Opex_FO!AG124</f>
        <v>4.863742179748335E-2</v>
      </c>
    </row>
    <row r="121" spans="1:21">
      <c r="H121" s="1052"/>
      <c r="I121" s="1052"/>
      <c r="K121" s="1907">
        <f t="shared" ref="K121:T121" si="43">SUM(K119:K120)</f>
        <v>0.99999999999999989</v>
      </c>
      <c r="L121" s="1907">
        <f t="shared" si="43"/>
        <v>1</v>
      </c>
      <c r="M121" s="1907">
        <f t="shared" si="43"/>
        <v>1</v>
      </c>
      <c r="N121" s="1907">
        <f t="shared" si="43"/>
        <v>1</v>
      </c>
      <c r="O121" s="1907">
        <f t="shared" si="43"/>
        <v>1</v>
      </c>
      <c r="P121" s="1907">
        <f t="shared" si="43"/>
        <v>0.99999999999999989</v>
      </c>
      <c r="Q121" s="1907">
        <f t="shared" si="43"/>
        <v>0.99999999999999989</v>
      </c>
      <c r="R121" s="1907">
        <f t="shared" si="43"/>
        <v>1</v>
      </c>
      <c r="S121" s="1907">
        <f t="shared" si="43"/>
        <v>0.99999999999999989</v>
      </c>
      <c r="T121" s="1907">
        <f t="shared" si="43"/>
        <v>1</v>
      </c>
      <c r="U121" s="1907"/>
    </row>
    <row r="122" spans="1:21">
      <c r="H122" s="1052"/>
      <c r="I122" s="1179" t="s">
        <v>1046</v>
      </c>
      <c r="K122" s="1909">
        <f>K103/K113</f>
        <v>0.93582339744127119</v>
      </c>
      <c r="L122" s="1909">
        <f t="shared" ref="L122:T122" si="44">L103/L113</f>
        <v>0.93800738889961066</v>
      </c>
      <c r="M122" s="1909">
        <f t="shared" si="44"/>
        <v>0.93878296722968191</v>
      </c>
      <c r="N122" s="1909">
        <f t="shared" si="44"/>
        <v>0.9409084339363315</v>
      </c>
      <c r="O122" s="1909">
        <f t="shared" si="44"/>
        <v>0.94221142060244567</v>
      </c>
      <c r="P122" s="1909">
        <f t="shared" si="44"/>
        <v>0.94417801510277011</v>
      </c>
      <c r="Q122" s="1909">
        <f t="shared" si="44"/>
        <v>0.94607414112482302</v>
      </c>
      <c r="R122" s="1909">
        <f t="shared" si="44"/>
        <v>0.94790201708650001</v>
      </c>
      <c r="S122" s="1909">
        <f t="shared" si="44"/>
        <v>0.94966405271319598</v>
      </c>
      <c r="T122" s="1909">
        <f t="shared" si="44"/>
        <v>0.95136257820251668</v>
      </c>
      <c r="U122" s="1907"/>
    </row>
    <row r="123" spans="1:21" ht="12">
      <c r="D123" s="1905"/>
      <c r="E123" s="74"/>
      <c r="F123" s="74"/>
      <c r="H123" s="1052"/>
      <c r="I123" s="1911" t="str">
        <f>+Opex_FO!V6</f>
        <v>2024-25</v>
      </c>
      <c r="J123" s="1883" t="str">
        <f>+Opex_FO!W6</f>
        <v>2025-26</v>
      </c>
      <c r="K123" s="1883" t="str">
        <f>+Opex_FO!X6</f>
        <v>2026-27</v>
      </c>
      <c r="L123" s="1883" t="str">
        <f>+Opex_FO!Y6</f>
        <v>2027-28</v>
      </c>
      <c r="M123" s="1883" t="str">
        <f>+Opex_FO!Z6</f>
        <v>2028-29</v>
      </c>
      <c r="N123" s="1883" t="str">
        <f>+Opex_FO!AA6</f>
        <v>2029-30</v>
      </c>
      <c r="O123" s="1883" t="str">
        <f>+Opex_FO!AB6</f>
        <v>2030-31</v>
      </c>
      <c r="P123" s="1883" t="str">
        <f>+Opex_FO!AC6</f>
        <v>2031-32</v>
      </c>
      <c r="Q123" s="1883" t="str">
        <f>+Opex_FO!AD6</f>
        <v>2032-33</v>
      </c>
      <c r="R123" s="1883" t="str">
        <f>+Opex_FO!AE6</f>
        <v>2033-34</v>
      </c>
      <c r="S123" s="1883" t="str">
        <f>+Opex_FO!AF6</f>
        <v>2034-35</v>
      </c>
      <c r="T123" s="1883" t="str">
        <f>+Opex_FO!AG6</f>
        <v>2035-36</v>
      </c>
    </row>
    <row r="124" spans="1:21" ht="12">
      <c r="D124" s="134"/>
      <c r="H124" s="812" t="s">
        <v>1047</v>
      </c>
      <c r="I124" s="628">
        <f>+I132-SUM(I125:I131)</f>
        <v>57.607126637554572</v>
      </c>
      <c r="J124" s="1889">
        <f>+J132-SUM(J125:J131)</f>
        <v>54.994000000000014</v>
      </c>
      <c r="K124" s="1792"/>
      <c r="L124" s="1792"/>
      <c r="M124" s="1792"/>
      <c r="N124" s="1792"/>
      <c r="O124" s="1792"/>
      <c r="P124" s="1792"/>
      <c r="Q124" s="1792"/>
      <c r="R124" s="1792"/>
      <c r="S124" s="1792"/>
      <c r="T124" s="1792"/>
    </row>
    <row r="125" spans="1:21" ht="12">
      <c r="H125" s="812" t="s">
        <v>505</v>
      </c>
      <c r="I125" s="1912"/>
      <c r="J125" s="1891"/>
      <c r="K125" s="1890">
        <f>+Opex_FO!X88</f>
        <v>48.939433187772913</v>
      </c>
      <c r="L125" s="1890">
        <f>+Opex_FO!Y88</f>
        <v>48.939433187772913</v>
      </c>
      <c r="M125" s="1890">
        <f>+Opex_FO!Z88</f>
        <v>48.939433187772913</v>
      </c>
      <c r="N125" s="1890">
        <f>+Opex_FO!AA88</f>
        <v>48.939433187772913</v>
      </c>
      <c r="O125" s="1890">
        <f>+Opex_FO!AB88</f>
        <v>48.939433187772913</v>
      </c>
      <c r="P125" s="1890">
        <f>+Opex_FO!AC88</f>
        <v>48.939433187772913</v>
      </c>
      <c r="Q125" s="1890">
        <f>+Opex_FO!AD88</f>
        <v>48.939433187772913</v>
      </c>
      <c r="R125" s="1890">
        <f>+Opex_FO!AE88</f>
        <v>48.939433187772913</v>
      </c>
      <c r="S125" s="1890">
        <f>+Opex_FO!AF88</f>
        <v>48.939433187772913</v>
      </c>
      <c r="T125" s="1890">
        <f>+Opex_FO!AG88</f>
        <v>48.939433187772913</v>
      </c>
    </row>
    <row r="126" spans="1:21" ht="12">
      <c r="H126" s="812" t="s">
        <v>584</v>
      </c>
      <c r="I126" s="1912"/>
      <c r="J126" s="1891"/>
      <c r="K126" s="1890">
        <f>+Opex_FO!X110</f>
        <v>7.9880679999999984</v>
      </c>
      <c r="L126" s="1890">
        <f>+Opex_FO!Y110</f>
        <v>8.8071020000000004</v>
      </c>
      <c r="M126" s="1890">
        <f>+Opex_FO!Z110</f>
        <v>8.2829489999999968</v>
      </c>
      <c r="N126" s="1890">
        <f>+Opex_FO!AA110</f>
        <v>9.1594789999999993</v>
      </c>
      <c r="O126" s="1890">
        <f>+Opex_FO!AB110</f>
        <v>9.2422549999999983</v>
      </c>
      <c r="P126" s="1890">
        <f>+Opex_FO!AC110</f>
        <v>10.097541055227072</v>
      </c>
      <c r="Q126" s="1890">
        <f>+Opex_FO!AD110</f>
        <v>10.965383110454148</v>
      </c>
      <c r="R126" s="1890">
        <f>+Opex_FO!AE110</f>
        <v>11.84578116568122</v>
      </c>
      <c r="S126" s="1890">
        <f>+Opex_FO!AF110</f>
        <v>12.739027220908296</v>
      </c>
      <c r="T126" s="1890">
        <f>+Opex_FO!AG110</f>
        <v>13.64541327613537</v>
      </c>
    </row>
    <row r="127" spans="1:21" ht="12">
      <c r="H127" s="812" t="s">
        <v>15</v>
      </c>
      <c r="I127" s="1912">
        <f>+I155</f>
        <v>0.28467685589519648</v>
      </c>
      <c r="J127" s="1891">
        <f>+J155</f>
        <v>0.26400000000000001</v>
      </c>
      <c r="K127" s="1890">
        <f>+Opex_FO!X118</f>
        <v>0.26400000000000001</v>
      </c>
      <c r="L127" s="1890">
        <f>+Opex_FO!Y118</f>
        <v>0.26400000000000001</v>
      </c>
      <c r="M127" s="1890">
        <f>+Opex_FO!Z118</f>
        <v>0.26400000000000001</v>
      </c>
      <c r="N127" s="1890">
        <f>+Opex_FO!AA118</f>
        <v>0.26400000000000001</v>
      </c>
      <c r="O127" s="1890">
        <f>+Opex_FO!AB118</f>
        <v>0.26400000000000001</v>
      </c>
      <c r="P127" s="1890">
        <f>+Opex_FO!AC118</f>
        <v>0.26400000000000001</v>
      </c>
      <c r="Q127" s="1890">
        <f>+Opex_FO!AD118</f>
        <v>0.26400000000000001</v>
      </c>
      <c r="R127" s="1890">
        <f>+Opex_FO!AE118</f>
        <v>0.26400000000000001</v>
      </c>
      <c r="S127" s="1890">
        <f>+Opex_FO!AF118</f>
        <v>0.26400000000000001</v>
      </c>
      <c r="T127" s="1890">
        <f>+Opex_FO!AG118</f>
        <v>0.26400000000000001</v>
      </c>
    </row>
    <row r="128" spans="1:21" ht="12">
      <c r="H128" s="812" t="s">
        <v>327</v>
      </c>
      <c r="I128" s="1912">
        <f>+I156</f>
        <v>3.2717358078602614</v>
      </c>
      <c r="J128" s="1891">
        <f>+J156</f>
        <v>3.1949999999999998</v>
      </c>
      <c r="K128" s="1890">
        <f>+Opex_FO!X119</f>
        <v>3.1049562682215743</v>
      </c>
      <c r="L128" s="1890">
        <f>+Opex_FO!Y119</f>
        <v>3.017450212071501</v>
      </c>
      <c r="M128" s="1890">
        <f>+Opex_FO!Z119</f>
        <v>2.9324103129946564</v>
      </c>
      <c r="N128" s="1890">
        <f>+Opex_FO!AA119</f>
        <v>2.8497670680220182</v>
      </c>
      <c r="O128" s="1890">
        <f>+Opex_FO!AB119</f>
        <v>2.7694529329660043</v>
      </c>
      <c r="P128" s="1890">
        <f>+Opex_FO!AC119</f>
        <v>2.6914022672167195</v>
      </c>
      <c r="Q128" s="1890">
        <f>+Opex_FO!AD119</f>
        <v>2.6155512800939937</v>
      </c>
      <c r="R128" s="1890">
        <f>+Opex_FO!AE119</f>
        <v>2.5418379787113645</v>
      </c>
      <c r="S128" s="1890">
        <f>+Opex_FO!AF119</f>
        <v>2.4702021173093924</v>
      </c>
      <c r="T128" s="1890">
        <f>+Opex_FO!AG119</f>
        <v>2.4005851480169023</v>
      </c>
    </row>
    <row r="129" spans="1:21" ht="12">
      <c r="H129" s="812" t="s">
        <v>506</v>
      </c>
      <c r="I129" s="1912">
        <f>+I153</f>
        <v>1.092626637554585</v>
      </c>
      <c r="J129" s="1891">
        <f>+J153</f>
        <v>0.45500000000000002</v>
      </c>
      <c r="K129" s="1890">
        <f>+Opex_FO!X116</f>
        <v>0.45500000000000002</v>
      </c>
      <c r="L129" s="1890">
        <f>+Opex_FO!Y116</f>
        <v>0.45500000000000002</v>
      </c>
      <c r="M129" s="1890">
        <f>+Opex_FO!Z116</f>
        <v>0.45500000000000002</v>
      </c>
      <c r="N129" s="1890">
        <f>+Opex_FO!AA116</f>
        <v>0.45500000000000002</v>
      </c>
      <c r="O129" s="1890">
        <f>+Opex_FO!AB116</f>
        <v>0.45500000000000002</v>
      </c>
      <c r="P129" s="1890">
        <f>+Opex_FO!AC116</f>
        <v>0.45500000000000002</v>
      </c>
      <c r="Q129" s="1890">
        <f>+Opex_FO!AD116</f>
        <v>0.45500000000000002</v>
      </c>
      <c r="R129" s="1890">
        <f>+Opex_FO!AE116</f>
        <v>0.45500000000000002</v>
      </c>
      <c r="S129" s="1890">
        <f>+Opex_FO!AF116</f>
        <v>0.45500000000000002</v>
      </c>
      <c r="T129" s="1890">
        <f>+Opex_FO!AG116</f>
        <v>0.45500000000000002</v>
      </c>
    </row>
    <row r="130" spans="1:21" ht="12">
      <c r="H130" s="812" t="s">
        <v>388</v>
      </c>
      <c r="I130" s="1912">
        <f>+I154</f>
        <v>0</v>
      </c>
      <c r="J130" s="1891">
        <f>+J154</f>
        <v>0</v>
      </c>
      <c r="K130" s="1890">
        <f>+Opex_FO!X117</f>
        <v>0</v>
      </c>
      <c r="L130" s="1890">
        <f>+Opex_FO!Y117</f>
        <v>0</v>
      </c>
      <c r="M130" s="1890">
        <f>+Opex_FO!Z117</f>
        <v>0</v>
      </c>
      <c r="N130" s="1890">
        <f>+Opex_FO!AA117</f>
        <v>0</v>
      </c>
      <c r="O130" s="1890">
        <f>+Opex_FO!AB117</f>
        <v>0</v>
      </c>
      <c r="P130" s="1890">
        <f>+Opex_FO!AC117</f>
        <v>0</v>
      </c>
      <c r="Q130" s="1890">
        <f>+Opex_FO!AD117</f>
        <v>0</v>
      </c>
      <c r="R130" s="1890">
        <f>+Opex_FO!AE117</f>
        <v>0</v>
      </c>
      <c r="S130" s="1890">
        <f>+Opex_FO!AF117</f>
        <v>0</v>
      </c>
      <c r="T130" s="1890">
        <f>+Opex_FO!AG117</f>
        <v>0</v>
      </c>
    </row>
    <row r="131" spans="1:21" ht="12">
      <c r="H131" s="812" t="s">
        <v>484</v>
      </c>
      <c r="I131" s="1913">
        <f>+I157</f>
        <v>8.192139737991265E-2</v>
      </c>
      <c r="J131" s="1893">
        <f>+J157</f>
        <v>0.08</v>
      </c>
      <c r="K131" s="1892">
        <f>+Opex_FO!X120</f>
        <v>0.08</v>
      </c>
      <c r="L131" s="1892">
        <f>+Opex_FO!Y120</f>
        <v>0.08</v>
      </c>
      <c r="M131" s="1892">
        <f>+Opex_FO!Z120</f>
        <v>0.08</v>
      </c>
      <c r="N131" s="1892">
        <f>+Opex_FO!AA120</f>
        <v>0.08</v>
      </c>
      <c r="O131" s="1892">
        <f>+Opex_FO!AB120</f>
        <v>0.08</v>
      </c>
      <c r="P131" s="1892">
        <f>+Opex_FO!AC120</f>
        <v>0.08</v>
      </c>
      <c r="Q131" s="1892">
        <f>+Opex_FO!AD120</f>
        <v>0.08</v>
      </c>
      <c r="R131" s="1892">
        <f>+Opex_FO!AE120</f>
        <v>0.08</v>
      </c>
      <c r="S131" s="1892">
        <f>+Opex_FO!AF120</f>
        <v>0.08</v>
      </c>
      <c r="T131" s="1892">
        <f>+Opex_FO!AG120</f>
        <v>0.08</v>
      </c>
    </row>
    <row r="132" spans="1:21" ht="12">
      <c r="H132" s="624" t="s">
        <v>326</v>
      </c>
      <c r="I132" s="1914">
        <f>+Opex_Breakdown!V42</f>
        <v>62.338087336244527</v>
      </c>
      <c r="J132" s="1895">
        <f>+Opex_Breakdown!W42</f>
        <v>58.988000000000014</v>
      </c>
      <c r="K132" s="1896">
        <f>SUM(K125:K131)</f>
        <v>60.831457455994482</v>
      </c>
      <c r="L132" s="1896">
        <f t="shared" ref="L132:T132" si="45">SUM(L125:L131)</f>
        <v>61.562985399844415</v>
      </c>
      <c r="M132" s="1896">
        <f t="shared" si="45"/>
        <v>60.953792500767563</v>
      </c>
      <c r="N132" s="1896">
        <f t="shared" si="45"/>
        <v>61.747679255794928</v>
      </c>
      <c r="O132" s="1896">
        <f t="shared" si="45"/>
        <v>61.750141120738917</v>
      </c>
      <c r="P132" s="1896">
        <f t="shared" si="45"/>
        <v>62.527376510216705</v>
      </c>
      <c r="Q132" s="1896">
        <f t="shared" si="45"/>
        <v>63.319367578321057</v>
      </c>
      <c r="R132" s="1896">
        <f t="shared" si="45"/>
        <v>64.1260523321655</v>
      </c>
      <c r="S132" s="1896">
        <f t="shared" si="45"/>
        <v>64.947662525990609</v>
      </c>
      <c r="T132" s="1896">
        <f t="shared" si="45"/>
        <v>65.784431611925186</v>
      </c>
    </row>
    <row r="133" spans="1:21">
      <c r="K133" s="1907"/>
      <c r="L133" s="1907"/>
      <c r="M133" s="1907"/>
      <c r="N133" s="1907"/>
      <c r="O133" s="1907"/>
      <c r="P133" s="1907"/>
      <c r="Q133" s="1907"/>
      <c r="R133" s="1907"/>
      <c r="S133" s="1907"/>
      <c r="T133" s="1907"/>
      <c r="U133" s="1907"/>
    </row>
    <row r="134" spans="1:21" ht="12">
      <c r="E134" s="74"/>
      <c r="F134" s="1897"/>
      <c r="K134" s="1883" t="str">
        <f t="shared" ref="K134:T134" si="46">+K$123</f>
        <v>2026-27</v>
      </c>
      <c r="L134" s="1883" t="str">
        <f t="shared" si="46"/>
        <v>2027-28</v>
      </c>
      <c r="M134" s="1883" t="str">
        <f t="shared" si="46"/>
        <v>2028-29</v>
      </c>
      <c r="N134" s="1883" t="str">
        <f t="shared" si="46"/>
        <v>2029-30</v>
      </c>
      <c r="O134" s="1883" t="str">
        <f t="shared" si="46"/>
        <v>2030-31</v>
      </c>
      <c r="P134" s="1883" t="str">
        <f t="shared" si="46"/>
        <v>2031-32</v>
      </c>
      <c r="Q134" s="1883" t="str">
        <f t="shared" si="46"/>
        <v>2032-33</v>
      </c>
      <c r="R134" s="1883" t="str">
        <f t="shared" si="46"/>
        <v>2033-34</v>
      </c>
      <c r="S134" s="1883" t="str">
        <f t="shared" si="46"/>
        <v>2034-35</v>
      </c>
      <c r="T134" s="1883" t="str">
        <f t="shared" si="46"/>
        <v>2035-36</v>
      </c>
    </row>
    <row r="135" spans="1:21" ht="12">
      <c r="A135" s="74"/>
      <c r="E135" s="70"/>
      <c r="F135" s="812"/>
      <c r="J135" s="812" t="s">
        <v>505</v>
      </c>
      <c r="K135" s="1898">
        <f>+K125/K$132</f>
        <v>0.8045086413255137</v>
      </c>
      <c r="L135" s="1898">
        <f t="shared" ref="L135:T135" si="47">+L125/L$132</f>
        <v>0.79494899199441027</v>
      </c>
      <c r="M135" s="1898">
        <f t="shared" si="47"/>
        <v>0.80289398214486229</v>
      </c>
      <c r="N135" s="1898">
        <f t="shared" si="47"/>
        <v>0.7925712152684673</v>
      </c>
      <c r="O135" s="1898">
        <f t="shared" si="47"/>
        <v>0.79253961690682684</v>
      </c>
      <c r="P135" s="1898">
        <f t="shared" si="47"/>
        <v>0.78268809470642697</v>
      </c>
      <c r="Q135" s="1898">
        <f t="shared" si="47"/>
        <v>0.77289832573325534</v>
      </c>
      <c r="R135" s="1898">
        <f t="shared" si="47"/>
        <v>0.76317551771739101</v>
      </c>
      <c r="S135" s="1898">
        <f t="shared" si="47"/>
        <v>0.75352108581565103</v>
      </c>
      <c r="T135" s="1898">
        <f t="shared" si="47"/>
        <v>0.74393639936688805</v>
      </c>
    </row>
    <row r="136" spans="1:21" ht="12">
      <c r="A136" s="74"/>
      <c r="H136" s="1910"/>
      <c r="J136" s="812" t="s">
        <v>584</v>
      </c>
      <c r="K136" s="1898">
        <f>+K126/K$132</f>
        <v>0.13131475611575757</v>
      </c>
      <c r="L136" s="1898">
        <f t="shared" ref="L136:T136" si="48">+L126/L$132</f>
        <v>0.14305839690520042</v>
      </c>
      <c r="M136" s="1898">
        <f t="shared" si="48"/>
        <v>0.13588898508481967</v>
      </c>
      <c r="N136" s="1898">
        <f t="shared" si="48"/>
        <v>0.14833721866786428</v>
      </c>
      <c r="O136" s="1898">
        <f t="shared" si="48"/>
        <v>0.14967180369561889</v>
      </c>
      <c r="P136" s="1898">
        <f t="shared" si="48"/>
        <v>0.16148992039634316</v>
      </c>
      <c r="Q136" s="1898">
        <f t="shared" si="48"/>
        <v>0.17317581539156776</v>
      </c>
      <c r="R136" s="1898">
        <f t="shared" si="48"/>
        <v>0.18472649936910898</v>
      </c>
      <c r="S136" s="1898">
        <f t="shared" si="48"/>
        <v>0.19614296689754496</v>
      </c>
      <c r="T136" s="1898">
        <f t="shared" si="48"/>
        <v>0.20742617883562856</v>
      </c>
    </row>
    <row r="137" spans="1:21" ht="12">
      <c r="A137" s="74"/>
      <c r="J137" s="812" t="s">
        <v>15</v>
      </c>
      <c r="K137" s="1898">
        <f t="shared" ref="K137:T137" si="49">+K127/K$132</f>
        <v>4.3398598527904378E-3</v>
      </c>
      <c r="L137" s="1898">
        <f t="shared" si="49"/>
        <v>4.2882910613471839E-3</v>
      </c>
      <c r="M137" s="1898">
        <f t="shared" si="49"/>
        <v>4.3311496983009807E-3</v>
      </c>
      <c r="N137" s="1898">
        <f t="shared" si="49"/>
        <v>4.2754643280819987E-3</v>
      </c>
      <c r="O137" s="1898">
        <f t="shared" si="49"/>
        <v>4.2752938731557824E-3</v>
      </c>
      <c r="P137" s="1898">
        <f t="shared" si="49"/>
        <v>4.2221505960171471E-3</v>
      </c>
      <c r="Q137" s="1898">
        <f t="shared" si="49"/>
        <v>4.1693404419027537E-3</v>
      </c>
      <c r="R137" s="1898">
        <f t="shared" si="49"/>
        <v>4.1168915035110958E-3</v>
      </c>
      <c r="S137" s="1898">
        <f t="shared" si="49"/>
        <v>4.0648114147965389E-3</v>
      </c>
      <c r="T137" s="1898">
        <f t="shared" si="49"/>
        <v>4.0131075625519722E-3</v>
      </c>
    </row>
    <row r="138" spans="1:21" ht="12">
      <c r="A138" s="74"/>
      <c r="J138" s="812" t="s">
        <v>327</v>
      </c>
      <c r="K138" s="1898">
        <f t="shared" ref="K138:T138" si="50">+K128/K$132</f>
        <v>5.1041950958806169E-2</v>
      </c>
      <c r="L138" s="1898">
        <f t="shared" si="50"/>
        <v>4.9014033229115087E-2</v>
      </c>
      <c r="M138" s="1898">
        <f t="shared" si="50"/>
        <v>4.8108742584929885E-2</v>
      </c>
      <c r="N138" s="1898">
        <f t="shared" si="50"/>
        <v>4.6151808494965772E-2</v>
      </c>
      <c r="O138" s="1898">
        <f t="shared" si="50"/>
        <v>4.484933771326844E-2</v>
      </c>
      <c r="P138" s="1898">
        <f t="shared" si="50"/>
        <v>4.3043582146405197E-2</v>
      </c>
      <c r="Q138" s="1898">
        <f t="shared" si="50"/>
        <v>4.1307286855933351E-2</v>
      </c>
      <c r="R138" s="1898">
        <f t="shared" si="50"/>
        <v>3.9638148400979671E-2</v>
      </c>
      <c r="S138" s="1898">
        <f t="shared" si="50"/>
        <v>3.8033733951870437E-2</v>
      </c>
      <c r="T138" s="1898">
        <f t="shared" si="50"/>
        <v>3.6491690954759758E-2</v>
      </c>
    </row>
    <row r="139" spans="1:21" ht="12">
      <c r="A139" s="74"/>
      <c r="J139" s="812" t="s">
        <v>390</v>
      </c>
      <c r="K139" s="1898">
        <f t="shared" ref="K139:T139" si="51">+K129/K$132</f>
        <v>7.4796827008320049E-3</v>
      </c>
      <c r="L139" s="1898">
        <f t="shared" si="51"/>
        <v>7.3908046701248818E-3</v>
      </c>
      <c r="M139" s="1898">
        <f t="shared" si="51"/>
        <v>7.4646708815414627E-3</v>
      </c>
      <c r="N139" s="1898">
        <f t="shared" si="51"/>
        <v>7.3686979896867774E-3</v>
      </c>
      <c r="O139" s="1898">
        <f t="shared" si="51"/>
        <v>7.3684042132040944E-3</v>
      </c>
      <c r="P139" s="1898">
        <f t="shared" si="51"/>
        <v>7.2768125802568249E-3</v>
      </c>
      <c r="Q139" s="1898">
        <f t="shared" si="51"/>
        <v>7.1857950797945191E-3</v>
      </c>
      <c r="R139" s="1898">
        <f t="shared" si="51"/>
        <v>7.0954001291573801E-3</v>
      </c>
      <c r="S139" s="1898">
        <f t="shared" si="51"/>
        <v>7.0056408853500949E-3</v>
      </c>
      <c r="T139" s="1898">
        <f t="shared" si="51"/>
        <v>6.9165300793982863E-3</v>
      </c>
    </row>
    <row r="140" spans="1:21" ht="12">
      <c r="A140" s="74"/>
      <c r="J140" s="812" t="s">
        <v>388</v>
      </c>
      <c r="K140" s="1898">
        <f t="shared" ref="K140:T140" si="52">+K130/K$132</f>
        <v>0</v>
      </c>
      <c r="L140" s="1898">
        <f t="shared" si="52"/>
        <v>0</v>
      </c>
      <c r="M140" s="1898">
        <f t="shared" si="52"/>
        <v>0</v>
      </c>
      <c r="N140" s="1898">
        <f t="shared" si="52"/>
        <v>0</v>
      </c>
      <c r="O140" s="1898">
        <f t="shared" si="52"/>
        <v>0</v>
      </c>
      <c r="P140" s="1898">
        <f t="shared" si="52"/>
        <v>0</v>
      </c>
      <c r="Q140" s="1898">
        <f t="shared" si="52"/>
        <v>0</v>
      </c>
      <c r="R140" s="1898">
        <f t="shared" si="52"/>
        <v>0</v>
      </c>
      <c r="S140" s="1898">
        <f t="shared" si="52"/>
        <v>0</v>
      </c>
      <c r="T140" s="1898">
        <f t="shared" si="52"/>
        <v>0</v>
      </c>
    </row>
    <row r="141" spans="1:21" ht="12">
      <c r="A141" s="74"/>
      <c r="J141" s="812" t="s">
        <v>484</v>
      </c>
      <c r="K141" s="1898">
        <f t="shared" ref="K141:T141" si="53">+K131/K$132</f>
        <v>1.3151090463001326E-3</v>
      </c>
      <c r="L141" s="1898">
        <f t="shared" si="53"/>
        <v>1.299482139802177E-3</v>
      </c>
      <c r="M141" s="1898">
        <f t="shared" si="53"/>
        <v>1.3124696055457517E-3</v>
      </c>
      <c r="N141" s="1898">
        <f t="shared" si="53"/>
        <v>1.2955952509339389E-3</v>
      </c>
      <c r="O141" s="1898">
        <f t="shared" si="53"/>
        <v>1.2955435979259947E-3</v>
      </c>
      <c r="P141" s="1898">
        <f t="shared" si="53"/>
        <v>1.2794395745506506E-3</v>
      </c>
      <c r="Q141" s="1898">
        <f t="shared" si="53"/>
        <v>1.2634364975462891E-3</v>
      </c>
      <c r="R141" s="1898">
        <f t="shared" si="53"/>
        <v>1.2475428798518471E-3</v>
      </c>
      <c r="S141" s="1898">
        <f t="shared" si="53"/>
        <v>1.2317610347868297E-3</v>
      </c>
      <c r="T141" s="1898">
        <f t="shared" si="53"/>
        <v>1.216093200773325E-3</v>
      </c>
    </row>
    <row r="142" spans="1:21" ht="12">
      <c r="A142" s="74"/>
      <c r="J142" s="624" t="s">
        <v>326</v>
      </c>
      <c r="K142" s="1899">
        <f t="shared" ref="K142:T142" si="54">+K132/K$132</f>
        <v>1</v>
      </c>
      <c r="L142" s="1899">
        <f t="shared" si="54"/>
        <v>1</v>
      </c>
      <c r="M142" s="1899">
        <f t="shared" si="54"/>
        <v>1</v>
      </c>
      <c r="N142" s="1899">
        <f t="shared" si="54"/>
        <v>1</v>
      </c>
      <c r="O142" s="1899">
        <f t="shared" si="54"/>
        <v>1</v>
      </c>
      <c r="P142" s="1899">
        <f t="shared" si="54"/>
        <v>1</v>
      </c>
      <c r="Q142" s="1899">
        <f t="shared" si="54"/>
        <v>1</v>
      </c>
      <c r="R142" s="1899">
        <f t="shared" si="54"/>
        <v>1</v>
      </c>
      <c r="S142" s="1899">
        <f t="shared" si="54"/>
        <v>1</v>
      </c>
      <c r="T142" s="1899">
        <f t="shared" si="54"/>
        <v>1</v>
      </c>
    </row>
    <row r="143" spans="1:21" ht="12">
      <c r="A143" s="74"/>
      <c r="B143" s="1897"/>
      <c r="J143" s="1052"/>
      <c r="K143" s="1907"/>
      <c r="L143" s="1907"/>
      <c r="M143" s="1907"/>
      <c r="N143" s="1907"/>
      <c r="O143" s="1907"/>
      <c r="P143" s="1907"/>
      <c r="Q143" s="1907"/>
      <c r="R143" s="1907"/>
      <c r="S143" s="1907"/>
      <c r="T143" s="1907"/>
      <c r="U143" s="1907"/>
    </row>
    <row r="144" spans="1:21" ht="12">
      <c r="A144" s="74"/>
      <c r="B144" s="74"/>
      <c r="J144" s="1052"/>
      <c r="K144" s="1883" t="str">
        <f t="shared" ref="K144:T144" si="55">+K$123</f>
        <v>2026-27</v>
      </c>
      <c r="L144" s="1883" t="str">
        <f t="shared" si="55"/>
        <v>2027-28</v>
      </c>
      <c r="M144" s="1883" t="str">
        <f t="shared" si="55"/>
        <v>2028-29</v>
      </c>
      <c r="N144" s="1883" t="str">
        <f t="shared" si="55"/>
        <v>2029-30</v>
      </c>
      <c r="O144" s="1883" t="str">
        <f t="shared" si="55"/>
        <v>2030-31</v>
      </c>
      <c r="P144" s="1883" t="str">
        <f t="shared" si="55"/>
        <v>2031-32</v>
      </c>
      <c r="Q144" s="1883" t="str">
        <f t="shared" si="55"/>
        <v>2032-33</v>
      </c>
      <c r="R144" s="1883" t="str">
        <f t="shared" si="55"/>
        <v>2033-34</v>
      </c>
      <c r="S144" s="1883" t="str">
        <f t="shared" si="55"/>
        <v>2034-35</v>
      </c>
      <c r="T144" s="1883" t="str">
        <f t="shared" si="55"/>
        <v>2035-36</v>
      </c>
    </row>
    <row r="145" spans="1:20" ht="12">
      <c r="A145" s="74"/>
      <c r="J145" s="113" t="s">
        <v>20</v>
      </c>
      <c r="K145" s="1900">
        <f>+SUMIF(Opex_FO!$H$92:$H$109,$J145,Opex_FO!X$92:X$109)</f>
        <v>7.2310679999999996</v>
      </c>
      <c r="L145" s="1900">
        <f>+SUMIF(Opex_FO!$H$92:$H$109,$J145,Opex_FO!Y$92:Y$109)</f>
        <v>8.040102000000001</v>
      </c>
      <c r="M145" s="1900">
        <f>+SUMIF(Opex_FO!$H$92:$H$109,$J145,Opex_FO!Z$92:Z$109)</f>
        <v>7.5049489999999999</v>
      </c>
      <c r="N145" s="1900">
        <f>+SUMIF(Opex_FO!$H$92:$H$109,$J145,Opex_FO!AA$92:AA$109)</f>
        <v>8.3704789999999996</v>
      </c>
      <c r="O145" s="1900">
        <f>+SUMIF(Opex_FO!$H$92:$H$109,$J145,Opex_FO!AB$92:AB$109)</f>
        <v>8.4422549999999994</v>
      </c>
      <c r="P145" s="1900">
        <f>+SUMIF(Opex_FO!$H$92:$H$109,$J145,Opex_FO!AC$92:AC$109)</f>
        <v>9.2975410552270734</v>
      </c>
      <c r="Q145" s="1900">
        <f>+SUMIF(Opex_FO!$H$92:$H$109,$J145,Opex_FO!AD$92:AD$109)</f>
        <v>10.165383110454147</v>
      </c>
      <c r="R145" s="1900">
        <f>+SUMIF(Opex_FO!$H$92:$H$109,$J145,Opex_FO!AE$92:AE$109)</f>
        <v>11.045781165681223</v>
      </c>
      <c r="S145" s="1900">
        <f>+SUMIF(Opex_FO!$H$92:$H$109,$J145,Opex_FO!AF$92:AF$109)</f>
        <v>11.939027220908297</v>
      </c>
      <c r="T145" s="1900">
        <f>+SUMIF(Opex_FO!$H$92:$H$109,$J145,Opex_FO!AG$92:AG$109)</f>
        <v>12.845413276135371</v>
      </c>
    </row>
    <row r="146" spans="1:20" ht="12">
      <c r="A146" s="74"/>
      <c r="J146" s="113" t="s">
        <v>21</v>
      </c>
      <c r="K146" s="1900">
        <f>+SUMIF(Opex_FO!$H$92:$H$109,$J146,Opex_FO!X$92:X$109)</f>
        <v>0.75700000000000001</v>
      </c>
      <c r="L146" s="1900">
        <f>+SUMIF(Opex_FO!$H$92:$H$109,$J146,Opex_FO!Y$92:Y$109)</f>
        <v>0.76700000000000002</v>
      </c>
      <c r="M146" s="1900">
        <f>+SUMIF(Opex_FO!$H$92:$H$109,$J146,Opex_FO!Z$92:Z$109)</f>
        <v>0.77800000000000002</v>
      </c>
      <c r="N146" s="1900">
        <f>+SUMIF(Opex_FO!$H$92:$H$109,$J146,Opex_FO!AA$92:AA$109)</f>
        <v>0.78899999999999992</v>
      </c>
      <c r="O146" s="1900">
        <f>+SUMIF(Opex_FO!$H$92:$H$109,$J146,Opex_FO!AB$92:AB$109)</f>
        <v>0.8</v>
      </c>
      <c r="P146" s="1900">
        <f>+SUMIF(Opex_FO!$H$92:$H$109,$J146,Opex_FO!AC$92:AC$109)</f>
        <v>0.8</v>
      </c>
      <c r="Q146" s="1900">
        <f>+SUMIF(Opex_FO!$H$92:$H$109,$J146,Opex_FO!AD$92:AD$109)</f>
        <v>0.8</v>
      </c>
      <c r="R146" s="1900">
        <f>+SUMIF(Opex_FO!$H$92:$H$109,$J146,Opex_FO!AE$92:AE$109)</f>
        <v>0.8</v>
      </c>
      <c r="S146" s="1900">
        <f>+SUMIF(Opex_FO!$H$92:$H$109,$J146,Opex_FO!AF$92:AF$109)</f>
        <v>0.8</v>
      </c>
      <c r="T146" s="1900">
        <f>+SUMIF(Opex_FO!$H$92:$H$109,$J146,Opex_FO!AG$92:AG$109)</f>
        <v>0.8</v>
      </c>
    </row>
    <row r="147" spans="1:20" ht="12">
      <c r="A147" s="74"/>
      <c r="J147" s="113" t="s">
        <v>275</v>
      </c>
      <c r="K147" s="1900">
        <f>+SUMIF(Opex_FO!$H$92:$H$109,$J147,Opex_FO!X$92:X$109)</f>
        <v>0</v>
      </c>
      <c r="L147" s="1900">
        <f>+SUMIF(Opex_FO!$H$92:$H$109,$J147,Opex_FO!Y$92:Y$109)</f>
        <v>0</v>
      </c>
      <c r="M147" s="1900">
        <f>+SUMIF(Opex_FO!$H$92:$H$109,$J147,Opex_FO!Z$92:Z$109)</f>
        <v>0</v>
      </c>
      <c r="N147" s="1900">
        <f>+SUMIF(Opex_FO!$H$92:$H$109,$J147,Opex_FO!AA$92:AA$109)</f>
        <v>0</v>
      </c>
      <c r="O147" s="1900">
        <f>+SUMIF(Opex_FO!$H$92:$H$109,$J147,Opex_FO!AB$92:AB$109)</f>
        <v>0</v>
      </c>
      <c r="P147" s="1900">
        <f>+SUMIF(Opex_FO!$H$92:$H$109,$J147,Opex_FO!AC$92:AC$109)</f>
        <v>0</v>
      </c>
      <c r="Q147" s="1900">
        <f>+SUMIF(Opex_FO!$H$92:$H$109,$J147,Opex_FO!AD$92:AD$109)</f>
        <v>0</v>
      </c>
      <c r="R147" s="1900">
        <f>+SUMIF(Opex_FO!$H$92:$H$109,$J147,Opex_FO!AE$92:AE$109)</f>
        <v>0</v>
      </c>
      <c r="S147" s="1900">
        <f>+SUMIF(Opex_FO!$H$92:$H$109,$J147,Opex_FO!AF$92:AF$109)</f>
        <v>0</v>
      </c>
      <c r="T147" s="1900">
        <f>+SUMIF(Opex_FO!$H$92:$H$109,$J147,Opex_FO!AG$92:AG$109)</f>
        <v>0</v>
      </c>
    </row>
    <row r="148" spans="1:20" ht="12">
      <c r="A148" s="74"/>
      <c r="J148" s="113" t="s">
        <v>349</v>
      </c>
      <c r="K148" s="1900">
        <f>+SUMIF(Opex_FO!$H$92:$H$109,$J148,Opex_FO!X$92:X$109)</f>
        <v>0</v>
      </c>
      <c r="L148" s="1900">
        <f>+SUMIF(Opex_FO!$H$92:$H$109,$J148,Opex_FO!Y$92:Y$109)</f>
        <v>0</v>
      </c>
      <c r="M148" s="1900">
        <f>+SUMIF(Opex_FO!$H$92:$H$109,$J148,Opex_FO!Z$92:Z$109)</f>
        <v>0</v>
      </c>
      <c r="N148" s="1900">
        <f>+SUMIF(Opex_FO!$H$92:$H$109,$J148,Opex_FO!AA$92:AA$109)</f>
        <v>0</v>
      </c>
      <c r="O148" s="1900">
        <f>+SUMIF(Opex_FO!$H$92:$H$109,$J148,Opex_FO!AB$92:AB$109)</f>
        <v>0</v>
      </c>
      <c r="P148" s="1900">
        <f>+SUMIF(Opex_FO!$H$92:$H$109,$J148,Opex_FO!AC$92:AC$109)</f>
        <v>0</v>
      </c>
      <c r="Q148" s="1900">
        <f>+SUMIF(Opex_FO!$H$92:$H$109,$J148,Opex_FO!AD$92:AD$109)</f>
        <v>0</v>
      </c>
      <c r="R148" s="1900">
        <f>+SUMIF(Opex_FO!$H$92:$H$109,$J148,Opex_FO!AE$92:AE$109)</f>
        <v>0</v>
      </c>
      <c r="S148" s="1900">
        <f>+SUMIF(Opex_FO!$H$92:$H$109,$J148,Opex_FO!AF$92:AF$109)</f>
        <v>0</v>
      </c>
      <c r="T148" s="1900">
        <f>+SUMIF(Opex_FO!$H$92:$H$109,$J148,Opex_FO!AG$92:AG$109)</f>
        <v>0</v>
      </c>
    </row>
    <row r="149" spans="1:20" ht="12">
      <c r="A149" s="74"/>
      <c r="J149" s="113" t="s">
        <v>351</v>
      </c>
      <c r="K149" s="1900">
        <f>+SUMIF(Opex_FO!$H$92:$H$109,$J149,Opex_FO!X$92:X$109)</f>
        <v>0</v>
      </c>
      <c r="L149" s="1900">
        <f>+SUMIF(Opex_FO!$H$92:$H$109,$J149,Opex_FO!Y$92:Y$109)</f>
        <v>0</v>
      </c>
      <c r="M149" s="1900">
        <f>+SUMIF(Opex_FO!$H$92:$H$109,$J149,Opex_FO!Z$92:Z$109)</f>
        <v>0</v>
      </c>
      <c r="N149" s="1900">
        <f>+SUMIF(Opex_FO!$H$92:$H$109,$J149,Opex_FO!AA$92:AA$109)</f>
        <v>0</v>
      </c>
      <c r="O149" s="1900">
        <f>+SUMIF(Opex_FO!$H$92:$H$109,$J149,Opex_FO!AB$92:AB$109)</f>
        <v>0</v>
      </c>
      <c r="P149" s="1900">
        <f>+SUMIF(Opex_FO!$H$92:$H$109,$J149,Opex_FO!AC$92:AC$109)</f>
        <v>0</v>
      </c>
      <c r="Q149" s="1900">
        <f>+SUMIF(Opex_FO!$H$92:$H$109,$J149,Opex_FO!AD$92:AD$109)</f>
        <v>0</v>
      </c>
      <c r="R149" s="1900">
        <f>+SUMIF(Opex_FO!$H$92:$H$109,$J149,Opex_FO!AE$92:AE$109)</f>
        <v>0</v>
      </c>
      <c r="S149" s="1900">
        <f>+SUMIF(Opex_FO!$H$92:$H$109,$J149,Opex_FO!AF$92:AF$109)</f>
        <v>0</v>
      </c>
      <c r="T149" s="1900">
        <f>+SUMIF(Opex_FO!$H$92:$H$109,$J149,Opex_FO!AG$92:AG$109)</f>
        <v>0</v>
      </c>
    </row>
    <row r="150" spans="1:20" ht="12">
      <c r="A150" s="74"/>
      <c r="J150" s="628" t="s">
        <v>584</v>
      </c>
      <c r="K150" s="1894">
        <f>SUM(K145:K149)</f>
        <v>7.9880679999999993</v>
      </c>
      <c r="L150" s="1894">
        <f t="shared" ref="L150:T150" si="56">SUM(L145:L149)</f>
        <v>8.8071020000000004</v>
      </c>
      <c r="M150" s="1894">
        <f t="shared" si="56"/>
        <v>8.2829490000000003</v>
      </c>
      <c r="N150" s="1894">
        <f t="shared" si="56"/>
        <v>9.1594789999999993</v>
      </c>
      <c r="O150" s="1894">
        <f t="shared" si="56"/>
        <v>9.2422550000000001</v>
      </c>
      <c r="P150" s="1894">
        <f t="shared" si="56"/>
        <v>10.097541055227074</v>
      </c>
      <c r="Q150" s="1894">
        <f t="shared" si="56"/>
        <v>10.965383110454148</v>
      </c>
      <c r="R150" s="1894">
        <f t="shared" si="56"/>
        <v>11.845781165681224</v>
      </c>
      <c r="S150" s="1894">
        <f t="shared" si="56"/>
        <v>12.739027220908298</v>
      </c>
      <c r="T150" s="1894">
        <f t="shared" si="56"/>
        <v>13.645413276135372</v>
      </c>
    </row>
    <row r="151" spans="1:20">
      <c r="E151" s="1907"/>
      <c r="F151" s="1907"/>
      <c r="G151" s="1907"/>
      <c r="H151" s="1907"/>
      <c r="I151" s="1907"/>
      <c r="J151" s="1907"/>
      <c r="K151" s="1907"/>
      <c r="L151" s="1907"/>
      <c r="M151" s="1907"/>
      <c r="N151" s="1907"/>
      <c r="O151" s="1907"/>
      <c r="P151" s="1907"/>
    </row>
    <row r="152" spans="1:20" ht="12">
      <c r="E152" s="1907"/>
      <c r="F152" s="1907"/>
      <c r="G152" s="1907"/>
      <c r="H152" s="1907"/>
      <c r="I152" s="1883" t="str">
        <f t="shared" ref="I152:T152" si="57">I123</f>
        <v>2024-25</v>
      </c>
      <c r="J152" s="1883" t="str">
        <f t="shared" si="57"/>
        <v>2025-26</v>
      </c>
      <c r="K152" s="1883" t="str">
        <f t="shared" si="57"/>
        <v>2026-27</v>
      </c>
      <c r="L152" s="1883" t="str">
        <f t="shared" si="57"/>
        <v>2027-28</v>
      </c>
      <c r="M152" s="1883" t="str">
        <f t="shared" si="57"/>
        <v>2028-29</v>
      </c>
      <c r="N152" s="1883" t="str">
        <f t="shared" si="57"/>
        <v>2029-30</v>
      </c>
      <c r="O152" s="1883" t="str">
        <f t="shared" si="57"/>
        <v>2030-31</v>
      </c>
      <c r="P152" s="1883" t="str">
        <f t="shared" si="57"/>
        <v>2031-32</v>
      </c>
      <c r="Q152" s="1883" t="str">
        <f t="shared" si="57"/>
        <v>2032-33</v>
      </c>
      <c r="R152" s="1883" t="str">
        <f t="shared" si="57"/>
        <v>2033-34</v>
      </c>
      <c r="S152" s="1883" t="str">
        <f t="shared" si="57"/>
        <v>2034-35</v>
      </c>
      <c r="T152" s="1883" t="str">
        <f t="shared" si="57"/>
        <v>2035-36</v>
      </c>
    </row>
    <row r="153" spans="1:20" ht="12">
      <c r="E153" s="1907"/>
      <c r="F153" s="1907"/>
      <c r="G153" s="1907"/>
      <c r="H153" s="812" t="s">
        <v>390</v>
      </c>
      <c r="I153" s="1900">
        <f>+Opex_Breakdown!V33</f>
        <v>1.092626637554585</v>
      </c>
      <c r="J153" s="1901">
        <f>+Opex_Breakdown!W33</f>
        <v>0.45500000000000002</v>
      </c>
      <c r="K153" s="1902">
        <f>+Opex_FO!X116</f>
        <v>0.45500000000000002</v>
      </c>
      <c r="L153" s="1900">
        <f>+Opex_FO!Y116</f>
        <v>0.45500000000000002</v>
      </c>
      <c r="M153" s="1900">
        <f>+Opex_FO!Z116</f>
        <v>0.45500000000000002</v>
      </c>
      <c r="N153" s="1900">
        <f>+Opex_FO!AA116</f>
        <v>0.45500000000000002</v>
      </c>
      <c r="O153" s="1900">
        <f>+Opex_FO!AB116</f>
        <v>0.45500000000000002</v>
      </c>
      <c r="P153" s="1900">
        <f>+Opex_FO!AC116</f>
        <v>0.45500000000000002</v>
      </c>
      <c r="Q153" s="1900">
        <f>+Opex_FO!AD116</f>
        <v>0.45500000000000002</v>
      </c>
      <c r="R153" s="1900">
        <f>+Opex_FO!AE116</f>
        <v>0.45500000000000002</v>
      </c>
      <c r="S153" s="1900">
        <f>+Opex_FO!AF116</f>
        <v>0.45500000000000002</v>
      </c>
      <c r="T153" s="1900">
        <f>+Opex_FO!AG116</f>
        <v>0.45500000000000002</v>
      </c>
    </row>
    <row r="154" spans="1:20" ht="12">
      <c r="D154" s="1897"/>
      <c r="H154" s="812" t="s">
        <v>388</v>
      </c>
      <c r="I154" s="1900">
        <f>+Opex_Breakdown!V34</f>
        <v>0</v>
      </c>
      <c r="J154" s="1903">
        <f>+Opex_Breakdown!W34</f>
        <v>0</v>
      </c>
      <c r="K154" s="1900">
        <f>+Opex_FO!X117</f>
        <v>0</v>
      </c>
      <c r="L154" s="1900">
        <f>+Opex_FO!Y117</f>
        <v>0</v>
      </c>
      <c r="M154" s="1900">
        <f>+Opex_FO!Z117</f>
        <v>0</v>
      </c>
      <c r="N154" s="1900">
        <f>+Opex_FO!AA117</f>
        <v>0</v>
      </c>
      <c r="O154" s="1900">
        <f>+Opex_FO!AB117</f>
        <v>0</v>
      </c>
      <c r="P154" s="1900">
        <f>+Opex_FO!AC117</f>
        <v>0</v>
      </c>
      <c r="Q154" s="1900">
        <f>+Opex_FO!AD117</f>
        <v>0</v>
      </c>
      <c r="R154" s="1900">
        <f>+Opex_FO!AE117</f>
        <v>0</v>
      </c>
      <c r="S154" s="1900">
        <f>+Opex_FO!AF117</f>
        <v>0</v>
      </c>
      <c r="T154" s="1900">
        <f>+Opex_FO!AG117</f>
        <v>0</v>
      </c>
    </row>
    <row r="155" spans="1:20" ht="12">
      <c r="H155" s="812" t="s">
        <v>15</v>
      </c>
      <c r="I155" s="1900">
        <f>+Opex_Breakdown!V35</f>
        <v>0.28467685589519648</v>
      </c>
      <c r="J155" s="1903">
        <f>+Opex_Breakdown!W35</f>
        <v>0.26400000000000001</v>
      </c>
      <c r="K155" s="1900">
        <f>+Opex_FO!X118</f>
        <v>0.26400000000000001</v>
      </c>
      <c r="L155" s="1900">
        <f>+Opex_FO!Y118</f>
        <v>0.26400000000000001</v>
      </c>
      <c r="M155" s="1900">
        <f>+Opex_FO!Z118</f>
        <v>0.26400000000000001</v>
      </c>
      <c r="N155" s="1900">
        <f>+Opex_FO!AA118</f>
        <v>0.26400000000000001</v>
      </c>
      <c r="O155" s="1900">
        <f>+Opex_FO!AB118</f>
        <v>0.26400000000000001</v>
      </c>
      <c r="P155" s="1900">
        <f>+Opex_FO!AC118</f>
        <v>0.26400000000000001</v>
      </c>
      <c r="Q155" s="1900">
        <f>+Opex_FO!AD118</f>
        <v>0.26400000000000001</v>
      </c>
      <c r="R155" s="1900">
        <f>+Opex_FO!AE118</f>
        <v>0.26400000000000001</v>
      </c>
      <c r="S155" s="1900">
        <f>+Opex_FO!AF118</f>
        <v>0.26400000000000001</v>
      </c>
      <c r="T155" s="1900">
        <f>+Opex_FO!AG118</f>
        <v>0.26400000000000001</v>
      </c>
    </row>
    <row r="156" spans="1:20" ht="12">
      <c r="H156" s="812" t="s">
        <v>327</v>
      </c>
      <c r="I156" s="1900">
        <f>+Opex_Breakdown!V36</f>
        <v>3.2717358078602614</v>
      </c>
      <c r="J156" s="1903">
        <f>+Opex_Breakdown!W36</f>
        <v>3.1949999999999998</v>
      </c>
      <c r="K156" s="1900">
        <f>+Opex_FO!X119</f>
        <v>3.1049562682215743</v>
      </c>
      <c r="L156" s="1900">
        <f>+Opex_FO!Y119</f>
        <v>3.017450212071501</v>
      </c>
      <c r="M156" s="1900">
        <f>+Opex_FO!Z119</f>
        <v>2.9324103129946564</v>
      </c>
      <c r="N156" s="1900">
        <f>+Opex_FO!AA119</f>
        <v>2.8497670680220182</v>
      </c>
      <c r="O156" s="1900">
        <f>+Opex_FO!AB119</f>
        <v>2.7694529329660043</v>
      </c>
      <c r="P156" s="1900">
        <f>+Opex_FO!AC119</f>
        <v>2.6914022672167195</v>
      </c>
      <c r="Q156" s="1900">
        <f>+Opex_FO!AD119</f>
        <v>2.6155512800939937</v>
      </c>
      <c r="R156" s="1900">
        <f>+Opex_FO!AE119</f>
        <v>2.5418379787113645</v>
      </c>
      <c r="S156" s="1900">
        <f>+Opex_FO!AF119</f>
        <v>2.4702021173093924</v>
      </c>
      <c r="T156" s="1900">
        <f>+Opex_FO!AG119</f>
        <v>2.4005851480169023</v>
      </c>
    </row>
    <row r="157" spans="1:20" ht="12">
      <c r="H157" s="812" t="s">
        <v>484</v>
      </c>
      <c r="I157" s="1892">
        <f>+Opex_Breakdown!V37</f>
        <v>8.192139737991265E-2</v>
      </c>
      <c r="J157" s="1893">
        <f>+Opex_Breakdown!W37</f>
        <v>0.08</v>
      </c>
      <c r="K157" s="1892">
        <f>+Opex_FO!X120</f>
        <v>0.08</v>
      </c>
      <c r="L157" s="1892">
        <f>+Opex_FO!Y120</f>
        <v>0.08</v>
      </c>
      <c r="M157" s="1892">
        <f>+Opex_FO!Z120</f>
        <v>0.08</v>
      </c>
      <c r="N157" s="1892">
        <f>+Opex_FO!AA120</f>
        <v>0.08</v>
      </c>
      <c r="O157" s="1892">
        <f>+Opex_FO!AB120</f>
        <v>0.08</v>
      </c>
      <c r="P157" s="1892">
        <f>+Opex_FO!AC120</f>
        <v>0.08</v>
      </c>
      <c r="Q157" s="1892">
        <f>+Opex_FO!AD120</f>
        <v>0.08</v>
      </c>
      <c r="R157" s="1892">
        <f>+Opex_FO!AE120</f>
        <v>0.08</v>
      </c>
      <c r="S157" s="1892">
        <f>+Opex_FO!AF120</f>
        <v>0.08</v>
      </c>
      <c r="T157" s="1892">
        <f>+Opex_FO!AG120</f>
        <v>0.08</v>
      </c>
    </row>
    <row r="158" spans="1:20" ht="12">
      <c r="H158" s="624" t="s">
        <v>507</v>
      </c>
      <c r="I158" s="1894">
        <f>+Opex_Breakdown!V38</f>
        <v>4.7309606986899553</v>
      </c>
      <c r="J158" s="1895">
        <f>+Opex_Breakdown!W38</f>
        <v>3.9939999999999998</v>
      </c>
      <c r="K158" s="1894">
        <f>SUM(K153:K157)</f>
        <v>3.9039562682215747</v>
      </c>
      <c r="L158" s="1894">
        <f t="shared" ref="L158:T158" si="58">SUM(L153:L157)</f>
        <v>3.8164502120715014</v>
      </c>
      <c r="M158" s="1894">
        <f t="shared" si="58"/>
        <v>3.7314103129946563</v>
      </c>
      <c r="N158" s="1894">
        <f t="shared" si="58"/>
        <v>3.6487670680220186</v>
      </c>
      <c r="O158" s="1894">
        <f t="shared" si="58"/>
        <v>3.5684529329660046</v>
      </c>
      <c r="P158" s="1894">
        <f t="shared" si="58"/>
        <v>3.4904022672167194</v>
      </c>
      <c r="Q158" s="1894">
        <f t="shared" si="58"/>
        <v>3.4145512800939937</v>
      </c>
      <c r="R158" s="1894">
        <f t="shared" si="58"/>
        <v>3.3408379787113649</v>
      </c>
      <c r="S158" s="1894">
        <f t="shared" si="58"/>
        <v>3.2692021173093924</v>
      </c>
      <c r="T158" s="1894">
        <f t="shared" si="58"/>
        <v>3.1995851480169026</v>
      </c>
    </row>
    <row r="159" spans="1:20">
      <c r="H159" s="1052"/>
    </row>
    <row r="160" spans="1:20" ht="12">
      <c r="H160" s="1052"/>
      <c r="I160" s="423" t="s">
        <v>413</v>
      </c>
      <c r="J160" s="423"/>
      <c r="K160" s="423" t="b">
        <f>+K132=Opex_FO!X124</f>
        <v>1</v>
      </c>
      <c r="L160" s="423" t="b">
        <f>+L132=Opex_FO!Y124</f>
        <v>1</v>
      </c>
      <c r="M160" s="423" t="b">
        <f>+M132=Opex_FO!Z124</f>
        <v>1</v>
      </c>
      <c r="N160" s="423" t="b">
        <f>+N132=Opex_FO!AA124</f>
        <v>1</v>
      </c>
      <c r="O160" s="423" t="b">
        <f>+O132=Opex_FO!AB124</f>
        <v>1</v>
      </c>
      <c r="P160" s="423" t="b">
        <f>+P132=Opex_FO!AC124</f>
        <v>1</v>
      </c>
      <c r="Q160" s="423" t="b">
        <f>+Q132=Opex_FO!AD124</f>
        <v>1</v>
      </c>
      <c r="R160" s="423" t="b">
        <f>+R132=Opex_FO!AE124</f>
        <v>1</v>
      </c>
      <c r="S160" s="423" t="b">
        <f>+S132=Opex_FO!AF124</f>
        <v>1</v>
      </c>
      <c r="T160" s="423" t="b">
        <f>+T132=Opex_FO!AG124</f>
        <v>1</v>
      </c>
    </row>
    <row r="161" spans="2:21" ht="12">
      <c r="I161" s="423"/>
      <c r="J161" s="423"/>
      <c r="K161" s="1904" t="b">
        <f>ROUND(K150,10)=ROUND(K126,10)</f>
        <v>1</v>
      </c>
      <c r="L161" s="1904" t="b">
        <f t="shared" ref="L161:T161" si="59">+L150=L126</f>
        <v>1</v>
      </c>
      <c r="M161" s="1904" t="b">
        <f t="shared" si="59"/>
        <v>1</v>
      </c>
      <c r="N161" s="1904" t="b">
        <f t="shared" si="59"/>
        <v>1</v>
      </c>
      <c r="O161" s="1904" t="b">
        <f t="shared" si="59"/>
        <v>1</v>
      </c>
      <c r="P161" s="1904" t="b">
        <f t="shared" si="59"/>
        <v>1</v>
      </c>
      <c r="Q161" s="1904" t="b">
        <f t="shared" si="59"/>
        <v>1</v>
      </c>
      <c r="R161" s="1904" t="b">
        <f t="shared" si="59"/>
        <v>1</v>
      </c>
      <c r="S161" s="1904" t="b">
        <f t="shared" si="59"/>
        <v>1</v>
      </c>
      <c r="T161" s="1904" t="b">
        <f t="shared" si="59"/>
        <v>1</v>
      </c>
    </row>
    <row r="162" spans="2:21" ht="12">
      <c r="I162" s="423"/>
      <c r="J162" s="423"/>
      <c r="K162" s="423" t="b">
        <f t="shared" ref="K162:T162" si="60">+K113=K132</f>
        <v>1</v>
      </c>
      <c r="L162" s="423" t="b">
        <f t="shared" si="60"/>
        <v>1</v>
      </c>
      <c r="M162" s="423" t="b">
        <f>+M113=M132</f>
        <v>1</v>
      </c>
      <c r="N162" s="423" t="b">
        <f t="shared" si="60"/>
        <v>1</v>
      </c>
      <c r="O162" s="423" t="b">
        <f t="shared" si="60"/>
        <v>1</v>
      </c>
      <c r="P162" s="423" t="b">
        <f t="shared" si="60"/>
        <v>1</v>
      </c>
      <c r="Q162" s="423" t="b">
        <f t="shared" si="60"/>
        <v>1</v>
      </c>
      <c r="R162" s="423" t="b">
        <f t="shared" si="60"/>
        <v>1</v>
      </c>
      <c r="S162" s="423" t="b">
        <f t="shared" si="60"/>
        <v>1</v>
      </c>
      <c r="T162" s="423" t="b">
        <f t="shared" si="60"/>
        <v>1</v>
      </c>
    </row>
    <row r="163" spans="2:21" ht="12">
      <c r="I163" s="423"/>
      <c r="J163" s="423"/>
      <c r="K163" s="423" t="b">
        <f t="shared" ref="K163:T163" si="61">+K158=K108</f>
        <v>1</v>
      </c>
      <c r="L163" s="423" t="b">
        <f t="shared" si="61"/>
        <v>1</v>
      </c>
      <c r="M163" s="423" t="b">
        <f t="shared" si="61"/>
        <v>1</v>
      </c>
      <c r="N163" s="423" t="b">
        <f t="shared" si="61"/>
        <v>1</v>
      </c>
      <c r="O163" s="423" t="b">
        <f t="shared" si="61"/>
        <v>1</v>
      </c>
      <c r="P163" s="423" t="b">
        <f t="shared" si="61"/>
        <v>1</v>
      </c>
      <c r="Q163" s="423" t="b">
        <f t="shared" si="61"/>
        <v>1</v>
      </c>
      <c r="R163" s="423" t="b">
        <f t="shared" si="61"/>
        <v>1</v>
      </c>
      <c r="S163" s="423" t="b">
        <f t="shared" si="61"/>
        <v>1</v>
      </c>
      <c r="T163" s="423" t="b">
        <f t="shared" si="61"/>
        <v>1</v>
      </c>
    </row>
    <row r="167" spans="2:21" ht="15.75">
      <c r="B167" s="987" t="s">
        <v>1048</v>
      </c>
    </row>
    <row r="169" spans="2:21">
      <c r="B169" s="1921">
        <v>26</v>
      </c>
      <c r="C169" s="990" t="s">
        <v>333</v>
      </c>
      <c r="D169" s="990" t="str">
        <f t="shared" ref="D169:M169" si="62">C98</f>
        <v>2018-19</v>
      </c>
      <c r="E169" s="990" t="str">
        <f t="shared" si="62"/>
        <v>2019-20</v>
      </c>
      <c r="F169" s="990" t="str">
        <f t="shared" si="62"/>
        <v>2020-21</v>
      </c>
      <c r="G169" s="990" t="str">
        <f t="shared" si="62"/>
        <v>2021-22</v>
      </c>
      <c r="H169" s="990" t="str">
        <f t="shared" si="62"/>
        <v>2022-23</v>
      </c>
      <c r="I169" s="990" t="str">
        <f t="shared" si="62"/>
        <v>2023-24</v>
      </c>
      <c r="J169" s="990" t="str">
        <f t="shared" si="62"/>
        <v>2024-25</v>
      </c>
      <c r="K169" s="990" t="str">
        <f t="shared" si="62"/>
        <v>2025-26</v>
      </c>
      <c r="L169" s="1906" t="str">
        <f t="shared" si="62"/>
        <v>2026-27</v>
      </c>
      <c r="M169" s="990" t="str">
        <f t="shared" si="62"/>
        <v>2027-28</v>
      </c>
      <c r="N169" s="990" t="str">
        <f>M98</f>
        <v>2028-29</v>
      </c>
      <c r="O169" s="990" t="str">
        <f>N98</f>
        <v>2029-30</v>
      </c>
      <c r="P169" s="990" t="str">
        <f>O98</f>
        <v>2030-31</v>
      </c>
      <c r="Q169" s="990"/>
      <c r="R169" s="990"/>
      <c r="S169" s="990"/>
      <c r="T169" s="990"/>
      <c r="U169" s="990"/>
    </row>
    <row r="170" spans="2:21">
      <c r="B170" s="999" t="s">
        <v>1049</v>
      </c>
      <c r="C170" s="1010">
        <f>'Determination Lookup'!I18</f>
        <v>48.06719457013574</v>
      </c>
      <c r="D170" s="1010">
        <f>'Determination Lookup'!J18</f>
        <v>47.474655624921169</v>
      </c>
      <c r="E170" s="1010">
        <f>'Determination Lookup'!K18</f>
        <v>47.445970247283476</v>
      </c>
      <c r="F170" s="1010">
        <f>'Determination Lookup'!L18</f>
        <v>46.791755686862679</v>
      </c>
      <c r="G170" s="1010">
        <f>'Determination Lookup'!M18</f>
        <v>46.056549963678044</v>
      </c>
      <c r="H170" s="1010">
        <f>'Determination Lookup'!N18</f>
        <v>47.113801695436997</v>
      </c>
      <c r="I170" s="1010">
        <f>'Determination Lookup'!O18</f>
        <v>46.46998133194063</v>
      </c>
      <c r="J170" s="1010">
        <f>'Determination Lookup'!P18</f>
        <v>46.586375382933639</v>
      </c>
      <c r="K170" s="1010">
        <f>'Determination Lookup'!Q18</f>
        <v>46.670980705822757</v>
      </c>
      <c r="L170" s="1919"/>
      <c r="M170" s="1920"/>
      <c r="N170" s="1920"/>
      <c r="O170" s="1920"/>
      <c r="P170" s="1920"/>
      <c r="Q170" s="988" t="s">
        <v>1053</v>
      </c>
    </row>
    <row r="171" spans="2:21">
      <c r="B171" s="999" t="s">
        <v>1010</v>
      </c>
      <c r="F171" s="1920"/>
      <c r="G171" s="1920"/>
      <c r="H171" s="1920"/>
      <c r="I171" s="1920"/>
      <c r="J171" s="1010"/>
      <c r="K171" s="1010">
        <f>'Determination Lookup'!Q18</f>
        <v>46.670980705822757</v>
      </c>
      <c r="L171" s="1010">
        <f>'Determination Lookup'!R18</f>
        <v>49.315031674208143</v>
      </c>
      <c r="M171" s="1010">
        <f>'Determination Lookup'!S18</f>
        <v>49.614257918552035</v>
      </c>
      <c r="N171" s="1010"/>
      <c r="O171" s="1919"/>
      <c r="P171" s="1919"/>
      <c r="Q171" s="988" t="s">
        <v>1053</v>
      </c>
    </row>
    <row r="172" spans="2:21">
      <c r="B172" s="999" t="s">
        <v>1050</v>
      </c>
      <c r="C172" s="1010">
        <f>Summary_FO!O13</f>
        <v>49.88419819004524</v>
      </c>
      <c r="D172" s="1010">
        <f>Summary_FO!P13</f>
        <v>48.04167761989342</v>
      </c>
      <c r="E172" s="1010">
        <f>Summary_FO!Q13</f>
        <v>53.262533742331293</v>
      </c>
      <c r="F172" s="1010">
        <f>Summary_FO!R13</f>
        <v>50.409455403087478</v>
      </c>
      <c r="G172" s="1010">
        <f>Summary_FO!S13</f>
        <v>52.173564885496177</v>
      </c>
      <c r="H172" s="1010">
        <f>Summary_FO!T13</f>
        <v>58.135559322033892</v>
      </c>
      <c r="I172" s="1010">
        <f>Summary_FO!U13</f>
        <v>57.475843891402711</v>
      </c>
      <c r="J172" s="1010">
        <f>Summary_FO!V13</f>
        <v>57.607126637554572</v>
      </c>
      <c r="K172" s="1010">
        <f>Summary_FO!W13</f>
        <v>54.994000000000014</v>
      </c>
      <c r="L172" s="1919"/>
      <c r="M172" s="1920"/>
      <c r="N172" s="1920"/>
      <c r="O172" s="1920"/>
      <c r="P172" s="1920"/>
      <c r="Q172" s="988" t="s">
        <v>1053</v>
      </c>
    </row>
    <row r="173" spans="2:21">
      <c r="B173" s="999" t="s">
        <v>1051</v>
      </c>
      <c r="F173" s="1920"/>
      <c r="G173" s="1920"/>
      <c r="H173" s="1920"/>
      <c r="I173" s="1920"/>
      <c r="J173" s="1920"/>
      <c r="K173" s="1919">
        <f>Summary_FO!W13</f>
        <v>54.994000000000014</v>
      </c>
      <c r="L173" s="1919">
        <f>Summary_FO!X13</f>
        <v>56.927501659388653</v>
      </c>
      <c r="M173" s="1919">
        <f>Summary_FO!Y13</f>
        <v>57.746535659388655</v>
      </c>
      <c r="N173" s="1919">
        <f>Summary_FO!Z13</f>
        <v>57.222382659388657</v>
      </c>
      <c r="O173" s="1919">
        <f>Summary_FO!AA13</f>
        <v>58.098912659388652</v>
      </c>
      <c r="P173" s="1919">
        <f>Summary_FO!AB13</f>
        <v>58.181688659388655</v>
      </c>
      <c r="Q173" s="988" t="s">
        <v>1053</v>
      </c>
      <c r="R173" s="1919"/>
      <c r="S173" s="1919"/>
      <c r="T173" s="1919"/>
      <c r="U173" s="1919"/>
    </row>
  </sheetData>
  <sheetProtection algorithmName="SHA-512" hashValue="+Y6LvCrfMnlb8X/3xA48kvDiWY8UpVWBdiZgjjK7ME9B4Q9SXWxiS9ZQLXHgUBw36PS6IFdPWet4sew39QD/Vg==" saltValue="cIokaoTXkEyvAbM+yrEeIg==" spinCount="100000" sheet="1" objects="1" scenarios="1"/>
  <phoneticPr fontId="4" type="noConversion"/>
  <conditionalFormatting sqref="K160:T163">
    <cfRule type="containsText" dxfId="1" priority="1" operator="containsText" text="FALSE">
      <formula>NOT(ISERROR(SEARCH("FALSE",K160)))</formula>
    </cfRule>
  </conditionalFormatting>
  <conditionalFormatting sqref="K161:T161">
    <cfRule type="containsText" dxfId="0" priority="2" stopIfTrue="1" operator="containsText" text="FALSE">
      <formula>NOT(ISERROR(SEARCH("FALSE",K161)))</formula>
    </cfRule>
  </conditionalFormatting>
  <pageMargins left="0.7" right="0.7" top="0.75" bottom="0.75" header="0.3" footer="0.3"/>
  <pageSetup paperSize="9" orientation="portrait" r:id="rId1"/>
  <headerFooter>
    <oddHeader>&amp;C&amp;"Calibri"&amp;12&amp;KFF0000 OFFICIAL&amp;1#_x000D_&amp;"Arial"&amp;8&amp;K000000&amp;B&amp;"Arial"&amp;12&amp;Kff0000​‌OFFICIAL‌​</oddHead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autoPageBreaks="0"/>
  </sheetPr>
  <dimension ref="A1"/>
  <sheetViews>
    <sheetView zoomScale="80" zoomScaleNormal="80" workbookViewId="0">
      <selection activeCell="Q90" sqref="Q90"/>
    </sheetView>
  </sheetViews>
  <sheetFormatPr defaultColWidth="9.33203125" defaultRowHeight="11.25"/>
  <cols>
    <col min="1" max="16384" width="9.33203125" style="988"/>
  </cols>
  <sheetData/>
  <sheetProtection algorithmName="SHA-512" hashValue="iVIiCOLrvDE3BwENvLPXIRyuIIwd9XN1PnkUb4WFKLu0zh5esu/IAZcbq42Hy7Y6Sr5Nq1IbAsQ+R9awW7vwug==" saltValue="3mqcthErGxIPnIksLshWhA==" spinCount="100000" sheet="1" objects="1" scenarios="1"/>
  <pageMargins left="0.7" right="0.7" top="0.75" bottom="0.75" header="0.3" footer="0.3"/>
  <pageSetup paperSize="9" orientation="portrait" r:id="rId1"/>
  <headerFooter>
    <oddHeader>&amp;C&amp;"Calibri"&amp;12&amp;KFF0000 OFFICIAL&amp;1#_x000D_&amp;"Arial"&amp;8&amp;K000000&amp;B&amp;"Arial"&amp;12&amp;Kff0000​‌OFFICIAL‌​</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pageSetUpPr autoPageBreaks="0"/>
  </sheetPr>
  <dimension ref="A1"/>
  <sheetViews>
    <sheetView zoomScale="80" zoomScaleNormal="80" workbookViewId="0">
      <selection activeCell="AN39" sqref="AN39"/>
    </sheetView>
  </sheetViews>
  <sheetFormatPr defaultColWidth="9.33203125" defaultRowHeight="11.25"/>
  <cols>
    <col min="1" max="16384" width="9.33203125" style="988"/>
  </cols>
  <sheetData/>
  <sheetProtection algorithmName="SHA-512" hashValue="wX6KGs3eYRz/1wCy2P3DNthwbkTuq0/Th60smRKWVWoCiwWD4kCaMqBI1ptNwRDUBgvbNGlKnM17vRBg2I+g9Q==" saltValue="BjB04MNVhcbInTpHSnZDEA==" spinCount="100000" sheet="1" objects="1" scenarios="1"/>
  <pageMargins left="0.7" right="0.7" top="0.75" bottom="0.75" header="0.3" footer="0.3"/>
  <pageSetup paperSize="9" orientation="portrait" r:id="rId1"/>
  <headerFooter>
    <oddHeader>&amp;C&amp;"Calibri"&amp;12&amp;KFF0000 OFFICIAL&amp;1#_x000D_&amp;"Arial"&amp;8&amp;K000000&amp;B&amp;"Arial"&amp;12&amp;Kff0000​‌OFFICIAL‌​</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pageSetUpPr autoPageBreaks="0"/>
  </sheetPr>
  <dimension ref="A1"/>
  <sheetViews>
    <sheetView topLeftCell="A31" zoomScale="80" zoomScaleNormal="80" workbookViewId="0">
      <selection activeCell="AC80" sqref="AC80"/>
    </sheetView>
  </sheetViews>
  <sheetFormatPr defaultColWidth="9.33203125" defaultRowHeight="11.25"/>
  <cols>
    <col min="1" max="16384" width="9.33203125" style="988"/>
  </cols>
  <sheetData/>
  <sheetProtection algorithmName="SHA-512" hashValue="GjCMyeXNSCd1QpDJ8ouHxSf0exGsCD/wNA/XvCF94vUVIqki45VqtQOESYYFN5dO9hFWDAs0FqCe79IImlwMlw==" saltValue="LZi0VDCI+Qs1DtdY6GP+Rg==" spinCount="100000" sheet="1" objects="1" scenarios="1"/>
  <pageMargins left="0.7" right="0.7" top="0.75" bottom="0.75" header="0.3" footer="0.3"/>
  <pageSetup paperSize="9" orientation="portrait" r:id="rId1"/>
  <headerFooter>
    <oddHeader>&amp;C&amp;"Calibri"&amp;12&amp;KFF0000 OFFICIAL&amp;1#_x000D_&amp;"Arial"&amp;8&amp;K000000&amp;B&amp;"Arial"&amp;12&amp;Kff0000​‌OFFICIAL‌​</oddHeader>
  </headerFooter>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8FA24-4B57-44EB-BB41-6633D951C62C}">
  <sheetPr codeName="Sheet18">
    <pageSetUpPr autoPageBreaks="0"/>
  </sheetPr>
  <dimension ref="B1:X54"/>
  <sheetViews>
    <sheetView showGridLines="0" topLeftCell="D1" zoomScaleNormal="100" workbookViewId="0">
      <selection activeCell="U27" sqref="U27"/>
    </sheetView>
  </sheetViews>
  <sheetFormatPr defaultColWidth="9.33203125" defaultRowHeight="11.25" outlineLevelCol="1"/>
  <cols>
    <col min="1" max="1" width="1.6640625" style="1829" customWidth="1"/>
    <col min="2" max="3" width="17.5" style="1829" bestFit="1" customWidth="1"/>
    <col min="4" max="4" width="59.1640625" style="1829" bestFit="1" customWidth="1"/>
    <col min="5" max="5" width="14.1640625" style="1829" bestFit="1" customWidth="1"/>
    <col min="6" max="6" width="63" style="1829" bestFit="1" customWidth="1"/>
    <col min="7" max="7" width="7.83203125" style="1829" bestFit="1" customWidth="1"/>
    <col min="8" max="8" width="9.83203125" style="1829" bestFit="1" customWidth="1"/>
    <col min="9" max="13" width="10.5" style="1829" customWidth="1" outlineLevel="1"/>
    <col min="14" max="19" width="10.5" style="1829" bestFit="1" customWidth="1"/>
    <col min="20" max="20" width="4.33203125" style="1829" customWidth="1"/>
    <col min="21" max="21" width="34.83203125" style="1829" bestFit="1" customWidth="1"/>
    <col min="22" max="66" width="9.83203125" style="1829" customWidth="1"/>
    <col min="67" max="16384" width="9.33203125" style="1829"/>
  </cols>
  <sheetData>
    <row r="1" spans="2:24">
      <c r="F1" s="1830"/>
    </row>
    <row r="2" spans="2:24">
      <c r="B2" s="1831" t="str">
        <f>Model_Name</f>
        <v>North East Water</v>
      </c>
    </row>
    <row r="3" spans="2:24">
      <c r="B3" s="1832" t="s">
        <v>971</v>
      </c>
    </row>
    <row r="4" spans="2:24">
      <c r="U4" s="1878" t="s">
        <v>1039</v>
      </c>
    </row>
    <row r="5" spans="2:24">
      <c r="G5" s="1833">
        <v>26</v>
      </c>
      <c r="U5" s="1832" t="s">
        <v>603</v>
      </c>
      <c r="V5" s="1018" t="s">
        <v>604</v>
      </c>
      <c r="W5" s="1018" t="s">
        <v>605</v>
      </c>
      <c r="X5" s="1018" t="s">
        <v>606</v>
      </c>
    </row>
    <row r="6" spans="2:24" ht="12">
      <c r="B6" s="1834" t="s">
        <v>1011</v>
      </c>
      <c r="C6" s="1834" t="s">
        <v>1012</v>
      </c>
      <c r="D6" s="1834" t="s">
        <v>1013</v>
      </c>
      <c r="E6" s="1834" t="s">
        <v>1014</v>
      </c>
      <c r="F6" s="1834" t="s">
        <v>1015</v>
      </c>
      <c r="G6" s="1834" t="s">
        <v>858</v>
      </c>
      <c r="H6" s="1834" t="s">
        <v>1016</v>
      </c>
      <c r="I6" s="1835" t="s">
        <v>333</v>
      </c>
      <c r="J6" s="1835" t="s">
        <v>355</v>
      </c>
      <c r="K6" s="1835" t="s">
        <v>356</v>
      </c>
      <c r="L6" s="1835" t="s">
        <v>357</v>
      </c>
      <c r="M6" s="1835" t="s">
        <v>358</v>
      </c>
      <c r="N6" s="1835" t="s">
        <v>359</v>
      </c>
      <c r="O6" s="1835" t="s">
        <v>524</v>
      </c>
      <c r="P6" s="1835" t="s">
        <v>525</v>
      </c>
      <c r="Q6" s="1835" t="s">
        <v>526</v>
      </c>
      <c r="R6" s="2135" t="s">
        <v>527</v>
      </c>
      <c r="S6" s="1835" t="s">
        <v>528</v>
      </c>
      <c r="U6" s="70" t="s">
        <v>50</v>
      </c>
      <c r="V6" s="1873">
        <v>2.6700000000000002E-2</v>
      </c>
      <c r="W6" s="1873">
        <v>3.2300000000000002E-2</v>
      </c>
      <c r="X6" s="1873">
        <v>5.9589999999999999E-3</v>
      </c>
    </row>
    <row r="7" spans="2:24" ht="12">
      <c r="B7" s="1836"/>
      <c r="C7" s="1836"/>
      <c r="D7" s="1836"/>
      <c r="E7" s="1836"/>
      <c r="F7" s="1836"/>
      <c r="G7" s="1836"/>
      <c r="H7" s="1837"/>
      <c r="I7" s="1835"/>
      <c r="J7" s="1835"/>
      <c r="K7" s="1835"/>
      <c r="L7" s="1835"/>
      <c r="M7" s="1835"/>
      <c r="N7" s="1835"/>
      <c r="O7" s="1835"/>
      <c r="P7" s="1835"/>
      <c r="Q7" s="1835"/>
      <c r="R7" s="1835"/>
      <c r="S7" s="1835"/>
      <c r="U7" s="70" t="s">
        <v>51</v>
      </c>
      <c r="V7" s="1874">
        <v>1.1599999999999999E-2</v>
      </c>
      <c r="W7" s="1874">
        <v>1.7500000000000002E-2</v>
      </c>
      <c r="X7" s="1874">
        <v>3.9899999999999998E-2</v>
      </c>
    </row>
    <row r="8" spans="2:24" ht="12">
      <c r="B8" s="1837" t="str">
        <f t="shared" ref="B8:B27" si="0">$B$2</f>
        <v>North East Water</v>
      </c>
      <c r="C8" s="1837" t="str">
        <f t="shared" ref="C8:C26" si="1">INDEX($C$29:$C$33,MATCH($B8,$B$29:$B$32,0))</f>
        <v>NEW</v>
      </c>
      <c r="D8" s="1837" t="s">
        <v>1017</v>
      </c>
      <c r="E8" s="1837"/>
      <c r="F8" s="1837" t="str">
        <f>C8&amp;D8&amp;E8</f>
        <v>NEWRAV (Opening Base)</v>
      </c>
      <c r="G8" s="1837" t="str">
        <f>INDEX($D$29:$D$33,MATCH($B8,$B$29:$B$32,0))</f>
        <v>2017-18</v>
      </c>
      <c r="H8" s="1837">
        <f>INDEX(KeyAssumptionsPriceControl_FO!$S$15:$AC$15,MATCH($G8,KeyAssumptionsPriceControl_FO!$S$7:$AC$7,0))</f>
        <v>0.785358919687278</v>
      </c>
      <c r="I8" s="1838">
        <f t="shared" ref="I8:S22" si="2">INDEX($I$35:$S$49,MATCH($F8,$F$35:$F$49,0),MATCH(I$6,$I$34:$S$34,0))/$H8</f>
        <v>336.75998611345227</v>
      </c>
      <c r="J8" s="1838">
        <f t="shared" si="2"/>
        <v>336.84843632445194</v>
      </c>
      <c r="K8" s="1838">
        <f t="shared" si="2"/>
        <v>342.59742091947959</v>
      </c>
      <c r="L8" s="1838">
        <f t="shared" si="2"/>
        <v>354.1622932563929</v>
      </c>
      <c r="M8" s="1838">
        <f t="shared" si="2"/>
        <v>367.36688520134391</v>
      </c>
      <c r="N8" s="1838">
        <f t="shared" si="2"/>
        <v>383.85641160046549</v>
      </c>
      <c r="O8" s="1838">
        <f t="shared" si="2"/>
        <v>387.98997338081182</v>
      </c>
      <c r="P8" s="1838">
        <f t="shared" si="2"/>
        <v>391.07187279074986</v>
      </c>
      <c r="Q8" s="1838">
        <f t="shared" si="2"/>
        <v>392.48465421367132</v>
      </c>
      <c r="R8" s="1838">
        <f t="shared" si="2"/>
        <v>389.61251457436202</v>
      </c>
      <c r="S8" s="1838">
        <f t="shared" si="2"/>
        <v>397.67056881487935</v>
      </c>
      <c r="U8" s="70" t="s">
        <v>52</v>
      </c>
      <c r="V8" s="1874">
        <v>0.06</v>
      </c>
      <c r="W8" s="1874">
        <v>0.06</v>
      </c>
      <c r="X8" s="1874">
        <v>0.06</v>
      </c>
    </row>
    <row r="9" spans="2:24" ht="12">
      <c r="B9" s="1837" t="str">
        <f t="shared" si="0"/>
        <v>North East Water</v>
      </c>
      <c r="C9" s="1837" t="str">
        <f t="shared" si="1"/>
        <v>NEW</v>
      </c>
      <c r="D9" s="1837" t="s">
        <v>249</v>
      </c>
      <c r="E9" s="1837"/>
      <c r="F9" s="1837" t="str">
        <f t="shared" ref="F9:F17" si="3">C9&amp;D9&amp;E9</f>
        <v>NEWRoA</v>
      </c>
      <c r="G9" s="1837" t="str">
        <f t="shared" ref="G9:G22" si="4">INDEX($D$29:$D$33,MATCH($B9,$B$29:$B$32,0))</f>
        <v>2017-18</v>
      </c>
      <c r="H9" s="1837">
        <f>INDEX(KeyAssumptionsPriceControl_FO!$S$15:$AC$15,MATCH($G9,KeyAssumptionsPriceControl_FO!$S$7:$AC$7,0))</f>
        <v>0.785358919687278</v>
      </c>
      <c r="I9" s="1838">
        <f t="shared" si="2"/>
        <v>13.736943911849849</v>
      </c>
      <c r="J9" s="1838">
        <f t="shared" si="2"/>
        <v>14.030556952087187</v>
      </c>
      <c r="K9" s="1838">
        <f t="shared" si="2"/>
        <v>14.388088097731767</v>
      </c>
      <c r="L9" s="1838">
        <f t="shared" si="2"/>
        <v>14.899577535152265</v>
      </c>
      <c r="M9" s="1838">
        <f t="shared" si="2"/>
        <v>15.512761078957364</v>
      </c>
      <c r="N9" s="1838">
        <f t="shared" si="2"/>
        <v>15.938627849863376</v>
      </c>
      <c r="O9" s="1838">
        <f t="shared" si="2"/>
        <v>16.087627123442747</v>
      </c>
      <c r="P9" s="1838">
        <f t="shared" si="2"/>
        <v>16.180442282641295</v>
      </c>
      <c r="Q9" s="1838">
        <f t="shared" si="2"/>
        <v>16.150306535472883</v>
      </c>
      <c r="R9" s="1838">
        <f t="shared" si="2"/>
        <v>16.25739567198783</v>
      </c>
      <c r="S9" s="1838">
        <f t="shared" si="2"/>
        <v>16.60233770234835</v>
      </c>
      <c r="U9" s="70" t="s">
        <v>53</v>
      </c>
      <c r="V9" s="1875">
        <v>0.75</v>
      </c>
      <c r="W9" s="1875">
        <v>0.65</v>
      </c>
      <c r="X9" s="1875">
        <v>0.65</v>
      </c>
    </row>
    <row r="10" spans="2:24" ht="12">
      <c r="B10" s="1837" t="str">
        <f t="shared" si="0"/>
        <v>North East Water</v>
      </c>
      <c r="C10" s="1837" t="str">
        <f t="shared" si="1"/>
        <v>NEW</v>
      </c>
      <c r="D10" s="1837" t="s">
        <v>255</v>
      </c>
      <c r="E10" s="1837"/>
      <c r="F10" s="1837" t="str">
        <f t="shared" si="3"/>
        <v>NEWRevenue Req</v>
      </c>
      <c r="G10" s="1837" t="str">
        <f t="shared" si="4"/>
        <v>2017-18</v>
      </c>
      <c r="H10" s="1837">
        <f>INDEX(KeyAssumptionsPriceControl_FO!$S$15:$AC$15,MATCH($G10,KeyAssumptionsPriceControl_FO!$S$7:$AC$7,0))</f>
        <v>0.785358919687278</v>
      </c>
      <c r="I10" s="1838">
        <f t="shared" si="2"/>
        <v>75.827271727515623</v>
      </c>
      <c r="J10" s="1838">
        <f t="shared" si="2"/>
        <v>76.300229249037315</v>
      </c>
      <c r="K10" s="1838">
        <f t="shared" si="2"/>
        <v>77.19710351339441</v>
      </c>
      <c r="L10" s="1838">
        <f t="shared" si="2"/>
        <v>78.087524443058456</v>
      </c>
      <c r="M10" s="1838">
        <f t="shared" si="2"/>
        <v>79.057372806261341</v>
      </c>
      <c r="N10" s="1838">
        <f t="shared" si="2"/>
        <v>79.866330737243501</v>
      </c>
      <c r="O10" s="1838">
        <f t="shared" si="2"/>
        <v>80.836000390929527</v>
      </c>
      <c r="P10" s="1838">
        <f t="shared" si="2"/>
        <v>81.862206277186004</v>
      </c>
      <c r="Q10" s="1838">
        <f t="shared" si="2"/>
        <v>82.806383491758865</v>
      </c>
      <c r="R10" s="1838">
        <f t="shared" si="2"/>
        <v>84.010029855465518</v>
      </c>
      <c r="S10" s="1838">
        <f t="shared" si="2"/>
        <v>85.041379952699472</v>
      </c>
      <c r="U10" s="70" t="s">
        <v>54</v>
      </c>
      <c r="V10" s="1874">
        <v>0.6</v>
      </c>
      <c r="W10" s="1874">
        <v>0.6</v>
      </c>
      <c r="X10" s="1874">
        <v>0.6</v>
      </c>
    </row>
    <row r="11" spans="2:24" ht="12">
      <c r="B11" s="1837" t="str">
        <f t="shared" si="0"/>
        <v>North East Water</v>
      </c>
      <c r="C11" s="1837" t="str">
        <f t="shared" si="1"/>
        <v>NEW</v>
      </c>
      <c r="D11" s="1837" t="s">
        <v>247</v>
      </c>
      <c r="E11" s="1837"/>
      <c r="F11" s="1837" t="str">
        <f t="shared" si="3"/>
        <v>NEWRegDepEx</v>
      </c>
      <c r="G11" s="1837" t="str">
        <f t="shared" si="4"/>
        <v>2017-18</v>
      </c>
      <c r="H11" s="1837">
        <f>INDEX(KeyAssumptionsPriceControl_FO!$S$15:$AC$15,MATCH($G11,KeyAssumptionsPriceControl_FO!$S$7:$AC$7,0))</f>
        <v>0.785358919687278</v>
      </c>
      <c r="I11" s="1838">
        <f t="shared" si="2"/>
        <v>9.1382473511008371</v>
      </c>
      <c r="J11" s="1838">
        <f t="shared" si="2"/>
        <v>11.407853313516451</v>
      </c>
      <c r="K11" s="1838">
        <f t="shared" si="2"/>
        <v>10.776847742690837</v>
      </c>
      <c r="L11" s="1838">
        <f t="shared" si="2"/>
        <v>10.348357275048409</v>
      </c>
      <c r="M11" s="1838">
        <f t="shared" si="2"/>
        <v>9.3028338901578973</v>
      </c>
      <c r="N11" s="1838">
        <f t="shared" si="2"/>
        <v>8.1278981342402759</v>
      </c>
      <c r="O11" s="1838">
        <f t="shared" si="2"/>
        <v>7.3896950223035267</v>
      </c>
      <c r="P11" s="1838">
        <f t="shared" si="2"/>
        <v>6.8744412873572447</v>
      </c>
      <c r="Q11" s="1838">
        <f t="shared" si="2"/>
        <v>6.0037825257341506</v>
      </c>
      <c r="R11" s="1838">
        <f t="shared" si="2"/>
        <v>5.003201409568736</v>
      </c>
      <c r="S11" s="1838">
        <f t="shared" si="2"/>
        <v>4.6028064754076592</v>
      </c>
      <c r="U11" s="70" t="s">
        <v>55</v>
      </c>
      <c r="V11" s="1874">
        <v>2.5499999999999998E-2</v>
      </c>
      <c r="W11" s="1874">
        <v>2.9000000000000001E-2</v>
      </c>
      <c r="X11" s="1874">
        <v>2.75E-2</v>
      </c>
    </row>
    <row r="12" spans="2:24" ht="12">
      <c r="B12" s="1837" t="str">
        <f t="shared" si="0"/>
        <v>North East Water</v>
      </c>
      <c r="C12" s="1837" t="str">
        <f t="shared" si="1"/>
        <v>NEW</v>
      </c>
      <c r="D12" s="1837" t="s">
        <v>248</v>
      </c>
      <c r="E12" s="1837"/>
      <c r="F12" s="1837" t="str">
        <f t="shared" si="3"/>
        <v>NEWRegDepNew</v>
      </c>
      <c r="G12" s="1837" t="str">
        <f t="shared" si="4"/>
        <v>2017-18</v>
      </c>
      <c r="H12" s="1837">
        <f>INDEX(KeyAssumptionsPriceControl_FO!$S$15:$AC$15,MATCH($G12,KeyAssumptionsPriceControl_FO!$S$7:$AC$7,0))</f>
        <v>0.785358919687278</v>
      </c>
      <c r="I12" s="1838">
        <f t="shared" si="2"/>
        <v>3.0092997746027295</v>
      </c>
      <c r="J12" s="1838">
        <f t="shared" si="2"/>
        <v>0.38184195783936642</v>
      </c>
      <c r="K12" s="1838">
        <f t="shared" si="2"/>
        <v>1.2140619894909501</v>
      </c>
      <c r="L12" s="1838">
        <f t="shared" si="2"/>
        <v>2.0473229889253401</v>
      </c>
      <c r="M12" s="1838">
        <f t="shared" si="2"/>
        <v>3.5550070918891392</v>
      </c>
      <c r="N12" s="1838">
        <f t="shared" si="2"/>
        <v>5.307076271776018</v>
      </c>
      <c r="O12" s="1838">
        <f t="shared" si="2"/>
        <v>6.1899540460248863</v>
      </c>
      <c r="P12" s="1838">
        <f t="shared" si="2"/>
        <v>6.8130742603190031</v>
      </c>
      <c r="Q12" s="1838">
        <f t="shared" si="2"/>
        <v>7.7331803717443455</v>
      </c>
      <c r="R12" s="1838">
        <f t="shared" si="2"/>
        <v>8.6332366005339356</v>
      </c>
      <c r="S12" s="1838">
        <f t="shared" si="2"/>
        <v>9.3156634331131194</v>
      </c>
      <c r="U12" s="70" t="s">
        <v>56</v>
      </c>
      <c r="V12" s="1876">
        <v>0.5</v>
      </c>
      <c r="W12" s="1876">
        <v>0.5</v>
      </c>
      <c r="X12" s="1877">
        <v>0.5</v>
      </c>
    </row>
    <row r="13" spans="2:24">
      <c r="B13" s="1837" t="str">
        <f t="shared" si="0"/>
        <v>North East Water</v>
      </c>
      <c r="C13" s="1837" t="str">
        <f t="shared" si="1"/>
        <v>NEW</v>
      </c>
      <c r="D13" s="1837" t="s">
        <v>517</v>
      </c>
      <c r="E13" s="1837" t="s">
        <v>20</v>
      </c>
      <c r="F13" s="1837" t="str">
        <f t="shared" si="3"/>
        <v>NEWTotal prescribed capexWater</v>
      </c>
      <c r="G13" s="1837" t="str">
        <f t="shared" si="4"/>
        <v>2017-18</v>
      </c>
      <c r="H13" s="1837">
        <f>INDEX(KeyAssumptionsPriceControl_FO!$S$15:$AC$15,MATCH($G13,KeyAssumptionsPriceControl_FO!$S$7:$AC$7,0))</f>
        <v>0.785358919687278</v>
      </c>
      <c r="I13" s="1838">
        <f t="shared" si="2"/>
        <v>8.6379518618618611</v>
      </c>
      <c r="J13" s="1838">
        <f t="shared" si="2"/>
        <v>11.597459163800902</v>
      </c>
      <c r="K13" s="1838">
        <f t="shared" si="2"/>
        <v>10.336955239819002</v>
      </c>
      <c r="L13" s="1838">
        <f t="shared" si="2"/>
        <v>11.780780440723978</v>
      </c>
      <c r="M13" s="1838">
        <f t="shared" si="2"/>
        <v>14.806647901357463</v>
      </c>
      <c r="N13" s="1838">
        <f t="shared" si="2"/>
        <v>10.59373592307692</v>
      </c>
      <c r="O13" s="1838">
        <f t="shared" si="2"/>
        <v>7.9622588389140256</v>
      </c>
      <c r="P13" s="1838">
        <f t="shared" si="2"/>
        <v>11.194181131221717</v>
      </c>
      <c r="Q13" s="1838">
        <f t="shared" si="2"/>
        <v>7.4443033031674206</v>
      </c>
      <c r="R13" s="1838">
        <f t="shared" si="2"/>
        <v>20.150022624434385</v>
      </c>
      <c r="S13" s="1838">
        <f t="shared" si="2"/>
        <v>13.390056108597285</v>
      </c>
    </row>
    <row r="14" spans="2:24">
      <c r="B14" s="1837" t="str">
        <f t="shared" si="0"/>
        <v>North East Water</v>
      </c>
      <c r="C14" s="1837" t="str">
        <f t="shared" si="1"/>
        <v>NEW</v>
      </c>
      <c r="D14" s="1837" t="s">
        <v>517</v>
      </c>
      <c r="E14" s="1837" t="s">
        <v>21</v>
      </c>
      <c r="F14" s="1837" t="str">
        <f t="shared" si="3"/>
        <v>NEWTotal prescribed capexSewerage</v>
      </c>
      <c r="G14" s="1837" t="str">
        <f t="shared" si="4"/>
        <v>2017-18</v>
      </c>
      <c r="H14" s="1837">
        <f>INDEX(KeyAssumptionsPriceControl_FO!$S$15:$AC$15,MATCH($G14,KeyAssumptionsPriceControl_FO!$S$7:$AC$7,0))</f>
        <v>0.785358919687278</v>
      </c>
      <c r="I14" s="1838">
        <f t="shared" si="2"/>
        <v>6.7813033933933928</v>
      </c>
      <c r="J14" s="1838">
        <f t="shared" si="2"/>
        <v>8.7615354298642529</v>
      </c>
      <c r="K14" s="1838">
        <f t="shared" si="2"/>
        <v>16.077426108597283</v>
      </c>
      <c r="L14" s="1838">
        <f t="shared" si="2"/>
        <v>16.717057221719454</v>
      </c>
      <c r="M14" s="1838">
        <f t="shared" si="2"/>
        <v>17.477944995475109</v>
      </c>
      <c r="N14" s="1838">
        <f t="shared" si="2"/>
        <v>9.9523922171945696</v>
      </c>
      <c r="O14" s="1838">
        <f t="shared" si="2"/>
        <v>11.717967122171943</v>
      </c>
      <c r="P14" s="1838">
        <f t="shared" si="2"/>
        <v>6.9666108868778265</v>
      </c>
      <c r="Q14" s="1838">
        <f t="shared" si="2"/>
        <v>6.523577782805428</v>
      </c>
      <c r="R14" s="1838">
        <f t="shared" si="2"/>
        <v>4.6908488687782803</v>
      </c>
      <c r="S14" s="1838">
        <f t="shared" si="2"/>
        <v>12.365047058823528</v>
      </c>
      <c r="W14" t="s">
        <v>605</v>
      </c>
      <c r="X14" t="s">
        <v>606</v>
      </c>
    </row>
    <row r="15" spans="2:24">
      <c r="B15" s="1837" t="str">
        <f t="shared" si="0"/>
        <v>North East Water</v>
      </c>
      <c r="C15" s="1837" t="str">
        <f t="shared" si="1"/>
        <v>NEW</v>
      </c>
      <c r="D15" s="1837" t="s">
        <v>517</v>
      </c>
      <c r="E15" s="1837" t="s">
        <v>275</v>
      </c>
      <c r="F15" s="1837" t="str">
        <f t="shared" si="3"/>
        <v>NEWTotal prescribed capexRecycled Water</v>
      </c>
      <c r="G15" s="1837" t="str">
        <f t="shared" si="4"/>
        <v>2017-18</v>
      </c>
      <c r="H15" s="1837">
        <f>INDEX(KeyAssumptionsPriceControl_FO!$S$15:$AC$15,MATCH($G15,KeyAssumptionsPriceControl_FO!$S$7:$AC$7,0))</f>
        <v>0.785358919687278</v>
      </c>
      <c r="I15" s="1838">
        <f t="shared" si="2"/>
        <v>0</v>
      </c>
      <c r="J15" s="1838">
        <f t="shared" si="2"/>
        <v>0</v>
      </c>
      <c r="K15" s="1838">
        <f t="shared" si="2"/>
        <v>0</v>
      </c>
      <c r="L15" s="1838">
        <f t="shared" si="2"/>
        <v>0</v>
      </c>
      <c r="M15" s="1838">
        <f t="shared" si="2"/>
        <v>0</v>
      </c>
      <c r="N15" s="1838">
        <f t="shared" si="2"/>
        <v>0</v>
      </c>
      <c r="O15" s="1838">
        <f t="shared" si="2"/>
        <v>0</v>
      </c>
      <c r="P15" s="1838">
        <f t="shared" si="2"/>
        <v>0</v>
      </c>
      <c r="Q15" s="1838">
        <f t="shared" si="2"/>
        <v>0</v>
      </c>
      <c r="R15" s="1838">
        <f t="shared" si="2"/>
        <v>0</v>
      </c>
      <c r="S15" s="1838">
        <f t="shared" si="2"/>
        <v>0</v>
      </c>
      <c r="U15" t="s">
        <v>271</v>
      </c>
      <c r="W15" s="1019">
        <v>0</v>
      </c>
      <c r="X15" s="1019">
        <v>0.65</v>
      </c>
    </row>
    <row r="16" spans="2:24">
      <c r="B16" s="1837" t="str">
        <f t="shared" si="0"/>
        <v>North East Water</v>
      </c>
      <c r="C16" s="1837" t="str">
        <f t="shared" si="1"/>
        <v>NEW</v>
      </c>
      <c r="D16" s="1837" t="s">
        <v>517</v>
      </c>
      <c r="E16" s="1837" t="s">
        <v>350</v>
      </c>
      <c r="F16" s="1837" t="str">
        <f t="shared" si="3"/>
        <v>NEWTotal prescribed capexRural Water</v>
      </c>
      <c r="G16" s="1837" t="str">
        <f t="shared" si="4"/>
        <v>2017-18</v>
      </c>
      <c r="H16" s="1837">
        <f>INDEX(KeyAssumptionsPriceControl_FO!$S$15:$AC$15,MATCH($G16,KeyAssumptionsPriceControl_FO!$S$7:$AC$7,0))</f>
        <v>0.785358919687278</v>
      </c>
      <c r="I16" s="1838">
        <f t="shared" si="2"/>
        <v>0</v>
      </c>
      <c r="J16" s="1838">
        <f t="shared" si="2"/>
        <v>0</v>
      </c>
      <c r="K16" s="1838">
        <f t="shared" si="2"/>
        <v>0</v>
      </c>
      <c r="L16" s="1838">
        <f t="shared" si="2"/>
        <v>0</v>
      </c>
      <c r="M16" s="1838">
        <f t="shared" si="2"/>
        <v>0</v>
      </c>
      <c r="N16" s="1838">
        <f t="shared" si="2"/>
        <v>0</v>
      </c>
      <c r="O16" s="1838">
        <f t="shared" si="2"/>
        <v>0</v>
      </c>
      <c r="P16" s="1838">
        <f t="shared" si="2"/>
        <v>0</v>
      </c>
      <c r="Q16" s="1838">
        <f t="shared" si="2"/>
        <v>0</v>
      </c>
      <c r="R16" s="1838">
        <f t="shared" si="2"/>
        <v>0</v>
      </c>
      <c r="S16" s="1838">
        <f t="shared" si="2"/>
        <v>0</v>
      </c>
      <c r="U16" t="s">
        <v>171</v>
      </c>
      <c r="W16" s="1020">
        <v>6.3300000000000009E-2</v>
      </c>
      <c r="X16" s="1020">
        <v>6.5000000000000002E-2</v>
      </c>
    </row>
    <row r="17" spans="2:24">
      <c r="B17" s="1837" t="str">
        <f t="shared" si="0"/>
        <v>North East Water</v>
      </c>
      <c r="C17" s="1837" t="str">
        <f t="shared" si="1"/>
        <v>NEW</v>
      </c>
      <c r="D17" s="1837" t="s">
        <v>517</v>
      </c>
      <c r="E17" s="1837" t="s">
        <v>351</v>
      </c>
      <c r="F17" s="1837" t="str">
        <f t="shared" si="3"/>
        <v>NEWTotal prescribed capexBulk Water</v>
      </c>
      <c r="G17" s="1837" t="str">
        <f t="shared" si="4"/>
        <v>2017-18</v>
      </c>
      <c r="H17" s="1837">
        <f>INDEX(KeyAssumptionsPriceControl_FO!$S$15:$AC$15,MATCH($G17,KeyAssumptionsPriceControl_FO!$S$7:$AC$7,0))</f>
        <v>0.785358919687278</v>
      </c>
      <c r="I17" s="1838">
        <f t="shared" si="2"/>
        <v>0</v>
      </c>
      <c r="J17" s="1838">
        <f t="shared" si="2"/>
        <v>0</v>
      </c>
      <c r="K17" s="1838">
        <f t="shared" si="2"/>
        <v>0</v>
      </c>
      <c r="L17" s="1838">
        <f t="shared" si="2"/>
        <v>0</v>
      </c>
      <c r="M17" s="1838">
        <f t="shared" si="2"/>
        <v>0</v>
      </c>
      <c r="N17" s="1838">
        <f t="shared" si="2"/>
        <v>0</v>
      </c>
      <c r="O17" s="1838">
        <f t="shared" si="2"/>
        <v>0</v>
      </c>
      <c r="P17" s="1838">
        <f t="shared" si="2"/>
        <v>0</v>
      </c>
      <c r="Q17" s="1838">
        <f t="shared" si="2"/>
        <v>0</v>
      </c>
      <c r="R17" s="1838">
        <f t="shared" si="2"/>
        <v>0</v>
      </c>
      <c r="S17" s="1838">
        <f t="shared" si="2"/>
        <v>0</v>
      </c>
      <c r="U17" t="s">
        <v>172</v>
      </c>
      <c r="W17" s="1021">
        <v>5.8300000000000012E-2</v>
      </c>
      <c r="X17" s="1021">
        <v>4.4999999999999998E-2</v>
      </c>
    </row>
    <row r="18" spans="2:24">
      <c r="B18" s="1837" t="str">
        <f t="shared" si="0"/>
        <v>North East Water</v>
      </c>
      <c r="C18" s="1837" t="str">
        <f t="shared" si="1"/>
        <v>NEW</v>
      </c>
      <c r="D18" s="1837" t="s">
        <v>1018</v>
      </c>
      <c r="E18" s="1837"/>
      <c r="F18" s="1837" t="str">
        <f>C18&amp;D18&amp;E18</f>
        <v>NEWTotal controllable opex</v>
      </c>
      <c r="G18" s="1837" t="str">
        <f t="shared" si="4"/>
        <v>2017-18</v>
      </c>
      <c r="H18" s="1837">
        <f>INDEX(KeyAssumptionsPriceControl_FO!$S$15:$AC$15,MATCH($G18,KeyAssumptionsPriceControl_FO!$S$7:$AC$7,0))</f>
        <v>0.785358919687278</v>
      </c>
      <c r="I18" s="1838">
        <f t="shared" si="2"/>
        <v>48.06719457013574</v>
      </c>
      <c r="J18" s="1838">
        <f t="shared" si="2"/>
        <v>47.474655624921169</v>
      </c>
      <c r="K18" s="1838">
        <f t="shared" si="2"/>
        <v>47.445970247283476</v>
      </c>
      <c r="L18" s="1838">
        <f t="shared" si="2"/>
        <v>46.791755686862679</v>
      </c>
      <c r="M18" s="1838">
        <f t="shared" si="2"/>
        <v>46.056549963678044</v>
      </c>
      <c r="N18" s="1838">
        <f t="shared" si="2"/>
        <v>47.113801695436997</v>
      </c>
      <c r="O18" s="1838">
        <f t="shared" si="2"/>
        <v>46.46998133194063</v>
      </c>
      <c r="P18" s="1838">
        <f t="shared" si="2"/>
        <v>46.586375382933639</v>
      </c>
      <c r="Q18" s="1838">
        <f t="shared" si="2"/>
        <v>46.670980705822757</v>
      </c>
      <c r="R18" s="1838">
        <f t="shared" si="2"/>
        <v>49.315031674208143</v>
      </c>
      <c r="S18" s="1838">
        <f t="shared" si="2"/>
        <v>49.614257918552035</v>
      </c>
    </row>
    <row r="19" spans="2:24">
      <c r="B19" s="1837" t="str">
        <f t="shared" si="0"/>
        <v>North East Water</v>
      </c>
      <c r="C19" s="1837" t="str">
        <f t="shared" si="1"/>
        <v>NEW</v>
      </c>
      <c r="D19" s="1837" t="s">
        <v>709</v>
      </c>
      <c r="E19" s="1837"/>
      <c r="F19" s="1837" t="str">
        <f>C19&amp;D19&amp;E19</f>
        <v>NEWTotal Labour costs</v>
      </c>
      <c r="G19" s="1837" t="str">
        <f t="shared" si="4"/>
        <v>2017-18</v>
      </c>
      <c r="H19" s="1837">
        <f>INDEX(KeyAssumptionsPriceControl_FO!$S$15:$AC$15,MATCH($G19,KeyAssumptionsPriceControl_FO!$S$7:$AC$7,0))</f>
        <v>0.785358919687278</v>
      </c>
      <c r="I19" s="1838">
        <f t="shared" si="2"/>
        <v>23.91008687782805</v>
      </c>
      <c r="J19" s="1838">
        <f t="shared" si="2"/>
        <v>22.960435728824102</v>
      </c>
      <c r="K19" s="1838">
        <f t="shared" si="2"/>
        <v>22.964792312874629</v>
      </c>
      <c r="L19" s="1838">
        <f t="shared" si="2"/>
        <v>22.971118020366575</v>
      </c>
      <c r="M19" s="1838">
        <f t="shared" si="2"/>
        <v>22.976730621344881</v>
      </c>
      <c r="N19" s="1838">
        <f t="shared" si="2"/>
        <v>22.981766123860297</v>
      </c>
      <c r="O19" s="1838">
        <f t="shared" si="2"/>
        <v>22.986793197146547</v>
      </c>
      <c r="P19" s="1838">
        <f t="shared" si="2"/>
        <v>22.994358367363031</v>
      </c>
      <c r="Q19" s="1838">
        <f t="shared" si="2"/>
        <v>22.999368341117524</v>
      </c>
      <c r="R19" s="1838">
        <f t="shared" si="2"/>
        <v>25.458695440714571</v>
      </c>
      <c r="S19" s="1838">
        <f t="shared" si="2"/>
        <v>25.636906308799571</v>
      </c>
    </row>
    <row r="20" spans="2:24">
      <c r="B20" s="1837" t="str">
        <f t="shared" si="0"/>
        <v>North East Water</v>
      </c>
      <c r="C20" s="1837" t="str">
        <f t="shared" si="1"/>
        <v>NEW</v>
      </c>
      <c r="D20" s="1837" t="s">
        <v>710</v>
      </c>
      <c r="E20" s="1837"/>
      <c r="F20" s="1837" t="str">
        <f>C20&amp;D20&amp;E20</f>
        <v>NEWTotal Energy costs</v>
      </c>
      <c r="G20" s="1837" t="str">
        <f t="shared" si="4"/>
        <v>2017-18</v>
      </c>
      <c r="H20" s="1837">
        <f>INDEX(KeyAssumptionsPriceControl_FO!$S$15:$AC$15,MATCH($G20,KeyAssumptionsPriceControl_FO!$S$7:$AC$7,0))</f>
        <v>0.785358919687278</v>
      </c>
      <c r="I20" s="1838">
        <f t="shared" si="2"/>
        <v>6.0916538196774015</v>
      </c>
      <c r="J20" s="1838">
        <f t="shared" si="2"/>
        <v>5.4244101565171237</v>
      </c>
      <c r="K20" s="1838">
        <f t="shared" si="2"/>
        <v>4.9680020898144805</v>
      </c>
      <c r="L20" s="1838">
        <f t="shared" si="2"/>
        <v>4.0912537880056812</v>
      </c>
      <c r="M20" s="1838">
        <f t="shared" si="2"/>
        <v>3.1119789947094358</v>
      </c>
      <c r="N20" s="1838">
        <f t="shared" si="2"/>
        <v>3.9923817547098501</v>
      </c>
      <c r="O20" s="1838">
        <f t="shared" si="2"/>
        <v>3.243880768426159</v>
      </c>
      <c r="P20" s="1838">
        <f t="shared" si="2"/>
        <v>3.2459517336213026</v>
      </c>
      <c r="Q20" s="1838">
        <f t="shared" si="2"/>
        <v>3.2340877841417441</v>
      </c>
      <c r="R20" s="1838">
        <f t="shared" si="2"/>
        <v>3.4592699184626996</v>
      </c>
      <c r="S20" s="1838">
        <f t="shared" si="2"/>
        <v>3.7022915952563449</v>
      </c>
    </row>
    <row r="21" spans="2:24">
      <c r="B21" s="1837" t="str">
        <f t="shared" si="0"/>
        <v>North East Water</v>
      </c>
      <c r="C21" s="1837" t="str">
        <f t="shared" si="1"/>
        <v>NEW</v>
      </c>
      <c r="D21" s="1837" t="s">
        <v>346</v>
      </c>
      <c r="E21" s="1837"/>
      <c r="F21" s="1837" t="str">
        <f>C21&amp;D21&amp;E21</f>
        <v>NEWTotal IT costs</v>
      </c>
      <c r="G21" s="1837" t="str">
        <f t="shared" si="4"/>
        <v>2017-18</v>
      </c>
      <c r="H21" s="1837">
        <f>INDEX(KeyAssumptionsPriceControl_FO!$S$15:$AC$15,MATCH($G21,KeyAssumptionsPriceControl_FO!$S$7:$AC$7,0))</f>
        <v>0.785358919687278</v>
      </c>
      <c r="I21" s="1838">
        <f t="shared" si="2"/>
        <v>3.6989457013574651</v>
      </c>
      <c r="J21" s="1838">
        <f t="shared" si="2"/>
        <v>3.6989457013574651</v>
      </c>
      <c r="K21" s="1838">
        <f t="shared" si="2"/>
        <v>3.6989457013574651</v>
      </c>
      <c r="L21" s="1838">
        <f t="shared" si="2"/>
        <v>3.6989457013574651</v>
      </c>
      <c r="M21" s="1838">
        <f t="shared" si="2"/>
        <v>3.6989457013574651</v>
      </c>
      <c r="N21" s="1838">
        <f t="shared" si="2"/>
        <v>3.6989457013574651</v>
      </c>
      <c r="O21" s="1838">
        <f t="shared" si="2"/>
        <v>3.6989457013574651</v>
      </c>
      <c r="P21" s="1838">
        <f t="shared" si="2"/>
        <v>3.6989457013574651</v>
      </c>
      <c r="Q21" s="1838">
        <f t="shared" si="2"/>
        <v>3.6989457013574651</v>
      </c>
      <c r="R21" s="1838">
        <f t="shared" si="2"/>
        <v>3.6989457013574651</v>
      </c>
      <c r="S21" s="1838">
        <f t="shared" si="2"/>
        <v>3.6989457013574651</v>
      </c>
    </row>
    <row r="22" spans="2:24">
      <c r="B22" s="1837" t="str">
        <f t="shared" si="0"/>
        <v>North East Water</v>
      </c>
      <c r="C22" s="1837" t="str">
        <f t="shared" si="1"/>
        <v>NEW</v>
      </c>
      <c r="D22" s="1837" t="s">
        <v>711</v>
      </c>
      <c r="E22" s="1837"/>
      <c r="F22" s="1837" t="str">
        <f>C22&amp;D22&amp;E22</f>
        <v>NEWTotal Chemical costs</v>
      </c>
      <c r="G22" s="1837" t="str">
        <f t="shared" si="4"/>
        <v>2017-18</v>
      </c>
      <c r="H22" s="1837">
        <f>INDEX(KeyAssumptionsPriceControl_FO!$S$15:$AC$15,MATCH($G22,KeyAssumptionsPriceControl_FO!$S$7:$AC$7,0))</f>
        <v>0.785358919687278</v>
      </c>
      <c r="I22" s="1838">
        <f t="shared" si="2"/>
        <v>2.0156389140271491</v>
      </c>
      <c r="J22" s="1838">
        <f t="shared" si="2"/>
        <v>2.0156389140271491</v>
      </c>
      <c r="K22" s="1838">
        <f t="shared" si="2"/>
        <v>2.0156389140271491</v>
      </c>
      <c r="L22" s="1838">
        <f t="shared" si="2"/>
        <v>2.0156389140271491</v>
      </c>
      <c r="M22" s="1838">
        <f t="shared" si="2"/>
        <v>2.0156389140271491</v>
      </c>
      <c r="N22" s="1838">
        <f t="shared" si="2"/>
        <v>2.0156389140271491</v>
      </c>
      <c r="O22" s="1838">
        <f t="shared" si="2"/>
        <v>2.0156389140271491</v>
      </c>
      <c r="P22" s="1838">
        <f t="shared" si="2"/>
        <v>2.0156389140271491</v>
      </c>
      <c r="Q22" s="1838">
        <f t="shared" si="2"/>
        <v>2.0156389140271491</v>
      </c>
      <c r="R22" s="1838">
        <f t="shared" si="2"/>
        <v>2.0156389140271491</v>
      </c>
      <c r="S22" s="1838">
        <f t="shared" si="2"/>
        <v>2.0156389140271491</v>
      </c>
    </row>
    <row r="24" spans="2:24">
      <c r="B24" s="1837" t="str">
        <f t="shared" si="0"/>
        <v>North East Water</v>
      </c>
      <c r="C24" s="1837" t="str">
        <f t="shared" si="1"/>
        <v>NEW</v>
      </c>
      <c r="D24" s="1837" t="s">
        <v>721</v>
      </c>
      <c r="E24" s="1837"/>
      <c r="F24" s="1837" t="str">
        <f>C24&amp;D24&amp;E24</f>
        <v>NEWWater customers (No.) - Residential &amp; Non-Residential - [BED 1]</v>
      </c>
      <c r="G24" s="1837" t="s">
        <v>1019</v>
      </c>
      <c r="I24" s="1852">
        <f t="shared" ref="I24:S27" si="5">INDEX($I$35:$S$54,MATCH($F24,$F$35:$F$54,0),MATCH(I$6,$I$34:$S$34,0))</f>
        <v>51094</v>
      </c>
      <c r="J24" s="1852">
        <f t="shared" si="5"/>
        <v>51923</v>
      </c>
      <c r="K24" s="1852">
        <f t="shared" si="5"/>
        <v>52707</v>
      </c>
      <c r="L24" s="1852">
        <f t="shared" si="5"/>
        <v>53791</v>
      </c>
      <c r="M24" s="1852">
        <f t="shared" si="5"/>
        <v>54678</v>
      </c>
      <c r="N24" s="1852">
        <v>55273</v>
      </c>
      <c r="O24" s="1852">
        <v>56103</v>
      </c>
      <c r="P24" s="1852">
        <f t="shared" si="5"/>
        <v>0</v>
      </c>
      <c r="Q24" s="1852">
        <f t="shared" si="5"/>
        <v>0</v>
      </c>
      <c r="R24" s="1852">
        <f t="shared" si="5"/>
        <v>0</v>
      </c>
      <c r="S24" s="1852">
        <f t="shared" si="5"/>
        <v>0</v>
      </c>
      <c r="T24" s="1829" t="s">
        <v>1053</v>
      </c>
    </row>
    <row r="25" spans="2:24">
      <c r="B25" s="1837" t="str">
        <f t="shared" si="0"/>
        <v>North East Water</v>
      </c>
      <c r="C25" s="1837" t="str">
        <f t="shared" si="1"/>
        <v>NEW</v>
      </c>
      <c r="D25" s="1837" t="s">
        <v>722</v>
      </c>
      <c r="E25" s="1837"/>
      <c r="F25" s="1837" t="str">
        <f>C25&amp;D25&amp;E25</f>
        <v>NEWSewer customers (No.) - Residential &amp; Non-Residential - [BED 2]</v>
      </c>
      <c r="G25" s="1837" t="s">
        <v>1019</v>
      </c>
      <c r="I25" s="1852">
        <f t="shared" si="5"/>
        <v>46323</v>
      </c>
      <c r="J25" s="1852">
        <f t="shared" si="5"/>
        <v>47129</v>
      </c>
      <c r="K25" s="1852">
        <f t="shared" si="5"/>
        <v>47852</v>
      </c>
      <c r="L25" s="1852">
        <f t="shared" si="5"/>
        <v>49074</v>
      </c>
      <c r="M25" s="1852">
        <f t="shared" si="5"/>
        <v>49931</v>
      </c>
      <c r="N25" s="1852">
        <v>50689</v>
      </c>
      <c r="O25" s="1852">
        <v>51436</v>
      </c>
      <c r="P25" s="1852">
        <f t="shared" si="5"/>
        <v>0</v>
      </c>
      <c r="Q25" s="1852">
        <f t="shared" si="5"/>
        <v>0</v>
      </c>
      <c r="R25" s="1852">
        <f t="shared" si="5"/>
        <v>0</v>
      </c>
      <c r="S25" s="1852">
        <f t="shared" si="5"/>
        <v>0</v>
      </c>
      <c r="T25" s="1829" t="s">
        <v>1053</v>
      </c>
    </row>
    <row r="26" spans="2:24">
      <c r="B26" s="1837" t="str">
        <f t="shared" si="0"/>
        <v>North East Water</v>
      </c>
      <c r="C26" s="1837" t="str">
        <f t="shared" si="1"/>
        <v>NEW</v>
      </c>
      <c r="D26" s="1837" t="s">
        <v>713</v>
      </c>
      <c r="E26" s="1837"/>
      <c r="F26" s="1837" t="str">
        <f>C26&amp;D26&amp;E26</f>
        <v>NEWTotal metered volume of water delivered to customers (ML) - [BED 10]</v>
      </c>
      <c r="G26" s="1837" t="s">
        <v>1020</v>
      </c>
      <c r="I26" s="1852">
        <f>INDEX($I$35:$S$54,MATCH($F26,$F$35:$F$54,0),MATCH(I$6,$I$34:$S$34,0))</f>
        <v>15545.754000000001</v>
      </c>
      <c r="J26" s="1852">
        <f t="shared" si="5"/>
        <v>16571.900000000001</v>
      </c>
      <c r="K26" s="1852">
        <f t="shared" si="5"/>
        <v>15922.665000000001</v>
      </c>
      <c r="L26" s="1852">
        <f t="shared" si="5"/>
        <v>15237.11</v>
      </c>
      <c r="M26" s="1852">
        <f t="shared" si="5"/>
        <v>14097.78</v>
      </c>
      <c r="N26" s="1852">
        <v>14451</v>
      </c>
      <c r="O26" s="1852">
        <v>15585</v>
      </c>
      <c r="P26" s="1852">
        <f t="shared" si="5"/>
        <v>0</v>
      </c>
      <c r="Q26" s="1852">
        <f t="shared" si="5"/>
        <v>0</v>
      </c>
      <c r="R26" s="1852">
        <f t="shared" si="5"/>
        <v>0</v>
      </c>
      <c r="S26" s="1852">
        <f t="shared" si="5"/>
        <v>0</v>
      </c>
      <c r="T26" s="1829" t="s">
        <v>1053</v>
      </c>
    </row>
    <row r="27" spans="2:24">
      <c r="B27" s="1837" t="str">
        <f t="shared" si="0"/>
        <v>North East Water</v>
      </c>
      <c r="C27" s="1837" t="str">
        <f>INDEX($C$29:$C$33,MATCH($B22,$B$29:$B$32,0))</f>
        <v>NEW</v>
      </c>
      <c r="D27" s="1837" t="s">
        <v>299</v>
      </c>
      <c r="E27" s="1837"/>
      <c r="F27" s="1837" t="str">
        <f>C27&amp;D27&amp;E27</f>
        <v>NEWTotal FTEs</v>
      </c>
      <c r="G27" s="1837" t="s">
        <v>1019</v>
      </c>
      <c r="I27" s="1852">
        <f t="shared" si="5"/>
        <v>185.89999999999998</v>
      </c>
      <c r="J27" s="1852">
        <f t="shared" si="5"/>
        <v>185.89999999999998</v>
      </c>
      <c r="K27" s="1852">
        <f t="shared" si="5"/>
        <v>185.89999999999998</v>
      </c>
      <c r="L27" s="1852">
        <f t="shared" si="5"/>
        <v>185.89999999999998</v>
      </c>
      <c r="M27" s="1852">
        <f t="shared" si="5"/>
        <v>185.89999999999998</v>
      </c>
      <c r="N27" s="1852">
        <f t="shared" si="5"/>
        <v>185.89999999999998</v>
      </c>
      <c r="O27" s="1852">
        <f t="shared" si="5"/>
        <v>185.89999999999998</v>
      </c>
      <c r="P27" s="1852">
        <f t="shared" si="5"/>
        <v>185.89999999999998</v>
      </c>
      <c r="Q27" s="1852">
        <f t="shared" si="5"/>
        <v>185.89999999999998</v>
      </c>
      <c r="R27" s="1852">
        <f t="shared" si="5"/>
        <v>185.89999999999998</v>
      </c>
      <c r="S27" s="1852">
        <f t="shared" si="5"/>
        <v>185.89999999999998</v>
      </c>
      <c r="T27" s="1829" t="s">
        <v>1053</v>
      </c>
    </row>
    <row r="29" spans="2:24">
      <c r="B29" s="1840" t="s">
        <v>1011</v>
      </c>
      <c r="C29" s="1841" t="s">
        <v>1012</v>
      </c>
      <c r="D29" s="1842" t="s">
        <v>858</v>
      </c>
    </row>
    <row r="30" spans="2:24">
      <c r="B30" s="1843" t="s">
        <v>382</v>
      </c>
      <c r="C30" s="1844" t="s">
        <v>456</v>
      </c>
      <c r="D30" s="1845" t="s">
        <v>333</v>
      </c>
      <c r="I30" s="1846"/>
      <c r="J30" s="2208">
        <v>-1.2</v>
      </c>
      <c r="K30" s="2208">
        <v>-0.9</v>
      </c>
      <c r="L30" s="2208">
        <v>-0.4</v>
      </c>
      <c r="M30" s="2208">
        <v>0.1</v>
      </c>
      <c r="N30" s="2208">
        <v>-0.9</v>
      </c>
      <c r="O30" s="2208">
        <v>0.1</v>
      </c>
      <c r="P30" s="2208">
        <v>0.6</v>
      </c>
      <c r="Q30" s="2208">
        <v>1.2</v>
      </c>
    </row>
    <row r="31" spans="2:24">
      <c r="R31" s="1846"/>
      <c r="S31" s="1846"/>
    </row>
    <row r="33" spans="2:20">
      <c r="G33" s="1833">
        <v>18</v>
      </c>
    </row>
    <row r="34" spans="2:20">
      <c r="B34" s="1834" t="s">
        <v>1011</v>
      </c>
      <c r="C34" s="1834" t="s">
        <v>1012</v>
      </c>
      <c r="D34" s="1834" t="s">
        <v>1013</v>
      </c>
      <c r="E34" s="1834" t="s">
        <v>1014</v>
      </c>
      <c r="F34" s="1834" t="s">
        <v>1015</v>
      </c>
      <c r="G34" s="1834" t="s">
        <v>858</v>
      </c>
      <c r="I34" s="1835" t="s">
        <v>333</v>
      </c>
      <c r="J34" s="1835" t="s">
        <v>355</v>
      </c>
      <c r="K34" s="1835" t="s">
        <v>356</v>
      </c>
      <c r="L34" s="1835" t="s">
        <v>357</v>
      </c>
      <c r="M34" s="1835" t="s">
        <v>358</v>
      </c>
      <c r="N34" s="1835" t="s">
        <v>359</v>
      </c>
      <c r="O34" s="1835" t="s">
        <v>524</v>
      </c>
      <c r="P34" s="1835" t="s">
        <v>525</v>
      </c>
      <c r="Q34" s="1835" t="s">
        <v>526</v>
      </c>
      <c r="R34" s="2135" t="s">
        <v>527</v>
      </c>
      <c r="S34" s="1835" t="s">
        <v>528</v>
      </c>
    </row>
    <row r="35" spans="2:20">
      <c r="B35" s="1837" t="str">
        <f>$B$2</f>
        <v>North East Water</v>
      </c>
      <c r="C35" s="1837" t="s">
        <v>456</v>
      </c>
      <c r="D35" s="1837" t="s">
        <v>1017</v>
      </c>
      <c r="E35" s="1837"/>
      <c r="F35" s="1837" t="str">
        <f>C35&amp;D35&amp;E35</f>
        <v>NEWRAV (Opening Base)</v>
      </c>
      <c r="G35" s="1837" t="str">
        <f>_xlfn.XLOOKUP(B35,$B$29:$B$30,$D$29:$D$30,0)</f>
        <v>2017-18</v>
      </c>
      <c r="I35" s="1847">
        <v>264.47745888796362</v>
      </c>
      <c r="J35" s="1847">
        <v>264.54692405012042</v>
      </c>
      <c r="K35" s="1847">
        <v>269.06194038097016</v>
      </c>
      <c r="L35" s="1847">
        <v>278.14451602580965</v>
      </c>
      <c r="M35" s="1847">
        <v>288.51486009060773</v>
      </c>
      <c r="N35" s="1847">
        <v>301.4650567295767</v>
      </c>
      <c r="O35" s="1847">
        <v>304.71138634385011</v>
      </c>
      <c r="P35" s="1847">
        <v>307.13178353502394</v>
      </c>
      <c r="Q35" s="1848">
        <v>308.24132402708375</v>
      </c>
      <c r="R35" s="1848">
        <v>305.98566354276483</v>
      </c>
      <c r="S35" s="1848">
        <v>312.31412831587897</v>
      </c>
      <c r="T35" s="1829" t="s">
        <v>1053</v>
      </c>
    </row>
    <row r="36" spans="2:20">
      <c r="B36" s="1837" t="str">
        <f t="shared" ref="B36:B54" si="6">$B$2</f>
        <v>North East Water</v>
      </c>
      <c r="C36" s="1837" t="s">
        <v>456</v>
      </c>
      <c r="D36" s="1837" t="s">
        <v>249</v>
      </c>
      <c r="E36" s="1837"/>
      <c r="F36" s="1837" t="str">
        <f t="shared" ref="F36:F44" si="7">C36&amp;D36&amp;E36</f>
        <v>NEWRoA</v>
      </c>
      <c r="G36" s="1837" t="str">
        <f t="shared" ref="G36:G44" si="8">_xlfn.XLOOKUP(B36,$B$29:$B$30,$D$29:$D$30,0)</f>
        <v>2017-18</v>
      </c>
      <c r="I36" s="1847">
        <v>10.788431430415129</v>
      </c>
      <c r="J36" s="2004">
        <v>11.019023050502021</v>
      </c>
      <c r="K36" s="2004">
        <v>11.299813324800004</v>
      </c>
      <c r="L36" s="2004">
        <v>11.701516116804019</v>
      </c>
      <c r="M36" s="2004">
        <v>12.183085282336808</v>
      </c>
      <c r="N36" s="2004">
        <v>12.517543549466264</v>
      </c>
      <c r="O36" s="2004">
        <v>12.634561457998748</v>
      </c>
      <c r="P36" s="2004">
        <v>12.707454671157523</v>
      </c>
      <c r="Q36" s="2004">
        <v>12.683787293317369</v>
      </c>
      <c r="R36" s="2004">
        <v>12.767890701880992</v>
      </c>
      <c r="S36" s="2004">
        <v>13.038794002199666</v>
      </c>
      <c r="T36" s="1829" t="s">
        <v>1053</v>
      </c>
    </row>
    <row r="37" spans="2:20">
      <c r="B37" s="1837" t="str">
        <f t="shared" si="6"/>
        <v>North East Water</v>
      </c>
      <c r="C37" s="1837" t="s">
        <v>456</v>
      </c>
      <c r="D37" s="1837" t="s">
        <v>255</v>
      </c>
      <c r="E37" s="1837"/>
      <c r="F37" s="1837" t="str">
        <f t="shared" si="7"/>
        <v>NEWRevenue Req</v>
      </c>
      <c r="G37" s="1837" t="str">
        <f t="shared" si="8"/>
        <v>2017-18</v>
      </c>
      <c r="I37" s="1847">
        <v>59.551624206755349</v>
      </c>
      <c r="J37" s="2209">
        <f>61.1230656149156+J30</f>
        <v>59.9230656149156</v>
      </c>
      <c r="K37" s="2209">
        <f>61.5274338182664+K30</f>
        <v>60.627433818266404</v>
      </c>
      <c r="L37" s="2209">
        <f>61.7267338376543+L30</f>
        <v>61.326733837654302</v>
      </c>
      <c r="M37" s="2209">
        <f>61.9884129004398+M30</f>
        <v>62.088412900439799</v>
      </c>
      <c r="N37" s="2209">
        <f>63.6237352271884+N30</f>
        <v>62.723735227188399</v>
      </c>
      <c r="O37" s="2209">
        <f>63.3852739388608+O30</f>
        <v>63.4852739388608</v>
      </c>
      <c r="P37" s="2209">
        <f>63.6912138850679+P30</f>
        <v>64.291213885067904</v>
      </c>
      <c r="Q37" s="2209">
        <f>63.8327318822982+Q30</f>
        <v>65.032731882298194</v>
      </c>
      <c r="R37" s="1847">
        <v>65.978026290184374</v>
      </c>
      <c r="S37" s="1847">
        <v>66.788006288367399</v>
      </c>
      <c r="T37" s="1829" t="s">
        <v>1053</v>
      </c>
    </row>
    <row r="38" spans="2:20">
      <c r="B38" s="1837" t="str">
        <f t="shared" si="6"/>
        <v>North East Water</v>
      </c>
      <c r="C38" s="1837" t="s">
        <v>456</v>
      </c>
      <c r="D38" s="1837" t="s">
        <v>247</v>
      </c>
      <c r="E38" s="1837"/>
      <c r="F38" s="1837" t="str">
        <f t="shared" si="7"/>
        <v>NEWRegDepEx</v>
      </c>
      <c r="G38" s="1837" t="str">
        <f>_xlfn.XLOOKUP(B38,$B$29:$B$30,$D$29:$D$30,0)</f>
        <v>2017-18</v>
      </c>
      <c r="I38" s="1847">
        <v>7.1768040674956826</v>
      </c>
      <c r="J38" s="1847">
        <v>8.9592593542542147</v>
      </c>
      <c r="K38" s="1847">
        <v>8.4636935008339567</v>
      </c>
      <c r="L38" s="1847">
        <v>8.127174690070003</v>
      </c>
      <c r="M38" s="1847">
        <v>7.3060635740046038</v>
      </c>
      <c r="N38" s="1847">
        <v>6.3833172980351849</v>
      </c>
      <c r="O38" s="1847">
        <v>5.8035628995347537</v>
      </c>
      <c r="P38" s="1847">
        <v>5.3989037828925062</v>
      </c>
      <c r="Q38" s="1847">
        <v>4.7151241584479298</v>
      </c>
      <c r="R38" s="1847">
        <v>3.9293088539967691</v>
      </c>
      <c r="S38" s="1847">
        <v>3.6148551210557667</v>
      </c>
      <c r="T38" s="1829" t="s">
        <v>1053</v>
      </c>
    </row>
    <row r="39" spans="2:20">
      <c r="B39" s="1837" t="str">
        <f t="shared" si="6"/>
        <v>North East Water</v>
      </c>
      <c r="C39" s="1837" t="s">
        <v>456</v>
      </c>
      <c r="D39" s="1837" t="s">
        <v>248</v>
      </c>
      <c r="E39" s="1837"/>
      <c r="F39" s="1837" t="str">
        <f t="shared" si="7"/>
        <v>NEWRegDepNew</v>
      </c>
      <c r="G39" s="1837" t="str">
        <f t="shared" si="8"/>
        <v>2017-18</v>
      </c>
      <c r="I39" s="1847">
        <v>2.3633804199971689</v>
      </c>
      <c r="J39" s="1847">
        <v>0.29988298749999998</v>
      </c>
      <c r="K39" s="1847">
        <v>0.95347441250000009</v>
      </c>
      <c r="L39" s="1847">
        <v>1.607883370833334</v>
      </c>
      <c r="M39" s="1847">
        <v>2.7919565291666664</v>
      </c>
      <c r="N39" s="1847">
        <v>4.1679596875000007</v>
      </c>
      <c r="O39" s="1847">
        <v>4.8613356225000004</v>
      </c>
      <c r="P39" s="1847">
        <v>5.3507086408333331</v>
      </c>
      <c r="Q39" s="1847">
        <v>6.0733221825000019</v>
      </c>
      <c r="R39" s="1847">
        <v>6.7801893700000004</v>
      </c>
      <c r="S39" s="1847">
        <v>7.3161393699999984</v>
      </c>
      <c r="T39" s="1829" t="s">
        <v>1053</v>
      </c>
    </row>
    <row r="40" spans="2:20">
      <c r="B40" s="1837" t="str">
        <f t="shared" si="6"/>
        <v>North East Water</v>
      </c>
      <c r="C40" s="1837" t="s">
        <v>456</v>
      </c>
      <c r="D40" s="1837" t="s">
        <v>517</v>
      </c>
      <c r="E40" s="1837" t="s">
        <v>20</v>
      </c>
      <c r="F40" s="1836" t="str">
        <f t="shared" si="7"/>
        <v>NEWTotal prescribed capexWater</v>
      </c>
      <c r="G40" s="1837" t="str">
        <f t="shared" si="8"/>
        <v>2017-18</v>
      </c>
      <c r="I40" s="1849">
        <v>6.7838925425425431</v>
      </c>
      <c r="J40" s="1849">
        <v>9.1081679999999992</v>
      </c>
      <c r="K40" s="1849">
        <v>8.1182199999999991</v>
      </c>
      <c r="L40" s="1849">
        <v>9.2521409999999982</v>
      </c>
      <c r="M40" s="1849">
        <v>11.628532999999999</v>
      </c>
      <c r="N40" s="1849">
        <v>8.3198849999999993</v>
      </c>
      <c r="O40" s="1849">
        <v>6.2532309999999995</v>
      </c>
      <c r="P40" s="1849">
        <v>8.7914499999999993</v>
      </c>
      <c r="Q40" s="1849">
        <v>5.8464500000000008</v>
      </c>
      <c r="R40" s="1849">
        <v>15.824999999999999</v>
      </c>
      <c r="S40" s="1849">
        <v>10.516000000000002</v>
      </c>
      <c r="T40" s="1829" t="s">
        <v>1053</v>
      </c>
    </row>
    <row r="41" spans="2:20">
      <c r="B41" s="1837" t="str">
        <f t="shared" si="6"/>
        <v>North East Water</v>
      </c>
      <c r="C41" s="1837" t="s">
        <v>456</v>
      </c>
      <c r="D41" s="1837" t="s">
        <v>517</v>
      </c>
      <c r="E41" s="1837" t="s">
        <v>21</v>
      </c>
      <c r="F41" s="1836" t="str">
        <f t="shared" si="7"/>
        <v>NEWTotal prescribed capexSewerage</v>
      </c>
      <c r="G41" s="1837" t="str">
        <f t="shared" si="8"/>
        <v>2017-18</v>
      </c>
      <c r="I41" s="1849">
        <v>5.3257571071071075</v>
      </c>
      <c r="J41" s="1849">
        <v>6.8809500000000003</v>
      </c>
      <c r="K41" s="1849">
        <v>12.62655</v>
      </c>
      <c r="L41" s="1849">
        <v>13.128889999999998</v>
      </c>
      <c r="M41" s="1849">
        <v>13.726459999999999</v>
      </c>
      <c r="N41" s="1849">
        <v>7.8162000000000003</v>
      </c>
      <c r="O41" s="1849">
        <v>9.2028099999999995</v>
      </c>
      <c r="P41" s="1849">
        <v>5.4712899999999998</v>
      </c>
      <c r="Q41" s="1849">
        <v>5.1233499999999994</v>
      </c>
      <c r="R41" s="1849">
        <v>3.6840000000000002</v>
      </c>
      <c r="S41" s="1849">
        <v>9.7110000000000003</v>
      </c>
      <c r="T41" s="1829" t="s">
        <v>1053</v>
      </c>
    </row>
    <row r="42" spans="2:20">
      <c r="B42" s="1837" t="str">
        <f t="shared" si="6"/>
        <v>North East Water</v>
      </c>
      <c r="C42" s="1837" t="s">
        <v>456</v>
      </c>
      <c r="D42" s="1837" t="s">
        <v>517</v>
      </c>
      <c r="E42" s="1837" t="s">
        <v>275</v>
      </c>
      <c r="F42" s="1836" t="str">
        <f t="shared" si="7"/>
        <v>NEWTotal prescribed capexRecycled Water</v>
      </c>
      <c r="G42" s="1837" t="str">
        <f t="shared" si="8"/>
        <v>2017-18</v>
      </c>
      <c r="I42" s="1849">
        <v>0</v>
      </c>
      <c r="J42" s="1849">
        <v>0</v>
      </c>
      <c r="K42" s="1849">
        <v>0</v>
      </c>
      <c r="L42" s="1849">
        <v>0</v>
      </c>
      <c r="M42" s="1849">
        <v>0</v>
      </c>
      <c r="N42" s="1849">
        <v>0</v>
      </c>
      <c r="O42" s="1849">
        <v>0</v>
      </c>
      <c r="P42" s="1849">
        <v>0</v>
      </c>
      <c r="Q42" s="1849">
        <v>0</v>
      </c>
      <c r="R42" s="1849">
        <v>0</v>
      </c>
      <c r="S42" s="1849">
        <v>0</v>
      </c>
      <c r="T42" s="1829" t="s">
        <v>1053</v>
      </c>
    </row>
    <row r="43" spans="2:20">
      <c r="B43" s="1837" t="str">
        <f t="shared" si="6"/>
        <v>North East Water</v>
      </c>
      <c r="C43" s="1837" t="s">
        <v>456</v>
      </c>
      <c r="D43" s="1837" t="s">
        <v>517</v>
      </c>
      <c r="E43" s="1837" t="s">
        <v>350</v>
      </c>
      <c r="F43" s="1836" t="str">
        <f t="shared" si="7"/>
        <v>NEWTotal prescribed capexRural Water</v>
      </c>
      <c r="G43" s="1837" t="str">
        <f t="shared" si="8"/>
        <v>2017-18</v>
      </c>
      <c r="I43" s="1849">
        <v>0</v>
      </c>
      <c r="J43" s="1849">
        <v>0</v>
      </c>
      <c r="K43" s="1849">
        <v>0</v>
      </c>
      <c r="L43" s="1849">
        <v>0</v>
      </c>
      <c r="M43" s="1849">
        <v>0</v>
      </c>
      <c r="N43" s="1849">
        <v>0</v>
      </c>
      <c r="O43" s="1849">
        <v>0</v>
      </c>
      <c r="P43" s="1849">
        <v>0</v>
      </c>
      <c r="Q43" s="1849">
        <v>0</v>
      </c>
      <c r="R43" s="1849">
        <v>0</v>
      </c>
      <c r="S43" s="1849">
        <v>0</v>
      </c>
      <c r="T43" s="1829" t="s">
        <v>1053</v>
      </c>
    </row>
    <row r="44" spans="2:20">
      <c r="B44" s="1837" t="str">
        <f t="shared" si="6"/>
        <v>North East Water</v>
      </c>
      <c r="C44" s="1837" t="s">
        <v>456</v>
      </c>
      <c r="D44" s="1837" t="s">
        <v>517</v>
      </c>
      <c r="E44" s="1837" t="s">
        <v>351</v>
      </c>
      <c r="F44" s="1836" t="str">
        <f t="shared" si="7"/>
        <v>NEWTotal prescribed capexBulk Water</v>
      </c>
      <c r="G44" s="1837" t="str">
        <f t="shared" si="8"/>
        <v>2017-18</v>
      </c>
      <c r="I44" s="1849">
        <v>0</v>
      </c>
      <c r="J44" s="1849">
        <v>0</v>
      </c>
      <c r="K44" s="1849">
        <v>0</v>
      </c>
      <c r="L44" s="1849">
        <v>0</v>
      </c>
      <c r="M44" s="1849">
        <v>0</v>
      </c>
      <c r="N44" s="1849">
        <v>0</v>
      </c>
      <c r="O44" s="1849">
        <v>0</v>
      </c>
      <c r="P44" s="1849">
        <v>0</v>
      </c>
      <c r="Q44" s="1849">
        <v>0</v>
      </c>
      <c r="R44" s="1849">
        <v>0</v>
      </c>
      <c r="S44" s="1849">
        <v>0</v>
      </c>
      <c r="T44" s="1829" t="s">
        <v>1053</v>
      </c>
    </row>
    <row r="45" spans="2:20">
      <c r="B45" s="1837" t="str">
        <f t="shared" si="6"/>
        <v>North East Water</v>
      </c>
      <c r="C45" s="1837" t="s">
        <v>456</v>
      </c>
      <c r="D45" s="1837" t="s">
        <v>1018</v>
      </c>
      <c r="E45" s="1837"/>
      <c r="F45" s="1837" t="str">
        <f>C45&amp;D45&amp;E45</f>
        <v>NEWTotal controllable opex</v>
      </c>
      <c r="G45" s="1837" t="str">
        <f>_xlfn.XLOOKUP(B45,$B$29:$B$30,$D$29:$D$30,0)</f>
        <v>2017-18</v>
      </c>
      <c r="I45" s="1849">
        <v>37.75</v>
      </c>
      <c r="J45" s="1849">
        <v>37.284644254113644</v>
      </c>
      <c r="K45" s="1849">
        <v>37.262115936921283</v>
      </c>
      <c r="L45" s="1849">
        <v>36.748322696505518</v>
      </c>
      <c r="M45" s="1849">
        <v>36.170922323997331</v>
      </c>
      <c r="N45" s="1849">
        <v>37.001244401889046</v>
      </c>
      <c r="O45" s="1849">
        <v>36.495614336740871</v>
      </c>
      <c r="P45" s="1849">
        <v>36.587025442886763</v>
      </c>
      <c r="Q45" s="1849">
        <v>36.653470987870755</v>
      </c>
      <c r="R45" s="1849">
        <v>38.730000000000004</v>
      </c>
      <c r="S45" s="1849">
        <v>38.965000000000003</v>
      </c>
      <c r="T45" s="1829" t="s">
        <v>1053</v>
      </c>
    </row>
    <row r="46" spans="2:20">
      <c r="B46" s="1837" t="str">
        <f t="shared" si="6"/>
        <v>North East Water</v>
      </c>
      <c r="C46" s="1837" t="s">
        <v>456</v>
      </c>
      <c r="D46" s="1837" t="s">
        <v>709</v>
      </c>
      <c r="E46" s="1837"/>
      <c r="F46" s="2138" t="str">
        <f>C46&amp;D46&amp;E46</f>
        <v>NEWTotal Labour costs</v>
      </c>
      <c r="G46" s="1837" t="str">
        <f>_xlfn.XLOOKUP(B46,$B$29:$B$30,$D$29:$D$30,0)</f>
        <v>2017-18</v>
      </c>
      <c r="I46" s="1848">
        <v>18.777999999999999</v>
      </c>
      <c r="J46" s="1848">
        <v>18.032182999538477</v>
      </c>
      <c r="K46" s="1848">
        <v>18.035604481681926</v>
      </c>
      <c r="L46" s="1848">
        <v>18.040572432484058</v>
      </c>
      <c r="M46" s="1848">
        <v>18.044980338725015</v>
      </c>
      <c r="N46" s="1848">
        <v>18.048935015540604</v>
      </c>
      <c r="O46" s="1848">
        <v>18.052883072385882</v>
      </c>
      <c r="P46" s="1848">
        <v>18.058824446294352</v>
      </c>
      <c r="Q46" s="1848">
        <v>18.062759073869842</v>
      </c>
      <c r="R46" s="1849">
        <v>19.994213547967025</v>
      </c>
      <c r="S46" s="1849">
        <v>20.134173042802793</v>
      </c>
      <c r="T46" s="1829" t="s">
        <v>1053</v>
      </c>
    </row>
    <row r="47" spans="2:20">
      <c r="B47" s="1837" t="str">
        <f t="shared" si="6"/>
        <v>North East Water</v>
      </c>
      <c r="C47" s="1837" t="s">
        <v>456</v>
      </c>
      <c r="D47" s="1837" t="s">
        <v>710</v>
      </c>
      <c r="E47" s="1837"/>
      <c r="F47" s="2138" t="str">
        <f>C47&amp;D47&amp;E47</f>
        <v>NEWTotal Energy costs</v>
      </c>
      <c r="G47" s="1837" t="str">
        <f>_xlfn.XLOOKUP(B47,$B$29:$B$30,$D$29:$D$30,0)</f>
        <v>2017-18</v>
      </c>
      <c r="I47" s="1848">
        <v>4.7841346629307244</v>
      </c>
      <c r="J47" s="1848">
        <v>4.2601089004629866</v>
      </c>
      <c r="K47" s="1848">
        <v>3.9016647542608398</v>
      </c>
      <c r="L47" s="1848">
        <v>3.2131026551146258</v>
      </c>
      <c r="M47" s="1848">
        <v>2.444020461374504</v>
      </c>
      <c r="N47" s="1848">
        <v>3.1354526218581271</v>
      </c>
      <c r="O47" s="1848">
        <v>2.5476106958855054</v>
      </c>
      <c r="P47" s="1848">
        <v>2.5492371468738733</v>
      </c>
      <c r="Q47" s="1848">
        <v>2.5399196883273829</v>
      </c>
      <c r="R47" s="1848">
        <v>2.7167684860705639</v>
      </c>
      <c r="S47" s="1848">
        <v>2.907627727617812</v>
      </c>
      <c r="T47" s="1829" t="s">
        <v>1053</v>
      </c>
    </row>
    <row r="48" spans="2:20">
      <c r="B48" s="1837" t="str">
        <f t="shared" si="6"/>
        <v>North East Water</v>
      </c>
      <c r="C48" s="1837" t="s">
        <v>456</v>
      </c>
      <c r="D48" s="1837" t="s">
        <v>346</v>
      </c>
      <c r="E48" s="1837"/>
      <c r="F48" s="1837" t="str">
        <f>C48&amp;D48&amp;E48</f>
        <v>NEWTotal IT costs</v>
      </c>
      <c r="G48" s="1837" t="str">
        <f>_xlfn.XLOOKUP(B48,$B$29:$B$30,$D$29:$D$30,0)</f>
        <v>2017-18</v>
      </c>
      <c r="I48" s="1848">
        <v>2.9049999999999998</v>
      </c>
      <c r="J48" s="1848">
        <v>2.9049999999999998</v>
      </c>
      <c r="K48" s="1848">
        <v>2.9049999999999998</v>
      </c>
      <c r="L48" s="1848">
        <v>2.9049999999999998</v>
      </c>
      <c r="M48" s="1848">
        <v>2.9049999999999998</v>
      </c>
      <c r="N48" s="1848">
        <v>2.9049999999999998</v>
      </c>
      <c r="O48" s="1848">
        <v>2.9049999999999998</v>
      </c>
      <c r="P48" s="1848">
        <v>2.9049999999999998</v>
      </c>
      <c r="Q48" s="1848">
        <v>2.9049999999999998</v>
      </c>
      <c r="R48" s="1848">
        <v>2.9049999999999998</v>
      </c>
      <c r="S48" s="1848">
        <v>2.9049999999999998</v>
      </c>
      <c r="T48" s="1829" t="s">
        <v>1053</v>
      </c>
    </row>
    <row r="49" spans="2:21">
      <c r="B49" s="1837" t="str">
        <f t="shared" si="6"/>
        <v>North East Water</v>
      </c>
      <c r="C49" s="1837" t="s">
        <v>456</v>
      </c>
      <c r="D49" s="1837" t="s">
        <v>711</v>
      </c>
      <c r="E49" s="1837"/>
      <c r="F49" s="1837" t="str">
        <f>C49&amp;D49&amp;E49</f>
        <v>NEWTotal Chemical costs</v>
      </c>
      <c r="G49" s="1837" t="str">
        <f>_xlfn.XLOOKUP(B49,$B$29:$B$30,$D$29:$D$30,0)</f>
        <v>2017-18</v>
      </c>
      <c r="I49" s="1848">
        <v>1.583</v>
      </c>
      <c r="J49" s="1848">
        <v>1.583</v>
      </c>
      <c r="K49" s="1848">
        <v>1.583</v>
      </c>
      <c r="L49" s="1848">
        <v>1.583</v>
      </c>
      <c r="M49" s="1848">
        <v>1.583</v>
      </c>
      <c r="N49" s="1848">
        <v>1.583</v>
      </c>
      <c r="O49" s="1848">
        <v>1.583</v>
      </c>
      <c r="P49" s="1848">
        <v>1.583</v>
      </c>
      <c r="Q49" s="1848">
        <v>1.583</v>
      </c>
      <c r="R49" s="1848">
        <v>1.583</v>
      </c>
      <c r="S49" s="1848">
        <v>1.583</v>
      </c>
      <c r="T49" s="1829" t="s">
        <v>1053</v>
      </c>
    </row>
    <row r="51" spans="2:21">
      <c r="B51" s="1837" t="str">
        <f>$B$2</f>
        <v>North East Water</v>
      </c>
      <c r="C51" s="1837" t="str">
        <f>INDEX($C$29:$C$33,MATCH($B51,$B$29:$B$32,0))</f>
        <v>NEW</v>
      </c>
      <c r="D51" s="1837" t="s">
        <v>721</v>
      </c>
      <c r="E51" s="1837"/>
      <c r="F51" s="1837" t="str">
        <f>C51&amp;D51&amp;E51</f>
        <v>NEWWater customers (No.) - Residential &amp; Non-Residential - [BED 1]</v>
      </c>
      <c r="G51" s="1837" t="s">
        <v>1019</v>
      </c>
      <c r="I51" s="1851">
        <v>51094</v>
      </c>
      <c r="J51" s="1851">
        <v>51923</v>
      </c>
      <c r="K51" s="1851">
        <v>52707</v>
      </c>
      <c r="L51" s="1851">
        <v>53791</v>
      </c>
      <c r="M51" s="1851">
        <v>54678</v>
      </c>
      <c r="N51" s="1851">
        <v>55273</v>
      </c>
      <c r="O51" s="1849"/>
      <c r="P51" s="1849"/>
      <c r="Q51" s="1850"/>
      <c r="R51" s="1850"/>
      <c r="S51" s="1850"/>
      <c r="T51" s="1829" t="s">
        <v>1053</v>
      </c>
    </row>
    <row r="52" spans="2:21">
      <c r="B52" s="1837" t="str">
        <f>$B$2</f>
        <v>North East Water</v>
      </c>
      <c r="C52" s="1837" t="str">
        <f>INDEX($C$29:$C$33,MATCH($B52,$B$29:$B$32,0))</f>
        <v>NEW</v>
      </c>
      <c r="D52" s="1837" t="s">
        <v>722</v>
      </c>
      <c r="E52" s="1837"/>
      <c r="F52" s="1837" t="str">
        <f>C52&amp;D52&amp;E52</f>
        <v>NEWSewer customers (No.) - Residential &amp; Non-Residential - [BED 2]</v>
      </c>
      <c r="G52" s="1837" t="s">
        <v>1019</v>
      </c>
      <c r="I52" s="1851">
        <v>46323</v>
      </c>
      <c r="J52" s="1851">
        <v>47129</v>
      </c>
      <c r="K52" s="1851">
        <v>47852</v>
      </c>
      <c r="L52" s="1851">
        <v>49074</v>
      </c>
      <c r="M52" s="1851">
        <v>49931</v>
      </c>
      <c r="N52" s="1851">
        <v>50689</v>
      </c>
      <c r="O52" s="1849"/>
      <c r="P52" s="1849"/>
      <c r="Q52" s="1850"/>
      <c r="R52" s="1850"/>
      <c r="S52" s="1850"/>
      <c r="T52" s="1829" t="s">
        <v>1053</v>
      </c>
    </row>
    <row r="53" spans="2:21">
      <c r="B53" s="1837" t="str">
        <f>$B$2</f>
        <v>North East Water</v>
      </c>
      <c r="C53" s="1837" t="str">
        <f>INDEX($C$29:$C$33,MATCH($B53,$B$29:$B$32,0))</f>
        <v>NEW</v>
      </c>
      <c r="D53" s="1837" t="s">
        <v>713</v>
      </c>
      <c r="E53" s="1837"/>
      <c r="F53" s="1837" t="str">
        <f>C53&amp;D53&amp;E53</f>
        <v>NEWTotal metered volume of water delivered to customers (ML) - [BED 10]</v>
      </c>
      <c r="G53" s="1837" t="s">
        <v>1020</v>
      </c>
      <c r="I53" s="1851">
        <v>15545.754000000001</v>
      </c>
      <c r="J53" s="1851">
        <v>16571.900000000001</v>
      </c>
      <c r="K53" s="1851">
        <v>15922.665000000001</v>
      </c>
      <c r="L53" s="1851">
        <v>15237.11</v>
      </c>
      <c r="M53" s="1851">
        <v>14097.78</v>
      </c>
      <c r="N53" s="1851">
        <v>14451.479000000001</v>
      </c>
      <c r="O53" s="1849"/>
      <c r="P53" s="1849"/>
      <c r="Q53" s="1850"/>
      <c r="R53" s="1850"/>
      <c r="S53" s="1850"/>
      <c r="T53" s="1829" t="s">
        <v>1053</v>
      </c>
      <c r="U53" s="1839"/>
    </row>
    <row r="54" spans="2:21">
      <c r="B54" s="1837" t="str">
        <f t="shared" si="6"/>
        <v>North East Water</v>
      </c>
      <c r="C54" s="1837" t="s">
        <v>456</v>
      </c>
      <c r="D54" s="1837" t="s">
        <v>299</v>
      </c>
      <c r="E54" s="1837"/>
      <c r="F54" s="1837" t="str">
        <f>C54&amp;D54&amp;E54</f>
        <v>NEWTotal FTEs</v>
      </c>
      <c r="G54" s="1837" t="s">
        <v>1019</v>
      </c>
      <c r="I54" s="1851">
        <v>185.89999999999998</v>
      </c>
      <c r="J54" s="1851">
        <v>185.89999999999998</v>
      </c>
      <c r="K54" s="1851">
        <v>185.89999999999998</v>
      </c>
      <c r="L54" s="1851">
        <v>185.89999999999998</v>
      </c>
      <c r="M54" s="1851">
        <v>185.89999999999998</v>
      </c>
      <c r="N54" s="1851">
        <v>185.89999999999998</v>
      </c>
      <c r="O54" s="1851">
        <v>185.89999999999998</v>
      </c>
      <c r="P54" s="1851">
        <v>185.89999999999998</v>
      </c>
      <c r="Q54" s="1851">
        <v>185.89999999999998</v>
      </c>
      <c r="R54" s="1851">
        <v>185.89999999999998</v>
      </c>
      <c r="S54" s="1851">
        <v>185.89999999999998</v>
      </c>
      <c r="T54" s="1829" t="s">
        <v>1053</v>
      </c>
    </row>
  </sheetData>
  <sheetProtection algorithmName="SHA-512" hashValue="H/tacOREb8266xg7d2i4mMoqzzjjuFpP0NrlCPppBoVkfft07WOTN93n3zbkAlaP1GX3+8AgL98Ky6WbxOmNcg==" saltValue="QYYWBLSFwDTuu0gBzsQKKg==" spinCount="100000" sheet="1" objects="1" scenarios="1"/>
  <pageMargins left="0.7" right="0.7" top="0.75" bottom="0.75" header="0.3" footer="0.3"/>
  <pageSetup paperSize="9" orientation="portrait" r:id="rId1"/>
  <headerFooter>
    <oddHeader>&amp;C&amp;"Calibri"&amp;12&amp;KFF0000 OFFICIAL&amp;1#_x000D_&amp;"Arial"&amp;8&amp;K000000&amp;B&amp;"Arial"&amp;12&amp;Kff0000​‌OFFICIAL‌​</oddHeader>
  </headerFooter>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9" tint="0.59999389629810485"/>
    <pageSetUpPr autoPageBreaks="0"/>
  </sheetPr>
  <dimension ref="A1:I81"/>
  <sheetViews>
    <sheetView showGridLines="0" topLeftCell="A3" workbookViewId="0">
      <selection activeCell="S10" sqref="S10"/>
    </sheetView>
  </sheetViews>
  <sheetFormatPr defaultColWidth="3.83203125" defaultRowHeight="11.25"/>
  <cols>
    <col min="1" max="2" width="3.83203125" customWidth="1"/>
    <col min="3" max="3" width="30.83203125" customWidth="1"/>
    <col min="4" max="5" width="3.83203125" customWidth="1"/>
    <col min="6" max="6" width="30.83203125" customWidth="1"/>
    <col min="7" max="8" width="3.83203125" customWidth="1"/>
    <col min="9" max="9" width="30.83203125" customWidth="1"/>
    <col min="10" max="10" width="3.83203125" customWidth="1"/>
    <col min="11" max="11" width="30.83203125" customWidth="1"/>
    <col min="12" max="12" width="3.83203125" customWidth="1"/>
    <col min="13" max="13" width="30.83203125" customWidth="1"/>
    <col min="14" max="14" width="3.83203125" customWidth="1"/>
    <col min="15" max="15" width="30.83203125" customWidth="1"/>
    <col min="16" max="16" width="3.83203125" customWidth="1"/>
    <col min="17" max="17" width="30.83203125" customWidth="1"/>
    <col min="18" max="18" width="3.83203125" customWidth="1"/>
    <col min="19" max="19" width="30.83203125" customWidth="1"/>
    <col min="20" max="20" width="3.83203125" customWidth="1"/>
    <col min="21" max="21" width="30.83203125" customWidth="1"/>
    <col min="22" max="22" width="3.83203125" customWidth="1"/>
    <col min="23" max="23" width="30.83203125" customWidth="1"/>
    <col min="24" max="24" width="3.83203125" customWidth="1"/>
    <col min="25" max="25" width="30.83203125" customWidth="1"/>
    <col min="26" max="26" width="3.83203125" customWidth="1"/>
    <col min="27" max="27" width="30.83203125" customWidth="1"/>
    <col min="28" max="28" width="3.83203125" customWidth="1"/>
    <col min="29" max="29" width="30.83203125" customWidth="1"/>
    <col min="30" max="30" width="3.83203125" customWidth="1"/>
    <col min="31" max="31" width="30.83203125" customWidth="1"/>
    <col min="32" max="32" width="3.83203125" customWidth="1"/>
    <col min="33" max="33" width="30.83203125" customWidth="1"/>
    <col min="34" max="34" width="3.83203125" customWidth="1"/>
    <col min="35" max="35" width="30.83203125" customWidth="1"/>
    <col min="36" max="36" width="3.83203125" customWidth="1"/>
    <col min="37" max="37" width="30.83203125" customWidth="1"/>
    <col min="38" max="38" width="3.83203125" customWidth="1"/>
    <col min="39" max="39" width="30.83203125" customWidth="1"/>
    <col min="40" max="40" width="3.83203125" customWidth="1"/>
    <col min="41" max="41" width="30.83203125" customWidth="1"/>
    <col min="42" max="42" width="3.83203125" customWidth="1"/>
    <col min="43" max="43" width="30.83203125" customWidth="1"/>
    <col min="44" max="44" width="3.83203125" customWidth="1"/>
    <col min="45" max="45" width="30.83203125" customWidth="1"/>
    <col min="46" max="46" width="3.83203125" customWidth="1"/>
    <col min="47" max="47" width="30.83203125" customWidth="1"/>
    <col min="48" max="48" width="3.83203125" customWidth="1"/>
    <col min="49" max="49" width="30.83203125" customWidth="1"/>
    <col min="50" max="50" width="3.83203125" customWidth="1"/>
    <col min="51" max="51" width="30.83203125" customWidth="1"/>
    <col min="52" max="52" width="3.83203125" customWidth="1"/>
    <col min="53" max="53" width="30.83203125" customWidth="1"/>
    <col min="54" max="54" width="3.83203125" customWidth="1"/>
    <col min="55" max="55" width="30.83203125" customWidth="1"/>
    <col min="56" max="56" width="3.83203125" customWidth="1"/>
    <col min="57" max="57" width="30.83203125" customWidth="1"/>
    <col min="58" max="58" width="3.83203125" customWidth="1"/>
    <col min="59" max="59" width="30.83203125" customWidth="1"/>
    <col min="60" max="60" width="3.83203125" customWidth="1"/>
    <col min="61" max="61" width="30.83203125" customWidth="1"/>
    <col min="62" max="62" width="3.83203125" customWidth="1"/>
    <col min="63" max="63" width="30.83203125" customWidth="1"/>
    <col min="64" max="64" width="3.83203125" customWidth="1"/>
    <col min="65" max="65" width="30.83203125" customWidth="1"/>
    <col min="66" max="66" width="3.83203125" customWidth="1"/>
    <col min="67" max="67" width="30.83203125" customWidth="1"/>
    <col min="68" max="68" width="3.83203125" customWidth="1"/>
    <col min="69" max="69" width="30.83203125" customWidth="1"/>
    <col min="70" max="70" width="3.83203125" customWidth="1"/>
    <col min="71" max="71" width="30.83203125" customWidth="1"/>
    <col min="72" max="72" width="3.83203125" customWidth="1"/>
    <col min="73" max="73" width="30.83203125" customWidth="1"/>
    <col min="74" max="74" width="3.83203125" customWidth="1"/>
    <col min="75" max="75" width="30.83203125" customWidth="1"/>
    <col min="76" max="76" width="3.83203125" customWidth="1"/>
    <col min="77" max="77" width="30.83203125" customWidth="1"/>
    <col min="78" max="78" width="3.83203125" customWidth="1"/>
    <col min="79" max="79" width="30.83203125" customWidth="1"/>
    <col min="80" max="80" width="3.83203125" customWidth="1"/>
    <col min="81" max="81" width="30.83203125" customWidth="1"/>
    <col min="82" max="82" width="3.83203125" customWidth="1"/>
    <col min="83" max="83" width="30.83203125" customWidth="1"/>
    <col min="84" max="84" width="3.83203125" customWidth="1"/>
    <col min="85" max="85" width="30.83203125" customWidth="1"/>
    <col min="86" max="86" width="3.83203125" customWidth="1"/>
    <col min="87" max="87" width="30.83203125" customWidth="1"/>
    <col min="88" max="88" width="3.83203125" customWidth="1"/>
    <col min="89" max="89" width="30.83203125" customWidth="1"/>
    <col min="90" max="90" width="3.83203125" customWidth="1"/>
    <col min="91" max="91" width="30.83203125" customWidth="1"/>
    <col min="92" max="92" width="3.83203125" customWidth="1"/>
    <col min="93" max="93" width="30.83203125" customWidth="1"/>
    <col min="94" max="94" width="3.83203125" customWidth="1"/>
    <col min="95" max="95" width="30.83203125" customWidth="1"/>
    <col min="96" max="96" width="3.83203125" customWidth="1"/>
    <col min="97" max="97" width="30.83203125" customWidth="1"/>
    <col min="98" max="98" width="3.83203125" customWidth="1"/>
    <col min="99" max="99" width="30.83203125" customWidth="1"/>
    <col min="100" max="100" width="3.83203125" customWidth="1"/>
    <col min="101" max="101" width="30.83203125" customWidth="1"/>
    <col min="102" max="102" width="3.83203125" customWidth="1"/>
    <col min="103" max="103" width="30.83203125" customWidth="1"/>
    <col min="104" max="104" width="3.83203125" customWidth="1"/>
    <col min="105" max="105" width="30.83203125" customWidth="1"/>
    <col min="106" max="106" width="3.83203125" customWidth="1"/>
    <col min="107" max="107" width="30.83203125" customWidth="1"/>
    <col min="108" max="108" width="3.83203125" customWidth="1"/>
    <col min="109" max="109" width="30.83203125" customWidth="1"/>
    <col min="110" max="110" width="3.83203125" customWidth="1"/>
    <col min="111" max="111" width="30.83203125" customWidth="1"/>
    <col min="112" max="112" width="3.83203125" customWidth="1"/>
    <col min="113" max="113" width="30.83203125" customWidth="1"/>
    <col min="114" max="114" width="3.83203125" customWidth="1"/>
    <col min="115" max="115" width="30.83203125" customWidth="1"/>
    <col min="116" max="116" width="3.83203125" customWidth="1"/>
    <col min="117" max="117" width="30.83203125" customWidth="1"/>
    <col min="118" max="118" width="3.83203125" customWidth="1"/>
    <col min="119" max="119" width="30.83203125" customWidth="1"/>
    <col min="120" max="120" width="3.83203125" customWidth="1"/>
    <col min="121" max="121" width="30.83203125" customWidth="1"/>
    <col min="122" max="122" width="3.83203125" customWidth="1"/>
    <col min="123" max="123" width="30.83203125" customWidth="1"/>
    <col min="124" max="124" width="3.83203125" customWidth="1"/>
    <col min="125" max="125" width="30.83203125" customWidth="1"/>
    <col min="126" max="126" width="3.83203125" customWidth="1"/>
    <col min="127" max="127" width="30.83203125" customWidth="1"/>
    <col min="128" max="128" width="3.83203125" customWidth="1"/>
    <col min="129" max="129" width="30.83203125" customWidth="1"/>
    <col min="130" max="130" width="3.83203125" customWidth="1"/>
    <col min="131" max="131" width="30.83203125" customWidth="1"/>
    <col min="132" max="132" width="3.83203125" customWidth="1"/>
    <col min="133" max="133" width="30.83203125" customWidth="1"/>
    <col min="134" max="134" width="3.83203125" customWidth="1"/>
    <col min="135" max="135" width="30.83203125" customWidth="1"/>
    <col min="136" max="136" width="3.83203125" customWidth="1"/>
    <col min="137" max="137" width="30.83203125" customWidth="1"/>
    <col min="138" max="138" width="3.83203125" customWidth="1"/>
    <col min="139" max="139" width="30.83203125" customWidth="1"/>
    <col min="140" max="140" width="3.83203125" customWidth="1"/>
    <col min="141" max="141" width="30.83203125" customWidth="1"/>
    <col min="142" max="142" width="3.83203125" customWidth="1"/>
    <col min="143" max="143" width="30.83203125" customWidth="1"/>
    <col min="144" max="144" width="3.83203125" customWidth="1"/>
    <col min="145" max="145" width="30.83203125" customWidth="1"/>
    <col min="146" max="146" width="3.83203125" customWidth="1"/>
    <col min="147" max="147" width="30.83203125" customWidth="1"/>
    <col min="148" max="148" width="3.83203125" customWidth="1"/>
    <col min="149" max="149" width="30.83203125" customWidth="1"/>
    <col min="150" max="150" width="3.83203125" customWidth="1"/>
    <col min="151" max="151" width="30.83203125" customWidth="1"/>
    <col min="152" max="152" width="3.83203125" customWidth="1"/>
    <col min="153" max="153" width="30.83203125" customWidth="1"/>
    <col min="154" max="154" width="3.83203125" customWidth="1"/>
    <col min="155" max="155" width="30.83203125" customWidth="1"/>
    <col min="156" max="156" width="3.83203125" customWidth="1"/>
    <col min="157" max="157" width="30.83203125" customWidth="1"/>
    <col min="158" max="158" width="3.83203125" customWidth="1"/>
    <col min="159" max="159" width="30.83203125" customWidth="1"/>
    <col min="160" max="160" width="3.83203125" customWidth="1"/>
    <col min="161" max="161" width="30.83203125" customWidth="1"/>
    <col min="162" max="162" width="3.83203125" customWidth="1"/>
    <col min="163" max="163" width="30.83203125" customWidth="1"/>
    <col min="164" max="164" width="3.83203125" customWidth="1"/>
    <col min="165" max="165" width="30.83203125" customWidth="1"/>
    <col min="166" max="166" width="3.83203125" customWidth="1"/>
    <col min="167" max="167" width="30.83203125" customWidth="1"/>
    <col min="168" max="168" width="3.83203125" customWidth="1"/>
    <col min="169" max="169" width="30.83203125" customWidth="1"/>
    <col min="170" max="170" width="3.83203125" customWidth="1"/>
    <col min="171" max="171" width="30.83203125" customWidth="1"/>
    <col min="172" max="172" width="3.83203125" customWidth="1"/>
    <col min="173" max="173" width="30.83203125" customWidth="1"/>
    <col min="174" max="174" width="3.83203125" customWidth="1"/>
    <col min="175" max="175" width="30.83203125" customWidth="1"/>
    <col min="176" max="176" width="3.83203125" customWidth="1"/>
    <col min="177" max="177" width="30.83203125" customWidth="1"/>
    <col min="178" max="178" width="3.83203125" customWidth="1"/>
    <col min="179" max="179" width="30.83203125" customWidth="1"/>
    <col min="180" max="180" width="3.83203125" customWidth="1"/>
    <col min="181" max="181" width="30.83203125" customWidth="1"/>
    <col min="182" max="182" width="3.83203125" customWidth="1"/>
    <col min="183" max="183" width="30.83203125" customWidth="1"/>
    <col min="184" max="184" width="3.83203125" customWidth="1"/>
    <col min="185" max="185" width="30.83203125" customWidth="1"/>
    <col min="186" max="186" width="3.83203125" customWidth="1"/>
    <col min="187" max="187" width="30.83203125" customWidth="1"/>
    <col min="188" max="188" width="3.83203125" customWidth="1"/>
    <col min="189" max="189" width="30.83203125" customWidth="1"/>
    <col min="190" max="190" width="3.83203125" customWidth="1"/>
    <col min="191" max="191" width="30.83203125" customWidth="1"/>
    <col min="192" max="192" width="3.83203125" customWidth="1"/>
    <col min="193" max="193" width="30.83203125" customWidth="1"/>
    <col min="194" max="194" width="3.83203125" customWidth="1"/>
    <col min="195" max="195" width="30.83203125" customWidth="1"/>
    <col min="196" max="196" width="3.83203125" customWidth="1"/>
    <col min="197" max="197" width="30.83203125" customWidth="1"/>
    <col min="198" max="198" width="3.83203125" customWidth="1"/>
    <col min="199" max="199" width="30.83203125" customWidth="1"/>
    <col min="200" max="200" width="3.83203125" customWidth="1"/>
    <col min="201" max="201" width="30.83203125" customWidth="1"/>
    <col min="202" max="202" width="3.83203125" customWidth="1"/>
    <col min="203" max="203" width="30.83203125" customWidth="1"/>
    <col min="204" max="204" width="3.83203125" customWidth="1"/>
    <col min="205" max="205" width="30.83203125" customWidth="1"/>
    <col min="206" max="206" width="3.83203125" customWidth="1"/>
    <col min="207" max="207" width="30.83203125" customWidth="1"/>
    <col min="208" max="208" width="3.83203125" customWidth="1"/>
    <col min="209" max="209" width="30.83203125" customWidth="1"/>
    <col min="210" max="210" width="3.83203125" customWidth="1"/>
    <col min="211" max="211" width="30.83203125" customWidth="1"/>
    <col min="212" max="212" width="3.83203125" customWidth="1"/>
    <col min="213" max="213" width="30.83203125" customWidth="1"/>
    <col min="214" max="214" width="3.83203125" customWidth="1"/>
    <col min="215" max="215" width="30.83203125" customWidth="1"/>
    <col min="216" max="216" width="3.83203125" customWidth="1"/>
    <col min="217" max="217" width="30.83203125" customWidth="1"/>
    <col min="218" max="218" width="3.83203125" customWidth="1"/>
    <col min="219" max="219" width="30.83203125" customWidth="1"/>
    <col min="220" max="220" width="3.83203125" customWidth="1"/>
    <col min="221" max="221" width="30.83203125" customWidth="1"/>
    <col min="222" max="222" width="3.83203125" customWidth="1"/>
    <col min="223" max="223" width="30.83203125" customWidth="1"/>
    <col min="224" max="224" width="3.83203125" customWidth="1"/>
    <col min="225" max="225" width="30.83203125" customWidth="1"/>
    <col min="226" max="226" width="3.83203125" customWidth="1"/>
    <col min="227" max="227" width="30.83203125" customWidth="1"/>
    <col min="228" max="228" width="3.83203125" customWidth="1"/>
    <col min="229" max="229" width="30.83203125" customWidth="1"/>
    <col min="230" max="230" width="3.83203125" customWidth="1"/>
    <col min="231" max="231" width="30.83203125" customWidth="1"/>
    <col min="232" max="232" width="3.83203125" customWidth="1"/>
    <col min="233" max="233" width="30.83203125" customWidth="1"/>
    <col min="234" max="234" width="3.83203125" customWidth="1"/>
    <col min="235" max="235" width="30.83203125" customWidth="1"/>
    <col min="236" max="236" width="3.83203125" customWidth="1"/>
    <col min="237" max="237" width="30.83203125" customWidth="1"/>
    <col min="238" max="238" width="3.83203125" customWidth="1"/>
    <col min="239" max="239" width="30.83203125" customWidth="1"/>
    <col min="240" max="240" width="3.83203125" customWidth="1"/>
    <col min="241" max="241" width="30.83203125" customWidth="1"/>
    <col min="242" max="242" width="3.83203125" customWidth="1"/>
    <col min="243" max="243" width="30.83203125" customWidth="1"/>
    <col min="244" max="244" width="3.83203125" customWidth="1"/>
    <col min="245" max="245" width="30.83203125" customWidth="1"/>
    <col min="246" max="246" width="3.83203125" customWidth="1"/>
    <col min="247" max="247" width="30.83203125" customWidth="1"/>
    <col min="248" max="248" width="3.83203125" customWidth="1"/>
    <col min="249" max="249" width="30.83203125" customWidth="1"/>
    <col min="250" max="250" width="3.83203125" customWidth="1"/>
    <col min="251" max="251" width="30.83203125" customWidth="1"/>
    <col min="252" max="252" width="3.83203125" customWidth="1"/>
    <col min="253" max="253" width="30.83203125" customWidth="1"/>
  </cols>
  <sheetData>
    <row r="1" spans="1:9" ht="18">
      <c r="A1" s="1022" t="s">
        <v>277</v>
      </c>
      <c r="B1" s="1023" t="s">
        <v>325</v>
      </c>
    </row>
    <row r="2" spans="1:9" ht="15.75">
      <c r="B2" s="1024" t="str">
        <f>Model_Name</f>
        <v>North East Water</v>
      </c>
    </row>
    <row r="3" spans="1:9">
      <c r="B3" s="2312" t="s">
        <v>0</v>
      </c>
      <c r="C3" s="2312"/>
    </row>
    <row r="4" spans="1:9" ht="12.75">
      <c r="A4" s="1025"/>
      <c r="B4" s="1026"/>
      <c r="C4" s="1027"/>
    </row>
    <row r="7" spans="1:9" ht="12.75">
      <c r="B7" s="1028" t="s">
        <v>280</v>
      </c>
      <c r="E7" s="1028" t="s">
        <v>281</v>
      </c>
      <c r="I7" s="1028" t="s">
        <v>530</v>
      </c>
    </row>
    <row r="9" spans="1:9">
      <c r="C9" s="1029" t="s">
        <v>278</v>
      </c>
      <c r="F9" s="1029" t="s">
        <v>27</v>
      </c>
      <c r="I9" s="1029" t="s">
        <v>564</v>
      </c>
    </row>
    <row r="10" spans="1:9">
      <c r="C10" s="1030" t="s">
        <v>279</v>
      </c>
      <c r="F10" s="1030" t="s">
        <v>20</v>
      </c>
      <c r="I10" s="1030" t="s">
        <v>13</v>
      </c>
    </row>
    <row r="11" spans="1:9">
      <c r="C11" s="1031"/>
      <c r="F11" s="1030" t="s">
        <v>21</v>
      </c>
      <c r="I11" s="1030" t="s">
        <v>14</v>
      </c>
    </row>
    <row r="12" spans="1:9">
      <c r="C12" s="1031"/>
      <c r="F12" s="1030" t="s">
        <v>275</v>
      </c>
      <c r="I12" s="1030" t="s">
        <v>6</v>
      </c>
    </row>
    <row r="13" spans="1:9">
      <c r="C13" s="1031"/>
      <c r="F13" s="1030" t="s">
        <v>349</v>
      </c>
      <c r="I13" s="1030" t="s">
        <v>10</v>
      </c>
    </row>
    <row r="14" spans="1:9">
      <c r="C14" s="1031"/>
      <c r="F14" s="1030" t="s">
        <v>351</v>
      </c>
      <c r="I14" s="1031"/>
    </row>
    <row r="15" spans="1:9">
      <c r="C15" s="1031"/>
      <c r="F15" s="1032"/>
      <c r="I15" s="1031"/>
    </row>
    <row r="16" spans="1:9">
      <c r="C16" s="1031"/>
      <c r="F16" s="1032"/>
      <c r="I16" s="1031"/>
    </row>
    <row r="17" spans="2:9">
      <c r="C17" s="1031"/>
      <c r="F17" s="1031"/>
      <c r="I17" s="1031"/>
    </row>
    <row r="18" spans="2:9">
      <c r="C18" s="1031"/>
      <c r="F18" s="1031"/>
      <c r="I18" s="1031"/>
    </row>
    <row r="19" spans="2:9">
      <c r="C19" s="1031"/>
      <c r="F19" s="1031"/>
      <c r="I19" s="1031"/>
    </row>
    <row r="20" spans="2:9">
      <c r="F20" s="1031"/>
      <c r="I20" s="1031"/>
    </row>
    <row r="22" spans="2:9" ht="12.75">
      <c r="B22" s="1028" t="s">
        <v>282</v>
      </c>
      <c r="E22" s="1028" t="s">
        <v>292</v>
      </c>
      <c r="I22" s="1028" t="s">
        <v>531</v>
      </c>
    </row>
    <row r="24" spans="2:9">
      <c r="C24" s="1029" t="s">
        <v>576</v>
      </c>
      <c r="F24" s="1029" t="s">
        <v>294</v>
      </c>
      <c r="I24" s="1029" t="s">
        <v>533</v>
      </c>
    </row>
    <row r="25" spans="2:9">
      <c r="C25" s="1030" t="s">
        <v>238</v>
      </c>
      <c r="F25" s="1030" t="s">
        <v>295</v>
      </c>
      <c r="I25" s="1030" t="s">
        <v>518</v>
      </c>
    </row>
    <row r="26" spans="2:9">
      <c r="C26" s="1030" t="s">
        <v>12</v>
      </c>
      <c r="F26" s="1030" t="s">
        <v>355</v>
      </c>
      <c r="I26" s="1030" t="s">
        <v>519</v>
      </c>
    </row>
    <row r="27" spans="2:9">
      <c r="C27" s="1030" t="s">
        <v>516</v>
      </c>
      <c r="F27" s="1030" t="s">
        <v>356</v>
      </c>
      <c r="I27" s="1030" t="s">
        <v>520</v>
      </c>
    </row>
    <row r="28" spans="2:9">
      <c r="C28" s="1031"/>
      <c r="F28" s="1030" t="s">
        <v>357</v>
      </c>
      <c r="I28" s="1030" t="s">
        <v>521</v>
      </c>
    </row>
    <row r="29" spans="2:9">
      <c r="C29" s="1031"/>
      <c r="F29" s="1030" t="s">
        <v>358</v>
      </c>
      <c r="I29" s="1031"/>
    </row>
    <row r="30" spans="2:9">
      <c r="C30" s="1031"/>
      <c r="F30" s="1030" t="s">
        <v>359</v>
      </c>
      <c r="I30" s="1031"/>
    </row>
    <row r="31" spans="2:9">
      <c r="C31" s="1031"/>
      <c r="F31" s="1030" t="s">
        <v>524</v>
      </c>
      <c r="I31" s="1031"/>
    </row>
    <row r="32" spans="2:9">
      <c r="C32" s="1031"/>
      <c r="F32" s="1030" t="s">
        <v>525</v>
      </c>
      <c r="I32" s="1031"/>
    </row>
    <row r="33" spans="2:9">
      <c r="C33" s="1031"/>
      <c r="F33" s="1030" t="s">
        <v>526</v>
      </c>
      <c r="I33" s="1031"/>
    </row>
    <row r="34" spans="2:9">
      <c r="C34" s="1031"/>
      <c r="F34" s="1030" t="s">
        <v>527</v>
      </c>
      <c r="I34" s="1031"/>
    </row>
    <row r="35" spans="2:9">
      <c r="C35" s="1031"/>
      <c r="F35" s="1030" t="s">
        <v>528</v>
      </c>
      <c r="I35" s="1031"/>
    </row>
    <row r="36" spans="2:9">
      <c r="C36" s="1031"/>
      <c r="F36" s="1030" t="s">
        <v>963</v>
      </c>
      <c r="I36" s="1031"/>
    </row>
    <row r="37" spans="2:9">
      <c r="C37" s="1031"/>
      <c r="F37" s="1030" t="s">
        <v>964</v>
      </c>
      <c r="I37" s="1031"/>
    </row>
    <row r="38" spans="2:9">
      <c r="C38" s="1031"/>
      <c r="F38" s="1030" t="s">
        <v>965</v>
      </c>
      <c r="I38" s="1031"/>
    </row>
    <row r="39" spans="2:9">
      <c r="C39" s="1031"/>
      <c r="F39" s="1030" t="s">
        <v>966</v>
      </c>
      <c r="I39" s="1031"/>
    </row>
    <row r="40" spans="2:9">
      <c r="C40" s="1031"/>
      <c r="F40" s="1030" t="s">
        <v>967</v>
      </c>
      <c r="I40" s="1031"/>
    </row>
    <row r="41" spans="2:9">
      <c r="C41" s="1031"/>
      <c r="F41" s="1030" t="s">
        <v>968</v>
      </c>
      <c r="I41" s="1031"/>
    </row>
    <row r="42" spans="2:9">
      <c r="C42" s="1031"/>
      <c r="F42" s="1030" t="s">
        <v>969</v>
      </c>
      <c r="I42" s="1031"/>
    </row>
    <row r="43" spans="2:9">
      <c r="C43" s="1031"/>
      <c r="F43" s="1030" t="s">
        <v>970</v>
      </c>
      <c r="I43" s="1031"/>
    </row>
    <row r="46" spans="2:9" ht="12.75">
      <c r="B46" s="1028" t="s">
        <v>315</v>
      </c>
      <c r="E46" s="1028" t="s">
        <v>317</v>
      </c>
    </row>
    <row r="48" spans="2:9">
      <c r="C48" s="1029" t="s">
        <v>27</v>
      </c>
      <c r="F48" s="1029" t="s">
        <v>318</v>
      </c>
    </row>
    <row r="49" spans="2:6">
      <c r="C49" s="1030" t="s">
        <v>20</v>
      </c>
      <c r="F49" s="1030" t="s">
        <v>319</v>
      </c>
    </row>
    <row r="50" spans="2:6">
      <c r="C50" s="1030" t="s">
        <v>21</v>
      </c>
      <c r="F50" s="1030" t="s">
        <v>320</v>
      </c>
    </row>
    <row r="51" spans="2:6">
      <c r="C51" s="1030" t="s">
        <v>275</v>
      </c>
      <c r="F51" s="1031"/>
    </row>
    <row r="52" spans="2:6">
      <c r="C52" s="1030" t="s">
        <v>316</v>
      </c>
      <c r="F52" s="1031"/>
    </row>
    <row r="53" spans="2:6">
      <c r="C53" s="1030" t="s">
        <v>350</v>
      </c>
      <c r="F53" s="1031"/>
    </row>
    <row r="54" spans="2:6">
      <c r="C54" s="1030" t="s">
        <v>351</v>
      </c>
      <c r="F54" s="1031"/>
    </row>
    <row r="55" spans="2:6">
      <c r="C55" s="1031"/>
      <c r="F55" s="1031"/>
    </row>
    <row r="56" spans="2:6">
      <c r="C56" s="1031"/>
      <c r="F56" s="1031"/>
    </row>
    <row r="57" spans="2:6">
      <c r="C57" s="1031"/>
      <c r="F57" s="1031"/>
    </row>
    <row r="58" spans="2:6">
      <c r="C58" s="1031"/>
      <c r="F58" s="1031"/>
    </row>
    <row r="61" spans="2:6" ht="12.75">
      <c r="B61" s="1028" t="s">
        <v>321</v>
      </c>
    </row>
    <row r="62" spans="2:6" ht="12.75">
      <c r="E62" s="1033" t="s">
        <v>273</v>
      </c>
    </row>
    <row r="63" spans="2:6" ht="12.75">
      <c r="C63" s="1034" t="s">
        <v>322</v>
      </c>
      <c r="F63" s="1033"/>
    </row>
    <row r="64" spans="2:6">
      <c r="C64" s="1031" t="s">
        <v>47</v>
      </c>
      <c r="F64" s="1035" t="s">
        <v>354</v>
      </c>
    </row>
    <row r="65" spans="3:6">
      <c r="C65" s="1031" t="s">
        <v>323</v>
      </c>
      <c r="F65" s="1035" t="s">
        <v>237</v>
      </c>
    </row>
    <row r="66" spans="3:6">
      <c r="C66" s="1031" t="s">
        <v>221</v>
      </c>
      <c r="F66" s="1035" t="s">
        <v>353</v>
      </c>
    </row>
    <row r="67" spans="3:6">
      <c r="C67" s="1031" t="s">
        <v>386</v>
      </c>
    </row>
    <row r="68" spans="3:6">
      <c r="C68" s="1031"/>
    </row>
    <row r="69" spans="3:6" ht="12.75">
      <c r="C69" s="1031"/>
      <c r="E69" s="1036" t="s">
        <v>317</v>
      </c>
    </row>
    <row r="70" spans="3:6" ht="12.75">
      <c r="C70" s="1031"/>
      <c r="F70" s="1033"/>
    </row>
    <row r="71" spans="3:6">
      <c r="C71" s="1031"/>
      <c r="F71" s="1029" t="s">
        <v>318</v>
      </c>
    </row>
    <row r="72" spans="3:6">
      <c r="C72" s="1031"/>
      <c r="F72" s="1030" t="s">
        <v>560</v>
      </c>
    </row>
    <row r="73" spans="3:6">
      <c r="C73" s="1031"/>
      <c r="F73" s="1030" t="s">
        <v>561</v>
      </c>
    </row>
    <row r="74" spans="3:6">
      <c r="F74" s="1030" t="s">
        <v>562</v>
      </c>
    </row>
    <row r="75" spans="3:6">
      <c r="F75" s="1030" t="s">
        <v>563</v>
      </c>
    </row>
    <row r="76" spans="3:6">
      <c r="F76" s="1037"/>
    </row>
    <row r="77" spans="3:6">
      <c r="F77" s="1037"/>
    </row>
    <row r="78" spans="3:6">
      <c r="F78" s="1037"/>
    </row>
    <row r="79" spans="3:6">
      <c r="F79" s="1037"/>
    </row>
    <row r="80" spans="3:6">
      <c r="F80" s="1037"/>
    </row>
    <row r="81" spans="6:6">
      <c r="F81" s="1037"/>
    </row>
  </sheetData>
  <sheetProtection algorithmName="SHA-512" hashValue="j5dHbNNbtVUvwwOJnVFgmBakTzm4eSudb9zfotMmpRqSUk28wezIR0/6mDoGMsRmA6ZqJDQjvNBBy4zt/W9emg==" saltValue="YXtdPWK+1C3qL0xfWj0OGA==" spinCount="100000" sheet="1" objects="1" scenarios="1"/>
  <mergeCells count="1">
    <mergeCell ref="B3:C3"/>
  </mergeCells>
  <phoneticPr fontId="22" type="noConversion"/>
  <hyperlinks>
    <hyperlink ref="B3" location="HL_Home" tooltip="Go to Table of Contents" display="HL_Home" xr:uid="{00000000-0004-0000-1900-000000000000}"/>
  </hyperlinks>
  <pageMargins left="0.39370078740157499" right="0.39370078740157499" top="0.59055118110236249" bottom="0.98425196850393748" header="0" footer="0.31496062992125973"/>
  <pageSetup paperSize="9" orientation="landscape" r:id="rId1"/>
  <headerFooter alignWithMargins="0">
    <oddHeader>&amp;C&amp;"Calibri"&amp;12&amp;KFF0000 OFFICIAL&amp;1#_x000D_&amp;"Arial"&amp;8&amp;K000000&amp;B&amp;"Arial"&amp;12&amp;Kff0000​‌OFFICIAL‌​</oddHeader>
    <oddFooter>&amp;C&amp;"Arial,Bold"&amp;10Page &amp;P of &amp;N&amp;L&amp;"Arial,Bold"&amp;7&amp;F
&amp;A
Printed: &amp;T on &amp;D</oddFooter>
  </headerFooter>
  <rowBreaks count="1" manualBreakCount="1">
    <brk id="44" min="1"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1E4CC-211F-411A-A27F-18D624C8F25F}">
  <sheetPr codeName="Sheet16">
    <tabColor theme="0" tint="-4.9989318521683403E-2"/>
    <pageSetUpPr autoPageBreaks="0"/>
  </sheetPr>
  <dimension ref="A1:T75"/>
  <sheetViews>
    <sheetView showGridLines="0" topLeftCell="E1" zoomScaleNormal="100" workbookViewId="0">
      <selection activeCell="O9" sqref="O9"/>
    </sheetView>
  </sheetViews>
  <sheetFormatPr defaultColWidth="9.33203125" defaultRowHeight="12"/>
  <cols>
    <col min="1" max="1" width="5.33203125" style="2140" customWidth="1"/>
    <col min="2" max="2" width="9.33203125" style="2140"/>
    <col min="3" max="3" width="11.5" style="2140" bestFit="1" customWidth="1"/>
    <col min="4" max="4" width="18.83203125" style="2140" bestFit="1" customWidth="1"/>
    <col min="5" max="5" width="11.5" style="2140" bestFit="1" customWidth="1"/>
    <col min="6" max="6" width="17.5" style="2140" bestFit="1" customWidth="1"/>
    <col min="7" max="7" width="92.83203125" style="2140" customWidth="1"/>
    <col min="8" max="8" width="9.33203125" style="2140"/>
    <col min="9" max="9" width="10.83203125" style="2140" customWidth="1"/>
    <col min="10" max="10" width="10.83203125" style="2140" bestFit="1" customWidth="1"/>
    <col min="11" max="11" width="10.5" style="2140" bestFit="1" customWidth="1"/>
    <col min="12" max="12" width="18.83203125" style="2140" bestFit="1" customWidth="1"/>
    <col min="13" max="13" width="28" style="2140" customWidth="1"/>
    <col min="14" max="14" width="8.5" style="2140" bestFit="1" customWidth="1"/>
    <col min="15" max="16" width="15.33203125" style="2140" bestFit="1" customWidth="1"/>
    <col min="17" max="17" width="18.83203125" style="2140" bestFit="1" customWidth="1"/>
    <col min="18" max="18" width="17.5" style="2140" bestFit="1" customWidth="1"/>
    <col min="19" max="19" width="14.5" style="2140" bestFit="1" customWidth="1"/>
    <col min="20" max="16384" width="9.33203125" style="2140"/>
  </cols>
  <sheetData>
    <row r="1" spans="2:20">
      <c r="C1" s="2141"/>
      <c r="D1" s="2141"/>
      <c r="E1" s="2141"/>
      <c r="F1" s="2141"/>
      <c r="G1" s="2141"/>
      <c r="H1" s="2141"/>
    </row>
    <row r="2" spans="2:20" ht="15">
      <c r="B2" s="2142" t="str">
        <f>Model_Name</f>
        <v>North East Water</v>
      </c>
      <c r="C2" s="2141"/>
      <c r="D2" s="2141"/>
      <c r="E2" s="2141"/>
      <c r="F2" s="2141"/>
      <c r="G2" s="2141"/>
      <c r="H2" s="2141"/>
    </row>
    <row r="3" spans="2:20" ht="15">
      <c r="B3" s="2142"/>
      <c r="C3" s="2141"/>
      <c r="D3" s="2141"/>
      <c r="E3" s="2141"/>
      <c r="F3" s="2141"/>
      <c r="G3" s="2141"/>
      <c r="H3" s="2141"/>
    </row>
    <row r="4" spans="2:20" ht="15">
      <c r="B4" s="2143" t="s">
        <v>950</v>
      </c>
      <c r="C4" s="2141"/>
      <c r="D4" s="2141" t="s">
        <v>1227</v>
      </c>
      <c r="E4" s="2141"/>
      <c r="F4" s="2141"/>
      <c r="G4" s="2141"/>
      <c r="H4" s="2141"/>
    </row>
    <row r="5" spans="2:20">
      <c r="C5" s="2141"/>
      <c r="D5" s="2141"/>
      <c r="E5" s="2141"/>
      <c r="F5" s="2141"/>
      <c r="G5" s="2141"/>
      <c r="H5" s="2141"/>
    </row>
    <row r="6" spans="2:20" ht="25.5">
      <c r="B6" s="2144" t="s">
        <v>942</v>
      </c>
      <c r="C6" s="2144" t="s">
        <v>951</v>
      </c>
      <c r="D6" s="2144" t="s">
        <v>952</v>
      </c>
      <c r="E6" s="2144" t="s">
        <v>953</v>
      </c>
      <c r="F6" s="2144" t="s">
        <v>954</v>
      </c>
      <c r="G6" s="2144" t="s">
        <v>955</v>
      </c>
      <c r="H6" s="2141"/>
      <c r="I6" s="2207" t="s">
        <v>951</v>
      </c>
      <c r="J6" s="2207" t="s">
        <v>1415</v>
      </c>
      <c r="K6" s="2207" t="s">
        <v>1416</v>
      </c>
      <c r="L6" s="2207" t="s">
        <v>1417</v>
      </c>
      <c r="M6" s="2207" t="s">
        <v>1418</v>
      </c>
      <c r="N6" s="2207" t="s">
        <v>1419</v>
      </c>
      <c r="O6" s="2207" t="s">
        <v>1445</v>
      </c>
      <c r="P6" s="2207" t="s">
        <v>1446</v>
      </c>
      <c r="Q6" s="2207" t="s">
        <v>1420</v>
      </c>
      <c r="R6" s="2207" t="s">
        <v>1421</v>
      </c>
      <c r="S6" s="2207" t="s">
        <v>1422</v>
      </c>
      <c r="T6" s="2207"/>
    </row>
    <row r="7" spans="2:20" s="2141" customFormat="1" ht="19.5" customHeight="1">
      <c r="B7" s="2145">
        <v>1</v>
      </c>
      <c r="C7" s="2146"/>
      <c r="D7" s="2147"/>
      <c r="E7" s="2147"/>
      <c r="F7" s="2148"/>
      <c r="G7" s="2148"/>
      <c r="I7" s="2205">
        <v>45924</v>
      </c>
      <c r="J7" s="2141" t="s">
        <v>524</v>
      </c>
      <c r="K7" s="2141" t="s">
        <v>1423</v>
      </c>
      <c r="L7" s="2141" t="s">
        <v>1425</v>
      </c>
      <c r="M7" s="2141" t="s">
        <v>1426</v>
      </c>
      <c r="N7" s="2141" t="s">
        <v>1427</v>
      </c>
      <c r="O7" s="2206">
        <v>-2.266</v>
      </c>
      <c r="P7" s="2206">
        <v>62.744</v>
      </c>
      <c r="Q7" s="2206">
        <f>Opex_Breakdown!$U$42</f>
        <v>62.042757918552034</v>
      </c>
      <c r="R7" s="2141" t="s">
        <v>1062</v>
      </c>
      <c r="S7" s="2141" t="s">
        <v>1429</v>
      </c>
      <c r="T7" s="2141" t="s">
        <v>20</v>
      </c>
    </row>
    <row r="8" spans="2:20" s="2141" customFormat="1" ht="19.5" customHeight="1">
      <c r="B8" s="2145">
        <v>2</v>
      </c>
      <c r="C8" s="2146"/>
      <c r="D8" s="2147"/>
      <c r="E8" s="2147"/>
      <c r="F8" s="2148"/>
      <c r="G8" s="2148"/>
      <c r="I8" s="2205">
        <v>45924</v>
      </c>
      <c r="J8" s="2141" t="s">
        <v>524</v>
      </c>
      <c r="K8" s="2141" t="s">
        <v>1423</v>
      </c>
      <c r="L8" s="2141" t="s">
        <v>1425</v>
      </c>
      <c r="M8" s="2141" t="s">
        <v>1426</v>
      </c>
      <c r="N8" s="2141" t="s">
        <v>1427</v>
      </c>
      <c r="O8" s="2206">
        <v>-2.266</v>
      </c>
      <c r="P8" s="2206">
        <v>62.744</v>
      </c>
      <c r="Q8" s="2206">
        <f>Opex_Breakdown!$U$42</f>
        <v>62.042757918552034</v>
      </c>
      <c r="R8" s="2141" t="s">
        <v>1062</v>
      </c>
      <c r="S8" s="2141" t="s">
        <v>1430</v>
      </c>
      <c r="T8" s="2141" t="s">
        <v>1438</v>
      </c>
    </row>
    <row r="9" spans="2:20" s="2141" customFormat="1" ht="19.5" customHeight="1">
      <c r="B9" s="2145">
        <v>3</v>
      </c>
      <c r="C9" s="2146"/>
      <c r="D9" s="2147"/>
      <c r="E9" s="2147"/>
      <c r="F9" s="2148"/>
      <c r="G9" s="2148"/>
      <c r="I9" s="2205">
        <v>45924</v>
      </c>
      <c r="J9" s="2141" t="s">
        <v>524</v>
      </c>
      <c r="K9" s="2141" t="s">
        <v>1424</v>
      </c>
      <c r="L9" s="2141" t="s">
        <v>1425</v>
      </c>
      <c r="M9" s="2141" t="s">
        <v>1426</v>
      </c>
      <c r="N9" s="2141" t="s">
        <v>1428</v>
      </c>
      <c r="O9" s="2206">
        <f>-O7</f>
        <v>2.266</v>
      </c>
      <c r="P9" s="2206">
        <v>38.640999999999998</v>
      </c>
      <c r="Q9" s="2206">
        <f>Capex_FO_AC!$U$17</f>
        <v>45.534034847285071</v>
      </c>
      <c r="R9" s="2141" t="s">
        <v>1068</v>
      </c>
      <c r="S9" s="2141" t="s">
        <v>1431</v>
      </c>
      <c r="T9" s="2141" t="s">
        <v>20</v>
      </c>
    </row>
    <row r="10" spans="2:20" s="2141" customFormat="1" ht="19.5" customHeight="1">
      <c r="B10" s="2145">
        <v>4</v>
      </c>
      <c r="C10" s="2146"/>
      <c r="D10" s="2147"/>
      <c r="E10" s="2147"/>
      <c r="F10" s="2148"/>
      <c r="G10" s="2148"/>
      <c r="I10" s="2205">
        <v>45924</v>
      </c>
      <c r="J10" s="2141" t="s">
        <v>524</v>
      </c>
      <c r="K10" s="2141" t="s">
        <v>1424</v>
      </c>
      <c r="L10" s="2141" t="s">
        <v>1425</v>
      </c>
      <c r="M10" s="2141" t="s">
        <v>1426</v>
      </c>
      <c r="N10" s="2141" t="s">
        <v>1428</v>
      </c>
      <c r="O10" s="2206">
        <f>-O8</f>
        <v>2.266</v>
      </c>
      <c r="P10" s="2206">
        <v>38.640999999999998</v>
      </c>
      <c r="Q10" s="2206">
        <f>Capex_FO_AC!$U$17</f>
        <v>45.534034847285071</v>
      </c>
      <c r="R10" s="2141" t="s">
        <v>1068</v>
      </c>
      <c r="S10" s="2141" t="s">
        <v>1432</v>
      </c>
      <c r="T10" s="2141" t="s">
        <v>1438</v>
      </c>
    </row>
    <row r="11" spans="2:20" s="2141" customFormat="1" ht="19.5" customHeight="1">
      <c r="B11" s="2145">
        <v>5</v>
      </c>
      <c r="C11" s="2146"/>
      <c r="D11" s="2147"/>
      <c r="E11" s="2147"/>
      <c r="F11" s="2148"/>
      <c r="G11" s="2148"/>
      <c r="O11" s="2206"/>
      <c r="P11" s="2206"/>
      <c r="Q11" s="2206"/>
    </row>
    <row r="12" spans="2:20" s="2141" customFormat="1" ht="19.5" customHeight="1">
      <c r="B12" s="2145">
        <v>6</v>
      </c>
      <c r="C12" s="2146"/>
      <c r="D12" s="2147"/>
      <c r="E12" s="2147"/>
      <c r="F12" s="2148"/>
      <c r="G12" s="2148"/>
      <c r="I12" s="2205">
        <v>45924</v>
      </c>
      <c r="J12" s="2141" t="s">
        <v>359</v>
      </c>
      <c r="K12" s="2141" t="s">
        <v>1423</v>
      </c>
      <c r="L12" s="2141" t="s">
        <v>1425</v>
      </c>
      <c r="M12" s="2141" t="s">
        <v>1426</v>
      </c>
      <c r="N12" s="2141" t="s">
        <v>1427</v>
      </c>
      <c r="O12" s="2206">
        <v>-1.762</v>
      </c>
      <c r="P12" s="2206">
        <v>58.563000000000002</v>
      </c>
      <c r="Q12" s="2206">
        <f>Opex_Breakdown!$T$42</f>
        <v>62.972050847457623</v>
      </c>
      <c r="R12" s="2141" t="s">
        <v>1062</v>
      </c>
      <c r="S12" s="2141" t="s">
        <v>1433</v>
      </c>
      <c r="T12" s="2141" t="s">
        <v>20</v>
      </c>
    </row>
    <row r="13" spans="2:20" s="2141" customFormat="1" ht="19.5" customHeight="1">
      <c r="B13" s="2145">
        <v>7</v>
      </c>
      <c r="C13" s="2146"/>
      <c r="D13" s="2147"/>
      <c r="E13" s="2147"/>
      <c r="F13" s="2148"/>
      <c r="G13" s="2148"/>
      <c r="I13" s="2205">
        <v>45924</v>
      </c>
      <c r="J13" s="2141" t="s">
        <v>359</v>
      </c>
      <c r="K13" s="2141" t="s">
        <v>1423</v>
      </c>
      <c r="L13" s="2141" t="s">
        <v>1425</v>
      </c>
      <c r="M13" s="2141" t="s">
        <v>1426</v>
      </c>
      <c r="N13" s="2141" t="s">
        <v>1427</v>
      </c>
      <c r="O13" s="2206">
        <v>-1.762</v>
      </c>
      <c r="P13" s="2206">
        <v>58.563000000000002</v>
      </c>
      <c r="Q13" s="2206">
        <f>Opex_Breakdown!$T$42</f>
        <v>62.972050847457623</v>
      </c>
      <c r="R13" s="2141" t="s">
        <v>1062</v>
      </c>
      <c r="S13" s="2141" t="s">
        <v>1434</v>
      </c>
      <c r="T13" s="2141" t="s">
        <v>1438</v>
      </c>
    </row>
    <row r="14" spans="2:20" s="2141" customFormat="1" ht="19.5" customHeight="1">
      <c r="B14" s="2145">
        <v>8</v>
      </c>
      <c r="C14" s="2146"/>
      <c r="D14" s="2147"/>
      <c r="E14" s="2147"/>
      <c r="F14" s="2148"/>
      <c r="G14" s="2148"/>
      <c r="I14" s="2205">
        <v>45924</v>
      </c>
      <c r="J14" s="2141" t="s">
        <v>359</v>
      </c>
      <c r="K14" s="2141" t="s">
        <v>1424</v>
      </c>
      <c r="L14" s="2141" t="s">
        <v>1425</v>
      </c>
      <c r="M14" s="2141" t="s">
        <v>1426</v>
      </c>
      <c r="N14" s="2141" t="s">
        <v>1428</v>
      </c>
      <c r="O14" s="2206">
        <f>-O12</f>
        <v>1.762</v>
      </c>
      <c r="P14" s="2206">
        <v>30.838999999999999</v>
      </c>
      <c r="Q14" s="2206">
        <f>Capex_FO_AC!$T$17</f>
        <v>38.549908669491515</v>
      </c>
      <c r="R14" s="2141" t="s">
        <v>1068</v>
      </c>
      <c r="S14" s="2141" t="s">
        <v>1435</v>
      </c>
      <c r="T14" s="2141" t="s">
        <v>20</v>
      </c>
    </row>
    <row r="15" spans="2:20" s="2141" customFormat="1" ht="19.5" customHeight="1">
      <c r="B15" s="2145">
        <v>9</v>
      </c>
      <c r="C15" s="2146"/>
      <c r="D15" s="2147"/>
      <c r="E15" s="2147"/>
      <c r="F15" s="2148"/>
      <c r="G15" s="2148"/>
      <c r="I15" s="2205">
        <v>45924</v>
      </c>
      <c r="J15" s="2141" t="s">
        <v>359</v>
      </c>
      <c r="K15" s="2141" t="s">
        <v>1424</v>
      </c>
      <c r="L15" s="2141" t="s">
        <v>1425</v>
      </c>
      <c r="M15" s="2141" t="s">
        <v>1426</v>
      </c>
      <c r="N15" s="2141" t="s">
        <v>1428</v>
      </c>
      <c r="O15" s="2206">
        <f>-O13</f>
        <v>1.762</v>
      </c>
      <c r="P15" s="2206">
        <v>30.838999999999999</v>
      </c>
      <c r="Q15" s="2206">
        <f>Capex_FO_AC!$T$17</f>
        <v>38.549908669491515</v>
      </c>
      <c r="R15" s="2141" t="s">
        <v>1068</v>
      </c>
      <c r="S15" s="2141" t="s">
        <v>1436</v>
      </c>
      <c r="T15" s="2141" t="s">
        <v>1438</v>
      </c>
    </row>
    <row r="16" spans="2:20" s="2141" customFormat="1" ht="19.5" customHeight="1">
      <c r="B16" s="2145">
        <v>10</v>
      </c>
      <c r="C16" s="2146"/>
      <c r="D16" s="2147"/>
      <c r="E16" s="2147"/>
      <c r="F16" s="2148"/>
      <c r="G16" s="2148"/>
      <c r="O16" s="2206"/>
      <c r="P16" s="2206"/>
      <c r="Q16" s="2206"/>
    </row>
    <row r="17" spans="2:20" s="2141" customFormat="1" ht="19.5" customHeight="1">
      <c r="B17" s="2145">
        <v>11</v>
      </c>
      <c r="C17" s="2146"/>
      <c r="D17" s="2147"/>
      <c r="E17" s="2147"/>
      <c r="F17" s="2148"/>
      <c r="G17" s="2148"/>
      <c r="I17" s="2205">
        <v>45924</v>
      </c>
      <c r="J17" s="2141" t="s">
        <v>358</v>
      </c>
      <c r="K17" s="2141" t="s">
        <v>1423</v>
      </c>
      <c r="L17" s="2141" t="s">
        <v>1437</v>
      </c>
      <c r="M17" s="2141" t="s">
        <v>1426</v>
      </c>
      <c r="N17" s="2141" t="s">
        <v>1427</v>
      </c>
      <c r="O17" s="2206">
        <v>-6.6109999999999998</v>
      </c>
      <c r="P17" s="2206">
        <v>59.158999999999999</v>
      </c>
      <c r="Q17" s="2206">
        <f>Opex_Breakdown!$S$42</f>
        <v>57.318244274809153</v>
      </c>
      <c r="R17" s="2141" t="s">
        <v>1062</v>
      </c>
      <c r="S17" s="2141" t="s">
        <v>1439</v>
      </c>
      <c r="T17" s="2141" t="s">
        <v>20</v>
      </c>
    </row>
    <row r="18" spans="2:20" s="2141" customFormat="1" ht="19.5" customHeight="1">
      <c r="B18" s="2145">
        <v>12</v>
      </c>
      <c r="C18" s="2146"/>
      <c r="D18" s="2147"/>
      <c r="E18" s="2147"/>
      <c r="F18" s="2148"/>
      <c r="G18" s="2148"/>
      <c r="I18" s="2205">
        <v>45924</v>
      </c>
      <c r="J18" s="2141" t="s">
        <v>358</v>
      </c>
      <c r="K18" s="2141" t="s">
        <v>1423</v>
      </c>
      <c r="L18" s="2141" t="s">
        <v>1437</v>
      </c>
      <c r="M18" s="2141" t="s">
        <v>1426</v>
      </c>
      <c r="N18" s="2141" t="s">
        <v>1427</v>
      </c>
      <c r="O18" s="2206">
        <v>-0.83699999999999997</v>
      </c>
      <c r="P18" s="2206">
        <v>59.158999999999999</v>
      </c>
      <c r="Q18" s="2206">
        <f>Opex_Breakdown!$S$42</f>
        <v>57.318244274809153</v>
      </c>
      <c r="R18" s="2141" t="s">
        <v>1062</v>
      </c>
      <c r="S18" s="2141" t="s">
        <v>1440</v>
      </c>
      <c r="T18" s="2141" t="s">
        <v>20</v>
      </c>
    </row>
    <row r="19" spans="2:20" s="2141" customFormat="1" ht="19.5" customHeight="1">
      <c r="B19" s="2145">
        <v>13</v>
      </c>
      <c r="C19" s="2146"/>
      <c r="D19" s="2147"/>
      <c r="E19" s="2147"/>
      <c r="F19" s="2148"/>
      <c r="G19" s="2148"/>
      <c r="I19" s="2205">
        <v>45924</v>
      </c>
      <c r="J19" s="2141" t="s">
        <v>358</v>
      </c>
      <c r="K19" s="2141" t="s">
        <v>1423</v>
      </c>
      <c r="L19" s="2141" t="s">
        <v>1437</v>
      </c>
      <c r="M19" s="2141" t="s">
        <v>1426</v>
      </c>
      <c r="N19" s="2141" t="s">
        <v>1427</v>
      </c>
      <c r="O19" s="2206">
        <v>-5.2519999999999998</v>
      </c>
      <c r="P19" s="2206">
        <v>59.158999999999999</v>
      </c>
      <c r="Q19" s="2206">
        <f>Opex_Breakdown!$S$42</f>
        <v>57.318244274809153</v>
      </c>
      <c r="R19" s="2141" t="s">
        <v>1062</v>
      </c>
      <c r="S19" s="2141" t="s">
        <v>1441</v>
      </c>
      <c r="T19" s="2141" t="s">
        <v>1438</v>
      </c>
    </row>
    <row r="20" spans="2:20" s="2141" customFormat="1" ht="19.5" customHeight="1">
      <c r="B20" s="2145">
        <v>14</v>
      </c>
      <c r="C20" s="2146"/>
      <c r="D20" s="2147"/>
      <c r="E20" s="2147"/>
      <c r="F20" s="2148"/>
      <c r="G20" s="2148"/>
      <c r="I20" s="2205">
        <v>45924</v>
      </c>
      <c r="J20" s="2141" t="s">
        <v>358</v>
      </c>
      <c r="K20" s="2141" t="s">
        <v>1423</v>
      </c>
      <c r="L20" s="2141" t="s">
        <v>1437</v>
      </c>
      <c r="M20" s="2141" t="s">
        <v>1426</v>
      </c>
      <c r="N20" s="2141" t="s">
        <v>1427</v>
      </c>
      <c r="O20" s="2206">
        <v>-0.58099999999999996</v>
      </c>
      <c r="P20" s="2206">
        <v>59.158999999999999</v>
      </c>
      <c r="Q20" s="2206">
        <f>Opex_Breakdown!$S$42</f>
        <v>57.318244274809153</v>
      </c>
      <c r="R20" s="2141" t="s">
        <v>1062</v>
      </c>
      <c r="S20" s="2141" t="s">
        <v>1442</v>
      </c>
      <c r="T20" s="2141" t="s">
        <v>1438</v>
      </c>
    </row>
    <row r="21" spans="2:20" s="2141" customFormat="1" ht="19.5" customHeight="1">
      <c r="B21" s="2145">
        <v>15</v>
      </c>
      <c r="C21" s="2146"/>
      <c r="D21" s="2147"/>
      <c r="E21" s="2147"/>
      <c r="F21" s="2148"/>
      <c r="G21" s="2148"/>
      <c r="I21" s="2205">
        <v>45924</v>
      </c>
      <c r="J21" s="2141" t="s">
        <v>358</v>
      </c>
      <c r="K21" s="2141" t="s">
        <v>1423</v>
      </c>
      <c r="L21" s="2141" t="s">
        <v>1437</v>
      </c>
      <c r="M21" s="2141" t="s">
        <v>1426</v>
      </c>
      <c r="N21" s="2141" t="s">
        <v>1428</v>
      </c>
      <c r="O21" s="2206">
        <f>-SUM(O17:O20)/2</f>
        <v>6.6404999999999994</v>
      </c>
      <c r="P21" s="2206">
        <v>34.554000000000002</v>
      </c>
      <c r="Q21" s="2206">
        <f>Capex_FO_AC!$S$17</f>
        <v>50.947665715012718</v>
      </c>
      <c r="R21" s="2141" t="s">
        <v>1068</v>
      </c>
      <c r="S21" s="2141" t="s">
        <v>1443</v>
      </c>
      <c r="T21" s="2141" t="s">
        <v>20</v>
      </c>
    </row>
    <row r="22" spans="2:20" s="2141" customFormat="1" ht="19.5" customHeight="1">
      <c r="B22" s="2145">
        <v>16</v>
      </c>
      <c r="C22" s="2146"/>
      <c r="D22" s="2147"/>
      <c r="E22" s="2147"/>
      <c r="F22" s="2148"/>
      <c r="G22" s="2148"/>
      <c r="I22" s="2205">
        <v>45924</v>
      </c>
      <c r="J22" s="2141" t="s">
        <v>358</v>
      </c>
      <c r="K22" s="2141" t="s">
        <v>1423</v>
      </c>
      <c r="L22" s="2141" t="s">
        <v>1437</v>
      </c>
      <c r="M22" s="2141" t="s">
        <v>1426</v>
      </c>
      <c r="N22" s="2141" t="s">
        <v>1428</v>
      </c>
      <c r="O22" s="2206">
        <f>O21</f>
        <v>6.6404999999999994</v>
      </c>
      <c r="P22" s="2206">
        <v>34.554000000000002</v>
      </c>
      <c r="Q22" s="2206">
        <f>Capex_FO_AC!$S$17</f>
        <v>50.947665715012718</v>
      </c>
      <c r="R22" s="2141" t="s">
        <v>1068</v>
      </c>
      <c r="S22" s="2141" t="s">
        <v>1444</v>
      </c>
      <c r="T22" s="2141" t="s">
        <v>1438</v>
      </c>
    </row>
    <row r="23" spans="2:20" s="2141" customFormat="1" ht="19.5" customHeight="1">
      <c r="B23" s="2145">
        <v>17</v>
      </c>
      <c r="C23" s="2146"/>
      <c r="D23" s="2147"/>
      <c r="E23" s="2147"/>
      <c r="F23" s="2148"/>
      <c r="G23" s="2148"/>
      <c r="I23" s="2205"/>
    </row>
    <row r="24" spans="2:20" s="2141" customFormat="1" ht="19.5" customHeight="1">
      <c r="B24" s="2145">
        <v>18</v>
      </c>
      <c r="C24" s="2146"/>
      <c r="D24" s="2147"/>
      <c r="E24" s="2147"/>
      <c r="F24" s="2148"/>
      <c r="G24" s="2148"/>
      <c r="I24" s="2205"/>
    </row>
    <row r="25" spans="2:20" s="2141" customFormat="1" ht="19.5" customHeight="1">
      <c r="B25" s="2145">
        <v>19</v>
      </c>
      <c r="C25" s="2149"/>
      <c r="D25" s="2150"/>
      <c r="E25" s="2150"/>
      <c r="F25" s="2151"/>
      <c r="G25" s="2151"/>
    </row>
    <row r="26" spans="2:20" s="2152" customFormat="1" ht="19.5" customHeight="1">
      <c r="C26" s="2141"/>
      <c r="D26" s="2153"/>
      <c r="E26" s="2153"/>
      <c r="F26" s="2153"/>
      <c r="G26" s="2153"/>
      <c r="H26" s="2153"/>
    </row>
    <row r="27" spans="2:20" s="2152" customFormat="1" ht="19.5" customHeight="1">
      <c r="C27" s="2141"/>
      <c r="D27" s="2153"/>
      <c r="E27" s="2153"/>
      <c r="F27" s="2153"/>
      <c r="G27" s="2153"/>
      <c r="H27" s="2153"/>
    </row>
    <row r="28" spans="2:20" s="2152" customFormat="1" ht="19.5" customHeight="1">
      <c r="C28" s="2141"/>
      <c r="D28" s="2153"/>
      <c r="E28" s="2153"/>
      <c r="F28" s="2153"/>
      <c r="G28" s="2153"/>
      <c r="H28" s="2153"/>
    </row>
    <row r="29" spans="2:20" s="2152" customFormat="1" ht="19.5" customHeight="1">
      <c r="C29" s="2141"/>
      <c r="D29" s="2141"/>
      <c r="E29" s="2141"/>
      <c r="F29" s="2141"/>
      <c r="G29" s="2141"/>
      <c r="H29" s="2154"/>
      <c r="I29" s="2154"/>
      <c r="J29" s="2154"/>
      <c r="K29" s="2154"/>
      <c r="L29" s="2154"/>
    </row>
    <row r="30" spans="2:20" s="2152" customFormat="1" ht="19.5" customHeight="1">
      <c r="C30" s="2141"/>
      <c r="D30" s="2141"/>
      <c r="E30" s="2141"/>
      <c r="F30" s="2141"/>
      <c r="G30" s="2141"/>
      <c r="H30" s="2141"/>
    </row>
    <row r="31" spans="2:20" s="2141" customFormat="1" ht="19.5" hidden="1" customHeight="1" thickBot="1"/>
    <row r="32" spans="2:20" s="2155" customFormat="1" ht="19.5" hidden="1" customHeight="1" thickBot="1">
      <c r="B32" s="2141"/>
      <c r="C32" s="2141"/>
      <c r="D32" s="2141"/>
      <c r="E32" s="2141"/>
      <c r="F32" s="2141"/>
      <c r="G32" s="2141"/>
      <c r="H32" s="2141"/>
    </row>
    <row r="33" spans="1:9" s="2155" customFormat="1" ht="19.5" hidden="1" customHeight="1" thickBot="1">
      <c r="C33" s="2141"/>
      <c r="D33" s="2141"/>
      <c r="E33" s="2141"/>
      <c r="F33" s="2141"/>
      <c r="G33" s="2141"/>
      <c r="H33" s="2141"/>
    </row>
    <row r="34" spans="1:9" s="2155" customFormat="1" ht="19.5" hidden="1" customHeight="1" thickBot="1">
      <c r="C34" s="2141"/>
      <c r="D34" s="2141"/>
      <c r="E34" s="2141"/>
      <c r="F34" s="2141"/>
      <c r="G34" s="2141"/>
      <c r="H34" s="2141"/>
    </row>
    <row r="35" spans="1:9" s="2155" customFormat="1" ht="19.5" hidden="1" customHeight="1" thickBot="1">
      <c r="C35" s="2141"/>
      <c r="D35" s="2141"/>
      <c r="E35" s="2141"/>
      <c r="F35" s="2141"/>
      <c r="G35" s="2141"/>
      <c r="H35" s="2141"/>
    </row>
    <row r="36" spans="1:9" s="2155" customFormat="1" ht="19.5" hidden="1" customHeight="1" thickBot="1">
      <c r="C36" s="2141"/>
      <c r="D36" s="2141"/>
      <c r="E36" s="2141"/>
      <c r="F36" s="2141"/>
      <c r="G36" s="2141"/>
      <c r="H36" s="2141"/>
    </row>
    <row r="37" spans="1:9" s="2155" customFormat="1" ht="19.5" customHeight="1">
      <c r="C37" s="2141"/>
      <c r="D37" s="2141"/>
      <c r="E37" s="2141"/>
      <c r="F37" s="2141"/>
      <c r="G37" s="2141"/>
      <c r="H37" s="2141"/>
    </row>
    <row r="38" spans="1:9" s="2141" customFormat="1" ht="19.5" customHeight="1"/>
    <row r="39" spans="1:9" s="2141" customFormat="1" ht="15.75" customHeight="1"/>
    <row r="40" spans="1:9" s="2141" customFormat="1" ht="19.5" customHeight="1" collapsed="1">
      <c r="D40" s="2154"/>
      <c r="E40" s="2154"/>
      <c r="F40" s="2154"/>
      <c r="G40" s="2154"/>
      <c r="H40" s="2154"/>
      <c r="I40" s="2154"/>
    </row>
    <row r="41" spans="1:9" s="2141" customFormat="1" ht="19.5" customHeight="1"/>
    <row r="42" spans="1:9" s="2152" customFormat="1" ht="19.5" customHeight="1">
      <c r="A42" s="2141"/>
    </row>
    <row r="43" spans="1:9" s="2152" customFormat="1" ht="19.5" customHeight="1">
      <c r="A43" s="2141"/>
    </row>
    <row r="44" spans="1:9" s="2152" customFormat="1" ht="19.5" customHeight="1">
      <c r="A44" s="2141"/>
    </row>
    <row r="45" spans="1:9" s="2152" customFormat="1" ht="19.5" customHeight="1">
      <c r="A45" s="2141"/>
    </row>
    <row r="46" spans="1:9" s="2141" customFormat="1" ht="19.5" hidden="1" customHeight="1" thickBot="1"/>
    <row r="47" spans="1:9" s="2155" customFormat="1" ht="19.5" hidden="1" customHeight="1" thickBot="1">
      <c r="C47" s="2141"/>
      <c r="D47" s="2141"/>
      <c r="E47" s="2141"/>
      <c r="F47" s="2141"/>
      <c r="G47" s="2141"/>
      <c r="H47" s="2141"/>
    </row>
    <row r="48" spans="1:9" s="2155" customFormat="1" ht="19.5" hidden="1" customHeight="1" thickBot="1">
      <c r="C48" s="2141"/>
      <c r="D48" s="2141"/>
      <c r="E48" s="2141"/>
      <c r="F48" s="2141"/>
      <c r="G48" s="2141"/>
      <c r="H48" s="2141"/>
    </row>
    <row r="49" s="2155" customFormat="1" ht="19.5" customHeight="1"/>
    <row r="50" s="2141" customFormat="1" ht="24" customHeight="1"/>
    <row r="51" s="2141" customFormat="1" ht="9" customHeight="1"/>
    <row r="52" s="2141" customFormat="1" ht="19.5" customHeight="1"/>
    <row r="53" s="2155" customFormat="1" ht="19.5" customHeight="1"/>
    <row r="54" s="2141" customFormat="1" ht="19.5" customHeight="1"/>
    <row r="56" s="2156" customFormat="1"/>
    <row r="62" s="2140" customFormat="1" ht="19.5" customHeight="1"/>
    <row r="63" s="2141" customFormat="1" ht="18.600000000000001" customHeight="1" collapsed="1"/>
    <row r="64" s="2141" customFormat="1" ht="18.600000000000001" customHeight="1"/>
    <row r="65" spans="1:1" s="2152" customFormat="1" ht="18.600000000000001" customHeight="1"/>
    <row r="66" spans="1:1" s="2152" customFormat="1" ht="18.600000000000001" customHeight="1"/>
    <row r="67" spans="1:1" s="2141" customFormat="1" ht="18.600000000000001" customHeight="1"/>
    <row r="68" spans="1:1" s="2152" customFormat="1" ht="19.5" customHeight="1">
      <c r="A68" s="2141"/>
    </row>
    <row r="69" spans="1:1" s="2141" customFormat="1" ht="19.5" hidden="1" customHeight="1" thickBot="1"/>
    <row r="70" spans="1:1" s="2152" customFormat="1" ht="19.5" hidden="1" customHeight="1" thickBot="1">
      <c r="A70" s="2141"/>
    </row>
    <row r="71" spans="1:1" s="2152" customFormat="1" ht="19.5" hidden="1" customHeight="1" thickBot="1">
      <c r="A71" s="2141"/>
    </row>
    <row r="72" spans="1:1" s="2155" customFormat="1" ht="19.5" customHeight="1">
      <c r="A72" s="2141"/>
    </row>
    <row r="73" spans="1:1" s="2141" customFormat="1" ht="19.5" customHeight="1"/>
    <row r="74" spans="1:1">
      <c r="A74" s="2141"/>
    </row>
    <row r="75" spans="1:1" s="2156" customFormat="1"/>
  </sheetData>
  <sheetProtection algorithmName="SHA-512" hashValue="prt4wX+uyeefImkatYlhOyRxwe927AtJWhRsCGpWGxJEiC9iTQvvELcJY/MX8CZzOHXG1nhboqSA8uNF+YYtUA==" saltValue="2wctWJuDDwadoiLkORLp4A==" spinCount="100000" sheet="1" objects="1" scenarios="1"/>
  <pageMargins left="0.7" right="0.7" top="0.75" bottom="0.75" header="0.3" footer="0.3"/>
  <pageSetup paperSize="9" orientation="portrait" r:id="rId1"/>
  <headerFooter>
    <oddHeader>&amp;C&amp;"Calibri"&amp;12&amp;KFF0000 OFFICIAL&amp;1#_x000D_&amp;"Arial"&amp;8&amp;K000000&amp;B&amp;"Arial"&amp;12&amp;Kff0000​‌OFFICIAL‌​</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1667C-1D95-46A7-BFE5-544071FF36AC}">
  <sheetPr codeName="Sheet14">
    <pageSetUpPr autoPageBreaks="0"/>
  </sheetPr>
  <dimension ref="A1:AE71"/>
  <sheetViews>
    <sheetView showGridLines="0" workbookViewId="0">
      <selection activeCell="I11" sqref="I11"/>
    </sheetView>
  </sheetViews>
  <sheetFormatPr defaultColWidth="10.83203125" defaultRowHeight="12"/>
  <cols>
    <col min="1" max="5" width="3.83203125" style="1636" customWidth="1"/>
    <col min="6" max="6" width="5.1640625" style="1636" customWidth="1"/>
    <col min="7" max="7" width="10.83203125" style="1636" customWidth="1"/>
    <col min="8" max="9" width="10.83203125" style="405" customWidth="1"/>
    <col min="10" max="11" width="10.83203125" style="1636" customWidth="1"/>
    <col min="12" max="12" width="10.83203125" style="1636" customWidth="1" collapsed="1"/>
    <col min="13" max="30" width="10.83203125" style="1636" customWidth="1"/>
    <col min="31" max="31" width="4.5" style="1636" customWidth="1"/>
    <col min="32" max="40" width="10.83203125" style="1636"/>
    <col min="41" max="41" width="3.83203125" style="1636" customWidth="1"/>
    <col min="42" max="16384" width="10.83203125" style="1636"/>
  </cols>
  <sheetData>
    <row r="1" spans="1:31" ht="15">
      <c r="A1" s="1930">
        <v>80</v>
      </c>
      <c r="B1" s="153" t="s">
        <v>1054</v>
      </c>
    </row>
    <row r="2" spans="1:31" ht="12.75">
      <c r="B2" s="155" t="str">
        <f>Model_Name</f>
        <v>North East Water</v>
      </c>
    </row>
    <row r="3" spans="1:31">
      <c r="B3" s="2212" t="s">
        <v>0</v>
      </c>
      <c r="C3" s="2212"/>
      <c r="D3" s="2212"/>
      <c r="E3" s="2212"/>
      <c r="F3" s="2212"/>
      <c r="G3" s="595"/>
    </row>
    <row r="4" spans="1:31">
      <c r="A4" s="160"/>
      <c r="B4" s="72"/>
      <c r="C4" s="73"/>
      <c r="F4" s="1931"/>
      <c r="L4" s="1954"/>
      <c r="M4" s="1619"/>
      <c r="N4" s="150"/>
      <c r="O4" s="150"/>
      <c r="P4" s="150"/>
      <c r="Q4" s="1619" t="s">
        <v>334</v>
      </c>
      <c r="R4" s="150"/>
      <c r="S4" s="150"/>
      <c r="T4" s="150"/>
      <c r="U4" s="1619"/>
      <c r="V4" s="150"/>
      <c r="W4" s="150" t="s">
        <v>465</v>
      </c>
      <c r="X4" s="150"/>
      <c r="Y4" s="62"/>
      <c r="Z4" s="64"/>
      <c r="AA4" s="64"/>
      <c r="AB4" s="150" t="s">
        <v>949</v>
      </c>
      <c r="AC4" s="63"/>
      <c r="AD4" s="62"/>
    </row>
    <row r="6" spans="1:31">
      <c r="B6" s="161"/>
      <c r="F6" s="1932" t="s">
        <v>62</v>
      </c>
      <c r="J6" s="66"/>
      <c r="K6" s="66"/>
      <c r="L6" s="66">
        <v>2018</v>
      </c>
      <c r="M6" s="66">
        <f>L6+1</f>
        <v>2019</v>
      </c>
      <c r="N6" s="66">
        <f t="shared" ref="N6:AD6" si="0">M6+1</f>
        <v>2020</v>
      </c>
      <c r="O6" s="66">
        <f t="shared" si="0"/>
        <v>2021</v>
      </c>
      <c r="P6" s="66">
        <f t="shared" si="0"/>
        <v>2022</v>
      </c>
      <c r="Q6" s="66">
        <f t="shared" si="0"/>
        <v>2023</v>
      </c>
      <c r="R6" s="66">
        <f t="shared" si="0"/>
        <v>2024</v>
      </c>
      <c r="S6" s="66">
        <f t="shared" si="0"/>
        <v>2025</v>
      </c>
      <c r="T6" s="66">
        <f t="shared" si="0"/>
        <v>2026</v>
      </c>
      <c r="U6" s="66">
        <f t="shared" si="0"/>
        <v>2027</v>
      </c>
      <c r="V6" s="66">
        <f t="shared" si="0"/>
        <v>2028</v>
      </c>
      <c r="W6" s="66">
        <f t="shared" si="0"/>
        <v>2029</v>
      </c>
      <c r="X6" s="66">
        <f t="shared" si="0"/>
        <v>2030</v>
      </c>
      <c r="Y6" s="66">
        <f t="shared" si="0"/>
        <v>2031</v>
      </c>
      <c r="Z6" s="66">
        <f t="shared" si="0"/>
        <v>2032</v>
      </c>
      <c r="AA6" s="66">
        <f t="shared" si="0"/>
        <v>2033</v>
      </c>
      <c r="AB6" s="66">
        <f t="shared" si="0"/>
        <v>2034</v>
      </c>
      <c r="AC6" s="66">
        <f t="shared" si="0"/>
        <v>2035</v>
      </c>
      <c r="AD6" s="66">
        <f t="shared" si="0"/>
        <v>2036</v>
      </c>
    </row>
    <row r="7" spans="1:31">
      <c r="A7" s="1933"/>
      <c r="B7" s="1934"/>
      <c r="C7" s="1933"/>
      <c r="D7" s="1933"/>
      <c r="E7" s="1933"/>
      <c r="F7" s="1935" t="s">
        <v>63</v>
      </c>
      <c r="G7" s="1933"/>
      <c r="H7" s="596"/>
      <c r="I7" s="596"/>
      <c r="J7" s="68"/>
      <c r="K7" s="68"/>
      <c r="L7" s="68" t="str">
        <f>+CONCATENATE(L6-1,"-",RIGHT(L6,2))</f>
        <v>2017-18</v>
      </c>
      <c r="M7" s="68" t="str">
        <f t="shared" ref="M7:Y7" si="1">+CONCATENATE(M6-1,"-",RIGHT(M6,2))</f>
        <v>2018-19</v>
      </c>
      <c r="N7" s="68" t="str">
        <f t="shared" si="1"/>
        <v>2019-20</v>
      </c>
      <c r="O7" s="68" t="str">
        <f t="shared" si="1"/>
        <v>2020-21</v>
      </c>
      <c r="P7" s="68" t="str">
        <f t="shared" si="1"/>
        <v>2021-22</v>
      </c>
      <c r="Q7" s="68" t="str">
        <f t="shared" si="1"/>
        <v>2022-23</v>
      </c>
      <c r="R7" s="68" t="str">
        <f t="shared" si="1"/>
        <v>2023-24</v>
      </c>
      <c r="S7" s="68" t="str">
        <f t="shared" si="1"/>
        <v>2024-25</v>
      </c>
      <c r="T7" s="68" t="str">
        <f t="shared" si="1"/>
        <v>2025-26</v>
      </c>
      <c r="U7" s="2128" t="str">
        <f t="shared" si="1"/>
        <v>2026-27</v>
      </c>
      <c r="V7" s="68" t="str">
        <f t="shared" si="1"/>
        <v>2027-28</v>
      </c>
      <c r="W7" s="68" t="str">
        <f t="shared" si="1"/>
        <v>2028-29</v>
      </c>
      <c r="X7" s="68" t="str">
        <f t="shared" si="1"/>
        <v>2029-30</v>
      </c>
      <c r="Y7" s="68" t="str">
        <f t="shared" si="1"/>
        <v>2030-31</v>
      </c>
      <c r="Z7" s="68" t="str">
        <f>+CONCATENATE(Z6-1,"-",RIGHT(Z6,2))</f>
        <v>2031-32</v>
      </c>
      <c r="AA7" s="68" t="str">
        <f>+CONCATENATE(AA6-1,"-",RIGHT(AA6,2))</f>
        <v>2032-33</v>
      </c>
      <c r="AB7" s="68" t="str">
        <f>+CONCATENATE(AB6-1,"-",RIGHT(AB6,2))</f>
        <v>2033-34</v>
      </c>
      <c r="AC7" s="68" t="str">
        <f>+CONCATENATE(AC6-1,"-",RIGHT(AC6,2))</f>
        <v>2034-35</v>
      </c>
      <c r="AD7" s="68" t="str">
        <f>+CONCATENATE(AD6-1,"-",RIGHT(AD6,2))</f>
        <v>2035-36</v>
      </c>
    </row>
    <row r="8" spans="1:31" ht="12.75" thickBot="1">
      <c r="H8" s="597"/>
      <c r="I8" s="597"/>
    </row>
    <row r="9" spans="1:31" ht="15" customHeight="1" thickBot="1">
      <c r="D9" s="1936" t="s">
        <v>1055</v>
      </c>
      <c r="E9" s="1937"/>
      <c r="F9" s="1938"/>
      <c r="G9" s="1938"/>
      <c r="H9" s="1939"/>
      <c r="I9" s="2027">
        <f ca="1">SUM(L14:AD50)</f>
        <v>1</v>
      </c>
      <c r="J9" s="1636" t="s">
        <v>1056</v>
      </c>
    </row>
    <row r="10" spans="1:31" ht="15" customHeight="1" thickBot="1">
      <c r="D10" s="2023"/>
      <c r="E10" s="2023"/>
      <c r="F10" s="2023"/>
      <c r="G10" s="2023"/>
      <c r="H10" s="2023"/>
      <c r="I10" s="2023"/>
    </row>
    <row r="11" spans="1:31" ht="15" customHeight="1" thickBot="1">
      <c r="D11" s="2024" t="s">
        <v>1196</v>
      </c>
      <c r="E11" s="2025"/>
      <c r="F11" s="2026"/>
      <c r="G11" s="2026"/>
      <c r="H11" s="1939"/>
      <c r="I11" s="2027">
        <f ca="1">SUM(L55:AD61)</f>
        <v>4</v>
      </c>
    </row>
    <row r="12" spans="1:31" ht="12.75" thickBot="1">
      <c r="H12" s="282"/>
      <c r="I12" s="282"/>
    </row>
    <row r="13" spans="1:31">
      <c r="D13" s="1940"/>
      <c r="E13" s="1941"/>
      <c r="F13" s="1941"/>
      <c r="G13" s="1941"/>
      <c r="H13" s="598"/>
      <c r="I13" s="598"/>
      <c r="J13" s="1941"/>
      <c r="K13" s="1941"/>
      <c r="L13" s="1941"/>
      <c r="M13" s="1941"/>
      <c r="N13" s="1941"/>
      <c r="O13" s="1941"/>
      <c r="P13" s="1941"/>
      <c r="Q13" s="1941"/>
      <c r="R13" s="1941"/>
      <c r="S13" s="1941"/>
      <c r="T13" s="1941"/>
      <c r="U13" s="1941"/>
      <c r="V13" s="1941"/>
      <c r="W13" s="1941"/>
      <c r="X13" s="1941"/>
      <c r="Y13" s="1941"/>
      <c r="Z13" s="1941"/>
      <c r="AA13" s="1941"/>
      <c r="AB13" s="1941"/>
      <c r="AC13" s="1941"/>
      <c r="AD13" s="1941"/>
      <c r="AE13" s="1942"/>
    </row>
    <row r="14" spans="1:31">
      <c r="D14" s="1943"/>
      <c r="E14" s="1944" t="s">
        <v>1057</v>
      </c>
      <c r="F14" s="599" t="s">
        <v>1058</v>
      </c>
      <c r="H14" s="282"/>
      <c r="I14" s="282"/>
      <c r="J14" s="378"/>
      <c r="K14" s="378"/>
      <c r="L14" s="378"/>
      <c r="M14" s="378"/>
      <c r="N14" s="378"/>
      <c r="O14" s="378"/>
      <c r="P14" s="378"/>
      <c r="Q14" s="378"/>
      <c r="R14" s="378"/>
      <c r="S14" s="378"/>
      <c r="T14" s="378"/>
      <c r="U14" s="378"/>
      <c r="V14" s="378"/>
      <c r="W14" s="378"/>
      <c r="X14" s="378"/>
      <c r="Y14" s="378"/>
      <c r="Z14" s="378"/>
      <c r="AA14" s="378"/>
      <c r="AB14" s="378"/>
      <c r="AC14" s="378"/>
      <c r="AD14" s="378"/>
      <c r="AE14" s="1945"/>
    </row>
    <row r="15" spans="1:31">
      <c r="D15" s="1943"/>
      <c r="E15" s="647"/>
      <c r="G15" s="1636" t="s">
        <v>78</v>
      </c>
      <c r="H15" s="282"/>
      <c r="I15" s="282"/>
      <c r="J15" s="378"/>
      <c r="K15" s="378"/>
      <c r="L15" s="378"/>
      <c r="M15" s="378"/>
      <c r="N15" s="378"/>
      <c r="O15" s="378"/>
      <c r="P15" s="378"/>
      <c r="Q15" s="378"/>
      <c r="R15" s="378"/>
      <c r="T15" s="1781">
        <f>IF(ISNUMBER(KeyAssumptionsPriceControl_FO!AE13),0,1)</f>
        <v>0</v>
      </c>
      <c r="U15" s="378"/>
      <c r="V15" s="378"/>
      <c r="W15" s="378"/>
      <c r="X15" s="378"/>
      <c r="Y15" s="378"/>
      <c r="Z15" s="378"/>
      <c r="AA15" s="378"/>
      <c r="AB15" s="378"/>
      <c r="AC15" s="378"/>
      <c r="AD15" s="378"/>
      <c r="AE15" s="1945"/>
    </row>
    <row r="16" spans="1:31">
      <c r="D16" s="1946"/>
      <c r="E16" s="614"/>
      <c r="H16" s="282"/>
      <c r="I16" s="282"/>
      <c r="J16" s="378"/>
      <c r="K16" s="378"/>
      <c r="L16" s="378"/>
      <c r="M16" s="378"/>
      <c r="N16" s="378"/>
      <c r="O16" s="378"/>
      <c r="P16" s="378"/>
      <c r="Q16" s="378"/>
      <c r="R16" s="378"/>
      <c r="S16" s="378"/>
      <c r="T16" s="378"/>
      <c r="U16" s="378"/>
      <c r="V16" s="378"/>
      <c r="W16" s="378"/>
      <c r="X16" s="378"/>
      <c r="Y16" s="378"/>
      <c r="Z16" s="378"/>
      <c r="AA16" s="378"/>
      <c r="AB16" s="378"/>
      <c r="AC16" s="378"/>
      <c r="AD16" s="378"/>
      <c r="AE16" s="1945"/>
    </row>
    <row r="17" spans="2:31">
      <c r="D17" s="1947"/>
      <c r="E17" s="1944" t="s">
        <v>1059</v>
      </c>
      <c r="F17" s="599" t="s">
        <v>1060</v>
      </c>
      <c r="H17" s="282"/>
      <c r="I17" s="282"/>
      <c r="J17" s="378"/>
      <c r="K17" s="378"/>
      <c r="L17" s="378"/>
      <c r="M17" s="378"/>
      <c r="N17" s="378"/>
      <c r="O17" s="378"/>
      <c r="P17" s="378"/>
      <c r="Q17" s="378"/>
      <c r="R17" s="378"/>
      <c r="S17" s="378"/>
      <c r="T17" s="378"/>
      <c r="U17" s="378"/>
      <c r="V17" s="378"/>
      <c r="W17" s="378"/>
      <c r="X17" s="378"/>
      <c r="Y17" s="378"/>
      <c r="Z17" s="378"/>
      <c r="AA17" s="378"/>
      <c r="AB17" s="378"/>
      <c r="AC17" s="378"/>
      <c r="AD17" s="378"/>
      <c r="AE17" s="1945"/>
    </row>
    <row r="18" spans="2:31">
      <c r="D18" s="1947"/>
      <c r="G18" s="1956" t="s">
        <v>1082</v>
      </c>
      <c r="H18" s="282"/>
      <c r="I18" s="282"/>
      <c r="J18" s="378"/>
      <c r="K18" s="378"/>
      <c r="L18" s="378"/>
      <c r="M18" s="378"/>
      <c r="N18" s="378"/>
      <c r="O18" s="378"/>
      <c r="P18" s="378"/>
      <c r="Q18" s="378"/>
      <c r="R18" s="378"/>
      <c r="S18" s="378"/>
      <c r="T18" s="1948"/>
      <c r="U18" s="1781">
        <f>Opex_FO!X129</f>
        <v>0</v>
      </c>
      <c r="V18" s="1781">
        <f>Opex_FO!Y129</f>
        <v>0</v>
      </c>
      <c r="W18" s="1781">
        <f>Opex_FO!Z129</f>
        <v>0</v>
      </c>
      <c r="X18" s="1781">
        <f>Opex_FO!AA129</f>
        <v>0</v>
      </c>
      <c r="Y18" s="1781">
        <f>Opex_FO!AB129</f>
        <v>0</v>
      </c>
      <c r="Z18" s="1781">
        <f>Opex_FO!AC129</f>
        <v>0</v>
      </c>
      <c r="AA18" s="1781">
        <f>Opex_FO!AD129</f>
        <v>0</v>
      </c>
      <c r="AB18" s="1781">
        <f>Opex_FO!AE129</f>
        <v>0</v>
      </c>
      <c r="AC18" s="1781">
        <f>Opex_FO!AF129</f>
        <v>0</v>
      </c>
      <c r="AD18" s="1781">
        <f>Opex_FO!AG129</f>
        <v>0</v>
      </c>
      <c r="AE18" s="1945"/>
    </row>
    <row r="19" spans="2:31">
      <c r="B19" s="601"/>
      <c r="D19" s="1947"/>
      <c r="H19" s="282"/>
      <c r="I19" s="282"/>
      <c r="J19" s="378"/>
      <c r="K19" s="378"/>
      <c r="L19" s="378"/>
      <c r="M19" s="378"/>
      <c r="N19" s="378"/>
      <c r="O19" s="378"/>
      <c r="P19" s="378"/>
      <c r="Q19" s="378"/>
      <c r="R19" s="378"/>
      <c r="S19" s="378"/>
      <c r="T19" s="378"/>
      <c r="U19" s="378"/>
      <c r="V19" s="378"/>
      <c r="W19" s="378"/>
      <c r="X19" s="378"/>
      <c r="Y19" s="378"/>
      <c r="Z19" s="378"/>
      <c r="AA19" s="378"/>
      <c r="AB19" s="378"/>
      <c r="AC19" s="378"/>
      <c r="AD19" s="378"/>
      <c r="AE19" s="1945"/>
    </row>
    <row r="20" spans="2:31">
      <c r="D20" s="1947"/>
      <c r="E20" s="1944" t="s">
        <v>1061</v>
      </c>
      <c r="F20" s="599" t="s">
        <v>1062</v>
      </c>
      <c r="H20" s="282"/>
      <c r="I20" s="282"/>
      <c r="J20" s="378"/>
      <c r="K20" s="378"/>
      <c r="L20" s="378"/>
      <c r="M20" s="378"/>
      <c r="N20" s="378"/>
      <c r="O20" s="378"/>
      <c r="P20" s="378"/>
      <c r="Q20" s="378"/>
      <c r="R20" s="378"/>
      <c r="S20" s="378"/>
      <c r="T20" s="378"/>
      <c r="U20" s="378"/>
      <c r="V20" s="378"/>
      <c r="W20" s="378"/>
      <c r="X20" s="378"/>
      <c r="Y20" s="378"/>
      <c r="Z20" s="378"/>
      <c r="AA20" s="378"/>
      <c r="AB20" s="378"/>
      <c r="AC20" s="378"/>
      <c r="AD20" s="378"/>
      <c r="AE20" s="1945"/>
    </row>
    <row r="21" spans="2:31">
      <c r="D21" s="1947"/>
      <c r="G21" s="1636" t="s">
        <v>1083</v>
      </c>
      <c r="H21" s="282"/>
      <c r="I21" s="282"/>
      <c r="J21" s="378"/>
      <c r="K21" s="378"/>
      <c r="L21" s="378"/>
      <c r="M21" s="378"/>
      <c r="N21" s="378"/>
      <c r="O21" s="378"/>
      <c r="P21" s="378"/>
      <c r="Q21" s="378"/>
      <c r="R21" s="378"/>
      <c r="S21" s="378"/>
      <c r="T21" s="1948"/>
      <c r="U21" s="1781">
        <f>Opex_Breakdown!X48</f>
        <v>0</v>
      </c>
      <c r="V21" s="1781">
        <f>Opex_Breakdown!Y48</f>
        <v>0</v>
      </c>
      <c r="W21" s="1781">
        <f>Opex_Breakdown!Z48</f>
        <v>0</v>
      </c>
      <c r="X21" s="1781">
        <f>Opex_Breakdown!AA48</f>
        <v>0</v>
      </c>
      <c r="Y21" s="1781">
        <f>Opex_Breakdown!AB48</f>
        <v>0</v>
      </c>
      <c r="Z21" s="1781">
        <f>Opex_Breakdown!AC48</f>
        <v>0</v>
      </c>
      <c r="AA21" s="1781">
        <f>Opex_Breakdown!AD48</f>
        <v>0</v>
      </c>
      <c r="AB21" s="1781">
        <f>Opex_Breakdown!AE48</f>
        <v>0</v>
      </c>
      <c r="AC21" s="1781">
        <f>Opex_Breakdown!AF48</f>
        <v>0</v>
      </c>
      <c r="AD21" s="1781">
        <f>Opex_Breakdown!AG48</f>
        <v>0</v>
      </c>
      <c r="AE21" s="1945"/>
    </row>
    <row r="22" spans="2:31" ht="6" customHeight="1">
      <c r="D22" s="1947"/>
      <c r="H22" s="180"/>
      <c r="I22" s="180"/>
      <c r="U22" s="1931"/>
      <c r="AE22" s="1945"/>
    </row>
    <row r="23" spans="2:31">
      <c r="D23" s="1947"/>
      <c r="G23" s="1636" t="s">
        <v>1063</v>
      </c>
      <c r="H23" s="282"/>
      <c r="I23" s="282"/>
      <c r="J23" s="378"/>
      <c r="L23" s="1781">
        <f>Opex_Breakdown!O31</f>
        <v>0</v>
      </c>
      <c r="M23" s="1781">
        <f>Opex_Breakdown!P31</f>
        <v>0</v>
      </c>
      <c r="N23" s="1781">
        <f>Opex_Breakdown!Q31</f>
        <v>0</v>
      </c>
      <c r="O23" s="1781">
        <f>Opex_Breakdown!R31</f>
        <v>0</v>
      </c>
      <c r="P23" s="1781">
        <f>Opex_Breakdown!S31</f>
        <v>0</v>
      </c>
      <c r="Q23" s="1781">
        <f>Opex_Breakdown!T31</f>
        <v>0</v>
      </c>
      <c r="R23" s="1781">
        <f>Opex_Breakdown!U31</f>
        <v>0</v>
      </c>
      <c r="S23" s="1781">
        <f>Opex_Breakdown!V31</f>
        <v>0</v>
      </c>
      <c r="T23" s="1781">
        <f>Opex_Breakdown!W31</f>
        <v>0</v>
      </c>
      <c r="U23" s="1781">
        <f>Opex_Breakdown!X31</f>
        <v>0</v>
      </c>
      <c r="V23" s="1781">
        <f>Opex_Breakdown!Y31</f>
        <v>0</v>
      </c>
      <c r="W23" s="1781">
        <f>Opex_Breakdown!Z31</f>
        <v>0</v>
      </c>
      <c r="X23" s="1781">
        <f>Opex_Breakdown!AA31</f>
        <v>0</v>
      </c>
      <c r="Y23" s="1781">
        <f>Opex_Breakdown!AB31</f>
        <v>0</v>
      </c>
      <c r="Z23" s="1781">
        <f>Opex_Breakdown!AC31</f>
        <v>0</v>
      </c>
      <c r="AA23" s="1781">
        <f>Opex_Breakdown!AD31</f>
        <v>0</v>
      </c>
      <c r="AB23" s="1781">
        <f>Opex_Breakdown!AE31</f>
        <v>0</v>
      </c>
      <c r="AC23" s="1781">
        <f>Opex_Breakdown!AF31</f>
        <v>0</v>
      </c>
      <c r="AD23" s="1781">
        <f>Opex_Breakdown!AG31</f>
        <v>0</v>
      </c>
      <c r="AE23" s="1945"/>
    </row>
    <row r="24" spans="2:31">
      <c r="D24" s="1947"/>
      <c r="H24" s="282"/>
      <c r="I24" s="282"/>
      <c r="J24" s="378"/>
      <c r="K24" s="378"/>
      <c r="L24" s="378"/>
      <c r="M24" s="378"/>
      <c r="N24" s="378"/>
      <c r="O24" s="378"/>
      <c r="P24" s="378"/>
      <c r="Q24" s="378"/>
      <c r="R24" s="378"/>
      <c r="S24" s="378"/>
      <c r="T24" s="378"/>
      <c r="U24" s="378"/>
      <c r="V24" s="378"/>
      <c r="W24" s="378"/>
      <c r="X24" s="378"/>
      <c r="Y24" s="378"/>
      <c r="Z24" s="378"/>
      <c r="AA24" s="378"/>
      <c r="AB24" s="378"/>
      <c r="AC24" s="378"/>
      <c r="AD24" s="378"/>
      <c r="AE24" s="1945"/>
    </row>
    <row r="25" spans="2:31">
      <c r="D25" s="1947"/>
      <c r="E25" s="1944" t="s">
        <v>1064</v>
      </c>
      <c r="F25" s="599" t="s">
        <v>1065</v>
      </c>
      <c r="H25" s="282"/>
      <c r="I25" s="282"/>
      <c r="J25" s="378"/>
      <c r="K25" s="378"/>
      <c r="L25" s="378"/>
      <c r="M25" s="378"/>
      <c r="N25" s="378"/>
      <c r="O25" s="378"/>
      <c r="P25" s="378"/>
      <c r="Q25" s="378"/>
      <c r="R25" s="378"/>
      <c r="S25" s="378"/>
      <c r="T25" s="378"/>
      <c r="U25" s="378"/>
      <c r="V25" s="378"/>
      <c r="W25" s="378"/>
      <c r="X25" s="378"/>
      <c r="Y25" s="378"/>
      <c r="Z25" s="378"/>
      <c r="AA25" s="378"/>
      <c r="AB25" s="378"/>
      <c r="AC25" s="378"/>
      <c r="AD25" s="378"/>
      <c r="AE25" s="1945"/>
    </row>
    <row r="26" spans="2:31">
      <c r="D26" s="1947"/>
      <c r="F26" s="599"/>
      <c r="G26" s="1636" t="s">
        <v>1066</v>
      </c>
      <c r="H26" s="282"/>
      <c r="I26" s="282"/>
      <c r="J26" s="378"/>
      <c r="K26" s="378"/>
      <c r="L26" s="378"/>
      <c r="M26" s="378"/>
      <c r="N26" s="378"/>
      <c r="O26" s="378"/>
      <c r="P26" s="378"/>
      <c r="Q26" s="378"/>
      <c r="R26" s="378"/>
      <c r="S26" s="378"/>
      <c r="T26" s="378"/>
      <c r="U26" s="1781">
        <f>'Capex_FO input'!D27</f>
        <v>0</v>
      </c>
      <c r="V26" s="1781">
        <f>'Capex_FO input'!E27</f>
        <v>0</v>
      </c>
      <c r="W26" s="1781">
        <f>'Capex_FO input'!F27</f>
        <v>0</v>
      </c>
      <c r="X26" s="1781">
        <f>'Capex_FO input'!G27</f>
        <v>0</v>
      </c>
      <c r="Y26" s="1781">
        <f>'Capex_FO input'!H27</f>
        <v>0</v>
      </c>
      <c r="Z26" s="1781">
        <f>'Capex_FO input'!I27</f>
        <v>0</v>
      </c>
      <c r="AA26" s="1781">
        <f>'Capex_FO input'!J27</f>
        <v>0</v>
      </c>
      <c r="AB26" s="1781">
        <f>'Capex_FO input'!K27</f>
        <v>0</v>
      </c>
      <c r="AC26" s="1781">
        <f>'Capex_FO input'!L27</f>
        <v>0</v>
      </c>
      <c r="AD26" s="1781">
        <f>'Capex_FO input'!M27</f>
        <v>0</v>
      </c>
      <c r="AE26" s="1945"/>
    </row>
    <row r="27" spans="2:31">
      <c r="D27" s="1947"/>
      <c r="H27" s="282"/>
      <c r="I27" s="282"/>
      <c r="J27" s="378"/>
      <c r="K27" s="378"/>
      <c r="L27" s="378"/>
      <c r="M27" s="378"/>
      <c r="N27" s="378"/>
      <c r="O27" s="378"/>
      <c r="P27" s="378"/>
      <c r="Q27" s="378"/>
      <c r="R27" s="378"/>
      <c r="S27" s="378"/>
      <c r="T27" s="378"/>
      <c r="U27" s="378"/>
      <c r="V27" s="378"/>
      <c r="W27" s="378"/>
      <c r="X27" s="378"/>
      <c r="Y27" s="378"/>
      <c r="Z27" s="378"/>
      <c r="AA27" s="378"/>
      <c r="AB27" s="378"/>
      <c r="AC27" s="378"/>
      <c r="AD27" s="378"/>
      <c r="AE27" s="1945"/>
    </row>
    <row r="28" spans="2:31">
      <c r="D28" s="1947"/>
      <c r="E28" s="1944" t="s">
        <v>1067</v>
      </c>
      <c r="F28" s="599" t="s">
        <v>1068</v>
      </c>
      <c r="H28" s="282"/>
      <c r="I28" s="282"/>
      <c r="J28" s="378"/>
      <c r="K28" s="378"/>
      <c r="L28" s="378"/>
      <c r="M28" s="378"/>
      <c r="N28" s="378"/>
      <c r="O28" s="378"/>
      <c r="P28" s="378"/>
      <c r="Q28" s="378"/>
      <c r="R28" s="378"/>
      <c r="S28" s="378"/>
      <c r="T28" s="378"/>
      <c r="U28" s="378"/>
      <c r="V28" s="378"/>
      <c r="W28" s="378"/>
      <c r="X28" s="378"/>
      <c r="Y28" s="378"/>
      <c r="Z28" s="378"/>
      <c r="AA28" s="378"/>
      <c r="AB28" s="378"/>
      <c r="AC28" s="378"/>
      <c r="AD28" s="378"/>
      <c r="AE28" s="1945"/>
    </row>
    <row r="29" spans="2:31">
      <c r="D29" s="1947"/>
      <c r="F29" s="599"/>
      <c r="G29" s="1636" t="s">
        <v>1084</v>
      </c>
      <c r="H29" s="282"/>
      <c r="I29" s="282"/>
      <c r="J29" s="378"/>
      <c r="K29" s="378"/>
      <c r="L29" s="378"/>
      <c r="M29" s="378"/>
      <c r="N29" s="378"/>
      <c r="O29" s="378"/>
      <c r="P29" s="378"/>
      <c r="Q29" s="378"/>
      <c r="R29" s="378"/>
      <c r="S29" s="378"/>
      <c r="T29" s="378"/>
      <c r="U29" s="1781">
        <f>Capex_FO_AC!X35</f>
        <v>0</v>
      </c>
      <c r="V29" s="1781">
        <f>Capex_FO_AC!Y35</f>
        <v>0</v>
      </c>
      <c r="W29" s="1781">
        <f>Capex_FO_AC!Z35</f>
        <v>0</v>
      </c>
      <c r="X29" s="1781">
        <f>Capex_FO_AC!AA35</f>
        <v>0</v>
      </c>
      <c r="Y29" s="1781">
        <f>Capex_FO_AC!AB35</f>
        <v>0</v>
      </c>
      <c r="Z29" s="1781">
        <f>Capex_FO_AC!AC35</f>
        <v>0</v>
      </c>
      <c r="AA29" s="1781">
        <f>Capex_FO_AC!AD35</f>
        <v>0</v>
      </c>
      <c r="AB29" s="1781">
        <f>Capex_FO_AC!AE35</f>
        <v>0</v>
      </c>
      <c r="AC29" s="1781">
        <f>Capex_FO_AC!AF35</f>
        <v>0</v>
      </c>
      <c r="AD29" s="1781">
        <f>Capex_FO_AC!AG35</f>
        <v>0</v>
      </c>
      <c r="AE29" s="1945"/>
    </row>
    <row r="30" spans="2:31">
      <c r="D30" s="1947"/>
      <c r="H30" s="282"/>
      <c r="I30" s="282"/>
      <c r="AE30" s="1945"/>
    </row>
    <row r="31" spans="2:31">
      <c r="D31" s="1947"/>
      <c r="E31" s="1944" t="s">
        <v>1069</v>
      </c>
      <c r="F31" s="599" t="s">
        <v>1070</v>
      </c>
      <c r="H31" s="282"/>
      <c r="I31" s="282"/>
      <c r="J31" s="378"/>
      <c r="K31" s="378"/>
      <c r="L31" s="378"/>
      <c r="M31" s="378"/>
      <c r="N31" s="378"/>
      <c r="O31" s="378"/>
      <c r="P31" s="378"/>
      <c r="Q31" s="378"/>
      <c r="R31" s="378"/>
      <c r="S31" s="378"/>
      <c r="T31" s="378"/>
      <c r="U31" s="378"/>
      <c r="V31" s="378"/>
      <c r="W31" s="378"/>
      <c r="X31" s="378"/>
      <c r="Y31" s="378"/>
      <c r="Z31" s="378"/>
      <c r="AA31" s="378"/>
      <c r="AB31" s="378"/>
      <c r="AC31" s="378"/>
      <c r="AD31" s="378"/>
      <c r="AE31" s="1945"/>
    </row>
    <row r="32" spans="2:31">
      <c r="D32" s="1947"/>
      <c r="F32" s="599"/>
      <c r="G32" s="1636" t="s">
        <v>1071</v>
      </c>
      <c r="H32" s="282"/>
      <c r="I32" s="282"/>
      <c r="J32" s="378"/>
      <c r="K32" s="378"/>
      <c r="L32" s="378"/>
      <c r="M32" s="378"/>
      <c r="N32" s="378"/>
      <c r="O32" s="378"/>
      <c r="P32" s="378"/>
      <c r="Q32" s="378"/>
      <c r="R32" s="378"/>
      <c r="S32" s="378"/>
      <c r="T32" s="1781">
        <f>IF(ROUND(RollForward_FO!G84,2)=ROUND(RollForward_FO!G82,2),0,1)</f>
        <v>1</v>
      </c>
      <c r="U32" s="1948"/>
      <c r="V32" s="1948"/>
      <c r="W32" s="1948"/>
      <c r="X32" s="1948"/>
      <c r="Y32" s="1948"/>
      <c r="Z32" s="1948"/>
      <c r="AA32" s="1948"/>
      <c r="AB32" s="1948"/>
      <c r="AC32" s="1948"/>
      <c r="AD32" s="1948"/>
      <c r="AE32" s="1945"/>
    </row>
    <row r="33" spans="4:31">
      <c r="D33" s="1947"/>
      <c r="H33" s="282"/>
      <c r="I33" s="282"/>
      <c r="AE33" s="1945"/>
    </row>
    <row r="34" spans="4:31">
      <c r="D34" s="1947"/>
      <c r="E34" s="1944" t="s">
        <v>1072</v>
      </c>
      <c r="F34" s="599" t="s">
        <v>1073</v>
      </c>
      <c r="H34" s="282"/>
      <c r="I34" s="282"/>
      <c r="J34" s="378"/>
      <c r="K34" s="378"/>
      <c r="L34" s="378"/>
      <c r="M34" s="378"/>
      <c r="N34" s="378"/>
      <c r="O34" s="378"/>
      <c r="P34" s="378"/>
      <c r="Q34" s="378"/>
      <c r="R34" s="378"/>
      <c r="S34" s="378"/>
      <c r="T34" s="378"/>
      <c r="U34" s="378"/>
      <c r="V34" s="378"/>
      <c r="W34" s="378"/>
      <c r="X34" s="378"/>
      <c r="Y34" s="378"/>
      <c r="Z34" s="378"/>
      <c r="AA34" s="378"/>
      <c r="AB34" s="378"/>
      <c r="AC34" s="378"/>
      <c r="AD34" s="378"/>
      <c r="AE34" s="1945"/>
    </row>
    <row r="35" spans="4:31">
      <c r="D35" s="1947"/>
      <c r="F35" s="599"/>
      <c r="G35" s="1636" t="s">
        <v>558</v>
      </c>
      <c r="H35" s="282"/>
      <c r="I35" s="282"/>
      <c r="J35" s="378"/>
      <c r="K35" s="378"/>
      <c r="L35" s="378"/>
      <c r="M35" s="378"/>
      <c r="N35" s="378"/>
      <c r="O35" s="378"/>
      <c r="P35" s="378"/>
      <c r="Q35" s="378"/>
      <c r="R35" s="378"/>
      <c r="S35" s="378"/>
      <c r="T35" s="1781">
        <f ca="1">IF(KeyAssumptionsPriceControl_FO!$V$32=1,IF(RevenuePriceCap_FO!Y34="PRICE CONTROL OK",0,1),0)</f>
        <v>0</v>
      </c>
      <c r="U35" s="1949" t="str">
        <f ca="1">IF(KeyAssumptionsPriceControl_FO!V32=1,RevenuePriceCap_FO!Y34,"Rev Tariff Basket Selected")</f>
        <v>PRICE CONTROL OK</v>
      </c>
      <c r="W35" s="1948"/>
      <c r="X35" s="1948"/>
      <c r="Y35" s="1948"/>
      <c r="Z35" s="1948"/>
      <c r="AA35" s="1948"/>
      <c r="AB35" s="1948"/>
      <c r="AC35" s="1948"/>
      <c r="AD35" s="1948"/>
      <c r="AE35" s="1945"/>
    </row>
    <row r="36" spans="4:31" ht="6" customHeight="1">
      <c r="D36" s="1947"/>
      <c r="H36" s="180"/>
      <c r="I36" s="180"/>
      <c r="J36" s="378"/>
      <c r="K36" s="378"/>
      <c r="U36" s="1931"/>
      <c r="AE36" s="1945"/>
    </row>
    <row r="37" spans="4:31">
      <c r="D37" s="1947"/>
      <c r="G37" s="1636" t="s">
        <v>1074</v>
      </c>
      <c r="H37" s="282"/>
      <c r="I37" s="282"/>
      <c r="J37" s="378"/>
      <c r="K37" s="378"/>
      <c r="T37" s="1781">
        <f ca="1">IF(KeyAssumptionsPriceControl_FO!$V$32=1,IF(RevenuePriceCap_FO!AD34="PRICE CONTROL OK",0,1),0)</f>
        <v>0</v>
      </c>
      <c r="U37" s="1950" t="str">
        <f ca="1">IF(KeyAssumptionsPriceControl_FO!V32=1,RevenuePriceCap_FO!AD34,"Rev Tariff Basket Selected")</f>
        <v>PRICE CONTROL OK</v>
      </c>
      <c r="W37" s="1641"/>
      <c r="AE37" s="1945"/>
    </row>
    <row r="38" spans="4:31" ht="6" customHeight="1">
      <c r="D38" s="1947"/>
      <c r="H38" s="180"/>
      <c r="I38" s="180"/>
      <c r="J38" s="378"/>
      <c r="K38" s="378"/>
      <c r="U38" s="1931"/>
      <c r="AE38" s="1945"/>
    </row>
    <row r="39" spans="4:31">
      <c r="D39" s="1947"/>
      <c r="G39" s="1636" t="s">
        <v>1075</v>
      </c>
      <c r="H39" s="282"/>
      <c r="I39" s="282"/>
      <c r="J39" s="378"/>
      <c r="K39" s="378"/>
      <c r="L39" s="1781">
        <f>RevenuePriceCap_FO!O455</f>
        <v>0</v>
      </c>
      <c r="M39" s="1781">
        <f>RevenuePriceCap_FO!P455</f>
        <v>0</v>
      </c>
      <c r="N39" s="1781">
        <f>RevenuePriceCap_FO!Q455</f>
        <v>0</v>
      </c>
      <c r="O39" s="1781">
        <f>RevenuePriceCap_FO!R455</f>
        <v>0</v>
      </c>
      <c r="P39" s="1781">
        <f>RevenuePriceCap_FO!S455</f>
        <v>0</v>
      </c>
      <c r="Q39" s="1781">
        <f>RevenuePriceCap_FO!T455</f>
        <v>0</v>
      </c>
      <c r="R39" s="1781">
        <f>RevenuePriceCap_FO!U455</f>
        <v>0</v>
      </c>
      <c r="S39" s="1781">
        <f>RevenuePriceCap_FO!V455</f>
        <v>0</v>
      </c>
      <c r="T39" s="1781">
        <f>RevenuePriceCap_FO!W455</f>
        <v>0</v>
      </c>
      <c r="U39" s="1781">
        <f>RevenuePriceCap_FO!X455</f>
        <v>0</v>
      </c>
      <c r="V39" s="1781">
        <f>RevenuePriceCap_FO!Y455</f>
        <v>0</v>
      </c>
      <c r="W39" s="1781">
        <f>RevenuePriceCap_FO!Z455</f>
        <v>0</v>
      </c>
      <c r="X39" s="1781">
        <f>RevenuePriceCap_FO!AA455</f>
        <v>0</v>
      </c>
      <c r="Y39" s="1781">
        <f>RevenuePriceCap_FO!AB455</f>
        <v>0</v>
      </c>
      <c r="Z39" s="1781">
        <f>RevenuePriceCap_FO!AC455</f>
        <v>0</v>
      </c>
      <c r="AA39" s="1781">
        <f>RevenuePriceCap_FO!AD455</f>
        <v>0</v>
      </c>
      <c r="AB39" s="1781">
        <f>RevenuePriceCap_FO!AE455</f>
        <v>0</v>
      </c>
      <c r="AC39" s="1781">
        <f>RevenuePriceCap_FO!AF455</f>
        <v>0</v>
      </c>
      <c r="AD39" s="1781">
        <f>RevenuePriceCap_FO!AG455</f>
        <v>0</v>
      </c>
      <c r="AE39" s="1945"/>
    </row>
    <row r="40" spans="4:31">
      <c r="D40" s="1947"/>
      <c r="H40" s="180"/>
      <c r="I40" s="180"/>
      <c r="J40" s="378"/>
      <c r="K40" s="378"/>
      <c r="AE40" s="1945"/>
    </row>
    <row r="41" spans="4:31">
      <c r="D41" s="1947"/>
      <c r="E41" s="1944" t="s">
        <v>1076</v>
      </c>
      <c r="F41" s="599" t="s">
        <v>1077</v>
      </c>
      <c r="H41" s="282"/>
      <c r="I41" s="282"/>
      <c r="J41" s="378"/>
      <c r="K41" s="378"/>
      <c r="L41" s="378"/>
      <c r="M41" s="378"/>
      <c r="N41" s="378"/>
      <c r="O41" s="378"/>
      <c r="P41" s="378"/>
      <c r="Q41" s="378"/>
      <c r="R41" s="378"/>
      <c r="S41" s="378"/>
      <c r="T41" s="378"/>
      <c r="U41" s="378"/>
      <c r="V41" s="378"/>
      <c r="W41" s="378"/>
      <c r="X41" s="378"/>
      <c r="Y41" s="378"/>
      <c r="Z41" s="378"/>
      <c r="AA41" s="378"/>
      <c r="AB41" s="378"/>
      <c r="AC41" s="378"/>
      <c r="AD41" s="378"/>
      <c r="AE41" s="1945"/>
    </row>
    <row r="42" spans="4:31">
      <c r="D42" s="1947"/>
      <c r="F42" s="599"/>
      <c r="G42" s="1636" t="s">
        <v>558</v>
      </c>
      <c r="H42" s="282"/>
      <c r="I42" s="282"/>
      <c r="J42" s="378"/>
      <c r="K42" s="378"/>
      <c r="L42" s="378"/>
      <c r="M42" s="378"/>
      <c r="N42" s="378"/>
      <c r="O42" s="378"/>
      <c r="P42" s="378"/>
      <c r="Q42" s="378"/>
      <c r="R42" s="378"/>
      <c r="S42" s="378"/>
      <c r="T42" s="1781">
        <f>IF(KeyAssumptionsPriceControl_FO!$V$32=2,IF(RevenuePriceCap_FO!AD34="PRICE CONTROL OK",0,1),0)</f>
        <v>0</v>
      </c>
      <c r="U42" s="1949"/>
      <c r="W42" s="1948"/>
      <c r="X42" s="1948"/>
      <c r="Y42" s="1948"/>
      <c r="Z42" s="1948"/>
      <c r="AA42" s="1948"/>
      <c r="AB42" s="1948"/>
      <c r="AC42" s="1948"/>
      <c r="AD42" s="1948"/>
      <c r="AE42" s="1945"/>
    </row>
    <row r="43" spans="4:31" ht="6" customHeight="1">
      <c r="D43" s="1947"/>
      <c r="H43" s="180"/>
      <c r="I43" s="180"/>
      <c r="J43" s="378"/>
      <c r="K43" s="378"/>
      <c r="U43" s="1931"/>
      <c r="AE43" s="1945"/>
    </row>
    <row r="44" spans="4:31">
      <c r="D44" s="1947"/>
      <c r="G44" s="1636" t="s">
        <v>1074</v>
      </c>
      <c r="H44" s="282"/>
      <c r="I44" s="282"/>
      <c r="J44" s="378"/>
      <c r="K44" s="378"/>
      <c r="T44" s="1781">
        <f>IF(KeyAssumptionsPriceControl_FO!$V$32=2,IF(RevenuePriceCap_FO!AD34="PRICE CONTROL OK",0,1),0)</f>
        <v>0</v>
      </c>
      <c r="U44" s="1950"/>
      <c r="AE44" s="1945"/>
    </row>
    <row r="45" spans="4:31" ht="6" customHeight="1">
      <c r="D45" s="1947"/>
      <c r="H45" s="180"/>
      <c r="I45" s="180"/>
      <c r="J45" s="378"/>
      <c r="K45" s="378"/>
      <c r="U45" s="1931"/>
      <c r="AE45" s="1945"/>
    </row>
    <row r="46" spans="4:31">
      <c r="D46" s="1947"/>
      <c r="G46" s="1636" t="s">
        <v>1075</v>
      </c>
      <c r="H46" s="282"/>
      <c r="I46" s="282"/>
      <c r="J46" s="378"/>
      <c r="K46" s="378"/>
      <c r="L46" s="1781">
        <f>RevenueTariffBasket_FO!R458</f>
        <v>0</v>
      </c>
      <c r="M46" s="1781">
        <f>RevenueTariffBasket_FO!S458</f>
        <v>0</v>
      </c>
      <c r="N46" s="1781">
        <f>RevenueTariffBasket_FO!T458</f>
        <v>0</v>
      </c>
      <c r="O46" s="1781">
        <f>RevenueTariffBasket_FO!U458</f>
        <v>0</v>
      </c>
      <c r="P46" s="1781">
        <f>RevenueTariffBasket_FO!V458</f>
        <v>0</v>
      </c>
      <c r="Q46" s="1781">
        <f>RevenueTariffBasket_FO!W458</f>
        <v>0</v>
      </c>
      <c r="R46" s="1781">
        <f>RevenueTariffBasket_FO!X458</f>
        <v>0</v>
      </c>
      <c r="S46" s="1781">
        <f>RevenueTariffBasket_FO!Y458</f>
        <v>0</v>
      </c>
      <c r="T46" s="1781">
        <f>RevenueTariffBasket_FO!Z458</f>
        <v>0</v>
      </c>
      <c r="U46" s="1781">
        <f>RevenueTariffBasket_FO!AA458</f>
        <v>0</v>
      </c>
      <c r="V46" s="1781">
        <f>RevenueTariffBasket_FO!AB458</f>
        <v>0</v>
      </c>
      <c r="W46" s="1781">
        <f>RevenueTariffBasket_FO!AC458</f>
        <v>0</v>
      </c>
      <c r="X46" s="1781">
        <f>RevenueTariffBasket_FO!AD458</f>
        <v>0</v>
      </c>
      <c r="Y46" s="1781">
        <f>RevenueTariffBasket_FO!AE458</f>
        <v>0</v>
      </c>
      <c r="Z46" s="1781">
        <f>RevenueTariffBasket_FO!AF458</f>
        <v>0</v>
      </c>
      <c r="AA46" s="1781">
        <f>RevenueTariffBasket_FO!AG458</f>
        <v>0</v>
      </c>
      <c r="AB46" s="1781">
        <f>RevenueTariffBasket_FO!AH458</f>
        <v>0</v>
      </c>
      <c r="AC46" s="1781">
        <f>RevenueTariffBasket_FO!AI458</f>
        <v>0</v>
      </c>
      <c r="AD46" s="1781">
        <f>RevenueTariffBasket_FO!AJ458</f>
        <v>0</v>
      </c>
      <c r="AE46" s="1945"/>
    </row>
    <row r="47" spans="4:31">
      <c r="D47" s="1947"/>
      <c r="H47" s="180"/>
      <c r="I47" s="180"/>
      <c r="AE47" s="1945"/>
    </row>
    <row r="48" spans="4:31">
      <c r="D48" s="1947"/>
      <c r="E48" s="1944" t="s">
        <v>1078</v>
      </c>
      <c r="F48" s="599" t="s">
        <v>1079</v>
      </c>
      <c r="H48" s="282"/>
      <c r="I48" s="282"/>
      <c r="L48" s="378"/>
      <c r="M48" s="378"/>
      <c r="N48" s="378"/>
      <c r="O48" s="378"/>
      <c r="P48" s="378"/>
      <c r="Q48" s="378"/>
      <c r="R48" s="378"/>
      <c r="S48" s="378"/>
      <c r="T48" s="378"/>
      <c r="U48" s="378"/>
      <c r="V48" s="378"/>
      <c r="W48" s="378"/>
      <c r="X48" s="378"/>
      <c r="Y48" s="378"/>
      <c r="Z48" s="378"/>
      <c r="AA48" s="378"/>
      <c r="AB48" s="378"/>
      <c r="AC48" s="378"/>
      <c r="AD48" s="378"/>
      <c r="AE48" s="1945"/>
    </row>
    <row r="49" spans="4:31">
      <c r="D49" s="1947"/>
      <c r="F49" s="599"/>
      <c r="G49" s="1636" t="s">
        <v>1080</v>
      </c>
      <c r="H49" s="282"/>
      <c r="I49" s="282"/>
      <c r="L49" s="1781">
        <f>'Rev&amp;RAV_FO'!O80</f>
        <v>0</v>
      </c>
      <c r="M49" s="1781">
        <f>'Rev&amp;RAV_FO'!P80</f>
        <v>0</v>
      </c>
      <c r="N49" s="1781">
        <f>'Rev&amp;RAV_FO'!Q80</f>
        <v>0</v>
      </c>
      <c r="O49" s="1781">
        <f>'Rev&amp;RAV_FO'!R80</f>
        <v>0</v>
      </c>
      <c r="P49" s="1781">
        <f>'Rev&amp;RAV_FO'!S80</f>
        <v>0</v>
      </c>
      <c r="Q49" s="1781">
        <f>'Rev&amp;RAV_FO'!T80</f>
        <v>0</v>
      </c>
      <c r="R49" s="1781">
        <f>'Rev&amp;RAV_FO'!U80</f>
        <v>0</v>
      </c>
      <c r="S49" s="1781">
        <f>'Rev&amp;RAV_FO'!V80</f>
        <v>0</v>
      </c>
      <c r="T49" s="1781">
        <f>'Rev&amp;RAV_FO'!W80</f>
        <v>0</v>
      </c>
      <c r="U49" s="1781">
        <f ca="1">'Rev&amp;RAV_FO'!X80</f>
        <v>0</v>
      </c>
      <c r="V49" s="1781">
        <f ca="1">'Rev&amp;RAV_FO'!Y80</f>
        <v>0</v>
      </c>
      <c r="W49" s="1781">
        <f ca="1">'Rev&amp;RAV_FO'!Z80</f>
        <v>0</v>
      </c>
      <c r="X49" s="1781">
        <f ca="1">'Rev&amp;RAV_FO'!AA80</f>
        <v>0</v>
      </c>
      <c r="Y49" s="1781">
        <f ca="1">'Rev&amp;RAV_FO'!AB80</f>
        <v>0</v>
      </c>
      <c r="Z49" s="1781">
        <f ca="1">'Rev&amp;RAV_FO'!AC80</f>
        <v>0</v>
      </c>
      <c r="AA49" s="1781">
        <f ca="1">'Rev&amp;RAV_FO'!AD80</f>
        <v>0</v>
      </c>
      <c r="AB49" s="1781">
        <f ca="1">'Rev&amp;RAV_FO'!AE80</f>
        <v>0</v>
      </c>
      <c r="AC49" s="1781">
        <f ca="1">'Rev&amp;RAV_FO'!AF80</f>
        <v>0</v>
      </c>
      <c r="AD49" s="1781">
        <f ca="1">'Rev&amp;RAV_FO'!AG80</f>
        <v>0</v>
      </c>
      <c r="AE49" s="1945"/>
    </row>
    <row r="50" spans="4:31" ht="12.75" thickBot="1">
      <c r="D50" s="1951"/>
      <c r="E50" s="1952"/>
      <c r="F50" s="1952"/>
      <c r="G50" s="1952"/>
      <c r="H50" s="184"/>
      <c r="I50" s="184"/>
      <c r="J50" s="1952"/>
      <c r="K50" s="1952"/>
      <c r="L50" s="1952"/>
      <c r="M50" s="1952"/>
      <c r="N50" s="1952"/>
      <c r="O50" s="1952"/>
      <c r="P50" s="1952"/>
      <c r="Q50" s="1952"/>
      <c r="R50" s="1952"/>
      <c r="S50" s="1952"/>
      <c r="T50" s="1952"/>
      <c r="U50" s="1952"/>
      <c r="V50" s="1952"/>
      <c r="W50" s="1952"/>
      <c r="X50" s="1952"/>
      <c r="Y50" s="1952"/>
      <c r="Z50" s="1952"/>
      <c r="AA50" s="1952"/>
      <c r="AB50" s="1952"/>
      <c r="AC50" s="1952"/>
      <c r="AD50" s="1952"/>
      <c r="AE50" s="1953"/>
    </row>
    <row r="51" spans="4:31" ht="12.75" thickBot="1"/>
    <row r="52" spans="4:31">
      <c r="D52" s="166"/>
      <c r="E52" s="167"/>
      <c r="F52" s="167"/>
      <c r="G52" s="167"/>
      <c r="H52" s="598"/>
      <c r="I52" s="598"/>
      <c r="J52" s="167"/>
      <c r="K52" s="167"/>
      <c r="L52" s="167"/>
      <c r="M52" s="167"/>
      <c r="N52" s="167"/>
      <c r="O52" s="167"/>
      <c r="P52" s="167"/>
      <c r="Q52" s="167"/>
      <c r="R52" s="167"/>
      <c r="S52" s="167"/>
      <c r="T52" s="167"/>
      <c r="U52" s="167"/>
      <c r="V52" s="167"/>
      <c r="W52" s="167"/>
      <c r="X52" s="167"/>
      <c r="Y52" s="167"/>
      <c r="Z52" s="167"/>
      <c r="AA52" s="167"/>
      <c r="AB52" s="167"/>
      <c r="AC52" s="167"/>
      <c r="AD52" s="167"/>
      <c r="AE52" s="168"/>
    </row>
    <row r="53" spans="4:31">
      <c r="D53" s="169"/>
      <c r="E53" s="70"/>
      <c r="F53" s="104" t="s">
        <v>1219</v>
      </c>
      <c r="G53" s="70"/>
      <c r="H53" s="282"/>
      <c r="I53" s="282"/>
      <c r="J53" s="70"/>
      <c r="K53" s="70"/>
      <c r="L53" s="70"/>
      <c r="M53" s="70"/>
      <c r="N53" s="70"/>
      <c r="O53" s="70"/>
      <c r="P53" s="70"/>
      <c r="Q53" s="70"/>
      <c r="R53" s="70"/>
      <c r="S53" s="70"/>
      <c r="T53" s="70"/>
      <c r="U53" s="70"/>
      <c r="V53" s="70"/>
      <c r="W53" s="70"/>
      <c r="X53" s="70"/>
      <c r="Y53" s="70"/>
      <c r="Z53" s="70"/>
      <c r="AA53" s="70"/>
      <c r="AB53" s="70"/>
      <c r="AC53" s="70"/>
      <c r="AD53" s="70"/>
      <c r="AE53" s="171"/>
    </row>
    <row r="54" spans="4:31">
      <c r="D54" s="169"/>
      <c r="E54" s="1944" t="s">
        <v>1057</v>
      </c>
      <c r="F54" s="599" t="s">
        <v>609</v>
      </c>
      <c r="G54" s="70"/>
      <c r="H54" s="282"/>
      <c r="I54" s="282"/>
      <c r="J54" s="378"/>
      <c r="K54" s="378"/>
      <c r="L54" s="378"/>
      <c r="M54" s="378"/>
      <c r="N54" s="378"/>
      <c r="O54" s="378"/>
      <c r="P54" s="378"/>
      <c r="Q54" s="378"/>
      <c r="R54" s="378"/>
      <c r="S54" s="378"/>
      <c r="T54" s="378"/>
      <c r="U54" s="378"/>
      <c r="V54" s="378"/>
      <c r="W54" s="378"/>
      <c r="X54" s="378"/>
      <c r="Y54" s="378"/>
      <c r="Z54" s="378"/>
      <c r="AA54" s="378"/>
      <c r="AB54" s="378"/>
      <c r="AC54" s="378"/>
      <c r="AD54" s="378"/>
      <c r="AE54" s="171"/>
    </row>
    <row r="55" spans="4:31">
      <c r="D55" s="169"/>
      <c r="E55" s="70"/>
      <c r="F55" s="70"/>
      <c r="G55" s="1636" t="s">
        <v>1085</v>
      </c>
      <c r="H55" s="70"/>
      <c r="I55" s="282"/>
      <c r="J55" s="378"/>
      <c r="K55" s="378"/>
      <c r="L55" s="1957">
        <f ca="1">Indicators_FO!O226</f>
        <v>0</v>
      </c>
      <c r="M55" s="1957">
        <f ca="1">Indicators_FO!P226</f>
        <v>0</v>
      </c>
      <c r="N55" s="1957">
        <f ca="1">Indicators_FO!Q226</f>
        <v>0</v>
      </c>
      <c r="O55" s="1957">
        <f ca="1">Indicators_FO!R226</f>
        <v>0</v>
      </c>
      <c r="P55" s="1957">
        <f ca="1">Indicators_FO!S226</f>
        <v>0</v>
      </c>
      <c r="Q55" s="1957">
        <f ca="1">Indicators_FO!T226</f>
        <v>0</v>
      </c>
      <c r="R55" s="1957">
        <f ca="1">Indicators_FO!U226</f>
        <v>0</v>
      </c>
      <c r="S55" s="1957">
        <f ca="1">Indicators_FO!V226</f>
        <v>0</v>
      </c>
      <c r="T55" s="1957">
        <f ca="1">Indicators_FO!W226</f>
        <v>0</v>
      </c>
      <c r="U55" s="1957">
        <f ca="1">Indicators_FO!X226</f>
        <v>0</v>
      </c>
      <c r="V55" s="1957">
        <f ca="1">Indicators_FO!Y226</f>
        <v>0</v>
      </c>
      <c r="W55" s="1957">
        <f ca="1">Indicators_FO!Z226</f>
        <v>0</v>
      </c>
      <c r="X55" s="1957">
        <f ca="1">Indicators_FO!AA226</f>
        <v>0</v>
      </c>
      <c r="Y55" s="1957">
        <f ca="1">Indicators_FO!AB226</f>
        <v>0</v>
      </c>
      <c r="Z55" s="1957">
        <f ca="1">Indicators_FO!AC226</f>
        <v>0</v>
      </c>
      <c r="AA55" s="1957">
        <f ca="1">Indicators_FO!AD226</f>
        <v>0</v>
      </c>
      <c r="AB55" s="1957">
        <f ca="1">Indicators_FO!AE226</f>
        <v>0</v>
      </c>
      <c r="AC55" s="1957">
        <f ca="1">Indicators_FO!AF226</f>
        <v>0</v>
      </c>
      <c r="AD55" s="1957">
        <f ca="1">Indicators_FO!AG226</f>
        <v>0</v>
      </c>
      <c r="AE55" s="171"/>
    </row>
    <row r="56" spans="4:31">
      <c r="D56" s="169"/>
      <c r="E56" s="70"/>
      <c r="F56" s="70"/>
      <c r="G56" s="70" t="s">
        <v>1088</v>
      </c>
      <c r="H56" s="70"/>
      <c r="I56" s="282"/>
      <c r="J56" s="378"/>
      <c r="K56" s="378"/>
      <c r="L56" s="1957">
        <f ca="1">Indicators_FO!O235</f>
        <v>0</v>
      </c>
      <c r="M56" s="1957">
        <f ca="1">Indicators_FO!P235</f>
        <v>0</v>
      </c>
      <c r="N56" s="1957">
        <f ca="1">Indicators_FO!Q235</f>
        <v>0</v>
      </c>
      <c r="O56" s="1957">
        <f ca="1">Indicators_FO!R235</f>
        <v>0</v>
      </c>
      <c r="P56" s="1957">
        <f ca="1">Indicators_FO!S235</f>
        <v>0</v>
      </c>
      <c r="Q56" s="1957">
        <f ca="1">Indicators_FO!T235</f>
        <v>0</v>
      </c>
      <c r="R56" s="1957">
        <f ca="1">Indicators_FO!U235</f>
        <v>0</v>
      </c>
      <c r="S56" s="1957">
        <f ca="1">Indicators_FO!V235</f>
        <v>0</v>
      </c>
      <c r="T56" s="1957">
        <f ca="1">Indicators_FO!W235</f>
        <v>0</v>
      </c>
      <c r="U56" s="1957">
        <f ca="1">Indicators_FO!X235</f>
        <v>0</v>
      </c>
      <c r="V56" s="1957">
        <f ca="1">Indicators_FO!Y235</f>
        <v>0</v>
      </c>
      <c r="W56" s="1957">
        <f ca="1">Indicators_FO!Z235</f>
        <v>0</v>
      </c>
      <c r="X56" s="1957">
        <f ca="1">Indicators_FO!AA235</f>
        <v>0</v>
      </c>
      <c r="Y56" s="1957">
        <f ca="1">Indicators_FO!AB235</f>
        <v>0</v>
      </c>
      <c r="Z56" s="1957">
        <f ca="1">Indicators_FO!AC235</f>
        <v>0</v>
      </c>
      <c r="AA56" s="1957">
        <f ca="1">Indicators_FO!AD235</f>
        <v>0</v>
      </c>
      <c r="AB56" s="1957">
        <f ca="1">Indicators_FO!AE235</f>
        <v>0</v>
      </c>
      <c r="AC56" s="1957">
        <f ca="1">Indicators_FO!AF235</f>
        <v>0</v>
      </c>
      <c r="AD56" s="1957">
        <f ca="1">Indicators_FO!AG235</f>
        <v>0</v>
      </c>
      <c r="AE56" s="171"/>
    </row>
    <row r="57" spans="4:31">
      <c r="D57" s="169"/>
      <c r="E57" s="70"/>
      <c r="F57" s="70"/>
      <c r="G57" s="70"/>
      <c r="H57" s="282"/>
      <c r="I57" s="282"/>
      <c r="J57" s="378"/>
      <c r="K57" s="378"/>
      <c r="L57" s="378"/>
      <c r="M57" s="378"/>
      <c r="N57" s="378"/>
      <c r="O57" s="378"/>
      <c r="P57" s="378"/>
      <c r="Q57" s="378"/>
      <c r="R57" s="378"/>
      <c r="S57" s="378"/>
      <c r="T57" s="378"/>
      <c r="U57" s="378"/>
      <c r="V57" s="378"/>
      <c r="W57" s="378"/>
      <c r="X57" s="378"/>
      <c r="Y57" s="378"/>
      <c r="Z57" s="378"/>
      <c r="AA57" s="378"/>
      <c r="AB57" s="378"/>
      <c r="AC57" s="378"/>
      <c r="AD57" s="378"/>
      <c r="AE57" s="171"/>
    </row>
    <row r="58" spans="4:31">
      <c r="D58" s="169"/>
      <c r="E58" s="1944" t="s">
        <v>1059</v>
      </c>
      <c r="F58" s="599" t="s">
        <v>1086</v>
      </c>
      <c r="G58" s="70"/>
      <c r="H58" s="282"/>
      <c r="I58" s="282"/>
      <c r="J58" s="378"/>
      <c r="K58" s="378"/>
      <c r="L58" s="378"/>
      <c r="M58" s="378"/>
      <c r="N58" s="378"/>
      <c r="O58" s="378"/>
      <c r="P58" s="378"/>
      <c r="Q58" s="378"/>
      <c r="R58" s="378"/>
      <c r="S58" s="378"/>
      <c r="T58" s="378"/>
      <c r="U58" s="378"/>
      <c r="V58" s="378"/>
      <c r="W58" s="378"/>
      <c r="X58" s="378"/>
      <c r="Y58" s="378"/>
      <c r="Z58" s="378"/>
      <c r="AA58" s="378"/>
      <c r="AB58" s="378"/>
      <c r="AC58" s="378"/>
      <c r="AD58" s="378"/>
      <c r="AE58" s="171"/>
    </row>
    <row r="59" spans="4:31">
      <c r="D59" s="169"/>
      <c r="E59" s="70"/>
      <c r="F59" s="70"/>
      <c r="G59" s="70" t="s">
        <v>1087</v>
      </c>
      <c r="H59" s="282"/>
      <c r="I59" s="282"/>
      <c r="J59" s="378"/>
      <c r="K59" s="378"/>
      <c r="L59" s="1957">
        <f>Indicators_FO!O245</f>
        <v>0</v>
      </c>
      <c r="M59" s="1957">
        <f ca="1">Indicators_FO!P245</f>
        <v>0</v>
      </c>
      <c r="N59" s="1957">
        <f ca="1">Indicators_FO!Q245</f>
        <v>0</v>
      </c>
      <c r="O59" s="1957">
        <f ca="1">Indicators_FO!R245</f>
        <v>0</v>
      </c>
      <c r="P59" s="1957">
        <f ca="1">Indicators_FO!S245</f>
        <v>0</v>
      </c>
      <c r="Q59" s="1957">
        <f ca="1">Indicators_FO!T245</f>
        <v>0</v>
      </c>
      <c r="R59" s="1957">
        <f ca="1">Indicators_FO!U245</f>
        <v>0</v>
      </c>
      <c r="S59" s="1957">
        <f ca="1">Indicators_FO!V245</f>
        <v>0</v>
      </c>
      <c r="T59" s="1957">
        <f ca="1">Indicators_FO!W245</f>
        <v>0</v>
      </c>
      <c r="U59" s="1957">
        <f ca="1">Indicators_FO!X245</f>
        <v>0</v>
      </c>
      <c r="V59" s="1957">
        <f ca="1">Indicators_FO!Y245</f>
        <v>0</v>
      </c>
      <c r="W59" s="1957">
        <f ca="1">Indicators_FO!Z245</f>
        <v>0</v>
      </c>
      <c r="X59" s="1957">
        <f ca="1">Indicators_FO!AA245</f>
        <v>0</v>
      </c>
      <c r="Y59" s="1957">
        <f ca="1">Indicators_FO!AB245</f>
        <v>0</v>
      </c>
      <c r="Z59" s="1957">
        <f ca="1">Indicators_FO!AC245</f>
        <v>0</v>
      </c>
      <c r="AA59" s="1957">
        <f ca="1">Indicators_FO!AD245</f>
        <v>0</v>
      </c>
      <c r="AB59" s="1957">
        <f ca="1">Indicators_FO!AE245</f>
        <v>0</v>
      </c>
      <c r="AC59" s="1957">
        <f ca="1">Indicators_FO!AF245</f>
        <v>0</v>
      </c>
      <c r="AD59" s="1957">
        <f ca="1">Indicators_FO!AG245</f>
        <v>0</v>
      </c>
      <c r="AE59" s="171"/>
    </row>
    <row r="60" spans="4:31">
      <c r="D60" s="169"/>
      <c r="E60" s="70"/>
      <c r="F60" s="70"/>
      <c r="G60" s="70" t="s">
        <v>1221</v>
      </c>
      <c r="H60" s="282"/>
      <c r="I60" s="282"/>
      <c r="J60" s="378"/>
      <c r="K60" s="378"/>
      <c r="L60" s="1957">
        <f ca="1">Indicators_FO!O254</f>
        <v>0</v>
      </c>
      <c r="M60" s="1957">
        <f ca="1">Indicators_FO!P254</f>
        <v>0</v>
      </c>
      <c r="N60" s="1957">
        <f ca="1">Indicators_FO!Q254</f>
        <v>0</v>
      </c>
      <c r="O60" s="1957">
        <f ca="1">Indicators_FO!R254</f>
        <v>0</v>
      </c>
      <c r="P60" s="1957">
        <f ca="1">Indicators_FO!S254</f>
        <v>0</v>
      </c>
      <c r="Q60" s="1957">
        <f ca="1">Indicators_FO!T254</f>
        <v>0</v>
      </c>
      <c r="R60" s="1957">
        <f ca="1">Indicators_FO!U254</f>
        <v>0</v>
      </c>
      <c r="S60" s="1957">
        <f ca="1">Indicators_FO!V254</f>
        <v>0</v>
      </c>
      <c r="T60" s="1957">
        <f ca="1">Indicators_FO!W254</f>
        <v>0</v>
      </c>
      <c r="U60" s="1957">
        <f ca="1">Indicators_FO!X254</f>
        <v>0</v>
      </c>
      <c r="V60" s="1957">
        <f ca="1">Indicators_FO!Y254</f>
        <v>0</v>
      </c>
      <c r="W60" s="1957">
        <f ca="1">Indicators_FO!Z254</f>
        <v>0</v>
      </c>
      <c r="X60" s="1957">
        <f ca="1">Indicators_FO!AA254</f>
        <v>0</v>
      </c>
      <c r="Y60" s="1957">
        <f ca="1">Indicators_FO!AB254</f>
        <v>0</v>
      </c>
      <c r="Z60" s="1957">
        <f ca="1">Indicators_FO!AC254</f>
        <v>0</v>
      </c>
      <c r="AA60" s="1957">
        <f ca="1">Indicators_FO!AD254</f>
        <v>0</v>
      </c>
      <c r="AB60" s="1957">
        <f ca="1">Indicators_FO!AE254</f>
        <v>0</v>
      </c>
      <c r="AC60" s="1957">
        <f ca="1">Indicators_FO!AF254</f>
        <v>0</v>
      </c>
      <c r="AD60" s="1957">
        <f ca="1">Indicators_FO!AG254</f>
        <v>0</v>
      </c>
      <c r="AE60" s="171"/>
    </row>
    <row r="61" spans="4:31">
      <c r="D61" s="169"/>
      <c r="E61" s="70"/>
      <c r="F61" s="70"/>
      <c r="G61" s="70" t="s">
        <v>777</v>
      </c>
      <c r="H61" s="282"/>
      <c r="I61" s="282"/>
      <c r="J61" s="378"/>
      <c r="K61" s="378"/>
      <c r="L61" s="1957">
        <f ca="1">Indicators_FO!O264</f>
        <v>0</v>
      </c>
      <c r="M61" s="1957">
        <f ca="1">Indicators_FO!P264</f>
        <v>0</v>
      </c>
      <c r="N61" s="1957">
        <f ca="1">Indicators_FO!Q264</f>
        <v>0</v>
      </c>
      <c r="O61" s="1957">
        <f ca="1">Indicators_FO!R264</f>
        <v>0</v>
      </c>
      <c r="P61" s="1957">
        <f ca="1">Indicators_FO!S264</f>
        <v>1</v>
      </c>
      <c r="Q61" s="1957">
        <f ca="1">Indicators_FO!T264</f>
        <v>1</v>
      </c>
      <c r="R61" s="1957">
        <f ca="1">Indicators_FO!U264</f>
        <v>1</v>
      </c>
      <c r="S61" s="1957">
        <f ca="1">Indicators_FO!V264</f>
        <v>1</v>
      </c>
      <c r="T61" s="1957">
        <f ca="1">Indicators_FO!W264</f>
        <v>0</v>
      </c>
      <c r="U61" s="1957">
        <f ca="1">Indicators_FO!X264</f>
        <v>0</v>
      </c>
      <c r="V61" s="1957">
        <f ca="1">Indicators_FO!Y264</f>
        <v>0</v>
      </c>
      <c r="W61" s="1957">
        <f ca="1">Indicators_FO!Z264</f>
        <v>0</v>
      </c>
      <c r="X61" s="1957">
        <f ca="1">Indicators_FO!AA264</f>
        <v>0</v>
      </c>
      <c r="Y61" s="1957">
        <f ca="1">Indicators_FO!AB264</f>
        <v>0</v>
      </c>
      <c r="Z61" s="1957">
        <f ca="1">Indicators_FO!AC264</f>
        <v>0</v>
      </c>
      <c r="AA61" s="1957">
        <f ca="1">Indicators_FO!AD264</f>
        <v>0</v>
      </c>
      <c r="AB61" s="1957">
        <f ca="1">Indicators_FO!AE264</f>
        <v>0</v>
      </c>
      <c r="AC61" s="1957">
        <f ca="1">Indicators_FO!AF264</f>
        <v>0</v>
      </c>
      <c r="AD61" s="1957">
        <f ca="1">Indicators_FO!AG264</f>
        <v>0</v>
      </c>
      <c r="AE61" s="171"/>
    </row>
    <row r="62" spans="4:31">
      <c r="D62" s="169"/>
      <c r="E62" s="70"/>
      <c r="F62" s="70"/>
      <c r="G62" s="70"/>
      <c r="H62" s="282"/>
      <c r="I62" s="282"/>
      <c r="J62" s="378"/>
      <c r="K62" s="378"/>
      <c r="L62" s="378"/>
      <c r="M62" s="378"/>
      <c r="N62" s="378"/>
      <c r="O62" s="378"/>
      <c r="P62" s="378"/>
      <c r="Q62" s="378"/>
      <c r="R62" s="378"/>
      <c r="S62" s="378"/>
      <c r="T62" s="378"/>
      <c r="U62" s="378"/>
      <c r="V62" s="378"/>
      <c r="W62" s="378"/>
      <c r="X62" s="378"/>
      <c r="Y62" s="378"/>
      <c r="Z62" s="378"/>
      <c r="AA62" s="378"/>
      <c r="AB62" s="378"/>
      <c r="AC62" s="378"/>
      <c r="AD62" s="378"/>
      <c r="AE62" s="171"/>
    </row>
    <row r="63" spans="4:31">
      <c r="D63" s="169"/>
      <c r="E63" s="70" t="s">
        <v>1220</v>
      </c>
      <c r="F63" s="70"/>
      <c r="G63" s="70"/>
      <c r="H63" s="282"/>
      <c r="I63" s="282"/>
      <c r="J63" s="378"/>
      <c r="K63" s="378"/>
      <c r="L63" s="378"/>
      <c r="M63" s="378"/>
      <c r="N63" s="378"/>
      <c r="O63" s="378"/>
      <c r="P63" s="378"/>
      <c r="Q63" s="378"/>
      <c r="R63" s="378"/>
      <c r="S63" s="378"/>
      <c r="T63" s="378"/>
      <c r="U63" s="378"/>
      <c r="V63" s="378"/>
      <c r="W63" s="378"/>
      <c r="X63" s="378"/>
      <c r="Y63" s="378"/>
      <c r="Z63" s="378"/>
      <c r="AA63" s="378"/>
      <c r="AB63" s="378"/>
      <c r="AC63" s="378"/>
      <c r="AD63" s="378"/>
      <c r="AE63" s="171"/>
    </row>
    <row r="64" spans="4:31">
      <c r="D64" s="169"/>
      <c r="E64" s="1944" t="s">
        <v>1057</v>
      </c>
      <c r="F64" s="599" t="s">
        <v>609</v>
      </c>
      <c r="G64" s="70"/>
      <c r="H64" s="282"/>
      <c r="I64" s="282"/>
      <c r="J64" s="378"/>
      <c r="K64" s="378"/>
      <c r="L64" s="378"/>
      <c r="M64" s="378"/>
      <c r="N64" s="378"/>
      <c r="O64" s="378"/>
      <c r="P64" s="378"/>
      <c r="Q64" s="378"/>
      <c r="R64" s="378"/>
      <c r="S64" s="378"/>
      <c r="T64" s="378"/>
      <c r="U64" s="378"/>
      <c r="V64" s="378"/>
      <c r="W64" s="378"/>
      <c r="X64" s="378"/>
      <c r="Y64" s="378"/>
      <c r="Z64" s="378"/>
      <c r="AA64" s="378"/>
      <c r="AB64" s="378"/>
      <c r="AC64" s="378"/>
      <c r="AD64" s="378"/>
      <c r="AE64" s="171"/>
    </row>
    <row r="65" spans="4:31">
      <c r="D65" s="169"/>
      <c r="E65" s="70"/>
      <c r="F65" s="70"/>
      <c r="G65" s="1636" t="s">
        <v>1222</v>
      </c>
      <c r="H65" s="70"/>
      <c r="I65" s="282"/>
      <c r="J65" s="378"/>
      <c r="K65" s="378"/>
      <c r="L65" s="1957">
        <f>Indicators_FO!O294</f>
        <v>1</v>
      </c>
      <c r="M65" s="1957">
        <f>Indicators_FO!P294</f>
        <v>0</v>
      </c>
      <c r="N65" s="1957">
        <f>Indicators_FO!Q294</f>
        <v>1</v>
      </c>
      <c r="O65" s="1957">
        <f>Indicators_FO!R294</f>
        <v>1</v>
      </c>
      <c r="P65" s="1957">
        <f>Indicators_FO!S294</f>
        <v>1</v>
      </c>
      <c r="Q65" s="1957">
        <f>Indicators_FO!T294</f>
        <v>1</v>
      </c>
      <c r="R65" s="1957">
        <f>Indicators_FO!U294</f>
        <v>1</v>
      </c>
      <c r="S65" s="1957">
        <f>Indicators_FO!V294</f>
        <v>1</v>
      </c>
      <c r="T65" s="1957">
        <f>Indicators_FO!W294</f>
        <v>1</v>
      </c>
      <c r="U65" s="1957">
        <f ca="1">Indicators_FO!X294</f>
        <v>0</v>
      </c>
      <c r="V65" s="1957">
        <f ca="1">Indicators_FO!Y294</f>
        <v>0</v>
      </c>
      <c r="W65" s="1957">
        <f ca="1">Indicators_FO!Z294</f>
        <v>0</v>
      </c>
      <c r="X65" s="1957">
        <f ca="1">Indicators_FO!AA294</f>
        <v>0</v>
      </c>
      <c r="Y65" s="1957">
        <f ca="1">Indicators_FO!AB294</f>
        <v>0</v>
      </c>
      <c r="Z65" s="1957">
        <f ca="1">Indicators_FO!AC294</f>
        <v>0</v>
      </c>
      <c r="AA65" s="1957">
        <f ca="1">Indicators_FO!AD294</f>
        <v>0</v>
      </c>
      <c r="AB65" s="1957">
        <f ca="1">Indicators_FO!AE294</f>
        <v>0</v>
      </c>
      <c r="AC65" s="1957">
        <f ca="1">Indicators_FO!AF294</f>
        <v>0</v>
      </c>
      <c r="AD65" s="1957">
        <f ca="1">Indicators_FO!AG294</f>
        <v>0</v>
      </c>
      <c r="AE65" s="171"/>
    </row>
    <row r="66" spans="4:31">
      <c r="D66" s="169"/>
      <c r="E66" s="70"/>
      <c r="F66" s="70"/>
      <c r="G66" s="70" t="s">
        <v>1223</v>
      </c>
      <c r="H66" s="282"/>
      <c r="I66" s="282"/>
      <c r="J66" s="378"/>
      <c r="K66" s="378"/>
      <c r="L66" s="1957">
        <f>Indicators_FO!O303</f>
        <v>1</v>
      </c>
      <c r="M66" s="1957">
        <f>Indicators_FO!P303</f>
        <v>1</v>
      </c>
      <c r="N66" s="1957">
        <f>Indicators_FO!Q303</f>
        <v>1</v>
      </c>
      <c r="O66" s="1957">
        <f>Indicators_FO!R303</f>
        <v>1</v>
      </c>
      <c r="P66" s="1957">
        <f>Indicators_FO!S303</f>
        <v>1</v>
      </c>
      <c r="Q66" s="1957">
        <f>Indicators_FO!T303</f>
        <v>1</v>
      </c>
      <c r="R66" s="1957">
        <f>Indicators_FO!U303</f>
        <v>1</v>
      </c>
      <c r="S66" s="1957">
        <f>Indicators_FO!V303</f>
        <v>1</v>
      </c>
      <c r="T66" s="1957">
        <f>Indicators_FO!W303</f>
        <v>1</v>
      </c>
      <c r="U66" s="1957">
        <f ca="1">Indicators_FO!X303</f>
        <v>1</v>
      </c>
      <c r="V66" s="1957">
        <f ca="1">Indicators_FO!Y303</f>
        <v>0</v>
      </c>
      <c r="W66" s="1957">
        <f ca="1">Indicators_FO!Z303</f>
        <v>0</v>
      </c>
      <c r="X66" s="1957">
        <f ca="1">Indicators_FO!AA303</f>
        <v>0</v>
      </c>
      <c r="Y66" s="1957">
        <f ca="1">Indicators_FO!AB303</f>
        <v>0</v>
      </c>
      <c r="Z66" s="1957">
        <f ca="1">Indicators_FO!AC303</f>
        <v>0</v>
      </c>
      <c r="AA66" s="1957">
        <f ca="1">Indicators_FO!AD303</f>
        <v>0</v>
      </c>
      <c r="AB66" s="1957">
        <f ca="1">Indicators_FO!AE303</f>
        <v>0</v>
      </c>
      <c r="AC66" s="1957">
        <f ca="1">Indicators_FO!AF303</f>
        <v>0</v>
      </c>
      <c r="AD66" s="1957">
        <f ca="1">Indicators_FO!AG303</f>
        <v>0</v>
      </c>
      <c r="AE66" s="171"/>
    </row>
    <row r="67" spans="4:31">
      <c r="D67" s="169"/>
      <c r="E67" s="70"/>
      <c r="F67" s="70"/>
      <c r="G67" s="70"/>
      <c r="H67" s="282"/>
      <c r="I67" s="282"/>
      <c r="J67" s="378"/>
      <c r="K67" s="378"/>
      <c r="L67" s="378"/>
      <c r="M67" s="378"/>
      <c r="N67" s="378"/>
      <c r="O67" s="378"/>
      <c r="P67" s="378"/>
      <c r="Q67" s="378"/>
      <c r="R67" s="378"/>
      <c r="S67" s="378"/>
      <c r="T67" s="378"/>
      <c r="U67" s="378"/>
      <c r="V67" s="378"/>
      <c r="W67" s="378"/>
      <c r="X67" s="378"/>
      <c r="Y67" s="378"/>
      <c r="Z67" s="378"/>
      <c r="AA67" s="378"/>
      <c r="AB67" s="378"/>
      <c r="AC67" s="378"/>
      <c r="AD67" s="378"/>
      <c r="AE67" s="171"/>
    </row>
    <row r="68" spans="4:31">
      <c r="D68" s="169"/>
      <c r="E68" s="1944" t="s">
        <v>1059</v>
      </c>
      <c r="F68" s="599" t="s">
        <v>1086</v>
      </c>
      <c r="G68" s="70"/>
      <c r="H68" s="282"/>
      <c r="I68" s="282"/>
      <c r="J68" s="378"/>
      <c r="K68" s="378"/>
      <c r="L68" s="378"/>
      <c r="M68" s="378"/>
      <c r="N68" s="378"/>
      <c r="O68" s="378"/>
      <c r="P68" s="378"/>
      <c r="Q68" s="378"/>
      <c r="R68" s="378"/>
      <c r="S68" s="378"/>
      <c r="T68" s="378"/>
      <c r="U68" s="378"/>
      <c r="V68" s="378"/>
      <c r="W68" s="378"/>
      <c r="X68" s="378"/>
      <c r="Y68" s="378"/>
      <c r="Z68" s="378"/>
      <c r="AA68" s="378"/>
      <c r="AB68" s="378"/>
      <c r="AC68" s="378"/>
      <c r="AD68" s="378"/>
      <c r="AE68" s="171"/>
    </row>
    <row r="69" spans="4:31">
      <c r="D69" s="169"/>
      <c r="E69" s="70"/>
      <c r="F69" s="70"/>
      <c r="G69" s="70" t="s">
        <v>777</v>
      </c>
      <c r="H69" s="282"/>
      <c r="I69" s="282"/>
      <c r="J69" s="378"/>
      <c r="K69" s="378"/>
      <c r="L69" s="1957">
        <f>Indicators_FO!O314</f>
        <v>1</v>
      </c>
      <c r="M69" s="1957">
        <f>Indicators_FO!P314</f>
        <v>0</v>
      </c>
      <c r="N69" s="1957">
        <f>Indicators_FO!Q314</f>
        <v>1</v>
      </c>
      <c r="O69" s="1957">
        <f>Indicators_FO!R314</f>
        <v>1</v>
      </c>
      <c r="P69" s="1957">
        <f>Indicators_FO!S314</f>
        <v>1</v>
      </c>
      <c r="Q69" s="1957">
        <f>Indicators_FO!T314</f>
        <v>1</v>
      </c>
      <c r="R69" s="1957">
        <f>Indicators_FO!U314</f>
        <v>1</v>
      </c>
      <c r="S69" s="1957">
        <f>Indicators_FO!V314</f>
        <v>1</v>
      </c>
      <c r="T69" s="1957">
        <f>Indicators_FO!W314</f>
        <v>1</v>
      </c>
      <c r="U69" s="1957">
        <f ca="1">Indicators_FO!X314</f>
        <v>1</v>
      </c>
      <c r="V69" s="1957">
        <f ca="1">Indicators_FO!Y314</f>
        <v>0</v>
      </c>
      <c r="W69" s="1957">
        <f ca="1">Indicators_FO!Z314</f>
        <v>0</v>
      </c>
      <c r="X69" s="1957">
        <f ca="1">Indicators_FO!AA314</f>
        <v>0</v>
      </c>
      <c r="Y69" s="1957">
        <f ca="1">Indicators_FO!AB314</f>
        <v>0</v>
      </c>
      <c r="Z69" s="1957">
        <f ca="1">Indicators_FO!AC314</f>
        <v>0</v>
      </c>
      <c r="AA69" s="1957">
        <f ca="1">Indicators_FO!AD314</f>
        <v>0</v>
      </c>
      <c r="AB69" s="1957">
        <f ca="1">Indicators_FO!AE314</f>
        <v>0</v>
      </c>
      <c r="AC69" s="1957">
        <f ca="1">Indicators_FO!AF314</f>
        <v>0</v>
      </c>
      <c r="AD69" s="1957">
        <f ca="1">Indicators_FO!AG314</f>
        <v>0</v>
      </c>
      <c r="AE69" s="171"/>
    </row>
    <row r="70" spans="4:31">
      <c r="D70" s="169"/>
      <c r="H70" s="1636"/>
      <c r="I70" s="282"/>
      <c r="J70" s="378"/>
      <c r="K70" s="378"/>
      <c r="L70" s="378"/>
      <c r="M70" s="378"/>
      <c r="N70" s="378"/>
      <c r="O70" s="378"/>
      <c r="P70" s="378"/>
      <c r="Q70" s="378"/>
      <c r="R70" s="378"/>
      <c r="S70" s="378"/>
      <c r="T70" s="378"/>
      <c r="U70" s="378"/>
      <c r="V70" s="378"/>
      <c r="W70" s="378"/>
      <c r="X70" s="378"/>
      <c r="Y70" s="378"/>
      <c r="Z70" s="378"/>
      <c r="AA70" s="378"/>
      <c r="AB70" s="378"/>
      <c r="AC70" s="378"/>
      <c r="AD70" s="378"/>
      <c r="AE70" s="171"/>
    </row>
    <row r="71" spans="4:31" ht="12.75" thickBot="1">
      <c r="D71" s="182"/>
      <c r="E71" s="183"/>
      <c r="F71" s="183"/>
      <c r="G71" s="183"/>
      <c r="H71" s="184"/>
      <c r="I71" s="184"/>
      <c r="J71" s="183"/>
      <c r="K71" s="183"/>
      <c r="L71" s="183"/>
      <c r="M71" s="183"/>
      <c r="N71" s="183"/>
      <c r="O71" s="183"/>
      <c r="P71" s="183"/>
      <c r="Q71" s="183"/>
      <c r="R71" s="183"/>
      <c r="S71" s="183"/>
      <c r="T71" s="183"/>
      <c r="U71" s="183"/>
      <c r="V71" s="183"/>
      <c r="W71" s="183"/>
      <c r="X71" s="183"/>
      <c r="Y71" s="183"/>
      <c r="Z71" s="183"/>
      <c r="AA71" s="183"/>
      <c r="AB71" s="183"/>
      <c r="AC71" s="183"/>
      <c r="AD71" s="183"/>
      <c r="AE71" s="186"/>
    </row>
  </sheetData>
  <sheetProtection algorithmName="SHA-512" hashValue="rXaOkIQ8aOOgDXzzXlqNtI3iV7ID+5S8w7dpkDnnQwd2hbUFtNFhl/LRAwSYQmxYawXUkyaSzSaJappodTPPiw==" saltValue="qq+hMFmq/3URNGZhM4Ux2A==" spinCount="100000" sheet="1" objects="1" scenarios="1"/>
  <mergeCells count="1">
    <mergeCell ref="B3:F3"/>
  </mergeCells>
  <conditionalFormatting sqref="D10:H10">
    <cfRule type="containsText" dxfId="150" priority="4" operator="containsText" text="YES">
      <formula>NOT(ISERROR(SEARCH("YES",D10)))</formula>
    </cfRule>
    <cfRule type="containsText" dxfId="149" priority="5" operator="containsText" text="NO">
      <formula>NOT(ISERROR(SEARCH("NO",D10)))</formula>
    </cfRule>
  </conditionalFormatting>
  <conditionalFormatting sqref="L23:AD23">
    <cfRule type="containsText" dxfId="148" priority="56" operator="containsText" text="FALSE">
      <formula>NOT(ISERROR(SEARCH("FALSE",L23)))</formula>
    </cfRule>
    <cfRule type="cellIs" dxfId="147" priority="55" operator="equal">
      <formula>0</formula>
    </cfRule>
  </conditionalFormatting>
  <conditionalFormatting sqref="L39:AD39">
    <cfRule type="containsText" dxfId="146" priority="48" operator="containsText" text="FALSE">
      <formula>NOT(ISERROR(SEARCH("FALSE",L39)))</formula>
    </cfRule>
    <cfRule type="cellIs" dxfId="145" priority="47" operator="equal">
      <formula>0</formula>
    </cfRule>
  </conditionalFormatting>
  <conditionalFormatting sqref="L46:AD46">
    <cfRule type="cellIs" dxfId="144" priority="33" operator="equal">
      <formula>0</formula>
    </cfRule>
    <cfRule type="containsText" dxfId="143" priority="34" operator="containsText" text="FALSE">
      <formula>NOT(ISERROR(SEARCH("FALSE",L46)))</formula>
    </cfRule>
  </conditionalFormatting>
  <conditionalFormatting sqref="L49:AD49">
    <cfRule type="cellIs" dxfId="142" priority="29" operator="equal">
      <formula>0</formula>
    </cfRule>
    <cfRule type="containsText" dxfId="141" priority="30" operator="containsText" text="FALSE">
      <formula>NOT(ISERROR(SEARCH("FALSE",L49)))</formula>
    </cfRule>
  </conditionalFormatting>
  <conditionalFormatting sqref="L55:AD56">
    <cfRule type="cellIs" dxfId="140" priority="12" operator="equal">
      <formula>0</formula>
    </cfRule>
  </conditionalFormatting>
  <conditionalFormatting sqref="L59:AD61">
    <cfRule type="cellIs" dxfId="139" priority="8" operator="equal">
      <formula>0</formula>
    </cfRule>
  </conditionalFormatting>
  <conditionalFormatting sqref="L65:AD66">
    <cfRule type="cellIs" dxfId="138" priority="1" operator="equal">
      <formula>0</formula>
    </cfRule>
  </conditionalFormatting>
  <conditionalFormatting sqref="T15">
    <cfRule type="cellIs" dxfId="137" priority="41" operator="equal">
      <formula>0</formula>
    </cfRule>
    <cfRule type="containsText" dxfId="136" priority="42" operator="containsText" text="FALSE">
      <formula>NOT(ISERROR(SEARCH("FALSE",T15)))</formula>
    </cfRule>
  </conditionalFormatting>
  <conditionalFormatting sqref="T18">
    <cfRule type="containsText" dxfId="135" priority="67" operator="containsText" text="FALSE">
      <formula>NOT(ISERROR(SEARCH("FALSE",T18)))</formula>
    </cfRule>
    <cfRule type="containsText" dxfId="134" priority="68" operator="containsText" text="TRUE">
      <formula>NOT(ISERROR(SEARCH("TRUE",T18)))</formula>
    </cfRule>
  </conditionalFormatting>
  <conditionalFormatting sqref="T21">
    <cfRule type="containsText" dxfId="133" priority="66" operator="containsText" text="TRUE">
      <formula>NOT(ISERROR(SEARCH("TRUE",T21)))</formula>
    </cfRule>
    <cfRule type="containsText" dxfId="132" priority="65" operator="containsText" text="FALSE">
      <formula>NOT(ISERROR(SEARCH("FALSE",T21)))</formula>
    </cfRule>
  </conditionalFormatting>
  <conditionalFormatting sqref="T32">
    <cfRule type="cellIs" dxfId="131" priority="39" operator="equal">
      <formula>0</formula>
    </cfRule>
    <cfRule type="containsText" dxfId="130" priority="40" operator="containsText" text="FALSE">
      <formula>NOT(ISERROR(SEARCH("FALSE",T32)))</formula>
    </cfRule>
  </conditionalFormatting>
  <conditionalFormatting sqref="T35">
    <cfRule type="cellIs" dxfId="129" priority="45" operator="equal">
      <formula>0</formula>
    </cfRule>
    <cfRule type="containsText" dxfId="128" priority="46" operator="containsText" text="FALSE">
      <formula>NOT(ISERROR(SEARCH("FALSE",T35)))</formula>
    </cfRule>
  </conditionalFormatting>
  <conditionalFormatting sqref="T37">
    <cfRule type="containsText" dxfId="127" priority="44" operator="containsText" text="FALSE">
      <formula>NOT(ISERROR(SEARCH("FALSE",T37)))</formula>
    </cfRule>
    <cfRule type="cellIs" dxfId="126" priority="43" operator="equal">
      <formula>0</formula>
    </cfRule>
  </conditionalFormatting>
  <conditionalFormatting sqref="T42">
    <cfRule type="containsText" dxfId="125" priority="38" operator="containsText" text="FALSE">
      <formula>NOT(ISERROR(SEARCH("FALSE",T42)))</formula>
    </cfRule>
    <cfRule type="cellIs" dxfId="124" priority="37" operator="equal">
      <formula>0</formula>
    </cfRule>
  </conditionalFormatting>
  <conditionalFormatting sqref="T44">
    <cfRule type="containsText" dxfId="123" priority="32" operator="containsText" text="FALSE">
      <formula>NOT(ISERROR(SEARCH("FALSE",T44)))</formula>
    </cfRule>
    <cfRule type="cellIs" dxfId="122" priority="31" operator="equal">
      <formula>0</formula>
    </cfRule>
  </conditionalFormatting>
  <conditionalFormatting sqref="U42 W42:AD42">
    <cfRule type="containsText" dxfId="121" priority="63" operator="containsText" text="FALSE">
      <formula>NOT(ISERROR(SEARCH("FALSE",U42)))</formula>
    </cfRule>
    <cfRule type="containsText" dxfId="120" priority="64" operator="containsText" text="TRUE">
      <formula>NOT(ISERROR(SEARCH("TRUE",U42)))</formula>
    </cfRule>
  </conditionalFormatting>
  <conditionalFormatting sqref="U18:AD18">
    <cfRule type="cellIs" dxfId="119" priority="49" operator="equal">
      <formula>0</formula>
    </cfRule>
    <cfRule type="containsText" dxfId="118" priority="50" operator="containsText" text="FALSE">
      <formula>NOT(ISERROR(SEARCH("FALSE",U18)))</formula>
    </cfRule>
  </conditionalFormatting>
  <conditionalFormatting sqref="U21:AD21">
    <cfRule type="cellIs" dxfId="117" priority="51" operator="equal">
      <formula>0</formula>
    </cfRule>
    <cfRule type="containsText" dxfId="116" priority="52" operator="containsText" text="FALSE">
      <formula>NOT(ISERROR(SEARCH("FALSE",U21)))</formula>
    </cfRule>
  </conditionalFormatting>
  <conditionalFormatting sqref="U26:AD26">
    <cfRule type="cellIs" dxfId="115" priority="53" operator="equal">
      <formula>0</formula>
    </cfRule>
    <cfRule type="containsText" dxfId="114" priority="54" operator="containsText" text="FALSE">
      <formula>NOT(ISERROR(SEARCH("FALSE",U26)))</formula>
    </cfRule>
  </conditionalFormatting>
  <conditionalFormatting sqref="U29:AD29 L69:AD69">
    <cfRule type="cellIs" dxfId="113" priority="57" operator="equal">
      <formula>0</formula>
    </cfRule>
  </conditionalFormatting>
  <conditionalFormatting sqref="U29:AD29">
    <cfRule type="containsText" dxfId="112" priority="58" operator="containsText" text="FALSE">
      <formula>NOT(ISERROR(SEARCH("FALSE",U29)))</formula>
    </cfRule>
  </conditionalFormatting>
  <conditionalFormatting sqref="U32:AD32 U35 W35:AD35">
    <cfRule type="containsText" dxfId="111" priority="69" operator="containsText" text="FALSE">
      <formula>NOT(ISERROR(SEARCH("FALSE",U32)))</formula>
    </cfRule>
    <cfRule type="containsText" dxfId="110" priority="70" operator="containsText" text="TRUE">
      <formula>NOT(ISERROR(SEARCH("TRUE",U32)))</formula>
    </cfRule>
  </conditionalFormatting>
  <hyperlinks>
    <hyperlink ref="B3" location="HL_Home" tooltip="Go to Table of Contents" display="HL_Home" xr:uid="{6CC0D061-0E42-487F-AC1B-19B036535611}"/>
  </hyperlinks>
  <pageMargins left="0.7" right="0.7" top="0.75" bottom="0.75" header="0.3" footer="0.3"/>
  <pageSetup paperSize="9" orientation="portrait" r:id="rId1"/>
  <headerFooter>
    <oddHeader>&amp;C&amp;"Calibri"&amp;12&amp;KFF0000 OFFICIAL&amp;1#_x000D_&amp;"Arial"&amp;8&amp;K000000&amp;B&amp;"Arial"&amp;12&amp;Kff0000​‌OFFICIAL‌​</oddHeader>
  </headerFooter>
  <ignoredErrors>
    <ignoredError sqref="E57:E58 E14:E52 E54:E55" numberStoredAsText="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4">
    <pageSetUpPr autoPageBreaks="0"/>
  </sheetPr>
  <dimension ref="A1:AV85"/>
  <sheetViews>
    <sheetView showGridLines="0" zoomScaleNormal="100" workbookViewId="0">
      <pane xSplit="8" ySplit="7" topLeftCell="AB8" activePane="bottomRight" state="frozen"/>
      <selection activeCell="U1" sqref="U1"/>
      <selection pane="topRight" activeCell="U1" sqref="U1"/>
      <selection pane="bottomLeft" activeCell="U1" sqref="U1"/>
      <selection pane="bottomRight" activeCell="AP23" sqref="AP23"/>
    </sheetView>
  </sheetViews>
  <sheetFormatPr defaultColWidth="10.83203125" defaultRowHeight="12"/>
  <cols>
    <col min="1" max="3" width="2.5" style="70" customWidth="1"/>
    <col min="4" max="5" width="3.83203125" style="70" customWidth="1"/>
    <col min="6" max="6" width="17.33203125" style="70" customWidth="1"/>
    <col min="7" max="28" width="10.33203125" style="70" customWidth="1"/>
    <col min="29" max="29" width="12" style="70" customWidth="1"/>
    <col min="30" max="30" width="13" style="70" bestFit="1" customWidth="1"/>
    <col min="31" max="31" width="12.5" style="70" customWidth="1"/>
    <col min="32" max="33" width="13" style="70" bestFit="1" customWidth="1"/>
    <col min="34" max="34" width="12.33203125" style="70" customWidth="1"/>
    <col min="35" max="35" width="11.5" style="70" customWidth="1"/>
    <col min="36" max="36" width="14.6640625" style="70" customWidth="1"/>
    <col min="37" max="37" width="15" style="70" customWidth="1"/>
    <col min="38" max="41" width="12.83203125" style="70" customWidth="1"/>
    <col min="42" max="16384" width="10.83203125" style="70"/>
  </cols>
  <sheetData>
    <row r="1" spans="1:42" ht="15">
      <c r="A1" s="152">
        <v>80</v>
      </c>
      <c r="B1" s="153" t="s">
        <v>374</v>
      </c>
      <c r="R1" s="154"/>
    </row>
    <row r="2" spans="1:42" ht="12.75">
      <c r="B2" s="155" t="str">
        <f>+Contents!H7</f>
        <v>North East Water</v>
      </c>
      <c r="N2" s="156"/>
      <c r="O2" s="156"/>
      <c r="P2" s="156"/>
      <c r="Q2" s="156"/>
      <c r="R2" s="157"/>
      <c r="S2" s="158"/>
      <c r="T2" s="158"/>
      <c r="U2" s="158"/>
      <c r="V2" s="158"/>
      <c r="W2" s="158"/>
      <c r="X2" s="158"/>
      <c r="Y2" s="158"/>
      <c r="Z2" s="158"/>
      <c r="AA2" s="158"/>
    </row>
    <row r="3" spans="1:42">
      <c r="B3" s="2212" t="s">
        <v>0</v>
      </c>
      <c r="C3" s="2212"/>
      <c r="D3" s="2212"/>
      <c r="E3" s="2212"/>
      <c r="F3" s="2212"/>
      <c r="G3" s="159"/>
      <c r="H3" s="159"/>
    </row>
    <row r="4" spans="1:42">
      <c r="A4" s="160"/>
      <c r="B4" s="72"/>
      <c r="C4" s="73"/>
      <c r="F4" s="60"/>
      <c r="K4" s="63"/>
      <c r="L4" s="149" t="s">
        <v>59</v>
      </c>
      <c r="M4" s="62"/>
      <c r="N4" s="63"/>
      <c r="O4" s="64"/>
      <c r="P4" s="149" t="s">
        <v>60</v>
      </c>
      <c r="Q4" s="64"/>
      <c r="R4" s="62"/>
      <c r="S4" s="63"/>
      <c r="T4" s="149"/>
      <c r="U4" s="149" t="s">
        <v>274</v>
      </c>
      <c r="V4" s="149"/>
      <c r="W4" s="149"/>
      <c r="X4" s="1619"/>
      <c r="Y4" s="150"/>
      <c r="Z4" s="150"/>
      <c r="AA4" s="150"/>
      <c r="AB4" s="1619" t="s">
        <v>334</v>
      </c>
      <c r="AC4" s="150"/>
      <c r="AD4" s="150"/>
      <c r="AE4" s="150"/>
      <c r="AF4" s="1619"/>
      <c r="AG4" s="150"/>
      <c r="AH4" s="150" t="s">
        <v>465</v>
      </c>
      <c r="AI4" s="150"/>
      <c r="AJ4" s="62"/>
      <c r="AK4" s="64"/>
      <c r="AL4" s="64"/>
      <c r="AM4" s="150" t="s">
        <v>949</v>
      </c>
      <c r="AN4" s="63"/>
      <c r="AO4" s="62"/>
    </row>
    <row r="6" spans="1:42" s="163" customFormat="1">
      <c r="F6" s="163" t="s">
        <v>62</v>
      </c>
      <c r="K6" s="163">
        <v>2006</v>
      </c>
      <c r="L6" s="163">
        <v>2007</v>
      </c>
      <c r="M6" s="163">
        <v>2008</v>
      </c>
      <c r="N6" s="163">
        <v>2009</v>
      </c>
      <c r="O6" s="163">
        <v>2010</v>
      </c>
      <c r="P6" s="163">
        <v>2011</v>
      </c>
      <c r="Q6" s="163">
        <v>2012</v>
      </c>
      <c r="R6" s="163">
        <v>2013</v>
      </c>
      <c r="S6" s="163">
        <v>2014</v>
      </c>
      <c r="T6" s="163">
        <v>2015</v>
      </c>
      <c r="U6" s="163">
        <v>2016</v>
      </c>
      <c r="V6" s="163">
        <v>2017</v>
      </c>
      <c r="W6" s="163">
        <v>2018</v>
      </c>
      <c r="X6" s="163">
        <v>2019</v>
      </c>
      <c r="Y6" s="163">
        <v>2020</v>
      </c>
      <c r="Z6" s="163">
        <v>2021</v>
      </c>
      <c r="AA6" s="163">
        <v>2022</v>
      </c>
      <c r="AB6" s="163">
        <v>2023</v>
      </c>
      <c r="AC6" s="163">
        <v>2024</v>
      </c>
      <c r="AD6" s="163">
        <v>2025</v>
      </c>
      <c r="AE6" s="163">
        <v>2026</v>
      </c>
      <c r="AF6" s="163">
        <v>2027</v>
      </c>
      <c r="AG6" s="163">
        <v>2028</v>
      </c>
      <c r="AH6" s="163">
        <f t="shared" ref="AH6:AO6" si="0">AG6+1</f>
        <v>2029</v>
      </c>
      <c r="AI6" s="163">
        <f t="shared" si="0"/>
        <v>2030</v>
      </c>
      <c r="AJ6" s="163">
        <f t="shared" si="0"/>
        <v>2031</v>
      </c>
      <c r="AK6" s="163">
        <f t="shared" si="0"/>
        <v>2032</v>
      </c>
      <c r="AL6" s="163">
        <f t="shared" si="0"/>
        <v>2033</v>
      </c>
      <c r="AM6" s="163">
        <f t="shared" si="0"/>
        <v>2034</v>
      </c>
      <c r="AN6" s="163">
        <f t="shared" si="0"/>
        <v>2035</v>
      </c>
      <c r="AO6" s="163">
        <f t="shared" si="0"/>
        <v>2036</v>
      </c>
    </row>
    <row r="7" spans="1:42">
      <c r="A7" s="75"/>
      <c r="B7" s="164"/>
      <c r="C7" s="75"/>
      <c r="D7" s="75"/>
      <c r="E7" s="75"/>
      <c r="F7" s="165" t="s">
        <v>63</v>
      </c>
      <c r="G7" s="75"/>
      <c r="H7" s="75"/>
      <c r="I7" s="68" t="s">
        <v>220</v>
      </c>
      <c r="J7" s="68" t="s">
        <v>88</v>
      </c>
      <c r="K7" s="68" t="str">
        <f>+CONCATENATE(K6-1,"-",RIGHT(K6,2))</f>
        <v>2005-06</v>
      </c>
      <c r="L7" s="68" t="str">
        <f t="shared" ref="L7:S7" si="1">+CONCATENATE(L6-1,"-",RIGHT(L6,2))</f>
        <v>2006-07</v>
      </c>
      <c r="M7" s="68" t="str">
        <f t="shared" si="1"/>
        <v>2007-08</v>
      </c>
      <c r="N7" s="68" t="str">
        <f t="shared" si="1"/>
        <v>2008-09</v>
      </c>
      <c r="O7" s="68" t="str">
        <f t="shared" si="1"/>
        <v>2009-10</v>
      </c>
      <c r="P7" s="68" t="str">
        <f t="shared" si="1"/>
        <v>2010-11</v>
      </c>
      <c r="Q7" s="68" t="str">
        <f t="shared" si="1"/>
        <v>2011-12</v>
      </c>
      <c r="R7" s="68" t="str">
        <f t="shared" si="1"/>
        <v>2012-13</v>
      </c>
      <c r="S7" s="68" t="str">
        <f t="shared" si="1"/>
        <v>2013-14</v>
      </c>
      <c r="T7" s="68" t="str">
        <f t="shared" ref="T7:AO7" si="2">+CONCATENATE(T6-1,"-",RIGHT(T6,2))</f>
        <v>2014-15</v>
      </c>
      <c r="U7" s="2128" t="str">
        <f t="shared" si="2"/>
        <v>2015-16</v>
      </c>
      <c r="V7" s="68" t="str">
        <f t="shared" si="2"/>
        <v>2016-17</v>
      </c>
      <c r="W7" s="68" t="str">
        <f t="shared" si="2"/>
        <v>2017-18</v>
      </c>
      <c r="X7" s="68" t="str">
        <f t="shared" si="2"/>
        <v>2018-19</v>
      </c>
      <c r="Y7" s="68" t="str">
        <f t="shared" si="2"/>
        <v>2019-20</v>
      </c>
      <c r="Z7" s="68" t="str">
        <f t="shared" si="2"/>
        <v>2020-21</v>
      </c>
      <c r="AA7" s="68" t="str">
        <f t="shared" si="2"/>
        <v>2021-22</v>
      </c>
      <c r="AB7" s="68" t="str">
        <f t="shared" si="2"/>
        <v>2022-23</v>
      </c>
      <c r="AC7" s="68" t="str">
        <f t="shared" si="2"/>
        <v>2023-24</v>
      </c>
      <c r="AD7" s="68" t="str">
        <f t="shared" si="2"/>
        <v>2024-25</v>
      </c>
      <c r="AE7" s="68" t="str">
        <f t="shared" si="2"/>
        <v>2025-26</v>
      </c>
      <c r="AF7" s="68" t="str">
        <f t="shared" si="2"/>
        <v>2026-27</v>
      </c>
      <c r="AG7" s="68" t="str">
        <f t="shared" si="2"/>
        <v>2027-28</v>
      </c>
      <c r="AH7" s="68" t="str">
        <f t="shared" si="2"/>
        <v>2028-29</v>
      </c>
      <c r="AI7" s="68" t="str">
        <f t="shared" si="2"/>
        <v>2029-30</v>
      </c>
      <c r="AJ7" s="68" t="str">
        <f t="shared" si="2"/>
        <v>2030-31</v>
      </c>
      <c r="AK7" s="68" t="str">
        <f t="shared" si="2"/>
        <v>2031-32</v>
      </c>
      <c r="AL7" s="68" t="str">
        <f t="shared" si="2"/>
        <v>2032-33</v>
      </c>
      <c r="AM7" s="68" t="str">
        <f t="shared" si="2"/>
        <v>2033-34</v>
      </c>
      <c r="AN7" s="68" t="str">
        <f t="shared" si="2"/>
        <v>2034-35</v>
      </c>
      <c r="AO7" s="68" t="str">
        <f t="shared" si="2"/>
        <v>2035-36</v>
      </c>
    </row>
    <row r="9" spans="1:42" ht="12.75" thickBot="1"/>
    <row r="10" spans="1:42">
      <c r="D10" s="166"/>
      <c r="E10" s="167"/>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8"/>
    </row>
    <row r="11" spans="1:42">
      <c r="D11" s="169"/>
      <c r="E11" s="170" t="s">
        <v>48</v>
      </c>
      <c r="AP11" s="171"/>
    </row>
    <row r="12" spans="1:42">
      <c r="D12" s="169"/>
      <c r="AE12" s="2157" t="s">
        <v>854</v>
      </c>
      <c r="AP12" s="171"/>
    </row>
    <row r="13" spans="1:42">
      <c r="D13" s="169"/>
      <c r="F13" s="70" t="s">
        <v>78</v>
      </c>
      <c r="I13" s="172">
        <v>141.30000000000001</v>
      </c>
      <c r="J13" s="173">
        <v>144.1</v>
      </c>
      <c r="K13" s="173">
        <v>147.5</v>
      </c>
      <c r="L13" s="173">
        <v>151.9</v>
      </c>
      <c r="M13" s="173">
        <v>155.6</v>
      </c>
      <c r="N13" s="173">
        <v>162.19999999999999</v>
      </c>
      <c r="O13" s="173">
        <v>166.2</v>
      </c>
      <c r="P13" s="173">
        <v>171</v>
      </c>
      <c r="Q13" s="173">
        <v>176.7</v>
      </c>
      <c r="R13" s="174">
        <v>99.9</v>
      </c>
      <c r="S13" s="175">
        <v>102.4</v>
      </c>
      <c r="T13" s="175">
        <v>105.4</v>
      </c>
      <c r="U13" s="175">
        <v>106.8</v>
      </c>
      <c r="V13" s="175">
        <v>108.2</v>
      </c>
      <c r="W13" s="175">
        <v>110.5</v>
      </c>
      <c r="X13" s="175">
        <v>112.6</v>
      </c>
      <c r="Y13" s="175">
        <v>114.1</v>
      </c>
      <c r="Z13" s="175">
        <v>116.6</v>
      </c>
      <c r="AA13" s="175">
        <v>117.9</v>
      </c>
      <c r="AB13" s="175">
        <v>123.9</v>
      </c>
      <c r="AC13" s="175">
        <v>132.6</v>
      </c>
      <c r="AD13" s="175">
        <v>137.4</v>
      </c>
      <c r="AE13" s="294">
        <v>140.69999999999999</v>
      </c>
      <c r="AP13" s="171"/>
    </row>
    <row r="14" spans="1:42">
      <c r="D14" s="169"/>
      <c r="F14" s="70" t="s">
        <v>79</v>
      </c>
      <c r="I14" s="176"/>
      <c r="J14" s="176">
        <f>+J13/I13-1</f>
        <v>1.9815994338287179E-2</v>
      </c>
      <c r="K14" s="176">
        <v>2.3594725884802159E-2</v>
      </c>
      <c r="L14" s="176">
        <v>2.9830508474576245E-2</v>
      </c>
      <c r="M14" s="176">
        <v>2.4358130348913765E-2</v>
      </c>
      <c r="N14" s="176">
        <v>4.2416452442159303E-2</v>
      </c>
      <c r="O14" s="176">
        <v>2.4660912453760897E-2</v>
      </c>
      <c r="P14" s="176">
        <v>2.8880866425992746E-2</v>
      </c>
      <c r="Q14" s="176">
        <v>3.3333333333333215E-2</v>
      </c>
      <c r="R14" s="177">
        <v>1.5846066779853007E-2</v>
      </c>
      <c r="S14" s="177">
        <f>+IF(S13=0,$AF$44,S13/R13-1)</f>
        <v>2.5025025025025016E-2</v>
      </c>
      <c r="T14" s="177">
        <f>+IF(T13=0,$AF$44,T13/S13-1)</f>
        <v>2.9296875E-2</v>
      </c>
      <c r="U14" s="177">
        <f>+IF(U13=0,$AF$44,U13/T13-1)</f>
        <v>1.3282732447817747E-2</v>
      </c>
      <c r="V14" s="177">
        <f>+IF(V13=0,$AF$44,V13/U13-1)</f>
        <v>1.3108614232209881E-2</v>
      </c>
      <c r="W14" s="177">
        <f t="shared" ref="W14:AD14" si="3">+IF(W13=0,$AF$44,W13/V13-1)</f>
        <v>2.1256931608133023E-2</v>
      </c>
      <c r="X14" s="177">
        <f t="shared" si="3"/>
        <v>1.9004524886877761E-2</v>
      </c>
      <c r="Y14" s="177">
        <f t="shared" si="3"/>
        <v>1.3321492007104752E-2</v>
      </c>
      <c r="Z14" s="177">
        <f t="shared" si="3"/>
        <v>2.1910604732690686E-2</v>
      </c>
      <c r="AA14" s="177">
        <f t="shared" si="3"/>
        <v>1.1149228130360234E-2</v>
      </c>
      <c r="AB14" s="177">
        <f t="shared" si="3"/>
        <v>5.0890585241730291E-2</v>
      </c>
      <c r="AC14" s="177">
        <f t="shared" si="3"/>
        <v>7.0217917675544639E-2</v>
      </c>
      <c r="AD14" s="177">
        <f t="shared" si="3"/>
        <v>3.6199095022624528E-2</v>
      </c>
      <c r="AE14" s="177">
        <f t="shared" ref="AE14:AO14" si="4">+IF(AE13=0,$AF$44,AE13/AD13-1)</f>
        <v>2.4017467248908186E-2</v>
      </c>
      <c r="AF14" s="177">
        <f t="shared" si="4"/>
        <v>2.9000000000000001E-2</v>
      </c>
      <c r="AG14" s="177">
        <f t="shared" si="4"/>
        <v>2.9000000000000001E-2</v>
      </c>
      <c r="AH14" s="177">
        <f t="shared" si="4"/>
        <v>2.9000000000000001E-2</v>
      </c>
      <c r="AI14" s="177">
        <f t="shared" si="4"/>
        <v>2.9000000000000001E-2</v>
      </c>
      <c r="AJ14" s="177">
        <f t="shared" si="4"/>
        <v>2.9000000000000001E-2</v>
      </c>
      <c r="AK14" s="177">
        <f t="shared" si="4"/>
        <v>2.9000000000000001E-2</v>
      </c>
      <c r="AL14" s="177">
        <f t="shared" si="4"/>
        <v>2.9000000000000001E-2</v>
      </c>
      <c r="AM14" s="177">
        <f t="shared" si="4"/>
        <v>2.9000000000000001E-2</v>
      </c>
      <c r="AN14" s="177">
        <f t="shared" si="4"/>
        <v>2.9000000000000001E-2</v>
      </c>
      <c r="AO14" s="177">
        <f t="shared" si="4"/>
        <v>2.9000000000000001E-2</v>
      </c>
      <c r="AP14" s="171"/>
    </row>
    <row r="15" spans="1:42">
      <c r="D15" s="169"/>
      <c r="F15" s="70" t="s">
        <v>49</v>
      </c>
      <c r="I15" s="178">
        <v>0.78718662952646246</v>
      </c>
      <c r="J15" s="178">
        <v>0.80278551532033426</v>
      </c>
      <c r="K15" s="178">
        <v>0.82172701949860727</v>
      </c>
      <c r="L15" s="178">
        <v>0.84623955431754883</v>
      </c>
      <c r="M15" s="178">
        <v>0.86685236768802221</v>
      </c>
      <c r="N15" s="178">
        <v>0.90362116991643449</v>
      </c>
      <c r="O15" s="178">
        <v>0.92590529247910858</v>
      </c>
      <c r="P15" s="178">
        <v>0.9526462395543176</v>
      </c>
      <c r="Q15" s="178">
        <v>0.98440111420612808</v>
      </c>
      <c r="R15" s="179">
        <f>+R13/$AE$13</f>
        <v>0.7100213219616206</v>
      </c>
      <c r="S15" s="179">
        <f>+S13/$AE$13</f>
        <v>0.72778962331201147</v>
      </c>
      <c r="T15" s="179">
        <f>+T13/$AE$13</f>
        <v>0.74911158493248053</v>
      </c>
      <c r="U15" s="179">
        <f>+U13/$AE$13</f>
        <v>0.75906183368869939</v>
      </c>
      <c r="V15" s="179">
        <f>+V13/$AE$13</f>
        <v>0.76901208244491837</v>
      </c>
      <c r="W15" s="179">
        <f t="shared" ref="W15:AD15" si="5">+W13/$AE$13</f>
        <v>0.785358919687278</v>
      </c>
      <c r="X15" s="179">
        <f t="shared" si="5"/>
        <v>0.80028429282160629</v>
      </c>
      <c r="Y15" s="179">
        <f t="shared" si="5"/>
        <v>0.81094527363184077</v>
      </c>
      <c r="Z15" s="179">
        <f t="shared" si="5"/>
        <v>0.82871357498223175</v>
      </c>
      <c r="AA15" s="179">
        <f t="shared" si="5"/>
        <v>0.8379530916844351</v>
      </c>
      <c r="AB15" s="179">
        <f t="shared" si="5"/>
        <v>0.88059701492537323</v>
      </c>
      <c r="AC15" s="179">
        <f t="shared" si="5"/>
        <v>0.94243070362473347</v>
      </c>
      <c r="AD15" s="179">
        <f t="shared" si="5"/>
        <v>0.97654584221748408</v>
      </c>
      <c r="AE15" s="179">
        <f>+AE13/$AE$13</f>
        <v>1</v>
      </c>
      <c r="AF15" s="179">
        <f t="shared" ref="AF15:AO15" si="6">+AE15*(1+AF14)</f>
        <v>1.0289999999999999</v>
      </c>
      <c r="AG15" s="179">
        <f t="shared" si="6"/>
        <v>1.0588409999999999</v>
      </c>
      <c r="AH15" s="179">
        <f t="shared" si="6"/>
        <v>1.0895473889999998</v>
      </c>
      <c r="AI15" s="179">
        <f t="shared" si="6"/>
        <v>1.1211442632809998</v>
      </c>
      <c r="AJ15" s="179">
        <f t="shared" si="6"/>
        <v>1.1536574469161487</v>
      </c>
      <c r="AK15" s="179">
        <f t="shared" si="6"/>
        <v>1.187113512876717</v>
      </c>
      <c r="AL15" s="179">
        <f t="shared" si="6"/>
        <v>1.2215398047501416</v>
      </c>
      <c r="AM15" s="179">
        <f t="shared" si="6"/>
        <v>1.2569644590878957</v>
      </c>
      <c r="AN15" s="179">
        <f t="shared" si="6"/>
        <v>1.2934164284014444</v>
      </c>
      <c r="AO15" s="179">
        <f t="shared" si="6"/>
        <v>1.3309255048250863</v>
      </c>
      <c r="AP15" s="171"/>
    </row>
    <row r="16" spans="1:42">
      <c r="D16" s="169"/>
      <c r="I16" s="1974" t="s">
        <v>778</v>
      </c>
      <c r="J16" s="1974"/>
      <c r="K16" s="1986"/>
      <c r="L16" s="1986"/>
      <c r="M16" s="1986"/>
      <c r="N16" s="1986"/>
      <c r="O16" s="1986"/>
      <c r="P16" s="1986"/>
      <c r="Q16" s="1986"/>
      <c r="R16" s="180"/>
      <c r="S16" s="180"/>
      <c r="T16" s="180"/>
      <c r="U16" s="180"/>
      <c r="V16" s="180"/>
      <c r="W16" s="180"/>
      <c r="X16" s="180"/>
      <c r="Y16" s="180"/>
      <c r="Z16" s="180"/>
      <c r="AA16" s="180"/>
      <c r="AB16" s="180"/>
      <c r="AC16" s="180"/>
      <c r="AD16" s="180"/>
      <c r="AE16" s="180"/>
      <c r="AF16" s="180"/>
      <c r="AG16" s="180"/>
      <c r="AH16" s="180"/>
      <c r="AI16" s="180"/>
      <c r="AJ16" s="181"/>
      <c r="AP16" s="171"/>
    </row>
    <row r="17" spans="4:48" ht="12.75" thickBot="1">
      <c r="D17" s="182"/>
      <c r="E17" s="183"/>
      <c r="F17" s="183"/>
      <c r="G17" s="183"/>
      <c r="H17" s="183"/>
      <c r="I17" s="183"/>
      <c r="J17" s="183"/>
      <c r="K17" s="183"/>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5"/>
      <c r="AK17" s="183"/>
      <c r="AL17" s="183"/>
      <c r="AM17" s="183"/>
      <c r="AN17" s="183"/>
      <c r="AO17" s="183"/>
      <c r="AP17" s="186"/>
    </row>
    <row r="19" spans="4:48" ht="12.75" thickBot="1"/>
    <row r="20" spans="4:48">
      <c r="D20" s="166"/>
      <c r="E20" s="167"/>
      <c r="F20" s="167"/>
      <c r="G20" s="167"/>
      <c r="H20" s="167"/>
      <c r="I20" s="167"/>
      <c r="J20" s="167"/>
      <c r="K20" s="167"/>
      <c r="L20" s="167"/>
      <c r="M20" s="167"/>
      <c r="N20" s="167"/>
      <c r="O20" s="167"/>
      <c r="P20" s="167"/>
      <c r="Q20" s="167"/>
      <c r="R20" s="167"/>
      <c r="S20" s="167"/>
      <c r="T20" s="167"/>
      <c r="U20" s="167"/>
      <c r="V20" s="167"/>
      <c r="W20" s="167"/>
      <c r="X20" s="167"/>
      <c r="Y20" s="167"/>
      <c r="Z20" s="167"/>
      <c r="AA20" s="167"/>
      <c r="AB20" s="167"/>
      <c r="AC20" s="167"/>
      <c r="AD20" s="167"/>
      <c r="AE20" s="167"/>
      <c r="AF20" s="167"/>
      <c r="AG20" s="167"/>
      <c r="AH20" s="167"/>
      <c r="AI20" s="167"/>
      <c r="AJ20" s="167"/>
      <c r="AK20" s="167"/>
      <c r="AL20" s="167"/>
      <c r="AM20" s="167"/>
      <c r="AN20" s="167"/>
      <c r="AO20" s="167"/>
      <c r="AP20" s="168"/>
    </row>
    <row r="21" spans="4:48">
      <c r="D21" s="169"/>
      <c r="E21" s="170" t="s">
        <v>585</v>
      </c>
      <c r="AP21" s="171"/>
    </row>
    <row r="22" spans="4:48">
      <c r="D22" s="169"/>
      <c r="AD22" s="2158" t="s">
        <v>854</v>
      </c>
      <c r="AE22" s="1992" t="s">
        <v>692</v>
      </c>
      <c r="AF22" s="1992" t="s">
        <v>692</v>
      </c>
      <c r="AG22" s="1992" t="s">
        <v>692</v>
      </c>
      <c r="AH22" s="1992" t="s">
        <v>692</v>
      </c>
      <c r="AI22" s="1992" t="s">
        <v>692</v>
      </c>
      <c r="AJ22" s="1992" t="s">
        <v>692</v>
      </c>
      <c r="AK22" s="1992" t="s">
        <v>692</v>
      </c>
      <c r="AL22" s="1992" t="s">
        <v>692</v>
      </c>
      <c r="AM22" s="1992" t="s">
        <v>692</v>
      </c>
      <c r="AN22" s="1992" t="s">
        <v>692</v>
      </c>
      <c r="AO22" s="1992" t="s">
        <v>692</v>
      </c>
      <c r="AP22" s="171"/>
    </row>
    <row r="23" spans="4:48" s="190" customFormat="1">
      <c r="D23" s="187"/>
      <c r="E23" s="188" t="s">
        <v>577</v>
      </c>
      <c r="F23" s="189"/>
      <c r="K23" s="70"/>
      <c r="L23" s="1670">
        <v>6.981666666666668E-2</v>
      </c>
      <c r="M23" s="1666">
        <v>7.4139999999999984E-2</v>
      </c>
      <c r="N23" s="1666">
        <v>6.9152578800222353E-2</v>
      </c>
      <c r="O23" s="1666">
        <v>7.3618709835995999E-2</v>
      </c>
      <c r="P23" s="1666">
        <v>7.0467841422711647E-2</v>
      </c>
      <c r="Q23" s="1666">
        <v>6.3088879406120971E-2</v>
      </c>
      <c r="R23" s="1666">
        <v>5.2694504596907034E-2</v>
      </c>
      <c r="S23" s="1666">
        <v>7.0525000000000004E-2</v>
      </c>
      <c r="T23" s="1666">
        <v>5.360833333333332E-2</v>
      </c>
      <c r="U23" s="1667">
        <v>5.2701384126838099E-2</v>
      </c>
      <c r="V23" s="1667">
        <v>4.9083333333333298E-2</v>
      </c>
      <c r="W23" s="1667">
        <v>4.5282999999999997E-2</v>
      </c>
      <c r="X23" s="1667">
        <v>4.6133333333333297E-2</v>
      </c>
      <c r="Y23" s="1668">
        <v>3.3058333333333301E-2</v>
      </c>
      <c r="Z23" s="1669">
        <v>3.0450000000000001E-2</v>
      </c>
      <c r="AA23" s="1669">
        <f>3.7533%</f>
        <v>3.7532999999999997E-2</v>
      </c>
      <c r="AB23" s="1669">
        <v>6.7608000000000001E-2</v>
      </c>
      <c r="AC23" s="1991">
        <v>6.5333000000000002E-2</v>
      </c>
      <c r="AD23" s="1671">
        <v>5.8432999999999999E-2</v>
      </c>
      <c r="AE23" s="1692">
        <f>AD23</f>
        <v>5.8432999999999999E-2</v>
      </c>
      <c r="AF23" s="1671">
        <f t="shared" ref="AF23:AO23" si="7">AE23</f>
        <v>5.8432999999999999E-2</v>
      </c>
      <c r="AG23" s="1671">
        <f t="shared" si="7"/>
        <v>5.8432999999999999E-2</v>
      </c>
      <c r="AH23" s="1671">
        <f t="shared" si="7"/>
        <v>5.8432999999999999E-2</v>
      </c>
      <c r="AI23" s="1671">
        <f t="shared" si="7"/>
        <v>5.8432999999999999E-2</v>
      </c>
      <c r="AJ23" s="1692">
        <f t="shared" si="7"/>
        <v>5.8432999999999999E-2</v>
      </c>
      <c r="AK23" s="1671">
        <f t="shared" si="7"/>
        <v>5.8432999999999999E-2</v>
      </c>
      <c r="AL23" s="1671">
        <f t="shared" si="7"/>
        <v>5.8432999999999999E-2</v>
      </c>
      <c r="AM23" s="1671">
        <f t="shared" si="7"/>
        <v>5.8432999999999999E-2</v>
      </c>
      <c r="AN23" s="1671">
        <f t="shared" si="7"/>
        <v>5.8432999999999999E-2</v>
      </c>
      <c r="AO23" s="1692">
        <f t="shared" si="7"/>
        <v>5.8432999999999999E-2</v>
      </c>
      <c r="AP23" s="191"/>
    </row>
    <row r="24" spans="4:48" s="74" customFormat="1">
      <c r="D24" s="192"/>
      <c r="E24" s="188" t="s">
        <v>578</v>
      </c>
      <c r="F24" s="193"/>
      <c r="K24" s="70"/>
      <c r="L24" s="194">
        <f>1/10</f>
        <v>0.1</v>
      </c>
      <c r="M24" s="194">
        <f>1/10</f>
        <v>0.1</v>
      </c>
      <c r="N24" s="194">
        <f>1/10</f>
        <v>0.1</v>
      </c>
      <c r="O24" s="194">
        <f>1/10</f>
        <v>0.1</v>
      </c>
      <c r="P24" s="194">
        <f t="shared" ref="P24:AO24" si="8">1/10</f>
        <v>0.1</v>
      </c>
      <c r="Q24" s="194">
        <f t="shared" si="8"/>
        <v>0.1</v>
      </c>
      <c r="R24" s="194">
        <f t="shared" si="8"/>
        <v>0.1</v>
      </c>
      <c r="S24" s="194">
        <f t="shared" si="8"/>
        <v>0.1</v>
      </c>
      <c r="T24" s="194">
        <f t="shared" si="8"/>
        <v>0.1</v>
      </c>
      <c r="U24" s="194">
        <f t="shared" si="8"/>
        <v>0.1</v>
      </c>
      <c r="V24" s="194">
        <f t="shared" si="8"/>
        <v>0.1</v>
      </c>
      <c r="W24" s="194">
        <f t="shared" si="8"/>
        <v>0.1</v>
      </c>
      <c r="X24" s="194">
        <f t="shared" si="8"/>
        <v>0.1</v>
      </c>
      <c r="Y24" s="194">
        <f t="shared" si="8"/>
        <v>0.1</v>
      </c>
      <c r="Z24" s="194">
        <f t="shared" si="8"/>
        <v>0.1</v>
      </c>
      <c r="AA24" s="194">
        <f t="shared" si="8"/>
        <v>0.1</v>
      </c>
      <c r="AB24" s="194">
        <f t="shared" si="8"/>
        <v>0.1</v>
      </c>
      <c r="AC24" s="194">
        <f t="shared" si="8"/>
        <v>0.1</v>
      </c>
      <c r="AD24" s="194">
        <f t="shared" si="8"/>
        <v>0.1</v>
      </c>
      <c r="AE24" s="194">
        <f t="shared" si="8"/>
        <v>0.1</v>
      </c>
      <c r="AF24" s="194">
        <f t="shared" si="8"/>
        <v>0.1</v>
      </c>
      <c r="AG24" s="194">
        <f t="shared" si="8"/>
        <v>0.1</v>
      </c>
      <c r="AH24" s="194">
        <f t="shared" si="8"/>
        <v>0.1</v>
      </c>
      <c r="AI24" s="194">
        <f t="shared" si="8"/>
        <v>0.1</v>
      </c>
      <c r="AJ24" s="194">
        <f t="shared" si="8"/>
        <v>0.1</v>
      </c>
      <c r="AK24" s="194">
        <f t="shared" si="8"/>
        <v>0.1</v>
      </c>
      <c r="AL24" s="194">
        <f t="shared" si="8"/>
        <v>0.1</v>
      </c>
      <c r="AM24" s="194">
        <f t="shared" si="8"/>
        <v>0.1</v>
      </c>
      <c r="AN24" s="194">
        <f t="shared" si="8"/>
        <v>0.1</v>
      </c>
      <c r="AO24" s="194">
        <f t="shared" si="8"/>
        <v>0.1</v>
      </c>
      <c r="AP24" s="195"/>
    </row>
    <row r="25" spans="4:48" s="74" customFormat="1">
      <c r="D25" s="192"/>
      <c r="E25" s="196"/>
      <c r="F25" s="193"/>
      <c r="K25" s="196"/>
      <c r="L25" s="196"/>
      <c r="M25" s="196"/>
      <c r="N25" s="196"/>
      <c r="O25" s="196"/>
      <c r="P25" s="196"/>
      <c r="Q25" s="196"/>
      <c r="R25" s="196"/>
      <c r="S25" s="196"/>
      <c r="T25" s="196"/>
      <c r="U25" s="196"/>
      <c r="V25" s="196"/>
      <c r="W25" s="196"/>
      <c r="X25" s="196"/>
      <c r="Y25" s="196"/>
      <c r="Z25" s="196"/>
      <c r="AA25" s="196"/>
      <c r="AB25" s="196"/>
      <c r="AC25" s="196"/>
      <c r="AD25" s="196"/>
      <c r="AE25" s="196"/>
      <c r="AF25" s="196"/>
      <c r="AG25" s="196"/>
      <c r="AH25" s="196"/>
      <c r="AI25" s="196"/>
      <c r="AJ25" s="196"/>
      <c r="AK25" s="196"/>
      <c r="AL25" s="196"/>
      <c r="AM25" s="196"/>
      <c r="AN25" s="196"/>
      <c r="AO25" s="196"/>
      <c r="AP25" s="195"/>
    </row>
    <row r="26" spans="4:48" s="74" customFormat="1">
      <c r="D26" s="192"/>
      <c r="E26" s="197" t="s">
        <v>579</v>
      </c>
      <c r="F26" s="193"/>
      <c r="K26" s="196"/>
      <c r="L26" s="196"/>
      <c r="M26" s="196"/>
      <c r="N26" s="196"/>
      <c r="O26" s="196"/>
      <c r="P26" s="196"/>
      <c r="Q26" s="196"/>
      <c r="R26" s="196"/>
      <c r="S26" s="196"/>
      <c r="T26" s="196"/>
      <c r="U26" s="196"/>
      <c r="V26" s="1672">
        <f>IF(U23&lt;&gt;"",SUMPRODUCT(L23:U23,L24:U24),"")</f>
        <v>6.4981389818879617E-2</v>
      </c>
      <c r="W26" s="1673">
        <f>IF(V23&lt;&gt;"",SUMPRODUCT(M23:V23,M24:V24),"")</f>
        <v>6.2908056485546288E-2</v>
      </c>
      <c r="X26" s="1673">
        <f>IF(W23&lt;&gt;"",SUMPRODUCT(N23:W23,N24:W24),"")</f>
        <v>6.0022356485546283E-2</v>
      </c>
      <c r="Y26" s="1673">
        <f>IF(X23&lt;&gt;"",SUMPRODUCT(O23:X23,O24:X24),"")</f>
        <v>5.7720431938857369E-2</v>
      </c>
      <c r="Z26" s="1673">
        <f>IF(Y23&lt;&gt;"",SUMPRODUCT(P23:Y23,P24:Y24),"")</f>
        <v>5.36643942885911E-2</v>
      </c>
      <c r="AA26" s="1674">
        <f t="shared" ref="AA26:AO26" si="9">IF(Z23&lt;&gt;"",SUMPRODUCT(Q23:Z23,Q24:Z24),"")</f>
        <v>4.9662610146319931E-2</v>
      </c>
      <c r="AB26" s="1672">
        <f t="shared" si="9"/>
        <v>4.7107022205707838E-2</v>
      </c>
      <c r="AC26" s="1673">
        <f t="shared" si="9"/>
        <v>4.8598371746017124E-2</v>
      </c>
      <c r="AD26" s="1673">
        <f t="shared" si="9"/>
        <v>4.8079171746017134E-2</v>
      </c>
      <c r="AE26" s="1674">
        <f>IF(AD23&lt;&gt;"",SUMPRODUCT(U23:AD23,U24:AD24),"")</f>
        <v>4.8561638412683808E-2</v>
      </c>
      <c r="AF26" s="1672">
        <f>IF(AE23&lt;&gt;"",SUMPRODUCT(V23:AE23,V24:AE24),"")</f>
        <v>4.9134799999999999E-2</v>
      </c>
      <c r="AG26" s="1673">
        <f t="shared" si="9"/>
        <v>5.0069766666666668E-2</v>
      </c>
      <c r="AH26" s="1673">
        <f t="shared" si="9"/>
        <v>5.1384766666666672E-2</v>
      </c>
      <c r="AI26" s="1673">
        <f t="shared" si="9"/>
        <v>5.2614733333333337E-2</v>
      </c>
      <c r="AJ26" s="1674">
        <f t="shared" si="9"/>
        <v>5.5152200000000012E-2</v>
      </c>
      <c r="AK26" s="1672">
        <f t="shared" si="9"/>
        <v>5.7950500000000009E-2</v>
      </c>
      <c r="AL26" s="1673">
        <f t="shared" si="9"/>
        <v>6.0040500000000011E-2</v>
      </c>
      <c r="AM26" s="1673">
        <f t="shared" si="9"/>
        <v>5.9123000000000009E-2</v>
      </c>
      <c r="AN26" s="1673">
        <f t="shared" si="9"/>
        <v>5.8433000000000013E-2</v>
      </c>
      <c r="AO26" s="1674">
        <f t="shared" si="9"/>
        <v>5.8433000000000013E-2</v>
      </c>
      <c r="AP26" s="195"/>
    </row>
    <row r="27" spans="4:48" s="74" customFormat="1" ht="12.75" thickBot="1">
      <c r="D27" s="198"/>
      <c r="E27" s="199"/>
      <c r="F27" s="200"/>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199"/>
      <c r="AN27" s="199"/>
      <c r="AO27" s="199"/>
      <c r="AP27" s="201"/>
    </row>
    <row r="28" spans="4:48" s="74" customFormat="1" ht="12.75" thickBot="1">
      <c r="F28" s="193"/>
    </row>
    <row r="29" spans="4:48">
      <c r="D29" s="166"/>
      <c r="E29" s="167"/>
      <c r="F29" s="167"/>
      <c r="G29" s="167"/>
      <c r="H29" s="167"/>
      <c r="I29" s="167"/>
      <c r="J29" s="167"/>
      <c r="K29" s="167"/>
      <c r="L29" s="167"/>
      <c r="M29" s="167"/>
      <c r="N29" s="167"/>
      <c r="O29" s="167"/>
      <c r="P29" s="168"/>
      <c r="Q29" s="166"/>
      <c r="R29" s="167"/>
      <c r="S29" s="167"/>
      <c r="T29" s="167"/>
      <c r="U29" s="167"/>
      <c r="V29" s="167"/>
      <c r="W29" s="168"/>
      <c r="AC29" s="202"/>
      <c r="AD29" s="167"/>
      <c r="AE29" s="203"/>
      <c r="AF29" s="203"/>
      <c r="AG29" s="203"/>
      <c r="AH29" s="203"/>
      <c r="AI29" s="203"/>
      <c r="AJ29" s="203"/>
      <c r="AK29" s="203"/>
      <c r="AL29" s="203"/>
      <c r="AM29" s="203"/>
      <c r="AN29" s="203"/>
      <c r="AO29" s="203"/>
      <c r="AP29" s="204"/>
      <c r="AQ29" s="205"/>
    </row>
    <row r="30" spans="4:48">
      <c r="D30" s="169"/>
      <c r="E30" s="170" t="s">
        <v>586</v>
      </c>
      <c r="P30" s="171"/>
      <c r="Q30" s="169"/>
      <c r="R30" s="170" t="s">
        <v>370</v>
      </c>
      <c r="W30" s="171"/>
      <c r="AC30" s="206" t="s">
        <v>587</v>
      </c>
      <c r="AE30" s="207"/>
      <c r="AF30" s="208"/>
      <c r="AG30" s="209"/>
      <c r="AH30" s="205"/>
      <c r="AI30" s="205"/>
      <c r="AJ30" s="205"/>
      <c r="AK30" s="205"/>
      <c r="AL30" s="205"/>
      <c r="AM30" s="205"/>
      <c r="AN30" s="209"/>
      <c r="AO30" s="209"/>
      <c r="AP30" s="210"/>
      <c r="AQ30" s="205"/>
    </row>
    <row r="31" spans="4:48">
      <c r="D31" s="169"/>
      <c r="P31" s="171"/>
      <c r="Q31" s="169"/>
      <c r="R31" s="234"/>
      <c r="W31" s="171"/>
      <c r="AC31" s="211"/>
      <c r="AE31" s="212"/>
      <c r="AF31" s="205"/>
      <c r="AG31" s="205"/>
      <c r="AH31" s="205"/>
      <c r="AI31" s="205"/>
      <c r="AJ31" s="205"/>
      <c r="AK31" s="205"/>
      <c r="AL31" s="205"/>
      <c r="AM31" s="205"/>
      <c r="AN31" s="205"/>
      <c r="AO31" s="205"/>
      <c r="AP31" s="210"/>
      <c r="AQ31" s="205"/>
    </row>
    <row r="32" spans="4:48">
      <c r="D32" s="169"/>
      <c r="K32" s="213" t="s">
        <v>234</v>
      </c>
      <c r="M32" s="213" t="s">
        <v>328</v>
      </c>
      <c r="O32" s="213" t="s">
        <v>466</v>
      </c>
      <c r="P32" s="171"/>
      <c r="Q32" s="169"/>
      <c r="R32" s="70" t="s">
        <v>237</v>
      </c>
      <c r="S32" s="232"/>
      <c r="V32" s="269">
        <v>1</v>
      </c>
      <c r="W32" s="171"/>
      <c r="AC32" s="214" t="s">
        <v>467</v>
      </c>
      <c r="AE32" s="215"/>
      <c r="AF32" s="1686">
        <f>+AF26</f>
        <v>4.9134799999999999E-2</v>
      </c>
      <c r="AG32" s="1687">
        <f t="shared" ref="AG32:AO32" si="10">+AG26</f>
        <v>5.0069766666666668E-2</v>
      </c>
      <c r="AH32" s="1687">
        <f t="shared" si="10"/>
        <v>5.1384766666666672E-2</v>
      </c>
      <c r="AI32" s="1687">
        <f t="shared" si="10"/>
        <v>5.2614733333333337E-2</v>
      </c>
      <c r="AJ32" s="1687">
        <f t="shared" si="10"/>
        <v>5.5152200000000012E-2</v>
      </c>
      <c r="AK32" s="1687">
        <f t="shared" si="10"/>
        <v>5.7950500000000009E-2</v>
      </c>
      <c r="AL32" s="1687">
        <f t="shared" si="10"/>
        <v>6.0040500000000011E-2</v>
      </c>
      <c r="AM32" s="1687">
        <f t="shared" si="10"/>
        <v>5.9123000000000009E-2</v>
      </c>
      <c r="AN32" s="1687">
        <f t="shared" si="10"/>
        <v>5.8433000000000013E-2</v>
      </c>
      <c r="AO32" s="1688">
        <f t="shared" si="10"/>
        <v>5.8433000000000013E-2</v>
      </c>
      <c r="AP32" s="210"/>
      <c r="AQ32" s="1973" t="s">
        <v>621</v>
      </c>
      <c r="AR32" s="1974"/>
      <c r="AS32" s="1974"/>
      <c r="AT32" s="1974"/>
      <c r="AU32" s="1974"/>
      <c r="AV32" s="1974"/>
    </row>
    <row r="33" spans="4:46" ht="12.75" thickBot="1">
      <c r="D33" s="169"/>
      <c r="E33" s="104" t="s">
        <v>80</v>
      </c>
      <c r="P33" s="171"/>
      <c r="Q33" s="169"/>
      <c r="R33" s="234"/>
      <c r="V33" s="4"/>
      <c r="W33" s="171"/>
      <c r="AC33" s="216"/>
      <c r="AD33" s="183"/>
      <c r="AE33" s="217"/>
      <c r="AF33" s="217"/>
      <c r="AG33" s="217"/>
      <c r="AH33" s="217"/>
      <c r="AI33" s="217"/>
      <c r="AJ33" s="217"/>
      <c r="AK33" s="217"/>
      <c r="AL33" s="217"/>
      <c r="AM33" s="217"/>
      <c r="AN33" s="217"/>
      <c r="AO33" s="217"/>
      <c r="AP33" s="218"/>
    </row>
    <row r="34" spans="4:46" ht="12.75" thickBot="1">
      <c r="D34" s="169"/>
      <c r="F34" s="70" t="s">
        <v>50</v>
      </c>
      <c r="K34" s="219">
        <f>_xlfn.XLOOKUP($F34,'Determination Lookup'!$U:$U,'Determination Lookup'!V:V,0)</f>
        <v>2.6700000000000002E-2</v>
      </c>
      <c r="M34" s="219">
        <f>_xlfn.XLOOKUP($F34,'Determination Lookup'!$U:$U,'Determination Lookup'!W:W,0)</f>
        <v>3.2300000000000002E-2</v>
      </c>
      <c r="O34" s="219">
        <f>_xlfn.XLOOKUP($F34,'Determination Lookup'!$U:$U,'Determination Lookup'!X:X,0)</f>
        <v>5.9589999999999999E-3</v>
      </c>
      <c r="P34" s="171"/>
      <c r="Q34" s="169"/>
      <c r="R34" s="70" t="s">
        <v>372</v>
      </c>
      <c r="V34" s="4"/>
      <c r="W34" s="171"/>
      <c r="AC34" s="205"/>
      <c r="AE34" s="205"/>
      <c r="AF34" s="205"/>
      <c r="AG34" s="205"/>
      <c r="AH34" s="205"/>
      <c r="AI34" s="205"/>
      <c r="AJ34" s="205"/>
      <c r="AK34" s="205"/>
      <c r="AL34" s="205"/>
      <c r="AM34" s="205"/>
      <c r="AN34" s="205"/>
      <c r="AO34" s="205"/>
      <c r="AP34" s="205"/>
      <c r="AQ34" s="205"/>
    </row>
    <row r="35" spans="4:46">
      <c r="D35" s="169"/>
      <c r="F35" s="70" t="s">
        <v>51</v>
      </c>
      <c r="K35" s="220">
        <f>_xlfn.XLOOKUP($F35,'Determination Lookup'!U:U,'Determination Lookup'!V:V,0)</f>
        <v>1.1599999999999999E-2</v>
      </c>
      <c r="M35" s="220">
        <f>_xlfn.XLOOKUP($F35,'Determination Lookup'!$U:$U,'Determination Lookup'!W:W,0)</f>
        <v>1.7500000000000002E-2</v>
      </c>
      <c r="O35" s="220">
        <f>_xlfn.XLOOKUP($F35,'Determination Lookup'!$U:$U,'Determination Lookup'!X:X,0)</f>
        <v>3.9899999999999998E-2</v>
      </c>
      <c r="P35" s="171"/>
      <c r="Q35" s="169"/>
      <c r="V35" s="4"/>
      <c r="W35" s="171"/>
      <c r="AC35" s="221"/>
      <c r="AD35" s="167"/>
      <c r="AE35" s="222"/>
      <c r="AF35" s="223"/>
      <c r="AG35" s="223"/>
      <c r="AH35" s="223"/>
      <c r="AI35" s="223"/>
      <c r="AJ35" s="223"/>
      <c r="AK35" s="223"/>
      <c r="AL35" s="223"/>
      <c r="AM35" s="223"/>
      <c r="AN35" s="223"/>
      <c r="AO35" s="223"/>
      <c r="AP35" s="204"/>
      <c r="AQ35" s="205"/>
    </row>
    <row r="36" spans="4:46" ht="12.75" thickBot="1">
      <c r="D36" s="169"/>
      <c r="F36" s="70" t="s">
        <v>52</v>
      </c>
      <c r="K36" s="220">
        <f>_xlfn.XLOOKUP($F36,'Determination Lookup'!U:U,'Determination Lookup'!V:V,0)</f>
        <v>0.06</v>
      </c>
      <c r="M36" s="220">
        <f>_xlfn.XLOOKUP($F36,'Determination Lookup'!$U:$U,'Determination Lookup'!W:W,0)</f>
        <v>0.06</v>
      </c>
      <c r="O36" s="220">
        <f>_xlfn.XLOOKUP($F36,'Determination Lookup'!$U:$U,'Determination Lookup'!X:X,0)</f>
        <v>0.06</v>
      </c>
      <c r="P36" s="171"/>
      <c r="Q36" s="182"/>
      <c r="R36" s="183"/>
      <c r="S36" s="183"/>
      <c r="T36" s="183"/>
      <c r="U36" s="183"/>
      <c r="V36" s="270"/>
      <c r="W36" s="186"/>
      <c r="AC36" s="206" t="s">
        <v>588</v>
      </c>
      <c r="AE36" s="224"/>
      <c r="AF36" s="209"/>
      <c r="AG36" s="209"/>
      <c r="AH36" s="209"/>
      <c r="AI36" s="209"/>
      <c r="AJ36" s="209"/>
      <c r="AK36" s="209"/>
      <c r="AL36" s="209"/>
      <c r="AM36" s="209"/>
      <c r="AN36" s="209"/>
      <c r="AO36" s="209"/>
      <c r="AP36" s="210"/>
      <c r="AQ36" s="205"/>
    </row>
    <row r="37" spans="4:46">
      <c r="D37" s="169"/>
      <c r="F37" s="70" t="s">
        <v>53</v>
      </c>
      <c r="K37" s="220">
        <f>_xlfn.XLOOKUP($F37,'Determination Lookup'!U:U,'Determination Lookup'!V:V,0)</f>
        <v>0.75</v>
      </c>
      <c r="M37" s="220">
        <f>_xlfn.XLOOKUP($F37,'Determination Lookup'!$U:$U,'Determination Lookup'!W:W,0)</f>
        <v>0.65</v>
      </c>
      <c r="O37" s="220">
        <f>_xlfn.XLOOKUP($F37,'Determination Lookup'!$U:$U,'Determination Lookup'!X:X,0)</f>
        <v>0.65</v>
      </c>
      <c r="P37" s="171"/>
      <c r="AC37" s="169"/>
      <c r="AP37" s="210"/>
      <c r="AQ37" s="205"/>
    </row>
    <row r="38" spans="4:46">
      <c r="D38" s="169"/>
      <c r="F38" s="70" t="s">
        <v>54</v>
      </c>
      <c r="K38" s="220">
        <f>_xlfn.XLOOKUP($F38,'Determination Lookup'!U:U,'Determination Lookup'!V:V,0)</f>
        <v>0.6</v>
      </c>
      <c r="M38" s="220">
        <f>_xlfn.XLOOKUP($F38,'Determination Lookup'!$U:$U,'Determination Lookup'!W:W,0)</f>
        <v>0.6</v>
      </c>
      <c r="O38" s="220">
        <f>_xlfn.XLOOKUP($F38,'Determination Lookup'!$U:$U,'Determination Lookup'!X:X,0)</f>
        <v>0.6</v>
      </c>
      <c r="P38" s="171"/>
      <c r="AC38" s="225" t="s">
        <v>467</v>
      </c>
      <c r="AF38" s="2001">
        <f>(1+AF32)/(1+AF44)-1</f>
        <v>1.9567346938775598E-2</v>
      </c>
      <c r="AG38" s="2002">
        <f t="shared" ref="AG38:AO38" si="11">(1+AG32)/(1+AG44)-1</f>
        <v>2.0475963718820989E-2</v>
      </c>
      <c r="AH38" s="2002">
        <f t="shared" si="11"/>
        <v>2.1753903466148472E-2</v>
      </c>
      <c r="AI38" s="2002">
        <f t="shared" si="11"/>
        <v>2.2949206349206497E-2</v>
      </c>
      <c r="AJ38" s="2003">
        <f t="shared" si="11"/>
        <v>2.5415160349854249E-2</v>
      </c>
      <c r="AK38" s="2002">
        <f t="shared" si="11"/>
        <v>2.8134596695821301E-2</v>
      </c>
      <c r="AL38" s="2002">
        <f t="shared" si="11"/>
        <v>3.0165694849368263E-2</v>
      </c>
      <c r="AM38" s="2002">
        <f t="shared" si="11"/>
        <v>2.9274052478134305E-2</v>
      </c>
      <c r="AN38" s="2002">
        <f t="shared" si="11"/>
        <v>2.8603498542274064E-2</v>
      </c>
      <c r="AO38" s="2003">
        <f t="shared" si="11"/>
        <v>2.8603498542274064E-2</v>
      </c>
      <c r="AP38" s="210"/>
    </row>
    <row r="39" spans="4:46">
      <c r="D39" s="169"/>
      <c r="F39" s="70" t="s">
        <v>55</v>
      </c>
      <c r="K39" s="220">
        <f>_xlfn.XLOOKUP($F39,'Determination Lookup'!U:U,'Determination Lookup'!V:V,0)</f>
        <v>2.5499999999999998E-2</v>
      </c>
      <c r="M39" s="220">
        <f>_xlfn.XLOOKUP($F39,'Determination Lookup'!$U:$U,'Determination Lookup'!W:W,0)</f>
        <v>2.9000000000000001E-2</v>
      </c>
      <c r="O39" s="220">
        <f>_xlfn.XLOOKUP($F39,'Determination Lookup'!$U:$U,'Determination Lookup'!X:X,0)</f>
        <v>2.75E-2</v>
      </c>
      <c r="P39" s="171"/>
      <c r="AC39" s="169"/>
      <c r="AP39" s="210"/>
      <c r="AQ39" s="205"/>
    </row>
    <row r="40" spans="4:46">
      <c r="D40" s="169"/>
      <c r="F40" s="70" t="s">
        <v>56</v>
      </c>
      <c r="K40" s="1879">
        <f>_xlfn.XLOOKUP($F40,'Determination Lookup'!U:U,'Determination Lookup'!V:V,0)</f>
        <v>0.5</v>
      </c>
      <c r="M40" s="1879">
        <f>_xlfn.XLOOKUP($F40,'Determination Lookup'!$U:$U,'Determination Lookup'!W:W,0)</f>
        <v>0.5</v>
      </c>
      <c r="O40" s="1879">
        <f>_xlfn.XLOOKUP($F40,'Determination Lookup'!$U:$U,'Determination Lookup'!X:X,0)</f>
        <v>0.5</v>
      </c>
      <c r="P40" s="171"/>
      <c r="AC40" s="225" t="s">
        <v>468</v>
      </c>
      <c r="AE40" s="215"/>
      <c r="AF40" s="226">
        <f>IF(AO65&lt;&gt;0,(AO65/100),IF(AO63&lt;&gt;0,(AO63/100),(AO61/100)))</f>
        <v>4.0999999999999995E-2</v>
      </c>
      <c r="AG40" s="1686">
        <f t="shared" ref="AG40:AO40" si="12">+$AF$40</f>
        <v>4.0999999999999995E-2</v>
      </c>
      <c r="AH40" s="1687">
        <f t="shared" si="12"/>
        <v>4.0999999999999995E-2</v>
      </c>
      <c r="AI40" s="1687">
        <f t="shared" si="12"/>
        <v>4.0999999999999995E-2</v>
      </c>
      <c r="AJ40" s="1688">
        <f t="shared" si="12"/>
        <v>4.0999999999999995E-2</v>
      </c>
      <c r="AK40" s="1689">
        <f t="shared" si="12"/>
        <v>4.0999999999999995E-2</v>
      </c>
      <c r="AL40" s="1690">
        <f t="shared" si="12"/>
        <v>4.0999999999999995E-2</v>
      </c>
      <c r="AM40" s="1690">
        <f t="shared" si="12"/>
        <v>4.0999999999999995E-2</v>
      </c>
      <c r="AN40" s="1690">
        <f t="shared" si="12"/>
        <v>4.0999999999999995E-2</v>
      </c>
      <c r="AO40" s="1691">
        <f t="shared" si="12"/>
        <v>4.0999999999999995E-2</v>
      </c>
      <c r="AP40" s="210"/>
      <c r="AQ40" s="1973" t="s">
        <v>617</v>
      </c>
      <c r="AR40" s="1974"/>
      <c r="AS40" s="1974"/>
      <c r="AT40" s="1974"/>
    </row>
    <row r="41" spans="4:46">
      <c r="D41" s="169"/>
      <c r="P41" s="171"/>
      <c r="AC41" s="227"/>
      <c r="AE41" s="205"/>
      <c r="AF41" s="228"/>
      <c r="AG41" s="228"/>
      <c r="AH41" s="228"/>
      <c r="AI41" s="228"/>
      <c r="AJ41" s="228"/>
      <c r="AK41" s="228"/>
      <c r="AL41" s="228"/>
      <c r="AM41" s="228"/>
      <c r="AN41" s="228"/>
      <c r="AO41" s="228"/>
      <c r="AP41" s="210"/>
      <c r="AQ41" s="205"/>
    </row>
    <row r="42" spans="4:46">
      <c r="D42" s="169"/>
      <c r="E42" s="104" t="s">
        <v>57</v>
      </c>
      <c r="K42" s="229">
        <f>ROUND(((K34+K36*K37)*(1-K38))+((K34+K35)*K38),3)</f>
        <v>5.1999999999999998E-2</v>
      </c>
      <c r="M42" s="229">
        <f>ROUND(((M34+M36*M37)*(1-M38))+((M34+M35)*M38),3)</f>
        <v>5.8000000000000003E-2</v>
      </c>
      <c r="O42" s="229">
        <f>ROUND(((O34+O36*O37)*(1-O38))+((O34+O35)*O38),3)</f>
        <v>4.4999999999999998E-2</v>
      </c>
      <c r="P42" s="171"/>
      <c r="AC42" s="230" t="s">
        <v>589</v>
      </c>
      <c r="AE42" s="215"/>
      <c r="AF42" s="1675">
        <f>ROUND((AF40*(1-AF43)+AF38*AF43),4)</f>
        <v>2.81E-2</v>
      </c>
      <c r="AG42" s="1676">
        <f t="shared" ref="AG42:AO42" si="13">ROUND((AG40*(1-AG43)+AG38*AG43),4)</f>
        <v>2.87E-2</v>
      </c>
      <c r="AH42" s="1676">
        <f t="shared" si="13"/>
        <v>2.9499999999999998E-2</v>
      </c>
      <c r="AI42" s="1676">
        <f t="shared" si="13"/>
        <v>3.0200000000000001E-2</v>
      </c>
      <c r="AJ42" s="1677">
        <f t="shared" si="13"/>
        <v>3.1600000000000003E-2</v>
      </c>
      <c r="AK42" s="1676">
        <f t="shared" si="13"/>
        <v>3.3300000000000003E-2</v>
      </c>
      <c r="AL42" s="1676">
        <f t="shared" si="13"/>
        <v>3.4500000000000003E-2</v>
      </c>
      <c r="AM42" s="1676">
        <f t="shared" si="13"/>
        <v>3.4000000000000002E-2</v>
      </c>
      <c r="AN42" s="1676">
        <f t="shared" si="13"/>
        <v>3.3599999999999998E-2</v>
      </c>
      <c r="AO42" s="1677">
        <f t="shared" si="13"/>
        <v>3.3599999999999998E-2</v>
      </c>
      <c r="AP42" s="210"/>
      <c r="AQ42" s="205"/>
    </row>
    <row r="43" spans="4:46" ht="12.75" thickBot="1">
      <c r="D43" s="182"/>
      <c r="E43" s="183"/>
      <c r="F43" s="183"/>
      <c r="G43" s="183"/>
      <c r="H43" s="183"/>
      <c r="I43" s="183"/>
      <c r="J43" s="183"/>
      <c r="K43" s="183"/>
      <c r="L43" s="183"/>
      <c r="M43" s="183"/>
      <c r="N43" s="183"/>
      <c r="O43" s="183"/>
      <c r="P43" s="186"/>
      <c r="AC43" s="231" t="s">
        <v>97</v>
      </c>
      <c r="AE43" s="215"/>
      <c r="AF43" s="1693">
        <v>0.6</v>
      </c>
      <c r="AG43" s="1680">
        <f>+AF43</f>
        <v>0.6</v>
      </c>
      <c r="AH43" s="1680">
        <f t="shared" ref="AH43:AO44" si="14">+AG43</f>
        <v>0.6</v>
      </c>
      <c r="AI43" s="1680">
        <f t="shared" si="14"/>
        <v>0.6</v>
      </c>
      <c r="AJ43" s="1681">
        <f t="shared" si="14"/>
        <v>0.6</v>
      </c>
      <c r="AK43" s="1682">
        <f t="shared" si="14"/>
        <v>0.6</v>
      </c>
      <c r="AL43" s="1680">
        <f t="shared" si="14"/>
        <v>0.6</v>
      </c>
      <c r="AM43" s="1680">
        <f t="shared" si="14"/>
        <v>0.6</v>
      </c>
      <c r="AN43" s="1680">
        <f t="shared" si="14"/>
        <v>0.6</v>
      </c>
      <c r="AO43" s="1681">
        <f t="shared" si="14"/>
        <v>0.6</v>
      </c>
      <c r="AP43" s="210"/>
      <c r="AQ43" s="205"/>
    </row>
    <row r="44" spans="4:46">
      <c r="K44" s="232"/>
      <c r="L44" s="232"/>
      <c r="M44" s="232"/>
      <c r="AC44" s="231" t="s">
        <v>55</v>
      </c>
      <c r="AE44" s="215"/>
      <c r="AF44" s="1694">
        <v>2.9000000000000001E-2</v>
      </c>
      <c r="AG44" s="1678">
        <f>+AF44</f>
        <v>2.9000000000000001E-2</v>
      </c>
      <c r="AH44" s="1678">
        <f t="shared" si="14"/>
        <v>2.9000000000000001E-2</v>
      </c>
      <c r="AI44" s="1678">
        <f t="shared" si="14"/>
        <v>2.9000000000000001E-2</v>
      </c>
      <c r="AJ44" s="1679">
        <f t="shared" si="14"/>
        <v>2.9000000000000001E-2</v>
      </c>
      <c r="AK44" s="1683">
        <f t="shared" si="14"/>
        <v>2.9000000000000001E-2</v>
      </c>
      <c r="AL44" s="1684">
        <f t="shared" si="14"/>
        <v>2.9000000000000001E-2</v>
      </c>
      <c r="AM44" s="1684">
        <f t="shared" si="14"/>
        <v>2.9000000000000001E-2</v>
      </c>
      <c r="AN44" s="1684">
        <f t="shared" si="14"/>
        <v>2.9000000000000001E-2</v>
      </c>
      <c r="AO44" s="1685">
        <f t="shared" si="14"/>
        <v>2.9000000000000001E-2</v>
      </c>
      <c r="AP44" s="210"/>
      <c r="AQ44" s="205"/>
    </row>
    <row r="45" spans="4:46" ht="12.75" thickBot="1">
      <c r="AB45" s="180"/>
      <c r="AC45" s="216"/>
      <c r="AD45" s="183"/>
      <c r="AE45" s="217"/>
      <c r="AF45" s="217"/>
      <c r="AG45" s="217"/>
      <c r="AH45" s="217"/>
      <c r="AI45" s="217"/>
      <c r="AJ45" s="217"/>
      <c r="AK45" s="217"/>
      <c r="AL45" s="217"/>
      <c r="AM45" s="217"/>
      <c r="AN45" s="217"/>
      <c r="AO45" s="217"/>
      <c r="AP45" s="218"/>
      <c r="AQ45" s="205"/>
    </row>
    <row r="46" spans="4:46">
      <c r="R46" s="180"/>
      <c r="S46" s="180"/>
      <c r="T46" s="180"/>
      <c r="U46" s="180"/>
      <c r="V46" s="180"/>
      <c r="W46" s="180"/>
      <c r="X46" s="180"/>
      <c r="Y46" s="180"/>
      <c r="Z46" s="180"/>
      <c r="AA46" s="180"/>
      <c r="AC46" s="205"/>
      <c r="AD46" s="205"/>
      <c r="AE46" s="205"/>
      <c r="AF46" s="233"/>
      <c r="AG46" s="233"/>
      <c r="AH46" s="233"/>
      <c r="AI46" s="233"/>
      <c r="AJ46" s="233"/>
      <c r="AK46" s="233"/>
      <c r="AL46" s="233"/>
      <c r="AM46" s="233"/>
      <c r="AN46" s="233"/>
      <c r="AO46" s="233"/>
      <c r="AP46" s="205"/>
      <c r="AQ46" s="205"/>
    </row>
    <row r="47" spans="4:46" ht="12.75" thickBot="1">
      <c r="AC47" s="205"/>
      <c r="AE47" s="205"/>
      <c r="AF47" s="205"/>
      <c r="AG47" s="205"/>
      <c r="AH47" s="205"/>
      <c r="AI47" s="205"/>
      <c r="AJ47" s="205"/>
      <c r="AK47" s="205"/>
      <c r="AL47" s="205"/>
      <c r="AM47" s="205"/>
      <c r="AN47" s="205"/>
      <c r="AO47" s="205"/>
      <c r="AP47" s="205"/>
      <c r="AQ47" s="205"/>
    </row>
    <row r="48" spans="4:46">
      <c r="AI48" s="205"/>
      <c r="AJ48" s="166"/>
      <c r="AK48" s="167"/>
      <c r="AL48" s="167"/>
      <c r="AM48" s="167"/>
      <c r="AN48" s="167"/>
      <c r="AO48" s="167"/>
      <c r="AP48" s="168"/>
    </row>
    <row r="49" spans="29:42">
      <c r="AC49" s="1702"/>
      <c r="AI49" s="205"/>
      <c r="AJ49" s="206" t="s">
        <v>590</v>
      </c>
      <c r="AP49" s="171"/>
    </row>
    <row r="50" spans="29:42">
      <c r="AC50" s="1702"/>
      <c r="AI50" s="205"/>
      <c r="AJ50" s="169"/>
      <c r="AP50" s="171"/>
    </row>
    <row r="51" spans="29:42" ht="12" customHeight="1">
      <c r="AC51" s="1702"/>
      <c r="AI51" s="205"/>
      <c r="AJ51" s="169"/>
      <c r="AP51" s="171"/>
    </row>
    <row r="52" spans="29:42" ht="12" customHeight="1">
      <c r="AD52" s="1697"/>
      <c r="AF52" s="1697"/>
      <c r="AH52" s="1703"/>
      <c r="AI52" s="205"/>
      <c r="AJ52" s="235"/>
      <c r="AK52" s="196"/>
      <c r="AL52" s="2213" t="s">
        <v>470</v>
      </c>
      <c r="AM52" s="2213"/>
      <c r="AN52" s="2213"/>
      <c r="AO52" s="2213"/>
      <c r="AP52" s="171"/>
    </row>
    <row r="53" spans="29:42" ht="12" customHeight="1">
      <c r="AD53" s="1697"/>
      <c r="AF53" s="1697"/>
      <c r="AH53" s="60"/>
      <c r="AI53" s="205"/>
      <c r="AJ53" s="235"/>
      <c r="AK53" s="196"/>
      <c r="AL53" s="196"/>
      <c r="AM53" s="196"/>
      <c r="AN53" s="196"/>
      <c r="AO53" s="196"/>
      <c r="AP53" s="171"/>
    </row>
    <row r="54" spans="29:42" ht="26.25" customHeight="1">
      <c r="AC54" s="1704"/>
      <c r="AH54" s="60"/>
      <c r="AI54" s="205"/>
      <c r="AJ54" s="235"/>
      <c r="AK54" s="196"/>
      <c r="AL54" s="236" t="s">
        <v>471</v>
      </c>
      <c r="AM54" s="236" t="s">
        <v>472</v>
      </c>
      <c r="AN54" s="236" t="s">
        <v>473</v>
      </c>
      <c r="AO54" s="236" t="s">
        <v>474</v>
      </c>
      <c r="AP54" s="171"/>
    </row>
    <row r="55" spans="29:42" ht="39.75" customHeight="1">
      <c r="AC55" s="1705"/>
      <c r="AD55" s="1698"/>
      <c r="AE55" s="74"/>
      <c r="AF55" s="1699"/>
      <c r="AH55" s="1706"/>
      <c r="AI55" s="205"/>
      <c r="AJ55" s="2214" t="s">
        <v>476</v>
      </c>
      <c r="AK55" s="239" t="s">
        <v>471</v>
      </c>
      <c r="AL55" s="238">
        <v>4.9000000000000004</v>
      </c>
      <c r="AM55" s="240"/>
      <c r="AN55" s="240"/>
      <c r="AO55" s="240"/>
      <c r="AP55" s="171"/>
    </row>
    <row r="56" spans="29:42" ht="39.75" customHeight="1">
      <c r="AC56" s="1705"/>
      <c r="AD56" s="1698"/>
      <c r="AE56" s="74"/>
      <c r="AF56" s="1699"/>
      <c r="AH56" s="1706"/>
      <c r="AI56" s="205"/>
      <c r="AJ56" s="2214"/>
      <c r="AK56" s="239" t="s">
        <v>472</v>
      </c>
      <c r="AL56" s="238">
        <v>4.3</v>
      </c>
      <c r="AM56" s="238">
        <v>4.5</v>
      </c>
      <c r="AN56" s="240"/>
      <c r="AO56" s="240"/>
      <c r="AP56" s="171"/>
    </row>
    <row r="57" spans="29:42" ht="39.75" customHeight="1">
      <c r="AC57" s="1705"/>
      <c r="AD57" s="1698"/>
      <c r="AE57" s="74"/>
      <c r="AF57" s="1699"/>
      <c r="AH57" s="1706"/>
      <c r="AI57" s="205"/>
      <c r="AJ57" s="2214"/>
      <c r="AK57" s="239" t="s">
        <v>473</v>
      </c>
      <c r="AL57" s="238">
        <v>3.7</v>
      </c>
      <c r="AM57" s="238">
        <v>3.9</v>
      </c>
      <c r="AN57" s="238">
        <v>4.0999999999999996</v>
      </c>
      <c r="AO57" s="240"/>
      <c r="AP57" s="171"/>
    </row>
    <row r="58" spans="29:42" ht="39.75" customHeight="1">
      <c r="AC58" s="1705"/>
      <c r="AD58" s="1698"/>
      <c r="AE58" s="74"/>
      <c r="AF58" s="1699"/>
      <c r="AH58" s="1706"/>
      <c r="AI58" s="205"/>
      <c r="AJ58" s="2214"/>
      <c r="AK58" s="239" t="s">
        <v>474</v>
      </c>
      <c r="AL58" s="241"/>
      <c r="AM58" s="241"/>
      <c r="AN58" s="238">
        <v>3.5</v>
      </c>
      <c r="AO58" s="238">
        <v>3.7</v>
      </c>
      <c r="AP58" s="171"/>
    </row>
    <row r="59" spans="29:42" ht="39.75" customHeight="1">
      <c r="AH59" s="60"/>
      <c r="AI59" s="205"/>
      <c r="AJ59" s="2214"/>
      <c r="AK59" s="242"/>
      <c r="AL59" s="241"/>
      <c r="AM59" s="241"/>
      <c r="AN59" s="241"/>
      <c r="AO59" s="241"/>
      <c r="AP59" s="171"/>
    </row>
    <row r="60" spans="29:42" ht="15" customHeight="1" thickBot="1">
      <c r="AC60" s="1705"/>
      <c r="AD60" s="1700"/>
      <c r="AE60" s="74"/>
      <c r="AF60" s="1700"/>
      <c r="AH60" s="1706"/>
      <c r="AI60" s="205"/>
      <c r="AJ60" s="235"/>
      <c r="AK60" s="196"/>
      <c r="AL60" s="196"/>
      <c r="AM60" s="196"/>
      <c r="AN60" s="196"/>
      <c r="AO60" s="196"/>
      <c r="AP60" s="171"/>
    </row>
    <row r="61" spans="29:42" ht="12.75" thickBot="1">
      <c r="AD61" s="74"/>
      <c r="AE61" s="74"/>
      <c r="AF61" s="74"/>
      <c r="AH61" s="60"/>
      <c r="AI61" s="205"/>
      <c r="AJ61" s="237" t="s">
        <v>583</v>
      </c>
      <c r="AL61" s="243"/>
      <c r="AM61" s="244"/>
      <c r="AN61" s="267" t="s">
        <v>473</v>
      </c>
      <c r="AO61" s="245">
        <f>+VLOOKUP(AN61,$AN$72:$AO$76,2,FALSE)</f>
        <v>4.0999999999999996</v>
      </c>
      <c r="AP61" s="171"/>
    </row>
    <row r="62" spans="29:42" ht="12.75" thickBot="1">
      <c r="AD62" s="74"/>
      <c r="AE62" s="74"/>
      <c r="AF62" s="74"/>
      <c r="AH62" s="60"/>
      <c r="AI62" s="205"/>
      <c r="AJ62" s="246"/>
      <c r="AM62" s="113"/>
      <c r="AP62" s="171"/>
    </row>
    <row r="63" spans="29:42" ht="12.75" thickBot="1">
      <c r="AC63" s="118"/>
      <c r="AD63" s="74"/>
      <c r="AE63" s="74"/>
      <c r="AF63" s="74"/>
      <c r="AH63" s="60"/>
      <c r="AI63" s="205"/>
      <c r="AJ63" s="237" t="s">
        <v>591</v>
      </c>
      <c r="AL63" s="196"/>
      <c r="AM63" s="113"/>
      <c r="AN63" s="268"/>
      <c r="AO63" s="245">
        <f>+IF(AN63&lt;=AO61,AN63,"CHECK")</f>
        <v>0</v>
      </c>
      <c r="AP63" s="171"/>
    </row>
    <row r="64" spans="29:42" ht="12.75" thickBot="1">
      <c r="AC64" s="1705"/>
      <c r="AD64" s="854"/>
      <c r="AE64" s="74"/>
      <c r="AF64" s="1701"/>
      <c r="AH64" s="60"/>
      <c r="AI64" s="205"/>
      <c r="AJ64" s="246"/>
      <c r="AO64" s="245"/>
      <c r="AP64" s="171"/>
    </row>
    <row r="65" spans="29:43" ht="12.75" thickBot="1">
      <c r="AI65" s="205"/>
      <c r="AJ65" s="1695" t="s">
        <v>476</v>
      </c>
      <c r="AL65" s="196"/>
      <c r="AN65" s="1696" t="s">
        <v>475</v>
      </c>
      <c r="AO65" s="245">
        <f>IFERROR(IF(AN65=AN61,AO61,VLOOKUP(AN61&amp;AN65,AN79:AO83,2,FALSE)),0)</f>
        <v>0</v>
      </c>
      <c r="AP65" s="171"/>
      <c r="AQ65" s="1613"/>
    </row>
    <row r="66" spans="29:43">
      <c r="AI66" s="205"/>
      <c r="AJ66" s="235"/>
      <c r="AK66" s="196"/>
      <c r="AL66" s="196"/>
      <c r="AN66" s="196"/>
      <c r="AO66" s="247"/>
      <c r="AP66" s="171"/>
    </row>
    <row r="67" spans="29:43" ht="12.75" thickBot="1">
      <c r="AC67" s="1707"/>
      <c r="AD67" s="1708"/>
      <c r="AE67" s="1708"/>
      <c r="AF67" s="1708"/>
      <c r="AG67" s="1708"/>
      <c r="AI67" s="205"/>
      <c r="AJ67" s="249"/>
      <c r="AK67" s="248"/>
      <c r="AL67" s="248"/>
      <c r="AM67" s="183"/>
      <c r="AN67" s="250" t="s">
        <v>469</v>
      </c>
      <c r="AO67" s="251" t="str">
        <f>IFERROR(IF(AO65=0,"",AO65-AO61),"")</f>
        <v/>
      </c>
      <c r="AP67" s="186"/>
    </row>
    <row r="68" spans="29:43">
      <c r="AD68" s="243"/>
      <c r="AE68" s="196"/>
      <c r="AF68" s="196"/>
      <c r="AG68" s="196"/>
      <c r="AH68" s="196"/>
      <c r="AI68" s="205"/>
    </row>
    <row r="69" spans="29:43">
      <c r="AD69" s="243"/>
      <c r="AE69" s="196"/>
      <c r="AF69" s="196"/>
      <c r="AG69" s="196"/>
      <c r="AH69" s="196"/>
      <c r="AI69" s="205"/>
    </row>
    <row r="70" spans="29:43">
      <c r="AJ70" s="135"/>
      <c r="AK70" s="135"/>
      <c r="AL70" s="135"/>
      <c r="AM70" s="135"/>
      <c r="AN70" s="135"/>
      <c r="AO70" s="135"/>
      <c r="AP70" s="135"/>
    </row>
    <row r="71" spans="29:43">
      <c r="AJ71" s="253"/>
      <c r="AK71" s="253"/>
      <c r="AL71" s="253"/>
      <c r="AM71" s="253"/>
      <c r="AN71" s="254" t="s">
        <v>478</v>
      </c>
      <c r="AO71" s="254"/>
      <c r="AP71" s="135"/>
    </row>
    <row r="72" spans="29:43">
      <c r="AJ72" s="253"/>
      <c r="AK72" s="253"/>
      <c r="AL72" s="253"/>
      <c r="AM72" s="253"/>
      <c r="AN72" s="255" t="s">
        <v>475</v>
      </c>
      <c r="AO72" s="256"/>
      <c r="AP72" s="135"/>
    </row>
    <row r="73" spans="29:43">
      <c r="AJ73" s="253"/>
      <c r="AK73" s="253"/>
      <c r="AL73" s="253"/>
      <c r="AM73" s="253"/>
      <c r="AN73" s="257" t="s">
        <v>471</v>
      </c>
      <c r="AO73" s="258">
        <f>+AL55</f>
        <v>4.9000000000000004</v>
      </c>
      <c r="AP73" s="135"/>
    </row>
    <row r="74" spans="29:43">
      <c r="AJ74" s="253"/>
      <c r="AK74" s="253"/>
      <c r="AL74" s="253"/>
      <c r="AM74" s="253"/>
      <c r="AN74" s="257" t="s">
        <v>472</v>
      </c>
      <c r="AO74" s="258">
        <f>+AM56</f>
        <v>4.5</v>
      </c>
      <c r="AP74" s="135"/>
    </row>
    <row r="75" spans="29:43">
      <c r="AJ75" s="253"/>
      <c r="AK75" s="253"/>
      <c r="AL75" s="253"/>
      <c r="AM75" s="253"/>
      <c r="AN75" s="257" t="s">
        <v>473</v>
      </c>
      <c r="AO75" s="258">
        <f>+AN57</f>
        <v>4.0999999999999996</v>
      </c>
      <c r="AP75" s="135"/>
    </row>
    <row r="76" spans="29:43">
      <c r="AJ76" s="253"/>
      <c r="AK76" s="253"/>
      <c r="AL76" s="253"/>
      <c r="AM76" s="253"/>
      <c r="AN76" s="259" t="s">
        <v>474</v>
      </c>
      <c r="AO76" s="260">
        <f>+AO58</f>
        <v>3.7</v>
      </c>
      <c r="AP76" s="135"/>
    </row>
    <row r="77" spans="29:43">
      <c r="AJ77" s="253"/>
      <c r="AK77" s="253"/>
      <c r="AL77" s="253"/>
      <c r="AM77" s="253"/>
      <c r="AN77" s="254"/>
      <c r="AO77" s="261"/>
      <c r="AP77" s="135"/>
    </row>
    <row r="78" spans="29:43">
      <c r="AJ78" s="253"/>
      <c r="AK78" s="253"/>
      <c r="AL78" s="253"/>
      <c r="AM78" s="253"/>
      <c r="AN78" s="254" t="s">
        <v>479</v>
      </c>
      <c r="AO78" s="261"/>
      <c r="AP78" s="135"/>
    </row>
    <row r="79" spans="29:43">
      <c r="AJ79" s="253"/>
      <c r="AK79" s="253"/>
      <c r="AL79" s="253"/>
      <c r="AM79" s="253"/>
      <c r="AN79" s="262" t="str">
        <f>AN54&amp;AK58</f>
        <v>StandardBasic</v>
      </c>
      <c r="AO79" s="263">
        <f>+AN58</f>
        <v>3.5</v>
      </c>
      <c r="AP79" s="135"/>
    </row>
    <row r="80" spans="29:43">
      <c r="AJ80" s="253"/>
      <c r="AK80" s="253"/>
      <c r="AL80" s="253"/>
      <c r="AM80" s="253"/>
      <c r="AN80" s="264" t="str">
        <f>+AM54&amp;AK57</f>
        <v>AdvancedStandard</v>
      </c>
      <c r="AO80" s="258">
        <f>+AM57</f>
        <v>3.9</v>
      </c>
      <c r="AP80" s="135"/>
    </row>
    <row r="81" spans="36:42">
      <c r="AJ81" s="253"/>
      <c r="AK81" s="253"/>
      <c r="AL81" s="253"/>
      <c r="AM81" s="253"/>
      <c r="AN81" s="264" t="str">
        <f>+AL54&amp;AK56</f>
        <v>LeadingAdvanced</v>
      </c>
      <c r="AO81" s="258">
        <f>+AL56</f>
        <v>4.3</v>
      </c>
      <c r="AP81" s="135"/>
    </row>
    <row r="82" spans="36:42">
      <c r="AJ82" s="253"/>
      <c r="AK82" s="253"/>
      <c r="AL82" s="253"/>
      <c r="AM82" s="253"/>
      <c r="AN82" s="257" t="str">
        <f>+AL54&amp;AK57</f>
        <v>LeadingStandard</v>
      </c>
      <c r="AO82" s="258">
        <f>+AL57</f>
        <v>3.7</v>
      </c>
      <c r="AP82" s="135"/>
    </row>
    <row r="83" spans="36:42">
      <c r="AJ83" s="253"/>
      <c r="AK83" s="253"/>
      <c r="AL83" s="253"/>
      <c r="AM83" s="253"/>
      <c r="AN83" s="259" t="str">
        <f>+AN61&amp;"Basic"</f>
        <v>StandardBasic</v>
      </c>
      <c r="AO83" s="265" t="s">
        <v>538</v>
      </c>
      <c r="AP83" s="135"/>
    </row>
    <row r="84" spans="36:42">
      <c r="AJ84" s="253"/>
      <c r="AK84" s="253"/>
      <c r="AL84" s="253"/>
      <c r="AM84" s="253"/>
      <c r="AN84" s="253"/>
      <c r="AO84" s="253"/>
      <c r="AP84" s="135"/>
    </row>
    <row r="85" spans="36:42">
      <c r="AJ85" s="253"/>
      <c r="AK85" s="253"/>
      <c r="AL85" s="253"/>
      <c r="AM85" s="253"/>
      <c r="AN85" s="253"/>
      <c r="AO85" s="253"/>
      <c r="AP85" s="135"/>
    </row>
  </sheetData>
  <sheetProtection algorithmName="SHA-512" hashValue="RvqZHzeNH2wjR9dKYPv0nSm7I+51lExTuutnfQPuxMYuonoAstMFAUabhujWFc8WYBQkNboOCZapRYtPbxMcqA==" saltValue="V5uXT43H8zOaRKqc+DphFA==" spinCount="100000" sheet="1"/>
  <mergeCells count="3">
    <mergeCell ref="B3:F3"/>
    <mergeCell ref="AL52:AO52"/>
    <mergeCell ref="AJ55:AJ59"/>
  </mergeCells>
  <phoneticPr fontId="0" type="noConversion"/>
  <conditionalFormatting sqref="AN61">
    <cfRule type="containsText" dxfId="109" priority="15" operator="containsText" text="Leading">
      <formula>NOT(ISERROR(SEARCH("Leading",AN61)))</formula>
    </cfRule>
    <cfRule type="containsText" dxfId="108" priority="16" operator="containsText" text="Advanced">
      <formula>NOT(ISERROR(SEARCH("Advanced",AN61)))</formula>
    </cfRule>
    <cfRule type="containsText" dxfId="107" priority="17" operator="containsText" text="Standard">
      <formula>NOT(ISERROR(SEARCH("Standard",AN61)))</formula>
    </cfRule>
    <cfRule type="containsText" dxfId="106" priority="18" operator="containsText" text="Basic">
      <formula>NOT(ISERROR(SEARCH("Basic",AN61)))</formula>
    </cfRule>
  </conditionalFormatting>
  <conditionalFormatting sqref="AN65">
    <cfRule type="containsText" dxfId="105" priority="11" operator="containsText" text="Leading">
      <formula>NOT(ISERROR(SEARCH("Leading",AN65)))</formula>
    </cfRule>
    <cfRule type="containsText" dxfId="104" priority="12" operator="containsText" text="Advanced">
      <formula>NOT(ISERROR(SEARCH("Advanced",AN65)))</formula>
    </cfRule>
    <cfRule type="containsText" dxfId="103" priority="13" operator="containsText" text="Standard">
      <formula>NOT(ISERROR(SEARCH("Standard",AN65)))</formula>
    </cfRule>
    <cfRule type="containsText" dxfId="102" priority="14" operator="containsText" text="Basic">
      <formula>NOT(ISERROR(SEARCH("Basic",AN65)))</formula>
    </cfRule>
  </conditionalFormatting>
  <conditionalFormatting sqref="AO61">
    <cfRule type="cellIs" dxfId="101" priority="5" operator="notEqual">
      <formula>0</formula>
    </cfRule>
    <cfRule type="cellIs" dxfId="100" priority="6" operator="equal">
      <formula>0</formula>
    </cfRule>
  </conditionalFormatting>
  <conditionalFormatting sqref="AO63:AO65">
    <cfRule type="cellIs" dxfId="99" priority="1" operator="notEqual">
      <formula>0</formula>
    </cfRule>
    <cfRule type="cellIs" dxfId="98" priority="2" operator="equal">
      <formula>0</formula>
    </cfRule>
  </conditionalFormatting>
  <dataValidations count="3">
    <dataValidation type="list" allowBlank="1" showInputMessage="1" showErrorMessage="1" sqref="AD55:AD58" xr:uid="{00000000-0002-0000-0200-000000000000}">
      <formula1>$AE$71:$AE$84</formula1>
    </dataValidation>
    <dataValidation type="list" allowBlank="1" showInputMessage="1" showErrorMessage="1" sqref="AF55:AF58" xr:uid="{00000000-0002-0000-0200-000001000000}">
      <formula1>$AE$72:$AE$84</formula1>
    </dataValidation>
    <dataValidation type="list" allowBlank="1" showInputMessage="1" showErrorMessage="1" sqref="AN61 AN65" xr:uid="{00000000-0002-0000-0200-000002000000}">
      <formula1>$AN$72:$AN$76</formula1>
    </dataValidation>
  </dataValidations>
  <hyperlinks>
    <hyperlink ref="B3" location="HL_Home" tooltip="Go to Table of Contents" display="HL_Home" xr:uid="{00000000-0004-0000-0200-000000000000}"/>
  </hyperlinks>
  <pageMargins left="0.39370078740157499" right="0.39370078740157499" top="0.59055118110236249" bottom="0.98425196850393748" header="0" footer="0.31496062992125973"/>
  <pageSetup paperSize="9" scale="68" orientation="landscape" r:id="rId1"/>
  <headerFooter alignWithMargins="0">
    <oddHeader>&amp;C&amp;"Calibri"&amp;12&amp;KFF0000 OFFICIAL&amp;1#_x000D_&amp;"Arial"&amp;8&amp;K000000&amp;B&amp;"Arial"&amp;12&amp;Kff0000​‌OFFICIAL‌​</oddHeader>
    <oddFooter>&amp;C&amp;"Arial,Bold"&amp;8Sheet a.
Page &amp;P of &amp;N&amp;L&amp;"Arial,Bold"&amp;7&amp;F
&amp;A
Printed: &amp;T on &amp;D</oddFooter>
  </headerFooter>
  <ignoredErrors>
    <ignoredError sqref="V26 W26:AA26" formulaRange="1"/>
    <ignoredError sqref="AE23:AO23"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2717" r:id="rId4" name="Option Button 189">
              <controlPr locked="0" defaultSize="0" autoFill="0" autoLine="0" autoPict="0" macro="[0]!HideTarBask">
                <anchor moveWithCells="1">
                  <from>
                    <xdr:col>21</xdr:col>
                    <xdr:colOff>38100</xdr:colOff>
                    <xdr:row>31</xdr:row>
                    <xdr:rowOff>0</xdr:rowOff>
                  </from>
                  <to>
                    <xdr:col>22</xdr:col>
                    <xdr:colOff>9525</xdr:colOff>
                    <xdr:row>32</xdr:row>
                    <xdr:rowOff>47625</xdr:rowOff>
                  </to>
                </anchor>
              </controlPr>
            </control>
          </mc:Choice>
        </mc:AlternateContent>
        <mc:AlternateContent xmlns:mc="http://schemas.openxmlformats.org/markup-compatibility/2006">
          <mc:Choice Requires="x14">
            <control shapeId="22718" r:id="rId5" name="Option Button 190">
              <controlPr locked="0" defaultSize="0" autoFill="0" autoLine="0" autoPict="0" macro="[0]!HidePriceCap">
                <anchor moveWithCells="1">
                  <from>
                    <xdr:col>21</xdr:col>
                    <xdr:colOff>38100</xdr:colOff>
                    <xdr:row>32</xdr:row>
                    <xdr:rowOff>85725</xdr:rowOff>
                  </from>
                  <to>
                    <xdr:col>22</xdr:col>
                    <xdr:colOff>9525</xdr:colOff>
                    <xdr:row>34</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6">
    <pageSetUpPr autoPageBreaks="0"/>
  </sheetPr>
  <dimension ref="A1:AP42"/>
  <sheetViews>
    <sheetView showGridLines="0" tabSelected="1" zoomScaleNormal="100" workbookViewId="0">
      <pane xSplit="9" ySplit="7" topLeftCell="O8" activePane="bottomRight" state="frozen"/>
      <selection activeCell="U1" sqref="U1"/>
      <selection pane="topRight" activeCell="U1" sqref="U1"/>
      <selection pane="bottomLeft" activeCell="U1" sqref="U1"/>
      <selection pane="bottomRight" activeCell="X13" sqref="X13"/>
    </sheetView>
  </sheetViews>
  <sheetFormatPr defaultColWidth="10.83203125" defaultRowHeight="12" outlineLevelCol="1"/>
  <cols>
    <col min="1" max="5" width="3.83203125" style="70" customWidth="1"/>
    <col min="6" max="6" width="12.6640625" style="70" customWidth="1"/>
    <col min="7" max="7" width="14.6640625" style="70" customWidth="1"/>
    <col min="8" max="9" width="15" style="405" customWidth="1"/>
    <col min="10" max="10" width="14.83203125" style="70" hidden="1" customWidth="1" outlineLevel="1"/>
    <col min="11" max="14" width="10.83203125" style="70" hidden="1" customWidth="1" outlineLevel="1"/>
    <col min="15" max="15" width="9.33203125" style="70" customWidth="1" collapsed="1"/>
    <col min="16" max="23" width="9.33203125" style="70" customWidth="1"/>
    <col min="24" max="33" width="9.83203125" style="70" customWidth="1"/>
    <col min="34" max="34" width="1.1640625" style="70" customWidth="1"/>
    <col min="35" max="37" width="12.6640625" style="70" bestFit="1" customWidth="1"/>
    <col min="38" max="38" width="2.6640625" style="70" customWidth="1"/>
    <col min="39" max="39" width="10.83203125" style="70"/>
    <col min="40" max="41" width="12.6640625" style="70" bestFit="1" customWidth="1"/>
    <col min="42" max="42" width="3.1640625" style="70" customWidth="1"/>
    <col min="43" max="16384" width="10.83203125" style="70"/>
  </cols>
  <sheetData>
    <row r="1" spans="1:42" ht="15">
      <c r="A1" s="152">
        <v>80</v>
      </c>
      <c r="B1" s="153" t="s">
        <v>258</v>
      </c>
    </row>
    <row r="2" spans="1:42" ht="12.75">
      <c r="B2" s="155" t="str">
        <f>+Contents!H7</f>
        <v>North East Water</v>
      </c>
    </row>
    <row r="3" spans="1:42">
      <c r="B3" s="2212" t="s">
        <v>0</v>
      </c>
      <c r="C3" s="2212"/>
      <c r="D3" s="2212"/>
      <c r="E3" s="2212"/>
      <c r="F3" s="2212"/>
      <c r="G3" s="595"/>
    </row>
    <row r="4" spans="1:42">
      <c r="A4" s="160"/>
      <c r="B4" s="72"/>
      <c r="C4" s="73"/>
      <c r="F4" s="60"/>
      <c r="K4" s="63"/>
      <c r="L4" s="149"/>
      <c r="M4" s="149" t="s">
        <v>274</v>
      </c>
      <c r="N4" s="149"/>
      <c r="O4" s="149"/>
      <c r="P4" s="1619"/>
      <c r="Q4" s="150"/>
      <c r="R4" s="150"/>
      <c r="S4" s="150"/>
      <c r="T4" s="1619" t="s">
        <v>334</v>
      </c>
      <c r="U4" s="150"/>
      <c r="V4" s="150"/>
      <c r="W4" s="150"/>
      <c r="X4" s="1619"/>
      <c r="Y4" s="150"/>
      <c r="Z4" s="150" t="s">
        <v>465</v>
      </c>
      <c r="AA4" s="150"/>
      <c r="AB4" s="62"/>
      <c r="AC4" s="64"/>
      <c r="AD4" s="64"/>
      <c r="AE4" s="150" t="s">
        <v>949</v>
      </c>
      <c r="AF4" s="63"/>
      <c r="AG4" s="62"/>
      <c r="AI4" s="2215" t="s">
        <v>1031</v>
      </c>
      <c r="AJ4" s="2216"/>
      <c r="AK4" s="2217"/>
      <c r="AM4" s="2215" t="s">
        <v>1032</v>
      </c>
      <c r="AN4" s="2216"/>
      <c r="AO4" s="2217"/>
    </row>
    <row r="5" spans="1:42">
      <c r="I5" s="70"/>
    </row>
    <row r="6" spans="1:42">
      <c r="B6" s="161"/>
      <c r="F6" s="162" t="s">
        <v>62</v>
      </c>
      <c r="I6" s="66">
        <v>2014</v>
      </c>
      <c r="J6" s="66">
        <v>2015</v>
      </c>
      <c r="K6" s="66">
        <v>2016</v>
      </c>
      <c r="L6" s="66">
        <v>2017</v>
      </c>
      <c r="M6" s="66">
        <v>2018</v>
      </c>
      <c r="N6" s="66">
        <v>2019</v>
      </c>
      <c r="O6" s="66">
        <v>2020</v>
      </c>
      <c r="P6" s="66">
        <v>2021</v>
      </c>
      <c r="Q6" s="66">
        <v>2022</v>
      </c>
      <c r="R6" s="66">
        <v>2023</v>
      </c>
      <c r="S6" s="67">
        <v>2024</v>
      </c>
      <c r="T6" s="67">
        <v>2025</v>
      </c>
      <c r="U6" s="67">
        <v>2026</v>
      </c>
      <c r="V6" s="67">
        <v>2027</v>
      </c>
      <c r="W6" s="67">
        <v>2028</v>
      </c>
      <c r="X6" s="67">
        <f>W6+1</f>
        <v>2029</v>
      </c>
      <c r="Y6" s="67">
        <f>X6+1</f>
        <v>2030</v>
      </c>
      <c r="Z6" s="67">
        <f t="shared" ref="Z6:AG6" si="0">Y6+1</f>
        <v>2031</v>
      </c>
      <c r="AA6" s="67">
        <f t="shared" si="0"/>
        <v>2032</v>
      </c>
      <c r="AB6" s="67">
        <f t="shared" si="0"/>
        <v>2033</v>
      </c>
      <c r="AC6" s="67">
        <f t="shared" si="0"/>
        <v>2034</v>
      </c>
      <c r="AD6" s="67">
        <f t="shared" si="0"/>
        <v>2035</v>
      </c>
      <c r="AE6" s="67">
        <f t="shared" si="0"/>
        <v>2036</v>
      </c>
      <c r="AF6" s="67">
        <f t="shared" si="0"/>
        <v>2037</v>
      </c>
      <c r="AG6" s="67">
        <f t="shared" si="0"/>
        <v>2038</v>
      </c>
    </row>
    <row r="7" spans="1:42" ht="14.25">
      <c r="A7" s="75"/>
      <c r="B7" s="164"/>
      <c r="C7" s="75"/>
      <c r="D7" s="75"/>
      <c r="E7" s="75"/>
      <c r="F7" s="165" t="s">
        <v>63</v>
      </c>
      <c r="G7" s="75"/>
      <c r="H7" s="68"/>
      <c r="I7" s="70"/>
      <c r="K7" s="342" t="str">
        <f t="shared" ref="K7:X7" si="1">+CONCATENATE(I6-1,"-",RIGHT(I6,2))</f>
        <v>2013-14</v>
      </c>
      <c r="L7" s="342" t="str">
        <f t="shared" si="1"/>
        <v>2014-15</v>
      </c>
      <c r="M7" s="342" t="str">
        <f t="shared" si="1"/>
        <v>2015-16</v>
      </c>
      <c r="N7" s="342" t="str">
        <f t="shared" si="1"/>
        <v>2016-17</v>
      </c>
      <c r="O7" s="342" t="str">
        <f t="shared" si="1"/>
        <v>2017-18</v>
      </c>
      <c r="P7" s="342" t="str">
        <f t="shared" si="1"/>
        <v>2018-19</v>
      </c>
      <c r="Q7" s="342" t="str">
        <f t="shared" si="1"/>
        <v>2019-20</v>
      </c>
      <c r="R7" s="342" t="str">
        <f t="shared" si="1"/>
        <v>2020-21</v>
      </c>
      <c r="S7" s="342" t="str">
        <f t="shared" si="1"/>
        <v>2021-22</v>
      </c>
      <c r="T7" s="342" t="str">
        <f t="shared" si="1"/>
        <v>2022-23</v>
      </c>
      <c r="U7" s="2129" t="str">
        <f t="shared" si="1"/>
        <v>2023-24</v>
      </c>
      <c r="V7" s="342" t="str">
        <f t="shared" si="1"/>
        <v>2024-25</v>
      </c>
      <c r="W7" s="342" t="str">
        <f t="shared" si="1"/>
        <v>2025-26</v>
      </c>
      <c r="X7" s="2129" t="str">
        <f t="shared" si="1"/>
        <v>2026-27</v>
      </c>
      <c r="Y7" s="342" t="str">
        <f t="shared" ref="Y7:AG7" si="2">+CONCATENATE(W6-1,"-",RIGHT(W6,2))</f>
        <v>2027-28</v>
      </c>
      <c r="Z7" s="342" t="str">
        <f t="shared" si="2"/>
        <v>2028-29</v>
      </c>
      <c r="AA7" s="342" t="str">
        <f t="shared" si="2"/>
        <v>2029-30</v>
      </c>
      <c r="AB7" s="342" t="str">
        <f t="shared" si="2"/>
        <v>2030-31</v>
      </c>
      <c r="AC7" s="342" t="str">
        <f t="shared" si="2"/>
        <v>2031-32</v>
      </c>
      <c r="AD7" s="342" t="str">
        <f t="shared" si="2"/>
        <v>2032-33</v>
      </c>
      <c r="AE7" s="342" t="str">
        <f t="shared" si="2"/>
        <v>2033-34</v>
      </c>
      <c r="AF7" s="342" t="str">
        <f t="shared" si="2"/>
        <v>2034-35</v>
      </c>
      <c r="AG7" s="342" t="str">
        <f t="shared" si="2"/>
        <v>2035-36</v>
      </c>
      <c r="AI7" s="1856" t="s">
        <v>1035</v>
      </c>
      <c r="AJ7" s="1856" t="s">
        <v>1033</v>
      </c>
      <c r="AK7" s="1856" t="s">
        <v>1034</v>
      </c>
      <c r="AM7" s="1856" t="s">
        <v>1035</v>
      </c>
      <c r="AN7" s="1856" t="s">
        <v>1033</v>
      </c>
      <c r="AO7" s="1856" t="s">
        <v>1034</v>
      </c>
    </row>
    <row r="8" spans="1:42">
      <c r="H8" s="597"/>
      <c r="I8" s="597"/>
    </row>
    <row r="9" spans="1:42">
      <c r="H9" s="282"/>
      <c r="I9" s="282"/>
    </row>
    <row r="10" spans="1:42" ht="12.75" thickBot="1">
      <c r="D10" s="234"/>
      <c r="H10" s="282"/>
      <c r="I10" s="282"/>
    </row>
    <row r="11" spans="1:42">
      <c r="D11" s="166"/>
      <c r="E11" s="167"/>
      <c r="F11" s="167"/>
      <c r="G11" s="167"/>
      <c r="H11" s="598"/>
      <c r="I11" s="598"/>
      <c r="J11" s="167"/>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8"/>
      <c r="AI11" s="166"/>
      <c r="AJ11" s="167"/>
      <c r="AK11" s="168"/>
      <c r="AM11" s="166"/>
      <c r="AN11" s="167"/>
      <c r="AO11" s="167"/>
      <c r="AP11" s="168"/>
    </row>
    <row r="12" spans="1:42">
      <c r="D12" s="169"/>
      <c r="E12" s="647"/>
      <c r="F12" s="599" t="s">
        <v>259</v>
      </c>
      <c r="H12" s="282"/>
      <c r="I12" s="282"/>
      <c r="J12" s="378"/>
      <c r="K12" s="378"/>
      <c r="L12" s="378"/>
      <c r="M12" s="378"/>
      <c r="N12" s="378"/>
      <c r="O12" s="378"/>
      <c r="P12" s="378"/>
      <c r="Q12" s="378"/>
      <c r="R12" s="378"/>
      <c r="S12" s="378"/>
      <c r="T12" s="378"/>
      <c r="U12" s="378"/>
      <c r="V12" s="378"/>
      <c r="W12" s="378"/>
      <c r="X12" s="378"/>
      <c r="Y12" s="378"/>
      <c r="Z12" s="378"/>
      <c r="AA12" s="378"/>
      <c r="AB12" s="378"/>
      <c r="AC12" s="378"/>
      <c r="AD12" s="378"/>
      <c r="AE12" s="378"/>
      <c r="AF12" s="378"/>
      <c r="AG12" s="1862"/>
      <c r="AI12" s="169"/>
      <c r="AK12" s="171"/>
      <c r="AM12" s="169"/>
      <c r="AP12" s="171"/>
    </row>
    <row r="13" spans="1:42">
      <c r="D13" s="169"/>
      <c r="E13" s="647"/>
      <c r="G13" s="70" t="s">
        <v>1036</v>
      </c>
      <c r="H13" s="282"/>
      <c r="I13" s="282"/>
      <c r="J13" s="378"/>
      <c r="K13" s="378">
        <f>Opex_Breakdown!K42</f>
        <v>0</v>
      </c>
      <c r="L13" s="378">
        <f>Opex_Breakdown!L42</f>
        <v>0</v>
      </c>
      <c r="M13" s="378">
        <f>Opex_Breakdown!M42</f>
        <v>0</v>
      </c>
      <c r="N13" s="378">
        <f>Opex_Breakdown!N42</f>
        <v>0</v>
      </c>
      <c r="O13" s="378">
        <f>Opex_Breakdown!O17</f>
        <v>49.88419819004524</v>
      </c>
      <c r="P13" s="378">
        <f>Opex_Breakdown!P17</f>
        <v>48.04167761989342</v>
      </c>
      <c r="Q13" s="378">
        <f>Opex_Breakdown!Q17</f>
        <v>53.262533742331293</v>
      </c>
      <c r="R13" s="378">
        <f>Opex_Breakdown!R17</f>
        <v>50.409455403087478</v>
      </c>
      <c r="S13" s="378">
        <f>Opex_Breakdown!S17</f>
        <v>52.173564885496177</v>
      </c>
      <c r="T13" s="378">
        <f>Opex_Breakdown!T17</f>
        <v>58.135559322033892</v>
      </c>
      <c r="U13" s="378">
        <f>Opex_Breakdown!U17</f>
        <v>57.475843891402711</v>
      </c>
      <c r="V13" s="378">
        <f>Opex_Breakdown!V17</f>
        <v>57.607126637554572</v>
      </c>
      <c r="W13" s="378">
        <f>Opex_Breakdown!W17</f>
        <v>54.994000000000014</v>
      </c>
      <c r="X13" s="378">
        <f>Opex_Breakdown!X17</f>
        <v>56.927501659388653</v>
      </c>
      <c r="Y13" s="378">
        <f>Opex_Breakdown!Y17</f>
        <v>57.746535659388655</v>
      </c>
      <c r="Z13" s="378">
        <f>Opex_Breakdown!Z17</f>
        <v>57.222382659388657</v>
      </c>
      <c r="AA13" s="378">
        <f>Opex_Breakdown!AA17</f>
        <v>58.098912659388652</v>
      </c>
      <c r="AB13" s="378">
        <f>Opex_Breakdown!AB17</f>
        <v>58.181688659388655</v>
      </c>
      <c r="AC13" s="378">
        <f>Opex_Breakdown!AC17</f>
        <v>59.036976659388657</v>
      </c>
      <c r="AD13" s="378">
        <f>Opex_Breakdown!AD17</f>
        <v>59.904816659388658</v>
      </c>
      <c r="AE13" s="378">
        <f>Opex_Breakdown!AE17</f>
        <v>60.785214659388657</v>
      </c>
      <c r="AF13" s="378">
        <f>Opex_Breakdown!AF17</f>
        <v>61.678456659388658</v>
      </c>
      <c r="AG13" s="1862">
        <f>Opex_Breakdown!AG17</f>
        <v>62.58484665938866</v>
      </c>
      <c r="AI13" s="1857">
        <f>SUM(P13:W13)</f>
        <v>432.09976150179961</v>
      </c>
      <c r="AJ13" s="1858">
        <f>SUM($X13:$AB13)</f>
        <v>288.17702129694328</v>
      </c>
      <c r="AK13" s="670">
        <f>SUM($AC13:$AG13)</f>
        <v>303.99031129694333</v>
      </c>
      <c r="AM13" s="1857">
        <f>AVERAGE(P13:W13)</f>
        <v>54.012470187724951</v>
      </c>
      <c r="AN13" s="1858">
        <f>AVERAGE(X13:AB13)</f>
        <v>57.635404259388658</v>
      </c>
      <c r="AO13" s="128">
        <f>AVERAGE(AC13:AG13)</f>
        <v>60.798062259388665</v>
      </c>
      <c r="AP13" s="1859"/>
    </row>
    <row r="14" spans="1:42">
      <c r="D14" s="169"/>
      <c r="E14" s="614"/>
      <c r="G14" s="70" t="s">
        <v>1037</v>
      </c>
      <c r="H14" s="282"/>
      <c r="I14" s="282"/>
      <c r="J14" s="378"/>
      <c r="K14" s="378"/>
      <c r="L14" s="378"/>
      <c r="M14" s="378"/>
      <c r="N14" s="378"/>
      <c r="O14" s="378">
        <f>Opex_Breakdown!O38</f>
        <v>4.0440108597285072</v>
      </c>
      <c r="P14" s="378">
        <f>Opex_Breakdown!P38</f>
        <v>4.6545959147424503</v>
      </c>
      <c r="Q14" s="378">
        <f>Opex_Breakdown!Q38</f>
        <v>4.694521472392637</v>
      </c>
      <c r="R14" s="378">
        <f>Opex_Breakdown!R38</f>
        <v>5.1706646655231561</v>
      </c>
      <c r="S14" s="378">
        <f>Opex_Breakdown!S38</f>
        <v>5.1446793893129783</v>
      </c>
      <c r="T14" s="378">
        <f>Opex_Breakdown!T38</f>
        <v>4.8364915254237282</v>
      </c>
      <c r="U14" s="378">
        <f>Opex_Breakdown!U38</f>
        <v>4.5669140271493216</v>
      </c>
      <c r="V14" s="378">
        <f>Opex_Breakdown!V38</f>
        <v>4.7309606986899553</v>
      </c>
      <c r="W14" s="378">
        <f>Opex_Breakdown!W38</f>
        <v>3.9939999999999998</v>
      </c>
      <c r="X14" s="378">
        <f>Opex_Breakdown!X38</f>
        <v>3.9039562682215747</v>
      </c>
      <c r="Y14" s="378">
        <f>Opex_Breakdown!Y38</f>
        <v>3.8164502120715014</v>
      </c>
      <c r="Z14" s="378">
        <f>Opex_Breakdown!Z38</f>
        <v>3.7314103129946563</v>
      </c>
      <c r="AA14" s="378">
        <f>Opex_Breakdown!AA38</f>
        <v>3.6487670680220186</v>
      </c>
      <c r="AB14" s="378">
        <f>Opex_Breakdown!AB38</f>
        <v>3.5684529329660046</v>
      </c>
      <c r="AC14" s="378">
        <f>Opex_Breakdown!AC38</f>
        <v>3.4904022672167194</v>
      </c>
      <c r="AD14" s="378">
        <f>Opex_Breakdown!AD38</f>
        <v>3.4145512800939937</v>
      </c>
      <c r="AE14" s="378">
        <f>Opex_Breakdown!AE38</f>
        <v>3.3408379787113649</v>
      </c>
      <c r="AF14" s="378">
        <f>Opex_Breakdown!AF38</f>
        <v>3.2692021173093924</v>
      </c>
      <c r="AG14" s="1862">
        <f>Opex_Breakdown!AG38</f>
        <v>3.1995851480169026</v>
      </c>
      <c r="AI14" s="1857">
        <f>SUM(P14:W14)</f>
        <v>37.792827693234223</v>
      </c>
      <c r="AJ14" s="1858">
        <f>SUM($X14:$AB14)</f>
        <v>18.669036794275755</v>
      </c>
      <c r="AK14" s="670">
        <f t="shared" ref="AK14:AK25" si="3">SUM($AC14:$AG14)</f>
        <v>16.714578791348373</v>
      </c>
      <c r="AM14" s="1857">
        <f t="shared" ref="AM14:AM25" si="4">AVERAGE(P14:W14)</f>
        <v>4.7241034616542779</v>
      </c>
      <c r="AN14" s="1858">
        <f t="shared" ref="AN14:AN30" si="5">AVERAGE(X14:AB14)</f>
        <v>3.733807358855151</v>
      </c>
      <c r="AO14" s="128">
        <f>AVERAGE(AC14:AG14)</f>
        <v>3.3429157582696747</v>
      </c>
      <c r="AP14" s="1859"/>
    </row>
    <row r="15" spans="1:42">
      <c r="D15" s="169"/>
      <c r="E15" s="614"/>
      <c r="G15" s="70" t="s">
        <v>699</v>
      </c>
      <c r="H15" s="282"/>
      <c r="I15" s="282"/>
      <c r="J15" s="378"/>
      <c r="K15" s="378"/>
      <c r="L15" s="378"/>
      <c r="M15" s="378"/>
      <c r="N15" s="378"/>
      <c r="O15" s="378">
        <f>Opex_Breakdown!O42</f>
        <v>53.928209049773749</v>
      </c>
      <c r="P15" s="378">
        <f>Opex_Breakdown!P42</f>
        <v>52.696273534635871</v>
      </c>
      <c r="Q15" s="378">
        <f>Opex_Breakdown!Q42</f>
        <v>57.95705521472393</v>
      </c>
      <c r="R15" s="378">
        <f>Opex_Breakdown!R42</f>
        <v>55.580120068610633</v>
      </c>
      <c r="S15" s="378">
        <f>Opex_Breakdown!S42</f>
        <v>57.318244274809153</v>
      </c>
      <c r="T15" s="378">
        <f>Opex_Breakdown!T42</f>
        <v>62.972050847457623</v>
      </c>
      <c r="U15" s="378">
        <f>Opex_Breakdown!U42</f>
        <v>62.042757918552034</v>
      </c>
      <c r="V15" s="378">
        <f>Opex_Breakdown!V42</f>
        <v>62.338087336244527</v>
      </c>
      <c r="W15" s="378">
        <f>Opex_Breakdown!W42</f>
        <v>58.988000000000014</v>
      </c>
      <c r="X15" s="600">
        <f>Opex_FO!X124</f>
        <v>60.831457455994489</v>
      </c>
      <c r="Y15" s="378">
        <f>Opex_FO!Y124</f>
        <v>61.562985399844415</v>
      </c>
      <c r="Z15" s="378">
        <f>Opex_FO!Z124</f>
        <v>60.953792500767563</v>
      </c>
      <c r="AA15" s="378">
        <f>Opex_FO!AA124</f>
        <v>61.747679255794928</v>
      </c>
      <c r="AB15" s="378">
        <f>Opex_FO!AB124</f>
        <v>61.750141120738917</v>
      </c>
      <c r="AC15" s="378">
        <f>Opex_FO!AC124</f>
        <v>62.527376510216712</v>
      </c>
      <c r="AD15" s="378">
        <f>Opex_FO!AD124</f>
        <v>63.319367578321057</v>
      </c>
      <c r="AE15" s="378">
        <f>Opex_FO!AE124</f>
        <v>64.1260523321655</v>
      </c>
      <c r="AF15" s="378">
        <f>Opex_FO!AF124</f>
        <v>64.947662525990609</v>
      </c>
      <c r="AG15" s="1862">
        <f>Opex_FO!AG124</f>
        <v>65.784431611925186</v>
      </c>
      <c r="AI15" s="1857">
        <f>SUM(P15:W15)</f>
        <v>469.89258919503379</v>
      </c>
      <c r="AJ15" s="1858">
        <f>SUM($X15:$AB15)</f>
        <v>306.8460557331403</v>
      </c>
      <c r="AK15" s="670">
        <f>SUM($AC15:$AG15)</f>
        <v>320.70489055861907</v>
      </c>
      <c r="AM15" s="1857">
        <f t="shared" si="4"/>
        <v>58.736573649379224</v>
      </c>
      <c r="AN15" s="1858">
        <f t="shared" si="5"/>
        <v>61.369211146628061</v>
      </c>
      <c r="AO15" s="128">
        <f>AVERAGE(AC15:AG15)</f>
        <v>64.140978111723811</v>
      </c>
      <c r="AP15" s="1859"/>
    </row>
    <row r="16" spans="1:42">
      <c r="D16" s="169"/>
      <c r="E16" s="614"/>
      <c r="H16" s="282"/>
      <c r="I16" s="282"/>
      <c r="J16" s="378"/>
      <c r="K16" s="378"/>
      <c r="L16" s="378"/>
      <c r="M16" s="378"/>
      <c r="N16" s="378"/>
      <c r="O16" s="378"/>
      <c r="P16" s="378"/>
      <c r="Q16" s="378"/>
      <c r="R16" s="378"/>
      <c r="S16" s="378"/>
      <c r="T16" s="378"/>
      <c r="U16" s="378"/>
      <c r="V16" s="378"/>
      <c r="W16" s="378"/>
      <c r="X16" s="378"/>
      <c r="Y16" s="378"/>
      <c r="Z16" s="378"/>
      <c r="AA16" s="378"/>
      <c r="AB16" s="378"/>
      <c r="AC16" s="349"/>
      <c r="AD16" s="349"/>
      <c r="AE16" s="349"/>
      <c r="AF16" s="349"/>
      <c r="AG16" s="1863"/>
      <c r="AI16" s="1857"/>
      <c r="AJ16" s="1858"/>
      <c r="AK16" s="670"/>
      <c r="AM16" s="1857"/>
      <c r="AN16" s="1858"/>
      <c r="AO16" s="128"/>
      <c r="AP16" s="1859"/>
    </row>
    <row r="17" spans="2:42">
      <c r="D17" s="169"/>
      <c r="E17" s="614"/>
      <c r="H17" s="282"/>
      <c r="I17" s="282"/>
      <c r="J17" s="378"/>
      <c r="K17" s="378"/>
      <c r="L17" s="378"/>
      <c r="M17" s="378"/>
      <c r="N17" s="378"/>
      <c r="O17" s="378"/>
      <c r="P17" s="378"/>
      <c r="Q17" s="378"/>
      <c r="R17" s="378"/>
      <c r="S17" s="378"/>
      <c r="T17" s="378"/>
      <c r="U17" s="378"/>
      <c r="V17" s="378"/>
      <c r="W17" s="378"/>
      <c r="X17" s="378"/>
      <c r="Y17" s="378"/>
      <c r="Z17" s="378"/>
      <c r="AA17" s="378"/>
      <c r="AB17" s="378"/>
      <c r="AC17" s="349"/>
      <c r="AD17" s="349"/>
      <c r="AE17" s="349"/>
      <c r="AF17" s="349"/>
      <c r="AG17" s="1863"/>
      <c r="AI17" s="1857"/>
      <c r="AJ17" s="1858"/>
      <c r="AK17" s="670"/>
      <c r="AM17" s="1857"/>
      <c r="AN17" s="1858"/>
      <c r="AO17" s="128"/>
      <c r="AP17" s="1859"/>
    </row>
    <row r="18" spans="2:42">
      <c r="D18" s="169"/>
      <c r="F18" s="599" t="s">
        <v>697</v>
      </c>
      <c r="H18" s="282"/>
      <c r="I18" s="282"/>
      <c r="J18" s="128"/>
      <c r="K18" s="128"/>
      <c r="L18" s="128"/>
      <c r="M18" s="128"/>
      <c r="N18" s="128"/>
      <c r="O18" s="128"/>
      <c r="P18" s="128"/>
      <c r="Q18" s="128"/>
      <c r="R18" s="128"/>
      <c r="S18" s="128"/>
      <c r="T18" s="128"/>
      <c r="U18" s="128"/>
      <c r="V18" s="128"/>
      <c r="W18" s="128"/>
      <c r="X18" s="128"/>
      <c r="Y18" s="128"/>
      <c r="Z18" s="128"/>
      <c r="AA18" s="128"/>
      <c r="AB18" s="128"/>
      <c r="AC18" s="123"/>
      <c r="AD18" s="123"/>
      <c r="AE18" s="123"/>
      <c r="AF18" s="123"/>
      <c r="AG18" s="1864"/>
      <c r="AI18" s="1857"/>
      <c r="AJ18" s="1858"/>
      <c r="AK18" s="670"/>
      <c r="AM18" s="1857"/>
      <c r="AN18" s="1858"/>
      <c r="AO18" s="128"/>
      <c r="AP18" s="1859"/>
    </row>
    <row r="19" spans="2:42">
      <c r="D19" s="169"/>
      <c r="G19" s="70" t="s">
        <v>260</v>
      </c>
      <c r="H19" s="282"/>
      <c r="I19" s="282"/>
      <c r="J19" s="128">
        <f>Capex_FO_AC!J17</f>
        <v>0</v>
      </c>
      <c r="K19" s="128">
        <f>Capex_FO_AC!K17</f>
        <v>0</v>
      </c>
      <c r="L19" s="128">
        <f>Capex_FO_AC!L17</f>
        <v>0</v>
      </c>
      <c r="M19" s="128">
        <f>Capex_FO_AC!M17</f>
        <v>0</v>
      </c>
      <c r="N19" s="128">
        <f>Capex_FO_AC!N17</f>
        <v>0</v>
      </c>
      <c r="O19" s="128">
        <f>Capex_FO_AC!O17</f>
        <v>23.432855397285067</v>
      </c>
      <c r="P19" s="128">
        <f>Capex_FO_AC!P17</f>
        <v>17.851385599023089</v>
      </c>
      <c r="Q19" s="128">
        <f>Capex_FO_AC!Q17</f>
        <v>29.564081300613495</v>
      </c>
      <c r="R19" s="123">
        <f>Capex_FO_AC!R17</f>
        <v>30.752784326655227</v>
      </c>
      <c r="S19" s="123">
        <f>Capex_FO_AC!S17</f>
        <v>50.947665715012718</v>
      </c>
      <c r="T19" s="123">
        <f>Capex_FO_AC!T17</f>
        <v>38.549908669491515</v>
      </c>
      <c r="U19" s="123">
        <f>Capex_FO_AC!U17</f>
        <v>45.534034847285071</v>
      </c>
      <c r="V19" s="123">
        <f>Capex_FO_AC!V17</f>
        <v>81.634957360502185</v>
      </c>
      <c r="W19" s="1732">
        <f>Capex_FO_AC!AM15</f>
        <v>13.967881085972849</v>
      </c>
      <c r="X19" s="1732">
        <f>Capex_FO_AC!X17</f>
        <v>54.123402999999996</v>
      </c>
      <c r="Y19" s="123">
        <f>Capex_FO_AC!Y17</f>
        <v>58.27920000000001</v>
      </c>
      <c r="Z19" s="123">
        <f>Capex_FO_AC!Z17</f>
        <v>44.128900000000002</v>
      </c>
      <c r="AA19" s="123">
        <f>Capex_FO_AC!AA17</f>
        <v>51.032827000000012</v>
      </c>
      <c r="AB19" s="123">
        <f>Capex_FO_AC!AB17</f>
        <v>72.166600000000003</v>
      </c>
      <c r="AC19" s="123">
        <f>Capex_FO_AC!AC17</f>
        <v>64.378999999999991</v>
      </c>
      <c r="AD19" s="123">
        <f>Capex_FO_AC!AD17</f>
        <v>62.098999999999997</v>
      </c>
      <c r="AE19" s="123">
        <f>Capex_FO_AC!AE17</f>
        <v>52.566000000000003</v>
      </c>
      <c r="AF19" s="123">
        <f>Capex_FO_AC!AF17</f>
        <v>64.248999999999995</v>
      </c>
      <c r="AG19" s="1864">
        <f>Capex_FO_AC!AG17</f>
        <v>54.248999999999995</v>
      </c>
      <c r="AI19" s="1857">
        <f>SUM(P19:W19)</f>
        <v>308.80269890455617</v>
      </c>
      <c r="AJ19" s="1858">
        <f>SUM($X19:$AB19)</f>
        <v>279.73093</v>
      </c>
      <c r="AK19" s="670">
        <f>SUM($AC19:$AG19)</f>
        <v>297.54199999999997</v>
      </c>
      <c r="AM19" s="1857">
        <f t="shared" si="4"/>
        <v>38.600337363069521</v>
      </c>
      <c r="AN19" s="1858">
        <f t="shared" si="5"/>
        <v>55.946185999999997</v>
      </c>
      <c r="AO19" s="128">
        <f>AVERAGE(AC19:AG19)</f>
        <v>59.508399999999995</v>
      </c>
      <c r="AP19" s="1859"/>
    </row>
    <row r="20" spans="2:42">
      <c r="D20" s="169"/>
      <c r="G20" s="70" t="s">
        <v>261</v>
      </c>
      <c r="H20" s="282"/>
      <c r="I20" s="282"/>
      <c r="J20" s="128">
        <f>Capex_FO_AC!J25</f>
        <v>0</v>
      </c>
      <c r="K20" s="128">
        <f>Capex_FO_AC!K25</f>
        <v>0</v>
      </c>
      <c r="L20" s="128">
        <f>Capex_FO_AC!L25</f>
        <v>0</v>
      </c>
      <c r="M20" s="128">
        <f>Capex_FO_AC!M25</f>
        <v>0</v>
      </c>
      <c r="N20" s="128">
        <f>Capex_FO_AC!N25</f>
        <v>0</v>
      </c>
      <c r="O20" s="128">
        <f>Capex_FO_AC!O25</f>
        <v>0</v>
      </c>
      <c r="P20" s="128">
        <f>Capex_FO_AC!P25</f>
        <v>0</v>
      </c>
      <c r="Q20" s="128">
        <f>Capex_FO_AC!Q25</f>
        <v>0</v>
      </c>
      <c r="R20" s="128">
        <f>Capex_FO_AC!R25</f>
        <v>0.43440823327615774</v>
      </c>
      <c r="S20" s="128">
        <f>Capex_FO_AC!S25</f>
        <v>0.286412213740458</v>
      </c>
      <c r="T20" s="128">
        <f>Capex_FO_AC!T25</f>
        <v>0.22711864406779658</v>
      </c>
      <c r="U20" s="128">
        <f>Capex_FO_AC!U25</f>
        <v>1.0488834841628958</v>
      </c>
      <c r="V20" s="128">
        <f>Capex_FO_AC!V25</f>
        <v>1.3501670305676856</v>
      </c>
      <c r="W20" s="128">
        <f>Capex_FO_AC!W25</f>
        <v>0</v>
      </c>
      <c r="X20" s="128">
        <f>Capex_FO_AC!X25</f>
        <v>1</v>
      </c>
      <c r="Y20" s="128">
        <f>Capex_FO_AC!Y25</f>
        <v>3.0949999999999998</v>
      </c>
      <c r="Z20" s="128">
        <f>Capex_FO_AC!Z25</f>
        <v>0.40500000000000003</v>
      </c>
      <c r="AA20" s="128">
        <f>Capex_FO_AC!AA25</f>
        <v>0</v>
      </c>
      <c r="AB20" s="128">
        <f>Capex_FO_AC!AB25</f>
        <v>0</v>
      </c>
      <c r="AC20" s="128">
        <f>Capex_FO_AC!AC25</f>
        <v>0</v>
      </c>
      <c r="AD20" s="128">
        <f>Capex_FO_AC!AD25</f>
        <v>0</v>
      </c>
      <c r="AE20" s="128">
        <f>Capex_FO_AC!AE25</f>
        <v>0</v>
      </c>
      <c r="AF20" s="128">
        <f>Capex_FO_AC!AF25</f>
        <v>0</v>
      </c>
      <c r="AG20" s="670">
        <f>Capex_FO_AC!AG25</f>
        <v>0</v>
      </c>
      <c r="AI20" s="1857">
        <f t="shared" ref="AI20:AI25" si="6">SUM(P20:W20)</f>
        <v>3.3469896058149935</v>
      </c>
      <c r="AJ20" s="1858">
        <f t="shared" ref="AJ20:AJ30" si="7">SUM($X20:$AB20)</f>
        <v>4.5</v>
      </c>
      <c r="AK20" s="670">
        <f t="shared" si="3"/>
        <v>0</v>
      </c>
      <c r="AM20" s="1857">
        <f t="shared" si="4"/>
        <v>0.41837370072687419</v>
      </c>
      <c r="AN20" s="1858">
        <f t="shared" si="5"/>
        <v>0.9</v>
      </c>
      <c r="AO20" s="128">
        <f>AVERAGE(AC20:AG20)</f>
        <v>0</v>
      </c>
      <c r="AP20" s="1859"/>
    </row>
    <row r="21" spans="2:42">
      <c r="D21" s="169"/>
      <c r="G21" s="70" t="s">
        <v>262</v>
      </c>
      <c r="H21" s="282"/>
      <c r="I21" s="282"/>
      <c r="J21" s="128">
        <f>Capex_FO_AC!J26</f>
        <v>0</v>
      </c>
      <c r="K21" s="128">
        <f>Capex_FO_AC!K26</f>
        <v>0</v>
      </c>
      <c r="L21" s="128">
        <f>Capex_FO_AC!L26</f>
        <v>0</v>
      </c>
      <c r="M21" s="128">
        <f>Capex_FO_AC!M26</f>
        <v>0</v>
      </c>
      <c r="N21" s="128">
        <f>Capex_FO_AC!N26</f>
        <v>0</v>
      </c>
      <c r="O21" s="128">
        <f>Capex_FO_AC!O26</f>
        <v>2.6926542081447966</v>
      </c>
      <c r="P21" s="128">
        <f>Capex_FO_AC!P26</f>
        <v>3.2700879218472467</v>
      </c>
      <c r="Q21" s="128">
        <f>Capex_FO_AC!Q26</f>
        <v>3.1617423312883437</v>
      </c>
      <c r="R21" s="128">
        <f>Capex_FO_AC!R26</f>
        <v>4.3923499142367071</v>
      </c>
      <c r="S21" s="128">
        <f>Capex_FO_AC!S26</f>
        <v>3.4429134860050885</v>
      </c>
      <c r="T21" s="128">
        <f>Capex_FO_AC!T26</f>
        <v>4.3686271186440671</v>
      </c>
      <c r="U21" s="128">
        <f>Capex_FO_AC!U26</f>
        <v>4.1053416289592759</v>
      </c>
      <c r="V21" s="128">
        <f>Capex_FO_AC!V26</f>
        <v>4.3860122227074232</v>
      </c>
      <c r="W21" s="128">
        <f>Capex_FO_AC!W26</f>
        <v>3.5</v>
      </c>
      <c r="X21" s="128">
        <f>Capex_FO_AC!X26</f>
        <v>4.3159999999999998</v>
      </c>
      <c r="Y21" s="128">
        <f>Capex_FO_AC!Y26</f>
        <v>4.38</v>
      </c>
      <c r="Z21" s="128">
        <f>Capex_FO_AC!Z26</f>
        <v>4.4459999999999997</v>
      </c>
      <c r="AA21" s="128">
        <f>Capex_FO_AC!AA26</f>
        <v>4.5140000000000002</v>
      </c>
      <c r="AB21" s="128">
        <f>Capex_FO_AC!AB26</f>
        <v>4.5839999999999996</v>
      </c>
      <c r="AC21" s="128">
        <f>Capex_FO_AC!AC26</f>
        <v>4.6559999999999997</v>
      </c>
      <c r="AD21" s="128">
        <f>Capex_FO_AC!AD26</f>
        <v>4.7300000000000004</v>
      </c>
      <c r="AE21" s="128">
        <f>Capex_FO_AC!AE26</f>
        <v>4.806</v>
      </c>
      <c r="AF21" s="128">
        <f>Capex_FO_AC!AF26</f>
        <v>4.883</v>
      </c>
      <c r="AG21" s="670">
        <f>Capex_FO_AC!AG26</f>
        <v>4.9640000000000004</v>
      </c>
      <c r="AI21" s="1857">
        <f t="shared" si="6"/>
        <v>30.627074623688152</v>
      </c>
      <c r="AJ21" s="1858">
        <f t="shared" si="7"/>
        <v>22.24</v>
      </c>
      <c r="AK21" s="670">
        <f t="shared" si="3"/>
        <v>24.039000000000001</v>
      </c>
      <c r="AM21" s="1857">
        <f t="shared" si="4"/>
        <v>3.828384327961019</v>
      </c>
      <c r="AN21" s="1858">
        <f t="shared" si="5"/>
        <v>4.4479999999999995</v>
      </c>
      <c r="AO21" s="128">
        <f>AVERAGE(AC21:AG21)</f>
        <v>4.8078000000000003</v>
      </c>
      <c r="AP21" s="1859"/>
    </row>
    <row r="22" spans="2:42">
      <c r="B22" s="601"/>
      <c r="D22" s="169"/>
      <c r="G22" s="70" t="s">
        <v>263</v>
      </c>
      <c r="H22" s="282"/>
      <c r="I22" s="282"/>
      <c r="J22" s="128">
        <f>J19-SUM(J20:J21)</f>
        <v>0</v>
      </c>
      <c r="K22" s="128">
        <f t="shared" ref="K22:V22" si="8">K19-SUM(K20:K21)</f>
        <v>0</v>
      </c>
      <c r="L22" s="128">
        <f t="shared" si="8"/>
        <v>0</v>
      </c>
      <c r="M22" s="128">
        <f t="shared" si="8"/>
        <v>0</v>
      </c>
      <c r="N22" s="128">
        <f t="shared" si="8"/>
        <v>0</v>
      </c>
      <c r="O22" s="128">
        <f>O19-SUM(O20:O21)</f>
        <v>20.740201189140272</v>
      </c>
      <c r="P22" s="128">
        <f t="shared" si="8"/>
        <v>14.581297677175844</v>
      </c>
      <c r="Q22" s="128">
        <f t="shared" si="8"/>
        <v>26.40233896932515</v>
      </c>
      <c r="R22" s="128">
        <f t="shared" si="8"/>
        <v>25.926026179142362</v>
      </c>
      <c r="S22" s="128">
        <f t="shared" si="8"/>
        <v>47.218340015267174</v>
      </c>
      <c r="T22" s="128">
        <f t="shared" si="8"/>
        <v>33.954162906779651</v>
      </c>
      <c r="U22" s="128">
        <f t="shared" si="8"/>
        <v>40.379809734162897</v>
      </c>
      <c r="V22" s="128">
        <f t="shared" si="8"/>
        <v>75.898778107227074</v>
      </c>
      <c r="W22" s="128">
        <f t="shared" ref="W22:AG22" si="9">W19-SUM(W20:W21)</f>
        <v>10.467881085972849</v>
      </c>
      <c r="X22" s="128">
        <f t="shared" si="9"/>
        <v>48.807402999999994</v>
      </c>
      <c r="Y22" s="128">
        <f t="shared" si="9"/>
        <v>50.804200000000009</v>
      </c>
      <c r="Z22" s="128">
        <f t="shared" si="9"/>
        <v>39.277900000000002</v>
      </c>
      <c r="AA22" s="128">
        <f t="shared" si="9"/>
        <v>46.518827000000009</v>
      </c>
      <c r="AB22" s="128">
        <f t="shared" si="9"/>
        <v>67.582599999999999</v>
      </c>
      <c r="AC22" s="128">
        <f t="shared" si="9"/>
        <v>59.722999999999992</v>
      </c>
      <c r="AD22" s="128">
        <f t="shared" si="9"/>
        <v>57.369</v>
      </c>
      <c r="AE22" s="128">
        <f t="shared" si="9"/>
        <v>47.760000000000005</v>
      </c>
      <c r="AF22" s="128">
        <f t="shared" si="9"/>
        <v>59.365999999999993</v>
      </c>
      <c r="AG22" s="670">
        <f t="shared" si="9"/>
        <v>49.284999999999997</v>
      </c>
      <c r="AI22" s="1857">
        <f t="shared" si="6"/>
        <v>274.82863467505302</v>
      </c>
      <c r="AJ22" s="1858">
        <f t="shared" si="7"/>
        <v>252.99092999999999</v>
      </c>
      <c r="AK22" s="670">
        <f t="shared" si="3"/>
        <v>273.50299999999993</v>
      </c>
      <c r="AM22" s="1857">
        <f t="shared" si="4"/>
        <v>34.353579334381628</v>
      </c>
      <c r="AN22" s="1858">
        <f t="shared" si="5"/>
        <v>50.598185999999998</v>
      </c>
      <c r="AO22" s="128">
        <f>AVERAGE(AC22:AG22)</f>
        <v>54.700599999999987</v>
      </c>
      <c r="AP22" s="1859"/>
    </row>
    <row r="23" spans="2:42">
      <c r="B23" s="601"/>
      <c r="D23" s="169"/>
      <c r="H23" s="282"/>
      <c r="I23" s="282"/>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670"/>
      <c r="AI23" s="1857">
        <f t="shared" si="6"/>
        <v>0</v>
      </c>
      <c r="AJ23" s="1858">
        <f t="shared" si="7"/>
        <v>0</v>
      </c>
      <c r="AK23" s="670">
        <f t="shared" si="3"/>
        <v>0</v>
      </c>
      <c r="AM23" s="1857"/>
      <c r="AN23" s="1858"/>
      <c r="AO23" s="128"/>
      <c r="AP23" s="1859"/>
    </row>
    <row r="24" spans="2:42">
      <c r="D24" s="169"/>
      <c r="G24" s="70" t="s">
        <v>61</v>
      </c>
      <c r="H24" s="282"/>
      <c r="I24" s="282"/>
      <c r="J24" s="128">
        <f>Capex_FO_AC!J28</f>
        <v>0</v>
      </c>
      <c r="K24" s="128">
        <f>Capex_FO_AC!K28</f>
        <v>0</v>
      </c>
      <c r="L24" s="128">
        <f>Capex_FO_AC!L28</f>
        <v>0</v>
      </c>
      <c r="M24" s="128">
        <f>Capex_FO_AC!M28</f>
        <v>0</v>
      </c>
      <c r="N24" s="128">
        <f>Capex_FO_AC!N28</f>
        <v>0</v>
      </c>
      <c r="O24" s="128">
        <f>Capex_FO_AC!O28</f>
        <v>5.6636524886877826</v>
      </c>
      <c r="P24" s="128">
        <f>Capex_FO_AC!P28</f>
        <v>4.5108969804618111</v>
      </c>
      <c r="Q24" s="128">
        <f>Capex_FO_AC!Q28</f>
        <v>7.6873251533742328</v>
      </c>
      <c r="R24" s="128">
        <f>Capex_FO_AC!R28</f>
        <v>7.411487135506003</v>
      </c>
      <c r="S24" s="128">
        <f>Capex_FO_AC!S28</f>
        <v>7.5732162849872768</v>
      </c>
      <c r="T24" s="128">
        <f>Capex_FO_AC!T28</f>
        <v>10.665491525423727</v>
      </c>
      <c r="U24" s="128">
        <f>Capex_FO_AC!U28</f>
        <v>8.2149276018099542</v>
      </c>
      <c r="V24" s="128">
        <f>Capex_FO_AC!V28</f>
        <v>10.905460388646288</v>
      </c>
      <c r="W24" s="128">
        <f>Capex_FO_AC!W28</f>
        <v>8.5</v>
      </c>
      <c r="X24" s="128">
        <f>Capex_FO_AC!X28</f>
        <v>6.7</v>
      </c>
      <c r="Y24" s="128">
        <f>Capex_FO_AC!Y28</f>
        <v>6.7</v>
      </c>
      <c r="Z24" s="128">
        <f>Capex_FO_AC!Z28</f>
        <v>6.7</v>
      </c>
      <c r="AA24" s="128">
        <f>Capex_FO_AC!AA28</f>
        <v>6.7</v>
      </c>
      <c r="AB24" s="128">
        <f>Capex_FO_AC!AB28</f>
        <v>6.7</v>
      </c>
      <c r="AC24" s="128">
        <f>Capex_FO_AC!AC28</f>
        <v>6.7</v>
      </c>
      <c r="AD24" s="128">
        <f>Capex_FO_AC!AD28</f>
        <v>6.7</v>
      </c>
      <c r="AE24" s="128">
        <f>Capex_FO_AC!AE28</f>
        <v>6.7</v>
      </c>
      <c r="AF24" s="128">
        <f>Capex_FO_AC!AF28</f>
        <v>6.7</v>
      </c>
      <c r="AG24" s="670">
        <f>Capex_FO_AC!AG28</f>
        <v>6.7</v>
      </c>
      <c r="AI24" s="1857">
        <f t="shared" si="6"/>
        <v>65.468805070209299</v>
      </c>
      <c r="AJ24" s="1858">
        <f t="shared" si="7"/>
        <v>33.5</v>
      </c>
      <c r="AK24" s="670">
        <f t="shared" si="3"/>
        <v>33.5</v>
      </c>
      <c r="AM24" s="1857">
        <f t="shared" si="4"/>
        <v>8.1836006337761624</v>
      </c>
      <c r="AN24" s="1858">
        <f t="shared" si="5"/>
        <v>6.7</v>
      </c>
      <c r="AO24" s="128">
        <f>AVERAGE(AC24:AG24)</f>
        <v>6.7</v>
      </c>
      <c r="AP24" s="1859"/>
    </row>
    <row r="25" spans="2:42">
      <c r="D25" s="169"/>
      <c r="G25" s="70" t="s">
        <v>703</v>
      </c>
      <c r="H25" s="282"/>
      <c r="I25" s="282"/>
      <c r="J25" s="128">
        <f>Capex_FO_AC!J29</f>
        <v>0</v>
      </c>
      <c r="K25" s="128">
        <f>Capex_FO_AC!K29</f>
        <v>0</v>
      </c>
      <c r="L25" s="128">
        <f>Capex_FO_AC!L29</f>
        <v>0</v>
      </c>
      <c r="M25" s="128">
        <f>Capex_FO_AC!M29</f>
        <v>0</v>
      </c>
      <c r="N25" s="128">
        <f>Capex_FO_AC!N29</f>
        <v>0</v>
      </c>
      <c r="O25" s="128">
        <f>Capex_FO_AC!O29</f>
        <v>0.64174479638009041</v>
      </c>
      <c r="P25" s="128">
        <f>Capex_FO_AC!P29</f>
        <v>0.82595648312611014</v>
      </c>
      <c r="Q25" s="128">
        <f>Capex_FO_AC!Q29</f>
        <v>0.65972392638036814</v>
      </c>
      <c r="R25" s="128">
        <f>Capex_FO_AC!R29</f>
        <v>0.52732332761578038</v>
      </c>
      <c r="S25" s="128">
        <f>Capex_FO_AC!S29</f>
        <v>0.18736132315521628</v>
      </c>
      <c r="T25" s="128">
        <f>Capex_FO_AC!T29</f>
        <v>0.20894915254237284</v>
      </c>
      <c r="U25" s="128">
        <f>Capex_FO_AC!U29</f>
        <v>0.52205429864253394</v>
      </c>
      <c r="V25" s="128">
        <f>Capex_FO_AC!V29</f>
        <v>3.2582187772925757E-2</v>
      </c>
      <c r="W25" s="128">
        <f>Capex_FO_AC!W29</f>
        <v>0.5</v>
      </c>
      <c r="X25" s="128">
        <f>Capex_FO_AC!X29</f>
        <v>0.5</v>
      </c>
      <c r="Y25" s="128">
        <f>Capex_FO_AC!Y29</f>
        <v>0.5</v>
      </c>
      <c r="Z25" s="128">
        <f>Capex_FO_AC!Z29</f>
        <v>0.5</v>
      </c>
      <c r="AA25" s="128">
        <f>Capex_FO_AC!AA29</f>
        <v>0.5</v>
      </c>
      <c r="AB25" s="128">
        <f>Capex_FO_AC!AB29</f>
        <v>0.5</v>
      </c>
      <c r="AC25" s="128">
        <f>Capex_FO_AC!AC29</f>
        <v>0.5</v>
      </c>
      <c r="AD25" s="128">
        <f>Capex_FO_AC!AD29</f>
        <v>0.5</v>
      </c>
      <c r="AE25" s="128">
        <f>Capex_FO_AC!AE29</f>
        <v>0.5</v>
      </c>
      <c r="AF25" s="128">
        <f>Capex_FO_AC!AF29</f>
        <v>0.5</v>
      </c>
      <c r="AG25" s="670">
        <f>Capex_FO_AC!AG29</f>
        <v>0.5</v>
      </c>
      <c r="AI25" s="1857">
        <f t="shared" si="6"/>
        <v>3.463950699235308</v>
      </c>
      <c r="AJ25" s="1858">
        <f t="shared" si="7"/>
        <v>2.5</v>
      </c>
      <c r="AK25" s="670">
        <f t="shared" si="3"/>
        <v>2.5</v>
      </c>
      <c r="AM25" s="1857">
        <f t="shared" si="4"/>
        <v>0.4329938374044135</v>
      </c>
      <c r="AN25" s="1858">
        <f t="shared" si="5"/>
        <v>0.5</v>
      </c>
      <c r="AO25" s="128">
        <f>AVERAGE(AC25:AG25)</f>
        <v>0.5</v>
      </c>
      <c r="AP25" s="1859"/>
    </row>
    <row r="26" spans="2:42">
      <c r="D26" s="169"/>
      <c r="H26" s="282"/>
      <c r="I26" s="282"/>
      <c r="L26" s="128"/>
      <c r="M26" s="128"/>
      <c r="N26" s="128"/>
      <c r="O26" s="128"/>
      <c r="P26" s="128"/>
      <c r="Q26" s="128"/>
      <c r="R26" s="128"/>
      <c r="S26" s="128"/>
      <c r="T26" s="128"/>
      <c r="U26" s="128"/>
      <c r="V26" s="128"/>
      <c r="W26" s="128"/>
      <c r="X26" s="128"/>
      <c r="Y26" s="128"/>
      <c r="Z26" s="128"/>
      <c r="AA26" s="128"/>
      <c r="AB26" s="128"/>
      <c r="AC26" s="123"/>
      <c r="AD26" s="123"/>
      <c r="AE26" s="123"/>
      <c r="AF26" s="123"/>
      <c r="AG26" s="1864"/>
      <c r="AI26" s="1857"/>
      <c r="AJ26" s="1858"/>
      <c r="AK26" s="670"/>
      <c r="AM26" s="1857"/>
      <c r="AN26" s="1858"/>
      <c r="AO26" s="128"/>
      <c r="AP26" s="1859"/>
    </row>
    <row r="27" spans="2:42">
      <c r="D27" s="169"/>
      <c r="F27" s="599" t="s">
        <v>25</v>
      </c>
      <c r="H27" s="282"/>
      <c r="I27" s="282"/>
      <c r="L27" s="128"/>
      <c r="M27" s="128"/>
      <c r="N27" s="128"/>
      <c r="O27" s="128"/>
      <c r="P27" s="128"/>
      <c r="Q27" s="128"/>
      <c r="R27" s="128"/>
      <c r="S27" s="128"/>
      <c r="T27" s="128"/>
      <c r="U27" s="128"/>
      <c r="V27" s="128"/>
      <c r="W27" s="128"/>
      <c r="X27" s="128"/>
      <c r="Y27" s="128"/>
      <c r="Z27" s="128"/>
      <c r="AA27" s="128"/>
      <c r="AB27" s="128"/>
      <c r="AC27" s="123"/>
      <c r="AD27" s="123"/>
      <c r="AE27" s="123"/>
      <c r="AF27" s="123"/>
      <c r="AG27" s="1864"/>
      <c r="AI27" s="1857"/>
      <c r="AJ27" s="1858"/>
      <c r="AK27" s="670"/>
      <c r="AM27" s="1857"/>
      <c r="AN27" s="1858"/>
      <c r="AO27" s="128"/>
      <c r="AP27" s="1859"/>
    </row>
    <row r="28" spans="2:42">
      <c r="D28" s="169"/>
      <c r="F28" s="599"/>
      <c r="G28" s="70" t="s">
        <v>701</v>
      </c>
      <c r="H28" s="282"/>
      <c r="I28" s="282"/>
      <c r="L28" s="128"/>
      <c r="M28" s="128"/>
      <c r="N28" s="128"/>
      <c r="O28" s="128"/>
      <c r="P28" s="128"/>
      <c r="Q28" s="128"/>
      <c r="R28" s="128"/>
      <c r="S28" s="128"/>
      <c r="T28" s="128"/>
      <c r="U28" s="128"/>
      <c r="V28" s="128"/>
      <c r="W28" s="128"/>
      <c r="X28" s="128">
        <f>+RollForward_FO!X15</f>
        <v>19.289701150329222</v>
      </c>
      <c r="Y28" s="128">
        <f>+RollForward_FO!Y15</f>
        <v>19.289701150329222</v>
      </c>
      <c r="Z28" s="128">
        <f>+RollForward_FO!Z15</f>
        <v>19.289701150329222</v>
      </c>
      <c r="AA28" s="128">
        <f>+RollForward_FO!AA15</f>
        <v>19.289701150329222</v>
      </c>
      <c r="AB28" s="128">
        <f>+RollForward_FO!AB15</f>
        <v>19.289701150329222</v>
      </c>
      <c r="AC28" s="128">
        <f>+RollForward_FO!AC15</f>
        <v>19.289701150329222</v>
      </c>
      <c r="AD28" s="128">
        <f>+RollForward_FO!AD15</f>
        <v>19.289701150329222</v>
      </c>
      <c r="AE28" s="128">
        <f>+RollForward_FO!AE15</f>
        <v>19.289701150329222</v>
      </c>
      <c r="AF28" s="128">
        <f>+RollForward_FO!AF15</f>
        <v>19.289701150329222</v>
      </c>
      <c r="AG28" s="670">
        <f>+RollForward_FO!AG15</f>
        <v>19.289701150329222</v>
      </c>
      <c r="AI28" s="1857">
        <f>SUM(P28:W28)</f>
        <v>0</v>
      </c>
      <c r="AJ28" s="1858">
        <f t="shared" si="7"/>
        <v>96.44850575164611</v>
      </c>
      <c r="AK28" s="670">
        <f>SUM($AC28:$AG28)</f>
        <v>96.44850575164611</v>
      </c>
      <c r="AM28" s="1857"/>
      <c r="AN28" s="1858">
        <f t="shared" si="5"/>
        <v>19.289701150329222</v>
      </c>
      <c r="AO28" s="128">
        <f>AVERAGE(AC28:AG28)</f>
        <v>19.289701150329222</v>
      </c>
      <c r="AP28" s="1859"/>
    </row>
    <row r="29" spans="2:42">
      <c r="D29" s="169"/>
      <c r="G29" s="70" t="s">
        <v>702</v>
      </c>
      <c r="H29" s="282"/>
      <c r="I29" s="282"/>
      <c r="J29" s="128"/>
      <c r="K29" s="128"/>
      <c r="L29" s="128"/>
      <c r="M29" s="128"/>
      <c r="N29" s="128"/>
      <c r="O29" s="128"/>
      <c r="P29" s="128"/>
      <c r="Q29" s="128"/>
      <c r="R29" s="128"/>
      <c r="S29" s="123"/>
      <c r="T29" s="123"/>
      <c r="U29" s="123"/>
      <c r="V29" s="123"/>
      <c r="W29" s="123"/>
      <c r="X29" s="128">
        <f ca="1">RollForward_FO!X16</f>
        <v>0.6192405636904762</v>
      </c>
      <c r="Y29" s="128">
        <f ca="1">RollForward_FO!Y16</f>
        <v>2.0217674369047618</v>
      </c>
      <c r="Z29" s="128">
        <f ca="1">RollForward_FO!Z16</f>
        <v>3.5528533892857141</v>
      </c>
      <c r="AA29" s="128">
        <f ca="1">RollForward_FO!AA16</f>
        <v>4.7031143416666641</v>
      </c>
      <c r="AB29" s="128">
        <f ca="1">RollForward_FO!AB16</f>
        <v>6.5771201357142832</v>
      </c>
      <c r="AC29" s="128">
        <f ca="1">RollForward_FO!AC16</f>
        <v>8.8248675964285717</v>
      </c>
      <c r="AD29" s="128">
        <f ca="1">RollForward_FO!AD16</f>
        <v>10.33919021547619</v>
      </c>
      <c r="AE29" s="128">
        <f ca="1">RollForward_FO!AE16</f>
        <v>11.644449441666668</v>
      </c>
      <c r="AF29" s="128">
        <f ca="1">RollForward_FO!AF16</f>
        <v>12.636851525000001</v>
      </c>
      <c r="AG29" s="670">
        <f ca="1">RollForward_FO!AG16</f>
        <v>14.099876525000004</v>
      </c>
      <c r="AI29" s="1857">
        <f>SUM(P29:W29)</f>
        <v>0</v>
      </c>
      <c r="AJ29" s="1858">
        <f t="shared" ca="1" si="7"/>
        <v>17.474095867261902</v>
      </c>
      <c r="AK29" s="670">
        <f ca="1">SUM($AC29:$AG29)</f>
        <v>57.545235303571438</v>
      </c>
      <c r="AM29" s="1857"/>
      <c r="AN29" s="1858">
        <f t="shared" ca="1" si="5"/>
        <v>3.4948191734523801</v>
      </c>
      <c r="AO29" s="128">
        <f ca="1">AVERAGE(AC29:AG29)</f>
        <v>11.509047060714288</v>
      </c>
      <c r="AP29" s="171"/>
    </row>
    <row r="30" spans="2:42">
      <c r="D30" s="169"/>
      <c r="G30" s="70" t="s">
        <v>700</v>
      </c>
      <c r="H30" s="282"/>
      <c r="I30" s="282"/>
      <c r="L30" s="128"/>
      <c r="M30" s="128"/>
      <c r="N30" s="128"/>
      <c r="O30" s="128"/>
      <c r="P30" s="128"/>
      <c r="Q30" s="128"/>
      <c r="R30" s="128"/>
      <c r="S30" s="128"/>
      <c r="T30" s="128"/>
      <c r="U30" s="128"/>
      <c r="V30" s="128"/>
      <c r="W30" s="128"/>
      <c r="X30" s="128">
        <f ca="1">SUM(X28:X29)</f>
        <v>19.908941714019697</v>
      </c>
      <c r="Y30" s="128">
        <f t="shared" ref="Y30:AG30" ca="1" si="10">SUM(Y28:Y29)</f>
        <v>21.311468587233982</v>
      </c>
      <c r="Z30" s="128">
        <f t="shared" ca="1" si="10"/>
        <v>22.842554539614937</v>
      </c>
      <c r="AA30" s="128">
        <f t="shared" ca="1" si="10"/>
        <v>23.992815491995884</v>
      </c>
      <c r="AB30" s="128">
        <f t="shared" ca="1" si="10"/>
        <v>25.866821286043503</v>
      </c>
      <c r="AC30" s="128">
        <f t="shared" ca="1" si="10"/>
        <v>28.114568746757794</v>
      </c>
      <c r="AD30" s="128">
        <f t="shared" ca="1" si="10"/>
        <v>29.628891365805412</v>
      </c>
      <c r="AE30" s="128">
        <f t="shared" ca="1" si="10"/>
        <v>30.934150591995888</v>
      </c>
      <c r="AF30" s="128">
        <f t="shared" ca="1" si="10"/>
        <v>31.926552675329223</v>
      </c>
      <c r="AG30" s="670">
        <f t="shared" ca="1" si="10"/>
        <v>33.389577675329228</v>
      </c>
      <c r="AI30" s="1857">
        <f>SUM(P30:W30)</f>
        <v>0</v>
      </c>
      <c r="AJ30" s="1858">
        <f t="shared" ca="1" si="7"/>
        <v>113.922601618908</v>
      </c>
      <c r="AK30" s="670">
        <f ca="1">SUM($AC30:$AG30)</f>
        <v>153.99374105521755</v>
      </c>
      <c r="AM30" s="1857"/>
      <c r="AN30" s="1858">
        <f t="shared" ca="1" si="5"/>
        <v>22.784520323781599</v>
      </c>
      <c r="AO30" s="128">
        <f ca="1">AVERAGE(AC30:AG30)</f>
        <v>30.79874821104351</v>
      </c>
      <c r="AP30" s="171"/>
    </row>
    <row r="31" spans="2:42">
      <c r="D31" s="169"/>
      <c r="H31" s="282"/>
      <c r="I31" s="282"/>
      <c r="L31" s="128"/>
      <c r="M31" s="128"/>
      <c r="N31" s="128"/>
      <c r="O31" s="128"/>
      <c r="P31" s="128"/>
      <c r="Q31" s="128"/>
      <c r="R31" s="128"/>
      <c r="S31" s="128"/>
      <c r="T31" s="128"/>
      <c r="U31" s="128"/>
      <c r="V31" s="128"/>
      <c r="W31" s="128"/>
      <c r="X31" s="128"/>
      <c r="Y31" s="128"/>
      <c r="Z31" s="128"/>
      <c r="AA31" s="128"/>
      <c r="AB31" s="128"/>
      <c r="AC31" s="128"/>
      <c r="AD31" s="128"/>
      <c r="AE31" s="128"/>
      <c r="AF31" s="128"/>
      <c r="AG31" s="670"/>
      <c r="AI31" s="1857"/>
      <c r="AJ31" s="1858"/>
      <c r="AK31" s="670"/>
      <c r="AM31" s="1857"/>
      <c r="AN31" s="1858"/>
      <c r="AO31" s="128"/>
      <c r="AP31" s="171"/>
    </row>
    <row r="32" spans="2:42">
      <c r="D32" s="169"/>
      <c r="F32" s="599" t="s">
        <v>975</v>
      </c>
      <c r="H32" s="282"/>
      <c r="I32" s="282"/>
      <c r="L32" s="128"/>
      <c r="M32" s="128"/>
      <c r="N32" s="128"/>
      <c r="O32" s="128"/>
      <c r="P32" s="128"/>
      <c r="Q32" s="128"/>
      <c r="R32" s="128"/>
      <c r="S32" s="128"/>
      <c r="T32" s="128"/>
      <c r="U32" s="128"/>
      <c r="V32" s="128"/>
      <c r="W32" s="128"/>
      <c r="X32" s="128"/>
      <c r="Y32" s="128"/>
      <c r="Z32" s="128"/>
      <c r="AA32" s="128"/>
      <c r="AB32" s="128"/>
      <c r="AC32" s="123"/>
      <c r="AD32" s="123"/>
      <c r="AE32" s="123"/>
      <c r="AF32" s="123"/>
      <c r="AG32" s="1864"/>
      <c r="AI32" s="1857"/>
      <c r="AJ32" s="1858"/>
      <c r="AK32" s="670"/>
      <c r="AM32" s="1857"/>
      <c r="AN32" s="1858"/>
      <c r="AO32" s="128"/>
      <c r="AP32" s="171"/>
    </row>
    <row r="33" spans="4:42">
      <c r="D33" s="169"/>
      <c r="F33" s="599"/>
      <c r="G33" s="70" t="s">
        <v>976</v>
      </c>
      <c r="H33" s="282"/>
      <c r="I33" s="282"/>
      <c r="L33" s="128"/>
      <c r="M33" s="128"/>
      <c r="N33" s="128"/>
      <c r="O33" s="128">
        <f>'Rev&amp;RAV_FO'!O23</f>
        <v>75.827271727515623</v>
      </c>
      <c r="P33" s="128">
        <f>'Rev&amp;RAV_FO'!P23</f>
        <v>76.300229249037315</v>
      </c>
      <c r="Q33" s="128">
        <f>'Rev&amp;RAV_FO'!Q23</f>
        <v>77.19710351339441</v>
      </c>
      <c r="R33" s="128">
        <f>'Rev&amp;RAV_FO'!R23</f>
        <v>78.087524443058456</v>
      </c>
      <c r="S33" s="128">
        <f>'Rev&amp;RAV_FO'!S23</f>
        <v>79.057372806261341</v>
      </c>
      <c r="T33" s="128">
        <f>'Rev&amp;RAV_FO'!T23</f>
        <v>79.866330737243501</v>
      </c>
      <c r="U33" s="128">
        <f>'Rev&amp;RAV_FO'!U23</f>
        <v>80.836000390929527</v>
      </c>
      <c r="V33" s="128">
        <f>'Rev&amp;RAV_FO'!V23</f>
        <v>81.862206277186004</v>
      </c>
      <c r="W33" s="128">
        <f>'Rev&amp;RAV_FO'!W23</f>
        <v>82.806383491758865</v>
      </c>
      <c r="X33" s="128">
        <f ca="1">'Rev&amp;RAV_FO'!X23</f>
        <v>95.543523619444471</v>
      </c>
      <c r="Y33" s="128">
        <f ca="1">'Rev&amp;RAV_FO'!Y23</f>
        <v>98.81722300083382</v>
      </c>
      <c r="Z33" s="128">
        <f ca="1">'Rev&amp;RAV_FO'!Z23</f>
        <v>100.84620293056062</v>
      </c>
      <c r="AA33" s="128">
        <f ca="1">'Rev&amp;RAV_FO'!AA23</f>
        <v>103.76813997982296</v>
      </c>
      <c r="AB33" s="128">
        <f ca="1">'Rev&amp;RAV_FO'!AB23</f>
        <v>107.4795465774621</v>
      </c>
      <c r="AC33" s="128">
        <f ca="1">'Rev&amp;RAV_FO'!AC23</f>
        <v>116.55071571731521</v>
      </c>
      <c r="AD33" s="128">
        <f ca="1">'Rev&amp;RAV_FO'!AD23</f>
        <v>120.74904604951693</v>
      </c>
      <c r="AE33" s="128">
        <f ca="1">'Rev&amp;RAV_FO'!AE23</f>
        <v>123.35941277533935</v>
      </c>
      <c r="AF33" s="128">
        <f ca="1">'Rev&amp;RAV_FO'!AF23</f>
        <v>125.65524824369251</v>
      </c>
      <c r="AG33" s="670">
        <f ca="1">'Rev&amp;RAV_FO'!AG23</f>
        <v>128.77114564191498</v>
      </c>
      <c r="AI33" s="1857">
        <f>SUM(P33:W33)</f>
        <v>636.01315090886942</v>
      </c>
      <c r="AJ33" s="1858">
        <f ca="1">SUM($X33:$AB33)</f>
        <v>506.45463610812396</v>
      </c>
      <c r="AK33" s="670">
        <f ca="1">SUM($AC33:$AG33)</f>
        <v>615.08556842777898</v>
      </c>
      <c r="AM33" s="1857">
        <f>AVERAGE(P33:W33)</f>
        <v>79.501643863608678</v>
      </c>
      <c r="AN33" s="1858">
        <f ca="1">AVERAGE(X33:AB33)</f>
        <v>101.2909272216248</v>
      </c>
      <c r="AO33" s="128">
        <f ca="1">AVERAGE(AC33:AG33)</f>
        <v>123.0171136855558</v>
      </c>
      <c r="AP33" s="171"/>
    </row>
    <row r="34" spans="4:42" ht="12.75" thickBot="1">
      <c r="D34" s="182"/>
      <c r="E34" s="183"/>
      <c r="F34" s="183"/>
      <c r="G34" s="183"/>
      <c r="H34" s="1737"/>
      <c r="I34" s="1737"/>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c r="AG34" s="680"/>
      <c r="AI34" s="182"/>
      <c r="AJ34" s="183"/>
      <c r="AK34" s="186"/>
      <c r="AM34" s="182"/>
      <c r="AN34" s="183"/>
      <c r="AO34" s="183"/>
      <c r="AP34" s="186"/>
    </row>
    <row r="35" spans="4:42">
      <c r="H35" s="282"/>
      <c r="I35" s="282"/>
      <c r="J35" s="128"/>
      <c r="K35" s="128"/>
      <c r="L35" s="128"/>
      <c r="M35" s="128"/>
      <c r="N35" s="128"/>
      <c r="O35" s="128"/>
      <c r="P35" s="128"/>
      <c r="Q35" s="128"/>
      <c r="R35" s="128"/>
      <c r="S35" s="128"/>
      <c r="T35" s="128"/>
      <c r="U35" s="128"/>
      <c r="V35" s="128"/>
      <c r="W35" s="128"/>
      <c r="X35" s="128"/>
      <c r="Y35" s="128"/>
      <c r="Z35" s="128"/>
      <c r="AA35" s="128"/>
      <c r="AB35" s="128"/>
    </row>
    <row r="36" spans="4:42">
      <c r="H36" s="282"/>
      <c r="I36" s="282"/>
      <c r="J36" s="128"/>
      <c r="K36" s="128"/>
      <c r="L36" s="128"/>
      <c r="M36" s="128"/>
      <c r="N36" s="128"/>
      <c r="O36" s="128"/>
      <c r="P36" s="128"/>
      <c r="Q36" s="128"/>
      <c r="R36" s="128"/>
      <c r="S36" s="128"/>
      <c r="T36" s="128"/>
      <c r="U36" s="128"/>
      <c r="V36" s="128"/>
      <c r="W36" s="128"/>
      <c r="X36" s="128"/>
      <c r="Y36" s="128"/>
      <c r="Z36" s="128"/>
      <c r="AA36" s="128"/>
      <c r="AB36" s="128"/>
    </row>
    <row r="37" spans="4:42">
      <c r="F37" s="104"/>
      <c r="G37" s="104"/>
      <c r="H37" s="603"/>
      <c r="I37" s="603"/>
      <c r="J37" s="128"/>
      <c r="K37" s="128"/>
      <c r="L37" s="128"/>
      <c r="M37" s="128"/>
      <c r="N37" s="128"/>
      <c r="O37" s="128"/>
      <c r="P37" s="128"/>
      <c r="Q37" s="128"/>
      <c r="R37" s="128"/>
      <c r="S37" s="604"/>
      <c r="T37" s="604"/>
      <c r="U37" s="604"/>
      <c r="V37" s="604"/>
      <c r="W37" s="604"/>
      <c r="X37" s="604"/>
      <c r="Y37" s="604"/>
      <c r="Z37" s="604"/>
      <c r="AA37" s="604"/>
      <c r="AB37" s="604"/>
    </row>
    <row r="38" spans="4:42">
      <c r="H38" s="282"/>
      <c r="I38" s="282"/>
      <c r="J38" s="128"/>
      <c r="K38" s="128"/>
      <c r="L38" s="128"/>
      <c r="M38" s="128"/>
      <c r="N38" s="605"/>
      <c r="O38" s="128"/>
      <c r="P38" s="128"/>
      <c r="Q38" s="128"/>
      <c r="R38" s="128"/>
      <c r="S38" s="128"/>
      <c r="T38" s="128"/>
      <c r="U38" s="128"/>
      <c r="V38" s="128"/>
      <c r="W38" s="128"/>
      <c r="X38" s="128"/>
      <c r="Y38" s="128"/>
      <c r="Z38" s="128"/>
      <c r="AA38" s="128"/>
      <c r="AB38" s="128"/>
    </row>
    <row r="39" spans="4:42">
      <c r="H39" s="282"/>
      <c r="I39" s="282"/>
    </row>
    <row r="40" spans="4:42">
      <c r="H40" s="282"/>
      <c r="I40" s="282"/>
    </row>
    <row r="41" spans="4:42">
      <c r="H41" s="597"/>
      <c r="I41" s="597"/>
    </row>
    <row r="42" spans="4:42">
      <c r="H42" s="597"/>
      <c r="I42" s="597"/>
    </row>
  </sheetData>
  <sheetProtection algorithmName="SHA-512" hashValue="H4qrzd6QtYl19uCnksQFKGi9hKduDLUP5jCdhQQWEQr2RQvWqsERWpBDWwi48LOm9CGq9ckOH5UQupJLJT8s/g==" saltValue="9DpZKxpMFLQwPR803/dwBA==" spinCount="100000" sheet="1" objects="1" scenarios="1"/>
  <mergeCells count="3">
    <mergeCell ref="B3:F3"/>
    <mergeCell ref="AI4:AK4"/>
    <mergeCell ref="AM4:AO4"/>
  </mergeCells>
  <phoneticPr fontId="0" type="noConversion"/>
  <hyperlinks>
    <hyperlink ref="B3" location="HL_Home" tooltip="Go to Table of Contents" display="HL_Home" xr:uid="{00000000-0004-0000-0800-000000000000}"/>
  </hyperlinks>
  <pageMargins left="0.39370078740157483" right="0.39370078740157483" top="0.59055118110236227" bottom="0.98425196850393704" header="0" footer="0.31496062992125984"/>
  <pageSetup paperSize="9" scale="75" orientation="landscape" r:id="rId1"/>
  <headerFooter alignWithMargins="0">
    <oddHeader>&amp;C&amp;"Calibri"&amp;12&amp;KFF0000 OFFICIAL&amp;1#_x000D_&amp;"Arial"&amp;8&amp;K000000&amp;B&amp;"Arial"&amp;12&amp;Kff0000​‌OFFICIAL‌​</oddHeader>
    <oddFooter>&amp;C&amp;"Arial,Bold"&amp;8Sheet j.
Page &amp;P of &amp;N&amp;L&amp;"Arial,Bold"&amp;7&amp;F
&amp;A
Printed: &amp;T on &amp;D</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autoPageBreaks="0"/>
  </sheetPr>
  <dimension ref="A1:AI139"/>
  <sheetViews>
    <sheetView showGridLines="0" topLeftCell="A100" zoomScaleNormal="100" workbookViewId="0">
      <selection activeCell="X127" sqref="X127:AG128"/>
    </sheetView>
  </sheetViews>
  <sheetFormatPr defaultColWidth="9.33203125" defaultRowHeight="12" outlineLevelCol="2"/>
  <cols>
    <col min="1" max="1" width="3.6640625" style="70" customWidth="1"/>
    <col min="2" max="3" width="4.1640625" style="70" customWidth="1"/>
    <col min="4" max="7" width="9.33203125" style="70"/>
    <col min="8" max="8" width="17.1640625" style="70" customWidth="1"/>
    <col min="9" max="10" width="9.33203125" style="70" hidden="1" customWidth="1" outlineLevel="1"/>
    <col min="11" max="13" width="10" style="70" hidden="1" customWidth="1" outlineLevel="2"/>
    <col min="14" max="14" width="12.5" style="70" hidden="1" customWidth="1" outlineLevel="2"/>
    <col min="15" max="15" width="13" style="70" bestFit="1" customWidth="1" collapsed="1"/>
    <col min="16" max="25" width="12.5" style="70" customWidth="1"/>
    <col min="26" max="26" width="12" style="70" bestFit="1" customWidth="1"/>
    <col min="27" max="33" width="12.83203125" style="70" customWidth="1"/>
    <col min="34" max="34" width="5.1640625" style="70" customWidth="1"/>
    <col min="35" max="16384" width="9.33203125" style="70"/>
  </cols>
  <sheetData>
    <row r="1" spans="1:34" ht="15">
      <c r="B1" s="153" t="s">
        <v>554</v>
      </c>
    </row>
    <row r="2" spans="1:34" ht="12.75">
      <c r="B2" s="155" t="str">
        <f>+Model_Name</f>
        <v>North East Water</v>
      </c>
    </row>
    <row r="3" spans="1:34">
      <c r="B3" s="2212" t="s">
        <v>0</v>
      </c>
      <c r="C3" s="2212"/>
      <c r="D3" s="2212"/>
      <c r="E3" s="2212"/>
      <c r="F3" s="2212"/>
    </row>
    <row r="4" spans="1:34">
      <c r="B4" s="72"/>
      <c r="C4" s="73"/>
      <c r="F4" s="60"/>
      <c r="K4" s="63"/>
      <c r="L4" s="149"/>
      <c r="M4" s="149" t="s">
        <v>274</v>
      </c>
      <c r="N4" s="149"/>
      <c r="O4" s="149"/>
      <c r="P4" s="1619"/>
      <c r="Q4" s="150"/>
      <c r="R4" s="150"/>
      <c r="S4" s="150"/>
      <c r="T4" s="1619" t="s">
        <v>334</v>
      </c>
      <c r="U4" s="150"/>
      <c r="V4" s="150"/>
      <c r="W4" s="150"/>
      <c r="X4" s="1619"/>
      <c r="Y4" s="150"/>
      <c r="Z4" s="150" t="s">
        <v>465</v>
      </c>
      <c r="AA4" s="150"/>
      <c r="AB4" s="62"/>
      <c r="AC4" s="64"/>
      <c r="AD4" s="64"/>
      <c r="AE4" s="150" t="s">
        <v>949</v>
      </c>
      <c r="AF4" s="63"/>
      <c r="AG4" s="62"/>
    </row>
    <row r="5" spans="1:34">
      <c r="F5" s="65">
        <v>2006</v>
      </c>
      <c r="G5" s="66">
        <v>2007</v>
      </c>
      <c r="H5" s="66">
        <v>2008</v>
      </c>
      <c r="K5" s="67">
        <v>2014</v>
      </c>
      <c r="L5" s="67">
        <v>2015</v>
      </c>
      <c r="M5" s="67">
        <v>2016</v>
      </c>
      <c r="N5" s="67">
        <v>2017</v>
      </c>
      <c r="O5" s="67">
        <v>2018</v>
      </c>
      <c r="P5" s="67">
        <v>2019</v>
      </c>
      <c r="Q5" s="67">
        <v>2020</v>
      </c>
      <c r="R5" s="67">
        <v>2021</v>
      </c>
      <c r="S5" s="67">
        <v>2022</v>
      </c>
      <c r="T5" s="67">
        <v>2023</v>
      </c>
      <c r="U5" s="67">
        <v>2024</v>
      </c>
      <c r="V5" s="67">
        <v>2025</v>
      </c>
      <c r="W5" s="67">
        <v>2026</v>
      </c>
      <c r="X5" s="67">
        <v>2027</v>
      </c>
      <c r="Y5" s="67">
        <v>2028</v>
      </c>
      <c r="Z5" s="1301">
        <f t="shared" ref="Z5:AG5" si="0">Y5+1</f>
        <v>2029</v>
      </c>
      <c r="AA5" s="1301">
        <f t="shared" si="0"/>
        <v>2030</v>
      </c>
      <c r="AB5" s="1301">
        <f t="shared" si="0"/>
        <v>2031</v>
      </c>
      <c r="AC5" s="1301">
        <f t="shared" si="0"/>
        <v>2032</v>
      </c>
      <c r="AD5" s="1301">
        <f t="shared" si="0"/>
        <v>2033</v>
      </c>
      <c r="AE5" s="1301">
        <f t="shared" si="0"/>
        <v>2034</v>
      </c>
      <c r="AF5" s="1301">
        <f t="shared" si="0"/>
        <v>2035</v>
      </c>
      <c r="AG5" s="1301">
        <f t="shared" si="0"/>
        <v>2036</v>
      </c>
    </row>
    <row r="6" spans="1:34" s="75" customFormat="1">
      <c r="B6" s="75" t="s">
        <v>971</v>
      </c>
      <c r="F6" s="68"/>
      <c r="G6" s="68"/>
      <c r="H6" s="68"/>
      <c r="K6" s="68" t="str">
        <f t="shared" ref="K6:AG6" si="1">+CONCATENATE(K5-1,"-",RIGHT(K5,2))</f>
        <v>2013-14</v>
      </c>
      <c r="L6" s="68" t="str">
        <f t="shared" si="1"/>
        <v>2014-15</v>
      </c>
      <c r="M6" s="68" t="str">
        <f t="shared" si="1"/>
        <v>2015-16</v>
      </c>
      <c r="N6" s="68" t="str">
        <f t="shared" si="1"/>
        <v>2016-17</v>
      </c>
      <c r="O6" s="68" t="str">
        <f t="shared" si="1"/>
        <v>2017-18</v>
      </c>
      <c r="P6" s="68" t="str">
        <f t="shared" si="1"/>
        <v>2018-19</v>
      </c>
      <c r="Q6" s="68" t="str">
        <f t="shared" si="1"/>
        <v>2019-20</v>
      </c>
      <c r="R6" s="68" t="str">
        <f t="shared" si="1"/>
        <v>2020-21</v>
      </c>
      <c r="S6" s="68" t="str">
        <f t="shared" si="1"/>
        <v>2021-22</v>
      </c>
      <c r="T6" s="68" t="str">
        <f t="shared" si="1"/>
        <v>2022-23</v>
      </c>
      <c r="U6" s="68" t="str">
        <f t="shared" si="1"/>
        <v>2023-24</v>
      </c>
      <c r="V6" s="68" t="str">
        <f t="shared" si="1"/>
        <v>2024-25</v>
      </c>
      <c r="W6" s="68" t="str">
        <f t="shared" si="1"/>
        <v>2025-26</v>
      </c>
      <c r="X6" s="2128" t="str">
        <f t="shared" si="1"/>
        <v>2026-27</v>
      </c>
      <c r="Y6" s="68" t="str">
        <f t="shared" si="1"/>
        <v>2027-28</v>
      </c>
      <c r="Z6" s="68" t="str">
        <f t="shared" si="1"/>
        <v>2028-29</v>
      </c>
      <c r="AA6" s="68" t="str">
        <f t="shared" si="1"/>
        <v>2029-30</v>
      </c>
      <c r="AB6" s="68" t="str">
        <f t="shared" si="1"/>
        <v>2030-31</v>
      </c>
      <c r="AC6" s="68" t="str">
        <f t="shared" si="1"/>
        <v>2031-32</v>
      </c>
      <c r="AD6" s="68" t="str">
        <f t="shared" si="1"/>
        <v>2032-33</v>
      </c>
      <c r="AE6" s="68" t="str">
        <f t="shared" si="1"/>
        <v>2033-34</v>
      </c>
      <c r="AF6" s="68" t="str">
        <f t="shared" si="1"/>
        <v>2034-35</v>
      </c>
      <c r="AG6" s="68" t="str">
        <f t="shared" si="1"/>
        <v>2035-36</v>
      </c>
    </row>
    <row r="7" spans="1:34">
      <c r="U7" s="74"/>
    </row>
    <row r="9" spans="1:34" ht="12.75" thickBot="1"/>
    <row r="10" spans="1:34">
      <c r="A10" s="166"/>
      <c r="B10" s="167"/>
      <c r="C10" s="167"/>
      <c r="D10" s="167"/>
      <c r="E10" s="167"/>
      <c r="F10" s="167"/>
      <c r="G10" s="598"/>
      <c r="H10" s="598"/>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8"/>
    </row>
    <row r="11" spans="1:34">
      <c r="A11" s="169"/>
      <c r="B11" s="170" t="s">
        <v>258</v>
      </c>
      <c r="C11" s="234"/>
      <c r="G11" s="282"/>
      <c r="H11" s="282"/>
      <c r="AH11" s="171"/>
    </row>
    <row r="12" spans="1:34">
      <c r="A12" s="169"/>
      <c r="G12" s="282"/>
      <c r="H12" s="282"/>
      <c r="AH12" s="171"/>
    </row>
    <row r="13" spans="1:34">
      <c r="A13" s="169"/>
      <c r="C13" s="70" t="s">
        <v>982</v>
      </c>
      <c r="G13" s="282"/>
      <c r="H13" s="282"/>
      <c r="O13" s="2100">
        <f>O48</f>
        <v>185.9</v>
      </c>
      <c r="P13" s="2100">
        <f t="shared" ref="P13:AG13" si="2">P48</f>
        <v>186.23</v>
      </c>
      <c r="Q13" s="2101">
        <f t="shared" si="2"/>
        <v>187.8</v>
      </c>
      <c r="R13" s="2101">
        <f t="shared" si="2"/>
        <v>191.27</v>
      </c>
      <c r="S13" s="2101">
        <f t="shared" si="2"/>
        <v>196.09</v>
      </c>
      <c r="T13" s="2101">
        <f t="shared" si="2"/>
        <v>208.39</v>
      </c>
      <c r="U13" s="2101">
        <f t="shared" si="2"/>
        <v>217.01</v>
      </c>
      <c r="V13" s="2101">
        <f t="shared" si="2"/>
        <v>217.15</v>
      </c>
      <c r="W13" s="2102">
        <f t="shared" si="2"/>
        <v>217.15</v>
      </c>
      <c r="X13" s="2101">
        <f t="shared" si="2"/>
        <v>232.15</v>
      </c>
      <c r="Y13" s="2101">
        <f t="shared" si="2"/>
        <v>235.15</v>
      </c>
      <c r="Z13" s="2101">
        <f t="shared" si="2"/>
        <v>235.15</v>
      </c>
      <c r="AA13" s="2101">
        <f t="shared" si="2"/>
        <v>236.15</v>
      </c>
      <c r="AB13" s="2103">
        <f t="shared" si="2"/>
        <v>236.15</v>
      </c>
      <c r="AC13" s="2104">
        <f t="shared" si="2"/>
        <v>236.15</v>
      </c>
      <c r="AD13" s="2104">
        <f t="shared" si="2"/>
        <v>236.15</v>
      </c>
      <c r="AE13" s="2104">
        <f t="shared" si="2"/>
        <v>236.15</v>
      </c>
      <c r="AF13" s="2104">
        <f t="shared" si="2"/>
        <v>236.15</v>
      </c>
      <c r="AG13" s="2102">
        <f t="shared" si="2"/>
        <v>236.15</v>
      </c>
      <c r="AH13" s="171"/>
    </row>
    <row r="14" spans="1:34">
      <c r="A14" s="169"/>
      <c r="C14" s="70" t="s">
        <v>1021</v>
      </c>
      <c r="G14" s="282"/>
      <c r="H14" s="282"/>
      <c r="O14" s="2109">
        <f>_xlfn.XLOOKUP("Total FTEs",'Determination Lookup'!$D:$D,'Determination Lookup'!I:I,0)</f>
        <v>185.89999999999998</v>
      </c>
      <c r="P14" s="2109">
        <f>_xlfn.XLOOKUP("Total FTEs",'Determination Lookup'!$D:$D,'Determination Lookup'!J:J,0)</f>
        <v>185.89999999999998</v>
      </c>
      <c r="Q14" s="2110">
        <f>_xlfn.XLOOKUP("Total FTEs",'Determination Lookup'!$D:$D,'Determination Lookup'!K:K,0)</f>
        <v>185.89999999999998</v>
      </c>
      <c r="R14" s="2110">
        <f>_xlfn.XLOOKUP("Total FTEs",'Determination Lookup'!$D:$D,'Determination Lookup'!L:L,0)</f>
        <v>185.89999999999998</v>
      </c>
      <c r="S14" s="2110">
        <f>_xlfn.XLOOKUP("Total FTEs",'Determination Lookup'!$D:$D,'Determination Lookup'!M:M,0)</f>
        <v>185.89999999999998</v>
      </c>
      <c r="T14" s="2110">
        <f>_xlfn.XLOOKUP("Total FTEs",'Determination Lookup'!$D:$D,'Determination Lookup'!N:N,0)</f>
        <v>185.89999999999998</v>
      </c>
      <c r="U14" s="2110">
        <f>_xlfn.XLOOKUP("Total FTEs",'Determination Lookup'!$D:$D,'Determination Lookup'!O:O,0)</f>
        <v>185.89999999999998</v>
      </c>
      <c r="V14" s="2110">
        <f>_xlfn.XLOOKUP("Total FTEs",'Determination Lookup'!$D:$D,'Determination Lookup'!P:P,0)</f>
        <v>185.89999999999998</v>
      </c>
      <c r="W14" s="2110">
        <f>_xlfn.XLOOKUP("Total FTEs",'Determination Lookup'!$D:$D,'Determination Lookup'!Q:Q,0)</f>
        <v>185.89999999999998</v>
      </c>
      <c r="X14" s="2109">
        <f>_xlfn.XLOOKUP("Total FTEs",'Determination Lookup'!$D:$D,'Determination Lookup'!R:R,0)</f>
        <v>185.89999999999998</v>
      </c>
      <c r="Y14" s="2110">
        <f>_xlfn.XLOOKUP("Total FTEs",'Determination Lookup'!$D:$D,'Determination Lookup'!S:S,0)</f>
        <v>185.89999999999998</v>
      </c>
      <c r="Z14" s="2110"/>
      <c r="AA14" s="2110"/>
      <c r="AB14" s="2111"/>
      <c r="AC14" s="2112"/>
      <c r="AD14" s="2112"/>
      <c r="AE14" s="2112"/>
      <c r="AF14" s="2112"/>
      <c r="AG14" s="2113"/>
      <c r="AH14" s="171"/>
    </row>
    <row r="15" spans="1:34">
      <c r="A15" s="169"/>
      <c r="C15" s="70" t="s">
        <v>469</v>
      </c>
      <c r="G15" s="282"/>
      <c r="H15" s="282"/>
      <c r="O15" s="2114">
        <f>IF(O14=0,"- ",O13- O14)</f>
        <v>2.8421709430404007E-14</v>
      </c>
      <c r="P15" s="2114">
        <f t="shared" ref="P15:U15" si="3">IF(P14=0,"- ",P13- P14)</f>
        <v>0.33000000000001251</v>
      </c>
      <c r="Q15" s="2115">
        <f t="shared" si="3"/>
        <v>1.9000000000000341</v>
      </c>
      <c r="R15" s="2115">
        <f t="shared" si="3"/>
        <v>5.370000000000033</v>
      </c>
      <c r="S15" s="2115">
        <f t="shared" si="3"/>
        <v>10.190000000000026</v>
      </c>
      <c r="T15" s="2115">
        <f t="shared" si="3"/>
        <v>22.490000000000009</v>
      </c>
      <c r="U15" s="2115">
        <f t="shared" si="3"/>
        <v>31.110000000000014</v>
      </c>
      <c r="V15" s="2115">
        <f t="shared" ref="V15:AG15" si="4">IF(V14=0,"- ",V13- V14)</f>
        <v>31.250000000000028</v>
      </c>
      <c r="W15" s="2116">
        <f>IF(W14=0,"- ",W13- W14)</f>
        <v>31.250000000000028</v>
      </c>
      <c r="X15" s="2115">
        <f t="shared" si="4"/>
        <v>46.250000000000028</v>
      </c>
      <c r="Y15" s="2115">
        <f t="shared" si="4"/>
        <v>49.250000000000028</v>
      </c>
      <c r="Z15" s="2115" t="str">
        <f t="shared" si="4"/>
        <v xml:space="preserve">- </v>
      </c>
      <c r="AA15" s="2115" t="str">
        <f t="shared" si="4"/>
        <v xml:space="preserve">- </v>
      </c>
      <c r="AB15" s="2117" t="str">
        <f t="shared" si="4"/>
        <v xml:space="preserve">- </v>
      </c>
      <c r="AC15" s="2118" t="str">
        <f t="shared" si="4"/>
        <v xml:space="preserve">- </v>
      </c>
      <c r="AD15" s="2118" t="str">
        <f t="shared" si="4"/>
        <v xml:space="preserve">- </v>
      </c>
      <c r="AE15" s="2118" t="str">
        <f t="shared" si="4"/>
        <v xml:space="preserve">- </v>
      </c>
      <c r="AF15" s="2118" t="str">
        <f t="shared" si="4"/>
        <v xml:space="preserve">- </v>
      </c>
      <c r="AG15" s="2116" t="str">
        <f t="shared" si="4"/>
        <v xml:space="preserve">- </v>
      </c>
      <c r="AH15" s="171"/>
    </row>
    <row r="16" spans="1:34">
      <c r="A16" s="169"/>
      <c r="G16" s="282"/>
      <c r="H16" s="282"/>
      <c r="O16" s="2106"/>
      <c r="P16" s="2106"/>
      <c r="Q16" s="2106"/>
      <c r="R16" s="2106"/>
      <c r="S16" s="2106"/>
      <c r="T16" s="2106"/>
      <c r="U16" s="2106"/>
      <c r="V16" s="2106"/>
      <c r="W16" s="2107">
        <f>SUM(P15:W15)</f>
        <v>133.89000000000019</v>
      </c>
      <c r="X16" s="2106"/>
      <c r="Y16" s="2106"/>
      <c r="Z16" s="2106"/>
      <c r="AA16" s="2106"/>
      <c r="AB16" s="2107"/>
      <c r="AC16" s="2106"/>
      <c r="AD16" s="2106"/>
      <c r="AE16" s="2106"/>
      <c r="AF16" s="2107"/>
      <c r="AG16" s="2106"/>
      <c r="AH16" s="171"/>
    </row>
    <row r="17" spans="1:34">
      <c r="A17" s="169"/>
      <c r="C17" s="60" t="s">
        <v>983</v>
      </c>
      <c r="D17" s="614"/>
      <c r="G17" s="282"/>
      <c r="H17" s="282"/>
      <c r="I17" s="378"/>
      <c r="J17" s="378"/>
      <c r="K17" s="378"/>
      <c r="L17" s="378"/>
      <c r="M17" s="378"/>
      <c r="N17" s="378"/>
      <c r="O17" s="2100">
        <f t="shared" ref="O17:U17" si="5">O49</f>
        <v>23.48225701357466</v>
      </c>
      <c r="P17" s="2100">
        <f t="shared" si="5"/>
        <v>23.276728241563053</v>
      </c>
      <c r="Q17" s="2101">
        <f t="shared" si="5"/>
        <v>25.407386503067482</v>
      </c>
      <c r="R17" s="2101">
        <f t="shared" si="5"/>
        <v>24.843324185248711</v>
      </c>
      <c r="S17" s="2101">
        <f t="shared" si="5"/>
        <v>25.348674300254451</v>
      </c>
      <c r="T17" s="2101">
        <f t="shared" si="5"/>
        <v>26.65123728813559</v>
      </c>
      <c r="U17" s="2101">
        <f t="shared" si="5"/>
        <v>27.812124434389141</v>
      </c>
      <c r="V17" s="2101">
        <f>V49</f>
        <v>27.782617903930127</v>
      </c>
      <c r="W17" s="2102">
        <f t="shared" ref="W17:AF17" si="6">W49</f>
        <v>28.631</v>
      </c>
      <c r="X17" s="2101">
        <f t="shared" si="6"/>
        <v>30.069561</v>
      </c>
      <c r="Y17" s="2101">
        <f t="shared" si="6"/>
        <v>30.411196</v>
      </c>
      <c r="Z17" s="2101">
        <f t="shared" si="6"/>
        <v>30.411196</v>
      </c>
      <c r="AA17" s="2101">
        <f t="shared" si="6"/>
        <v>30.501439000000001</v>
      </c>
      <c r="AB17" s="2103">
        <f t="shared" si="6"/>
        <v>30.501439000000001</v>
      </c>
      <c r="AC17" s="2104">
        <f t="shared" si="6"/>
        <v>28.631</v>
      </c>
      <c r="AD17" s="2104">
        <f t="shared" si="6"/>
        <v>28.631</v>
      </c>
      <c r="AE17" s="2104">
        <f t="shared" si="6"/>
        <v>28.631</v>
      </c>
      <c r="AF17" s="2104">
        <f t="shared" si="6"/>
        <v>28.631</v>
      </c>
      <c r="AG17" s="2102">
        <f>AG49</f>
        <v>28.631</v>
      </c>
      <c r="AH17" s="171"/>
    </row>
    <row r="18" spans="1:34">
      <c r="A18" s="169"/>
      <c r="C18" s="60" t="s">
        <v>1022</v>
      </c>
      <c r="D18" s="614"/>
      <c r="G18" s="282"/>
      <c r="H18" s="282"/>
      <c r="I18" s="378"/>
      <c r="J18" s="378"/>
      <c r="K18" s="378"/>
      <c r="L18" s="378"/>
      <c r="M18" s="378"/>
      <c r="N18" s="378"/>
      <c r="O18" s="2088">
        <f>_xlfn.XLOOKUP("Total Labour costs",'Determination Lookup'!$D:$D,'Determination Lookup'!I:I,0)</f>
        <v>23.91008687782805</v>
      </c>
      <c r="P18" s="2088">
        <f>_xlfn.XLOOKUP("Total Labour costs",'Determination Lookup'!$D:$D,'Determination Lookup'!J:J,0)</f>
        <v>22.960435728824102</v>
      </c>
      <c r="Q18" s="2089">
        <f>_xlfn.XLOOKUP("Total Labour costs",'Determination Lookup'!$D:$D,'Determination Lookup'!K:K,0)</f>
        <v>22.964792312874629</v>
      </c>
      <c r="R18" s="2089">
        <f>_xlfn.XLOOKUP("Total Labour costs",'Determination Lookup'!$D:$D,'Determination Lookup'!L:L,0)</f>
        <v>22.971118020366575</v>
      </c>
      <c r="S18" s="2089">
        <f>_xlfn.XLOOKUP("Total Labour costs",'Determination Lookup'!$D:$D,'Determination Lookup'!M:M,0)</f>
        <v>22.976730621344881</v>
      </c>
      <c r="T18" s="2089">
        <f>_xlfn.XLOOKUP("Total Labour costs",'Determination Lookup'!$D:$D,'Determination Lookup'!N:N,0)</f>
        <v>22.981766123860297</v>
      </c>
      <c r="U18" s="2089">
        <f>_xlfn.XLOOKUP("Total Labour costs",'Determination Lookup'!$D:$D,'Determination Lookup'!O:O,0)</f>
        <v>22.986793197146547</v>
      </c>
      <c r="V18" s="2089">
        <f>_xlfn.XLOOKUP("Total Labour costs",'Determination Lookup'!$D:$D,'Determination Lookup'!P:P,0)</f>
        <v>22.994358367363031</v>
      </c>
      <c r="W18" s="2089">
        <f>_xlfn.XLOOKUP("Total Labour costs",'Determination Lookup'!$D:$D,'Determination Lookup'!Q:Q,0)</f>
        <v>22.999368341117524</v>
      </c>
      <c r="X18" s="2088">
        <f>_xlfn.XLOOKUP("Total Labour costs",'Determination Lookup'!$D:$D,'Determination Lookup'!R:R,0)</f>
        <v>25.458695440714571</v>
      </c>
      <c r="Y18" s="2089">
        <f>_xlfn.XLOOKUP("Total Labour costs",'Determination Lookup'!$D:$D,'Determination Lookup'!S:S,0)</f>
        <v>25.636906308799571</v>
      </c>
      <c r="Z18" s="2089"/>
      <c r="AA18" s="2089"/>
      <c r="AB18" s="2090"/>
      <c r="AC18" s="2091"/>
      <c r="AD18" s="2091"/>
      <c r="AE18" s="2091"/>
      <c r="AF18" s="2091"/>
      <c r="AG18" s="2092"/>
      <c r="AH18" s="171"/>
    </row>
    <row r="19" spans="1:34">
      <c r="A19" s="169"/>
      <c r="C19" s="60" t="s">
        <v>984</v>
      </c>
      <c r="D19" s="614"/>
      <c r="G19" s="282"/>
      <c r="H19" s="282"/>
      <c r="I19" s="378"/>
      <c r="J19" s="378"/>
      <c r="K19" s="378"/>
      <c r="L19" s="378"/>
      <c r="M19" s="378"/>
      <c r="N19" s="378"/>
      <c r="O19" s="2093">
        <f>O17-O18</f>
        <v>-0.42782986425338976</v>
      </c>
      <c r="P19" s="2093">
        <f t="shared" ref="P19:U19" si="7">P17-P18</f>
        <v>0.31629251273895065</v>
      </c>
      <c r="Q19" s="2094">
        <f t="shared" si="7"/>
        <v>2.4425941901928532</v>
      </c>
      <c r="R19" s="2094">
        <f t="shared" si="7"/>
        <v>1.8722061648821366</v>
      </c>
      <c r="S19" s="2094">
        <f t="shared" si="7"/>
        <v>2.3719436789095703</v>
      </c>
      <c r="T19" s="2094">
        <f t="shared" si="7"/>
        <v>3.6694711642752935</v>
      </c>
      <c r="U19" s="2094">
        <f t="shared" si="7"/>
        <v>4.8253312372425938</v>
      </c>
      <c r="V19" s="2094">
        <f>V17-V18</f>
        <v>4.7882595365670966</v>
      </c>
      <c r="W19" s="2095">
        <f t="shared" ref="W19:AG19" si="8">W17-W18</f>
        <v>5.6316316588824762</v>
      </c>
      <c r="X19" s="2094">
        <f t="shared" si="8"/>
        <v>4.6108655592854291</v>
      </c>
      <c r="Y19" s="2094">
        <f t="shared" si="8"/>
        <v>4.7742896912004298</v>
      </c>
      <c r="Z19" s="2094">
        <f t="shared" si="8"/>
        <v>30.411196</v>
      </c>
      <c r="AA19" s="2094">
        <f t="shared" si="8"/>
        <v>30.501439000000001</v>
      </c>
      <c r="AB19" s="2096">
        <f t="shared" si="8"/>
        <v>30.501439000000001</v>
      </c>
      <c r="AC19" s="2097">
        <f t="shared" si="8"/>
        <v>28.631</v>
      </c>
      <c r="AD19" s="2097">
        <f t="shared" si="8"/>
        <v>28.631</v>
      </c>
      <c r="AE19" s="2097">
        <f t="shared" si="8"/>
        <v>28.631</v>
      </c>
      <c r="AF19" s="2097">
        <f t="shared" si="8"/>
        <v>28.631</v>
      </c>
      <c r="AG19" s="2095">
        <f t="shared" si="8"/>
        <v>28.631</v>
      </c>
      <c r="AH19" s="171"/>
    </row>
    <row r="20" spans="1:34">
      <c r="A20" s="169"/>
      <c r="C20" s="60"/>
      <c r="D20" s="614"/>
      <c r="G20" s="282"/>
      <c r="H20" s="282"/>
      <c r="I20" s="378"/>
      <c r="J20" s="378"/>
      <c r="K20" s="378"/>
      <c r="L20" s="378"/>
      <c r="M20" s="378"/>
      <c r="N20" s="378"/>
      <c r="O20" s="2107"/>
      <c r="P20" s="2107"/>
      <c r="Q20" s="2107"/>
      <c r="R20" s="2107"/>
      <c r="S20" s="2107"/>
      <c r="T20" s="2107"/>
      <c r="U20" s="2107"/>
      <c r="V20" s="2107"/>
      <c r="W20" s="2107">
        <f>SUM(P19:W19)</f>
        <v>25.917730143690971</v>
      </c>
      <c r="X20" s="2107"/>
      <c r="Y20" s="2107"/>
      <c r="Z20" s="2107"/>
      <c r="AA20" s="2107"/>
      <c r="AB20" s="2107">
        <f>SUM(X19:AB19)</f>
        <v>100.79922925048587</v>
      </c>
      <c r="AC20" s="2108"/>
      <c r="AD20" s="2108"/>
      <c r="AE20" s="2108"/>
      <c r="AF20" s="2106"/>
      <c r="AG20" s="2106">
        <f>SUM(AC19:AG19)</f>
        <v>143.155</v>
      </c>
      <c r="AH20" s="171"/>
    </row>
    <row r="21" spans="1:34">
      <c r="A21" s="169"/>
      <c r="C21" s="60" t="s">
        <v>985</v>
      </c>
      <c r="D21" s="614"/>
      <c r="G21" s="282"/>
      <c r="H21" s="282"/>
      <c r="I21" s="378"/>
      <c r="J21" s="378"/>
      <c r="K21" s="378"/>
      <c r="L21" s="378"/>
      <c r="M21" s="378"/>
      <c r="N21" s="378"/>
      <c r="O21" s="2100">
        <f t="shared" ref="O21:AG21" si="9">O108</f>
        <v>5.475203619909502</v>
      </c>
      <c r="P21" s="2100">
        <f t="shared" si="9"/>
        <v>5.2031509769094137</v>
      </c>
      <c r="Q21" s="2101">
        <f t="shared" si="9"/>
        <v>4.9695092024539873</v>
      </c>
      <c r="R21" s="2101">
        <f t="shared" si="9"/>
        <v>4.6312744425385928</v>
      </c>
      <c r="S21" s="2101">
        <f t="shared" si="9"/>
        <v>5.1434860050890583</v>
      </c>
      <c r="T21" s="2101">
        <f t="shared" si="9"/>
        <v>5.901677966101694</v>
      </c>
      <c r="U21" s="2101">
        <f t="shared" si="9"/>
        <v>4.7037941176470586</v>
      </c>
      <c r="V21" s="2101">
        <f t="shared" si="9"/>
        <v>5.3453711790393008</v>
      </c>
      <c r="W21" s="2102">
        <f t="shared" si="9"/>
        <v>4.3609999999999998</v>
      </c>
      <c r="X21" s="2101">
        <f t="shared" si="9"/>
        <v>4.0977297954085108</v>
      </c>
      <c r="Y21" s="2101">
        <f t="shared" si="9"/>
        <v>4.0209451647103629</v>
      </c>
      <c r="Z21" s="2101">
        <f t="shared" si="9"/>
        <v>4.1765106619305827</v>
      </c>
      <c r="AA21" s="2101">
        <f t="shared" si="9"/>
        <v>4.4346996307598063</v>
      </c>
      <c r="AB21" s="2103">
        <f t="shared" si="9"/>
        <v>4.7397784453172758</v>
      </c>
      <c r="AC21" s="2104">
        <f t="shared" si="9"/>
        <v>5.3547700449710103</v>
      </c>
      <c r="AD21" s="2104">
        <f t="shared" si="9"/>
        <v>5.8744275392563203</v>
      </c>
      <c r="AE21" s="2104">
        <f t="shared" si="9"/>
        <v>5.9957724871611511</v>
      </c>
      <c r="AF21" s="2104">
        <f t="shared" si="9"/>
        <v>6.1199126286400762</v>
      </c>
      <c r="AG21" s="2102">
        <f t="shared" si="9"/>
        <v>6.2469240210254089</v>
      </c>
      <c r="AH21" s="171"/>
    </row>
    <row r="22" spans="1:34">
      <c r="A22" s="169"/>
      <c r="C22" s="60" t="s">
        <v>1023</v>
      </c>
      <c r="D22" s="614"/>
      <c r="G22" s="282"/>
      <c r="H22" s="282"/>
      <c r="I22" s="378"/>
      <c r="J22" s="378"/>
      <c r="K22" s="378"/>
      <c r="L22" s="378"/>
      <c r="M22" s="378"/>
      <c r="N22" s="378"/>
      <c r="O22" s="2088">
        <f>_xlfn.XLOOKUP("Total Energy costs",'Determination Lookup'!$D:$D,'Determination Lookup'!I:I,0)</f>
        <v>6.0916538196774015</v>
      </c>
      <c r="P22" s="2088">
        <f>_xlfn.XLOOKUP("Total Energy costs",'Determination Lookup'!$D:$D,'Determination Lookup'!J:J,0)</f>
        <v>5.4244101565171237</v>
      </c>
      <c r="Q22" s="2089">
        <f>_xlfn.XLOOKUP("Total Energy costs",'Determination Lookup'!$D:$D,'Determination Lookup'!K:K,0)</f>
        <v>4.9680020898144805</v>
      </c>
      <c r="R22" s="2089">
        <f>_xlfn.XLOOKUP("Total Energy costs",'Determination Lookup'!$D:$D,'Determination Lookup'!L:L,0)</f>
        <v>4.0912537880056812</v>
      </c>
      <c r="S22" s="2089">
        <f>_xlfn.XLOOKUP("Total Energy costs",'Determination Lookup'!$D:$D,'Determination Lookup'!M:M,0)</f>
        <v>3.1119789947094358</v>
      </c>
      <c r="T22" s="2089">
        <f>_xlfn.XLOOKUP("Total Energy costs",'Determination Lookup'!$D:$D,'Determination Lookup'!N:N,0)</f>
        <v>3.9923817547098501</v>
      </c>
      <c r="U22" s="2089">
        <f>_xlfn.XLOOKUP("Total Energy costs",'Determination Lookup'!$D:$D,'Determination Lookup'!O:O,0)</f>
        <v>3.243880768426159</v>
      </c>
      <c r="V22" s="2089">
        <f>_xlfn.XLOOKUP("Total Energy costs",'Determination Lookup'!$D:$D,'Determination Lookup'!P:P,0)</f>
        <v>3.2459517336213026</v>
      </c>
      <c r="W22" s="2089">
        <f>_xlfn.XLOOKUP("Total Energy costs",'Determination Lookup'!$D:$D,'Determination Lookup'!Q:Q,0)</f>
        <v>3.2340877841417441</v>
      </c>
      <c r="X22" s="2088">
        <f>_xlfn.XLOOKUP("Total Energy costs",'Determination Lookup'!$D:$D,'Determination Lookup'!R:R,0)</f>
        <v>3.4592699184626996</v>
      </c>
      <c r="Y22" s="2089">
        <f>_xlfn.XLOOKUP("Total Energy costs",'Determination Lookup'!$D:$D,'Determination Lookup'!S:S,0)</f>
        <v>3.7022915952563449</v>
      </c>
      <c r="Z22" s="2089"/>
      <c r="AA22" s="2089"/>
      <c r="AB22" s="2090"/>
      <c r="AC22" s="2091"/>
      <c r="AD22" s="2091"/>
      <c r="AE22" s="2091"/>
      <c r="AF22" s="2091"/>
      <c r="AG22" s="2092"/>
      <c r="AH22" s="171"/>
    </row>
    <row r="23" spans="1:34">
      <c r="A23" s="169"/>
      <c r="C23" s="60" t="s">
        <v>984</v>
      </c>
      <c r="D23" s="614"/>
      <c r="G23" s="282"/>
      <c r="H23" s="282"/>
      <c r="I23" s="378"/>
      <c r="J23" s="378"/>
      <c r="K23" s="378"/>
      <c r="L23" s="378"/>
      <c r="M23" s="378"/>
      <c r="N23" s="378"/>
      <c r="O23" s="2093">
        <f t="shared" ref="O23:U23" si="10">O21-O22</f>
        <v>-0.6164501997678995</v>
      </c>
      <c r="P23" s="2093">
        <f t="shared" si="10"/>
        <v>-0.22125917960770991</v>
      </c>
      <c r="Q23" s="2094">
        <f t="shared" si="10"/>
        <v>1.507112639506758E-3</v>
      </c>
      <c r="R23" s="2094">
        <f t="shared" si="10"/>
        <v>0.54002065453291159</v>
      </c>
      <c r="S23" s="2094">
        <f t="shared" si="10"/>
        <v>2.0315070103796224</v>
      </c>
      <c r="T23" s="2094">
        <f t="shared" si="10"/>
        <v>1.9092962113918439</v>
      </c>
      <c r="U23" s="2094">
        <f t="shared" si="10"/>
        <v>1.4599133492208995</v>
      </c>
      <c r="V23" s="2094">
        <f>V21-V22</f>
        <v>2.0994194454179982</v>
      </c>
      <c r="W23" s="2095">
        <f t="shared" ref="W23:AG23" si="11">W21-W22</f>
        <v>1.1269122158582556</v>
      </c>
      <c r="X23" s="2094">
        <f t="shared" si="11"/>
        <v>0.63845987694581119</v>
      </c>
      <c r="Y23" s="2094">
        <f t="shared" si="11"/>
        <v>0.31865356945401802</v>
      </c>
      <c r="Z23" s="2094">
        <f t="shared" si="11"/>
        <v>4.1765106619305827</v>
      </c>
      <c r="AA23" s="2094">
        <f t="shared" si="11"/>
        <v>4.4346996307598063</v>
      </c>
      <c r="AB23" s="2096">
        <f t="shared" si="11"/>
        <v>4.7397784453172758</v>
      </c>
      <c r="AC23" s="2097">
        <f t="shared" si="11"/>
        <v>5.3547700449710103</v>
      </c>
      <c r="AD23" s="2097">
        <f t="shared" si="11"/>
        <v>5.8744275392563203</v>
      </c>
      <c r="AE23" s="2097">
        <f t="shared" si="11"/>
        <v>5.9957724871611511</v>
      </c>
      <c r="AF23" s="2097">
        <f t="shared" si="11"/>
        <v>6.1199126286400762</v>
      </c>
      <c r="AG23" s="2095">
        <f t="shared" si="11"/>
        <v>6.2469240210254089</v>
      </c>
      <c r="AH23" s="171"/>
    </row>
    <row r="24" spans="1:34">
      <c r="A24" s="169"/>
      <c r="C24" s="60"/>
      <c r="D24" s="614"/>
      <c r="G24" s="282"/>
      <c r="H24" s="282"/>
      <c r="I24" s="378"/>
      <c r="J24" s="378"/>
      <c r="K24" s="378"/>
      <c r="L24" s="378"/>
      <c r="M24" s="378"/>
      <c r="N24" s="378"/>
      <c r="O24" s="2107"/>
      <c r="P24" s="2107"/>
      <c r="Q24" s="2107"/>
      <c r="R24" s="2107"/>
      <c r="S24" s="2107"/>
      <c r="T24" s="2107"/>
      <c r="U24" s="2107"/>
      <c r="V24" s="2107"/>
      <c r="W24" s="2107">
        <f>SUM(P23:W23)</f>
        <v>8.947316819833329</v>
      </c>
      <c r="X24" s="2107"/>
      <c r="Y24" s="2107"/>
      <c r="Z24" s="2107"/>
      <c r="AA24" s="2107"/>
      <c r="AB24" s="2107">
        <f>SUM(X23:AB23)</f>
        <v>14.308102184407494</v>
      </c>
      <c r="AC24" s="2108"/>
      <c r="AD24" s="2108"/>
      <c r="AE24" s="2108"/>
      <c r="AF24" s="2106"/>
      <c r="AG24" s="2106">
        <f>SUM(AC23:AG23)</f>
        <v>29.59180672105397</v>
      </c>
      <c r="AH24" s="171"/>
    </row>
    <row r="25" spans="1:34">
      <c r="A25" s="169"/>
      <c r="C25" s="60" t="s">
        <v>986</v>
      </c>
      <c r="D25" s="614"/>
      <c r="G25" s="282"/>
      <c r="H25" s="282"/>
      <c r="I25" s="378"/>
      <c r="J25" s="378"/>
      <c r="K25" s="378"/>
      <c r="L25" s="378"/>
      <c r="M25" s="378"/>
      <c r="N25" s="378"/>
      <c r="O25" s="2100">
        <f t="shared" ref="O25:AG25" si="12">O119</f>
        <v>3.9854389140271489</v>
      </c>
      <c r="P25" s="2100">
        <f t="shared" si="12"/>
        <v>4.1237494720337482</v>
      </c>
      <c r="Q25" s="2101">
        <f t="shared" si="12"/>
        <v>4.1075076806134962</v>
      </c>
      <c r="R25" s="2101">
        <f t="shared" si="12"/>
        <v>4.0760896430017146</v>
      </c>
      <c r="S25" s="2101">
        <f t="shared" si="12"/>
        <v>4.4288469567430022</v>
      </c>
      <c r="T25" s="2101">
        <f t="shared" si="12"/>
        <v>5.197753856101694</v>
      </c>
      <c r="U25" s="2101">
        <f t="shared" si="12"/>
        <v>6.0013834632579171</v>
      </c>
      <c r="V25" s="2101">
        <f t="shared" si="12"/>
        <v>6.1374435698689949</v>
      </c>
      <c r="W25" s="2102">
        <f t="shared" si="12"/>
        <v>6.2931697500000006</v>
      </c>
      <c r="X25" s="2101">
        <f t="shared" si="12"/>
        <v>6.5638115698689949</v>
      </c>
      <c r="Y25" s="2101">
        <f t="shared" si="12"/>
        <v>6.7952495698689948</v>
      </c>
      <c r="Z25" s="2101">
        <f t="shared" si="12"/>
        <v>6.7077965698689948</v>
      </c>
      <c r="AA25" s="2101">
        <f t="shared" si="12"/>
        <v>6.7117035698689946</v>
      </c>
      <c r="AB25" s="2103">
        <f t="shared" si="12"/>
        <v>6.9114795698689946</v>
      </c>
      <c r="AC25" s="2104">
        <f t="shared" si="12"/>
        <v>6.9114795698689946</v>
      </c>
      <c r="AD25" s="2104">
        <f t="shared" si="12"/>
        <v>6.9114795698689946</v>
      </c>
      <c r="AE25" s="2104">
        <f t="shared" si="12"/>
        <v>6.9114795698689946</v>
      </c>
      <c r="AF25" s="2104">
        <f t="shared" si="12"/>
        <v>6.9114795698689946</v>
      </c>
      <c r="AG25" s="2102">
        <f t="shared" si="12"/>
        <v>6.9114795698689946</v>
      </c>
      <c r="AH25" s="171"/>
    </row>
    <row r="26" spans="1:34">
      <c r="A26" s="169"/>
      <c r="C26" s="60" t="s">
        <v>1024</v>
      </c>
      <c r="D26" s="614"/>
      <c r="G26" s="282"/>
      <c r="H26" s="282"/>
      <c r="I26" s="378"/>
      <c r="J26" s="378"/>
      <c r="K26" s="378"/>
      <c r="L26" s="378"/>
      <c r="M26" s="378"/>
      <c r="N26" s="378"/>
      <c r="O26" s="2088">
        <f>_xlfn.XLOOKUP("Total IT costs",'Determination Lookup'!$D:$D,'Determination Lookup'!I:I,0)</f>
        <v>3.6989457013574651</v>
      </c>
      <c r="P26" s="2088">
        <f>_xlfn.XLOOKUP("Total IT costs",'Determination Lookup'!$D:$D,'Determination Lookup'!J:J,0)</f>
        <v>3.6989457013574651</v>
      </c>
      <c r="Q26" s="2089">
        <f>_xlfn.XLOOKUP("Total IT costs",'Determination Lookup'!$D:$D,'Determination Lookup'!K:K,0)</f>
        <v>3.6989457013574651</v>
      </c>
      <c r="R26" s="2089">
        <f>_xlfn.XLOOKUP("Total IT costs",'Determination Lookup'!$D:$D,'Determination Lookup'!L:L,0)</f>
        <v>3.6989457013574651</v>
      </c>
      <c r="S26" s="2089">
        <f>_xlfn.XLOOKUP("Total IT costs",'Determination Lookup'!$D:$D,'Determination Lookup'!M:M,0)</f>
        <v>3.6989457013574651</v>
      </c>
      <c r="T26" s="2089">
        <f>_xlfn.XLOOKUP("Total IT costs",'Determination Lookup'!$D:$D,'Determination Lookup'!N:N,0)</f>
        <v>3.6989457013574651</v>
      </c>
      <c r="U26" s="2089">
        <f>_xlfn.XLOOKUP("Total IT costs",'Determination Lookup'!$D:$D,'Determination Lookup'!O:O,0)</f>
        <v>3.6989457013574651</v>
      </c>
      <c r="V26" s="2089">
        <f>_xlfn.XLOOKUP("Total IT costs",'Determination Lookup'!$D:$D,'Determination Lookup'!P:P,0)</f>
        <v>3.6989457013574651</v>
      </c>
      <c r="W26" s="2089">
        <f>_xlfn.XLOOKUP("Total IT costs",'Determination Lookup'!$D:$D,'Determination Lookup'!Q:Q,0)</f>
        <v>3.6989457013574651</v>
      </c>
      <c r="X26" s="2088">
        <f>_xlfn.XLOOKUP("Total IT costs",'Determination Lookup'!$D:$D,'Determination Lookup'!R:R,0)</f>
        <v>3.6989457013574651</v>
      </c>
      <c r="Y26" s="2089">
        <f>_xlfn.XLOOKUP("Total IT costs",'Determination Lookup'!$D:$D,'Determination Lookup'!S:S,0)</f>
        <v>3.6989457013574651</v>
      </c>
      <c r="Z26" s="2089"/>
      <c r="AA26" s="2089"/>
      <c r="AB26" s="2090"/>
      <c r="AC26" s="2091"/>
      <c r="AD26" s="2091"/>
      <c r="AE26" s="2091"/>
      <c r="AF26" s="2091"/>
      <c r="AG26" s="2092"/>
      <c r="AH26" s="171"/>
    </row>
    <row r="27" spans="1:34">
      <c r="A27" s="169"/>
      <c r="C27" s="60" t="s">
        <v>984</v>
      </c>
      <c r="D27" s="614"/>
      <c r="G27" s="282"/>
      <c r="H27" s="282"/>
      <c r="I27" s="378"/>
      <c r="J27" s="378"/>
      <c r="K27" s="378"/>
      <c r="L27" s="378"/>
      <c r="M27" s="378"/>
      <c r="N27" s="378"/>
      <c r="O27" s="2093">
        <f t="shared" ref="O27:U27" si="13">O25-O26</f>
        <v>0.28649321266968375</v>
      </c>
      <c r="P27" s="2093">
        <f t="shared" si="13"/>
        <v>0.42480377067628305</v>
      </c>
      <c r="Q27" s="2094">
        <f t="shared" si="13"/>
        <v>0.4085619792560311</v>
      </c>
      <c r="R27" s="2094">
        <f t="shared" si="13"/>
        <v>0.37714394164424947</v>
      </c>
      <c r="S27" s="2094">
        <f t="shared" si="13"/>
        <v>0.72990125538553707</v>
      </c>
      <c r="T27" s="2094">
        <f t="shared" si="13"/>
        <v>1.4988081547442289</v>
      </c>
      <c r="U27" s="2094">
        <f t="shared" si="13"/>
        <v>2.3024377619004519</v>
      </c>
      <c r="V27" s="2094">
        <f>V25-V26</f>
        <v>2.4384978685115297</v>
      </c>
      <c r="W27" s="2095">
        <f>W25-W26</f>
        <v>2.5942240486425354</v>
      </c>
      <c r="X27" s="2094">
        <f t="shared" ref="X27:AG27" si="14">X25-X26</f>
        <v>2.8648658685115298</v>
      </c>
      <c r="Y27" s="2094">
        <f t="shared" si="14"/>
        <v>3.0963038685115296</v>
      </c>
      <c r="Z27" s="2094">
        <f t="shared" si="14"/>
        <v>6.7077965698689948</v>
      </c>
      <c r="AA27" s="2094">
        <f t="shared" si="14"/>
        <v>6.7117035698689946</v>
      </c>
      <c r="AB27" s="2096">
        <f t="shared" si="14"/>
        <v>6.9114795698689946</v>
      </c>
      <c r="AC27" s="2097">
        <f t="shared" si="14"/>
        <v>6.9114795698689946</v>
      </c>
      <c r="AD27" s="2097">
        <f t="shared" si="14"/>
        <v>6.9114795698689946</v>
      </c>
      <c r="AE27" s="2097">
        <f t="shared" si="14"/>
        <v>6.9114795698689946</v>
      </c>
      <c r="AF27" s="2097">
        <f t="shared" si="14"/>
        <v>6.9114795698689946</v>
      </c>
      <c r="AG27" s="2095">
        <f t="shared" si="14"/>
        <v>6.9114795698689946</v>
      </c>
      <c r="AH27" s="171"/>
    </row>
    <row r="28" spans="1:34">
      <c r="A28" s="169"/>
      <c r="C28" s="60"/>
      <c r="D28" s="614"/>
      <c r="G28" s="282"/>
      <c r="H28" s="282"/>
      <c r="I28" s="378"/>
      <c r="J28" s="378"/>
      <c r="K28" s="378"/>
      <c r="L28" s="378"/>
      <c r="M28" s="378"/>
      <c r="N28" s="378"/>
      <c r="O28" s="2099"/>
      <c r="P28" s="2099"/>
      <c r="Q28" s="2099"/>
      <c r="R28" s="2099"/>
      <c r="S28" s="2099"/>
      <c r="T28" s="2099"/>
      <c r="U28" s="2099"/>
      <c r="V28" s="2099"/>
      <c r="W28" s="2099">
        <f>SUM(P27:W27)</f>
        <v>10.774378780760847</v>
      </c>
      <c r="X28" s="2099"/>
      <c r="Y28" s="2099"/>
      <c r="Z28" s="2099"/>
      <c r="AA28" s="2099"/>
      <c r="AB28" s="2099">
        <f>SUM(X27:AB27)</f>
        <v>26.292149446630042</v>
      </c>
      <c r="AC28" s="2105"/>
      <c r="AD28" s="2105"/>
      <c r="AE28" s="2105"/>
      <c r="AF28" s="2098"/>
      <c r="AG28" s="2098">
        <f>SUM(AC27:AG27)</f>
        <v>34.557397849344973</v>
      </c>
      <c r="AH28" s="171"/>
    </row>
    <row r="29" spans="1:34">
      <c r="A29" s="169"/>
      <c r="C29" s="60" t="s">
        <v>987</v>
      </c>
      <c r="D29" s="614"/>
      <c r="G29" s="282"/>
      <c r="H29" s="282"/>
      <c r="I29" s="378"/>
      <c r="J29" s="378"/>
      <c r="K29" s="378"/>
      <c r="L29" s="378"/>
      <c r="M29" s="378"/>
      <c r="N29" s="378"/>
      <c r="O29" s="2100">
        <f t="shared" ref="O29:AG29" si="15">O130</f>
        <v>1.9901728506787331</v>
      </c>
      <c r="P29" s="2100">
        <f t="shared" si="15"/>
        <v>1.8911004671403195</v>
      </c>
      <c r="Q29" s="2101">
        <f t="shared" si="15"/>
        <v>2.1794627300613501</v>
      </c>
      <c r="R29" s="2101">
        <f t="shared" si="15"/>
        <v>2.0048277838765007</v>
      </c>
      <c r="S29" s="2101">
        <f t="shared" si="15"/>
        <v>2.0843899465648854</v>
      </c>
      <c r="T29" s="2101">
        <f t="shared" si="15"/>
        <v>2.6765228135593215</v>
      </c>
      <c r="U29" s="2101">
        <f t="shared" si="15"/>
        <v>2.4420235791855207</v>
      </c>
      <c r="V29" s="2101">
        <f t="shared" si="15"/>
        <v>2.2209208275109167</v>
      </c>
      <c r="W29" s="2102">
        <f t="shared" si="15"/>
        <v>2.3838059999999999</v>
      </c>
      <c r="X29" s="2101">
        <f t="shared" si="15"/>
        <v>2.701920827510917</v>
      </c>
      <c r="Y29" s="2101">
        <f t="shared" si="15"/>
        <v>2.7259208275109166</v>
      </c>
      <c r="Z29" s="2101">
        <f t="shared" si="15"/>
        <v>2.7509208275109165</v>
      </c>
      <c r="AA29" s="2101">
        <f t="shared" si="15"/>
        <v>2.7759208275109168</v>
      </c>
      <c r="AB29" s="2103">
        <f t="shared" si="15"/>
        <v>2.8019208275109166</v>
      </c>
      <c r="AC29" s="2104">
        <f t="shared" si="15"/>
        <v>2.8019208275109166</v>
      </c>
      <c r="AD29" s="2104">
        <f t="shared" si="15"/>
        <v>2.8019208275109166</v>
      </c>
      <c r="AE29" s="2104">
        <f t="shared" si="15"/>
        <v>2.8019208275109166</v>
      </c>
      <c r="AF29" s="2104">
        <f t="shared" si="15"/>
        <v>2.8019208275109166</v>
      </c>
      <c r="AG29" s="2102">
        <f t="shared" si="15"/>
        <v>2.8019208275109166</v>
      </c>
      <c r="AH29" s="171"/>
    </row>
    <row r="30" spans="1:34">
      <c r="A30" s="169"/>
      <c r="C30" s="60" t="s">
        <v>1025</v>
      </c>
      <c r="D30" s="614"/>
      <c r="G30" s="282"/>
      <c r="H30" s="282"/>
      <c r="I30" s="378"/>
      <c r="J30" s="378"/>
      <c r="K30" s="378"/>
      <c r="L30" s="378"/>
      <c r="M30" s="378"/>
      <c r="N30" s="378"/>
      <c r="O30" s="2088">
        <f>_xlfn.XLOOKUP("Total Chemical costs",'Determination Lookup'!$D:$D,'Determination Lookup'!I:I,0)</f>
        <v>2.0156389140271491</v>
      </c>
      <c r="P30" s="2088">
        <f>_xlfn.XLOOKUP("Total Chemical costs",'Determination Lookup'!$D:$D,'Determination Lookup'!J:J,0)</f>
        <v>2.0156389140271491</v>
      </c>
      <c r="Q30" s="2089">
        <f>_xlfn.XLOOKUP("Total Chemical costs",'Determination Lookup'!$D:$D,'Determination Lookup'!K:K,0)</f>
        <v>2.0156389140271491</v>
      </c>
      <c r="R30" s="2089">
        <f>_xlfn.XLOOKUP("Total Chemical costs",'Determination Lookup'!$D:$D,'Determination Lookup'!L:L,0)</f>
        <v>2.0156389140271491</v>
      </c>
      <c r="S30" s="2089">
        <f>_xlfn.XLOOKUP("Total Chemical costs",'Determination Lookup'!$D:$D,'Determination Lookup'!M:M,0)</f>
        <v>2.0156389140271491</v>
      </c>
      <c r="T30" s="2089">
        <f>_xlfn.XLOOKUP("Total Chemical costs",'Determination Lookup'!$D:$D,'Determination Lookup'!N:N,0)</f>
        <v>2.0156389140271491</v>
      </c>
      <c r="U30" s="2089">
        <f>_xlfn.XLOOKUP("Total Chemical costs",'Determination Lookup'!$D:$D,'Determination Lookup'!O:O,0)</f>
        <v>2.0156389140271491</v>
      </c>
      <c r="V30" s="2089">
        <f>_xlfn.XLOOKUP("Total Chemical costs",'Determination Lookup'!$D:$D,'Determination Lookup'!P:P,0)</f>
        <v>2.0156389140271491</v>
      </c>
      <c r="W30" s="2089">
        <f>_xlfn.XLOOKUP("Total Chemical costs",'Determination Lookup'!$D:$D,'Determination Lookup'!Q:Q,0)</f>
        <v>2.0156389140271491</v>
      </c>
      <c r="X30" s="2088">
        <f>_xlfn.XLOOKUP("Total Chemical costs",'Determination Lookup'!$D:$D,'Determination Lookup'!R:R,0)</f>
        <v>2.0156389140271491</v>
      </c>
      <c r="Y30" s="2089">
        <f>_xlfn.XLOOKUP("Total Chemical costs",'Determination Lookup'!$D:$D,'Determination Lookup'!S:S,0)</f>
        <v>2.0156389140271491</v>
      </c>
      <c r="Z30" s="2089"/>
      <c r="AA30" s="2089"/>
      <c r="AB30" s="2090"/>
      <c r="AC30" s="2091"/>
      <c r="AD30" s="2091"/>
      <c r="AE30" s="2091"/>
      <c r="AF30" s="2091"/>
      <c r="AG30" s="2092"/>
      <c r="AH30" s="171"/>
    </row>
    <row r="31" spans="1:34">
      <c r="A31" s="169"/>
      <c r="C31" s="60" t="s">
        <v>984</v>
      </c>
      <c r="D31" s="614"/>
      <c r="G31" s="282"/>
      <c r="H31" s="282"/>
      <c r="I31" s="378"/>
      <c r="J31" s="378"/>
      <c r="K31" s="378"/>
      <c r="L31" s="378"/>
      <c r="M31" s="378"/>
      <c r="N31" s="378"/>
      <c r="O31" s="2093">
        <f t="shared" ref="O31:U31" si="16">O29-O30</f>
        <v>-2.5466063348416057E-2</v>
      </c>
      <c r="P31" s="2093">
        <f t="shared" si="16"/>
        <v>-0.12453844688682958</v>
      </c>
      <c r="Q31" s="2094">
        <f t="shared" si="16"/>
        <v>0.16382381603420093</v>
      </c>
      <c r="R31" s="2094">
        <f t="shared" si="16"/>
        <v>-1.0811130150648385E-2</v>
      </c>
      <c r="S31" s="2094">
        <f t="shared" si="16"/>
        <v>6.875103253773629E-2</v>
      </c>
      <c r="T31" s="2094">
        <f t="shared" si="16"/>
        <v>0.66088389953217241</v>
      </c>
      <c r="U31" s="2094">
        <f t="shared" si="16"/>
        <v>0.42638466515837159</v>
      </c>
      <c r="V31" s="2094">
        <f t="shared" ref="V31:AG31" si="17">V29-V30</f>
        <v>0.20528191348376756</v>
      </c>
      <c r="W31" s="2095">
        <f t="shared" si="17"/>
        <v>0.36816708597285075</v>
      </c>
      <c r="X31" s="2094">
        <f t="shared" si="17"/>
        <v>0.68628191348376788</v>
      </c>
      <c r="Y31" s="2094">
        <f t="shared" si="17"/>
        <v>0.71028191348376746</v>
      </c>
      <c r="Z31" s="2094">
        <f t="shared" si="17"/>
        <v>2.7509208275109165</v>
      </c>
      <c r="AA31" s="2094">
        <f t="shared" si="17"/>
        <v>2.7759208275109168</v>
      </c>
      <c r="AB31" s="2096">
        <f t="shared" si="17"/>
        <v>2.8019208275109166</v>
      </c>
      <c r="AC31" s="2097">
        <f t="shared" si="17"/>
        <v>2.8019208275109166</v>
      </c>
      <c r="AD31" s="2097">
        <f t="shared" si="17"/>
        <v>2.8019208275109166</v>
      </c>
      <c r="AE31" s="2097">
        <f t="shared" si="17"/>
        <v>2.8019208275109166</v>
      </c>
      <c r="AF31" s="2097">
        <f t="shared" si="17"/>
        <v>2.8019208275109166</v>
      </c>
      <c r="AG31" s="2095">
        <f t="shared" si="17"/>
        <v>2.8019208275109166</v>
      </c>
      <c r="AH31" s="171"/>
    </row>
    <row r="32" spans="1:34" ht="12.75" thickBot="1">
      <c r="A32" s="182"/>
      <c r="B32" s="183"/>
      <c r="C32" s="183"/>
      <c r="D32" s="1736"/>
      <c r="E32" s="183"/>
      <c r="F32" s="183"/>
      <c r="G32" s="1737"/>
      <c r="H32" s="1737"/>
      <c r="I32" s="1738"/>
      <c r="J32" s="1738"/>
      <c r="K32" s="1738"/>
      <c r="L32" s="1738"/>
      <c r="M32" s="1738"/>
      <c r="N32" s="1738"/>
      <c r="O32" s="1738"/>
      <c r="P32" s="1738"/>
      <c r="Q32" s="1738"/>
      <c r="R32" s="1738"/>
      <c r="S32" s="1738"/>
      <c r="T32" s="1738"/>
      <c r="U32" s="1738"/>
      <c r="V32" s="1738"/>
      <c r="W32" s="1738">
        <f>SUM(P31:W31)</f>
        <v>1.7579428356816216</v>
      </c>
      <c r="X32" s="1738"/>
      <c r="Y32" s="1738"/>
      <c r="Z32" s="1738"/>
      <c r="AA32" s="1738"/>
      <c r="AB32" s="602">
        <f>SUM(X31:AB31)</f>
        <v>9.7253263095002858</v>
      </c>
      <c r="AC32" s="374"/>
      <c r="AD32" s="374"/>
      <c r="AE32" s="374"/>
      <c r="AF32" s="602"/>
      <c r="AG32" s="602">
        <f>SUM(AC31:AG31)</f>
        <v>14.009604137554582</v>
      </c>
      <c r="AH32" s="1739"/>
    </row>
    <row r="34" spans="2:35" ht="12.75" thickBot="1"/>
    <row r="35" spans="2:35">
      <c r="B35" s="166"/>
      <c r="C35" s="167"/>
      <c r="D35" s="167"/>
      <c r="E35" s="167"/>
      <c r="F35" s="167"/>
      <c r="G35" s="167"/>
      <c r="H35" s="167"/>
      <c r="I35" s="167"/>
      <c r="J35" s="167"/>
      <c r="K35" s="167"/>
      <c r="L35" s="167"/>
      <c r="M35" s="167"/>
      <c r="N35" s="167"/>
      <c r="O35" s="167"/>
      <c r="P35" s="167"/>
      <c r="Q35" s="167"/>
      <c r="R35" s="167"/>
      <c r="S35" s="167"/>
      <c r="T35" s="167"/>
      <c r="U35" s="167"/>
      <c r="V35" s="167"/>
      <c r="W35" s="167"/>
      <c r="X35" s="167"/>
      <c r="Y35" s="167"/>
      <c r="Z35" s="167"/>
      <c r="AA35" s="167"/>
      <c r="AB35" s="167"/>
      <c r="AC35" s="167"/>
      <c r="AD35" s="167"/>
      <c r="AE35" s="167"/>
      <c r="AF35" s="167"/>
      <c r="AG35" s="167"/>
      <c r="AH35" s="168"/>
    </row>
    <row r="36" spans="2:35">
      <c r="B36" s="169"/>
      <c r="C36" s="170" t="s">
        <v>296</v>
      </c>
      <c r="AH36" s="171"/>
    </row>
    <row r="37" spans="2:35">
      <c r="B37" s="169"/>
      <c r="AH37" s="171"/>
    </row>
    <row r="38" spans="2:35">
      <c r="B38" s="169"/>
      <c r="D38" s="70" t="s">
        <v>335</v>
      </c>
      <c r="G38" s="180"/>
      <c r="N38" s="76"/>
      <c r="O38" s="294">
        <v>185.9</v>
      </c>
      <c r="P38" s="266">
        <v>186.23</v>
      </c>
      <c r="Q38" s="266">
        <v>187.8</v>
      </c>
      <c r="R38" s="266">
        <v>191.27</v>
      </c>
      <c r="S38" s="266">
        <v>196.09</v>
      </c>
      <c r="T38" s="266">
        <v>208.39</v>
      </c>
      <c r="U38" s="266">
        <v>217.01</v>
      </c>
      <c r="V38" s="296">
        <v>217.15</v>
      </c>
      <c r="AH38" s="171"/>
    </row>
    <row r="39" spans="2:35">
      <c r="B39" s="169"/>
      <c r="D39" s="70" t="s">
        <v>329</v>
      </c>
      <c r="F39" s="271"/>
      <c r="G39" s="271"/>
      <c r="H39" s="271"/>
      <c r="I39" s="271"/>
      <c r="J39" s="271"/>
      <c r="N39" s="63"/>
      <c r="O39" s="294">
        <v>23.48225701357466</v>
      </c>
      <c r="P39" s="266">
        <v>23.276728241563053</v>
      </c>
      <c r="Q39" s="266">
        <v>25.407386503067482</v>
      </c>
      <c r="R39" s="266">
        <v>24.843324185248711</v>
      </c>
      <c r="S39" s="298">
        <v>25.348674300254451</v>
      </c>
      <c r="T39" s="298">
        <v>26.65123728813559</v>
      </c>
      <c r="U39" s="298">
        <v>27.812124434389141</v>
      </c>
      <c r="V39" s="298">
        <v>27.782617903930127</v>
      </c>
      <c r="W39" s="296">
        <v>28.631</v>
      </c>
      <c r="X39" s="295">
        <v>28.631</v>
      </c>
      <c r="Y39" s="266">
        <v>28.631</v>
      </c>
      <c r="Z39" s="266">
        <v>28.631</v>
      </c>
      <c r="AA39" s="266">
        <v>28.631</v>
      </c>
      <c r="AB39" s="296">
        <v>28.631</v>
      </c>
      <c r="AC39" s="266">
        <v>28.631</v>
      </c>
      <c r="AD39" s="266">
        <v>28.631</v>
      </c>
      <c r="AE39" s="266">
        <v>28.631</v>
      </c>
      <c r="AF39" s="266">
        <v>28.631</v>
      </c>
      <c r="AG39" s="296">
        <v>28.631</v>
      </c>
      <c r="AH39" s="171"/>
    </row>
    <row r="40" spans="2:35">
      <c r="B40" s="169"/>
      <c r="D40" s="70" t="s">
        <v>330</v>
      </c>
      <c r="F40" s="271"/>
      <c r="G40" s="271"/>
      <c r="H40" s="271"/>
      <c r="I40" s="271"/>
      <c r="J40" s="272"/>
      <c r="O40" s="273">
        <f>+O39/O38*10^3</f>
        <v>126.31660577501161</v>
      </c>
      <c r="P40" s="273">
        <f t="shared" ref="P40:V40" si="18">+P39/P38*10^3</f>
        <v>124.98914375537268</v>
      </c>
      <c r="Q40" s="273">
        <f t="shared" si="18"/>
        <v>135.28959799290459</v>
      </c>
      <c r="R40" s="273">
        <f t="shared" si="18"/>
        <v>129.88615143644435</v>
      </c>
      <c r="S40" s="273">
        <f t="shared" si="18"/>
        <v>129.27061196519176</v>
      </c>
      <c r="T40" s="273">
        <f t="shared" si="18"/>
        <v>127.89115258954648</v>
      </c>
      <c r="U40" s="273">
        <f t="shared" si="18"/>
        <v>128.16056603100844</v>
      </c>
      <c r="V40" s="273">
        <f t="shared" si="18"/>
        <v>127.94205804250578</v>
      </c>
      <c r="W40" s="274">
        <f t="shared" ref="W40:AF40" si="19">+W39/$V$38*10^3</f>
        <v>131.84895233709418</v>
      </c>
      <c r="X40" s="275">
        <f t="shared" si="19"/>
        <v>131.84895233709418</v>
      </c>
      <c r="Y40" s="275">
        <f t="shared" si="19"/>
        <v>131.84895233709418</v>
      </c>
      <c r="Z40" s="275">
        <f t="shared" si="19"/>
        <v>131.84895233709418</v>
      </c>
      <c r="AA40" s="275">
        <f t="shared" si="19"/>
        <v>131.84895233709418</v>
      </c>
      <c r="AB40" s="275">
        <f t="shared" si="19"/>
        <v>131.84895233709418</v>
      </c>
      <c r="AC40" s="275">
        <f t="shared" si="19"/>
        <v>131.84895233709418</v>
      </c>
      <c r="AD40" s="275">
        <f t="shared" si="19"/>
        <v>131.84895233709418</v>
      </c>
      <c r="AE40" s="275">
        <f t="shared" si="19"/>
        <v>131.84895233709418</v>
      </c>
      <c r="AF40" s="275">
        <f t="shared" si="19"/>
        <v>131.84895233709418</v>
      </c>
      <c r="AG40" s="275">
        <f>+AG39/$V$38*10^3</f>
        <v>131.84895233709418</v>
      </c>
      <c r="AH40" s="171"/>
      <c r="AI40" s="70" t="s">
        <v>1053</v>
      </c>
    </row>
    <row r="41" spans="2:35">
      <c r="B41" s="169"/>
      <c r="D41" s="70" t="s">
        <v>297</v>
      </c>
      <c r="F41" s="271"/>
      <c r="G41" s="271"/>
      <c r="H41" s="271"/>
      <c r="I41" s="271"/>
      <c r="J41" s="271"/>
      <c r="O41" s="271"/>
      <c r="P41" s="271">
        <f>+P40/O40-1</f>
        <v>-1.0509006408890742E-2</v>
      </c>
      <c r="Q41" s="271">
        <f>+Q40/P40-1</f>
        <v>8.2410791273935358E-2</v>
      </c>
      <c r="R41" s="271">
        <f>+R40/Q40-1</f>
        <v>-3.9939852262282804E-2</v>
      </c>
      <c r="S41" s="271">
        <f t="shared" ref="S41:AB41" si="20">+S40/R40-1</f>
        <v>-4.7390692883357843E-3</v>
      </c>
      <c r="T41" s="271">
        <f t="shared" si="20"/>
        <v>-1.0671098052948969E-2</v>
      </c>
      <c r="U41" s="271">
        <f t="shared" si="20"/>
        <v>2.1065838879927856E-3</v>
      </c>
      <c r="V41" s="271">
        <f t="shared" si="20"/>
        <v>-1.7049549270077291E-3</v>
      </c>
      <c r="W41" s="271">
        <f t="shared" si="20"/>
        <v>3.0536434651460942E-2</v>
      </c>
      <c r="X41" s="276">
        <f t="shared" si="20"/>
        <v>0</v>
      </c>
      <c r="Y41" s="276">
        <f t="shared" si="20"/>
        <v>0</v>
      </c>
      <c r="Z41" s="276">
        <f t="shared" si="20"/>
        <v>0</v>
      </c>
      <c r="AA41" s="276">
        <f t="shared" si="20"/>
        <v>0</v>
      </c>
      <c r="AB41" s="276">
        <f t="shared" si="20"/>
        <v>0</v>
      </c>
      <c r="AC41" s="276">
        <f>+AC40/AB40-1</f>
        <v>0</v>
      </c>
      <c r="AD41" s="276">
        <f>+AD40/AC40-1</f>
        <v>0</v>
      </c>
      <c r="AE41" s="276">
        <f>+AE40/AD40-1</f>
        <v>0</v>
      </c>
      <c r="AF41" s="276">
        <f>+AF40/AE40-1</f>
        <v>0</v>
      </c>
      <c r="AG41" s="276">
        <f>+AG40/AF40-1</f>
        <v>0</v>
      </c>
      <c r="AH41" s="171"/>
      <c r="AI41" s="70" t="s">
        <v>1053</v>
      </c>
    </row>
    <row r="42" spans="2:35">
      <c r="B42" s="169"/>
      <c r="F42" s="277"/>
      <c r="G42" s="277"/>
      <c r="H42" s="271"/>
      <c r="I42" s="271"/>
      <c r="J42" s="271"/>
      <c r="O42" s="276"/>
      <c r="P42" s="276"/>
      <c r="Q42" s="276"/>
      <c r="R42" s="276"/>
      <c r="S42" s="276"/>
      <c r="T42" s="276"/>
      <c r="U42" s="276"/>
      <c r="V42" s="276"/>
      <c r="W42" s="271"/>
      <c r="AB42" s="271"/>
      <c r="AH42" s="171"/>
    </row>
    <row r="43" spans="2:35">
      <c r="B43" s="169"/>
      <c r="D43" s="70" t="s">
        <v>371</v>
      </c>
      <c r="F43" s="278"/>
      <c r="G43" s="279"/>
      <c r="H43" s="280"/>
      <c r="I43" s="280"/>
      <c r="J43" s="280"/>
      <c r="W43" s="294"/>
      <c r="X43" s="295">
        <v>15</v>
      </c>
      <c r="Y43" s="266">
        <v>3</v>
      </c>
      <c r="Z43" s="266">
        <v>0</v>
      </c>
      <c r="AA43" s="266">
        <v>1</v>
      </c>
      <c r="AB43" s="296">
        <v>0</v>
      </c>
      <c r="AC43" s="266"/>
      <c r="AD43" s="266"/>
      <c r="AE43" s="266"/>
      <c r="AF43" s="266"/>
      <c r="AG43" s="296"/>
      <c r="AH43" s="171"/>
    </row>
    <row r="44" spans="2:35">
      <c r="B44" s="169"/>
      <c r="D44" s="70" t="s">
        <v>337</v>
      </c>
      <c r="F44" s="278"/>
      <c r="G44" s="278"/>
      <c r="H44" s="280"/>
      <c r="I44" s="280"/>
      <c r="J44" s="280"/>
      <c r="W44" s="294"/>
      <c r="X44" s="295">
        <v>1.438561</v>
      </c>
      <c r="Y44" s="266">
        <v>1.7801960000000001</v>
      </c>
      <c r="Z44" s="266">
        <v>1.7801960000000001</v>
      </c>
      <c r="AA44" s="266">
        <v>1.8704390000000002</v>
      </c>
      <c r="AB44" s="296">
        <v>1.8704390000000002</v>
      </c>
      <c r="AC44" s="266"/>
      <c r="AD44" s="266"/>
      <c r="AE44" s="266"/>
      <c r="AF44" s="266"/>
      <c r="AG44" s="296"/>
      <c r="AH44" s="171"/>
    </row>
    <row r="45" spans="2:35">
      <c r="B45" s="169"/>
      <c r="F45" s="271"/>
      <c r="G45" s="271"/>
      <c r="H45" s="271"/>
      <c r="I45" s="271"/>
      <c r="J45" s="271"/>
      <c r="O45" s="275"/>
      <c r="P45" s="275"/>
      <c r="Q45" s="275"/>
      <c r="R45" s="275"/>
      <c r="S45" s="275"/>
      <c r="T45" s="275"/>
      <c r="U45" s="275"/>
      <c r="V45" s="275"/>
      <c r="W45" s="273"/>
      <c r="X45" s="273"/>
      <c r="Y45" s="273"/>
      <c r="Z45" s="273"/>
      <c r="AA45" s="273"/>
      <c r="AB45" s="273"/>
      <c r="AC45" s="273"/>
      <c r="AD45" s="273"/>
      <c r="AE45" s="273"/>
      <c r="AF45" s="273"/>
      <c r="AG45" s="273"/>
      <c r="AH45" s="171"/>
    </row>
    <row r="46" spans="2:35">
      <c r="B46" s="169"/>
      <c r="F46" s="271"/>
      <c r="G46" s="271"/>
      <c r="H46" s="271"/>
      <c r="I46" s="271"/>
      <c r="J46" s="271"/>
      <c r="O46" s="276"/>
      <c r="P46" s="276"/>
      <c r="Q46" s="276"/>
      <c r="R46" s="276"/>
      <c r="S46" s="276"/>
      <c r="T46" s="276"/>
      <c r="U46" s="276"/>
      <c r="V46" s="276"/>
      <c r="W46" s="271"/>
      <c r="X46" s="271"/>
      <c r="Y46" s="271"/>
      <c r="Z46" s="271"/>
      <c r="AA46" s="271"/>
      <c r="AB46" s="271"/>
      <c r="AC46" s="271"/>
      <c r="AD46" s="271"/>
      <c r="AE46" s="271"/>
      <c r="AF46" s="271"/>
      <c r="AG46" s="271"/>
      <c r="AH46" s="171"/>
    </row>
    <row r="47" spans="2:35">
      <c r="B47" s="169"/>
      <c r="F47" s="271"/>
      <c r="G47" s="271"/>
      <c r="H47" s="271"/>
      <c r="I47" s="271"/>
      <c r="J47" s="271"/>
      <c r="O47" s="271"/>
      <c r="P47" s="271"/>
      <c r="Q47" s="271"/>
      <c r="R47" s="271"/>
      <c r="S47" s="271"/>
      <c r="T47" s="271"/>
      <c r="U47" s="271"/>
      <c r="V47" s="271"/>
      <c r="W47" s="271"/>
      <c r="AB47" s="271"/>
      <c r="AH47" s="171"/>
    </row>
    <row r="48" spans="2:35">
      <c r="B48" s="169"/>
      <c r="D48" s="70" t="s">
        <v>299</v>
      </c>
      <c r="F48" s="271"/>
      <c r="G48" s="271"/>
      <c r="H48" s="271"/>
      <c r="I48" s="271"/>
      <c r="J48" s="180"/>
      <c r="O48" s="281">
        <f t="shared" ref="O48:Q49" si="21">+O38</f>
        <v>185.9</v>
      </c>
      <c r="P48" s="281">
        <f t="shared" si="21"/>
        <v>186.23</v>
      </c>
      <c r="Q48" s="281">
        <f t="shared" si="21"/>
        <v>187.8</v>
      </c>
      <c r="R48" s="281">
        <f t="shared" ref="R48:V49" si="22">+R38</f>
        <v>191.27</v>
      </c>
      <c r="S48" s="281">
        <f t="shared" si="22"/>
        <v>196.09</v>
      </c>
      <c r="T48" s="281">
        <f t="shared" si="22"/>
        <v>208.39</v>
      </c>
      <c r="U48" s="281">
        <f t="shared" si="22"/>
        <v>217.01</v>
      </c>
      <c r="V48" s="281">
        <f t="shared" si="22"/>
        <v>217.15</v>
      </c>
      <c r="W48" s="173">
        <f>+$V$38+SUM($W43:W43)</f>
        <v>217.15</v>
      </c>
      <c r="X48" s="281">
        <f>+$V$38+SUM($W43:X43)</f>
        <v>232.15</v>
      </c>
      <c r="Y48" s="281">
        <f>+$V$38+SUM($W43:Y43)</f>
        <v>235.15</v>
      </c>
      <c r="Z48" s="281">
        <f>+$V$38+SUM($W43:Z43)</f>
        <v>235.15</v>
      </c>
      <c r="AA48" s="281">
        <f>+$V$38+SUM($W43:AA43)</f>
        <v>236.15</v>
      </c>
      <c r="AB48" s="281">
        <f>+$V$38+SUM($W43:AB43)</f>
        <v>236.15</v>
      </c>
      <c r="AC48" s="281">
        <f>+$V$38+SUM($W43:AC43)</f>
        <v>236.15</v>
      </c>
      <c r="AD48" s="281">
        <f>+$V$38+SUM($W43:AD43)</f>
        <v>236.15</v>
      </c>
      <c r="AE48" s="281">
        <f>+$V$38+SUM($W43:AE43)</f>
        <v>236.15</v>
      </c>
      <c r="AF48" s="281">
        <f>+$V$38+SUM($W43:AF43)</f>
        <v>236.15</v>
      </c>
      <c r="AG48" s="281">
        <f>+$V$38+SUM($W43:AG43)</f>
        <v>236.15</v>
      </c>
      <c r="AH48" s="171"/>
    </row>
    <row r="49" spans="2:35">
      <c r="B49" s="169"/>
      <c r="D49" s="70" t="s">
        <v>338</v>
      </c>
      <c r="F49" s="271"/>
      <c r="G49" s="271"/>
      <c r="H49" s="271"/>
      <c r="I49" s="271"/>
      <c r="J49" s="180"/>
      <c r="O49" s="281">
        <f t="shared" si="21"/>
        <v>23.48225701357466</v>
      </c>
      <c r="P49" s="281">
        <f t="shared" si="21"/>
        <v>23.276728241563053</v>
      </c>
      <c r="Q49" s="281">
        <f t="shared" si="21"/>
        <v>25.407386503067482</v>
      </c>
      <c r="R49" s="281">
        <f t="shared" si="22"/>
        <v>24.843324185248711</v>
      </c>
      <c r="S49" s="281">
        <f t="shared" si="22"/>
        <v>25.348674300254451</v>
      </c>
      <c r="T49" s="281">
        <f t="shared" si="22"/>
        <v>26.65123728813559</v>
      </c>
      <c r="U49" s="281">
        <f t="shared" si="22"/>
        <v>27.812124434389141</v>
      </c>
      <c r="V49" s="281">
        <f>+V39</f>
        <v>27.782617903930127</v>
      </c>
      <c r="W49" s="173">
        <f>+W44+W39</f>
        <v>28.631</v>
      </c>
      <c r="X49" s="281">
        <f t="shared" ref="X49:AG49" si="23">+X44+X39</f>
        <v>30.069561</v>
      </c>
      <c r="Y49" s="281">
        <f t="shared" si="23"/>
        <v>30.411196</v>
      </c>
      <c r="Z49" s="281">
        <f>+Z44+Z39</f>
        <v>30.411196</v>
      </c>
      <c r="AA49" s="281">
        <f t="shared" si="23"/>
        <v>30.501439000000001</v>
      </c>
      <c r="AB49" s="281">
        <f t="shared" si="23"/>
        <v>30.501439000000001</v>
      </c>
      <c r="AC49" s="281">
        <f t="shared" si="23"/>
        <v>28.631</v>
      </c>
      <c r="AD49" s="281">
        <f t="shared" si="23"/>
        <v>28.631</v>
      </c>
      <c r="AE49" s="281">
        <f t="shared" si="23"/>
        <v>28.631</v>
      </c>
      <c r="AF49" s="281">
        <f t="shared" si="23"/>
        <v>28.631</v>
      </c>
      <c r="AG49" s="281">
        <f t="shared" si="23"/>
        <v>28.631</v>
      </c>
      <c r="AH49" s="171"/>
    </row>
    <row r="50" spans="2:35">
      <c r="B50" s="169"/>
      <c r="D50" s="70" t="s">
        <v>298</v>
      </c>
      <c r="F50" s="278"/>
      <c r="G50" s="278"/>
      <c r="H50" s="279"/>
      <c r="I50" s="278"/>
      <c r="J50" s="282"/>
      <c r="O50" s="283">
        <f>+O49/O48</f>
        <v>0.12631660577501161</v>
      </c>
      <c r="P50" s="283">
        <f>+P49/P48</f>
        <v>0.12498914375537268</v>
      </c>
      <c r="Q50" s="283">
        <f>+Q49/Q48</f>
        <v>0.13528959799290458</v>
      </c>
      <c r="R50" s="283">
        <f t="shared" ref="R50:AG50" si="24">+R49/R48</f>
        <v>0.12988615143644436</v>
      </c>
      <c r="S50" s="283">
        <f t="shared" si="24"/>
        <v>0.12927061196519177</v>
      </c>
      <c r="T50" s="283">
        <f t="shared" si="24"/>
        <v>0.12789115258954648</v>
      </c>
      <c r="U50" s="283">
        <f t="shared" si="24"/>
        <v>0.12816056603100845</v>
      </c>
      <c r="V50" s="283">
        <f t="shared" si="24"/>
        <v>0.12794205804250577</v>
      </c>
      <c r="W50" s="283">
        <f t="shared" si="24"/>
        <v>0.13184895233709418</v>
      </c>
      <c r="X50" s="283">
        <f t="shared" si="24"/>
        <v>0.12952643118673271</v>
      </c>
      <c r="Y50" s="283">
        <f t="shared" si="24"/>
        <v>0.12932679566234317</v>
      </c>
      <c r="Z50" s="283">
        <f t="shared" si="24"/>
        <v>0.12932679566234317</v>
      </c>
      <c r="AA50" s="283">
        <f t="shared" si="24"/>
        <v>0.12916129155197967</v>
      </c>
      <c r="AB50" s="283">
        <f t="shared" si="24"/>
        <v>0.12916129155197967</v>
      </c>
      <c r="AC50" s="283">
        <f t="shared" si="24"/>
        <v>0.12124073681981791</v>
      </c>
      <c r="AD50" s="283">
        <f t="shared" si="24"/>
        <v>0.12124073681981791</v>
      </c>
      <c r="AE50" s="283">
        <f t="shared" si="24"/>
        <v>0.12124073681981791</v>
      </c>
      <c r="AF50" s="283">
        <f t="shared" si="24"/>
        <v>0.12124073681981791</v>
      </c>
      <c r="AG50" s="283">
        <f t="shared" si="24"/>
        <v>0.12124073681981791</v>
      </c>
      <c r="AH50" s="171"/>
      <c r="AI50" s="70" t="s">
        <v>1053</v>
      </c>
    </row>
    <row r="51" spans="2:35">
      <c r="B51" s="169"/>
      <c r="D51" s="70" t="s">
        <v>300</v>
      </c>
      <c r="E51" s="104"/>
      <c r="F51" s="284"/>
      <c r="G51" s="284"/>
      <c r="H51" s="284"/>
      <c r="I51" s="284"/>
      <c r="J51" s="284"/>
      <c r="O51" s="276" t="e">
        <f t="shared" ref="O51:Q52" si="25">+O49/N49-1</f>
        <v>#DIV/0!</v>
      </c>
      <c r="P51" s="276">
        <f t="shared" si="25"/>
        <v>-8.752513520859373E-3</v>
      </c>
      <c r="Q51" s="276">
        <f t="shared" si="25"/>
        <v>9.1535985615878612E-2</v>
      </c>
      <c r="R51" s="276">
        <f t="shared" ref="R51:AB52" si="26">+R49/Q49-1</f>
        <v>-2.2200721736990503E-2</v>
      </c>
      <c r="S51" s="276">
        <f t="shared" si="26"/>
        <v>2.0341485351859756E-2</v>
      </c>
      <c r="T51" s="276">
        <f t="shared" si="26"/>
        <v>5.1385842606690657E-2</v>
      </c>
      <c r="U51" s="276">
        <f t="shared" si="26"/>
        <v>4.3558470989650599E-2</v>
      </c>
      <c r="V51" s="276">
        <f t="shared" si="26"/>
        <v>-1.0609232864832174E-3</v>
      </c>
      <c r="W51" s="276">
        <f t="shared" ref="W51:AG51" si="27">+W49/V49-1</f>
        <v>3.0536434651460942E-2</v>
      </c>
      <c r="X51" s="276">
        <f t="shared" si="27"/>
        <v>5.0244874436799369E-2</v>
      </c>
      <c r="Y51" s="276">
        <f t="shared" si="27"/>
        <v>1.1361489447750728E-2</v>
      </c>
      <c r="Z51" s="276">
        <f t="shared" si="27"/>
        <v>0</v>
      </c>
      <c r="AA51" s="276">
        <f t="shared" si="27"/>
        <v>2.9674268647639224E-3</v>
      </c>
      <c r="AB51" s="276">
        <f t="shared" si="27"/>
        <v>0</v>
      </c>
      <c r="AC51" s="276">
        <f t="shared" si="27"/>
        <v>-6.1322975614363617E-2</v>
      </c>
      <c r="AD51" s="276">
        <f t="shared" si="27"/>
        <v>0</v>
      </c>
      <c r="AE51" s="276">
        <f t="shared" si="27"/>
        <v>0</v>
      </c>
      <c r="AF51" s="276">
        <f t="shared" si="27"/>
        <v>0</v>
      </c>
      <c r="AG51" s="276">
        <f t="shared" si="27"/>
        <v>0</v>
      </c>
      <c r="AH51" s="171"/>
      <c r="AI51" s="70" t="s">
        <v>1053</v>
      </c>
    </row>
    <row r="52" spans="2:35">
      <c r="B52" s="169"/>
      <c r="D52" s="70" t="s">
        <v>336</v>
      </c>
      <c r="F52" s="280"/>
      <c r="G52" s="280"/>
      <c r="H52" s="280"/>
      <c r="I52" s="280"/>
      <c r="J52" s="280"/>
      <c r="O52" s="276" t="e">
        <f t="shared" si="25"/>
        <v>#DIV/0!</v>
      </c>
      <c r="P52" s="276">
        <f t="shared" si="25"/>
        <v>-1.0509006408890853E-2</v>
      </c>
      <c r="Q52" s="276">
        <f t="shared" si="25"/>
        <v>8.2410791273935136E-2</v>
      </c>
      <c r="R52" s="276">
        <f t="shared" si="26"/>
        <v>-3.9939852262282582E-2</v>
      </c>
      <c r="S52" s="276">
        <f t="shared" si="26"/>
        <v>-4.7390692883357843E-3</v>
      </c>
      <c r="T52" s="276">
        <f t="shared" si="26"/>
        <v>-1.067109805294908E-2</v>
      </c>
      <c r="U52" s="276">
        <f t="shared" si="26"/>
        <v>2.1065838879927856E-3</v>
      </c>
      <c r="V52" s="276">
        <f t="shared" si="26"/>
        <v>-1.7049549270078401E-3</v>
      </c>
      <c r="W52" s="276">
        <f t="shared" si="26"/>
        <v>3.0536434651460942E-2</v>
      </c>
      <c r="X52" s="276">
        <f t="shared" si="26"/>
        <v>-1.7615014068701473E-2</v>
      </c>
      <c r="Y52" s="276">
        <f t="shared" si="26"/>
        <v>-1.5412724843915093E-3</v>
      </c>
      <c r="Z52" s="276">
        <f t="shared" si="26"/>
        <v>0</v>
      </c>
      <c r="AA52" s="276">
        <f t="shared" si="26"/>
        <v>-1.2797356457792119E-3</v>
      </c>
      <c r="AB52" s="276">
        <f t="shared" si="26"/>
        <v>0</v>
      </c>
      <c r="AC52" s="276">
        <f>+AC50/AB50-1</f>
        <v>-6.1322975614363617E-2</v>
      </c>
      <c r="AD52" s="276">
        <f>+AD50/AC50-1</f>
        <v>0</v>
      </c>
      <c r="AE52" s="276">
        <f>+AE50/AD50-1</f>
        <v>0</v>
      </c>
      <c r="AF52" s="276">
        <f>+AF50/AE50-1</f>
        <v>0</v>
      </c>
      <c r="AG52" s="276">
        <f>+AG50/AF50-1</f>
        <v>0</v>
      </c>
      <c r="AH52" s="171"/>
      <c r="AI52" s="70" t="s">
        <v>1053</v>
      </c>
    </row>
    <row r="53" spans="2:35">
      <c r="B53" s="169"/>
      <c r="H53" s="180"/>
      <c r="I53" s="180"/>
      <c r="J53" s="180"/>
      <c r="O53" s="180"/>
      <c r="P53" s="180"/>
      <c r="Q53" s="180"/>
      <c r="R53" s="180"/>
      <c r="S53" s="180"/>
      <c r="T53" s="180"/>
      <c r="U53" s="180"/>
      <c r="V53" s="180"/>
      <c r="W53" s="180"/>
      <c r="AB53" s="180"/>
      <c r="AH53" s="171"/>
    </row>
    <row r="54" spans="2:35" ht="12.75" thickBot="1">
      <c r="B54" s="182"/>
      <c r="C54" s="183"/>
      <c r="D54" s="183"/>
      <c r="E54" s="183"/>
      <c r="F54" s="183"/>
      <c r="G54" s="183"/>
      <c r="H54" s="183"/>
      <c r="I54" s="184"/>
      <c r="J54" s="184"/>
      <c r="K54" s="183"/>
      <c r="L54" s="183"/>
      <c r="M54" s="183"/>
      <c r="N54" s="183"/>
      <c r="O54" s="184"/>
      <c r="P54" s="184"/>
      <c r="Q54" s="184"/>
      <c r="R54" s="184"/>
      <c r="S54" s="184"/>
      <c r="T54" s="184"/>
      <c r="U54" s="184"/>
      <c r="V54" s="184"/>
      <c r="W54" s="184"/>
      <c r="X54" s="183"/>
      <c r="Y54" s="184"/>
      <c r="Z54" s="184"/>
      <c r="AA54" s="184"/>
      <c r="AB54" s="184"/>
      <c r="AC54" s="183"/>
      <c r="AD54" s="184"/>
      <c r="AE54" s="184"/>
      <c r="AF54" s="184"/>
      <c r="AG54" s="184"/>
      <c r="AH54" s="186"/>
    </row>
    <row r="56" spans="2:35" ht="12.75" thickBot="1"/>
    <row r="57" spans="2:35">
      <c r="B57" s="166"/>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8"/>
    </row>
    <row r="58" spans="2:35">
      <c r="B58" s="169"/>
      <c r="C58" s="170" t="s">
        <v>301</v>
      </c>
      <c r="AH58" s="171"/>
    </row>
    <row r="59" spans="2:35">
      <c r="B59" s="169"/>
      <c r="AH59" s="171"/>
    </row>
    <row r="60" spans="2:35">
      <c r="B60" s="169"/>
      <c r="D60" s="104" t="s">
        <v>302</v>
      </c>
      <c r="G60" s="180"/>
      <c r="H60" s="180"/>
      <c r="I60" s="180"/>
      <c r="J60" s="180"/>
      <c r="N60" s="180"/>
      <c r="AH60" s="171"/>
    </row>
    <row r="61" spans="2:35">
      <c r="B61" s="169"/>
      <c r="D61" s="104"/>
      <c r="G61" s="180"/>
      <c r="H61" s="180"/>
      <c r="I61" s="180"/>
      <c r="J61" s="180"/>
      <c r="N61" s="180"/>
      <c r="AH61" s="171"/>
    </row>
    <row r="62" spans="2:35">
      <c r="B62" s="169"/>
      <c r="D62" s="285" t="s">
        <v>308</v>
      </c>
      <c r="G62" s="180"/>
      <c r="H62" s="180"/>
      <c r="I62" s="180"/>
      <c r="J62" s="180"/>
      <c r="N62" s="180"/>
      <c r="AH62" s="171"/>
    </row>
    <row r="63" spans="2:35">
      <c r="B63" s="169"/>
      <c r="D63" s="104"/>
      <c r="G63" s="180"/>
      <c r="H63" s="180"/>
      <c r="I63" s="180"/>
      <c r="J63" s="180"/>
      <c r="N63" s="180"/>
      <c r="AH63" s="171"/>
    </row>
    <row r="64" spans="2:35">
      <c r="B64" s="169"/>
      <c r="D64" s="104" t="s">
        <v>303</v>
      </c>
      <c r="F64" s="271"/>
      <c r="G64" s="271"/>
      <c r="H64" s="271"/>
      <c r="I64" s="271"/>
      <c r="J64" s="271"/>
      <c r="N64" s="271"/>
      <c r="O64" s="271"/>
      <c r="P64" s="271"/>
      <c r="Q64" s="271"/>
      <c r="R64" s="271"/>
      <c r="S64" s="271"/>
      <c r="T64" s="271"/>
      <c r="U64" s="271"/>
      <c r="V64" s="271"/>
      <c r="W64" s="271"/>
      <c r="X64" s="271"/>
      <c r="Y64" s="271"/>
      <c r="Z64" s="271"/>
      <c r="AA64" s="271"/>
      <c r="AB64" s="271"/>
      <c r="AC64" s="271"/>
      <c r="AD64" s="271"/>
      <c r="AE64" s="271"/>
      <c r="AF64" s="271"/>
      <c r="AH64" s="171"/>
    </row>
    <row r="65" spans="2:35">
      <c r="B65" s="169"/>
      <c r="D65" s="70" t="s">
        <v>304</v>
      </c>
      <c r="F65" s="271"/>
      <c r="G65" s="271"/>
      <c r="H65" s="271"/>
      <c r="I65" s="271"/>
      <c r="N65" s="286"/>
      <c r="O65" s="294">
        <v>17588541</v>
      </c>
      <c r="P65" s="300">
        <v>16949101</v>
      </c>
      <c r="Q65" s="300">
        <v>16585016</v>
      </c>
      <c r="R65" s="300">
        <v>18630688</v>
      </c>
      <c r="S65" s="300">
        <v>17929833</v>
      </c>
      <c r="T65" s="300">
        <v>19658518</v>
      </c>
      <c r="U65" s="300">
        <v>18580702</v>
      </c>
      <c r="V65" s="300">
        <v>18801206</v>
      </c>
      <c r="W65" s="301">
        <v>18230908.907176502</v>
      </c>
      <c r="X65" s="300">
        <v>16953604.897935767</v>
      </c>
      <c r="Y65" s="300">
        <v>16428363.414094185</v>
      </c>
      <c r="Z65" s="300">
        <v>16655205.90307829</v>
      </c>
      <c r="AA65" s="300">
        <v>16884154.022678025</v>
      </c>
      <c r="AB65" s="300">
        <v>17115229.643170916</v>
      </c>
      <c r="AC65" s="299">
        <v>17348454.8494674</v>
      </c>
      <c r="AD65" s="300">
        <v>17583851.943277527</v>
      </c>
      <c r="AE65" s="300">
        <v>17821443.445299175</v>
      </c>
      <c r="AF65" s="300">
        <v>18061252.097428098</v>
      </c>
      <c r="AG65" s="301">
        <v>18303300.864989929</v>
      </c>
      <c r="AH65" s="171"/>
    </row>
    <row r="66" spans="2:35">
      <c r="B66" s="169"/>
      <c r="D66" s="70" t="s">
        <v>331</v>
      </c>
      <c r="F66" s="271"/>
      <c r="G66" s="271"/>
      <c r="H66" s="271"/>
      <c r="I66" s="271"/>
      <c r="N66" s="287"/>
      <c r="O66" s="1740">
        <v>4.520226244343891</v>
      </c>
      <c r="P66" s="303">
        <v>4.1410284191829483</v>
      </c>
      <c r="Q66" s="303">
        <v>4.4762576687116562</v>
      </c>
      <c r="R66" s="303">
        <v>4.1003310463121778</v>
      </c>
      <c r="S66" s="303">
        <v>4.6422646310432567</v>
      </c>
      <c r="T66" s="303">
        <v>5.3838474576271178</v>
      </c>
      <c r="U66" s="303">
        <v>4.1223190045248863</v>
      </c>
      <c r="V66" s="303">
        <v>4.7022882096069862</v>
      </c>
      <c r="W66" s="304">
        <v>3.827</v>
      </c>
      <c r="X66" s="303">
        <v>3.5648464156393094</v>
      </c>
      <c r="Y66" s="303">
        <v>3.4789276924571837</v>
      </c>
      <c r="Z66" s="303">
        <v>3.6144931157422855</v>
      </c>
      <c r="AA66" s="303">
        <v>3.8414375673648204</v>
      </c>
      <c r="AB66" s="303">
        <v>4.1096756550352227</v>
      </c>
      <c r="AC66" s="302">
        <v>4.6515264968663121</v>
      </c>
      <c r="AD66" s="303">
        <v>5.109290973016277</v>
      </c>
      <c r="AE66" s="303">
        <v>5.2151722452481231</v>
      </c>
      <c r="AF66" s="303">
        <v>5.3234581425350145</v>
      </c>
      <c r="AG66" s="304">
        <v>5.4342136913848504</v>
      </c>
      <c r="AH66" s="171"/>
    </row>
    <row r="67" spans="2:35">
      <c r="B67" s="169"/>
      <c r="D67" s="104" t="s">
        <v>332</v>
      </c>
      <c r="F67" s="271"/>
      <c r="G67" s="271"/>
      <c r="H67" s="271"/>
      <c r="I67" s="271"/>
      <c r="J67" s="288"/>
      <c r="N67" s="289"/>
      <c r="O67" s="289">
        <f>+O66/O65*100*10^6</f>
        <v>25.699836298780504</v>
      </c>
      <c r="P67" s="289">
        <f>+P66/P65*100*10^6</f>
        <v>24.43214197132313</v>
      </c>
      <c r="Q67" s="289">
        <f>+Q66/Q65*100*10^6</f>
        <v>26.989769974968105</v>
      </c>
      <c r="R67" s="289">
        <f t="shared" ref="R67:AB67" si="28">+R66/R65*100*10^6</f>
        <v>22.008478947810072</v>
      </c>
      <c r="S67" s="289">
        <f t="shared" si="28"/>
        <v>25.891287615691997</v>
      </c>
      <c r="T67" s="289">
        <f t="shared" si="28"/>
        <v>27.386842983927462</v>
      </c>
      <c r="U67" s="289">
        <f t="shared" si="28"/>
        <v>22.186023996966782</v>
      </c>
      <c r="V67" s="289">
        <f t="shared" si="28"/>
        <v>25.010566926435391</v>
      </c>
      <c r="W67" s="289">
        <f t="shared" si="28"/>
        <v>20.99182229194026</v>
      </c>
      <c r="X67" s="289">
        <f t="shared" si="28"/>
        <v>21.027070272667242</v>
      </c>
      <c r="Y67" s="289">
        <f t="shared" si="28"/>
        <v>21.176349735924088</v>
      </c>
      <c r="Z67" s="289">
        <f t="shared" si="28"/>
        <v>21.701881902728317</v>
      </c>
      <c r="AA67" s="289">
        <f t="shared" si="28"/>
        <v>22.751732554708852</v>
      </c>
      <c r="AB67" s="289">
        <f t="shared" si="28"/>
        <v>24.011805513080038</v>
      </c>
      <c r="AC67" s="289">
        <f>+AC66/AC65*100*10^6</f>
        <v>26.812338834943066</v>
      </c>
      <c r="AD67" s="289">
        <f>+AD66/AD65*100*10^6</f>
        <v>29.056721982748542</v>
      </c>
      <c r="AE67" s="289">
        <f>+AE66/AE65*100*10^6</f>
        <v>29.263467133038247</v>
      </c>
      <c r="AF67" s="289">
        <f>+AF66/AF65*100*10^6</f>
        <v>29.47446895607569</v>
      </c>
      <c r="AG67" s="289">
        <f>+AG66/AG65*100*10^6</f>
        <v>29.689801481541895</v>
      </c>
      <c r="AH67" s="171"/>
      <c r="AI67" s="70" t="s">
        <v>1053</v>
      </c>
    </row>
    <row r="68" spans="2:35">
      <c r="B68" s="169"/>
      <c r="D68" s="70" t="s">
        <v>307</v>
      </c>
      <c r="F68" s="271"/>
      <c r="G68" s="271"/>
      <c r="H68" s="271"/>
      <c r="I68" s="271"/>
      <c r="J68" s="180"/>
      <c r="N68" s="271"/>
      <c r="O68" s="271"/>
      <c r="P68" s="271">
        <f>+P67/O67-1</f>
        <v>-4.9326941725209683E-2</v>
      </c>
      <c r="Q68" s="271">
        <f>+Q67/P67-1</f>
        <v>0.10468292164669624</v>
      </c>
      <c r="R68" s="271">
        <f>+R67/Q67-1</f>
        <v>-0.18456218899894195</v>
      </c>
      <c r="S68" s="271">
        <f>+S67/R67-1</f>
        <v>0.17642330835717646</v>
      </c>
      <c r="T68" s="271">
        <f t="shared" ref="T68:AB68" si="29">+T67/S67-1</f>
        <v>5.776288110634753E-2</v>
      </c>
      <c r="U68" s="271">
        <f t="shared" si="29"/>
        <v>-0.18990209970579264</v>
      </c>
      <c r="V68" s="271">
        <f t="shared" si="29"/>
        <v>0.12731181260124735</v>
      </c>
      <c r="W68" s="271">
        <f t="shared" si="29"/>
        <v>-0.16068186884030378</v>
      </c>
      <c r="X68" s="271">
        <f t="shared" si="29"/>
        <v>1.6791291502364913E-3</v>
      </c>
      <c r="Y68" s="271">
        <f t="shared" si="29"/>
        <v>7.0993943198494058E-3</v>
      </c>
      <c r="Z68" s="271">
        <f t="shared" si="29"/>
        <v>2.4816938393905641E-2</v>
      </c>
      <c r="AA68" s="271">
        <f t="shared" si="29"/>
        <v>4.8376019033102846E-2</v>
      </c>
      <c r="AB68" s="271">
        <f t="shared" si="29"/>
        <v>5.5383604538301157E-2</v>
      </c>
      <c r="AC68" s="271">
        <f>+AC67/AB67-1</f>
        <v>0.116631517789759</v>
      </c>
      <c r="AD68" s="271">
        <f>+AD67/AC67-1</f>
        <v>8.3707100735296303E-2</v>
      </c>
      <c r="AE68" s="271">
        <f>+AE67/AD67-1</f>
        <v>7.1152262258782351E-3</v>
      </c>
      <c r="AF68" s="271">
        <f>+AF67/AE67-1</f>
        <v>7.210417756658094E-3</v>
      </c>
      <c r="AG68" s="271">
        <f>+AG67/AF67-1</f>
        <v>7.3057304539432266E-3</v>
      </c>
      <c r="AH68" s="171"/>
      <c r="AI68" s="70" t="s">
        <v>1053</v>
      </c>
    </row>
    <row r="69" spans="2:35">
      <c r="B69" s="169"/>
      <c r="F69" s="271"/>
      <c r="G69" s="271"/>
      <c r="H69" s="271"/>
      <c r="I69" s="271"/>
      <c r="J69" s="271"/>
      <c r="N69" s="271"/>
      <c r="O69" s="271"/>
      <c r="P69" s="271"/>
      <c r="Q69" s="271"/>
      <c r="R69" s="271"/>
      <c r="S69" s="271"/>
      <c r="T69" s="271"/>
      <c r="U69" s="271"/>
      <c r="V69" s="271"/>
      <c r="W69" s="271"/>
      <c r="X69" s="271"/>
      <c r="Y69" s="271"/>
      <c r="Z69" s="271"/>
      <c r="AA69" s="271"/>
      <c r="AB69" s="271"/>
      <c r="AC69" s="271"/>
      <c r="AD69" s="271"/>
      <c r="AE69" s="271"/>
      <c r="AF69" s="271"/>
      <c r="AG69" s="271"/>
      <c r="AH69" s="171"/>
    </row>
    <row r="70" spans="2:35">
      <c r="B70" s="169"/>
      <c r="D70" s="104" t="s">
        <v>305</v>
      </c>
      <c r="F70" s="271"/>
      <c r="G70" s="271"/>
      <c r="H70" s="271"/>
      <c r="I70" s="271"/>
      <c r="J70" s="271"/>
      <c r="N70" s="271"/>
      <c r="O70" s="271"/>
      <c r="P70" s="271"/>
      <c r="Q70" s="271"/>
      <c r="R70" s="271"/>
      <c r="S70" s="271"/>
      <c r="T70" s="271"/>
      <c r="U70" s="271"/>
      <c r="V70" s="271"/>
      <c r="W70" s="271"/>
      <c r="X70" s="271"/>
      <c r="Y70" s="271"/>
      <c r="Z70" s="271"/>
      <c r="AA70" s="271"/>
      <c r="AB70" s="271"/>
      <c r="AC70" s="271"/>
      <c r="AD70" s="271"/>
      <c r="AE70" s="271"/>
      <c r="AF70" s="271"/>
      <c r="AG70" s="271"/>
      <c r="AH70" s="171"/>
    </row>
    <row r="71" spans="2:35">
      <c r="B71" s="169"/>
      <c r="D71" s="70" t="s">
        <v>304</v>
      </c>
      <c r="F71" s="271"/>
      <c r="G71" s="271"/>
      <c r="H71" s="271"/>
      <c r="I71" s="271"/>
      <c r="N71" s="286"/>
      <c r="O71" s="294"/>
      <c r="P71" s="266"/>
      <c r="Q71" s="266"/>
      <c r="R71" s="266"/>
      <c r="S71" s="300"/>
      <c r="T71" s="300"/>
      <c r="U71" s="300"/>
      <c r="V71" s="300"/>
      <c r="W71" s="301"/>
      <c r="X71" s="300"/>
      <c r="Y71" s="300"/>
      <c r="Z71" s="300"/>
      <c r="AA71" s="300"/>
      <c r="AB71" s="300"/>
      <c r="AC71" s="299"/>
      <c r="AD71" s="300"/>
      <c r="AE71" s="300"/>
      <c r="AF71" s="300"/>
      <c r="AG71" s="301"/>
      <c r="AH71" s="171"/>
    </row>
    <row r="72" spans="2:35">
      <c r="B72" s="169"/>
      <c r="D72" s="70" t="s">
        <v>331</v>
      </c>
      <c r="F72" s="271"/>
      <c r="G72" s="271"/>
      <c r="H72" s="271"/>
      <c r="I72" s="271"/>
      <c r="N72" s="287"/>
      <c r="O72" s="1740"/>
      <c r="P72" s="298"/>
      <c r="Q72" s="298"/>
      <c r="R72" s="298"/>
      <c r="S72" s="303"/>
      <c r="T72" s="303"/>
      <c r="U72" s="303"/>
      <c r="V72" s="303"/>
      <c r="W72" s="304"/>
      <c r="X72" s="303"/>
      <c r="Y72" s="303"/>
      <c r="Z72" s="303"/>
      <c r="AA72" s="303"/>
      <c r="AB72" s="303"/>
      <c r="AC72" s="302"/>
      <c r="AD72" s="303"/>
      <c r="AE72" s="303"/>
      <c r="AF72" s="303"/>
      <c r="AG72" s="304"/>
      <c r="AH72" s="171"/>
    </row>
    <row r="73" spans="2:35">
      <c r="B73" s="169"/>
      <c r="D73" s="104" t="s">
        <v>332</v>
      </c>
      <c r="F73" s="271"/>
      <c r="G73" s="271"/>
      <c r="H73" s="271"/>
      <c r="I73" s="271"/>
      <c r="J73" s="288"/>
      <c r="N73" s="289"/>
      <c r="O73" s="289" t="e">
        <f>+O72/O71*100*10^6</f>
        <v>#DIV/0!</v>
      </c>
      <c r="P73" s="289" t="e">
        <f>+P72/P71*100*10^6</f>
        <v>#DIV/0!</v>
      </c>
      <c r="Q73" s="289" t="e">
        <f>+Q72/Q71*100*10^6</f>
        <v>#DIV/0!</v>
      </c>
      <c r="R73" s="289" t="e">
        <f t="shared" ref="R73:AB73" si="30">+R72/R71*100*10^6</f>
        <v>#DIV/0!</v>
      </c>
      <c r="S73" s="289" t="e">
        <f t="shared" si="30"/>
        <v>#DIV/0!</v>
      </c>
      <c r="T73" s="289" t="e">
        <f t="shared" si="30"/>
        <v>#DIV/0!</v>
      </c>
      <c r="U73" s="289" t="e">
        <f t="shared" si="30"/>
        <v>#DIV/0!</v>
      </c>
      <c r="V73" s="289" t="e">
        <f t="shared" si="30"/>
        <v>#DIV/0!</v>
      </c>
      <c r="W73" s="289" t="e">
        <f t="shared" si="30"/>
        <v>#DIV/0!</v>
      </c>
      <c r="X73" s="289" t="e">
        <f t="shared" si="30"/>
        <v>#DIV/0!</v>
      </c>
      <c r="Y73" s="289" t="e">
        <f t="shared" si="30"/>
        <v>#DIV/0!</v>
      </c>
      <c r="Z73" s="289" t="e">
        <f t="shared" si="30"/>
        <v>#DIV/0!</v>
      </c>
      <c r="AA73" s="289" t="e">
        <f t="shared" si="30"/>
        <v>#DIV/0!</v>
      </c>
      <c r="AB73" s="289" t="e">
        <f t="shared" si="30"/>
        <v>#DIV/0!</v>
      </c>
      <c r="AC73" s="289" t="e">
        <f>+AC72/AC71*100*10^6</f>
        <v>#DIV/0!</v>
      </c>
      <c r="AD73" s="289" t="e">
        <f>+AD72/AD71*100*10^6</f>
        <v>#DIV/0!</v>
      </c>
      <c r="AE73" s="289" t="e">
        <f>+AE72/AE71*100*10^6</f>
        <v>#DIV/0!</v>
      </c>
      <c r="AF73" s="289" t="e">
        <f>+AF72/AF71*100*10^6</f>
        <v>#DIV/0!</v>
      </c>
      <c r="AG73" s="289" t="e">
        <f>+AG72/AG71*100*10^6</f>
        <v>#DIV/0!</v>
      </c>
      <c r="AH73" s="171"/>
      <c r="AI73" s="70" t="s">
        <v>1053</v>
      </c>
    </row>
    <row r="74" spans="2:35">
      <c r="B74" s="169"/>
      <c r="D74" s="70" t="s">
        <v>307</v>
      </c>
      <c r="F74" s="271"/>
      <c r="G74" s="271"/>
      <c r="H74" s="271"/>
      <c r="I74" s="271"/>
      <c r="J74" s="180"/>
      <c r="N74" s="271"/>
      <c r="O74" s="271"/>
      <c r="P74" s="271" t="e">
        <f>+P73/O73-1</f>
        <v>#DIV/0!</v>
      </c>
      <c r="Q74" s="271" t="e">
        <f>+Q73/P73-1</f>
        <v>#DIV/0!</v>
      </c>
      <c r="R74" s="271" t="e">
        <f>+R73/Q73-1</f>
        <v>#DIV/0!</v>
      </c>
      <c r="S74" s="271" t="e">
        <f t="shared" ref="S74:AB74" si="31">+S73/R73-1</f>
        <v>#DIV/0!</v>
      </c>
      <c r="T74" s="271" t="e">
        <f t="shared" si="31"/>
        <v>#DIV/0!</v>
      </c>
      <c r="U74" s="271" t="e">
        <f t="shared" si="31"/>
        <v>#DIV/0!</v>
      </c>
      <c r="V74" s="271" t="e">
        <f t="shared" si="31"/>
        <v>#DIV/0!</v>
      </c>
      <c r="W74" s="271" t="e">
        <f t="shared" si="31"/>
        <v>#DIV/0!</v>
      </c>
      <c r="X74" s="271" t="e">
        <f t="shared" si="31"/>
        <v>#DIV/0!</v>
      </c>
      <c r="Y74" s="271" t="e">
        <f t="shared" si="31"/>
        <v>#DIV/0!</v>
      </c>
      <c r="Z74" s="271" t="e">
        <f t="shared" si="31"/>
        <v>#DIV/0!</v>
      </c>
      <c r="AA74" s="271" t="e">
        <f t="shared" si="31"/>
        <v>#DIV/0!</v>
      </c>
      <c r="AB74" s="271" t="e">
        <f t="shared" si="31"/>
        <v>#DIV/0!</v>
      </c>
      <c r="AC74" s="271" t="e">
        <f>+AC73/AB73-1</f>
        <v>#DIV/0!</v>
      </c>
      <c r="AD74" s="271" t="e">
        <f>+AD73/AC73-1</f>
        <v>#DIV/0!</v>
      </c>
      <c r="AE74" s="271" t="e">
        <f>+AE73/AD73-1</f>
        <v>#DIV/0!</v>
      </c>
      <c r="AF74" s="271" t="e">
        <f>+AF73/AE73-1</f>
        <v>#DIV/0!</v>
      </c>
      <c r="AG74" s="271" t="e">
        <f>+AG73/AF73-1</f>
        <v>#DIV/0!</v>
      </c>
      <c r="AH74" s="171"/>
      <c r="AI74" s="70" t="s">
        <v>1053</v>
      </c>
    </row>
    <row r="75" spans="2:35">
      <c r="B75" s="169"/>
      <c r="F75" s="271"/>
      <c r="G75" s="271"/>
      <c r="H75" s="271"/>
      <c r="I75" s="271"/>
      <c r="J75" s="271"/>
      <c r="N75" s="271"/>
      <c r="O75" s="271"/>
      <c r="P75" s="271"/>
      <c r="Q75" s="271"/>
      <c r="R75" s="271"/>
      <c r="S75" s="271"/>
      <c r="T75" s="271"/>
      <c r="U75" s="271"/>
      <c r="V75" s="271"/>
      <c r="W75" s="271"/>
      <c r="X75" s="271"/>
      <c r="Y75" s="271"/>
      <c r="Z75" s="271"/>
      <c r="AA75" s="271"/>
      <c r="AB75" s="271"/>
      <c r="AC75" s="271"/>
      <c r="AD75" s="271"/>
      <c r="AE75" s="271"/>
      <c r="AF75" s="271"/>
      <c r="AG75" s="271"/>
      <c r="AH75" s="171"/>
    </row>
    <row r="76" spans="2:35">
      <c r="B76" s="169"/>
      <c r="D76" s="104" t="s">
        <v>306</v>
      </c>
      <c r="F76" s="271"/>
      <c r="G76" s="271"/>
      <c r="H76" s="271"/>
      <c r="I76" s="271"/>
      <c r="J76" s="271"/>
      <c r="N76" s="271"/>
      <c r="O76" s="271"/>
      <c r="P76" s="271"/>
      <c r="Q76" s="271"/>
      <c r="R76" s="271"/>
      <c r="S76" s="271"/>
      <c r="T76" s="271"/>
      <c r="U76" s="271"/>
      <c r="V76" s="271"/>
      <c r="W76" s="271"/>
      <c r="X76" s="271"/>
      <c r="Y76" s="271"/>
      <c r="Z76" s="271"/>
      <c r="AA76" s="271"/>
      <c r="AB76" s="271"/>
      <c r="AC76" s="271"/>
      <c r="AD76" s="271"/>
      <c r="AE76" s="271"/>
      <c r="AF76" s="271"/>
      <c r="AG76" s="271"/>
      <c r="AH76" s="171"/>
    </row>
    <row r="77" spans="2:35">
      <c r="B77" s="169"/>
      <c r="D77" s="70" t="s">
        <v>304</v>
      </c>
      <c r="F77" s="271"/>
      <c r="G77" s="271"/>
      <c r="H77" s="271"/>
      <c r="I77" s="271"/>
      <c r="N77" s="286"/>
      <c r="O77" s="294">
        <v>3311252</v>
      </c>
      <c r="P77" s="266">
        <v>3605344</v>
      </c>
      <c r="Q77" s="266">
        <v>3387139</v>
      </c>
      <c r="R77" s="266">
        <v>1623675</v>
      </c>
      <c r="S77" s="300">
        <v>1722082</v>
      </c>
      <c r="T77" s="300">
        <v>1895485</v>
      </c>
      <c r="U77" s="300">
        <v>2025697</v>
      </c>
      <c r="V77" s="300">
        <v>2161091</v>
      </c>
      <c r="W77" s="301">
        <v>2100325.2192000002</v>
      </c>
      <c r="X77" s="300">
        <v>2121328.4713920001</v>
      </c>
      <c r="Y77" s="300">
        <v>2142541.7561059203</v>
      </c>
      <c r="Z77" s="300">
        <v>2163967.1736669792</v>
      </c>
      <c r="AA77" s="300">
        <v>2185606.8454036489</v>
      </c>
      <c r="AB77" s="300">
        <v>2207462.9138576854</v>
      </c>
      <c r="AC77" s="299">
        <v>2229537.5429962622</v>
      </c>
      <c r="AD77" s="300">
        <v>2251832.918426225</v>
      </c>
      <c r="AE77" s="300">
        <v>2274351.2476104875</v>
      </c>
      <c r="AF77" s="300">
        <v>2297094.7600865923</v>
      </c>
      <c r="AG77" s="301">
        <v>2320065.7076874585</v>
      </c>
      <c r="AH77" s="171"/>
    </row>
    <row r="78" spans="2:35">
      <c r="B78" s="169"/>
      <c r="D78" s="70" t="s">
        <v>331</v>
      </c>
      <c r="F78" s="271"/>
      <c r="G78" s="271"/>
      <c r="H78" s="271"/>
      <c r="I78" s="271"/>
      <c r="N78" s="287"/>
      <c r="O78" s="1740">
        <v>0.9549773755656108</v>
      </c>
      <c r="P78" s="298">
        <v>1.0621225577264652</v>
      </c>
      <c r="Q78" s="298">
        <v>0.49325153374233133</v>
      </c>
      <c r="R78" s="298">
        <v>0.53094339622641507</v>
      </c>
      <c r="S78" s="303">
        <v>0.50122137404580147</v>
      </c>
      <c r="T78" s="303">
        <v>0.51783050847457623</v>
      </c>
      <c r="U78" s="303">
        <v>0.58147511312217204</v>
      </c>
      <c r="V78" s="303">
        <v>0.64308296943231436</v>
      </c>
      <c r="W78" s="304">
        <v>0.53400000000000003</v>
      </c>
      <c r="X78" s="303">
        <v>0.53288337976920142</v>
      </c>
      <c r="Y78" s="303">
        <v>0.54201747225317909</v>
      </c>
      <c r="Z78" s="303">
        <v>0.56201754618829736</v>
      </c>
      <c r="AA78" s="303">
        <v>0.59326206339498611</v>
      </c>
      <c r="AB78" s="303">
        <v>0.63010279028205285</v>
      </c>
      <c r="AC78" s="302">
        <v>0.7032435481046978</v>
      </c>
      <c r="AD78" s="303">
        <v>0.76513656624004289</v>
      </c>
      <c r="AE78" s="303">
        <v>0.78060024191302779</v>
      </c>
      <c r="AF78" s="303">
        <v>0.79645448610506209</v>
      </c>
      <c r="AG78" s="304">
        <v>0.81271032964055845</v>
      </c>
      <c r="AH78" s="171"/>
    </row>
    <row r="79" spans="2:35">
      <c r="B79" s="169"/>
      <c r="D79" s="104" t="s">
        <v>332</v>
      </c>
      <c r="F79" s="271"/>
      <c r="G79" s="271"/>
      <c r="H79" s="271"/>
      <c r="I79" s="271"/>
      <c r="J79" s="288"/>
      <c r="N79" s="289"/>
      <c r="O79" s="289">
        <f>+O78/O77*100*10^6</f>
        <v>28.840371423425665</v>
      </c>
      <c r="P79" s="289">
        <f>+P78/P77*100*10^6</f>
        <v>29.459673133173016</v>
      </c>
      <c r="Q79" s="289">
        <f>+Q78/Q77*100*10^6</f>
        <v>14.562482783916789</v>
      </c>
      <c r="R79" s="289">
        <f t="shared" ref="R79:AB79" si="32">+R78/R77*100*10^6</f>
        <v>32.700102928628887</v>
      </c>
      <c r="S79" s="289">
        <f t="shared" si="32"/>
        <v>29.105546312301129</v>
      </c>
      <c r="T79" s="289">
        <f t="shared" si="32"/>
        <v>27.319156230441088</v>
      </c>
      <c r="U79" s="289">
        <f t="shared" si="32"/>
        <v>28.704940231543613</v>
      </c>
      <c r="V79" s="289">
        <f t="shared" si="32"/>
        <v>29.757329489240128</v>
      </c>
      <c r="W79" s="289">
        <f t="shared" si="32"/>
        <v>25.424634009936664</v>
      </c>
      <c r="X79" s="289">
        <f t="shared" si="32"/>
        <v>25.120267179534306</v>
      </c>
      <c r="Y79" s="289">
        <f t="shared" si="32"/>
        <v>25.297872058199623</v>
      </c>
      <c r="Z79" s="289">
        <f t="shared" si="32"/>
        <v>25.971629931701926</v>
      </c>
      <c r="AA79" s="289">
        <f t="shared" si="32"/>
        <v>27.144043067151877</v>
      </c>
      <c r="AB79" s="289">
        <f t="shared" si="32"/>
        <v>28.544207303619299</v>
      </c>
      <c r="AC79" s="289">
        <f>+AC78/AC77*100*10^6</f>
        <v>31.542126317353372</v>
      </c>
      <c r="AD79" s="289">
        <f>+AD78/AD77*100*10^6</f>
        <v>33.978389781013874</v>
      </c>
      <c r="AE79" s="289">
        <f>+AE78/AE77*100*10^6</f>
        <v>34.32188597663415</v>
      </c>
      <c r="AF79" s="289">
        <f>+AF78/AF77*100*10^6</f>
        <v>34.672252096166844</v>
      </c>
      <c r="AG79" s="289">
        <f>+AG78/AG77*100*10^6</f>
        <v>35.02962553809018</v>
      </c>
      <c r="AH79" s="171"/>
      <c r="AI79" s="70" t="s">
        <v>1053</v>
      </c>
    </row>
    <row r="80" spans="2:35">
      <c r="B80" s="169"/>
      <c r="D80" s="70" t="s">
        <v>307</v>
      </c>
      <c r="F80" s="271"/>
      <c r="G80" s="271"/>
      <c r="H80" s="271"/>
      <c r="I80" s="271"/>
      <c r="J80" s="180"/>
      <c r="N80" s="271"/>
      <c r="O80" s="271"/>
      <c r="P80" s="271">
        <f>+P79/O79-1</f>
        <v>2.1473430444252983E-2</v>
      </c>
      <c r="Q80" s="271">
        <f>+Q79/P79-1</f>
        <v>-0.50568077527246125</v>
      </c>
      <c r="R80" s="271">
        <f>+R79/Q79-1</f>
        <v>1.245503284971694</v>
      </c>
      <c r="S80" s="271">
        <f>+S79/R79-1</f>
        <v>-0.10992493277997384</v>
      </c>
      <c r="T80" s="271">
        <f t="shared" ref="T80:AB80" si="33">+T79/S79-1</f>
        <v>-6.1376277314713845E-2</v>
      </c>
      <c r="U80" s="271">
        <f t="shared" si="33"/>
        <v>5.0725724814237871E-2</v>
      </c>
      <c r="V80" s="271">
        <f t="shared" si="33"/>
        <v>3.6662304439848858E-2</v>
      </c>
      <c r="W80" s="271">
        <f t="shared" si="33"/>
        <v>-0.1456009512167451</v>
      </c>
      <c r="X80" s="271">
        <f t="shared" si="33"/>
        <v>-1.1971335763708679E-2</v>
      </c>
      <c r="Y80" s="271">
        <f t="shared" si="33"/>
        <v>7.0701827092831682E-3</v>
      </c>
      <c r="Z80" s="271">
        <f t="shared" si="33"/>
        <v>2.6632986045319385E-2</v>
      </c>
      <c r="AA80" s="271">
        <f t="shared" si="33"/>
        <v>4.5142069963766795E-2</v>
      </c>
      <c r="AB80" s="271">
        <f t="shared" si="33"/>
        <v>5.1582744435069827E-2</v>
      </c>
      <c r="AC80" s="271">
        <f>+AC79/AB79-1</f>
        <v>0.10502722958272326</v>
      </c>
      <c r="AD80" s="271">
        <f>+AD79/AC79-1</f>
        <v>7.7238402989977084E-2</v>
      </c>
      <c r="AE80" s="271">
        <f>+AE79/AD79-1</f>
        <v>1.010925467139745E-2</v>
      </c>
      <c r="AF80" s="271">
        <f>+AF79/AE79-1</f>
        <v>1.0208242046233051E-2</v>
      </c>
      <c r="AG80" s="271">
        <f>+AG79/AF79-1</f>
        <v>1.0307188611000218E-2</v>
      </c>
      <c r="AH80" s="171"/>
      <c r="AI80" s="70" t="s">
        <v>1053</v>
      </c>
    </row>
    <row r="81" spans="2:35">
      <c r="B81" s="169"/>
      <c r="F81" s="271"/>
      <c r="G81" s="271"/>
      <c r="H81" s="271"/>
      <c r="I81" s="271"/>
      <c r="J81" s="180"/>
      <c r="N81" s="271"/>
      <c r="O81" s="271"/>
      <c r="P81" s="271"/>
      <c r="Q81" s="271"/>
      <c r="R81" s="271"/>
      <c r="S81" s="271"/>
      <c r="T81" s="271"/>
      <c r="U81" s="271"/>
      <c r="V81" s="271"/>
      <c r="W81" s="271"/>
      <c r="X81" s="271"/>
      <c r="Y81" s="271"/>
      <c r="Z81" s="271"/>
      <c r="AA81" s="271"/>
      <c r="AB81" s="271"/>
      <c r="AC81" s="271"/>
      <c r="AD81" s="271"/>
      <c r="AE81" s="271"/>
      <c r="AF81" s="271"/>
      <c r="AG81" s="271"/>
      <c r="AH81" s="171"/>
    </row>
    <row r="82" spans="2:35">
      <c r="B82" s="169"/>
      <c r="F82" s="271"/>
      <c r="G82" s="271"/>
      <c r="H82" s="271"/>
      <c r="I82" s="271"/>
      <c r="J82" s="180"/>
      <c r="N82" s="271"/>
      <c r="O82" s="271"/>
      <c r="P82" s="271"/>
      <c r="Q82" s="271"/>
      <c r="R82" s="271"/>
      <c r="S82" s="271"/>
      <c r="T82" s="271"/>
      <c r="U82" s="271"/>
      <c r="V82" s="271"/>
      <c r="W82" s="271"/>
      <c r="X82" s="271"/>
      <c r="Y82" s="271"/>
      <c r="Z82" s="271"/>
      <c r="AA82" s="271"/>
      <c r="AB82" s="271"/>
      <c r="AC82" s="271"/>
      <c r="AD82" s="271"/>
      <c r="AE82" s="271"/>
      <c r="AF82" s="271"/>
      <c r="AG82" s="271"/>
      <c r="AH82" s="171"/>
    </row>
    <row r="83" spans="2:35">
      <c r="B83" s="169"/>
      <c r="D83" s="290" t="s">
        <v>309</v>
      </c>
      <c r="E83" s="74"/>
      <c r="F83" s="74"/>
      <c r="G83" s="281"/>
      <c r="H83" s="281"/>
      <c r="I83" s="281"/>
      <c r="J83" s="281"/>
      <c r="N83" s="180"/>
      <c r="O83" s="180"/>
      <c r="P83" s="180"/>
      <c r="AH83" s="171"/>
    </row>
    <row r="84" spans="2:35">
      <c r="B84" s="169"/>
      <c r="D84" s="104"/>
      <c r="G84" s="180"/>
      <c r="H84" s="180"/>
      <c r="I84" s="180"/>
      <c r="J84" s="180"/>
      <c r="N84" s="180"/>
      <c r="O84" s="180"/>
      <c r="P84" s="180"/>
      <c r="AH84" s="171"/>
    </row>
    <row r="85" spans="2:35">
      <c r="B85" s="169"/>
      <c r="D85" s="104" t="s">
        <v>303</v>
      </c>
      <c r="F85" s="271"/>
      <c r="G85" s="271"/>
      <c r="H85" s="271"/>
      <c r="I85" s="271"/>
      <c r="J85" s="271"/>
      <c r="N85" s="271"/>
      <c r="O85" s="271"/>
      <c r="P85" s="271"/>
      <c r="Q85" s="271"/>
      <c r="R85" s="271"/>
      <c r="S85" s="271"/>
      <c r="T85" s="271"/>
      <c r="U85" s="271"/>
      <c r="V85" s="271"/>
      <c r="W85" s="271"/>
      <c r="X85" s="271"/>
      <c r="Y85" s="271"/>
      <c r="Z85" s="271"/>
      <c r="AA85" s="271"/>
      <c r="AB85" s="271"/>
      <c r="AC85" s="271"/>
      <c r="AD85" s="271"/>
      <c r="AE85" s="271"/>
      <c r="AF85" s="271"/>
      <c r="AG85" s="271"/>
      <c r="AH85" s="171"/>
    </row>
    <row r="86" spans="2:35">
      <c r="B86" s="169"/>
      <c r="D86" s="70" t="s">
        <v>304</v>
      </c>
      <c r="F86" s="271"/>
      <c r="G86" s="271"/>
      <c r="H86" s="271"/>
      <c r="I86" s="271"/>
      <c r="N86" s="286"/>
      <c r="O86" s="294"/>
      <c r="P86" s="266"/>
      <c r="Q86" s="266"/>
      <c r="R86" s="266"/>
      <c r="S86" s="300"/>
      <c r="T86" s="300"/>
      <c r="U86" s="300"/>
      <c r="V86" s="300"/>
      <c r="W86" s="301"/>
      <c r="X86" s="300"/>
      <c r="Y86" s="300"/>
      <c r="Z86" s="300"/>
      <c r="AA86" s="300"/>
      <c r="AB86" s="300"/>
      <c r="AC86" s="299"/>
      <c r="AD86" s="300"/>
      <c r="AE86" s="300"/>
      <c r="AF86" s="300"/>
      <c r="AG86" s="301"/>
      <c r="AH86" s="171"/>
    </row>
    <row r="87" spans="2:35">
      <c r="B87" s="169"/>
      <c r="D87" s="70" t="s">
        <v>331</v>
      </c>
      <c r="F87" s="271"/>
      <c r="G87" s="271"/>
      <c r="H87" s="271"/>
      <c r="I87" s="271"/>
      <c r="N87" s="287"/>
      <c r="O87" s="1740"/>
      <c r="P87" s="298"/>
      <c r="Q87" s="298"/>
      <c r="R87" s="298"/>
      <c r="S87" s="303"/>
      <c r="T87" s="303"/>
      <c r="U87" s="303"/>
      <c r="V87" s="303"/>
      <c r="W87" s="304"/>
      <c r="X87" s="303"/>
      <c r="Y87" s="303"/>
      <c r="Z87" s="303"/>
      <c r="AA87" s="303"/>
      <c r="AB87" s="303"/>
      <c r="AC87" s="302"/>
      <c r="AD87" s="303"/>
      <c r="AE87" s="303"/>
      <c r="AF87" s="303"/>
      <c r="AG87" s="304"/>
      <c r="AH87" s="171"/>
    </row>
    <row r="88" spans="2:35">
      <c r="B88" s="169"/>
      <c r="D88" s="104" t="s">
        <v>332</v>
      </c>
      <c r="F88" s="271"/>
      <c r="G88" s="271"/>
      <c r="H88" s="271"/>
      <c r="I88" s="271"/>
      <c r="J88" s="288"/>
      <c r="N88" s="289"/>
      <c r="O88" s="289" t="e">
        <f>+O87/O86*100*10^6</f>
        <v>#DIV/0!</v>
      </c>
      <c r="P88" s="289" t="e">
        <f>+P87/P86*100*10^6</f>
        <v>#DIV/0!</v>
      </c>
      <c r="Q88" s="289" t="e">
        <f>+Q87/Q86*100*10^6</f>
        <v>#DIV/0!</v>
      </c>
      <c r="R88" s="289" t="e">
        <f t="shared" ref="R88:AB88" si="34">+R87/R86*100*10^6</f>
        <v>#DIV/0!</v>
      </c>
      <c r="S88" s="289" t="e">
        <f t="shared" si="34"/>
        <v>#DIV/0!</v>
      </c>
      <c r="T88" s="289" t="e">
        <f t="shared" si="34"/>
        <v>#DIV/0!</v>
      </c>
      <c r="U88" s="289" t="e">
        <f t="shared" si="34"/>
        <v>#DIV/0!</v>
      </c>
      <c r="V88" s="289" t="e">
        <f t="shared" si="34"/>
        <v>#DIV/0!</v>
      </c>
      <c r="W88" s="289" t="e">
        <f t="shared" si="34"/>
        <v>#DIV/0!</v>
      </c>
      <c r="X88" s="289" t="e">
        <f t="shared" si="34"/>
        <v>#DIV/0!</v>
      </c>
      <c r="Y88" s="289" t="e">
        <f t="shared" si="34"/>
        <v>#DIV/0!</v>
      </c>
      <c r="Z88" s="289" t="e">
        <f t="shared" si="34"/>
        <v>#DIV/0!</v>
      </c>
      <c r="AA88" s="289" t="e">
        <f t="shared" si="34"/>
        <v>#DIV/0!</v>
      </c>
      <c r="AB88" s="289" t="e">
        <f t="shared" si="34"/>
        <v>#DIV/0!</v>
      </c>
      <c r="AC88" s="289" t="e">
        <f>+AC87/AC86*100*10^6</f>
        <v>#DIV/0!</v>
      </c>
      <c r="AD88" s="289" t="e">
        <f>+AD87/AD86*100*10^6</f>
        <v>#DIV/0!</v>
      </c>
      <c r="AE88" s="289" t="e">
        <f>+AE87/AE86*100*10^6</f>
        <v>#DIV/0!</v>
      </c>
      <c r="AF88" s="289" t="e">
        <f>+AF87/AF86*100*10^6</f>
        <v>#DIV/0!</v>
      </c>
      <c r="AG88" s="289" t="e">
        <f>+AG87/AG86*100*10^6</f>
        <v>#DIV/0!</v>
      </c>
      <c r="AH88" s="171"/>
      <c r="AI88" s="70" t="s">
        <v>1053</v>
      </c>
    </row>
    <row r="89" spans="2:35">
      <c r="B89" s="169"/>
      <c r="D89" s="70" t="s">
        <v>307</v>
      </c>
      <c r="F89" s="271"/>
      <c r="G89" s="271"/>
      <c r="H89" s="271"/>
      <c r="I89" s="271"/>
      <c r="J89" s="180"/>
      <c r="N89" s="271"/>
      <c r="O89" s="271"/>
      <c r="P89" s="271" t="e">
        <f>+P88/O88-1</f>
        <v>#DIV/0!</v>
      </c>
      <c r="Q89" s="271" t="e">
        <f>+Q88/P88-1</f>
        <v>#DIV/0!</v>
      </c>
      <c r="R89" s="271" t="e">
        <f>+R88/Q88-1</f>
        <v>#DIV/0!</v>
      </c>
      <c r="S89" s="271" t="e">
        <f>+S88/R88-1</f>
        <v>#DIV/0!</v>
      </c>
      <c r="T89" s="271" t="e">
        <f t="shared" ref="T89:AB89" si="35">+T88/S88-1</f>
        <v>#DIV/0!</v>
      </c>
      <c r="U89" s="271" t="e">
        <f t="shared" si="35"/>
        <v>#DIV/0!</v>
      </c>
      <c r="V89" s="271" t="e">
        <f t="shared" si="35"/>
        <v>#DIV/0!</v>
      </c>
      <c r="W89" s="271" t="e">
        <f t="shared" si="35"/>
        <v>#DIV/0!</v>
      </c>
      <c r="X89" s="271" t="e">
        <f t="shared" si="35"/>
        <v>#DIV/0!</v>
      </c>
      <c r="Y89" s="271" t="e">
        <f t="shared" si="35"/>
        <v>#DIV/0!</v>
      </c>
      <c r="Z89" s="271" t="e">
        <f t="shared" si="35"/>
        <v>#DIV/0!</v>
      </c>
      <c r="AA89" s="271" t="e">
        <f t="shared" si="35"/>
        <v>#DIV/0!</v>
      </c>
      <c r="AB89" s="271" t="e">
        <f t="shared" si="35"/>
        <v>#DIV/0!</v>
      </c>
      <c r="AC89" s="271" t="e">
        <f>+AC88/AB88-1</f>
        <v>#DIV/0!</v>
      </c>
      <c r="AD89" s="271" t="e">
        <f>+AD88/AC88-1</f>
        <v>#DIV/0!</v>
      </c>
      <c r="AE89" s="271" t="e">
        <f>+AE88/AD88-1</f>
        <v>#DIV/0!</v>
      </c>
      <c r="AF89" s="271" t="e">
        <f>+AF88/AE88-1</f>
        <v>#DIV/0!</v>
      </c>
      <c r="AG89" s="271" t="e">
        <f>+AG88/AF88-1</f>
        <v>#DIV/0!</v>
      </c>
      <c r="AH89" s="171"/>
      <c r="AI89" s="70" t="s">
        <v>1053</v>
      </c>
    </row>
    <row r="90" spans="2:35">
      <c r="B90" s="169"/>
      <c r="F90" s="271"/>
      <c r="G90" s="271"/>
      <c r="H90" s="271"/>
      <c r="I90" s="271"/>
      <c r="J90" s="271"/>
      <c r="N90" s="271"/>
      <c r="O90" s="271"/>
      <c r="P90" s="271"/>
      <c r="Q90" s="271"/>
      <c r="R90" s="271"/>
      <c r="S90" s="271"/>
      <c r="T90" s="271"/>
      <c r="U90" s="271"/>
      <c r="V90" s="271"/>
      <c r="W90" s="271"/>
      <c r="X90" s="271"/>
      <c r="Y90" s="271"/>
      <c r="Z90" s="271"/>
      <c r="AA90" s="271"/>
      <c r="AB90" s="271"/>
      <c r="AC90" s="271"/>
      <c r="AD90" s="271"/>
      <c r="AE90" s="271"/>
      <c r="AF90" s="271"/>
      <c r="AG90" s="271"/>
      <c r="AH90" s="171"/>
    </row>
    <row r="91" spans="2:35">
      <c r="B91" s="169"/>
      <c r="D91" s="104" t="s">
        <v>305</v>
      </c>
      <c r="F91" s="271"/>
      <c r="G91" s="271"/>
      <c r="H91" s="271"/>
      <c r="I91" s="271"/>
      <c r="J91" s="271"/>
      <c r="N91" s="271"/>
      <c r="O91" s="271"/>
      <c r="P91" s="271"/>
      <c r="Q91" s="271"/>
      <c r="R91" s="271"/>
      <c r="S91" s="271"/>
      <c r="T91" s="271"/>
      <c r="U91" s="271"/>
      <c r="V91" s="271"/>
      <c r="W91" s="271"/>
      <c r="X91" s="271"/>
      <c r="Y91" s="271"/>
      <c r="Z91" s="271"/>
      <c r="AA91" s="271"/>
      <c r="AB91" s="271"/>
      <c r="AC91" s="271"/>
      <c r="AD91" s="271"/>
      <c r="AE91" s="271"/>
      <c r="AF91" s="271"/>
      <c r="AG91" s="271"/>
      <c r="AH91" s="171"/>
    </row>
    <row r="92" spans="2:35">
      <c r="B92" s="169"/>
      <c r="D92" s="70" t="s">
        <v>304</v>
      </c>
      <c r="F92" s="271"/>
      <c r="G92" s="271"/>
      <c r="H92" s="271"/>
      <c r="I92" s="271"/>
      <c r="N92" s="286"/>
      <c r="O92" s="294"/>
      <c r="P92" s="266"/>
      <c r="Q92" s="266"/>
      <c r="R92" s="266"/>
      <c r="S92" s="300"/>
      <c r="T92" s="300"/>
      <c r="U92" s="300"/>
      <c r="V92" s="300"/>
      <c r="W92" s="301"/>
      <c r="X92" s="300"/>
      <c r="Y92" s="300"/>
      <c r="Z92" s="300"/>
      <c r="AA92" s="300"/>
      <c r="AB92" s="300"/>
      <c r="AC92" s="299"/>
      <c r="AD92" s="300"/>
      <c r="AE92" s="300"/>
      <c r="AF92" s="300"/>
      <c r="AG92" s="301"/>
      <c r="AH92" s="171"/>
    </row>
    <row r="93" spans="2:35">
      <c r="B93" s="169"/>
      <c r="D93" s="70" t="s">
        <v>331</v>
      </c>
      <c r="F93" s="271"/>
      <c r="G93" s="271"/>
      <c r="H93" s="271"/>
      <c r="I93" s="271"/>
      <c r="N93" s="287"/>
      <c r="O93" s="1740"/>
      <c r="P93" s="298"/>
      <c r="Q93" s="298"/>
      <c r="R93" s="298"/>
      <c r="S93" s="303"/>
      <c r="T93" s="303"/>
      <c r="U93" s="303"/>
      <c r="V93" s="303"/>
      <c r="W93" s="304"/>
      <c r="X93" s="303"/>
      <c r="Y93" s="303"/>
      <c r="Z93" s="303"/>
      <c r="AA93" s="303"/>
      <c r="AB93" s="303"/>
      <c r="AC93" s="302"/>
      <c r="AD93" s="303"/>
      <c r="AE93" s="303"/>
      <c r="AF93" s="303"/>
      <c r="AG93" s="304"/>
      <c r="AH93" s="171"/>
    </row>
    <row r="94" spans="2:35">
      <c r="B94" s="169"/>
      <c r="D94" s="104" t="s">
        <v>332</v>
      </c>
      <c r="F94" s="271"/>
      <c r="G94" s="271"/>
      <c r="H94" s="271"/>
      <c r="I94" s="271"/>
      <c r="J94" s="288"/>
      <c r="N94" s="289"/>
      <c r="O94" s="289" t="e">
        <f>+O93/O92*100*10^6</f>
        <v>#DIV/0!</v>
      </c>
      <c r="P94" s="289" t="e">
        <f>+P93/P92*100*10^6</f>
        <v>#DIV/0!</v>
      </c>
      <c r="Q94" s="289" t="e">
        <f>+Q93/Q92*100*10^6</f>
        <v>#DIV/0!</v>
      </c>
      <c r="R94" s="289" t="e">
        <f t="shared" ref="R94:AB94" si="36">+R93/R92*100*10^6</f>
        <v>#DIV/0!</v>
      </c>
      <c r="S94" s="289" t="e">
        <f t="shared" si="36"/>
        <v>#DIV/0!</v>
      </c>
      <c r="T94" s="289" t="e">
        <f t="shared" si="36"/>
        <v>#DIV/0!</v>
      </c>
      <c r="U94" s="289" t="e">
        <f t="shared" si="36"/>
        <v>#DIV/0!</v>
      </c>
      <c r="V94" s="289" t="e">
        <f t="shared" si="36"/>
        <v>#DIV/0!</v>
      </c>
      <c r="W94" s="289" t="e">
        <f t="shared" si="36"/>
        <v>#DIV/0!</v>
      </c>
      <c r="X94" s="289" t="e">
        <f t="shared" si="36"/>
        <v>#DIV/0!</v>
      </c>
      <c r="Y94" s="289" t="e">
        <f t="shared" si="36"/>
        <v>#DIV/0!</v>
      </c>
      <c r="Z94" s="289" t="e">
        <f t="shared" si="36"/>
        <v>#DIV/0!</v>
      </c>
      <c r="AA94" s="289" t="e">
        <f t="shared" si="36"/>
        <v>#DIV/0!</v>
      </c>
      <c r="AB94" s="289" t="e">
        <f t="shared" si="36"/>
        <v>#DIV/0!</v>
      </c>
      <c r="AC94" s="289" t="e">
        <f>+AC93/AC92*100*10^6</f>
        <v>#DIV/0!</v>
      </c>
      <c r="AD94" s="289" t="e">
        <f>+AD93/AD92*100*10^6</f>
        <v>#DIV/0!</v>
      </c>
      <c r="AE94" s="289" t="e">
        <f>+AE93/AE92*100*10^6</f>
        <v>#DIV/0!</v>
      </c>
      <c r="AF94" s="289" t="e">
        <f>+AF93/AF92*100*10^6</f>
        <v>#DIV/0!</v>
      </c>
      <c r="AG94" s="289" t="e">
        <f>+AG93/AG92*100*10^6</f>
        <v>#DIV/0!</v>
      </c>
      <c r="AH94" s="171"/>
      <c r="AI94" s="70" t="s">
        <v>1053</v>
      </c>
    </row>
    <row r="95" spans="2:35">
      <c r="B95" s="169"/>
      <c r="D95" s="70" t="s">
        <v>307</v>
      </c>
      <c r="F95" s="271"/>
      <c r="G95" s="271"/>
      <c r="H95" s="271"/>
      <c r="I95" s="271"/>
      <c r="J95" s="180"/>
      <c r="N95" s="271"/>
      <c r="O95" s="271"/>
      <c r="P95" s="271" t="e">
        <f>+P94/O94-1</f>
        <v>#DIV/0!</v>
      </c>
      <c r="Q95" s="271" t="e">
        <f>+Q94/P94-1</f>
        <v>#DIV/0!</v>
      </c>
      <c r="R95" s="271" t="e">
        <f>+R94/Q94-1</f>
        <v>#DIV/0!</v>
      </c>
      <c r="S95" s="271" t="e">
        <f>+S94/R94-1</f>
        <v>#DIV/0!</v>
      </c>
      <c r="T95" s="271" t="e">
        <f t="shared" ref="T95:AB95" si="37">+T94/S94-1</f>
        <v>#DIV/0!</v>
      </c>
      <c r="U95" s="271" t="e">
        <f t="shared" si="37"/>
        <v>#DIV/0!</v>
      </c>
      <c r="V95" s="271" t="e">
        <f t="shared" si="37"/>
        <v>#DIV/0!</v>
      </c>
      <c r="W95" s="271" t="e">
        <f t="shared" si="37"/>
        <v>#DIV/0!</v>
      </c>
      <c r="X95" s="271" t="e">
        <f t="shared" si="37"/>
        <v>#DIV/0!</v>
      </c>
      <c r="Y95" s="271" t="e">
        <f t="shared" si="37"/>
        <v>#DIV/0!</v>
      </c>
      <c r="Z95" s="271" t="e">
        <f t="shared" si="37"/>
        <v>#DIV/0!</v>
      </c>
      <c r="AA95" s="271" t="e">
        <f t="shared" si="37"/>
        <v>#DIV/0!</v>
      </c>
      <c r="AB95" s="271" t="e">
        <f t="shared" si="37"/>
        <v>#DIV/0!</v>
      </c>
      <c r="AC95" s="271" t="e">
        <f>+AC94/AB94-1</f>
        <v>#DIV/0!</v>
      </c>
      <c r="AD95" s="271" t="e">
        <f>+AD94/AC94-1</f>
        <v>#DIV/0!</v>
      </c>
      <c r="AE95" s="271" t="e">
        <f>+AE94/AD94-1</f>
        <v>#DIV/0!</v>
      </c>
      <c r="AF95" s="271" t="e">
        <f>+AF94/AE94-1</f>
        <v>#DIV/0!</v>
      </c>
      <c r="AG95" s="271" t="e">
        <f>+AG94/AF94-1</f>
        <v>#DIV/0!</v>
      </c>
      <c r="AH95" s="171"/>
      <c r="AI95" s="70" t="s">
        <v>1053</v>
      </c>
    </row>
    <row r="96" spans="2:35">
      <c r="B96" s="169"/>
      <c r="F96" s="271"/>
      <c r="G96" s="271"/>
      <c r="H96" s="271"/>
      <c r="I96" s="271"/>
      <c r="J96" s="271"/>
      <c r="N96" s="271"/>
      <c r="O96" s="271"/>
      <c r="P96" s="271"/>
      <c r="Q96" s="271"/>
      <c r="R96" s="271"/>
      <c r="S96" s="271"/>
      <c r="T96" s="271"/>
      <c r="U96" s="271"/>
      <c r="V96" s="271"/>
      <c r="W96" s="271"/>
      <c r="X96" s="271"/>
      <c r="Y96" s="271"/>
      <c r="Z96" s="271"/>
      <c r="AA96" s="271"/>
      <c r="AB96" s="271"/>
      <c r="AC96" s="271"/>
      <c r="AD96" s="271"/>
      <c r="AE96" s="271"/>
      <c r="AF96" s="271"/>
      <c r="AG96" s="271"/>
      <c r="AH96" s="171"/>
    </row>
    <row r="97" spans="2:35">
      <c r="B97" s="169"/>
      <c r="D97" s="104" t="s">
        <v>306</v>
      </c>
      <c r="F97" s="271"/>
      <c r="G97" s="271"/>
      <c r="H97" s="271"/>
      <c r="I97" s="271"/>
      <c r="J97" s="271"/>
      <c r="N97" s="271"/>
      <c r="O97" s="271"/>
      <c r="P97" s="271"/>
      <c r="Q97" s="271"/>
      <c r="R97" s="271"/>
      <c r="S97" s="271"/>
      <c r="T97" s="271"/>
      <c r="U97" s="271"/>
      <c r="V97" s="271"/>
      <c r="W97" s="271"/>
      <c r="X97" s="271"/>
      <c r="Y97" s="271"/>
      <c r="Z97" s="271"/>
      <c r="AA97" s="271"/>
      <c r="AB97" s="271"/>
      <c r="AC97" s="271"/>
      <c r="AD97" s="271"/>
      <c r="AE97" s="271"/>
      <c r="AF97" s="271"/>
      <c r="AG97" s="271"/>
      <c r="AH97" s="171"/>
    </row>
    <row r="98" spans="2:35">
      <c r="B98" s="169"/>
      <c r="D98" s="70" t="s">
        <v>304</v>
      </c>
      <c r="F98" s="271"/>
      <c r="G98" s="271"/>
      <c r="H98" s="271"/>
      <c r="I98" s="271"/>
      <c r="N98" s="286"/>
      <c r="O98" s="294"/>
      <c r="P98" s="266"/>
      <c r="Q98" s="266"/>
      <c r="R98" s="266"/>
      <c r="S98" s="300"/>
      <c r="T98" s="300"/>
      <c r="U98" s="300"/>
      <c r="V98" s="300"/>
      <c r="W98" s="301"/>
      <c r="X98" s="300"/>
      <c r="Y98" s="300"/>
      <c r="Z98" s="300"/>
      <c r="AA98" s="300"/>
      <c r="AB98" s="300"/>
      <c r="AC98" s="299"/>
      <c r="AD98" s="300"/>
      <c r="AE98" s="300"/>
      <c r="AF98" s="300"/>
      <c r="AG98" s="301"/>
      <c r="AH98" s="171"/>
    </row>
    <row r="99" spans="2:35">
      <c r="B99" s="169"/>
      <c r="D99" s="70" t="s">
        <v>331</v>
      </c>
      <c r="F99" s="271"/>
      <c r="G99" s="271"/>
      <c r="H99" s="271"/>
      <c r="I99" s="271"/>
      <c r="N99" s="287"/>
      <c r="O99" s="1740"/>
      <c r="P99" s="298"/>
      <c r="Q99" s="298"/>
      <c r="R99" s="298"/>
      <c r="S99" s="303"/>
      <c r="T99" s="303"/>
      <c r="U99" s="303"/>
      <c r="V99" s="303"/>
      <c r="W99" s="304"/>
      <c r="X99" s="303"/>
      <c r="Y99" s="303"/>
      <c r="Z99" s="303"/>
      <c r="AA99" s="303"/>
      <c r="AB99" s="303"/>
      <c r="AC99" s="302"/>
      <c r="AD99" s="303"/>
      <c r="AE99" s="303"/>
      <c r="AF99" s="303"/>
      <c r="AG99" s="304"/>
      <c r="AH99" s="171"/>
    </row>
    <row r="100" spans="2:35">
      <c r="B100" s="169"/>
      <c r="D100" s="104" t="s">
        <v>332</v>
      </c>
      <c r="F100" s="271"/>
      <c r="G100" s="271"/>
      <c r="H100" s="271"/>
      <c r="I100" s="271"/>
      <c r="J100" s="288"/>
      <c r="N100" s="289"/>
      <c r="O100" s="289" t="e">
        <f>+O99/O98*100*10^6</f>
        <v>#DIV/0!</v>
      </c>
      <c r="P100" s="289" t="e">
        <f>+P99/P98*100*10^6</f>
        <v>#DIV/0!</v>
      </c>
      <c r="Q100" s="289" t="e">
        <f>+Q99/Q98*100*10^6</f>
        <v>#DIV/0!</v>
      </c>
      <c r="R100" s="289" t="e">
        <f t="shared" ref="R100:AG100" si="38">+R99/R98*100*10^6</f>
        <v>#DIV/0!</v>
      </c>
      <c r="S100" s="289" t="e">
        <f t="shared" si="38"/>
        <v>#DIV/0!</v>
      </c>
      <c r="T100" s="289" t="e">
        <f t="shared" si="38"/>
        <v>#DIV/0!</v>
      </c>
      <c r="U100" s="289" t="e">
        <f t="shared" si="38"/>
        <v>#DIV/0!</v>
      </c>
      <c r="V100" s="289" t="e">
        <f t="shared" si="38"/>
        <v>#DIV/0!</v>
      </c>
      <c r="W100" s="289" t="e">
        <f t="shared" si="38"/>
        <v>#DIV/0!</v>
      </c>
      <c r="X100" s="289" t="e">
        <f t="shared" si="38"/>
        <v>#DIV/0!</v>
      </c>
      <c r="Y100" s="289" t="e">
        <f t="shared" si="38"/>
        <v>#DIV/0!</v>
      </c>
      <c r="Z100" s="289" t="e">
        <f t="shared" si="38"/>
        <v>#DIV/0!</v>
      </c>
      <c r="AA100" s="289" t="e">
        <f t="shared" si="38"/>
        <v>#DIV/0!</v>
      </c>
      <c r="AB100" s="289" t="e">
        <f t="shared" si="38"/>
        <v>#DIV/0!</v>
      </c>
      <c r="AC100" s="289" t="e">
        <f t="shared" si="38"/>
        <v>#DIV/0!</v>
      </c>
      <c r="AD100" s="289" t="e">
        <f t="shared" si="38"/>
        <v>#DIV/0!</v>
      </c>
      <c r="AE100" s="289" t="e">
        <f t="shared" si="38"/>
        <v>#DIV/0!</v>
      </c>
      <c r="AF100" s="289" t="e">
        <f t="shared" si="38"/>
        <v>#DIV/0!</v>
      </c>
      <c r="AG100" s="289" t="e">
        <f t="shared" si="38"/>
        <v>#DIV/0!</v>
      </c>
      <c r="AH100" s="171"/>
      <c r="AI100" s="70" t="s">
        <v>1053</v>
      </c>
    </row>
    <row r="101" spans="2:35">
      <c r="B101" s="169"/>
      <c r="D101" s="70" t="s">
        <v>307</v>
      </c>
      <c r="F101" s="271"/>
      <c r="G101" s="271"/>
      <c r="H101" s="271"/>
      <c r="I101" s="271"/>
      <c r="J101" s="180"/>
      <c r="N101" s="271"/>
      <c r="O101" s="271"/>
      <c r="P101" s="271" t="e">
        <f>+P100/O100-1</f>
        <v>#DIV/0!</v>
      </c>
      <c r="Q101" s="271" t="e">
        <f>+Q100/P100-1</f>
        <v>#DIV/0!</v>
      </c>
      <c r="R101" s="271" t="e">
        <f>+R100/Q100-1</f>
        <v>#DIV/0!</v>
      </c>
      <c r="S101" s="271" t="e">
        <f>+S100/R100-1</f>
        <v>#DIV/0!</v>
      </c>
      <c r="T101" s="271" t="e">
        <f t="shared" ref="T101:AB101" si="39">+T100/S100-1</f>
        <v>#DIV/0!</v>
      </c>
      <c r="U101" s="271" t="e">
        <f t="shared" si="39"/>
        <v>#DIV/0!</v>
      </c>
      <c r="V101" s="271" t="e">
        <f t="shared" si="39"/>
        <v>#DIV/0!</v>
      </c>
      <c r="W101" s="271" t="e">
        <f t="shared" si="39"/>
        <v>#DIV/0!</v>
      </c>
      <c r="X101" s="271" t="e">
        <f t="shared" si="39"/>
        <v>#DIV/0!</v>
      </c>
      <c r="Y101" s="271" t="e">
        <f t="shared" si="39"/>
        <v>#DIV/0!</v>
      </c>
      <c r="Z101" s="271" t="e">
        <f t="shared" si="39"/>
        <v>#DIV/0!</v>
      </c>
      <c r="AA101" s="271" t="e">
        <f t="shared" si="39"/>
        <v>#DIV/0!</v>
      </c>
      <c r="AB101" s="271" t="e">
        <f t="shared" si="39"/>
        <v>#DIV/0!</v>
      </c>
      <c r="AC101" s="271" t="e">
        <f>+AC100/AB100-1</f>
        <v>#DIV/0!</v>
      </c>
      <c r="AD101" s="271" t="e">
        <f>+AD100/AC100-1</f>
        <v>#DIV/0!</v>
      </c>
      <c r="AE101" s="271" t="e">
        <f>+AE100/AD100-1</f>
        <v>#DIV/0!</v>
      </c>
      <c r="AF101" s="271" t="e">
        <f>+AF100/AE100-1</f>
        <v>#DIV/0!</v>
      </c>
      <c r="AG101" s="271" t="e">
        <f>+AG100/AF100-1</f>
        <v>#DIV/0!</v>
      </c>
      <c r="AH101" s="171"/>
      <c r="AI101" s="70" t="s">
        <v>1053</v>
      </c>
    </row>
    <row r="102" spans="2:35">
      <c r="B102" s="169"/>
      <c r="D102" s="104"/>
      <c r="F102" s="271"/>
      <c r="G102" s="271"/>
      <c r="H102" s="271"/>
      <c r="I102" s="271"/>
      <c r="J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171"/>
    </row>
    <row r="103" spans="2:35">
      <c r="B103" s="169"/>
      <c r="D103" s="104"/>
      <c r="F103" s="271"/>
      <c r="G103" s="271"/>
      <c r="H103" s="271"/>
      <c r="I103" s="271"/>
      <c r="J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171"/>
    </row>
    <row r="104" spans="2:35">
      <c r="B104" s="169"/>
      <c r="D104" s="104" t="s">
        <v>339</v>
      </c>
      <c r="F104" s="271"/>
      <c r="G104" s="271"/>
      <c r="H104" s="271"/>
      <c r="I104" s="271"/>
      <c r="N104" s="286"/>
      <c r="O104" s="294"/>
      <c r="P104" s="266"/>
      <c r="Q104" s="266"/>
      <c r="R104" s="266"/>
      <c r="S104" s="266"/>
      <c r="T104" s="266"/>
      <c r="U104" s="266"/>
      <c r="V104" s="266"/>
      <c r="W104" s="296"/>
      <c r="X104" s="266"/>
      <c r="Y104" s="266"/>
      <c r="Z104" s="266"/>
      <c r="AA104" s="266"/>
      <c r="AB104" s="266"/>
      <c r="AC104" s="295"/>
      <c r="AD104" s="266"/>
      <c r="AE104" s="266"/>
      <c r="AF104" s="266"/>
      <c r="AG104" s="296"/>
      <c r="AH104" s="171"/>
    </row>
    <row r="105" spans="2:35">
      <c r="B105" s="169"/>
      <c r="D105" s="70" t="s">
        <v>307</v>
      </c>
      <c r="F105" s="271"/>
      <c r="G105" s="271"/>
      <c r="H105" s="271"/>
      <c r="I105" s="271"/>
      <c r="J105" s="180"/>
      <c r="N105" s="271"/>
      <c r="O105" s="271" t="e">
        <f>O104/N104-1</f>
        <v>#DIV/0!</v>
      </c>
      <c r="P105" s="271" t="e">
        <f>P104/O104-1</f>
        <v>#DIV/0!</v>
      </c>
      <c r="Q105" s="271" t="e">
        <f>Q104/P104-1</f>
        <v>#DIV/0!</v>
      </c>
      <c r="R105" s="271" t="e">
        <f>R104/Q104-1</f>
        <v>#DIV/0!</v>
      </c>
      <c r="S105" s="271" t="e">
        <f>S104/R104-1</f>
        <v>#DIV/0!</v>
      </c>
      <c r="T105" s="271" t="e">
        <f t="shared" ref="T105:AG105" si="40">T104/S104-1</f>
        <v>#DIV/0!</v>
      </c>
      <c r="U105" s="271" t="e">
        <f t="shared" si="40"/>
        <v>#DIV/0!</v>
      </c>
      <c r="V105" s="271" t="e">
        <f t="shared" si="40"/>
        <v>#DIV/0!</v>
      </c>
      <c r="W105" s="271" t="e">
        <f t="shared" si="40"/>
        <v>#DIV/0!</v>
      </c>
      <c r="X105" s="271" t="e">
        <f t="shared" si="40"/>
        <v>#DIV/0!</v>
      </c>
      <c r="Y105" s="271" t="e">
        <f t="shared" si="40"/>
        <v>#DIV/0!</v>
      </c>
      <c r="Z105" s="271" t="e">
        <f t="shared" si="40"/>
        <v>#DIV/0!</v>
      </c>
      <c r="AA105" s="271" t="e">
        <f t="shared" si="40"/>
        <v>#DIV/0!</v>
      </c>
      <c r="AB105" s="271" t="e">
        <f t="shared" si="40"/>
        <v>#DIV/0!</v>
      </c>
      <c r="AC105" s="271" t="e">
        <f t="shared" si="40"/>
        <v>#DIV/0!</v>
      </c>
      <c r="AD105" s="271" t="e">
        <f t="shared" si="40"/>
        <v>#DIV/0!</v>
      </c>
      <c r="AE105" s="271" t="e">
        <f t="shared" si="40"/>
        <v>#DIV/0!</v>
      </c>
      <c r="AF105" s="271" t="e">
        <f t="shared" si="40"/>
        <v>#DIV/0!</v>
      </c>
      <c r="AG105" s="271" t="e">
        <f t="shared" si="40"/>
        <v>#DIV/0!</v>
      </c>
      <c r="AH105" s="171"/>
      <c r="AI105" s="70" t="s">
        <v>1053</v>
      </c>
    </row>
    <row r="106" spans="2:35">
      <c r="B106" s="169"/>
      <c r="F106" s="271"/>
      <c r="G106" s="271"/>
      <c r="H106" s="271"/>
      <c r="I106" s="271"/>
      <c r="J106" s="180"/>
      <c r="N106" s="271"/>
      <c r="O106" s="271"/>
      <c r="P106" s="271"/>
      <c r="Q106" s="271"/>
      <c r="R106" s="271"/>
      <c r="S106" s="271"/>
      <c r="T106" s="271"/>
      <c r="U106" s="271"/>
      <c r="V106" s="271"/>
      <c r="W106" s="271"/>
      <c r="X106" s="271"/>
      <c r="Y106" s="271"/>
      <c r="Z106" s="271"/>
      <c r="AA106" s="271"/>
      <c r="AB106" s="271"/>
      <c r="AC106" s="271"/>
      <c r="AD106" s="271"/>
      <c r="AE106" s="271"/>
      <c r="AF106" s="271"/>
      <c r="AG106" s="271"/>
      <c r="AH106" s="171"/>
    </row>
    <row r="107" spans="2:35">
      <c r="B107" s="169"/>
      <c r="F107" s="271"/>
      <c r="G107" s="271"/>
      <c r="H107" s="271"/>
      <c r="I107" s="271"/>
      <c r="J107" s="180"/>
      <c r="N107" s="271"/>
      <c r="O107" s="271"/>
      <c r="P107" s="271"/>
      <c r="Q107" s="271"/>
      <c r="R107" s="271"/>
      <c r="S107" s="271"/>
      <c r="T107" s="271"/>
      <c r="U107" s="271"/>
      <c r="V107" s="271"/>
      <c r="W107" s="271"/>
      <c r="X107" s="271"/>
      <c r="Y107" s="271"/>
      <c r="Z107" s="271"/>
      <c r="AA107" s="271"/>
      <c r="AB107" s="271"/>
      <c r="AC107" s="271"/>
      <c r="AD107" s="271"/>
      <c r="AE107" s="271"/>
      <c r="AF107" s="271"/>
      <c r="AG107" s="271"/>
      <c r="AH107" s="171"/>
    </row>
    <row r="108" spans="2:35" ht="12.75" thickBot="1">
      <c r="B108" s="169"/>
      <c r="D108" s="104" t="s">
        <v>310</v>
      </c>
      <c r="F108" s="271"/>
      <c r="G108" s="271"/>
      <c r="H108" s="271"/>
      <c r="I108" s="271"/>
      <c r="N108" s="291">
        <f>+SUM(N66,N72,N78,N87,N93,N99,N104)</f>
        <v>0</v>
      </c>
      <c r="O108" s="1727">
        <f>+SUM(O66,O72,O78,O87,O93,O99,O104)</f>
        <v>5.475203619909502</v>
      </c>
      <c r="P108" s="291">
        <f>+SUM(P66,P72,P78,P87,P93,P99,P104)</f>
        <v>5.2031509769094137</v>
      </c>
      <c r="Q108" s="291">
        <f t="shared" ref="Q108:AG108" si="41">+SUM(Q66,Q72,Q78,Q87,Q93,Q99,Q104)</f>
        <v>4.9695092024539873</v>
      </c>
      <c r="R108" s="291">
        <f t="shared" si="41"/>
        <v>4.6312744425385928</v>
      </c>
      <c r="S108" s="291">
        <f t="shared" si="41"/>
        <v>5.1434860050890583</v>
      </c>
      <c r="T108" s="291">
        <f t="shared" si="41"/>
        <v>5.901677966101694</v>
      </c>
      <c r="U108" s="291">
        <f t="shared" si="41"/>
        <v>4.7037941176470586</v>
      </c>
      <c r="V108" s="291">
        <f t="shared" si="41"/>
        <v>5.3453711790393008</v>
      </c>
      <c r="W108" s="291">
        <f t="shared" si="41"/>
        <v>4.3609999999999998</v>
      </c>
      <c r="X108" s="291">
        <f t="shared" si="41"/>
        <v>4.0977297954085108</v>
      </c>
      <c r="Y108" s="291">
        <f t="shared" si="41"/>
        <v>4.0209451647103629</v>
      </c>
      <c r="Z108" s="291">
        <f t="shared" si="41"/>
        <v>4.1765106619305827</v>
      </c>
      <c r="AA108" s="291">
        <f t="shared" si="41"/>
        <v>4.4346996307598063</v>
      </c>
      <c r="AB108" s="291">
        <f t="shared" si="41"/>
        <v>4.7397784453172758</v>
      </c>
      <c r="AC108" s="291">
        <f t="shared" si="41"/>
        <v>5.3547700449710103</v>
      </c>
      <c r="AD108" s="291">
        <f t="shared" si="41"/>
        <v>5.8744275392563203</v>
      </c>
      <c r="AE108" s="291">
        <f t="shared" si="41"/>
        <v>5.9957724871611511</v>
      </c>
      <c r="AF108" s="291">
        <f t="shared" si="41"/>
        <v>6.1199126286400762</v>
      </c>
      <c r="AG108" s="291">
        <f t="shared" si="41"/>
        <v>6.2469240210254089</v>
      </c>
      <c r="AH108" s="171"/>
      <c r="AI108" s="70" t="s">
        <v>1053</v>
      </c>
    </row>
    <row r="109" spans="2:35">
      <c r="B109" s="169"/>
      <c r="D109" s="70" t="s">
        <v>307</v>
      </c>
      <c r="H109" s="180"/>
      <c r="I109" s="180"/>
      <c r="J109" s="180"/>
      <c r="N109" s="271"/>
      <c r="O109" s="271"/>
      <c r="P109" s="271">
        <f>P108/O108-1</f>
        <v>-4.9688132512701877E-2</v>
      </c>
      <c r="Q109" s="271">
        <f>Q108/P108-1</f>
        <v>-4.4903900634881366E-2</v>
      </c>
      <c r="R109" s="271">
        <f>R108/Q108-1</f>
        <v>-6.8062004945754206E-2</v>
      </c>
      <c r="S109" s="271">
        <f>S108/R108-1</f>
        <v>0.11059840415540156</v>
      </c>
      <c r="T109" s="271">
        <f t="shared" ref="T109:AG109" si="42">T108/S108-1</f>
        <v>0.1474081897496109</v>
      </c>
      <c r="U109" s="271">
        <f t="shared" si="42"/>
        <v>-0.20297343490022512</v>
      </c>
      <c r="V109" s="271">
        <f t="shared" si="42"/>
        <v>0.13639565111603424</v>
      </c>
      <c r="W109" s="271">
        <f t="shared" si="42"/>
        <v>-0.18415394292903298</v>
      </c>
      <c r="X109" s="271">
        <f t="shared" si="42"/>
        <v>-6.0369228294310684E-2</v>
      </c>
      <c r="Y109" s="271">
        <f t="shared" si="42"/>
        <v>-1.8738334280650859E-2</v>
      </c>
      <c r="Z109" s="271">
        <f t="shared" si="42"/>
        <v>3.8688788542935892E-2</v>
      </c>
      <c r="AA109" s="271">
        <f t="shared" si="42"/>
        <v>6.1819300782025577E-2</v>
      </c>
      <c r="AB109" s="271">
        <f t="shared" si="42"/>
        <v>6.8793568890527013E-2</v>
      </c>
      <c r="AC109" s="271">
        <f t="shared" si="42"/>
        <v>0.12975112797968924</v>
      </c>
      <c r="AD109" s="271">
        <f t="shared" si="42"/>
        <v>9.7045716234509749E-2</v>
      </c>
      <c r="AE109" s="271">
        <f t="shared" si="42"/>
        <v>2.0656471987088754E-2</v>
      </c>
      <c r="AF109" s="271">
        <f t="shared" si="42"/>
        <v>2.0704611748485924E-2</v>
      </c>
      <c r="AG109" s="271">
        <f t="shared" si="42"/>
        <v>2.0753791776526809E-2</v>
      </c>
      <c r="AH109" s="171"/>
      <c r="AI109" s="70" t="s">
        <v>1053</v>
      </c>
    </row>
    <row r="110" spans="2:35" ht="12.75" thickBot="1">
      <c r="B110" s="182"/>
      <c r="C110" s="183"/>
      <c r="D110" s="183"/>
      <c r="E110" s="183"/>
      <c r="F110" s="183"/>
      <c r="G110" s="183"/>
      <c r="H110" s="183"/>
      <c r="I110" s="184"/>
      <c r="J110" s="184"/>
      <c r="K110" s="183"/>
      <c r="L110" s="183"/>
      <c r="M110" s="183"/>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6"/>
    </row>
    <row r="111" spans="2:35">
      <c r="I111" s="180"/>
      <c r="J111" s="180"/>
      <c r="N111" s="180"/>
      <c r="O111" s="180"/>
      <c r="P111" s="180"/>
      <c r="Q111" s="180"/>
      <c r="R111" s="180"/>
      <c r="S111" s="180"/>
      <c r="T111" s="180"/>
      <c r="U111" s="180"/>
      <c r="V111" s="180"/>
      <c r="W111" s="180"/>
      <c r="AB111" s="180"/>
    </row>
    <row r="112" spans="2:35" ht="12.75" thickBot="1"/>
    <row r="113" spans="2:35">
      <c r="B113" s="166"/>
      <c r="C113" s="167"/>
      <c r="D113" s="167"/>
      <c r="E113" s="167"/>
      <c r="F113" s="167"/>
      <c r="G113" s="167"/>
      <c r="H113" s="167"/>
      <c r="I113" s="167"/>
      <c r="J113" s="167"/>
      <c r="K113" s="292"/>
      <c r="L113" s="292"/>
      <c r="M113" s="292"/>
      <c r="N113" s="292"/>
      <c r="O113" s="292"/>
      <c r="P113" s="292"/>
      <c r="Q113" s="292"/>
      <c r="R113" s="167"/>
      <c r="S113" s="167"/>
      <c r="T113" s="167"/>
      <c r="U113" s="167"/>
      <c r="V113" s="167"/>
      <c r="W113" s="167"/>
      <c r="X113" s="167"/>
      <c r="Y113" s="167"/>
      <c r="Z113" s="167"/>
      <c r="AA113" s="167"/>
      <c r="AB113" s="167"/>
      <c r="AC113" s="167"/>
      <c r="AD113" s="167"/>
      <c r="AE113" s="167"/>
      <c r="AF113" s="167"/>
      <c r="AG113" s="167"/>
      <c r="AH113" s="168"/>
    </row>
    <row r="114" spans="2:35">
      <c r="B114" s="169"/>
      <c r="C114" s="170" t="s">
        <v>340</v>
      </c>
      <c r="K114" s="74"/>
      <c r="L114" s="74"/>
      <c r="M114" s="74"/>
      <c r="N114" s="74"/>
      <c r="O114" s="74"/>
      <c r="P114" s="74"/>
      <c r="Q114" s="74"/>
      <c r="AH114" s="171"/>
    </row>
    <row r="115" spans="2:35">
      <c r="B115" s="169"/>
      <c r="K115" s="74"/>
      <c r="L115" s="74"/>
      <c r="M115" s="74"/>
      <c r="N115" s="74"/>
      <c r="O115" s="74"/>
      <c r="P115" s="74"/>
      <c r="Q115" s="74"/>
      <c r="AH115" s="171"/>
    </row>
    <row r="116" spans="2:35">
      <c r="B116" s="169"/>
      <c r="D116" s="70" t="s">
        <v>341</v>
      </c>
      <c r="F116" s="271"/>
      <c r="G116" s="271"/>
      <c r="H116" s="271"/>
      <c r="I116" s="271"/>
      <c r="K116" s="74"/>
      <c r="L116" s="74"/>
      <c r="M116" s="74"/>
      <c r="N116" s="286"/>
      <c r="O116" s="294"/>
      <c r="P116" s="266"/>
      <c r="Q116" s="266"/>
      <c r="R116" s="266"/>
      <c r="S116" s="266"/>
      <c r="T116" s="266"/>
      <c r="U116" s="266"/>
      <c r="V116" s="266"/>
      <c r="W116" s="296"/>
      <c r="X116" s="266"/>
      <c r="Y116" s="266"/>
      <c r="Z116" s="266"/>
      <c r="AA116" s="266"/>
      <c r="AB116" s="266"/>
      <c r="AC116" s="295"/>
      <c r="AD116" s="266"/>
      <c r="AE116" s="266"/>
      <c r="AF116" s="266"/>
      <c r="AG116" s="296"/>
      <c r="AH116" s="171"/>
    </row>
    <row r="117" spans="2:35">
      <c r="B117" s="169"/>
      <c r="D117" s="70" t="s">
        <v>342</v>
      </c>
      <c r="F117" s="271"/>
      <c r="G117" s="271"/>
      <c r="H117" s="271"/>
      <c r="I117" s="271"/>
      <c r="K117" s="74"/>
      <c r="L117" s="74"/>
      <c r="M117" s="74"/>
      <c r="N117" s="287"/>
      <c r="O117" s="1740"/>
      <c r="P117" s="298"/>
      <c r="Q117" s="298"/>
      <c r="R117" s="298"/>
      <c r="S117" s="298"/>
      <c r="T117" s="298"/>
      <c r="U117" s="298"/>
      <c r="V117" s="298"/>
      <c r="W117" s="305"/>
      <c r="X117" s="298"/>
      <c r="Y117" s="298"/>
      <c r="Z117" s="298"/>
      <c r="AA117" s="298"/>
      <c r="AB117" s="298"/>
      <c r="AC117" s="297"/>
      <c r="AD117" s="298"/>
      <c r="AE117" s="298"/>
      <c r="AF117" s="298"/>
      <c r="AG117" s="305"/>
      <c r="AH117" s="171"/>
    </row>
    <row r="118" spans="2:35">
      <c r="B118" s="169"/>
      <c r="D118" s="70" t="s">
        <v>343</v>
      </c>
      <c r="F118" s="271"/>
      <c r="G118" s="271"/>
      <c r="H118" s="271"/>
      <c r="I118" s="271"/>
      <c r="K118" s="74"/>
      <c r="L118" s="74"/>
      <c r="M118" s="74"/>
      <c r="N118" s="286"/>
      <c r="O118" s="294">
        <v>3.9854389140271489</v>
      </c>
      <c r="P118" s="266">
        <v>4.1237494720337482</v>
      </c>
      <c r="Q118" s="266">
        <v>4.1075076806134962</v>
      </c>
      <c r="R118" s="266">
        <v>4.0760896430017146</v>
      </c>
      <c r="S118" s="266">
        <v>4.4288469567430022</v>
      </c>
      <c r="T118" s="266">
        <v>5.197753856101694</v>
      </c>
      <c r="U118" s="266">
        <v>6.0013834632579171</v>
      </c>
      <c r="V118" s="266">
        <v>6.1374435698689949</v>
      </c>
      <c r="W118" s="296">
        <v>6.2931697500000006</v>
      </c>
      <c r="X118" s="266">
        <v>6.5638115698689949</v>
      </c>
      <c r="Y118" s="266">
        <v>6.7952495698689948</v>
      </c>
      <c r="Z118" s="266">
        <v>6.7077965698689948</v>
      </c>
      <c r="AA118" s="266">
        <v>6.7117035698689946</v>
      </c>
      <c r="AB118" s="266">
        <v>6.9114795698689946</v>
      </c>
      <c r="AC118" s="295">
        <v>6.9114795698689946</v>
      </c>
      <c r="AD118" s="266">
        <v>6.9114795698689946</v>
      </c>
      <c r="AE118" s="266">
        <v>6.9114795698689946</v>
      </c>
      <c r="AF118" s="266">
        <v>6.9114795698689946</v>
      </c>
      <c r="AG118" s="296">
        <v>6.9114795698689946</v>
      </c>
      <c r="AH118" s="171"/>
    </row>
    <row r="119" spans="2:35">
      <c r="B119" s="169"/>
      <c r="D119" s="70" t="s">
        <v>346</v>
      </c>
      <c r="F119" s="271"/>
      <c r="G119" s="271"/>
      <c r="H119" s="271"/>
      <c r="I119" s="271"/>
      <c r="J119" s="282"/>
      <c r="K119" s="74"/>
      <c r="L119" s="74"/>
      <c r="M119" s="74"/>
      <c r="N119" s="281"/>
      <c r="O119" s="282">
        <f t="shared" ref="O119:T119" si="43">SUM(O116:O118)</f>
        <v>3.9854389140271489</v>
      </c>
      <c r="P119" s="282">
        <f t="shared" si="43"/>
        <v>4.1237494720337482</v>
      </c>
      <c r="Q119" s="282">
        <f t="shared" si="43"/>
        <v>4.1075076806134962</v>
      </c>
      <c r="R119" s="282">
        <f t="shared" si="43"/>
        <v>4.0760896430017146</v>
      </c>
      <c r="S119" s="282">
        <f t="shared" si="43"/>
        <v>4.4288469567430022</v>
      </c>
      <c r="T119" s="282">
        <f t="shared" si="43"/>
        <v>5.197753856101694</v>
      </c>
      <c r="U119" s="282">
        <f t="shared" ref="U119:AB119" si="44">SUM(U116:U118)</f>
        <v>6.0013834632579171</v>
      </c>
      <c r="V119" s="282">
        <f t="shared" si="44"/>
        <v>6.1374435698689949</v>
      </c>
      <c r="W119" s="282">
        <f t="shared" si="44"/>
        <v>6.2931697500000006</v>
      </c>
      <c r="X119" s="282">
        <f t="shared" si="44"/>
        <v>6.5638115698689949</v>
      </c>
      <c r="Y119" s="282">
        <f t="shared" si="44"/>
        <v>6.7952495698689948</v>
      </c>
      <c r="Z119" s="282">
        <f t="shared" si="44"/>
        <v>6.7077965698689948</v>
      </c>
      <c r="AA119" s="282">
        <f t="shared" si="44"/>
        <v>6.7117035698689946</v>
      </c>
      <c r="AB119" s="282">
        <f t="shared" si="44"/>
        <v>6.9114795698689946</v>
      </c>
      <c r="AC119" s="282">
        <f>SUM(AC116:AC118)</f>
        <v>6.9114795698689946</v>
      </c>
      <c r="AD119" s="282">
        <f>SUM(AD116:AD118)</f>
        <v>6.9114795698689946</v>
      </c>
      <c r="AE119" s="282">
        <f>SUM(AE116:AE118)</f>
        <v>6.9114795698689946</v>
      </c>
      <c r="AF119" s="282">
        <f>SUM(AF116:AF118)</f>
        <v>6.9114795698689946</v>
      </c>
      <c r="AG119" s="282">
        <f>SUM(AG116:AG118)</f>
        <v>6.9114795698689946</v>
      </c>
      <c r="AH119" s="171"/>
      <c r="AI119" s="70" t="s">
        <v>1053</v>
      </c>
    </row>
    <row r="120" spans="2:35">
      <c r="B120" s="169"/>
      <c r="D120" s="70" t="s">
        <v>307</v>
      </c>
      <c r="H120" s="180"/>
      <c r="I120" s="180"/>
      <c r="J120" s="180"/>
      <c r="K120" s="74"/>
      <c r="L120" s="74"/>
      <c r="M120" s="74"/>
      <c r="N120" s="276"/>
      <c r="O120" s="271"/>
      <c r="P120" s="271">
        <f>P119/O119-1</f>
        <v>3.4703971379363319E-2</v>
      </c>
      <c r="Q120" s="271">
        <f>Q119/P119-1</f>
        <v>-3.9385979993207254E-3</v>
      </c>
      <c r="R120" s="271">
        <f>R119/Q119-1</f>
        <v>-7.6489297293508285E-3</v>
      </c>
      <c r="S120" s="271">
        <f>S119/R119-1</f>
        <v>8.6543070598788407E-2</v>
      </c>
      <c r="T120" s="271">
        <f>T119/S119-1</f>
        <v>0.17361333703076309</v>
      </c>
      <c r="U120" s="271">
        <f t="shared" ref="U120:AG120" si="45">U119/T119-1</f>
        <v>0.15461093953358995</v>
      </c>
      <c r="V120" s="271">
        <f t="shared" si="45"/>
        <v>2.2671456913905708E-2</v>
      </c>
      <c r="W120" s="271">
        <f t="shared" si="45"/>
        <v>2.5373134328358526E-2</v>
      </c>
      <c r="X120" s="271">
        <f t="shared" si="45"/>
        <v>4.300564431286702E-2</v>
      </c>
      <c r="Y120" s="271">
        <f t="shared" si="45"/>
        <v>3.5259695915466294E-2</v>
      </c>
      <c r="Z120" s="271">
        <f t="shared" si="45"/>
        <v>-1.2869725990312109E-2</v>
      </c>
      <c r="AA120" s="271">
        <f t="shared" si="45"/>
        <v>5.8245654281607884E-4</v>
      </c>
      <c r="AB120" s="271">
        <f t="shared" si="45"/>
        <v>2.97653193291878E-2</v>
      </c>
      <c r="AC120" s="271">
        <f t="shared" si="45"/>
        <v>0</v>
      </c>
      <c r="AD120" s="271">
        <f t="shared" si="45"/>
        <v>0</v>
      </c>
      <c r="AE120" s="271">
        <f t="shared" si="45"/>
        <v>0</v>
      </c>
      <c r="AF120" s="271">
        <f t="shared" si="45"/>
        <v>0</v>
      </c>
      <c r="AG120" s="271">
        <f t="shared" si="45"/>
        <v>0</v>
      </c>
      <c r="AH120" s="171"/>
      <c r="AI120" s="70" t="s">
        <v>1053</v>
      </c>
    </row>
    <row r="121" spans="2:35" ht="12.75" thickBot="1">
      <c r="B121" s="182"/>
      <c r="C121" s="183"/>
      <c r="D121" s="183"/>
      <c r="E121" s="183"/>
      <c r="F121" s="183"/>
      <c r="G121" s="183"/>
      <c r="H121" s="183"/>
      <c r="I121" s="184"/>
      <c r="J121" s="184"/>
      <c r="K121" s="199"/>
      <c r="L121" s="199"/>
      <c r="M121" s="199"/>
      <c r="N121" s="293"/>
      <c r="O121" s="184"/>
      <c r="P121" s="184"/>
      <c r="Q121" s="184"/>
      <c r="R121" s="184"/>
      <c r="S121" s="184"/>
      <c r="T121" s="184"/>
      <c r="U121" s="184"/>
      <c r="V121" s="184"/>
      <c r="W121" s="184"/>
      <c r="X121" s="184"/>
      <c r="Y121" s="184"/>
      <c r="Z121" s="184"/>
      <c r="AA121" s="184"/>
      <c r="AB121" s="184"/>
      <c r="AC121" s="184"/>
      <c r="AD121" s="184"/>
      <c r="AE121" s="184"/>
      <c r="AF121" s="184"/>
      <c r="AG121" s="184"/>
      <c r="AH121" s="186"/>
    </row>
    <row r="122" spans="2:35">
      <c r="I122" s="180"/>
      <c r="J122" s="180"/>
      <c r="K122" s="74"/>
      <c r="L122" s="74"/>
      <c r="M122" s="74"/>
      <c r="N122" s="281"/>
      <c r="O122" s="180"/>
      <c r="P122" s="180"/>
      <c r="Q122" s="180"/>
      <c r="R122" s="180"/>
      <c r="S122" s="180"/>
      <c r="T122" s="180"/>
      <c r="U122" s="180"/>
      <c r="V122" s="180"/>
      <c r="W122" s="180"/>
      <c r="AB122" s="180"/>
    </row>
    <row r="123" spans="2:35" ht="12.75" thickBot="1">
      <c r="K123" s="74"/>
      <c r="L123" s="74"/>
      <c r="M123" s="74"/>
      <c r="N123" s="74"/>
    </row>
    <row r="124" spans="2:35">
      <c r="B124" s="166"/>
      <c r="C124" s="167"/>
      <c r="D124" s="167"/>
      <c r="E124" s="167"/>
      <c r="F124" s="167"/>
      <c r="G124" s="167"/>
      <c r="H124" s="167"/>
      <c r="I124" s="167"/>
      <c r="J124" s="167"/>
      <c r="K124" s="292"/>
      <c r="L124" s="292"/>
      <c r="M124" s="292"/>
      <c r="N124" s="292"/>
      <c r="O124" s="167"/>
      <c r="P124" s="167"/>
      <c r="Q124" s="167"/>
      <c r="R124" s="167"/>
      <c r="S124" s="167"/>
      <c r="T124" s="167"/>
      <c r="U124" s="167"/>
      <c r="V124" s="167"/>
      <c r="W124" s="167"/>
      <c r="X124" s="167"/>
      <c r="Y124" s="167"/>
      <c r="Z124" s="167"/>
      <c r="AA124" s="167"/>
      <c r="AB124" s="167"/>
      <c r="AC124" s="167"/>
      <c r="AD124" s="167"/>
      <c r="AE124" s="167"/>
      <c r="AF124" s="167"/>
      <c r="AG124" s="167"/>
      <c r="AH124" s="168"/>
    </row>
    <row r="125" spans="2:35">
      <c r="B125" s="169"/>
      <c r="C125" s="170" t="s">
        <v>311</v>
      </c>
      <c r="K125" s="74"/>
      <c r="L125" s="74"/>
      <c r="M125" s="74"/>
      <c r="N125" s="74"/>
      <c r="AH125" s="171"/>
    </row>
    <row r="126" spans="2:35">
      <c r="B126" s="169"/>
      <c r="K126" s="74"/>
      <c r="L126" s="74"/>
      <c r="M126" s="74"/>
      <c r="N126" s="74"/>
      <c r="AH126" s="171"/>
    </row>
    <row r="127" spans="2:35">
      <c r="B127" s="169"/>
      <c r="D127" s="70" t="s">
        <v>324</v>
      </c>
      <c r="F127" s="271"/>
      <c r="G127" s="271"/>
      <c r="H127" s="271"/>
      <c r="I127" s="271"/>
      <c r="K127" s="74"/>
      <c r="L127" s="74"/>
      <c r="M127" s="74"/>
      <c r="N127" s="286"/>
      <c r="O127" s="294">
        <v>0.86457285067873302</v>
      </c>
      <c r="P127" s="266">
        <v>0.89814707904085245</v>
      </c>
      <c r="Q127" s="266">
        <v>1.0568432024539878</v>
      </c>
      <c r="R127" s="266">
        <v>1.0288029854202401</v>
      </c>
      <c r="S127" s="266">
        <v>1.0208936615776081</v>
      </c>
      <c r="T127" s="266">
        <v>1.48053306779661</v>
      </c>
      <c r="U127" s="266">
        <v>1.3755589615384616</v>
      </c>
      <c r="V127" s="266">
        <v>1.296481890829694</v>
      </c>
      <c r="W127" s="296">
        <v>1.292306</v>
      </c>
      <c r="X127" s="295">
        <v>1.2954818908296941</v>
      </c>
      <c r="Y127" s="266">
        <v>1.3094818908296939</v>
      </c>
      <c r="Z127" s="266">
        <v>1.3234818908296939</v>
      </c>
      <c r="AA127" s="266">
        <v>1.3374818908296939</v>
      </c>
      <c r="AB127" s="296">
        <v>1.3524818908296941</v>
      </c>
      <c r="AC127" s="295">
        <v>1.3524818908296941</v>
      </c>
      <c r="AD127" s="266">
        <v>1.3524818908296941</v>
      </c>
      <c r="AE127" s="266">
        <v>1.3524818908296941</v>
      </c>
      <c r="AF127" s="266">
        <v>1.3524818908296941</v>
      </c>
      <c r="AG127" s="296">
        <v>1.3524818908296941</v>
      </c>
      <c r="AH127" s="171"/>
    </row>
    <row r="128" spans="2:35">
      <c r="B128" s="169"/>
      <c r="D128" s="70" t="s">
        <v>314</v>
      </c>
      <c r="F128" s="271"/>
      <c r="G128" s="271"/>
      <c r="H128" s="271"/>
      <c r="I128" s="271"/>
      <c r="K128" s="74"/>
      <c r="L128" s="74"/>
      <c r="M128" s="74"/>
      <c r="N128" s="287"/>
      <c r="O128" s="1740">
        <v>1.1255999999999999</v>
      </c>
      <c r="P128" s="298">
        <v>0.99295338809946709</v>
      </c>
      <c r="Q128" s="298">
        <v>1.1226195276073621</v>
      </c>
      <c r="R128" s="298">
        <v>0.97602479845626067</v>
      </c>
      <c r="S128" s="298">
        <v>1.0634962849872773</v>
      </c>
      <c r="T128" s="298">
        <v>1.1959897457627118</v>
      </c>
      <c r="U128" s="298">
        <v>1.0664646176470589</v>
      </c>
      <c r="V128" s="298">
        <v>0.92443893668122268</v>
      </c>
      <c r="W128" s="305">
        <v>1.0914999999999999</v>
      </c>
      <c r="X128" s="297">
        <v>1.4064389366812227</v>
      </c>
      <c r="Y128" s="298">
        <v>1.4164389366812227</v>
      </c>
      <c r="Z128" s="298">
        <v>1.4274389366812228</v>
      </c>
      <c r="AA128" s="298">
        <v>1.4384389366812227</v>
      </c>
      <c r="AB128" s="305">
        <v>1.4494389366812228</v>
      </c>
      <c r="AC128" s="297">
        <v>1.4494389366812228</v>
      </c>
      <c r="AD128" s="298">
        <v>1.4494389366812228</v>
      </c>
      <c r="AE128" s="298">
        <v>1.4494389366812228</v>
      </c>
      <c r="AF128" s="298">
        <v>1.4494389366812228</v>
      </c>
      <c r="AG128" s="305">
        <v>1.4494389366812228</v>
      </c>
      <c r="AH128" s="171"/>
    </row>
    <row r="129" spans="2:35">
      <c r="B129" s="169"/>
      <c r="D129" s="70" t="s">
        <v>313</v>
      </c>
      <c r="F129" s="271"/>
      <c r="G129" s="271"/>
      <c r="H129" s="271"/>
      <c r="I129" s="271"/>
      <c r="K129" s="74"/>
      <c r="L129" s="74"/>
      <c r="M129" s="74"/>
      <c r="N129" s="286"/>
      <c r="O129" s="294"/>
      <c r="P129" s="266"/>
      <c r="Q129" s="266"/>
      <c r="R129" s="266"/>
      <c r="S129" s="266"/>
      <c r="T129" s="266"/>
      <c r="U129" s="266"/>
      <c r="V129" s="266"/>
      <c r="W129" s="296"/>
      <c r="X129" s="295"/>
      <c r="Y129" s="266"/>
      <c r="Z129" s="266"/>
      <c r="AA129" s="266"/>
      <c r="AB129" s="296"/>
      <c r="AC129" s="295"/>
      <c r="AD129" s="266"/>
      <c r="AE129" s="266"/>
      <c r="AF129" s="266"/>
      <c r="AG129" s="296"/>
      <c r="AH129" s="171"/>
    </row>
    <row r="130" spans="2:35">
      <c r="B130" s="169"/>
      <c r="D130" s="70" t="s">
        <v>312</v>
      </c>
      <c r="F130" s="271"/>
      <c r="G130" s="271"/>
      <c r="H130" s="271"/>
      <c r="I130" s="271"/>
      <c r="J130" s="282"/>
      <c r="K130" s="74"/>
      <c r="L130" s="74"/>
      <c r="M130" s="74"/>
      <c r="N130" s="281"/>
      <c r="O130" s="282">
        <f>SUM(O127:O129)</f>
        <v>1.9901728506787331</v>
      </c>
      <c r="P130" s="282">
        <f>SUM(P127:P129)</f>
        <v>1.8911004671403195</v>
      </c>
      <c r="Q130" s="282">
        <f>SUM(Q127:Q129)</f>
        <v>2.1794627300613501</v>
      </c>
      <c r="R130" s="282">
        <f>SUM(R127:R129)</f>
        <v>2.0048277838765007</v>
      </c>
      <c r="S130" s="282">
        <f t="shared" ref="S130:AB130" si="46">SUM(S127:S129)</f>
        <v>2.0843899465648854</v>
      </c>
      <c r="T130" s="282">
        <f t="shared" si="46"/>
        <v>2.6765228135593215</v>
      </c>
      <c r="U130" s="282">
        <f t="shared" si="46"/>
        <v>2.4420235791855207</v>
      </c>
      <c r="V130" s="282">
        <f t="shared" si="46"/>
        <v>2.2209208275109167</v>
      </c>
      <c r="W130" s="282">
        <f t="shared" si="46"/>
        <v>2.3838059999999999</v>
      </c>
      <c r="X130" s="282">
        <f t="shared" si="46"/>
        <v>2.701920827510917</v>
      </c>
      <c r="Y130" s="282">
        <f t="shared" si="46"/>
        <v>2.7259208275109166</v>
      </c>
      <c r="Z130" s="282">
        <f t="shared" si="46"/>
        <v>2.7509208275109165</v>
      </c>
      <c r="AA130" s="282">
        <f t="shared" si="46"/>
        <v>2.7759208275109168</v>
      </c>
      <c r="AB130" s="282">
        <f t="shared" si="46"/>
        <v>2.8019208275109166</v>
      </c>
      <c r="AC130" s="282">
        <f>SUM(AC127:AC129)</f>
        <v>2.8019208275109166</v>
      </c>
      <c r="AD130" s="282">
        <f>SUM(AD127:AD129)</f>
        <v>2.8019208275109166</v>
      </c>
      <c r="AE130" s="282">
        <f>SUM(AE127:AE129)</f>
        <v>2.8019208275109166</v>
      </c>
      <c r="AF130" s="282">
        <f>SUM(AF127:AF129)</f>
        <v>2.8019208275109166</v>
      </c>
      <c r="AG130" s="282">
        <f>SUM(AG127:AG129)</f>
        <v>2.8019208275109166</v>
      </c>
      <c r="AH130" s="171"/>
      <c r="AI130" s="70" t="s">
        <v>1053</v>
      </c>
    </row>
    <row r="131" spans="2:35">
      <c r="B131" s="169"/>
      <c r="D131" s="70" t="s">
        <v>307</v>
      </c>
      <c r="H131" s="180"/>
      <c r="I131" s="180"/>
      <c r="J131" s="180"/>
      <c r="K131" s="74"/>
      <c r="L131" s="74"/>
      <c r="M131" s="74"/>
      <c r="N131" s="276"/>
      <c r="O131" s="276"/>
      <c r="P131" s="271">
        <f>P130/O130-1</f>
        <v>-4.9780793414313518E-2</v>
      </c>
      <c r="Q131" s="271">
        <f>Q130/P130-1</f>
        <v>0.15248384098655832</v>
      </c>
      <c r="R131" s="271">
        <f>R130/Q130-1</f>
        <v>-8.0127521235443866E-2</v>
      </c>
      <c r="S131" s="271">
        <f>S130/R130-1</f>
        <v>3.9685285353809663E-2</v>
      </c>
      <c r="T131" s="271">
        <f t="shared" ref="T131:AG131" si="47">T130/S130-1</f>
        <v>0.28407969822071077</v>
      </c>
      <c r="U131" s="271">
        <f t="shared" si="47"/>
        <v>-8.7613388978350137E-2</v>
      </c>
      <c r="V131" s="271">
        <f t="shared" si="47"/>
        <v>-9.0540793118937701E-2</v>
      </c>
      <c r="W131" s="271">
        <f t="shared" si="47"/>
        <v>7.3341278298351575E-2</v>
      </c>
      <c r="X131" s="271">
        <f t="shared" si="47"/>
        <v>0.13344828711351386</v>
      </c>
      <c r="Y131" s="271">
        <f t="shared" si="47"/>
        <v>8.882569672520324E-3</v>
      </c>
      <c r="Z131" s="271">
        <f t="shared" si="47"/>
        <v>9.1712128054826092E-3</v>
      </c>
      <c r="AA131" s="271">
        <f t="shared" si="47"/>
        <v>9.0878660519724264E-3</v>
      </c>
      <c r="AB131" s="271">
        <f t="shared" si="47"/>
        <v>9.3662613653548998E-3</v>
      </c>
      <c r="AC131" s="271">
        <f t="shared" si="47"/>
        <v>0</v>
      </c>
      <c r="AD131" s="271">
        <f t="shared" si="47"/>
        <v>0</v>
      </c>
      <c r="AE131" s="271">
        <f t="shared" si="47"/>
        <v>0</v>
      </c>
      <c r="AF131" s="271">
        <f t="shared" si="47"/>
        <v>0</v>
      </c>
      <c r="AG131" s="271">
        <f t="shared" si="47"/>
        <v>0</v>
      </c>
      <c r="AH131" s="171"/>
      <c r="AI131" s="70" t="s">
        <v>1053</v>
      </c>
    </row>
    <row r="132" spans="2:35" ht="12.75" thickBot="1">
      <c r="B132" s="182"/>
      <c r="C132" s="183"/>
      <c r="D132" s="183"/>
      <c r="E132" s="183"/>
      <c r="F132" s="183"/>
      <c r="G132" s="183"/>
      <c r="H132" s="183"/>
      <c r="I132" s="184"/>
      <c r="J132" s="184"/>
      <c r="K132" s="199"/>
      <c r="L132" s="199"/>
      <c r="M132" s="199"/>
      <c r="N132" s="293"/>
      <c r="O132" s="293"/>
      <c r="P132" s="293"/>
      <c r="Q132" s="293"/>
      <c r="R132" s="184"/>
      <c r="S132" s="184"/>
      <c r="T132" s="184"/>
      <c r="U132" s="184"/>
      <c r="V132" s="184"/>
      <c r="W132" s="184"/>
      <c r="X132" s="184"/>
      <c r="Y132" s="184"/>
      <c r="Z132" s="184"/>
      <c r="AA132" s="184"/>
      <c r="AB132" s="184"/>
      <c r="AC132" s="184"/>
      <c r="AD132" s="184"/>
      <c r="AE132" s="184"/>
      <c r="AF132" s="184"/>
      <c r="AG132" s="184"/>
      <c r="AH132" s="186"/>
    </row>
    <row r="133" spans="2:35">
      <c r="K133" s="74"/>
      <c r="L133" s="74"/>
      <c r="M133" s="74"/>
      <c r="N133" s="74"/>
      <c r="O133" s="74"/>
      <c r="P133" s="74"/>
      <c r="Q133" s="74"/>
    </row>
    <row r="134" spans="2:35">
      <c r="K134" s="74"/>
      <c r="L134" s="74"/>
      <c r="M134" s="74"/>
      <c r="N134" s="74"/>
      <c r="O134" s="74"/>
      <c r="P134" s="74"/>
      <c r="Q134" s="74"/>
    </row>
    <row r="135" spans="2:35">
      <c r="K135" s="74"/>
      <c r="L135" s="74"/>
      <c r="M135" s="74"/>
      <c r="N135" s="74"/>
      <c r="O135" s="74"/>
      <c r="P135" s="74"/>
      <c r="Q135" s="74"/>
    </row>
    <row r="136" spans="2:35">
      <c r="K136" s="74"/>
      <c r="L136" s="74"/>
      <c r="M136" s="74"/>
      <c r="N136" s="74"/>
      <c r="O136" s="74"/>
      <c r="P136" s="74"/>
      <c r="Q136" s="74"/>
    </row>
    <row r="137" spans="2:35">
      <c r="K137" s="74"/>
      <c r="L137" s="74"/>
      <c r="M137" s="74"/>
      <c r="N137" s="74"/>
      <c r="O137" s="74"/>
      <c r="P137" s="74"/>
      <c r="Q137" s="74"/>
    </row>
    <row r="138" spans="2:35">
      <c r="K138" s="74"/>
      <c r="L138" s="74"/>
      <c r="M138" s="74"/>
      <c r="N138" s="74"/>
      <c r="O138" s="74"/>
      <c r="P138" s="74"/>
      <c r="Q138" s="74"/>
    </row>
    <row r="139" spans="2:35">
      <c r="K139" s="74"/>
      <c r="L139" s="74"/>
      <c r="M139" s="74"/>
      <c r="N139" s="74"/>
      <c r="O139" s="74"/>
      <c r="P139" s="74"/>
      <c r="Q139" s="74"/>
    </row>
  </sheetData>
  <sheetProtection algorithmName="SHA-512" hashValue="aa8Bl3OTBqTL6ZyAvUSyhULjfzFoAniFIWSCLMmA6idlEOOSdFtTqagqVXSqrclboQbNJozjOfi73N5IhUYMTQ==" saltValue="krE6J2OWSQohQwxC0vUWew==" spinCount="100000" sheet="1" objects="1" scenarios="1"/>
  <mergeCells count="1">
    <mergeCell ref="B3:F3"/>
  </mergeCells>
  <hyperlinks>
    <hyperlink ref="B3" location="HL_Home" tooltip="Go to Table of Contents" display="HL_Home" xr:uid="{00000000-0004-0000-0300-000000000000}"/>
  </hyperlinks>
  <pageMargins left="0.7" right="0.7" top="0.75" bottom="0.75" header="0.3" footer="0.3"/>
  <pageSetup paperSize="9" orientation="portrait" r:id="rId1"/>
  <headerFooter>
    <oddHeader>&amp;C&amp;"Calibri"&amp;12&amp;KFF0000 OFFICIAL&amp;1#_x000D_&amp;"Arial"&amp;8&amp;K000000&amp;B&amp;"Arial"&amp;12&amp;Kff0000​‌OFFICIAL‌​</oddHead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autoPageBreaks="0"/>
  </sheetPr>
  <dimension ref="A1:AK227"/>
  <sheetViews>
    <sheetView showGridLines="0" topLeftCell="E1" zoomScaleNormal="100" workbookViewId="0">
      <pane ySplit="6" topLeftCell="A90" activePane="bottomLeft" state="frozen"/>
      <selection activeCell="U1" sqref="U1"/>
      <selection pane="bottomLeft" activeCell="AE59" sqref="AE59"/>
    </sheetView>
  </sheetViews>
  <sheetFormatPr defaultColWidth="9.33203125" defaultRowHeight="12" outlineLevelRow="1" outlineLevelCol="1"/>
  <cols>
    <col min="1" max="2" width="4" style="70" customWidth="1"/>
    <col min="3" max="3" width="10.33203125" style="70" customWidth="1"/>
    <col min="4" max="4" width="9.33203125" style="70"/>
    <col min="5" max="5" width="66.5" style="70" customWidth="1"/>
    <col min="6" max="6" width="13" style="70" customWidth="1"/>
    <col min="7" max="7" width="9.33203125" style="70"/>
    <col min="8" max="8" width="17.33203125" style="70" customWidth="1"/>
    <col min="9" max="9" width="10" style="70" customWidth="1"/>
    <col min="10" max="10" width="14.5" style="70" hidden="1" customWidth="1" outlineLevel="1"/>
    <col min="11" max="14" width="9.33203125" style="70" hidden="1" customWidth="1" outlineLevel="1"/>
    <col min="15" max="15" width="9.33203125" style="70" customWidth="1" collapsed="1"/>
    <col min="16" max="18" width="9.33203125" style="70" customWidth="1"/>
    <col min="19" max="21" width="11" style="70" customWidth="1"/>
    <col min="22" max="33" width="10.6640625" style="70" customWidth="1"/>
    <col min="34" max="34" width="5.6640625" style="70" customWidth="1"/>
    <col min="35" max="16384" width="9.33203125" style="70"/>
  </cols>
  <sheetData>
    <row r="1" spans="1:37" ht="15">
      <c r="B1" s="153" t="s">
        <v>509</v>
      </c>
      <c r="G1" s="60"/>
    </row>
    <row r="2" spans="1:37" ht="12.75">
      <c r="B2" s="155" t="str">
        <f>+Model_Name</f>
        <v>North East Water</v>
      </c>
      <c r="G2" s="60"/>
    </row>
    <row r="3" spans="1:37">
      <c r="B3" s="2212" t="s">
        <v>0</v>
      </c>
      <c r="C3" s="2212"/>
      <c r="D3" s="2212"/>
      <c r="E3" s="2212"/>
      <c r="F3" s="2212"/>
      <c r="H3" s="71"/>
      <c r="I3" s="71"/>
      <c r="J3" s="71"/>
    </row>
    <row r="4" spans="1:37">
      <c r="B4" s="72"/>
      <c r="C4" s="73"/>
      <c r="D4" s="66"/>
      <c r="E4" s="66"/>
      <c r="F4" s="66"/>
      <c r="G4" s="66"/>
      <c r="H4" s="66"/>
      <c r="I4" s="66" t="s">
        <v>60</v>
      </c>
      <c r="J4" s="66"/>
      <c r="K4" s="63"/>
      <c r="L4" s="149"/>
      <c r="M4" s="149" t="s">
        <v>274</v>
      </c>
      <c r="N4" s="149"/>
      <c r="O4" s="149"/>
      <c r="P4" s="1619"/>
      <c r="Q4" s="150"/>
      <c r="R4" s="150"/>
      <c r="S4" s="150"/>
      <c r="T4" s="1619" t="s">
        <v>334</v>
      </c>
      <c r="U4" s="150"/>
      <c r="V4" s="150"/>
      <c r="W4" s="150"/>
      <c r="X4" s="1619"/>
      <c r="Y4" s="150"/>
      <c r="Z4" s="150" t="s">
        <v>465</v>
      </c>
      <c r="AA4" s="150"/>
      <c r="AB4" s="62"/>
      <c r="AC4" s="64"/>
      <c r="AD4" s="64"/>
      <c r="AE4" s="150" t="s">
        <v>949</v>
      </c>
      <c r="AF4" s="63"/>
      <c r="AG4" s="62"/>
    </row>
    <row r="5" spans="1:37">
      <c r="C5" s="65">
        <v>2006</v>
      </c>
      <c r="D5" s="66">
        <v>2007</v>
      </c>
      <c r="E5" s="66">
        <v>2008</v>
      </c>
      <c r="F5" s="66">
        <v>2009</v>
      </c>
      <c r="G5" s="66">
        <v>2010</v>
      </c>
      <c r="H5" s="66">
        <v>2011</v>
      </c>
      <c r="I5" s="66">
        <v>2012</v>
      </c>
      <c r="J5" s="66"/>
      <c r="K5" s="67">
        <v>2014</v>
      </c>
      <c r="L5" s="67">
        <v>2015</v>
      </c>
      <c r="M5" s="67">
        <v>2016</v>
      </c>
      <c r="N5" s="67">
        <v>2017</v>
      </c>
      <c r="O5" s="67">
        <v>2018</v>
      </c>
      <c r="P5" s="67">
        <v>2019</v>
      </c>
      <c r="Q5" s="67">
        <v>2020</v>
      </c>
      <c r="R5" s="67">
        <v>2021</v>
      </c>
      <c r="S5" s="67">
        <v>2022</v>
      </c>
      <c r="T5" s="67">
        <v>2023</v>
      </c>
      <c r="U5" s="67">
        <v>2024</v>
      </c>
      <c r="V5" s="67">
        <v>2025</v>
      </c>
      <c r="W5" s="67">
        <v>2026</v>
      </c>
      <c r="X5" s="67">
        <v>2027</v>
      </c>
      <c r="Y5" s="67">
        <v>2028</v>
      </c>
      <c r="Z5" s="1301">
        <f>Y5+1</f>
        <v>2029</v>
      </c>
      <c r="AA5" s="1301">
        <f t="shared" ref="AA5:AG5" si="0">Z5+1</f>
        <v>2030</v>
      </c>
      <c r="AB5" s="1301">
        <f t="shared" si="0"/>
        <v>2031</v>
      </c>
      <c r="AC5" s="1301">
        <f t="shared" si="0"/>
        <v>2032</v>
      </c>
      <c r="AD5" s="1301">
        <f t="shared" si="0"/>
        <v>2033</v>
      </c>
      <c r="AE5" s="1301">
        <f t="shared" si="0"/>
        <v>2034</v>
      </c>
      <c r="AF5" s="1301">
        <f t="shared" si="0"/>
        <v>2035</v>
      </c>
      <c r="AG5" s="1301">
        <f t="shared" si="0"/>
        <v>2036</v>
      </c>
    </row>
    <row r="6" spans="1:37">
      <c r="A6" s="75"/>
      <c r="B6" s="70" t="s">
        <v>971</v>
      </c>
      <c r="C6" s="75"/>
      <c r="D6" s="68"/>
      <c r="E6" s="68"/>
      <c r="F6" s="68"/>
      <c r="G6" s="68"/>
      <c r="H6" s="68"/>
      <c r="I6" s="68"/>
      <c r="J6" s="68"/>
      <c r="K6" s="68" t="str">
        <f t="shared" ref="K6:Z6" si="1">+CONCATENATE(K5-1,"-",RIGHT(K5,2))</f>
        <v>2013-14</v>
      </c>
      <c r="L6" s="68" t="str">
        <f t="shared" si="1"/>
        <v>2014-15</v>
      </c>
      <c r="M6" s="68" t="str">
        <f t="shared" si="1"/>
        <v>2015-16</v>
      </c>
      <c r="N6" s="68" t="str">
        <f t="shared" si="1"/>
        <v>2016-17</v>
      </c>
      <c r="O6" s="68" t="str">
        <f t="shared" si="1"/>
        <v>2017-18</v>
      </c>
      <c r="P6" s="68" t="str">
        <f t="shared" si="1"/>
        <v>2018-19</v>
      </c>
      <c r="Q6" s="68" t="str">
        <f t="shared" si="1"/>
        <v>2019-20</v>
      </c>
      <c r="R6" s="68" t="str">
        <f t="shared" si="1"/>
        <v>2020-21</v>
      </c>
      <c r="S6" s="68" t="str">
        <f t="shared" si="1"/>
        <v>2021-22</v>
      </c>
      <c r="T6" s="68" t="str">
        <f t="shared" si="1"/>
        <v>2022-23</v>
      </c>
      <c r="U6" s="68" t="str">
        <f t="shared" si="1"/>
        <v>2023-24</v>
      </c>
      <c r="V6" s="68" t="str">
        <f t="shared" si="1"/>
        <v>2024-25</v>
      </c>
      <c r="W6" s="68" t="str">
        <f t="shared" si="1"/>
        <v>2025-26</v>
      </c>
      <c r="X6" s="2128" t="str">
        <f t="shared" si="1"/>
        <v>2026-27</v>
      </c>
      <c r="Y6" s="68" t="str">
        <f t="shared" si="1"/>
        <v>2027-28</v>
      </c>
      <c r="Z6" s="68" t="str">
        <f t="shared" si="1"/>
        <v>2028-29</v>
      </c>
      <c r="AA6" s="68" t="str">
        <f t="shared" ref="AA6:AG6" si="2">+CONCATENATE(AA5-1,"-",RIGHT(AA5,2))</f>
        <v>2029-30</v>
      </c>
      <c r="AB6" s="68" t="str">
        <f t="shared" si="2"/>
        <v>2030-31</v>
      </c>
      <c r="AC6" s="68" t="str">
        <f t="shared" si="2"/>
        <v>2031-32</v>
      </c>
      <c r="AD6" s="68" t="str">
        <f t="shared" si="2"/>
        <v>2032-33</v>
      </c>
      <c r="AE6" s="68" t="str">
        <f t="shared" si="2"/>
        <v>2033-34</v>
      </c>
      <c r="AF6" s="68" t="str">
        <f t="shared" si="2"/>
        <v>2034-35</v>
      </c>
      <c r="AG6" s="68" t="str">
        <f t="shared" si="2"/>
        <v>2035-36</v>
      </c>
      <c r="AH6" s="75"/>
      <c r="AI6" s="75"/>
      <c r="AJ6" s="75"/>
      <c r="AK6" s="75"/>
    </row>
    <row r="7" spans="1:37">
      <c r="U7" s="74"/>
    </row>
    <row r="8" spans="1:37">
      <c r="C8" s="76"/>
      <c r="D8" s="77"/>
      <c r="E8" s="77"/>
      <c r="F8" s="77"/>
      <c r="G8" s="77"/>
      <c r="H8" s="77"/>
      <c r="I8" s="77"/>
      <c r="J8" s="77"/>
      <c r="K8" s="77"/>
      <c r="L8" s="77"/>
      <c r="M8" s="77"/>
      <c r="N8" s="77"/>
      <c r="O8" s="77"/>
      <c r="P8" s="77"/>
      <c r="Q8" s="77"/>
      <c r="R8" s="77"/>
      <c r="S8" s="77"/>
      <c r="T8" s="78"/>
      <c r="U8" s="77"/>
      <c r="V8" s="77"/>
      <c r="W8" s="77"/>
      <c r="X8" s="77"/>
      <c r="Y8" s="79"/>
      <c r="Z8" s="77"/>
      <c r="AA8" s="77"/>
      <c r="AB8" s="77"/>
      <c r="AC8" s="77"/>
      <c r="AD8" s="77"/>
      <c r="AE8" s="77"/>
      <c r="AF8" s="77"/>
      <c r="AG8" s="77"/>
      <c r="AH8" s="80"/>
    </row>
    <row r="9" spans="1:37">
      <c r="C9" s="306" t="s">
        <v>80</v>
      </c>
      <c r="F9" s="307" t="s">
        <v>495</v>
      </c>
      <c r="H9" s="307" t="s">
        <v>980</v>
      </c>
      <c r="Y9" s="74"/>
      <c r="AH9" s="81"/>
    </row>
    <row r="10" spans="1:37">
      <c r="C10" s="82"/>
      <c r="F10" s="83"/>
      <c r="H10" s="83"/>
      <c r="T10" s="69"/>
      <c r="U10" s="84"/>
      <c r="AE10" s="85"/>
      <c r="AH10" s="81"/>
    </row>
    <row r="11" spans="1:37">
      <c r="C11" s="82"/>
      <c r="D11" s="86" t="s">
        <v>582</v>
      </c>
      <c r="F11" s="87">
        <f>AVERAGE(P11:W11)</f>
        <v>1.1999999999999999E-2</v>
      </c>
      <c r="G11" s="88"/>
      <c r="H11" s="87">
        <f>AVERAGE(X11:AB11)</f>
        <v>1.4599999999999998E-2</v>
      </c>
      <c r="O11" s="2066"/>
      <c r="P11" s="325">
        <v>1.2E-2</v>
      </c>
      <c r="Q11" s="325">
        <v>1.2E-2</v>
      </c>
      <c r="R11" s="325">
        <v>1.2E-2</v>
      </c>
      <c r="S11" s="325">
        <v>1.2E-2</v>
      </c>
      <c r="T11" s="325">
        <v>1.2E-2</v>
      </c>
      <c r="U11" s="325">
        <v>1.2E-2</v>
      </c>
      <c r="V11" s="325">
        <v>1.2E-2</v>
      </c>
      <c r="W11" s="326">
        <v>1.2E-2</v>
      </c>
      <c r="X11" s="325">
        <v>1.46E-2</v>
      </c>
      <c r="Y11" s="325">
        <v>1.46E-2</v>
      </c>
      <c r="Z11" s="325">
        <v>1.46E-2</v>
      </c>
      <c r="AA11" s="325">
        <v>1.46E-2</v>
      </c>
      <c r="AB11" s="326">
        <v>1.46E-2</v>
      </c>
      <c r="AC11" s="324">
        <v>1.46E-2</v>
      </c>
      <c r="AD11" s="325">
        <v>1.46E-2</v>
      </c>
      <c r="AE11" s="325">
        <v>1.46E-2</v>
      </c>
      <c r="AF11" s="325">
        <v>1.46E-2</v>
      </c>
      <c r="AG11" s="326">
        <v>1.46E-2</v>
      </c>
      <c r="AH11" s="81"/>
    </row>
    <row r="12" spans="1:37">
      <c r="C12" s="82"/>
      <c r="D12" s="86"/>
      <c r="F12" s="86"/>
      <c r="G12" s="86"/>
      <c r="H12" s="86"/>
      <c r="I12" s="86"/>
      <c r="S12" s="89"/>
      <c r="U12" s="113"/>
      <c r="AH12" s="81"/>
    </row>
    <row r="13" spans="1:37">
      <c r="C13" s="82"/>
      <c r="D13" s="70" t="s">
        <v>981</v>
      </c>
      <c r="F13" s="87">
        <f>AVERAGE(P13:W13)</f>
        <v>1.1999999999999999E-2</v>
      </c>
      <c r="H13" s="87">
        <f>AVERAGE(X13:AB13)</f>
        <v>1.4599999999999998E-2</v>
      </c>
      <c r="O13" s="2066"/>
      <c r="P13" s="325">
        <v>1.2E-2</v>
      </c>
      <c r="Q13" s="325">
        <v>1.2E-2</v>
      </c>
      <c r="R13" s="325">
        <v>1.2E-2</v>
      </c>
      <c r="S13" s="325">
        <v>1.2E-2</v>
      </c>
      <c r="T13" s="325">
        <v>1.2E-2</v>
      </c>
      <c r="U13" s="325">
        <v>1.2E-2</v>
      </c>
      <c r="V13" s="325">
        <v>1.2E-2</v>
      </c>
      <c r="W13" s="325">
        <v>1.2E-2</v>
      </c>
      <c r="X13" s="324">
        <v>1.46E-2</v>
      </c>
      <c r="Y13" s="325">
        <v>1.46E-2</v>
      </c>
      <c r="Z13" s="325">
        <v>1.46E-2</v>
      </c>
      <c r="AA13" s="325">
        <v>1.46E-2</v>
      </c>
      <c r="AB13" s="326">
        <v>1.46E-2</v>
      </c>
      <c r="AC13" s="324">
        <v>1.46E-2</v>
      </c>
      <c r="AD13" s="325">
        <v>1.46E-2</v>
      </c>
      <c r="AE13" s="325">
        <v>1.46E-2</v>
      </c>
      <c r="AF13" s="325">
        <v>1.46E-2</v>
      </c>
      <c r="AG13" s="326">
        <v>1.46E-2</v>
      </c>
      <c r="AH13" s="81"/>
    </row>
    <row r="14" spans="1:37" outlineLevel="1">
      <c r="A14" s="90"/>
      <c r="C14" s="82"/>
      <c r="E14" s="1511" t="s">
        <v>861</v>
      </c>
      <c r="F14" s="1512">
        <f>IFERROR(F13-F11,"-")</f>
        <v>0</v>
      </c>
      <c r="G14" s="1513"/>
      <c r="H14" s="1512">
        <f>IFERROR(H13-H11,"-")</f>
        <v>0</v>
      </c>
      <c r="S14" s="89"/>
      <c r="U14" s="113"/>
      <c r="V14" s="91"/>
      <c r="AH14" s="81"/>
    </row>
    <row r="15" spans="1:37" outlineLevel="1">
      <c r="A15" s="90"/>
      <c r="C15" s="82"/>
      <c r="D15" s="74" t="s">
        <v>719</v>
      </c>
      <c r="E15" s="74"/>
      <c r="O15" s="1709">
        <f>_xlfn.XLOOKUP($D15,'Determination Lookup'!$D:$D,'Determination Lookup'!I:I,0)</f>
        <v>51094</v>
      </c>
      <c r="P15" s="1581">
        <f>_xlfn.XLOOKUP($D15,'Determination Lookup'!$D:$D,'Determination Lookup'!J:J,0)</f>
        <v>51923</v>
      </c>
      <c r="Q15" s="1581">
        <f>_xlfn.XLOOKUP($D15,'Determination Lookup'!$D:$D,'Determination Lookup'!K:K,0)</f>
        <v>52707</v>
      </c>
      <c r="R15" s="1581">
        <f>_xlfn.XLOOKUP($D15,'Determination Lookup'!$D:$D,'Determination Lookup'!L:L,0)</f>
        <v>53791</v>
      </c>
      <c r="S15" s="1581">
        <f>_xlfn.XLOOKUP($D15,'Determination Lookup'!$D:$D,'Determination Lookup'!M:M,0)</f>
        <v>54678</v>
      </c>
      <c r="T15" s="1581">
        <f>_xlfn.XLOOKUP($D15,'Determination Lookup'!$D:$D,'Determination Lookup'!N:N,0)</f>
        <v>55273</v>
      </c>
      <c r="U15" s="1581">
        <f>_xlfn.XLOOKUP($D15,'Determination Lookup'!$D:$D,'Determination Lookup'!O:O,0)</f>
        <v>56103</v>
      </c>
      <c r="V15" s="2067">
        <v>56925</v>
      </c>
      <c r="W15" s="2068">
        <f>V15*(1+$X$13)</f>
        <v>57756.104999999996</v>
      </c>
      <c r="X15" s="2069">
        <f>W15*(1+$X$13)</f>
        <v>58599.344132999991</v>
      </c>
      <c r="Y15" s="2067">
        <f t="shared" ref="Y15:AG15" si="3">X15*(1+Y13)</f>
        <v>59454.894557341788</v>
      </c>
      <c r="Z15" s="2067">
        <f t="shared" si="3"/>
        <v>60322.936017878972</v>
      </c>
      <c r="AA15" s="2067">
        <f t="shared" si="3"/>
        <v>61203.650883740003</v>
      </c>
      <c r="AB15" s="2068">
        <f t="shared" si="3"/>
        <v>62097.224186642605</v>
      </c>
      <c r="AC15" s="2069">
        <f t="shared" si="3"/>
        <v>63003.843659767583</v>
      </c>
      <c r="AD15" s="2067">
        <f t="shared" si="3"/>
        <v>63923.699777200185</v>
      </c>
      <c r="AE15" s="2067">
        <f t="shared" si="3"/>
        <v>64856.985793947308</v>
      </c>
      <c r="AF15" s="2067">
        <f t="shared" si="3"/>
        <v>65803.897786538932</v>
      </c>
      <c r="AG15" s="2068">
        <f t="shared" si="3"/>
        <v>66764.63469422239</v>
      </c>
      <c r="AH15" s="81"/>
      <c r="AI15" s="70" t="s">
        <v>687</v>
      </c>
    </row>
    <row r="16" spans="1:37" outlineLevel="1">
      <c r="A16" s="90"/>
      <c r="C16" s="82"/>
      <c r="D16" s="74"/>
      <c r="E16" s="74"/>
      <c r="O16" s="823" t="s">
        <v>973</v>
      </c>
      <c r="P16" s="1710">
        <f>IF(ISERROR(P15/O15-1)," ",P15/O15-1)</f>
        <v>1.6224997064234525E-2</v>
      </c>
      <c r="Q16" s="1710">
        <f t="shared" ref="Q16:AG16" si="4">IF(ISERROR(Q15/P15-1)," ",Q15/P15-1)</f>
        <v>1.5099281628565331E-2</v>
      </c>
      <c r="R16" s="1710">
        <f t="shared" si="4"/>
        <v>2.0566528165139264E-2</v>
      </c>
      <c r="S16" s="1710">
        <f t="shared" si="4"/>
        <v>1.6489747355505457E-2</v>
      </c>
      <c r="T16" s="1710">
        <f t="shared" si="4"/>
        <v>1.0881890339807576E-2</v>
      </c>
      <c r="U16" s="1710">
        <f t="shared" si="4"/>
        <v>1.5016373274473915E-2</v>
      </c>
      <c r="V16" s="1710">
        <f t="shared" si="4"/>
        <v>1.4651622907865924E-2</v>
      </c>
      <c r="W16" s="1710">
        <f t="shared" si="4"/>
        <v>1.4599999999999946E-2</v>
      </c>
      <c r="X16" s="1710">
        <f t="shared" si="4"/>
        <v>1.4599999999999946E-2</v>
      </c>
      <c r="Y16" s="1710">
        <f t="shared" si="4"/>
        <v>1.4599999999999946E-2</v>
      </c>
      <c r="Z16" s="1710">
        <f t="shared" si="4"/>
        <v>1.4599999999999946E-2</v>
      </c>
      <c r="AA16" s="1710">
        <f t="shared" si="4"/>
        <v>1.4599999999999946E-2</v>
      </c>
      <c r="AB16" s="1710">
        <f t="shared" si="4"/>
        <v>1.4599999999999946E-2</v>
      </c>
      <c r="AC16" s="1710">
        <f t="shared" si="4"/>
        <v>1.4599999999999946E-2</v>
      </c>
      <c r="AD16" s="1710">
        <f t="shared" si="4"/>
        <v>1.4599999999999946E-2</v>
      </c>
      <c r="AE16" s="1710">
        <f t="shared" si="4"/>
        <v>1.4599999999999946E-2</v>
      </c>
      <c r="AF16" s="1710">
        <f t="shared" si="4"/>
        <v>1.4599999999999946E-2</v>
      </c>
      <c r="AG16" s="1710">
        <f t="shared" si="4"/>
        <v>1.4599999999999946E-2</v>
      </c>
      <c r="AH16" s="81"/>
    </row>
    <row r="17" spans="1:35" outlineLevel="1">
      <c r="A17" s="90"/>
      <c r="C17" s="82"/>
      <c r="D17" s="74" t="s">
        <v>720</v>
      </c>
      <c r="E17" s="74"/>
      <c r="O17" s="1709">
        <f>_xlfn.XLOOKUP($D17,'Determination Lookup'!$D:$D,'Determination Lookup'!I:I,0)</f>
        <v>46323</v>
      </c>
      <c r="P17" s="1581">
        <f>_xlfn.XLOOKUP($D17,'Determination Lookup'!$D:$D,'Determination Lookup'!J:J,0)</f>
        <v>47129</v>
      </c>
      <c r="Q17" s="1581">
        <f>_xlfn.XLOOKUP($D17,'Determination Lookup'!$D:$D,'Determination Lookup'!K:K,0)</f>
        <v>47852</v>
      </c>
      <c r="R17" s="1581">
        <f>_xlfn.XLOOKUP($D17,'Determination Lookup'!$D:$D,'Determination Lookup'!L:L,0)</f>
        <v>49074</v>
      </c>
      <c r="S17" s="1581">
        <f>_xlfn.XLOOKUP($D17,'Determination Lookup'!$D:$D,'Determination Lookup'!M:M,0)</f>
        <v>49931</v>
      </c>
      <c r="T17" s="1581">
        <f>_xlfn.XLOOKUP($D17,'Determination Lookup'!$D:$D,'Determination Lookup'!N:N,0)</f>
        <v>50689</v>
      </c>
      <c r="U17" s="1581">
        <f>_xlfn.XLOOKUP($D17,'Determination Lookup'!$D:$D,'Determination Lookup'!O:O,0)</f>
        <v>51436</v>
      </c>
      <c r="V17" s="2067">
        <v>52321</v>
      </c>
      <c r="W17" s="2068">
        <f>V17*(1+$X$13)</f>
        <v>53084.886599999998</v>
      </c>
      <c r="X17" s="2069">
        <f>W17*(1+$X$13)</f>
        <v>53859.925944359995</v>
      </c>
      <c r="Y17" s="2067">
        <f t="shared" ref="Y17:AG17" si="5">X17*(1+Y13)</f>
        <v>54646.280863147651</v>
      </c>
      <c r="Z17" s="2067">
        <f t="shared" si="5"/>
        <v>55444.116563749601</v>
      </c>
      <c r="AA17" s="2067">
        <f t="shared" si="5"/>
        <v>56253.600665580343</v>
      </c>
      <c r="AB17" s="2068">
        <f t="shared" si="5"/>
        <v>57074.90323529781</v>
      </c>
      <c r="AC17" s="2069">
        <f t="shared" si="5"/>
        <v>57908.196822533158</v>
      </c>
      <c r="AD17" s="2067">
        <f t="shared" si="5"/>
        <v>58753.656496142139</v>
      </c>
      <c r="AE17" s="2067">
        <f t="shared" si="5"/>
        <v>59611.459880985814</v>
      </c>
      <c r="AF17" s="2067">
        <f t="shared" si="5"/>
        <v>60481.787195248202</v>
      </c>
      <c r="AG17" s="2068">
        <f t="shared" si="5"/>
        <v>61364.821288298823</v>
      </c>
      <c r="AH17" s="81"/>
      <c r="AI17" s="70" t="s">
        <v>687</v>
      </c>
    </row>
    <row r="18" spans="1:35" outlineLevel="1">
      <c r="A18" s="90"/>
      <c r="C18" s="82"/>
      <c r="D18" s="74"/>
      <c r="E18" s="74"/>
      <c r="O18" s="823" t="s">
        <v>973</v>
      </c>
      <c r="P18" s="1710">
        <f t="shared" ref="P18:AG18" si="6">IF(ISERROR(P17/O17-1)," ",P17/O17-1)</f>
        <v>1.7399563931524309E-2</v>
      </c>
      <c r="Q18" s="1710">
        <f t="shared" si="6"/>
        <v>1.5340872923253146E-2</v>
      </c>
      <c r="R18" s="1710">
        <f t="shared" si="6"/>
        <v>2.5537072640642089E-2</v>
      </c>
      <c r="S18" s="1710">
        <f t="shared" si="6"/>
        <v>1.7463422586298183E-2</v>
      </c>
      <c r="T18" s="1710">
        <f t="shared" si="6"/>
        <v>1.5180949710600578E-2</v>
      </c>
      <c r="U18" s="1710">
        <f t="shared" si="6"/>
        <v>1.4736925171141557E-2</v>
      </c>
      <c r="V18" s="1710">
        <f t="shared" si="6"/>
        <v>1.7205848044171468E-2</v>
      </c>
      <c r="W18" s="1710">
        <f>IF(ISERROR(W17/V17-1)," ",W17/V17-1)</f>
        <v>1.4599999999999946E-2</v>
      </c>
      <c r="X18" s="1710">
        <f t="shared" si="6"/>
        <v>1.4599999999999946E-2</v>
      </c>
      <c r="Y18" s="1710">
        <f t="shared" si="6"/>
        <v>1.4599999999999946E-2</v>
      </c>
      <c r="Z18" s="1710">
        <f t="shared" si="6"/>
        <v>1.4599999999999946E-2</v>
      </c>
      <c r="AA18" s="1710">
        <f t="shared" si="6"/>
        <v>1.4599999999999946E-2</v>
      </c>
      <c r="AB18" s="1710">
        <f t="shared" si="6"/>
        <v>1.4599999999999946E-2</v>
      </c>
      <c r="AC18" s="1710">
        <f t="shared" si="6"/>
        <v>1.4599999999999946E-2</v>
      </c>
      <c r="AD18" s="1710">
        <f t="shared" si="6"/>
        <v>1.4599999999999946E-2</v>
      </c>
      <c r="AE18" s="1710">
        <f t="shared" si="6"/>
        <v>1.4599999999999946E-2</v>
      </c>
      <c r="AF18" s="1710">
        <f t="shared" si="6"/>
        <v>1.4599999999999946E-2</v>
      </c>
      <c r="AG18" s="1710">
        <f t="shared" si="6"/>
        <v>1.4599999999999946E-2</v>
      </c>
      <c r="AH18" s="81"/>
    </row>
    <row r="19" spans="1:35" outlineLevel="1">
      <c r="A19" s="90"/>
      <c r="C19" s="82"/>
      <c r="D19" s="74" t="s">
        <v>713</v>
      </c>
      <c r="E19" s="74"/>
      <c r="O19" s="1709">
        <f>_xlfn.XLOOKUP($D19,'Determination Lookup'!$D:$D,'Determination Lookup'!I:I,0)</f>
        <v>15545.754000000001</v>
      </c>
      <c r="P19" s="1581">
        <f>_xlfn.XLOOKUP($D19,'Determination Lookup'!$D:$D,'Determination Lookup'!J:J,0)</f>
        <v>16571.900000000001</v>
      </c>
      <c r="Q19" s="1581">
        <f>_xlfn.XLOOKUP($D19,'Determination Lookup'!$D:$D,'Determination Lookup'!K:K,0)</f>
        <v>15922.665000000001</v>
      </c>
      <c r="R19" s="1581">
        <f>_xlfn.XLOOKUP($D19,'Determination Lookup'!$D:$D,'Determination Lookup'!L:L,0)</f>
        <v>15237.11</v>
      </c>
      <c r="S19" s="1581">
        <f>_xlfn.XLOOKUP($D19,'Determination Lookup'!$D:$D,'Determination Lookup'!M:M,0)</f>
        <v>14097.78</v>
      </c>
      <c r="T19" s="1581">
        <f>_xlfn.XLOOKUP($D19,'Determination Lookup'!$D:$D,'Determination Lookup'!N:N,0)</f>
        <v>14451</v>
      </c>
      <c r="U19" s="1581">
        <f>_xlfn.XLOOKUP($D19,'Determination Lookup'!$D:$D,'Determination Lookup'!O:O,0)</f>
        <v>15585</v>
      </c>
      <c r="V19" s="2067">
        <v>16960</v>
      </c>
      <c r="W19" s="1583">
        <v>15056.243</v>
      </c>
      <c r="X19" s="1584">
        <v>15202.5</v>
      </c>
      <c r="Y19" s="1582">
        <v>15350.831</v>
      </c>
      <c r="Z19" s="1582">
        <v>15501.269</v>
      </c>
      <c r="AA19" s="1582">
        <v>15653.851000000001</v>
      </c>
      <c r="AB19" s="1582">
        <v>15808.611999999999</v>
      </c>
      <c r="AC19" s="1584">
        <v>15965.59</v>
      </c>
      <c r="AD19" s="1582">
        <v>16124.824000000001</v>
      </c>
      <c r="AE19" s="1582">
        <v>16286.35</v>
      </c>
      <c r="AF19" s="1582">
        <v>16450.21</v>
      </c>
      <c r="AG19" s="1583">
        <v>16616.440999999999</v>
      </c>
      <c r="AH19" s="81"/>
      <c r="AI19" s="70" t="s">
        <v>687</v>
      </c>
    </row>
    <row r="20" spans="1:35" outlineLevel="1">
      <c r="A20" s="90"/>
      <c r="C20" s="82"/>
      <c r="D20" s="151" t="s">
        <v>714</v>
      </c>
      <c r="E20" s="74"/>
      <c r="P20" s="1710">
        <f t="shared" ref="P20:AG20" si="7">IF(ISERROR(P19/O19-1)," ",P19/O19-1)</f>
        <v>6.6008120288022054E-2</v>
      </c>
      <c r="Q20" s="1710">
        <f t="shared" si="7"/>
        <v>-3.9176859623821114E-2</v>
      </c>
      <c r="R20" s="1710">
        <f t="shared" si="7"/>
        <v>-4.3055292565660319E-2</v>
      </c>
      <c r="S20" s="1710">
        <f t="shared" si="7"/>
        <v>-7.4773365815433479E-2</v>
      </c>
      <c r="T20" s="1710">
        <f t="shared" si="7"/>
        <v>2.5055008660938016E-2</v>
      </c>
      <c r="U20" s="1710">
        <f t="shared" si="7"/>
        <v>7.8472078056881944E-2</v>
      </c>
      <c r="V20" s="1710">
        <f t="shared" si="7"/>
        <v>8.8225858196984364E-2</v>
      </c>
      <c r="W20" s="1710">
        <f>IF(ISERROR(W19/V19-1)," ",W19/V19-1)</f>
        <v>-0.11224982311320753</v>
      </c>
      <c r="X20" s="1710">
        <f t="shared" si="7"/>
        <v>9.7140435366245281E-3</v>
      </c>
      <c r="Y20" s="1710">
        <f t="shared" si="7"/>
        <v>9.7570136490707782E-3</v>
      </c>
      <c r="Z20" s="1710">
        <f t="shared" si="7"/>
        <v>9.7999906324288677E-3</v>
      </c>
      <c r="AA20" s="1710">
        <f t="shared" si="7"/>
        <v>9.8431941281711399E-3</v>
      </c>
      <c r="AB20" s="1710">
        <f t="shared" si="7"/>
        <v>9.8864490277823514E-3</v>
      </c>
      <c r="AC20" s="1710">
        <f t="shared" si="7"/>
        <v>9.929904029525316E-3</v>
      </c>
      <c r="AD20" s="1710">
        <f t="shared" si="7"/>
        <v>9.9735744184836772E-3</v>
      </c>
      <c r="AE20" s="1710">
        <f t="shared" si="7"/>
        <v>1.0017225614369574E-2</v>
      </c>
      <c r="AF20" s="1710">
        <f t="shared" si="7"/>
        <v>1.0061186208082162E-2</v>
      </c>
      <c r="AG20" s="1710">
        <f t="shared" si="7"/>
        <v>1.0105098962262415E-2</v>
      </c>
      <c r="AH20" s="81"/>
    </row>
    <row r="21" spans="1:35">
      <c r="C21" s="92"/>
      <c r="D21" s="75"/>
      <c r="E21" s="75"/>
      <c r="F21" s="75"/>
      <c r="G21" s="75"/>
      <c r="H21" s="75"/>
      <c r="I21" s="75"/>
      <c r="J21" s="75"/>
      <c r="K21" s="75"/>
      <c r="L21" s="75"/>
      <c r="M21" s="75"/>
      <c r="N21" s="75"/>
      <c r="O21" s="75"/>
      <c r="P21" s="75"/>
      <c r="Q21" s="75"/>
      <c r="R21" s="75"/>
      <c r="S21" s="75"/>
      <c r="T21" s="75"/>
      <c r="U21" s="93"/>
      <c r="V21" s="75"/>
      <c r="W21" s="75"/>
      <c r="X21" s="75"/>
      <c r="Y21" s="75"/>
      <c r="Z21" s="75"/>
      <c r="AA21" s="75"/>
      <c r="AB21" s="75"/>
      <c r="AC21" s="75"/>
      <c r="AD21" s="75"/>
      <c r="AE21" s="75"/>
      <c r="AF21" s="75"/>
      <c r="AG21" s="75"/>
      <c r="AH21" s="94"/>
    </row>
    <row r="22" spans="1:35">
      <c r="U22" s="95"/>
    </row>
    <row r="23" spans="1:35">
      <c r="C23" s="76"/>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80"/>
    </row>
    <row r="24" spans="1:35">
      <c r="C24" s="306" t="s">
        <v>496</v>
      </c>
      <c r="AH24" s="81"/>
    </row>
    <row r="25" spans="1:35">
      <c r="C25" s="82"/>
      <c r="AH25" s="81"/>
    </row>
    <row r="26" spans="1:35">
      <c r="C26" s="82"/>
      <c r="D26" s="96" t="s">
        <v>1091</v>
      </c>
      <c r="U26" s="85"/>
      <c r="V26" s="97">
        <f>+Opex_Breakdown!V42</f>
        <v>62.338087336244527</v>
      </c>
      <c r="W26" s="98"/>
      <c r="AH26" s="81"/>
    </row>
    <row r="27" spans="1:35">
      <c r="C27" s="82"/>
      <c r="D27" s="74"/>
      <c r="V27" s="74"/>
      <c r="Y27" s="99"/>
      <c r="AH27" s="81"/>
    </row>
    <row r="28" spans="1:35">
      <c r="C28" s="82"/>
      <c r="D28" s="96" t="s">
        <v>1092</v>
      </c>
      <c r="V28" s="74"/>
      <c r="Y28" s="99"/>
      <c r="AH28" s="81"/>
    </row>
    <row r="29" spans="1:35">
      <c r="C29" s="82"/>
      <c r="D29" s="74"/>
      <c r="E29" s="74" t="s">
        <v>390</v>
      </c>
      <c r="V29" s="100">
        <f>+Opex_Breakdown!V33</f>
        <v>1.092626637554585</v>
      </c>
      <c r="Y29" s="99"/>
      <c r="AH29" s="81"/>
    </row>
    <row r="30" spans="1:35">
      <c r="C30" s="82"/>
      <c r="D30" s="74"/>
      <c r="E30" s="74" t="s">
        <v>388</v>
      </c>
      <c r="V30" s="101">
        <f>+Opex_Breakdown!V34</f>
        <v>0</v>
      </c>
      <c r="X30" s="136" t="s">
        <v>1028</v>
      </c>
      <c r="Y30" s="99"/>
      <c r="AH30" s="81"/>
    </row>
    <row r="31" spans="1:35">
      <c r="C31" s="82"/>
      <c r="D31" s="74"/>
      <c r="E31" s="74" t="s">
        <v>15</v>
      </c>
      <c r="V31" s="101">
        <f>+Opex_Breakdown!V35</f>
        <v>0.28467685589519648</v>
      </c>
      <c r="X31" s="308" t="s">
        <v>1026</v>
      </c>
      <c r="AH31" s="81"/>
    </row>
    <row r="32" spans="1:35">
      <c r="C32" s="82"/>
      <c r="D32" s="74"/>
      <c r="E32" s="74" t="s">
        <v>327</v>
      </c>
      <c r="V32" s="101">
        <f>+Opex_Breakdown!V36</f>
        <v>3.2717358078602614</v>
      </c>
      <c r="AH32" s="81"/>
    </row>
    <row r="33" spans="3:35">
      <c r="C33" s="82"/>
      <c r="D33" s="74"/>
      <c r="E33" s="74" t="s">
        <v>484</v>
      </c>
      <c r="V33" s="102">
        <f>+Opex_Breakdown!V37</f>
        <v>8.192139737991265E-2</v>
      </c>
      <c r="X33" s="137"/>
      <c r="Y33" s="138"/>
      <c r="Z33" s="138"/>
      <c r="AA33" s="139"/>
      <c r="AB33" s="140"/>
      <c r="AH33" s="81"/>
    </row>
    <row r="34" spans="3:35">
      <c r="C34" s="82"/>
      <c r="D34" s="74"/>
      <c r="E34" s="84"/>
      <c r="U34" s="85"/>
      <c r="V34" s="103">
        <f>SUM(V29:V33)</f>
        <v>4.7309606986899553</v>
      </c>
      <c r="X34" s="309"/>
      <c r="Y34" s="310" t="s">
        <v>525</v>
      </c>
      <c r="Z34" s="310" t="s">
        <v>469</v>
      </c>
      <c r="AA34" s="310" t="s">
        <v>688</v>
      </c>
      <c r="AB34" s="311"/>
      <c r="AH34" s="81"/>
    </row>
    <row r="35" spans="3:35">
      <c r="C35" s="82"/>
      <c r="E35" s="84"/>
      <c r="U35" s="85"/>
      <c r="V35" s="103"/>
      <c r="X35" s="312"/>
      <c r="Y35" s="313"/>
      <c r="Z35" s="313"/>
      <c r="AA35" s="313"/>
      <c r="AB35" s="142"/>
      <c r="AH35" s="81"/>
    </row>
    <row r="36" spans="3:35">
      <c r="C36" s="82"/>
      <c r="D36" s="112" t="s">
        <v>994</v>
      </c>
      <c r="E36" s="84"/>
      <c r="U36" s="85"/>
      <c r="V36" s="97">
        <f>+V26-V34</f>
        <v>57.607126637554572</v>
      </c>
      <c r="X36" s="141"/>
      <c r="Y36" s="1754">
        <f>'Determination Lookup'!P18</f>
        <v>46.586375382933639</v>
      </c>
      <c r="Z36" s="315">
        <f>+V54-Y36</f>
        <v>2.3530578048392741</v>
      </c>
      <c r="AA36" s="147">
        <f>+Z36/Y36</f>
        <v>5.0509570351791926E-2</v>
      </c>
      <c r="AB36" s="142"/>
      <c r="AH36" s="81"/>
    </row>
    <row r="37" spans="3:35">
      <c r="C37" s="82"/>
      <c r="E37" s="84"/>
      <c r="U37" s="85"/>
      <c r="V37" s="85"/>
      <c r="X37" s="143"/>
      <c r="Y37" s="144"/>
      <c r="Z37" s="145"/>
      <c r="AA37" s="145"/>
      <c r="AB37" s="146"/>
      <c r="AH37" s="81"/>
    </row>
    <row r="38" spans="3:35">
      <c r="C38" s="82"/>
      <c r="D38" s="96" t="s">
        <v>1093</v>
      </c>
      <c r="E38" s="74"/>
      <c r="F38" s="74"/>
      <c r="G38" s="74"/>
      <c r="H38" s="74"/>
      <c r="I38" s="74"/>
      <c r="J38" s="74"/>
      <c r="K38" s="74"/>
      <c r="L38" s="74"/>
      <c r="M38" s="74"/>
      <c r="N38" s="74"/>
      <c r="O38" s="74"/>
      <c r="P38" s="74"/>
      <c r="Q38" s="74"/>
      <c r="R38" s="74"/>
      <c r="S38" s="74"/>
      <c r="V38" s="85"/>
      <c r="X38" s="308" t="s">
        <v>988</v>
      </c>
      <c r="AH38" s="81"/>
    </row>
    <row r="39" spans="3:35">
      <c r="C39" s="82"/>
      <c r="E39" s="84"/>
      <c r="V39" s="85"/>
      <c r="AH39" s="81"/>
    </row>
    <row r="40" spans="3:35">
      <c r="C40" s="82"/>
      <c r="D40" s="70">
        <v>1</v>
      </c>
      <c r="E40" s="329" t="s">
        <v>1291</v>
      </c>
      <c r="F40" s="330"/>
      <c r="G40" s="330"/>
      <c r="H40" s="2070"/>
      <c r="V40" s="332">
        <v>0.40346288209606984</v>
      </c>
      <c r="W40" s="90"/>
      <c r="AH40" s="81"/>
    </row>
    <row r="41" spans="3:35">
      <c r="C41" s="82"/>
      <c r="D41" s="70">
        <v>2</v>
      </c>
      <c r="E41" s="329" t="s">
        <v>1292</v>
      </c>
      <c r="F41" s="330"/>
      <c r="G41" s="330"/>
      <c r="H41" s="2070"/>
      <c r="V41" s="333">
        <v>0.17613100436681223</v>
      </c>
      <c r="W41" s="90"/>
      <c r="AH41" s="81"/>
    </row>
    <row r="42" spans="3:35">
      <c r="C42" s="82"/>
      <c r="D42" s="70">
        <v>3</v>
      </c>
      <c r="E42" s="329" t="s">
        <v>1293</v>
      </c>
      <c r="F42" s="330"/>
      <c r="G42" s="330"/>
      <c r="H42" s="2070"/>
      <c r="V42" s="333">
        <v>3.5328602620087336E-2</v>
      </c>
      <c r="W42" s="90"/>
      <c r="AH42" s="81"/>
    </row>
    <row r="43" spans="3:35">
      <c r="C43" s="82"/>
      <c r="D43" s="70">
        <v>4</v>
      </c>
      <c r="E43" s="329" t="s">
        <v>1294</v>
      </c>
      <c r="F43" s="330"/>
      <c r="G43" s="330"/>
      <c r="H43" s="2070"/>
      <c r="V43" s="333">
        <v>3.3690174672489075E-2</v>
      </c>
      <c r="W43" s="90"/>
      <c r="AH43" s="81"/>
    </row>
    <row r="44" spans="3:35">
      <c r="C44" s="82"/>
      <c r="D44" s="70">
        <v>5</v>
      </c>
      <c r="E44" s="329" t="s">
        <v>1295</v>
      </c>
      <c r="F44" s="330"/>
      <c r="G44" s="330"/>
      <c r="H44" s="2070"/>
      <c r="V44" s="333">
        <v>3.0720524017467245E-2</v>
      </c>
      <c r="W44" s="90"/>
      <c r="AH44" s="81"/>
    </row>
    <row r="45" spans="3:35">
      <c r="C45" s="82"/>
      <c r="D45" s="70">
        <v>6</v>
      </c>
      <c r="E45" s="329" t="s">
        <v>1296</v>
      </c>
      <c r="F45" s="330"/>
      <c r="G45" s="330"/>
      <c r="H45" s="2070"/>
      <c r="V45" s="333">
        <v>0.36762227074235804</v>
      </c>
      <c r="W45" s="90"/>
      <c r="AH45" s="81"/>
    </row>
    <row r="46" spans="3:35">
      <c r="C46" s="82"/>
      <c r="D46" s="70">
        <v>7</v>
      </c>
      <c r="E46" s="329" t="s">
        <v>1297</v>
      </c>
      <c r="F46" s="330"/>
      <c r="G46" s="330"/>
      <c r="H46" s="2070"/>
      <c r="V46" s="333">
        <v>2.1483886462882094</v>
      </c>
      <c r="W46" s="90"/>
      <c r="AH46" s="81"/>
    </row>
    <row r="47" spans="3:35">
      <c r="C47" s="82"/>
      <c r="D47" s="70">
        <v>8</v>
      </c>
      <c r="E47" s="329" t="s">
        <v>1298</v>
      </c>
      <c r="F47" s="330"/>
      <c r="G47" s="330"/>
      <c r="H47" s="2070"/>
      <c r="V47" s="333">
        <v>0.1761310043668122</v>
      </c>
      <c r="W47" s="90"/>
      <c r="AH47" s="81"/>
      <c r="AI47" s="104"/>
    </row>
    <row r="48" spans="3:35">
      <c r="C48" s="82"/>
      <c r="D48" s="70">
        <v>9</v>
      </c>
      <c r="E48" s="329" t="s">
        <v>1299</v>
      </c>
      <c r="F48" s="330"/>
      <c r="G48" s="330"/>
      <c r="H48" s="2070"/>
      <c r="V48" s="333">
        <v>5.296218340611353</v>
      </c>
      <c r="W48" s="90"/>
      <c r="AH48" s="81"/>
    </row>
    <row r="49" spans="3:34">
      <c r="C49" s="82"/>
      <c r="D49" s="70">
        <v>10</v>
      </c>
      <c r="E49" s="329"/>
      <c r="F49" s="330"/>
      <c r="G49" s="330"/>
      <c r="H49" s="2070"/>
      <c r="V49" s="333"/>
      <c r="W49" s="90"/>
      <c r="AH49" s="81"/>
    </row>
    <row r="50" spans="3:34">
      <c r="C50" s="82"/>
      <c r="D50" s="70">
        <v>11</v>
      </c>
      <c r="E50" s="329"/>
      <c r="F50" s="330"/>
      <c r="G50" s="330"/>
      <c r="H50" s="2070"/>
      <c r="V50" s="333"/>
      <c r="W50" s="90"/>
      <c r="AH50" s="81"/>
    </row>
    <row r="51" spans="3:34">
      <c r="C51" s="82"/>
      <c r="D51" s="70">
        <v>12</v>
      </c>
      <c r="E51" s="329"/>
      <c r="F51" s="330"/>
      <c r="G51" s="330"/>
      <c r="H51" s="2070"/>
      <c r="V51" s="334"/>
      <c r="W51" s="90"/>
      <c r="AH51" s="81"/>
    </row>
    <row r="52" spans="3:34">
      <c r="C52" s="82"/>
      <c r="E52" s="331"/>
      <c r="F52" s="4"/>
      <c r="G52" s="4"/>
      <c r="H52" s="4"/>
      <c r="V52" s="85">
        <f>SUM(V40:V51)</f>
        <v>8.6676934497816589</v>
      </c>
      <c r="AH52" s="81"/>
    </row>
    <row r="53" spans="3:34">
      <c r="C53" s="82"/>
      <c r="V53" s="105"/>
      <c r="AH53" s="81"/>
    </row>
    <row r="54" spans="3:34">
      <c r="C54" s="82"/>
      <c r="D54" s="70" t="s">
        <v>989</v>
      </c>
      <c r="U54" s="85"/>
      <c r="V54" s="100">
        <f>+V36-V52</f>
        <v>48.939433187772913</v>
      </c>
      <c r="W54" s="74"/>
      <c r="X54" s="74"/>
      <c r="Y54" s="74"/>
      <c r="Z54" s="74"/>
      <c r="AA54" s="74"/>
      <c r="AB54" s="74"/>
      <c r="AC54" s="74"/>
      <c r="AD54" s="74"/>
      <c r="AE54" s="74"/>
      <c r="AF54" s="74"/>
      <c r="AG54" s="74"/>
      <c r="AH54" s="81"/>
    </row>
    <row r="55" spans="3:34">
      <c r="C55" s="82"/>
      <c r="D55" s="70" t="s">
        <v>1090</v>
      </c>
      <c r="U55" s="85"/>
      <c r="V55" s="101">
        <f>Y36</f>
        <v>46.586375382933639</v>
      </c>
      <c r="W55" s="74"/>
      <c r="X55" s="74"/>
      <c r="Y55" s="74"/>
      <c r="Z55" s="74"/>
      <c r="AA55" s="74"/>
      <c r="AB55" s="74"/>
      <c r="AC55" s="74"/>
      <c r="AD55" s="74"/>
      <c r="AE55" s="74"/>
      <c r="AF55" s="74"/>
      <c r="AG55" s="74"/>
      <c r="AH55" s="81"/>
    </row>
    <row r="56" spans="3:34">
      <c r="C56" s="82"/>
      <c r="D56" s="70" t="s">
        <v>469</v>
      </c>
      <c r="U56" s="85"/>
      <c r="V56" s="102">
        <f>V54-V55</f>
        <v>2.3530578048392741</v>
      </c>
      <c r="W56" s="74"/>
      <c r="X56" s="74"/>
      <c r="Y56" s="74"/>
      <c r="Z56" s="74"/>
      <c r="AA56" s="74"/>
      <c r="AB56" s="74"/>
      <c r="AC56" s="74"/>
      <c r="AD56" s="74"/>
      <c r="AE56" s="74"/>
      <c r="AF56" s="74"/>
      <c r="AG56" s="74"/>
      <c r="AH56" s="81"/>
    </row>
    <row r="57" spans="3:34">
      <c r="C57" s="82"/>
      <c r="V57" s="74"/>
      <c r="W57" s="74"/>
      <c r="X57" s="103"/>
      <c r="Y57" s="103"/>
      <c r="Z57" s="103"/>
      <c r="AA57" s="103"/>
      <c r="AB57" s="103"/>
      <c r="AC57" s="103"/>
      <c r="AD57" s="103"/>
      <c r="AE57" s="103"/>
      <c r="AF57" s="103"/>
      <c r="AG57" s="103"/>
      <c r="AH57" s="81"/>
    </row>
    <row r="58" spans="3:34">
      <c r="C58" s="82"/>
      <c r="D58" s="104" t="s">
        <v>990</v>
      </c>
      <c r="U58" s="85"/>
      <c r="V58" s="85"/>
      <c r="W58" s="85"/>
      <c r="X58" s="136" t="s">
        <v>995</v>
      </c>
      <c r="Y58" s="99"/>
      <c r="AH58" s="81"/>
    </row>
    <row r="59" spans="3:34">
      <c r="C59" s="82"/>
      <c r="U59" s="85"/>
      <c r="V59" s="85"/>
      <c r="W59" s="85"/>
      <c r="X59" s="308" t="s">
        <v>1027</v>
      </c>
      <c r="AH59" s="81"/>
    </row>
    <row r="60" spans="3:34">
      <c r="C60" s="82"/>
      <c r="D60" s="70">
        <v>1</v>
      </c>
      <c r="E60" s="1741" t="s">
        <v>1316</v>
      </c>
      <c r="F60" s="1742"/>
      <c r="G60" s="1742"/>
      <c r="H60" s="1743"/>
      <c r="V60" s="1744">
        <v>5.1239999999999997</v>
      </c>
      <c r="W60" s="85"/>
      <c r="X60" s="308"/>
      <c r="AH60" s="81"/>
    </row>
    <row r="61" spans="3:34">
      <c r="C61" s="82"/>
      <c r="D61" s="70">
        <v>2</v>
      </c>
      <c r="E61" s="1741" t="s">
        <v>1317</v>
      </c>
      <c r="F61" s="1742"/>
      <c r="G61" s="1742"/>
      <c r="H61" s="1743"/>
      <c r="V61" s="1745">
        <v>-3.2</v>
      </c>
      <c r="W61" s="103"/>
      <c r="X61" s="1746"/>
      <c r="Y61" s="1747"/>
      <c r="Z61" s="1747"/>
      <c r="AA61" s="1748"/>
      <c r="AB61" s="1748"/>
      <c r="AC61" s="82"/>
      <c r="AH61" s="81"/>
    </row>
    <row r="62" spans="3:34" ht="36">
      <c r="C62" s="82"/>
      <c r="D62" s="70">
        <v>3</v>
      </c>
      <c r="E62" s="1741" t="s">
        <v>1318</v>
      </c>
      <c r="F62" s="1742"/>
      <c r="G62" s="1742"/>
      <c r="H62" s="1743"/>
      <c r="V62" s="1745">
        <v>0.59899999999999998</v>
      </c>
      <c r="W62" s="103"/>
      <c r="X62" s="1749"/>
      <c r="Y62" s="1750" t="s">
        <v>991</v>
      </c>
      <c r="Z62" s="1751" t="s">
        <v>992</v>
      </c>
      <c r="AA62" s="1751" t="s">
        <v>993</v>
      </c>
      <c r="AB62" s="1264"/>
      <c r="AC62" s="82"/>
      <c r="AH62" s="81"/>
    </row>
    <row r="63" spans="3:34">
      <c r="C63" s="82"/>
      <c r="D63" s="70">
        <v>4</v>
      </c>
      <c r="E63" s="1741" t="s">
        <v>1319</v>
      </c>
      <c r="F63" s="1742"/>
      <c r="G63" s="1742"/>
      <c r="H63" s="1743"/>
      <c r="V63" s="1745">
        <v>-0.41</v>
      </c>
      <c r="W63" s="103"/>
      <c r="X63" s="1752"/>
      <c r="Y63" s="313"/>
      <c r="Z63" s="313"/>
      <c r="AA63" s="313"/>
      <c r="AB63" s="423"/>
      <c r="AC63" s="82"/>
      <c r="AH63" s="81"/>
    </row>
    <row r="64" spans="3:34">
      <c r="C64" s="82"/>
      <c r="D64" s="70">
        <v>5</v>
      </c>
      <c r="E64" s="1741" t="s">
        <v>1320</v>
      </c>
      <c r="F64" s="1742"/>
      <c r="G64" s="1742"/>
      <c r="H64" s="1743"/>
      <c r="V64" s="1745">
        <v>4.1000000000000002E-2</v>
      </c>
      <c r="W64" s="103"/>
      <c r="X64" s="1753"/>
      <c r="Y64" s="314">
        <f>V54-Y36</f>
        <v>2.3530578048392741</v>
      </c>
      <c r="Z64" s="1755">
        <f>Y64-V78</f>
        <v>5.7804839275199527E-5</v>
      </c>
      <c r="AA64" s="1756">
        <f>+Z64/Y64</f>
        <v>2.4565839035623646E-5</v>
      </c>
      <c r="AB64" s="1757"/>
      <c r="AC64" s="82"/>
      <c r="AH64" s="81"/>
    </row>
    <row r="65" spans="3:34">
      <c r="C65" s="82"/>
      <c r="D65" s="70">
        <v>6</v>
      </c>
      <c r="E65" s="1741" t="s">
        <v>1321</v>
      </c>
      <c r="F65" s="1742"/>
      <c r="G65" s="1742"/>
      <c r="H65" s="1743"/>
      <c r="V65" s="1745">
        <v>-0.249</v>
      </c>
      <c r="W65" s="103"/>
      <c r="X65" s="1758"/>
      <c r="Y65" s="1759"/>
      <c r="Z65" s="426"/>
      <c r="AA65" s="426"/>
      <c r="AB65" s="426"/>
      <c r="AC65" s="82"/>
      <c r="AH65" s="81"/>
    </row>
    <row r="66" spans="3:34">
      <c r="C66" s="82"/>
      <c r="D66" s="70">
        <v>7</v>
      </c>
      <c r="E66" s="1741" t="s">
        <v>1322</v>
      </c>
      <c r="F66" s="1742"/>
      <c r="G66" s="1742"/>
      <c r="H66" s="1743"/>
      <c r="V66" s="1745">
        <v>-2.5000000000000001E-2</v>
      </c>
      <c r="W66" s="103"/>
      <c r="X66" s="308" t="s">
        <v>988</v>
      </c>
      <c r="AC66" s="74"/>
      <c r="AH66" s="81"/>
    </row>
    <row r="67" spans="3:34">
      <c r="C67" s="82"/>
      <c r="D67" s="70">
        <v>8</v>
      </c>
      <c r="E67" s="1741" t="s">
        <v>1323</v>
      </c>
      <c r="F67" s="1742"/>
      <c r="G67" s="1742"/>
      <c r="H67" s="1743"/>
      <c r="V67" s="1745">
        <v>1.621</v>
      </c>
      <c r="W67" s="103"/>
      <c r="AC67" s="74"/>
      <c r="AH67" s="81"/>
    </row>
    <row r="68" spans="3:34">
      <c r="C68" s="82"/>
      <c r="D68" s="70">
        <v>9</v>
      </c>
      <c r="E68" s="1741" t="s">
        <v>1324</v>
      </c>
      <c r="F68" s="1742"/>
      <c r="G68" s="1742"/>
      <c r="H68" s="1743"/>
      <c r="V68" s="1745">
        <v>0.26800000000000002</v>
      </c>
      <c r="W68" s="103"/>
      <c r="AC68" s="74"/>
      <c r="AH68" s="81"/>
    </row>
    <row r="69" spans="3:34">
      <c r="C69" s="82"/>
      <c r="D69" s="70">
        <v>10</v>
      </c>
      <c r="E69" s="1741" t="s">
        <v>1325</v>
      </c>
      <c r="F69" s="1742"/>
      <c r="G69" s="1742"/>
      <c r="H69" s="1743"/>
      <c r="V69" s="1745">
        <v>0.23599999999999999</v>
      </c>
      <c r="W69" s="103"/>
      <c r="AC69" s="74"/>
      <c r="AH69" s="81"/>
    </row>
    <row r="70" spans="3:34">
      <c r="C70" s="82"/>
      <c r="D70" s="70">
        <v>11</v>
      </c>
      <c r="E70" s="1741" t="s">
        <v>1326</v>
      </c>
      <c r="F70" s="1742"/>
      <c r="G70" s="1742"/>
      <c r="H70" s="1743"/>
      <c r="V70" s="1745">
        <v>0.127</v>
      </c>
      <c r="W70" s="103"/>
      <c r="AC70" s="74"/>
      <c r="AH70" s="81"/>
    </row>
    <row r="71" spans="3:34">
      <c r="C71" s="82"/>
      <c r="D71" s="70">
        <v>12</v>
      </c>
      <c r="E71" s="1741" t="s">
        <v>1327</v>
      </c>
      <c r="F71" s="1742"/>
      <c r="G71" s="1742"/>
      <c r="H71" s="1743"/>
      <c r="V71" s="1745">
        <v>0.45800000000000002</v>
      </c>
      <c r="W71" s="103"/>
      <c r="AC71" s="74"/>
      <c r="AH71" s="81"/>
    </row>
    <row r="72" spans="3:34">
      <c r="C72" s="82"/>
      <c r="D72" s="70">
        <v>13</v>
      </c>
      <c r="E72" s="1741" t="s">
        <v>1328</v>
      </c>
      <c r="F72" s="1742"/>
      <c r="G72" s="1742"/>
      <c r="H72" s="1743"/>
      <c r="V72" s="1745">
        <v>0.11700000000000001</v>
      </c>
      <c r="W72" s="103"/>
      <c r="AC72" s="74"/>
      <c r="AH72" s="81"/>
    </row>
    <row r="73" spans="3:34">
      <c r="C73" s="82"/>
      <c r="D73" s="70">
        <v>14</v>
      </c>
      <c r="E73" s="1741" t="s">
        <v>1329</v>
      </c>
      <c r="F73" s="1742"/>
      <c r="G73" s="1742"/>
      <c r="H73" s="1743"/>
      <c r="V73" s="1745">
        <v>0.13800000000000001</v>
      </c>
      <c r="W73" s="103"/>
      <c r="AC73" s="74"/>
      <c r="AH73" s="81"/>
    </row>
    <row r="74" spans="3:34">
      <c r="C74" s="82"/>
      <c r="D74" s="70">
        <v>15</v>
      </c>
      <c r="E74" s="1741" t="s">
        <v>1330</v>
      </c>
      <c r="F74" s="1742"/>
      <c r="G74" s="1742"/>
      <c r="H74" s="1743"/>
      <c r="V74" s="1745">
        <v>-0.73699999999999999</v>
      </c>
      <c r="W74" s="103"/>
      <c r="AC74" s="74"/>
      <c r="AH74" s="81"/>
    </row>
    <row r="75" spans="3:34">
      <c r="C75" s="82"/>
      <c r="D75" s="70">
        <v>16</v>
      </c>
      <c r="E75" s="1741" t="s">
        <v>1331</v>
      </c>
      <c r="F75" s="1742"/>
      <c r="G75" s="1742"/>
      <c r="H75" s="1743"/>
      <c r="V75" s="1745">
        <v>-0.21</v>
      </c>
      <c r="W75" s="103"/>
      <c r="AC75" s="74"/>
      <c r="AH75" s="81"/>
    </row>
    <row r="76" spans="3:34">
      <c r="C76" s="82"/>
      <c r="D76" s="70">
        <v>17</v>
      </c>
      <c r="E76" s="1741" t="s">
        <v>1332</v>
      </c>
      <c r="F76" s="1742"/>
      <c r="G76" s="1742"/>
      <c r="H76" s="1743"/>
      <c r="V76" s="1745">
        <v>-0.13500000000000001</v>
      </c>
      <c r="W76" s="103"/>
      <c r="AC76" s="74"/>
      <c r="AH76" s="81"/>
    </row>
    <row r="77" spans="3:34">
      <c r="C77" s="82"/>
      <c r="D77" s="70">
        <v>18</v>
      </c>
      <c r="E77" s="1741" t="s">
        <v>1333</v>
      </c>
      <c r="F77" s="1742"/>
      <c r="G77" s="1742"/>
      <c r="H77" s="1743"/>
      <c r="V77" s="1760">
        <v>-1.41</v>
      </c>
      <c r="W77" s="103"/>
      <c r="X77" s="74"/>
      <c r="Y77" s="74"/>
      <c r="Z77" s="74"/>
      <c r="AA77" s="74"/>
      <c r="AB77" s="74"/>
      <c r="AC77" s="74"/>
      <c r="AH77" s="81"/>
    </row>
    <row r="78" spans="3:34">
      <c r="C78" s="82"/>
      <c r="V78" s="85">
        <f>SUM(V60:V77)</f>
        <v>2.3529999999999989</v>
      </c>
      <c r="W78" s="103"/>
      <c r="X78" s="74"/>
      <c r="Y78" s="74"/>
      <c r="Z78" s="74"/>
      <c r="AA78" s="74"/>
      <c r="AB78" s="74"/>
      <c r="AC78" s="74"/>
      <c r="AH78" s="81"/>
    </row>
    <row r="79" spans="3:34">
      <c r="C79" s="82"/>
      <c r="V79" s="74"/>
      <c r="W79" s="74"/>
      <c r="X79" s="103"/>
      <c r="Y79" s="103"/>
      <c r="Z79" s="103"/>
      <c r="AA79" s="103"/>
      <c r="AB79" s="103"/>
      <c r="AC79" s="103"/>
      <c r="AD79" s="103"/>
      <c r="AE79" s="103"/>
      <c r="AF79" s="103"/>
      <c r="AG79" s="103"/>
      <c r="AH79" s="81"/>
    </row>
    <row r="80" spans="3:34">
      <c r="C80" s="82"/>
      <c r="V80" s="74"/>
      <c r="W80" s="74"/>
      <c r="X80" s="103"/>
      <c r="Y80" s="103"/>
      <c r="Z80" s="103"/>
      <c r="AA80" s="103"/>
      <c r="AB80" s="103"/>
      <c r="AC80" s="103"/>
      <c r="AD80" s="103"/>
      <c r="AE80" s="103"/>
      <c r="AF80" s="103"/>
      <c r="AG80" s="103"/>
      <c r="AH80" s="81"/>
    </row>
    <row r="81" spans="3:35">
      <c r="C81" s="82"/>
      <c r="D81" s="104" t="s">
        <v>497</v>
      </c>
      <c r="V81" s="97">
        <f>V54</f>
        <v>48.939433187772913</v>
      </c>
      <c r="W81" s="1761">
        <f>+$V$81*(1+W$13-W$11)</f>
        <v>48.939433187772913</v>
      </c>
      <c r="X81" s="108">
        <f>+$W$81*(1+X$13-X$11)</f>
        <v>48.939433187772913</v>
      </c>
      <c r="Y81" s="108">
        <f t="shared" ref="Y81:AG81" si="8">+X$81*(1+Y$13-Y$11)</f>
        <v>48.939433187772913</v>
      </c>
      <c r="Z81" s="108">
        <f t="shared" si="8"/>
        <v>48.939433187772913</v>
      </c>
      <c r="AA81" s="108">
        <f t="shared" si="8"/>
        <v>48.939433187772913</v>
      </c>
      <c r="AB81" s="109">
        <f t="shared" si="8"/>
        <v>48.939433187772913</v>
      </c>
      <c r="AC81" s="108">
        <f t="shared" si="8"/>
        <v>48.939433187772913</v>
      </c>
      <c r="AD81" s="108">
        <f t="shared" si="8"/>
        <v>48.939433187772913</v>
      </c>
      <c r="AE81" s="108">
        <f t="shared" si="8"/>
        <v>48.939433187772913</v>
      </c>
      <c r="AF81" s="108">
        <f t="shared" si="8"/>
        <v>48.939433187772913</v>
      </c>
      <c r="AG81" s="109">
        <f t="shared" si="8"/>
        <v>48.939433187772913</v>
      </c>
      <c r="AH81" s="81"/>
      <c r="AI81" s="316"/>
    </row>
    <row r="82" spans="3:35">
      <c r="C82" s="92"/>
      <c r="D82" s="75"/>
      <c r="E82" s="75"/>
      <c r="F82" s="75"/>
      <c r="G82" s="75"/>
      <c r="H82" s="75"/>
      <c r="I82" s="75"/>
      <c r="J82" s="75"/>
      <c r="K82" s="75"/>
      <c r="L82" s="75"/>
      <c r="M82" s="75"/>
      <c r="N82" s="75"/>
      <c r="O82" s="75"/>
      <c r="P82" s="75"/>
      <c r="Q82" s="75"/>
      <c r="R82" s="75"/>
      <c r="S82" s="75"/>
      <c r="T82" s="75"/>
      <c r="U82" s="75"/>
      <c r="V82" s="75"/>
      <c r="W82" s="110"/>
      <c r="X82" s="75"/>
      <c r="Y82" s="75"/>
      <c r="Z82" s="75"/>
      <c r="AA82" s="75"/>
      <c r="AB82" s="75"/>
      <c r="AC82" s="75"/>
      <c r="AD82" s="75"/>
      <c r="AE82" s="75"/>
      <c r="AF82" s="75"/>
      <c r="AG82" s="75"/>
      <c r="AH82" s="94"/>
    </row>
    <row r="84" spans="3:35">
      <c r="C84" s="76"/>
      <c r="D84" s="77"/>
      <c r="E84" s="77"/>
      <c r="F84" s="77"/>
      <c r="G84" s="77"/>
      <c r="H84" s="79"/>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80"/>
    </row>
    <row r="85" spans="3:35">
      <c r="C85" s="306" t="s">
        <v>498</v>
      </c>
      <c r="H85" s="74"/>
      <c r="AH85" s="81"/>
    </row>
    <row r="86" spans="3:35">
      <c r="C86" s="82"/>
      <c r="H86" s="74"/>
      <c r="AH86" s="81"/>
    </row>
    <row r="87" spans="3:35">
      <c r="C87" s="82"/>
      <c r="H87" s="74"/>
      <c r="AH87" s="81"/>
    </row>
    <row r="88" spans="3:35">
      <c r="C88" s="82"/>
      <c r="D88" s="111" t="s">
        <v>497</v>
      </c>
      <c r="X88" s="107">
        <f>+X81</f>
        <v>48.939433187772913</v>
      </c>
      <c r="Y88" s="108">
        <f t="shared" ref="Y88:AG88" si="9">+Y81</f>
        <v>48.939433187772913</v>
      </c>
      <c r="Z88" s="108">
        <f t="shared" si="9"/>
        <v>48.939433187772913</v>
      </c>
      <c r="AA88" s="108">
        <f t="shared" si="9"/>
        <v>48.939433187772913</v>
      </c>
      <c r="AB88" s="109">
        <f t="shared" si="9"/>
        <v>48.939433187772913</v>
      </c>
      <c r="AC88" s="108">
        <f t="shared" si="9"/>
        <v>48.939433187772913</v>
      </c>
      <c r="AD88" s="108">
        <f t="shared" si="9"/>
        <v>48.939433187772913</v>
      </c>
      <c r="AE88" s="108">
        <f t="shared" si="9"/>
        <v>48.939433187772913</v>
      </c>
      <c r="AF88" s="108">
        <f t="shared" si="9"/>
        <v>48.939433187772913</v>
      </c>
      <c r="AG88" s="109">
        <f t="shared" si="9"/>
        <v>48.939433187772913</v>
      </c>
      <c r="AH88" s="81"/>
      <c r="AI88" s="316"/>
    </row>
    <row r="89" spans="3:35">
      <c r="C89" s="82"/>
      <c r="E89" s="112"/>
      <c r="H89" s="1621" t="s">
        <v>618</v>
      </c>
      <c r="X89" s="85"/>
      <c r="Y89" s="85"/>
      <c r="Z89" s="85"/>
      <c r="AA89" s="85"/>
      <c r="AB89" s="1762">
        <f>SUM(X88:AB88)</f>
        <v>244.69716593886457</v>
      </c>
      <c r="AC89" s="85"/>
      <c r="AD89" s="85"/>
      <c r="AE89" s="85"/>
      <c r="AF89" s="85"/>
      <c r="AG89" s="1762">
        <f>SUM(AC88:AG88)</f>
        <v>244.69716593886457</v>
      </c>
      <c r="AH89" s="81"/>
    </row>
    <row r="90" spans="3:35" ht="10.5" customHeight="1">
      <c r="C90" s="82"/>
      <c r="D90" s="111" t="s">
        <v>580</v>
      </c>
      <c r="H90" s="1621" t="s">
        <v>619</v>
      </c>
      <c r="AH90" s="81"/>
    </row>
    <row r="91" spans="3:35">
      <c r="C91" s="82"/>
      <c r="S91" s="74"/>
      <c r="AH91" s="81"/>
    </row>
    <row r="92" spans="3:35">
      <c r="C92" s="82"/>
      <c r="D92" s="70">
        <v>1</v>
      </c>
      <c r="E92" s="329" t="s">
        <v>1300</v>
      </c>
      <c r="F92" s="330"/>
      <c r="G92" s="330"/>
      <c r="H92" s="335" t="s">
        <v>20</v>
      </c>
      <c r="X92" s="1620">
        <v>1.3129999999999999</v>
      </c>
      <c r="Y92" s="336">
        <v>1.7801960000000001</v>
      </c>
      <c r="Z92" s="336">
        <v>1.7801960000000001</v>
      </c>
      <c r="AA92" s="336">
        <v>1.8704390000000002</v>
      </c>
      <c r="AB92" s="336">
        <v>1.8704390000000002</v>
      </c>
      <c r="AC92" s="1620">
        <v>1.8704390000000002</v>
      </c>
      <c r="AD92" s="336">
        <v>1.8704390000000002</v>
      </c>
      <c r="AE92" s="336">
        <v>1.8704390000000002</v>
      </c>
      <c r="AF92" s="336">
        <v>1.8704390000000002</v>
      </c>
      <c r="AG92" s="337">
        <v>1.8704390000000002</v>
      </c>
      <c r="AH92" s="81"/>
    </row>
    <row r="93" spans="3:35">
      <c r="C93" s="82"/>
      <c r="D93" s="70">
        <v>2</v>
      </c>
      <c r="E93" s="329" t="s">
        <v>1301</v>
      </c>
      <c r="F93" s="330"/>
      <c r="G93" s="330"/>
      <c r="H93" s="335" t="s">
        <v>21</v>
      </c>
      <c r="X93" s="338">
        <v>0.61299999999999999</v>
      </c>
      <c r="Y93" s="339">
        <v>0.61299999999999999</v>
      </c>
      <c r="Z93" s="339">
        <v>0.61299999999999999</v>
      </c>
      <c r="AA93" s="339">
        <v>0.61299999999999999</v>
      </c>
      <c r="AB93" s="339">
        <v>0.61299999999999999</v>
      </c>
      <c r="AC93" s="338">
        <v>0.61299999999999999</v>
      </c>
      <c r="AD93" s="339">
        <v>0.61299999999999999</v>
      </c>
      <c r="AE93" s="339">
        <v>0.61299999999999999</v>
      </c>
      <c r="AF93" s="339">
        <v>0.61299999999999999</v>
      </c>
      <c r="AG93" s="340">
        <v>0.61299999999999999</v>
      </c>
      <c r="AH93" s="81"/>
    </row>
    <row r="94" spans="3:35">
      <c r="C94" s="82"/>
      <c r="D94" s="70">
        <v>3</v>
      </c>
      <c r="E94" s="329" t="s">
        <v>1302</v>
      </c>
      <c r="F94" s="330"/>
      <c r="G94" s="330"/>
      <c r="H94" s="335" t="s">
        <v>20</v>
      </c>
      <c r="X94" s="338">
        <v>4.0979999999999999</v>
      </c>
      <c r="Y94" s="339">
        <v>4.0209999999999999</v>
      </c>
      <c r="Z94" s="339">
        <v>4.1769999999999996</v>
      </c>
      <c r="AA94" s="339">
        <v>4.4349999999999996</v>
      </c>
      <c r="AB94" s="339">
        <v>4.74</v>
      </c>
      <c r="AC94" s="338">
        <v>4.74</v>
      </c>
      <c r="AD94" s="339">
        <v>4.74</v>
      </c>
      <c r="AE94" s="339">
        <v>4.74</v>
      </c>
      <c r="AF94" s="339">
        <v>4.74</v>
      </c>
      <c r="AG94" s="340">
        <v>4.74</v>
      </c>
      <c r="AH94" s="81"/>
    </row>
    <row r="95" spans="3:35">
      <c r="C95" s="82"/>
      <c r="D95" s="70">
        <v>4</v>
      </c>
      <c r="E95" s="329" t="s">
        <v>1303</v>
      </c>
      <c r="F95" s="330"/>
      <c r="G95" s="330"/>
      <c r="H95" s="335" t="s">
        <v>20</v>
      </c>
      <c r="X95" s="338">
        <v>0.45690000000000003</v>
      </c>
      <c r="Y95" s="339">
        <v>0.48230000000000001</v>
      </c>
      <c r="Z95" s="339">
        <v>0.50960000000000005</v>
      </c>
      <c r="AA95" s="339">
        <v>0.54098000000000002</v>
      </c>
      <c r="AB95" s="339">
        <v>0.54298000000000002</v>
      </c>
      <c r="AC95" s="338">
        <v>0.54298000000000002</v>
      </c>
      <c r="AD95" s="339">
        <v>0.54298000000000002</v>
      </c>
      <c r="AE95" s="339">
        <v>0.54298000000000002</v>
      </c>
      <c r="AF95" s="339">
        <v>0.54298000000000002</v>
      </c>
      <c r="AG95" s="340">
        <v>0.54298000000000002</v>
      </c>
      <c r="AH95" s="81"/>
    </row>
    <row r="96" spans="3:35">
      <c r="C96" s="82"/>
      <c r="D96" s="70">
        <v>5</v>
      </c>
      <c r="E96" s="329" t="s">
        <v>1304</v>
      </c>
      <c r="F96" s="330"/>
      <c r="G96" s="330"/>
      <c r="H96" s="335" t="s">
        <v>20</v>
      </c>
      <c r="X96" s="338">
        <v>0.2</v>
      </c>
      <c r="Y96" s="339">
        <v>0.25</v>
      </c>
      <c r="Z96" s="339">
        <v>0</v>
      </c>
      <c r="AA96" s="339">
        <v>0</v>
      </c>
      <c r="AB96" s="339">
        <v>0</v>
      </c>
      <c r="AC96" s="338">
        <v>0</v>
      </c>
      <c r="AD96" s="339">
        <v>0</v>
      </c>
      <c r="AE96" s="339">
        <v>0</v>
      </c>
      <c r="AF96" s="339">
        <v>0</v>
      </c>
      <c r="AG96" s="340">
        <v>0</v>
      </c>
      <c r="AH96" s="81"/>
    </row>
    <row r="97" spans="2:34">
      <c r="C97" s="82"/>
      <c r="D97" s="70">
        <v>6</v>
      </c>
      <c r="E97" s="329" t="s">
        <v>1305</v>
      </c>
      <c r="F97" s="330"/>
      <c r="G97" s="330"/>
      <c r="H97" s="335" t="s">
        <v>20</v>
      </c>
      <c r="X97" s="338">
        <v>0.2</v>
      </c>
      <c r="Y97" s="339">
        <v>0.2</v>
      </c>
      <c r="Z97" s="339">
        <v>0.2</v>
      </c>
      <c r="AA97" s="339">
        <v>0.2</v>
      </c>
      <c r="AB97" s="339">
        <v>0.2</v>
      </c>
      <c r="AC97" s="338">
        <v>0.2</v>
      </c>
      <c r="AD97" s="339">
        <v>0.2</v>
      </c>
      <c r="AE97" s="339">
        <v>0.2</v>
      </c>
      <c r="AF97" s="339">
        <v>0.2</v>
      </c>
      <c r="AG97" s="340">
        <v>0.2</v>
      </c>
      <c r="AH97" s="81"/>
    </row>
    <row r="98" spans="2:34">
      <c r="C98" s="82"/>
      <c r="D98" s="70">
        <v>7</v>
      </c>
      <c r="E98" s="329" t="s">
        <v>1306</v>
      </c>
      <c r="F98" s="330"/>
      <c r="G98" s="330"/>
      <c r="H98" s="335" t="s">
        <v>20</v>
      </c>
      <c r="X98" s="338">
        <v>0.42636800000000008</v>
      </c>
      <c r="Y98" s="339">
        <v>0.65780600000000011</v>
      </c>
      <c r="Z98" s="339">
        <v>0.57035300000000011</v>
      </c>
      <c r="AA98" s="339">
        <v>0.5742600000000001</v>
      </c>
      <c r="AB98" s="339">
        <v>0.77403600000000017</v>
      </c>
      <c r="AC98" s="338">
        <v>0.77403600000000017</v>
      </c>
      <c r="AD98" s="339">
        <v>0.77403600000000017</v>
      </c>
      <c r="AE98" s="339">
        <v>0.77403600000000017</v>
      </c>
      <c r="AF98" s="339">
        <v>0.77403600000000017</v>
      </c>
      <c r="AG98" s="340">
        <v>0.77403600000000017</v>
      </c>
      <c r="AH98" s="81"/>
    </row>
    <row r="99" spans="2:34">
      <c r="C99" s="82"/>
      <c r="D99" s="70">
        <v>8</v>
      </c>
      <c r="E99" s="329" t="s">
        <v>1307</v>
      </c>
      <c r="F99" s="330"/>
      <c r="G99" s="330"/>
      <c r="H99" s="335" t="s">
        <v>20</v>
      </c>
      <c r="X99" s="338">
        <v>0.30099999999999999</v>
      </c>
      <c r="Y99" s="339">
        <v>0.30099999999999999</v>
      </c>
      <c r="Z99" s="339">
        <v>-2.4E-2</v>
      </c>
      <c r="AA99" s="339">
        <v>7.5999999999999998E-2</v>
      </c>
      <c r="AB99" s="339">
        <v>7.5999999999999998E-2</v>
      </c>
      <c r="AC99" s="338">
        <v>7.5999999999999998E-2</v>
      </c>
      <c r="AD99" s="339">
        <v>7.5999999999999998E-2</v>
      </c>
      <c r="AE99" s="339">
        <v>7.5999999999999998E-2</v>
      </c>
      <c r="AF99" s="339">
        <v>7.5999999999999998E-2</v>
      </c>
      <c r="AG99" s="340">
        <v>7.5999999999999998E-2</v>
      </c>
      <c r="AH99" s="81"/>
    </row>
    <row r="100" spans="2:34">
      <c r="C100" s="82"/>
      <c r="D100" s="70">
        <v>9</v>
      </c>
      <c r="E100" s="329" t="s">
        <v>1308</v>
      </c>
      <c r="F100" s="330"/>
      <c r="G100" s="330"/>
      <c r="H100" s="335" t="s">
        <v>20</v>
      </c>
      <c r="X100" s="338">
        <v>0.1</v>
      </c>
      <c r="Y100" s="339">
        <v>0.15</v>
      </c>
      <c r="Z100" s="339">
        <v>0.15</v>
      </c>
      <c r="AA100" s="339">
        <v>0</v>
      </c>
      <c r="AB100" s="339">
        <v>0.15</v>
      </c>
      <c r="AC100" s="338">
        <v>0.15</v>
      </c>
      <c r="AD100" s="339">
        <v>0.15</v>
      </c>
      <c r="AE100" s="339">
        <v>0.15</v>
      </c>
      <c r="AF100" s="339">
        <v>0.15</v>
      </c>
      <c r="AG100" s="340">
        <v>0.15</v>
      </c>
      <c r="AH100" s="81"/>
    </row>
    <row r="101" spans="2:34">
      <c r="C101" s="82"/>
      <c r="D101" s="70">
        <v>10</v>
      </c>
      <c r="E101" s="1741" t="s">
        <v>1309</v>
      </c>
      <c r="F101" s="330"/>
      <c r="G101" s="330"/>
      <c r="H101" s="335" t="s">
        <v>20</v>
      </c>
      <c r="V101" s="113"/>
      <c r="X101" s="338">
        <v>0.104</v>
      </c>
      <c r="Y101" s="339">
        <v>0.104</v>
      </c>
      <c r="Z101" s="339">
        <v>0.104</v>
      </c>
      <c r="AA101" s="339">
        <v>0.104</v>
      </c>
      <c r="AB101" s="339">
        <v>0.104</v>
      </c>
      <c r="AC101" s="338">
        <v>0.104</v>
      </c>
      <c r="AD101" s="339">
        <v>0.104</v>
      </c>
      <c r="AE101" s="339">
        <v>0.104</v>
      </c>
      <c r="AF101" s="339">
        <v>0.104</v>
      </c>
      <c r="AG101" s="340">
        <v>0.104</v>
      </c>
      <c r="AH101" s="81"/>
    </row>
    <row r="102" spans="2:34">
      <c r="C102" s="82"/>
      <c r="D102" s="70">
        <v>11</v>
      </c>
      <c r="E102" s="329" t="s">
        <v>1310</v>
      </c>
      <c r="F102" s="330"/>
      <c r="G102" s="330"/>
      <c r="H102" s="335" t="s">
        <v>20</v>
      </c>
      <c r="X102" s="338">
        <v>-1E-3</v>
      </c>
      <c r="Y102" s="339">
        <v>1.2999999999999999E-2</v>
      </c>
      <c r="Z102" s="339">
        <v>2.7E-2</v>
      </c>
      <c r="AA102" s="339">
        <v>4.1000000000000002E-2</v>
      </c>
      <c r="AB102" s="339">
        <v>5.6000000000000001E-2</v>
      </c>
      <c r="AC102" s="338">
        <v>5.6000000000000001E-2</v>
      </c>
      <c r="AD102" s="339">
        <v>5.6000000000000001E-2</v>
      </c>
      <c r="AE102" s="339">
        <v>5.6000000000000001E-2</v>
      </c>
      <c r="AF102" s="339">
        <v>5.6000000000000001E-2</v>
      </c>
      <c r="AG102" s="340">
        <v>5.6000000000000001E-2</v>
      </c>
      <c r="AH102" s="81"/>
    </row>
    <row r="103" spans="2:34">
      <c r="C103" s="82"/>
      <c r="D103" s="70">
        <v>12</v>
      </c>
      <c r="E103" s="329" t="s">
        <v>1311</v>
      </c>
      <c r="F103" s="330"/>
      <c r="G103" s="330"/>
      <c r="H103" s="335" t="s">
        <v>21</v>
      </c>
      <c r="X103" s="338">
        <v>0.14399999999999999</v>
      </c>
      <c r="Y103" s="339">
        <v>0.154</v>
      </c>
      <c r="Z103" s="339">
        <v>0.16500000000000001</v>
      </c>
      <c r="AA103" s="339">
        <v>0.17599999999999999</v>
      </c>
      <c r="AB103" s="339">
        <v>0.187</v>
      </c>
      <c r="AC103" s="338">
        <v>0.187</v>
      </c>
      <c r="AD103" s="339">
        <v>0.187</v>
      </c>
      <c r="AE103" s="339">
        <v>0.187</v>
      </c>
      <c r="AF103" s="339">
        <v>0.187</v>
      </c>
      <c r="AG103" s="340">
        <v>0.187</v>
      </c>
      <c r="AH103" s="81"/>
    </row>
    <row r="104" spans="2:34">
      <c r="C104" s="82"/>
      <c r="D104" s="70">
        <v>13</v>
      </c>
      <c r="E104" s="329" t="s">
        <v>1312</v>
      </c>
      <c r="F104" s="330"/>
      <c r="G104" s="330"/>
      <c r="H104" s="335" t="s">
        <v>20</v>
      </c>
      <c r="X104" s="338">
        <v>0</v>
      </c>
      <c r="Y104" s="339">
        <v>0</v>
      </c>
      <c r="Z104" s="339">
        <v>0</v>
      </c>
      <c r="AA104" s="339">
        <v>0.6</v>
      </c>
      <c r="AB104" s="339">
        <v>0</v>
      </c>
      <c r="AC104" s="338">
        <v>0</v>
      </c>
      <c r="AD104" s="339">
        <v>0</v>
      </c>
      <c r="AE104" s="339">
        <v>0</v>
      </c>
      <c r="AF104" s="339">
        <v>0</v>
      </c>
      <c r="AG104" s="340">
        <v>0</v>
      </c>
      <c r="AH104" s="81"/>
    </row>
    <row r="105" spans="2:34">
      <c r="C105" s="82"/>
      <c r="D105" s="70">
        <v>14</v>
      </c>
      <c r="E105" s="329" t="s">
        <v>1313</v>
      </c>
      <c r="F105" s="330"/>
      <c r="G105" s="330"/>
      <c r="H105" s="335" t="s">
        <v>20</v>
      </c>
      <c r="X105" s="338">
        <v>0.14279999999999998</v>
      </c>
      <c r="Y105" s="339">
        <v>0.18280000000000002</v>
      </c>
      <c r="Z105" s="339">
        <v>0.1128</v>
      </c>
      <c r="AA105" s="339">
        <v>2.2800000000000001E-2</v>
      </c>
      <c r="AB105" s="339">
        <v>2.2800000000000001E-2</v>
      </c>
      <c r="AC105" s="338">
        <v>2.2800000000000001E-2</v>
      </c>
      <c r="AD105" s="339">
        <v>2.2800000000000001E-2</v>
      </c>
      <c r="AE105" s="339">
        <v>2.2800000000000001E-2</v>
      </c>
      <c r="AF105" s="339">
        <v>2.2800000000000001E-2</v>
      </c>
      <c r="AG105" s="340">
        <v>2.2800000000000001E-2</v>
      </c>
      <c r="AH105" s="81"/>
    </row>
    <row r="106" spans="2:34">
      <c r="C106" s="82"/>
      <c r="D106" s="70">
        <v>15</v>
      </c>
      <c r="E106" s="329" t="s">
        <v>1314</v>
      </c>
      <c r="F106" s="330"/>
      <c r="G106" s="330"/>
      <c r="H106" s="335" t="s">
        <v>20</v>
      </c>
      <c r="X106" s="338">
        <v>0.04</v>
      </c>
      <c r="Y106" s="339">
        <v>4.8000000000000001E-2</v>
      </c>
      <c r="Z106" s="339">
        <v>4.8000000000000001E-2</v>
      </c>
      <c r="AA106" s="339">
        <v>5.6000000000000001E-2</v>
      </c>
      <c r="AB106" s="339">
        <v>5.6000000000000001E-2</v>
      </c>
      <c r="AC106" s="338">
        <v>5.6000000000000001E-2</v>
      </c>
      <c r="AD106" s="339">
        <v>5.6000000000000001E-2</v>
      </c>
      <c r="AE106" s="339">
        <v>5.6000000000000001E-2</v>
      </c>
      <c r="AF106" s="339">
        <v>5.6000000000000001E-2</v>
      </c>
      <c r="AG106" s="340">
        <v>5.6000000000000001E-2</v>
      </c>
      <c r="AH106" s="81"/>
    </row>
    <row r="107" spans="2:34">
      <c r="C107" s="82"/>
      <c r="D107" s="70">
        <v>16</v>
      </c>
      <c r="E107" s="329" t="s">
        <v>1315</v>
      </c>
      <c r="F107" s="330"/>
      <c r="G107" s="330"/>
      <c r="H107" s="335" t="s">
        <v>20</v>
      </c>
      <c r="X107" s="338">
        <v>-0.15</v>
      </c>
      <c r="Y107" s="339">
        <v>-0.15</v>
      </c>
      <c r="Z107" s="339">
        <v>-0.15</v>
      </c>
      <c r="AA107" s="339">
        <v>-0.15</v>
      </c>
      <c r="AB107" s="339">
        <v>-0.15</v>
      </c>
      <c r="AC107" s="338">
        <v>-0.15</v>
      </c>
      <c r="AD107" s="339">
        <v>-0.15</v>
      </c>
      <c r="AE107" s="339">
        <v>-0.15</v>
      </c>
      <c r="AF107" s="339">
        <v>-0.15</v>
      </c>
      <c r="AG107" s="340">
        <v>-0.15</v>
      </c>
      <c r="AH107" s="81"/>
    </row>
    <row r="108" spans="2:34">
      <c r="C108" s="82"/>
      <c r="D108" s="70">
        <v>17</v>
      </c>
      <c r="E108" s="329" t="s">
        <v>1334</v>
      </c>
      <c r="F108" s="330"/>
      <c r="G108" s="330"/>
      <c r="H108" s="335" t="s">
        <v>20</v>
      </c>
      <c r="X108" s="1047"/>
      <c r="Y108" s="1048"/>
      <c r="Z108" s="1048"/>
      <c r="AA108" s="1048"/>
      <c r="AB108" s="1048"/>
      <c r="AC108" s="1047">
        <v>0.85528605522707435</v>
      </c>
      <c r="AD108" s="1048">
        <v>1.7231281104541489</v>
      </c>
      <c r="AE108" s="1048">
        <v>2.603526165681223</v>
      </c>
      <c r="AF108" s="1048">
        <v>3.4967722209082974</v>
      </c>
      <c r="AG108" s="1049">
        <v>4.4031582761353718</v>
      </c>
      <c r="AH108" s="81"/>
    </row>
    <row r="109" spans="2:34">
      <c r="B109" s="74"/>
      <c r="C109" s="148"/>
      <c r="E109" s="4"/>
      <c r="F109" s="4"/>
      <c r="G109" s="4"/>
      <c r="H109" s="4"/>
      <c r="X109" s="4"/>
      <c r="Y109" s="4"/>
      <c r="Z109" s="4"/>
      <c r="AA109" s="4"/>
      <c r="AB109" s="4"/>
      <c r="AC109" s="4"/>
      <c r="AD109" s="4"/>
      <c r="AE109" s="4"/>
      <c r="AF109" s="4"/>
      <c r="AG109" s="4"/>
      <c r="AH109" s="81"/>
    </row>
    <row r="110" spans="2:34">
      <c r="C110" s="82"/>
      <c r="D110" s="111" t="s">
        <v>499</v>
      </c>
      <c r="X110" s="1607">
        <f>SUM(X92:X109)</f>
        <v>7.9880679999999984</v>
      </c>
      <c r="Y110" s="1608">
        <f t="shared" ref="Y110:AE110" si="10">SUM(Y92:Y109)</f>
        <v>8.8071020000000004</v>
      </c>
      <c r="Z110" s="1608">
        <f t="shared" si="10"/>
        <v>8.2829489999999968</v>
      </c>
      <c r="AA110" s="1608">
        <f t="shared" si="10"/>
        <v>9.1594789999999993</v>
      </c>
      <c r="AB110" s="1763">
        <f t="shared" si="10"/>
        <v>9.2422549999999983</v>
      </c>
      <c r="AC110" s="1608">
        <f t="shared" si="10"/>
        <v>10.097541055227072</v>
      </c>
      <c r="AD110" s="1608">
        <f t="shared" si="10"/>
        <v>10.965383110454148</v>
      </c>
      <c r="AE110" s="1608">
        <f t="shared" si="10"/>
        <v>11.84578116568122</v>
      </c>
      <c r="AF110" s="108">
        <f>SUM(AF92:AF109)</f>
        <v>12.739027220908296</v>
      </c>
      <c r="AG110" s="109">
        <f>SUM(AG92:AG109)</f>
        <v>13.64541327613537</v>
      </c>
      <c r="AH110" s="81"/>
    </row>
    <row r="111" spans="2:34">
      <c r="C111" s="82"/>
      <c r="W111" s="1511"/>
      <c r="X111" s="1622"/>
      <c r="Y111" s="1622"/>
      <c r="Z111" s="1622"/>
      <c r="AA111" s="1622"/>
      <c r="AB111" s="1764">
        <f>SUM(X110:AB110)</f>
        <v>43.479852999999991</v>
      </c>
      <c r="AC111" s="1622"/>
      <c r="AD111" s="604"/>
      <c r="AE111" s="604"/>
      <c r="AF111" s="604"/>
      <c r="AG111" s="1764">
        <f>SUM(AC110:AG110)</f>
        <v>59.293145828406111</v>
      </c>
      <c r="AH111" s="81"/>
    </row>
    <row r="112" spans="2:34">
      <c r="C112" s="82"/>
      <c r="W112" s="1511"/>
      <c r="X112" s="1513"/>
      <c r="Y112" s="1513"/>
      <c r="Z112" s="1513"/>
      <c r="AA112" s="1511"/>
      <c r="AB112" s="1622"/>
      <c r="AC112" s="1513"/>
      <c r="AD112" s="1513"/>
      <c r="AE112" s="1513"/>
      <c r="AF112" s="1511"/>
      <c r="AG112" s="1622"/>
      <c r="AH112" s="81"/>
    </row>
    <row r="113" spans="3:34">
      <c r="C113" s="82"/>
      <c r="D113" s="111" t="s">
        <v>482</v>
      </c>
      <c r="E113" s="74"/>
      <c r="F113" s="74"/>
      <c r="G113" s="74"/>
      <c r="H113" s="74"/>
      <c r="I113" s="74"/>
      <c r="J113" s="74"/>
      <c r="K113" s="74"/>
      <c r="L113" s="74"/>
      <c r="M113" s="74"/>
      <c r="N113" s="74"/>
      <c r="O113" s="74"/>
      <c r="P113" s="74"/>
      <c r="Q113" s="74"/>
      <c r="R113" s="74"/>
      <c r="S113" s="74"/>
      <c r="T113" s="74"/>
      <c r="U113" s="74"/>
      <c r="V113" s="74"/>
      <c r="X113" s="691">
        <f>+X110+X88</f>
        <v>56.927501187772911</v>
      </c>
      <c r="Y113" s="692">
        <f t="shared" ref="Y113:AG113" si="11">+Y110+Y88</f>
        <v>57.746535187772913</v>
      </c>
      <c r="Z113" s="692">
        <f t="shared" si="11"/>
        <v>57.222382187772908</v>
      </c>
      <c r="AA113" s="692">
        <f t="shared" si="11"/>
        <v>58.09891218777291</v>
      </c>
      <c r="AB113" s="693">
        <f t="shared" si="11"/>
        <v>58.181688187772913</v>
      </c>
      <c r="AC113" s="692">
        <f t="shared" si="11"/>
        <v>59.036974242999989</v>
      </c>
      <c r="AD113" s="692">
        <f t="shared" si="11"/>
        <v>59.904816298227061</v>
      </c>
      <c r="AE113" s="692">
        <f t="shared" si="11"/>
        <v>60.785214353454137</v>
      </c>
      <c r="AF113" s="692">
        <f t="shared" si="11"/>
        <v>61.678460408681211</v>
      </c>
      <c r="AG113" s="693">
        <f t="shared" si="11"/>
        <v>62.584846463908285</v>
      </c>
      <c r="AH113" s="81"/>
    </row>
    <row r="114" spans="3:34">
      <c r="C114" s="82"/>
      <c r="D114" s="111"/>
      <c r="E114" s="74"/>
      <c r="F114" s="74"/>
      <c r="G114" s="74"/>
      <c r="H114" s="74"/>
      <c r="I114" s="74"/>
      <c r="J114" s="74"/>
      <c r="K114" s="74"/>
      <c r="L114" s="74"/>
      <c r="M114" s="74"/>
      <c r="N114" s="74"/>
      <c r="O114" s="74"/>
      <c r="P114" s="74"/>
      <c r="Q114" s="74"/>
      <c r="R114" s="74"/>
      <c r="S114" s="74"/>
      <c r="T114" s="74"/>
      <c r="U114" s="74"/>
      <c r="V114" s="74"/>
      <c r="W114" s="1511"/>
      <c r="X114" s="1623"/>
      <c r="Y114" s="1623"/>
      <c r="Z114" s="1623"/>
      <c r="AA114" s="1623"/>
      <c r="AB114" s="1764">
        <f>SUM(X113:AB113)</f>
        <v>288.17701893886453</v>
      </c>
      <c r="AC114" s="1622"/>
      <c r="AD114" s="604"/>
      <c r="AE114" s="604"/>
      <c r="AF114" s="604"/>
      <c r="AG114" s="1764">
        <f>SUM(AC113:AG113)</f>
        <v>303.99031176727067</v>
      </c>
      <c r="AH114" s="81"/>
    </row>
    <row r="115" spans="3:34">
      <c r="C115" s="82"/>
      <c r="D115" s="111" t="s">
        <v>500</v>
      </c>
      <c r="E115" s="74"/>
      <c r="F115" s="74"/>
      <c r="G115" s="74"/>
      <c r="H115" s="74"/>
      <c r="I115" s="74"/>
      <c r="J115" s="74"/>
      <c r="K115" s="74"/>
      <c r="L115" s="74"/>
      <c r="M115" s="74"/>
      <c r="N115" s="74"/>
      <c r="O115" s="74"/>
      <c r="P115" s="74"/>
      <c r="Q115" s="74"/>
      <c r="R115" s="74"/>
      <c r="S115" s="74"/>
      <c r="T115" s="74"/>
      <c r="U115" s="74"/>
      <c r="V115" s="74"/>
      <c r="AH115" s="81"/>
    </row>
    <row r="116" spans="3:34">
      <c r="C116" s="82"/>
      <c r="D116" s="118" t="s">
        <v>390</v>
      </c>
      <c r="E116" s="111"/>
      <c r="F116" s="74"/>
      <c r="G116" s="74"/>
      <c r="H116" s="74"/>
      <c r="I116" s="74"/>
      <c r="J116" s="74"/>
      <c r="K116" s="74"/>
      <c r="L116" s="74"/>
      <c r="M116" s="74"/>
      <c r="N116" s="74"/>
      <c r="O116" s="74"/>
      <c r="P116" s="74"/>
      <c r="Q116" s="74"/>
      <c r="R116" s="74"/>
      <c r="S116" s="74"/>
      <c r="T116" s="74"/>
      <c r="U116" s="74"/>
      <c r="V116" s="74"/>
      <c r="X116" s="1624">
        <f>+Opex_Breakdown!X33</f>
        <v>0.45500000000000002</v>
      </c>
      <c r="Y116" s="1625">
        <f>+Opex_Breakdown!Y33</f>
        <v>0.45500000000000002</v>
      </c>
      <c r="Z116" s="1625">
        <f>+Opex_Breakdown!Z33</f>
        <v>0.45500000000000002</v>
      </c>
      <c r="AA116" s="1625">
        <f>+Opex_Breakdown!AA33</f>
        <v>0.45500000000000002</v>
      </c>
      <c r="AB116" s="1626">
        <f>+Opex_Breakdown!AB33</f>
        <v>0.45500000000000002</v>
      </c>
      <c r="AC116" s="1625">
        <f>+Opex_Breakdown!AC33</f>
        <v>0.45500000000000002</v>
      </c>
      <c r="AD116" s="1625">
        <f>+Opex_Breakdown!AD33</f>
        <v>0.45500000000000002</v>
      </c>
      <c r="AE116" s="1625">
        <f>+Opex_Breakdown!AE33</f>
        <v>0.45500000000000002</v>
      </c>
      <c r="AF116" s="1625">
        <f>+Opex_Breakdown!AF33</f>
        <v>0.45500000000000002</v>
      </c>
      <c r="AG116" s="1626">
        <f>+Opex_Breakdown!AG33</f>
        <v>0.45500000000000002</v>
      </c>
      <c r="AH116" s="81"/>
    </row>
    <row r="117" spans="3:34">
      <c r="C117" s="82"/>
      <c r="D117" s="118" t="s">
        <v>388</v>
      </c>
      <c r="E117" s="119"/>
      <c r="F117" s="74"/>
      <c r="G117" s="74"/>
      <c r="H117" s="74"/>
      <c r="I117" s="74"/>
      <c r="J117" s="74"/>
      <c r="K117" s="74"/>
      <c r="L117" s="74"/>
      <c r="M117" s="74"/>
      <c r="N117" s="74"/>
      <c r="O117" s="74"/>
      <c r="P117" s="74"/>
      <c r="Q117" s="74"/>
      <c r="R117" s="74"/>
      <c r="S117" s="74"/>
      <c r="T117" s="74"/>
      <c r="U117" s="74"/>
      <c r="V117" s="74"/>
      <c r="X117" s="1627">
        <f>+Opex_Breakdown!X34</f>
        <v>0</v>
      </c>
      <c r="Y117" s="1628">
        <f>+Opex_Breakdown!Y34</f>
        <v>0</v>
      </c>
      <c r="Z117" s="1628">
        <f>+Opex_Breakdown!Z34</f>
        <v>0</v>
      </c>
      <c r="AA117" s="1628">
        <f>+Opex_Breakdown!AA34</f>
        <v>0</v>
      </c>
      <c r="AB117" s="1629">
        <f>+Opex_Breakdown!AB34</f>
        <v>0</v>
      </c>
      <c r="AC117" s="1628">
        <f>+Opex_Breakdown!AC34</f>
        <v>0</v>
      </c>
      <c r="AD117" s="1628">
        <f>+Opex_Breakdown!AD34</f>
        <v>0</v>
      </c>
      <c r="AE117" s="1628">
        <f>+Opex_Breakdown!AE34</f>
        <v>0</v>
      </c>
      <c r="AF117" s="1628">
        <f>+Opex_Breakdown!AF34</f>
        <v>0</v>
      </c>
      <c r="AG117" s="1629">
        <f>+Opex_Breakdown!AG34</f>
        <v>0</v>
      </c>
      <c r="AH117" s="81"/>
    </row>
    <row r="118" spans="3:34">
      <c r="C118" s="82"/>
      <c r="D118" s="118" t="s">
        <v>15</v>
      </c>
      <c r="E118" s="119"/>
      <c r="F118" s="74"/>
      <c r="G118" s="74"/>
      <c r="H118" s="74"/>
      <c r="I118" s="74"/>
      <c r="J118" s="74"/>
      <c r="K118" s="74"/>
      <c r="L118" s="74"/>
      <c r="M118" s="74"/>
      <c r="N118" s="74"/>
      <c r="O118" s="74"/>
      <c r="P118" s="74"/>
      <c r="Q118" s="74"/>
      <c r="R118" s="74"/>
      <c r="S118" s="74"/>
      <c r="T118" s="74"/>
      <c r="U118" s="74"/>
      <c r="V118" s="74"/>
      <c r="X118" s="1627">
        <f>+Opex_Breakdown!X35</f>
        <v>0.26400000000000001</v>
      </c>
      <c r="Y118" s="1628">
        <f>+Opex_Breakdown!Y35</f>
        <v>0.26400000000000001</v>
      </c>
      <c r="Z118" s="1628">
        <f>+Opex_Breakdown!Z35</f>
        <v>0.26400000000000001</v>
      </c>
      <c r="AA118" s="1628">
        <f>+Opex_Breakdown!AA35</f>
        <v>0.26400000000000001</v>
      </c>
      <c r="AB118" s="1629">
        <f>+Opex_Breakdown!AB35</f>
        <v>0.26400000000000001</v>
      </c>
      <c r="AC118" s="1628">
        <f>+Opex_Breakdown!AC35</f>
        <v>0.26400000000000001</v>
      </c>
      <c r="AD118" s="1628">
        <f>+Opex_Breakdown!AD35</f>
        <v>0.26400000000000001</v>
      </c>
      <c r="AE118" s="1628">
        <f>+Opex_Breakdown!AE35</f>
        <v>0.26400000000000001</v>
      </c>
      <c r="AF118" s="1628">
        <f>+Opex_Breakdown!AF35</f>
        <v>0.26400000000000001</v>
      </c>
      <c r="AG118" s="1629">
        <f>+Opex_Breakdown!AG35</f>
        <v>0.26400000000000001</v>
      </c>
      <c r="AH118" s="81"/>
    </row>
    <row r="119" spans="3:34">
      <c r="C119" s="82"/>
      <c r="D119" s="118" t="s">
        <v>327</v>
      </c>
      <c r="E119" s="119"/>
      <c r="F119" s="74"/>
      <c r="G119" s="74"/>
      <c r="H119" s="74"/>
      <c r="I119" s="74"/>
      <c r="J119" s="74"/>
      <c r="K119" s="74"/>
      <c r="L119" s="74"/>
      <c r="M119" s="74"/>
      <c r="N119" s="74"/>
      <c r="O119" s="74"/>
      <c r="P119" s="74"/>
      <c r="Q119" s="74"/>
      <c r="R119" s="74"/>
      <c r="S119" s="74"/>
      <c r="T119" s="74"/>
      <c r="U119" s="74"/>
      <c r="V119" s="74"/>
      <c r="X119" s="1627">
        <f>+Opex_Breakdown!X36</f>
        <v>3.1049562682215743</v>
      </c>
      <c r="Y119" s="1628">
        <f>+Opex_Breakdown!Y36</f>
        <v>3.017450212071501</v>
      </c>
      <c r="Z119" s="1628">
        <f>+Opex_Breakdown!Z36</f>
        <v>2.9324103129946564</v>
      </c>
      <c r="AA119" s="1628">
        <f>+Opex_Breakdown!AA36</f>
        <v>2.8497670680220182</v>
      </c>
      <c r="AB119" s="1629">
        <f>+Opex_Breakdown!AB36</f>
        <v>2.7694529329660043</v>
      </c>
      <c r="AC119" s="1628">
        <f>+Opex_Breakdown!AC36</f>
        <v>2.6914022672167195</v>
      </c>
      <c r="AD119" s="1628">
        <f>+Opex_Breakdown!AD36</f>
        <v>2.6155512800939937</v>
      </c>
      <c r="AE119" s="1628">
        <f>+Opex_Breakdown!AE36</f>
        <v>2.5418379787113645</v>
      </c>
      <c r="AF119" s="1628">
        <f>+Opex_Breakdown!AF36</f>
        <v>2.4702021173093924</v>
      </c>
      <c r="AG119" s="1629">
        <f>+Opex_Breakdown!AG36</f>
        <v>2.4005851480169023</v>
      </c>
      <c r="AH119" s="81"/>
    </row>
    <row r="120" spans="3:34">
      <c r="C120" s="82"/>
      <c r="D120" s="118" t="s">
        <v>484</v>
      </c>
      <c r="E120" s="121"/>
      <c r="F120" s="74"/>
      <c r="G120" s="74"/>
      <c r="H120" s="74"/>
      <c r="I120" s="74"/>
      <c r="J120" s="74"/>
      <c r="K120" s="74"/>
      <c r="L120" s="74"/>
      <c r="M120" s="74"/>
      <c r="N120" s="74"/>
      <c r="O120" s="74"/>
      <c r="P120" s="74"/>
      <c r="Q120" s="74"/>
      <c r="R120" s="74"/>
      <c r="S120" s="74"/>
      <c r="T120" s="74"/>
      <c r="U120" s="74"/>
      <c r="V120" s="74"/>
      <c r="X120" s="1630">
        <f>+Opex_Breakdown!X37</f>
        <v>0.08</v>
      </c>
      <c r="Y120" s="1631">
        <f>+Opex_Breakdown!Y37</f>
        <v>0.08</v>
      </c>
      <c r="Z120" s="1631">
        <f>+Opex_Breakdown!Z37</f>
        <v>0.08</v>
      </c>
      <c r="AA120" s="1631">
        <f>+Opex_Breakdown!AA37</f>
        <v>0.08</v>
      </c>
      <c r="AB120" s="1632">
        <f>+Opex_Breakdown!AB37</f>
        <v>0.08</v>
      </c>
      <c r="AC120" s="1631">
        <f>+Opex_Breakdown!AC37</f>
        <v>0.08</v>
      </c>
      <c r="AD120" s="1631">
        <f>+Opex_Breakdown!AD37</f>
        <v>0.08</v>
      </c>
      <c r="AE120" s="1631">
        <f>+Opex_Breakdown!AE37</f>
        <v>0.08</v>
      </c>
      <c r="AF120" s="1631">
        <f>+Opex_Breakdown!AF37</f>
        <v>0.08</v>
      </c>
      <c r="AG120" s="1632">
        <f>+Opex_Breakdown!AG37</f>
        <v>0.08</v>
      </c>
      <c r="AH120" s="81"/>
    </row>
    <row r="121" spans="3:34">
      <c r="C121" s="82"/>
      <c r="D121" s="111" t="s">
        <v>485</v>
      </c>
      <c r="E121" s="74"/>
      <c r="F121" s="74"/>
      <c r="G121" s="74"/>
      <c r="H121" s="74"/>
      <c r="I121" s="74"/>
      <c r="J121" s="74"/>
      <c r="K121" s="74"/>
      <c r="L121" s="74"/>
      <c r="M121" s="74"/>
      <c r="N121" s="74"/>
      <c r="O121" s="74"/>
      <c r="P121" s="74"/>
      <c r="Q121" s="74"/>
      <c r="R121" s="74"/>
      <c r="S121" s="74"/>
      <c r="T121" s="74"/>
      <c r="U121" s="74"/>
      <c r="V121" s="74"/>
      <c r="X121" s="128">
        <f t="shared" ref="X121:AG121" si="12">SUM(X116:X120)</f>
        <v>3.9039562682215747</v>
      </c>
      <c r="Y121" s="128">
        <f t="shared" si="12"/>
        <v>3.8164502120715014</v>
      </c>
      <c r="Z121" s="128">
        <f t="shared" si="12"/>
        <v>3.7314103129946563</v>
      </c>
      <c r="AA121" s="128">
        <f t="shared" si="12"/>
        <v>3.6487670680220186</v>
      </c>
      <c r="AB121" s="128">
        <f t="shared" si="12"/>
        <v>3.5684529329660046</v>
      </c>
      <c r="AC121" s="128">
        <f t="shared" si="12"/>
        <v>3.4904022672167194</v>
      </c>
      <c r="AD121" s="128">
        <f t="shared" si="12"/>
        <v>3.4145512800939937</v>
      </c>
      <c r="AE121" s="128">
        <f t="shared" si="12"/>
        <v>3.3408379787113649</v>
      </c>
      <c r="AF121" s="128">
        <f t="shared" si="12"/>
        <v>3.2692021173093924</v>
      </c>
      <c r="AG121" s="128">
        <f t="shared" si="12"/>
        <v>3.1995851480169026</v>
      </c>
      <c r="AH121" s="81"/>
    </row>
    <row r="122" spans="3:34">
      <c r="C122" s="82"/>
      <c r="D122" s="111"/>
      <c r="E122" s="74"/>
      <c r="F122" s="74"/>
      <c r="G122" s="74"/>
      <c r="W122" s="1511"/>
      <c r="X122" s="1623"/>
      <c r="Y122" s="1623"/>
      <c r="Z122" s="1623"/>
      <c r="AA122" s="1623"/>
      <c r="AB122" s="1764">
        <f>SUM(X121:AB121)</f>
        <v>18.669036794275755</v>
      </c>
      <c r="AC122" s="1622"/>
      <c r="AD122" s="604"/>
      <c r="AE122" s="604"/>
      <c r="AF122" s="604"/>
      <c r="AG122" s="1764">
        <f>SUM(AC121:AG121)</f>
        <v>16.714578791348373</v>
      </c>
      <c r="AH122" s="81"/>
    </row>
    <row r="123" spans="3:34">
      <c r="C123" s="82"/>
      <c r="D123" s="124"/>
      <c r="E123" s="124"/>
      <c r="F123" s="74"/>
      <c r="G123" s="74"/>
      <c r="H123" s="74"/>
      <c r="I123" s="74"/>
      <c r="J123" s="74"/>
      <c r="K123" s="74"/>
      <c r="L123" s="74"/>
      <c r="M123" s="74"/>
      <c r="N123" s="74"/>
      <c r="O123" s="74"/>
      <c r="P123" s="74"/>
      <c r="Q123" s="74"/>
      <c r="R123" s="74"/>
      <c r="S123" s="74"/>
      <c r="T123" s="74"/>
      <c r="U123" s="74"/>
      <c r="V123" s="74"/>
      <c r="AH123" s="81"/>
    </row>
    <row r="124" spans="3:34">
      <c r="C124" s="82"/>
      <c r="D124" s="111" t="s">
        <v>483</v>
      </c>
      <c r="E124" s="74"/>
      <c r="F124" s="74"/>
      <c r="X124" s="1633">
        <f>+X121+X113</f>
        <v>60.831457455994489</v>
      </c>
      <c r="Y124" s="1634">
        <f t="shared" ref="Y124:AF124" si="13">+Y121+Y113</f>
        <v>61.562985399844415</v>
      </c>
      <c r="Z124" s="1634">
        <f t="shared" si="13"/>
        <v>60.953792500767563</v>
      </c>
      <c r="AA124" s="1634">
        <f t="shared" si="13"/>
        <v>61.747679255794928</v>
      </c>
      <c r="AB124" s="1635">
        <f t="shared" si="13"/>
        <v>61.750141120738917</v>
      </c>
      <c r="AC124" s="1633">
        <f t="shared" si="13"/>
        <v>62.527376510216712</v>
      </c>
      <c r="AD124" s="1634">
        <f t="shared" si="13"/>
        <v>63.319367578321057</v>
      </c>
      <c r="AE124" s="1634">
        <f t="shared" si="13"/>
        <v>64.1260523321655</v>
      </c>
      <c r="AF124" s="1634">
        <f t="shared" si="13"/>
        <v>64.947662525990609</v>
      </c>
      <c r="AG124" s="1635">
        <f>+AG121+AG113</f>
        <v>65.784431611925186</v>
      </c>
      <c r="AH124" s="81"/>
    </row>
    <row r="125" spans="3:34">
      <c r="C125" s="82"/>
      <c r="D125" s="111"/>
      <c r="E125" s="74"/>
      <c r="F125" s="74"/>
      <c r="G125" s="74"/>
      <c r="H125" s="74"/>
      <c r="I125" s="74"/>
      <c r="J125" s="74"/>
      <c r="K125" s="74"/>
      <c r="L125" s="74"/>
      <c r="M125" s="74"/>
      <c r="N125" s="74"/>
      <c r="O125" s="74"/>
      <c r="P125" s="74"/>
      <c r="Q125" s="74"/>
      <c r="R125" s="74"/>
      <c r="S125" s="74"/>
      <c r="T125" s="74"/>
      <c r="U125" s="74"/>
      <c r="V125" s="74"/>
      <c r="W125" s="1511"/>
      <c r="X125" s="1513"/>
      <c r="Y125" s="1513"/>
      <c r="Z125" s="1513"/>
      <c r="AA125" s="1513"/>
      <c r="AB125" s="1765">
        <f>SUM(X124:AB124)</f>
        <v>306.8460557331403</v>
      </c>
      <c r="AC125" s="1766"/>
      <c r="AD125" s="604"/>
      <c r="AE125" s="604"/>
      <c r="AF125" s="604"/>
      <c r="AG125" s="1765">
        <f>SUM(AC124:AG124)</f>
        <v>320.70489055861907</v>
      </c>
      <c r="AH125" s="81"/>
    </row>
    <row r="126" spans="3:34">
      <c r="C126" s="82"/>
      <c r="D126" s="111"/>
      <c r="E126" s="74"/>
      <c r="F126" s="74"/>
      <c r="G126" s="74"/>
      <c r="H126" s="74"/>
      <c r="I126" s="74"/>
      <c r="J126" s="74"/>
      <c r="K126" s="74"/>
      <c r="L126" s="74"/>
      <c r="M126" s="74"/>
      <c r="N126" s="74"/>
      <c r="O126" s="74"/>
      <c r="P126" s="74"/>
      <c r="Q126" s="74"/>
      <c r="R126" s="74"/>
      <c r="S126" s="74"/>
      <c r="T126" s="74"/>
      <c r="U126" s="74"/>
      <c r="V126" s="74"/>
      <c r="X126" s="74"/>
      <c r="Y126" s="74"/>
      <c r="Z126" s="74"/>
      <c r="AA126" s="74"/>
      <c r="AB126" s="74"/>
      <c r="AC126" s="74"/>
      <c r="AD126" s="74"/>
      <c r="AE126" s="74"/>
      <c r="AF126" s="74"/>
      <c r="AG126" s="74"/>
      <c r="AH126" s="81"/>
    </row>
    <row r="127" spans="3:34">
      <c r="C127" s="82"/>
      <c r="D127" s="111"/>
      <c r="E127" s="74"/>
      <c r="F127" s="74"/>
      <c r="G127" s="74"/>
      <c r="H127" s="74"/>
      <c r="I127" s="74"/>
      <c r="J127" s="74"/>
      <c r="K127" s="74"/>
      <c r="L127" s="74"/>
      <c r="M127" s="74"/>
      <c r="N127" s="74"/>
      <c r="O127" s="74"/>
      <c r="P127" s="74"/>
      <c r="Q127" s="74"/>
      <c r="R127" s="74"/>
      <c r="S127" s="74"/>
      <c r="T127" s="74"/>
      <c r="U127" s="74"/>
      <c r="W127" s="317" t="s">
        <v>1081</v>
      </c>
      <c r="X127" s="318">
        <f>+Opex_Breakdown!X42</f>
        <v>60.831457927610231</v>
      </c>
      <c r="Y127" s="319">
        <f>+Opex_Breakdown!Y42</f>
        <v>61.562985871460157</v>
      </c>
      <c r="Z127" s="319">
        <f>+Opex_Breakdown!Z42</f>
        <v>60.953792972383312</v>
      </c>
      <c r="AA127" s="319">
        <f>+Opex_Breakdown!AA42</f>
        <v>61.74767972741067</v>
      </c>
      <c r="AB127" s="320">
        <f>+Opex_Breakdown!AB42</f>
        <v>61.750141592354659</v>
      </c>
      <c r="AC127" s="319">
        <f>+Opex_Breakdown!AC42</f>
        <v>62.52737892660538</v>
      </c>
      <c r="AD127" s="319">
        <f>+Opex_Breakdown!AD42</f>
        <v>63.319367939482653</v>
      </c>
      <c r="AE127" s="319">
        <f>+Opex_Breakdown!AE42</f>
        <v>64.12605263810002</v>
      </c>
      <c r="AF127" s="319">
        <f>+Opex_Breakdown!AF42</f>
        <v>64.947658776698049</v>
      </c>
      <c r="AG127" s="320">
        <f>+Opex_Breakdown!AG42</f>
        <v>65.784431807405568</v>
      </c>
      <c r="AH127" s="81"/>
    </row>
    <row r="128" spans="3:34">
      <c r="C128" s="82"/>
      <c r="D128" s="111"/>
      <c r="E128" s="74"/>
      <c r="F128" s="74"/>
      <c r="G128" s="74"/>
      <c r="H128" s="74"/>
      <c r="I128" s="74"/>
      <c r="J128" s="74"/>
      <c r="K128" s="74"/>
      <c r="L128" s="74"/>
      <c r="M128" s="74"/>
      <c r="N128" s="74"/>
      <c r="O128" s="74"/>
      <c r="P128" s="74"/>
      <c r="Q128" s="74"/>
      <c r="R128" s="74"/>
      <c r="S128" s="74"/>
      <c r="T128" s="74"/>
      <c r="U128" s="74"/>
      <c r="W128" s="317" t="s">
        <v>469</v>
      </c>
      <c r="X128" s="1580">
        <f>+X127-X124</f>
        <v>4.7161574201481926E-7</v>
      </c>
      <c r="Y128" s="321">
        <f t="shared" ref="Y128:AG128" si="14">+Y127-Y124</f>
        <v>4.7161574201481926E-7</v>
      </c>
      <c r="Z128" s="321">
        <f t="shared" si="14"/>
        <v>4.7161574912024662E-7</v>
      </c>
      <c r="AA128" s="321">
        <f t="shared" si="14"/>
        <v>4.7161574201481926E-7</v>
      </c>
      <c r="AB128" s="322">
        <f t="shared" si="14"/>
        <v>4.7161574201481926E-7</v>
      </c>
      <c r="AC128" s="321">
        <f t="shared" si="14"/>
        <v>2.4163886678252311E-6</v>
      </c>
      <c r="AD128" s="321">
        <f t="shared" si="14"/>
        <v>3.6116159662924474E-7</v>
      </c>
      <c r="AE128" s="321">
        <f t="shared" si="14"/>
        <v>3.059345203837438E-7</v>
      </c>
      <c r="AF128" s="321">
        <f t="shared" si="14"/>
        <v>-3.7492925599735827E-6</v>
      </c>
      <c r="AG128" s="322">
        <f t="shared" si="14"/>
        <v>1.9548038210359664E-7</v>
      </c>
      <c r="AH128" s="81"/>
    </row>
    <row r="129" spans="3:34">
      <c r="C129" s="82"/>
      <c r="D129" s="111"/>
      <c r="E129" s="74"/>
      <c r="F129" s="74"/>
      <c r="G129" s="74"/>
      <c r="H129" s="74"/>
      <c r="I129" s="74"/>
      <c r="J129" s="74"/>
      <c r="K129" s="74"/>
      <c r="L129" s="74"/>
      <c r="M129" s="74"/>
      <c r="N129" s="74"/>
      <c r="O129" s="74"/>
      <c r="P129" s="74"/>
      <c r="Q129" s="74"/>
      <c r="R129" s="74"/>
      <c r="S129" s="74"/>
      <c r="T129" s="74"/>
      <c r="U129" s="74"/>
      <c r="W129" s="317" t="s">
        <v>481</v>
      </c>
      <c r="X129" s="1781">
        <f>IF(ROUND(X127,5)=ROUND(X124,5),0,1)</f>
        <v>0</v>
      </c>
      <c r="Y129" s="1781">
        <f t="shared" ref="Y129:AG129" si="15">IF(ROUND(Y127,5)=ROUND(Y124,5),0,1)</f>
        <v>0</v>
      </c>
      <c r="Z129" s="1781">
        <f t="shared" si="15"/>
        <v>0</v>
      </c>
      <c r="AA129" s="1781">
        <f t="shared" si="15"/>
        <v>0</v>
      </c>
      <c r="AB129" s="1781">
        <f t="shared" si="15"/>
        <v>0</v>
      </c>
      <c r="AC129" s="1781">
        <f t="shared" si="15"/>
        <v>0</v>
      </c>
      <c r="AD129" s="1781">
        <f t="shared" si="15"/>
        <v>0</v>
      </c>
      <c r="AE129" s="1781">
        <f t="shared" si="15"/>
        <v>0</v>
      </c>
      <c r="AF129" s="1781">
        <f t="shared" si="15"/>
        <v>0</v>
      </c>
      <c r="AG129" s="1781">
        <f t="shared" si="15"/>
        <v>0</v>
      </c>
      <c r="AH129" s="81"/>
    </row>
    <row r="130" spans="3:34">
      <c r="C130" s="92"/>
      <c r="D130" s="75"/>
      <c r="E130" s="75"/>
      <c r="F130" s="75"/>
      <c r="G130" s="75"/>
      <c r="H130" s="75"/>
      <c r="I130" s="75"/>
      <c r="J130" s="75"/>
      <c r="K130" s="75"/>
      <c r="L130" s="75"/>
      <c r="M130" s="75"/>
      <c r="N130" s="75"/>
      <c r="O130" s="75"/>
      <c r="P130" s="75"/>
      <c r="Q130" s="75"/>
      <c r="R130" s="75"/>
      <c r="S130" s="75"/>
      <c r="T130" s="75"/>
      <c r="U130" s="75"/>
      <c r="V130" s="125"/>
      <c r="W130" s="75"/>
      <c r="X130" s="126"/>
      <c r="Y130" s="126"/>
      <c r="Z130" s="126"/>
      <c r="AA130" s="126"/>
      <c r="AB130" s="126"/>
      <c r="AC130" s="126"/>
      <c r="AD130" s="126"/>
      <c r="AE130" s="126"/>
      <c r="AF130" s="126"/>
      <c r="AG130" s="126"/>
      <c r="AH130" s="94"/>
    </row>
    <row r="132" spans="3:34">
      <c r="X132" s="1955"/>
      <c r="Y132" s="1955"/>
      <c r="Z132" s="1955"/>
      <c r="AA132" s="1955"/>
      <c r="AB132" s="1955"/>
      <c r="AC132" s="1955"/>
      <c r="AD132" s="1955"/>
      <c r="AE132" s="1955"/>
      <c r="AF132" s="1955"/>
      <c r="AG132" s="1955"/>
    </row>
    <row r="189" spans="20:20">
      <c r="T189" s="124"/>
    </row>
    <row r="190" spans="20:20">
      <c r="T190" s="124"/>
    </row>
    <row r="191" spans="20:20">
      <c r="T191" s="74"/>
    </row>
    <row r="192" spans="20:20">
      <c r="T192" s="74"/>
    </row>
    <row r="193" spans="14:20">
      <c r="T193" s="74"/>
    </row>
    <row r="194" spans="14:20">
      <c r="T194" s="74"/>
    </row>
    <row r="195" spans="14:20">
      <c r="T195" s="74"/>
    </row>
    <row r="196" spans="14:20">
      <c r="T196" s="74"/>
    </row>
    <row r="197" spans="14:20">
      <c r="T197" s="74"/>
    </row>
    <row r="198" spans="14:20">
      <c r="T198" s="74"/>
    </row>
    <row r="199" spans="14:20">
      <c r="T199" s="74"/>
    </row>
    <row r="200" spans="14:20">
      <c r="T200" s="74"/>
    </row>
    <row r="201" spans="14:20">
      <c r="S201" s="127"/>
      <c r="T201" s="74"/>
    </row>
    <row r="202" spans="14:20">
      <c r="T202" s="74"/>
    </row>
    <row r="203" spans="14:20">
      <c r="N203" s="128"/>
      <c r="T203" s="74"/>
    </row>
    <row r="204" spans="14:20">
      <c r="T204" s="74"/>
    </row>
    <row r="205" spans="14:20">
      <c r="T205" s="74"/>
    </row>
    <row r="206" spans="14:20">
      <c r="T206" s="74"/>
    </row>
    <row r="207" spans="14:20">
      <c r="T207" s="74"/>
    </row>
    <row r="208" spans="14:20">
      <c r="T208" s="74"/>
    </row>
    <row r="209" spans="2:37">
      <c r="T209" s="74"/>
    </row>
    <row r="210" spans="2:37">
      <c r="T210" s="74"/>
    </row>
    <row r="211" spans="2:37">
      <c r="B211" s="129"/>
      <c r="C211" s="129"/>
      <c r="D211" s="129"/>
      <c r="E211" s="129"/>
      <c r="F211" s="129"/>
      <c r="G211" s="129"/>
      <c r="T211" s="74"/>
      <c r="AJ211" s="129"/>
      <c r="AK211" s="129"/>
    </row>
    <row r="212" spans="2:37">
      <c r="J212" s="129"/>
      <c r="Q212" s="129"/>
      <c r="R212" s="129"/>
      <c r="S212" s="129"/>
      <c r="T212" s="112"/>
    </row>
    <row r="213" spans="2:37">
      <c r="B213" s="74"/>
      <c r="C213" s="74"/>
      <c r="D213" s="74"/>
      <c r="E213" s="74"/>
      <c r="F213" s="74"/>
      <c r="G213" s="74"/>
      <c r="T213" s="74"/>
    </row>
    <row r="214" spans="2:37">
      <c r="B214" s="74"/>
      <c r="C214" s="74"/>
      <c r="D214" s="74"/>
      <c r="E214" s="74"/>
      <c r="F214" s="74"/>
      <c r="G214" s="74"/>
      <c r="J214" s="74"/>
      <c r="T214" s="74"/>
    </row>
    <row r="215" spans="2:37">
      <c r="B215" s="74"/>
      <c r="C215" s="74"/>
      <c r="D215" s="74"/>
      <c r="E215" s="74"/>
      <c r="F215" s="74"/>
      <c r="G215" s="74"/>
      <c r="J215" s="74"/>
      <c r="T215" s="74"/>
    </row>
    <row r="216" spans="2:37">
      <c r="B216" s="74"/>
      <c r="C216" s="74"/>
      <c r="D216" s="74"/>
      <c r="E216" s="74"/>
      <c r="F216" s="74"/>
      <c r="G216" s="74"/>
      <c r="H216" s="74"/>
      <c r="I216" s="74"/>
      <c r="J216" s="74"/>
      <c r="K216" s="74"/>
      <c r="L216" s="74"/>
      <c r="M216" s="74"/>
      <c r="T216" s="74"/>
    </row>
    <row r="217" spans="2:37">
      <c r="T217" s="74"/>
    </row>
    <row r="218" spans="2:37">
      <c r="T218" s="74"/>
    </row>
    <row r="219" spans="2:37">
      <c r="T219" s="74"/>
    </row>
    <row r="220" spans="2:37">
      <c r="T220" s="74"/>
    </row>
    <row r="221" spans="2:37">
      <c r="T221" s="74"/>
    </row>
    <row r="222" spans="2:37">
      <c r="T222" s="74"/>
    </row>
    <row r="223" spans="2:37">
      <c r="T223" s="74"/>
    </row>
    <row r="224" spans="2:37">
      <c r="T224" s="74"/>
    </row>
    <row r="225" spans="20:20">
      <c r="T225" s="74"/>
    </row>
    <row r="226" spans="20:20">
      <c r="T226" s="74"/>
    </row>
    <row r="227" spans="20:20">
      <c r="T227" s="74"/>
    </row>
  </sheetData>
  <sheetProtection algorithmName="SHA-512" hashValue="PLBfAX+YAD4stWXhPUJrWeuQCDiRrYd77F7r8X2WAuFqXU1oUngYAY7lauoxLUhGyNeaVfo49IUVLMrj+aZbBw==" saltValue="NpYfZ1mtOVvDSSF/N8T/Sw==" spinCount="100000" sheet="1" objects="1" scenarios="1"/>
  <dataConsolidate link="1"/>
  <mergeCells count="1">
    <mergeCell ref="B3:F3"/>
  </mergeCells>
  <phoneticPr fontId="4" type="noConversion"/>
  <conditionalFormatting sqref="H92:H108">
    <cfRule type="containsText" dxfId="97" priority="7" stopIfTrue="1" operator="containsText" text="[Service]">
      <formula>NOT(ISERROR(SEARCH("[Service]",H92)))</formula>
    </cfRule>
  </conditionalFormatting>
  <conditionalFormatting sqref="X129:AG129">
    <cfRule type="cellIs" dxfId="96" priority="1" operator="equal">
      <formula>0</formula>
    </cfRule>
    <cfRule type="containsText" dxfId="95" priority="2" operator="containsText" text="FALSE">
      <formula>NOT(ISERROR(SEARCH("FALSE",X129)))</formula>
    </cfRule>
  </conditionalFormatting>
  <conditionalFormatting sqref="AB64">
    <cfRule type="containsText" dxfId="94" priority="3" operator="containsText" text="FALSE">
      <formula>NOT(ISERROR(SEARCH("FALSE",AB64)))</formula>
    </cfRule>
    <cfRule type="containsText" dxfId="93" priority="4" operator="containsText" text="TRUE">
      <formula>NOT(ISERROR(SEARCH("TRUE",AB64)))</formula>
    </cfRule>
    <cfRule type="containsText" dxfId="92" priority="5" operator="containsText" text="FALSE">
      <formula>NOT(ISERROR(SEARCH("FALSE",AB64)))</formula>
    </cfRule>
  </conditionalFormatting>
  <dataValidations count="1">
    <dataValidation type="list" allowBlank="1" showInputMessage="1" showErrorMessage="1" sqref="H92:H108" xr:uid="{00000000-0002-0000-0400-000000000000}">
      <formula1>Asset_Class</formula1>
    </dataValidation>
  </dataValidations>
  <hyperlinks>
    <hyperlink ref="B3" location="HL_Home" tooltip="Go to Table of Contents" display="HL_Home" xr:uid="{00000000-0004-0000-0400-000000000000}"/>
  </hyperlinks>
  <pageMargins left="0.75" right="0.75" top="1" bottom="1" header="0.5" footer="0.5"/>
  <pageSetup paperSize="9" orientation="portrait" r:id="rId1"/>
  <headerFooter alignWithMargins="0">
    <oddHeader>&amp;C&amp;"Calibri"&amp;12&amp;KFF0000 OFFICIAL&amp;1#_x000D_&amp;"Arial"&amp;8&amp;K000000&amp;B&amp;"Arial"&amp;12&amp;Kff0000​‌OFFICIAL‌​</oddHead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autoPageBreaks="0"/>
  </sheetPr>
  <dimension ref="A1:AU192"/>
  <sheetViews>
    <sheetView showGridLines="0" zoomScaleNormal="100" workbookViewId="0">
      <pane ySplit="7" topLeftCell="A132" activePane="bottomLeft" state="frozen"/>
      <selection activeCell="R43" sqref="R43"/>
      <selection pane="bottomLeft" activeCell="AF132" sqref="AF132"/>
    </sheetView>
  </sheetViews>
  <sheetFormatPr defaultColWidth="10.83203125" defaultRowHeight="12" outlineLevelCol="1"/>
  <cols>
    <col min="1" max="1" width="3.83203125" style="70" customWidth="1"/>
    <col min="2" max="2" width="5" style="70" customWidth="1"/>
    <col min="3" max="5" width="3.83203125" style="70" customWidth="1"/>
    <col min="6" max="6" width="10.83203125" style="70" customWidth="1"/>
    <col min="7" max="7" width="13.5" style="70" customWidth="1"/>
    <col min="8" max="8" width="22" style="70" bestFit="1" customWidth="1"/>
    <col min="9" max="9" width="15" style="70" customWidth="1"/>
    <col min="10" max="10" width="11" style="70" customWidth="1"/>
    <col min="11" max="14" width="10.83203125" style="70" hidden="1" customWidth="1" outlineLevel="1"/>
    <col min="15" max="15" width="10.83203125" style="70" customWidth="1" collapsed="1"/>
    <col min="16" max="28" width="10.83203125" style="70" customWidth="1"/>
    <col min="29" max="30" width="11.33203125" style="70" customWidth="1"/>
    <col min="31" max="31" width="11.1640625" style="70" customWidth="1"/>
    <col min="32" max="32" width="11.1640625" style="70" bestFit="1" customWidth="1"/>
    <col min="33" max="33" width="12.33203125" style="70" bestFit="1" customWidth="1"/>
    <col min="34" max="34" width="6" style="70" customWidth="1"/>
    <col min="35" max="16384" width="10.83203125" style="70"/>
  </cols>
  <sheetData>
    <row r="1" spans="1:35" ht="15">
      <c r="A1" s="152">
        <v>80</v>
      </c>
      <c r="B1" s="153" t="s">
        <v>508</v>
      </c>
      <c r="Y1" s="232"/>
      <c r="Z1" s="232"/>
    </row>
    <row r="2" spans="1:35" ht="12.75">
      <c r="B2" s="155" t="str">
        <f>+Contents!H7</f>
        <v>North East Water</v>
      </c>
      <c r="N2" s="341"/>
      <c r="W2" s="1609"/>
    </row>
    <row r="3" spans="1:35">
      <c r="B3" s="2212" t="s">
        <v>0</v>
      </c>
      <c r="C3" s="2212"/>
      <c r="D3" s="2212"/>
      <c r="E3" s="2212"/>
      <c r="F3" s="2212"/>
      <c r="G3" s="71"/>
    </row>
    <row r="4" spans="1:35">
      <c r="A4" s="160"/>
      <c r="B4" s="72"/>
      <c r="C4" s="73"/>
      <c r="F4" s="60"/>
      <c r="K4" s="63"/>
      <c r="L4" s="149"/>
      <c r="M4" s="149" t="s">
        <v>274</v>
      </c>
      <c r="N4" s="149"/>
      <c r="O4" s="149"/>
      <c r="P4" s="1619"/>
      <c r="Q4" s="150"/>
      <c r="R4" s="150"/>
      <c r="S4" s="150"/>
      <c r="T4" s="1619" t="s">
        <v>334</v>
      </c>
      <c r="U4" s="150"/>
      <c r="V4" s="150"/>
      <c r="W4" s="150"/>
      <c r="X4" s="1619"/>
      <c r="Y4" s="150"/>
      <c r="Z4" s="150" t="s">
        <v>465</v>
      </c>
      <c r="AA4" s="150"/>
      <c r="AB4" s="62"/>
      <c r="AC4" s="64"/>
      <c r="AD4" s="64"/>
      <c r="AE4" s="150" t="s">
        <v>949</v>
      </c>
      <c r="AF4" s="63"/>
      <c r="AG4" s="62"/>
    </row>
    <row r="6" spans="1:35">
      <c r="B6" s="161"/>
      <c r="I6" s="66">
        <v>2014</v>
      </c>
      <c r="J6" s="66">
        <v>2015</v>
      </c>
      <c r="K6" s="66">
        <v>2016</v>
      </c>
      <c r="L6" s="66">
        <v>2017</v>
      </c>
      <c r="M6" s="66">
        <v>2018</v>
      </c>
      <c r="N6" s="66">
        <v>2019</v>
      </c>
      <c r="O6" s="66">
        <v>2020</v>
      </c>
      <c r="P6" s="66">
        <v>2021</v>
      </c>
      <c r="Q6" s="66">
        <v>2022</v>
      </c>
      <c r="R6" s="66">
        <v>2023</v>
      </c>
      <c r="S6" s="67">
        <v>2024</v>
      </c>
      <c r="T6" s="67">
        <v>2025</v>
      </c>
      <c r="U6" s="67">
        <v>2026</v>
      </c>
      <c r="V6" s="67">
        <v>2027</v>
      </c>
      <c r="W6" s="67">
        <v>2028</v>
      </c>
      <c r="X6" s="67">
        <f>W6+1</f>
        <v>2029</v>
      </c>
      <c r="Y6" s="67">
        <f>X6+1</f>
        <v>2030</v>
      </c>
      <c r="Z6" s="67">
        <f t="shared" ref="Z6:AG6" si="0">Y6+1</f>
        <v>2031</v>
      </c>
      <c r="AA6" s="67">
        <f t="shared" si="0"/>
        <v>2032</v>
      </c>
      <c r="AB6" s="67">
        <f t="shared" si="0"/>
        <v>2033</v>
      </c>
      <c r="AC6" s="67">
        <f t="shared" si="0"/>
        <v>2034</v>
      </c>
      <c r="AD6" s="67">
        <f t="shared" si="0"/>
        <v>2035</v>
      </c>
      <c r="AE6" s="67">
        <f t="shared" si="0"/>
        <v>2036</v>
      </c>
      <c r="AF6" s="67">
        <f t="shared" si="0"/>
        <v>2037</v>
      </c>
      <c r="AG6" s="67">
        <f t="shared" si="0"/>
        <v>2038</v>
      </c>
      <c r="AH6" s="67">
        <f>AG6+1</f>
        <v>2039</v>
      </c>
    </row>
    <row r="7" spans="1:35">
      <c r="A7" s="75"/>
      <c r="B7" s="70" t="str">
        <f>Opex_FO!B6</f>
        <v>$m, 01/01/26</v>
      </c>
      <c r="C7" s="75"/>
      <c r="D7" s="75"/>
      <c r="E7" s="75"/>
      <c r="F7" s="75"/>
      <c r="G7" s="75"/>
      <c r="H7" s="75"/>
      <c r="K7" s="342" t="str">
        <f t="shared" ref="K7:X7" si="1">+CONCATENATE(I6-1,"-",RIGHT(I6,2))</f>
        <v>2013-14</v>
      </c>
      <c r="L7" s="342" t="str">
        <f t="shared" si="1"/>
        <v>2014-15</v>
      </c>
      <c r="M7" s="342" t="str">
        <f t="shared" si="1"/>
        <v>2015-16</v>
      </c>
      <c r="N7" s="342" t="str">
        <f t="shared" si="1"/>
        <v>2016-17</v>
      </c>
      <c r="O7" s="342" t="str">
        <f t="shared" si="1"/>
        <v>2017-18</v>
      </c>
      <c r="P7" s="342" t="str">
        <f t="shared" si="1"/>
        <v>2018-19</v>
      </c>
      <c r="Q7" s="342" t="str">
        <f t="shared" si="1"/>
        <v>2019-20</v>
      </c>
      <c r="R7" s="342" t="str">
        <f t="shared" si="1"/>
        <v>2020-21</v>
      </c>
      <c r="S7" s="342" t="str">
        <f t="shared" si="1"/>
        <v>2021-22</v>
      </c>
      <c r="T7" s="342" t="str">
        <f t="shared" si="1"/>
        <v>2022-23</v>
      </c>
      <c r="U7" s="342" t="str">
        <f t="shared" si="1"/>
        <v>2023-24</v>
      </c>
      <c r="V7" s="342" t="str">
        <f t="shared" si="1"/>
        <v>2024-25</v>
      </c>
      <c r="W7" s="342" t="str">
        <f t="shared" si="1"/>
        <v>2025-26</v>
      </c>
      <c r="X7" s="2129" t="str">
        <f t="shared" si="1"/>
        <v>2026-27</v>
      </c>
      <c r="Y7" s="342" t="str">
        <f t="shared" ref="Y7:AG7" si="2">+CONCATENATE(W6-1,"-",RIGHT(W6,2))</f>
        <v>2027-28</v>
      </c>
      <c r="Z7" s="342" t="str">
        <f t="shared" si="2"/>
        <v>2028-29</v>
      </c>
      <c r="AA7" s="342" t="str">
        <f t="shared" si="2"/>
        <v>2029-30</v>
      </c>
      <c r="AB7" s="342" t="str">
        <f t="shared" si="2"/>
        <v>2030-31</v>
      </c>
      <c r="AC7" s="342" t="str">
        <f t="shared" si="2"/>
        <v>2031-32</v>
      </c>
      <c r="AD7" s="342" t="str">
        <f t="shared" si="2"/>
        <v>2032-33</v>
      </c>
      <c r="AE7" s="342" t="str">
        <f t="shared" si="2"/>
        <v>2033-34</v>
      </c>
      <c r="AF7" s="342" t="str">
        <f t="shared" si="2"/>
        <v>2034-35</v>
      </c>
      <c r="AG7" s="342" t="str">
        <f t="shared" si="2"/>
        <v>2035-36</v>
      </c>
      <c r="AH7" s="342"/>
    </row>
    <row r="8" spans="1:35" ht="12.75" thickBot="1"/>
    <row r="9" spans="1:35">
      <c r="C9" s="343"/>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c r="AD9" s="292"/>
      <c r="AE9" s="292"/>
      <c r="AF9" s="292"/>
      <c r="AG9" s="292"/>
      <c r="AH9" s="344"/>
    </row>
    <row r="10" spans="1:35" ht="12.75" customHeight="1">
      <c r="C10" s="192"/>
      <c r="D10" s="345" t="s">
        <v>58</v>
      </c>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195"/>
    </row>
    <row r="11" spans="1:35" ht="10.5" customHeight="1">
      <c r="C11" s="192"/>
      <c r="D11" s="346"/>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195"/>
    </row>
    <row r="12" spans="1:35">
      <c r="C12" s="192"/>
      <c r="D12" s="74"/>
      <c r="E12" s="347" t="str">
        <f>C54</f>
        <v>Water</v>
      </c>
      <c r="F12" s="348"/>
      <c r="G12" s="74"/>
      <c r="H12" s="74"/>
      <c r="I12" s="74"/>
      <c r="J12" s="74"/>
      <c r="K12" s="349">
        <f>+K63-K56-K60</f>
        <v>0</v>
      </c>
      <c r="L12" s="349">
        <f t="shared" ref="L12:AB12" si="3">+L63-L56-L60</f>
        <v>0</v>
      </c>
      <c r="M12" s="349">
        <f t="shared" si="3"/>
        <v>0</v>
      </c>
      <c r="N12" s="349">
        <f t="shared" si="3"/>
        <v>0</v>
      </c>
      <c r="O12" s="349">
        <f>+O63-O56-O60</f>
        <v>28.814850678733031</v>
      </c>
      <c r="P12" s="349">
        <f t="shared" si="3"/>
        <v>28.289946714031966</v>
      </c>
      <c r="Q12" s="349">
        <f>+Q63-Q56-Q60</f>
        <v>29.038950920245405</v>
      </c>
      <c r="R12" s="349">
        <f t="shared" si="3"/>
        <v>28.549067753001715</v>
      </c>
      <c r="S12" s="349">
        <f t="shared" si="3"/>
        <v>29.87160050890585</v>
      </c>
      <c r="T12" s="349">
        <f t="shared" si="3"/>
        <v>33.532932203389826</v>
      </c>
      <c r="U12" s="349">
        <f t="shared" si="3"/>
        <v>34.079959276018094</v>
      </c>
      <c r="V12" s="349">
        <f t="shared" si="3"/>
        <v>34.4843002183406</v>
      </c>
      <c r="W12" s="349">
        <f t="shared" si="3"/>
        <v>32.305000000000007</v>
      </c>
      <c r="X12" s="349">
        <f t="shared" si="3"/>
        <v>33.481501659388655</v>
      </c>
      <c r="Y12" s="349">
        <f t="shared" si="3"/>
        <v>34.290535659388652</v>
      </c>
      <c r="Z12" s="349">
        <f t="shared" si="3"/>
        <v>33.755382659388651</v>
      </c>
      <c r="AA12" s="349">
        <f t="shared" si="3"/>
        <v>34.620912659388651</v>
      </c>
      <c r="AB12" s="349">
        <f t="shared" si="3"/>
        <v>34.692688659388651</v>
      </c>
      <c r="AC12" s="349">
        <f>+AC63-AC56-AC60</f>
        <v>35.147976659388654</v>
      </c>
      <c r="AD12" s="349">
        <f>+AD63-AD56-AD60</f>
        <v>35.615816659388656</v>
      </c>
      <c r="AE12" s="349">
        <f>+AE63-AE56-AE60</f>
        <v>36.09621465938865</v>
      </c>
      <c r="AF12" s="349">
        <f>+AF63-AF56-AF60</f>
        <v>36.589456659388652</v>
      </c>
      <c r="AG12" s="349">
        <f>+AG63-AG56-AG60</f>
        <v>37.095846659388656</v>
      </c>
      <c r="AH12" s="195"/>
      <c r="AI12" s="70" t="s">
        <v>1053</v>
      </c>
    </row>
    <row r="13" spans="1:35">
      <c r="C13" s="192"/>
      <c r="D13" s="74"/>
      <c r="E13" s="347" t="str">
        <f>C65</f>
        <v>Sewerage</v>
      </c>
      <c r="F13" s="348"/>
      <c r="G13" s="74"/>
      <c r="H13" s="74"/>
      <c r="I13" s="74"/>
      <c r="J13" s="74"/>
      <c r="K13" s="123">
        <f>K74-K67-K71</f>
        <v>0</v>
      </c>
      <c r="L13" s="123">
        <f t="shared" ref="L13:AB13" si="4">L74-L67-L71</f>
        <v>0</v>
      </c>
      <c r="M13" s="123">
        <f t="shared" si="4"/>
        <v>0</v>
      </c>
      <c r="N13" s="123">
        <f t="shared" si="4"/>
        <v>0</v>
      </c>
      <c r="O13" s="123">
        <f>O74-O67-O71</f>
        <v>21.069347511312213</v>
      </c>
      <c r="P13" s="123">
        <f t="shared" si="4"/>
        <v>19.751730905861454</v>
      </c>
      <c r="Q13" s="123">
        <f t="shared" si="4"/>
        <v>24.223582822085888</v>
      </c>
      <c r="R13" s="123">
        <f t="shared" si="4"/>
        <v>21.860387650085762</v>
      </c>
      <c r="S13" s="123">
        <f t="shared" si="4"/>
        <v>22.301964376590327</v>
      </c>
      <c r="T13" s="123">
        <f t="shared" si="4"/>
        <v>24.602627118644065</v>
      </c>
      <c r="U13" s="123">
        <f t="shared" si="4"/>
        <v>23.395884615384617</v>
      </c>
      <c r="V13" s="123">
        <f t="shared" si="4"/>
        <v>23.122826419213972</v>
      </c>
      <c r="W13" s="123">
        <f t="shared" si="4"/>
        <v>22.689000000000004</v>
      </c>
      <c r="X13" s="123">
        <f t="shared" si="4"/>
        <v>23.446000000000002</v>
      </c>
      <c r="Y13" s="123">
        <f t="shared" si="4"/>
        <v>23.456</v>
      </c>
      <c r="Z13" s="123">
        <f t="shared" si="4"/>
        <v>23.467000000000002</v>
      </c>
      <c r="AA13" s="123">
        <f t="shared" si="4"/>
        <v>23.478000000000002</v>
      </c>
      <c r="AB13" s="123">
        <f t="shared" si="4"/>
        <v>23.489000000000001</v>
      </c>
      <c r="AC13" s="123">
        <f>AC74-AC67-AC71</f>
        <v>23.889000000000003</v>
      </c>
      <c r="AD13" s="123">
        <f>AD74-AD67-AD71</f>
        <v>24.289000000000005</v>
      </c>
      <c r="AE13" s="123">
        <f>AE74-AE67-AE71</f>
        <v>24.689000000000004</v>
      </c>
      <c r="AF13" s="123">
        <f>AF74-AF67-AF71</f>
        <v>25.089000000000002</v>
      </c>
      <c r="AG13" s="123">
        <f>AG74-AG67-AG71</f>
        <v>25.489000000000004</v>
      </c>
      <c r="AH13" s="195"/>
      <c r="AI13" s="70" t="s">
        <v>1053</v>
      </c>
    </row>
    <row r="14" spans="1:35">
      <c r="C14" s="192"/>
      <c r="D14" s="74"/>
      <c r="E14" s="347" t="str">
        <f>C76</f>
        <v>Recycled Water</v>
      </c>
      <c r="F14" s="348"/>
      <c r="G14" s="74"/>
      <c r="H14" s="74"/>
      <c r="I14" s="74"/>
      <c r="J14" s="74"/>
      <c r="K14" s="349">
        <f>K85-K78-K82</f>
        <v>0</v>
      </c>
      <c r="L14" s="349">
        <f t="shared" ref="L14:AB14" si="5">L85-L78-L82</f>
        <v>0</v>
      </c>
      <c r="M14" s="349">
        <f t="shared" si="5"/>
        <v>0</v>
      </c>
      <c r="N14" s="349">
        <f t="shared" si="5"/>
        <v>0</v>
      </c>
      <c r="O14" s="349">
        <f t="shared" si="5"/>
        <v>0</v>
      </c>
      <c r="P14" s="349">
        <f t="shared" si="5"/>
        <v>0</v>
      </c>
      <c r="Q14" s="349">
        <f t="shared" si="5"/>
        <v>0</v>
      </c>
      <c r="R14" s="349">
        <f t="shared" si="5"/>
        <v>0</v>
      </c>
      <c r="S14" s="349">
        <f t="shared" si="5"/>
        <v>0</v>
      </c>
      <c r="T14" s="349">
        <f t="shared" si="5"/>
        <v>0</v>
      </c>
      <c r="U14" s="349">
        <f t="shared" si="5"/>
        <v>0</v>
      </c>
      <c r="V14" s="349">
        <f t="shared" si="5"/>
        <v>0</v>
      </c>
      <c r="W14" s="349">
        <f t="shared" si="5"/>
        <v>0</v>
      </c>
      <c r="X14" s="349">
        <f t="shared" si="5"/>
        <v>0</v>
      </c>
      <c r="Y14" s="349">
        <f t="shared" si="5"/>
        <v>0</v>
      </c>
      <c r="Z14" s="349">
        <f t="shared" si="5"/>
        <v>0</v>
      </c>
      <c r="AA14" s="349">
        <f t="shared" si="5"/>
        <v>0</v>
      </c>
      <c r="AB14" s="349">
        <f t="shared" si="5"/>
        <v>0</v>
      </c>
      <c r="AC14" s="349">
        <f>AC85-AC78-AC82</f>
        <v>0</v>
      </c>
      <c r="AD14" s="349">
        <f>AD85-AD78-AD82</f>
        <v>0</v>
      </c>
      <c r="AE14" s="349">
        <f>AE85-AE78-AE82</f>
        <v>0</v>
      </c>
      <c r="AF14" s="349">
        <f>AF85-AF78-AF82</f>
        <v>0</v>
      </c>
      <c r="AG14" s="349">
        <f>AG85-AG78-AG82</f>
        <v>0</v>
      </c>
      <c r="AH14" s="195"/>
      <c r="AI14" s="70" t="s">
        <v>1053</v>
      </c>
    </row>
    <row r="15" spans="1:35">
      <c r="C15" s="192"/>
      <c r="D15" s="74"/>
      <c r="E15" s="347" t="str">
        <f>C87</f>
        <v>Rural Water</v>
      </c>
      <c r="F15" s="348"/>
      <c r="G15" s="74"/>
      <c r="H15" s="74"/>
      <c r="I15" s="74"/>
      <c r="J15" s="74"/>
      <c r="K15" s="349">
        <f>K96-K89-K93</f>
        <v>0</v>
      </c>
      <c r="L15" s="349">
        <f t="shared" ref="L15:AB15" si="6">L96-L89-L93</f>
        <v>0</v>
      </c>
      <c r="M15" s="349">
        <f t="shared" si="6"/>
        <v>0</v>
      </c>
      <c r="N15" s="349">
        <f t="shared" si="6"/>
        <v>0</v>
      </c>
      <c r="O15" s="349">
        <f t="shared" si="6"/>
        <v>0</v>
      </c>
      <c r="P15" s="349">
        <f t="shared" si="6"/>
        <v>0</v>
      </c>
      <c r="Q15" s="349">
        <f t="shared" si="6"/>
        <v>0</v>
      </c>
      <c r="R15" s="349">
        <f t="shared" si="6"/>
        <v>0</v>
      </c>
      <c r="S15" s="349">
        <f t="shared" si="6"/>
        <v>0</v>
      </c>
      <c r="T15" s="349">
        <f t="shared" si="6"/>
        <v>0</v>
      </c>
      <c r="U15" s="349">
        <f t="shared" si="6"/>
        <v>0</v>
      </c>
      <c r="V15" s="349">
        <f t="shared" si="6"/>
        <v>0</v>
      </c>
      <c r="W15" s="349">
        <f t="shared" si="6"/>
        <v>0</v>
      </c>
      <c r="X15" s="349">
        <f t="shared" si="6"/>
        <v>0</v>
      </c>
      <c r="Y15" s="349">
        <f t="shared" si="6"/>
        <v>0</v>
      </c>
      <c r="Z15" s="349">
        <f t="shared" si="6"/>
        <v>0</v>
      </c>
      <c r="AA15" s="349">
        <f t="shared" si="6"/>
        <v>0</v>
      </c>
      <c r="AB15" s="349">
        <f t="shared" si="6"/>
        <v>0</v>
      </c>
      <c r="AC15" s="349">
        <f>AC96-AC89-AC93</f>
        <v>0</v>
      </c>
      <c r="AD15" s="349">
        <f>AD96-AD89-AD93</f>
        <v>0</v>
      </c>
      <c r="AE15" s="349">
        <f>AE96-AE89-AE93</f>
        <v>0</v>
      </c>
      <c r="AF15" s="349">
        <f>AF96-AF89-AF93</f>
        <v>0</v>
      </c>
      <c r="AG15" s="349">
        <f>AG96-AG89-AG93</f>
        <v>0</v>
      </c>
      <c r="AH15" s="195"/>
      <c r="AI15" s="70" t="s">
        <v>1053</v>
      </c>
    </row>
    <row r="16" spans="1:35">
      <c r="C16" s="192"/>
      <c r="D16" s="74"/>
      <c r="E16" s="347" t="s">
        <v>351</v>
      </c>
      <c r="F16" s="348"/>
      <c r="G16" s="74"/>
      <c r="H16" s="74"/>
      <c r="I16" s="74"/>
      <c r="J16" s="74"/>
      <c r="K16" s="349">
        <f>K106-K103</f>
        <v>0</v>
      </c>
      <c r="L16" s="349">
        <f t="shared" ref="L16:AB16" si="7">L106-L103</f>
        <v>0</v>
      </c>
      <c r="M16" s="349">
        <f t="shared" si="7"/>
        <v>0</v>
      </c>
      <c r="N16" s="349">
        <f t="shared" si="7"/>
        <v>0</v>
      </c>
      <c r="O16" s="349">
        <f t="shared" si="7"/>
        <v>0</v>
      </c>
      <c r="P16" s="349">
        <f t="shared" si="7"/>
        <v>0</v>
      </c>
      <c r="Q16" s="349">
        <f t="shared" si="7"/>
        <v>0</v>
      </c>
      <c r="R16" s="349">
        <f t="shared" si="7"/>
        <v>0</v>
      </c>
      <c r="S16" s="349">
        <f t="shared" si="7"/>
        <v>0</v>
      </c>
      <c r="T16" s="349">
        <f t="shared" si="7"/>
        <v>0</v>
      </c>
      <c r="U16" s="349">
        <f t="shared" si="7"/>
        <v>0</v>
      </c>
      <c r="V16" s="349">
        <f t="shared" si="7"/>
        <v>0</v>
      </c>
      <c r="W16" s="349">
        <f t="shared" si="7"/>
        <v>0</v>
      </c>
      <c r="X16" s="349">
        <f t="shared" si="7"/>
        <v>0</v>
      </c>
      <c r="Y16" s="349">
        <f t="shared" si="7"/>
        <v>0</v>
      </c>
      <c r="Z16" s="349">
        <f t="shared" si="7"/>
        <v>0</v>
      </c>
      <c r="AA16" s="349">
        <f t="shared" si="7"/>
        <v>0</v>
      </c>
      <c r="AB16" s="349">
        <f t="shared" si="7"/>
        <v>0</v>
      </c>
      <c r="AC16" s="349">
        <f>AC106-AC103</f>
        <v>0</v>
      </c>
      <c r="AD16" s="349">
        <f>AD106-AD103</f>
        <v>0</v>
      </c>
      <c r="AE16" s="349">
        <f>AE106-AE103</f>
        <v>0</v>
      </c>
      <c r="AF16" s="349">
        <f>AF106-AF103</f>
        <v>0</v>
      </c>
      <c r="AG16" s="349">
        <f>AG106-AG103</f>
        <v>0</v>
      </c>
      <c r="AH16" s="195"/>
      <c r="AI16" s="70" t="s">
        <v>1053</v>
      </c>
    </row>
    <row r="17" spans="3:35" ht="12.75" thickBot="1">
      <c r="C17" s="192"/>
      <c r="D17" s="74"/>
      <c r="E17" s="112" t="s">
        <v>482</v>
      </c>
      <c r="F17" s="74"/>
      <c r="G17" s="74"/>
      <c r="H17" s="74"/>
      <c r="I17" s="74"/>
      <c r="J17" s="74"/>
      <c r="K17" s="350">
        <f t="shared" ref="K17:AG17" si="8">SUM(K12:K16)</f>
        <v>0</v>
      </c>
      <c r="L17" s="350">
        <f t="shared" si="8"/>
        <v>0</v>
      </c>
      <c r="M17" s="350">
        <f t="shared" si="8"/>
        <v>0</v>
      </c>
      <c r="N17" s="350">
        <f t="shared" si="8"/>
        <v>0</v>
      </c>
      <c r="O17" s="1816">
        <f t="shared" si="8"/>
        <v>49.88419819004524</v>
      </c>
      <c r="P17" s="350">
        <f t="shared" si="8"/>
        <v>48.04167761989342</v>
      </c>
      <c r="Q17" s="350">
        <f t="shared" si="8"/>
        <v>53.262533742331293</v>
      </c>
      <c r="R17" s="350">
        <f t="shared" si="8"/>
        <v>50.409455403087478</v>
      </c>
      <c r="S17" s="351">
        <f t="shared" si="8"/>
        <v>52.173564885496177</v>
      </c>
      <c r="T17" s="351">
        <f t="shared" si="8"/>
        <v>58.135559322033892</v>
      </c>
      <c r="U17" s="351">
        <f t="shared" si="8"/>
        <v>57.475843891402711</v>
      </c>
      <c r="V17" s="351">
        <f t="shared" si="8"/>
        <v>57.607126637554572</v>
      </c>
      <c r="W17" s="919">
        <f t="shared" si="8"/>
        <v>54.994000000000014</v>
      </c>
      <c r="X17" s="351">
        <f t="shared" si="8"/>
        <v>56.927501659388653</v>
      </c>
      <c r="Y17" s="351">
        <f t="shared" si="8"/>
        <v>57.746535659388655</v>
      </c>
      <c r="Z17" s="351">
        <f t="shared" si="8"/>
        <v>57.222382659388657</v>
      </c>
      <c r="AA17" s="351">
        <f t="shared" si="8"/>
        <v>58.098912659388652</v>
      </c>
      <c r="AB17" s="919">
        <f t="shared" si="8"/>
        <v>58.181688659388655</v>
      </c>
      <c r="AC17" s="351">
        <f t="shared" si="8"/>
        <v>59.036976659388657</v>
      </c>
      <c r="AD17" s="351">
        <f t="shared" si="8"/>
        <v>59.904816659388658</v>
      </c>
      <c r="AE17" s="351">
        <f t="shared" si="8"/>
        <v>60.785214659388657</v>
      </c>
      <c r="AF17" s="351">
        <f t="shared" si="8"/>
        <v>61.678456659388658</v>
      </c>
      <c r="AG17" s="351">
        <f t="shared" si="8"/>
        <v>62.58484665938866</v>
      </c>
      <c r="AH17" s="195"/>
      <c r="AI17" s="70" t="s">
        <v>1053</v>
      </c>
    </row>
    <row r="18" spans="3:35">
      <c r="C18" s="192"/>
      <c r="D18" s="74"/>
      <c r="E18" s="112"/>
      <c r="F18" s="74"/>
      <c r="G18" s="74"/>
      <c r="H18" s="74"/>
      <c r="I18" s="74"/>
      <c r="J18" s="74"/>
      <c r="K18" s="349"/>
      <c r="L18" s="349"/>
      <c r="M18" s="349"/>
      <c r="N18" s="349"/>
      <c r="O18" s="349"/>
      <c r="P18" s="349"/>
      <c r="Q18" s="349"/>
      <c r="R18" s="349"/>
      <c r="S18" s="1767"/>
      <c r="T18" s="1767"/>
      <c r="U18" s="1767"/>
      <c r="V18" s="1767"/>
      <c r="W18" s="1767"/>
      <c r="X18" s="1767"/>
      <c r="Y18" s="1767"/>
      <c r="Z18" s="1767"/>
      <c r="AA18" s="1767"/>
      <c r="AB18" s="1767"/>
      <c r="AC18" s="1767"/>
      <c r="AD18" s="1767"/>
      <c r="AE18" s="1767"/>
      <c r="AF18" s="1767"/>
      <c r="AG18" s="1767"/>
      <c r="AH18" s="195"/>
    </row>
    <row r="19" spans="3:35">
      <c r="C19" s="192"/>
      <c r="D19" s="74"/>
      <c r="E19" s="74" t="s">
        <v>1030</v>
      </c>
      <c r="F19" s="74"/>
      <c r="G19" s="74"/>
      <c r="H19" s="74"/>
      <c r="I19" s="74"/>
      <c r="J19" s="74"/>
      <c r="K19" s="349"/>
      <c r="L19" s="349"/>
      <c r="M19" s="349"/>
      <c r="N19" s="349"/>
      <c r="O19" s="349"/>
      <c r="P19" s="349"/>
      <c r="Q19" s="349"/>
      <c r="R19" s="349"/>
      <c r="S19" s="1767"/>
      <c r="T19" s="1767"/>
      <c r="U19" s="1767"/>
      <c r="V19" s="1767"/>
      <c r="W19" s="1719">
        <f>SUM(P17:W17)</f>
        <v>432.09976150179961</v>
      </c>
      <c r="X19" s="1767"/>
      <c r="Y19" s="1767"/>
      <c r="Z19" s="1767"/>
      <c r="AA19" s="1767"/>
      <c r="AB19" s="1719">
        <f>SUM(X17:AB17)</f>
        <v>288.17702129694328</v>
      </c>
      <c r="AC19" s="1767"/>
      <c r="AD19" s="1767"/>
      <c r="AE19" s="1767"/>
      <c r="AF19" s="1767"/>
      <c r="AG19" s="1719">
        <f>SUM(AC17:AG17)</f>
        <v>303.99031129694333</v>
      </c>
      <c r="AH19" s="195"/>
      <c r="AI19" s="70" t="s">
        <v>1053</v>
      </c>
    </row>
    <row r="20" spans="3:35">
      <c r="C20" s="192"/>
      <c r="D20" s="74"/>
      <c r="E20" s="112"/>
      <c r="F20" s="74"/>
      <c r="G20" s="74"/>
      <c r="H20" s="74"/>
      <c r="I20" s="74"/>
      <c r="J20" s="74"/>
      <c r="K20" s="349"/>
      <c r="L20" s="349"/>
      <c r="M20" s="349"/>
      <c r="N20" s="349"/>
      <c r="O20" s="349"/>
      <c r="P20" s="349"/>
      <c r="Q20" s="349"/>
      <c r="R20" s="349"/>
      <c r="S20" s="1767"/>
      <c r="T20" s="1767"/>
      <c r="U20" s="1767"/>
      <c r="V20" s="1767"/>
      <c r="W20" s="888"/>
      <c r="X20" s="1767"/>
      <c r="Y20" s="1767"/>
      <c r="Z20" s="1767"/>
      <c r="AA20" s="1767"/>
      <c r="AB20" s="888"/>
      <c r="AC20" s="1767"/>
      <c r="AD20" s="1767"/>
      <c r="AE20" s="1767"/>
      <c r="AF20" s="1767"/>
      <c r="AG20" s="888"/>
      <c r="AH20" s="195"/>
    </row>
    <row r="21" spans="3:35">
      <c r="C21" s="192"/>
      <c r="D21" s="74"/>
      <c r="E21" s="104" t="s">
        <v>1029</v>
      </c>
      <c r="F21" s="74"/>
      <c r="G21" s="74"/>
      <c r="H21" s="74"/>
      <c r="I21" s="74"/>
      <c r="J21" s="74"/>
      <c r="K21" s="349"/>
      <c r="L21" s="349"/>
      <c r="M21" s="349"/>
      <c r="N21" s="349"/>
      <c r="O21" s="1855">
        <f>'Determination Lookup'!I18</f>
        <v>48.06719457013574</v>
      </c>
      <c r="P21" s="1854">
        <f>'Determination Lookup'!J18</f>
        <v>47.474655624921169</v>
      </c>
      <c r="Q21" s="1854">
        <f>'Determination Lookup'!K18</f>
        <v>47.445970247283476</v>
      </c>
      <c r="R21" s="1854">
        <f>'Determination Lookup'!L18</f>
        <v>46.791755686862679</v>
      </c>
      <c r="S21" s="1854">
        <f>'Determination Lookup'!M18</f>
        <v>46.056549963678044</v>
      </c>
      <c r="T21" s="1854">
        <f>'Determination Lookup'!N18</f>
        <v>47.113801695436997</v>
      </c>
      <c r="U21" s="1854">
        <f>'Determination Lookup'!O18</f>
        <v>46.46998133194063</v>
      </c>
      <c r="V21" s="1854">
        <f>'Determination Lookup'!P18</f>
        <v>46.586375382933639</v>
      </c>
      <c r="W21" s="1855">
        <f>'Determination Lookup'!Q18</f>
        <v>46.670980705822757</v>
      </c>
      <c r="X21" s="1854">
        <f>'Determination Lookup'!R18</f>
        <v>49.315031674208143</v>
      </c>
      <c r="Y21" s="1854">
        <f>'Determination Lookup'!S18</f>
        <v>49.614257918552035</v>
      </c>
      <c r="Z21" s="1854"/>
      <c r="AA21" s="1854"/>
      <c r="AB21" s="1855"/>
      <c r="AC21" s="1854"/>
      <c r="AD21" s="1854"/>
      <c r="AE21" s="1854"/>
      <c r="AF21" s="1854"/>
      <c r="AG21" s="1854"/>
      <c r="AH21" s="195"/>
    </row>
    <row r="22" spans="3:35">
      <c r="C22" s="192"/>
      <c r="D22" s="74"/>
      <c r="E22" s="84" t="s">
        <v>996</v>
      </c>
      <c r="F22" s="74"/>
      <c r="G22" s="74"/>
      <c r="H22" s="74"/>
      <c r="I22" s="74"/>
      <c r="J22" s="74"/>
      <c r="K22" s="349"/>
      <c r="L22" s="349"/>
      <c r="M22" s="349"/>
      <c r="N22" s="349"/>
      <c r="O22" s="1769">
        <f>IF(O21=0,"-",O17/O21-1)</f>
        <v>3.7801324503311307E-2</v>
      </c>
      <c r="P22" s="1769">
        <f t="shared" ref="P22:AG22" si="9">IF(P21=0,"-",P17/P21-1)</f>
        <v>1.1943677895255744E-2</v>
      </c>
      <c r="Q22" s="1769">
        <f t="shared" si="9"/>
        <v>0.12259341446138605</v>
      </c>
      <c r="R22" s="1769">
        <f t="shared" si="9"/>
        <v>7.7314895821284813E-2</v>
      </c>
      <c r="S22" s="1769">
        <f t="shared" si="9"/>
        <v>0.13281530915021311</v>
      </c>
      <c r="T22" s="1769">
        <f t="shared" si="9"/>
        <v>0.23393904185117709</v>
      </c>
      <c r="U22" s="1769">
        <f t="shared" si="9"/>
        <v>0.23683811019517931</v>
      </c>
      <c r="V22" s="1769">
        <f t="shared" si="9"/>
        <v>0.23656597372154109</v>
      </c>
      <c r="W22" s="1769">
        <f t="shared" si="9"/>
        <v>0.17833392759922995</v>
      </c>
      <c r="X22" s="1769">
        <f t="shared" si="9"/>
        <v>0.1543640899487011</v>
      </c>
      <c r="Y22" s="1769">
        <f t="shared" si="9"/>
        <v>0.16391009524291911</v>
      </c>
      <c r="Z22" s="1769" t="str">
        <f t="shared" si="9"/>
        <v>-</v>
      </c>
      <c r="AA22" s="1769" t="str">
        <f t="shared" si="9"/>
        <v>-</v>
      </c>
      <c r="AB22" s="1769" t="str">
        <f t="shared" si="9"/>
        <v>-</v>
      </c>
      <c r="AC22" s="1769" t="str">
        <f t="shared" si="9"/>
        <v>-</v>
      </c>
      <c r="AD22" s="1769" t="str">
        <f t="shared" si="9"/>
        <v>-</v>
      </c>
      <c r="AE22" s="1769" t="str">
        <f t="shared" si="9"/>
        <v>-</v>
      </c>
      <c r="AF22" s="1769" t="str">
        <f t="shared" si="9"/>
        <v>-</v>
      </c>
      <c r="AG22" s="1769" t="str">
        <f t="shared" si="9"/>
        <v>-</v>
      </c>
      <c r="AH22" s="195"/>
      <c r="AI22" s="70" t="s">
        <v>1053</v>
      </c>
    </row>
    <row r="23" spans="3:35">
      <c r="C23" s="192"/>
      <c r="D23" s="74"/>
      <c r="E23" s="74"/>
      <c r="F23" s="74"/>
      <c r="G23" s="74"/>
      <c r="H23" s="74"/>
      <c r="I23" s="74"/>
      <c r="J23" s="74"/>
      <c r="K23" s="74"/>
      <c r="L23" s="74"/>
      <c r="M23" s="74"/>
      <c r="N23" s="74"/>
      <c r="O23" s="74"/>
      <c r="P23" s="74"/>
      <c r="Q23" s="74"/>
      <c r="V23" s="1513"/>
      <c r="W23" s="1513"/>
      <c r="X23" s="1513"/>
      <c r="Y23" s="1513"/>
      <c r="Z23" s="1513"/>
      <c r="AA23" s="1511"/>
      <c r="AB23" s="1661"/>
      <c r="AC23" s="1622"/>
      <c r="AH23" s="195"/>
    </row>
    <row r="24" spans="3:35">
      <c r="C24" s="192"/>
      <c r="D24" s="74"/>
      <c r="E24" s="347" t="s">
        <v>5</v>
      </c>
      <c r="F24" s="348"/>
      <c r="G24" s="352"/>
      <c r="H24" s="74"/>
      <c r="I24" s="74"/>
      <c r="J24" s="74"/>
      <c r="K24" s="353">
        <f t="shared" ref="K24:AG24" si="10">K55+K66+K77+K88+K99</f>
        <v>0</v>
      </c>
      <c r="L24" s="353">
        <f t="shared" si="10"/>
        <v>0</v>
      </c>
      <c r="M24" s="353">
        <f t="shared" si="10"/>
        <v>0</v>
      </c>
      <c r="N24" s="353">
        <f t="shared" si="10"/>
        <v>0</v>
      </c>
      <c r="O24" s="353">
        <f>O55+O66+O77+O88+O99</f>
        <v>13.057723981900452</v>
      </c>
      <c r="P24" s="353">
        <f t="shared" si="10"/>
        <v>12.401842806394313</v>
      </c>
      <c r="Q24" s="353">
        <f t="shared" si="10"/>
        <v>12.401576687116567</v>
      </c>
      <c r="R24" s="1662">
        <f t="shared" si="10"/>
        <v>12.169463979416808</v>
      </c>
      <c r="S24" s="1662">
        <f t="shared" si="10"/>
        <v>12.229801526717557</v>
      </c>
      <c r="T24" s="1662">
        <f t="shared" si="10"/>
        <v>13.797457627118643</v>
      </c>
      <c r="U24" s="1662">
        <f t="shared" si="10"/>
        <v>14.056205882352941</v>
      </c>
      <c r="V24" s="1662">
        <f t="shared" si="10"/>
        <v>13.307106986899562</v>
      </c>
      <c r="W24" s="1662">
        <f t="shared" si="10"/>
        <v>12.54</v>
      </c>
      <c r="X24" s="1662">
        <f t="shared" si="10"/>
        <v>11.902681659388646</v>
      </c>
      <c r="Y24" s="1662">
        <f t="shared" si="10"/>
        <v>11.851081659388646</v>
      </c>
      <c r="Z24" s="1662">
        <f t="shared" si="10"/>
        <v>12.034381659388645</v>
      </c>
      <c r="AA24" s="1662">
        <f t="shared" si="10"/>
        <v>12.323761659388646</v>
      </c>
      <c r="AB24" s="1662">
        <f t="shared" si="10"/>
        <v>12.630761659388645</v>
      </c>
      <c r="AC24" s="1662">
        <f t="shared" si="10"/>
        <v>12.630761659388645</v>
      </c>
      <c r="AD24" s="1662">
        <f t="shared" si="10"/>
        <v>12.630761659388645</v>
      </c>
      <c r="AE24" s="1662">
        <f t="shared" si="10"/>
        <v>12.630761659388645</v>
      </c>
      <c r="AF24" s="1662">
        <f t="shared" si="10"/>
        <v>12.630761659388645</v>
      </c>
      <c r="AG24" s="1662">
        <f t="shared" si="10"/>
        <v>12.630761659388645</v>
      </c>
      <c r="AH24" s="195"/>
      <c r="AI24" s="70" t="s">
        <v>1053</v>
      </c>
    </row>
    <row r="25" spans="3:35">
      <c r="C25" s="192"/>
      <c r="D25" s="74"/>
      <c r="E25" s="347" t="s">
        <v>6</v>
      </c>
      <c r="F25" s="348"/>
      <c r="G25" s="352"/>
      <c r="H25" s="74"/>
      <c r="I25" s="74"/>
      <c r="J25" s="74"/>
      <c r="K25" s="353">
        <f t="shared" ref="K25:AG25" si="11">K57+K68+K79+K90+K100</f>
        <v>0</v>
      </c>
      <c r="L25" s="353">
        <f t="shared" si="11"/>
        <v>0</v>
      </c>
      <c r="M25" s="353">
        <f t="shared" si="11"/>
        <v>0</v>
      </c>
      <c r="N25" s="353">
        <f t="shared" si="11"/>
        <v>0</v>
      </c>
      <c r="O25" s="353">
        <f t="shared" si="11"/>
        <v>13.559405429864253</v>
      </c>
      <c r="P25" s="353">
        <f t="shared" si="11"/>
        <v>12.045719360568382</v>
      </c>
      <c r="Q25" s="353">
        <f t="shared" si="11"/>
        <v>16.284699386503068</v>
      </c>
      <c r="R25" s="1662">
        <f t="shared" si="11"/>
        <v>14.001218696397942</v>
      </c>
      <c r="S25" s="1662">
        <f t="shared" si="11"/>
        <v>13.807455470737914</v>
      </c>
      <c r="T25" s="1662">
        <f t="shared" si="11"/>
        <v>16.266237288135592</v>
      </c>
      <c r="U25" s="1662">
        <f t="shared" si="11"/>
        <v>14.192024886877828</v>
      </c>
      <c r="V25" s="1662">
        <f t="shared" si="11"/>
        <v>14.13451310043668</v>
      </c>
      <c r="W25" s="1662">
        <f t="shared" si="11"/>
        <v>13.95</v>
      </c>
      <c r="X25" s="1662">
        <f t="shared" si="11"/>
        <v>14.706</v>
      </c>
      <c r="Y25" s="1662">
        <f t="shared" si="11"/>
        <v>14.73</v>
      </c>
      <c r="Z25" s="1662">
        <f t="shared" si="11"/>
        <v>14.755000000000001</v>
      </c>
      <c r="AA25" s="1662">
        <f t="shared" si="11"/>
        <v>14.780000000000001</v>
      </c>
      <c r="AB25" s="1662">
        <f t="shared" si="11"/>
        <v>14.806000000000001</v>
      </c>
      <c r="AC25" s="1662">
        <f t="shared" si="11"/>
        <v>14.806000000000001</v>
      </c>
      <c r="AD25" s="1662">
        <f t="shared" si="11"/>
        <v>14.806000000000001</v>
      </c>
      <c r="AE25" s="1662">
        <f t="shared" si="11"/>
        <v>14.806000000000001</v>
      </c>
      <c r="AF25" s="1662">
        <f t="shared" si="11"/>
        <v>14.806000000000001</v>
      </c>
      <c r="AG25" s="1662">
        <f t="shared" si="11"/>
        <v>14.806000000000001</v>
      </c>
      <c r="AH25" s="195"/>
      <c r="AI25" s="70" t="s">
        <v>1053</v>
      </c>
    </row>
    <row r="26" spans="3:35">
      <c r="C26" s="192"/>
      <c r="D26" s="74"/>
      <c r="E26" s="347" t="s">
        <v>7</v>
      </c>
      <c r="F26" s="348"/>
      <c r="G26" s="352"/>
      <c r="H26" s="74"/>
      <c r="I26" s="74"/>
      <c r="J26" s="74"/>
      <c r="K26" s="353">
        <f t="shared" ref="K26:AG26" si="12">K58+K69+K80+K91+K101</f>
        <v>0</v>
      </c>
      <c r="L26" s="353">
        <f t="shared" si="12"/>
        <v>0</v>
      </c>
      <c r="M26" s="353">
        <f t="shared" si="12"/>
        <v>0</v>
      </c>
      <c r="N26" s="353">
        <f t="shared" si="12"/>
        <v>0</v>
      </c>
      <c r="O26" s="353">
        <f t="shared" si="12"/>
        <v>4.2782986425339367</v>
      </c>
      <c r="P26" s="353">
        <f t="shared" si="12"/>
        <v>4.5696261101243341</v>
      </c>
      <c r="Q26" s="353">
        <f t="shared" si="12"/>
        <v>5.1113190184049078</v>
      </c>
      <c r="R26" s="1662">
        <f t="shared" si="12"/>
        <v>4.8979528301886788</v>
      </c>
      <c r="S26" s="1662">
        <f t="shared" si="12"/>
        <v>4.428648854961831</v>
      </c>
      <c r="T26" s="1662">
        <f t="shared" si="12"/>
        <v>5.4815084745762706</v>
      </c>
      <c r="U26" s="1662">
        <f t="shared" si="12"/>
        <v>5.2704140271493216</v>
      </c>
      <c r="V26" s="1662">
        <f t="shared" si="12"/>
        <v>5.7170895196506546</v>
      </c>
      <c r="W26" s="1662">
        <f t="shared" si="12"/>
        <v>5.35</v>
      </c>
      <c r="X26" s="1662">
        <f t="shared" si="12"/>
        <v>5.35</v>
      </c>
      <c r="Y26" s="1662">
        <f t="shared" si="12"/>
        <v>5.35</v>
      </c>
      <c r="Z26" s="1662">
        <f t="shared" si="12"/>
        <v>5.35</v>
      </c>
      <c r="AA26" s="1662">
        <f t="shared" si="12"/>
        <v>5.35</v>
      </c>
      <c r="AB26" s="1662">
        <f t="shared" si="12"/>
        <v>5.35</v>
      </c>
      <c r="AC26" s="1662">
        <f t="shared" si="12"/>
        <v>5.35</v>
      </c>
      <c r="AD26" s="1662">
        <f t="shared" si="12"/>
        <v>5.35</v>
      </c>
      <c r="AE26" s="1662">
        <f t="shared" si="12"/>
        <v>5.35</v>
      </c>
      <c r="AF26" s="1662">
        <f t="shared" si="12"/>
        <v>5.35</v>
      </c>
      <c r="AG26" s="1662">
        <f t="shared" si="12"/>
        <v>5.35</v>
      </c>
      <c r="AH26" s="195"/>
      <c r="AI26" s="70" t="s">
        <v>1053</v>
      </c>
    </row>
    <row r="27" spans="3:35">
      <c r="C27" s="192"/>
      <c r="D27" s="74"/>
      <c r="E27" s="347" t="s">
        <v>8</v>
      </c>
      <c r="F27" s="348"/>
      <c r="G27" s="352"/>
      <c r="H27" s="74"/>
      <c r="I27" s="74"/>
      <c r="J27" s="74"/>
      <c r="K27" s="353">
        <f t="shared" ref="K27:AG27" si="13">K59+K70+K81+K92+K102</f>
        <v>0</v>
      </c>
      <c r="L27" s="353">
        <f t="shared" si="13"/>
        <v>0</v>
      </c>
      <c r="M27" s="353">
        <f t="shared" si="13"/>
        <v>0</v>
      </c>
      <c r="N27" s="353">
        <f t="shared" si="13"/>
        <v>0</v>
      </c>
      <c r="O27" s="353">
        <f t="shared" si="13"/>
        <v>0</v>
      </c>
      <c r="P27" s="353">
        <f t="shared" si="13"/>
        <v>0</v>
      </c>
      <c r="Q27" s="353">
        <f t="shared" si="13"/>
        <v>1.2331288343558281E-3</v>
      </c>
      <c r="R27" s="1662">
        <f t="shared" si="13"/>
        <v>0</v>
      </c>
      <c r="S27" s="1662">
        <f t="shared" si="13"/>
        <v>1.1933842239185751E-3</v>
      </c>
      <c r="T27" s="1662">
        <f t="shared" si="13"/>
        <v>0</v>
      </c>
      <c r="U27" s="1662">
        <f t="shared" si="13"/>
        <v>1.0610859728506787E-3</v>
      </c>
      <c r="V27" s="1662">
        <f t="shared" si="13"/>
        <v>0</v>
      </c>
      <c r="W27" s="1662">
        <f t="shared" si="13"/>
        <v>1E-3</v>
      </c>
      <c r="X27" s="1662">
        <f t="shared" si="13"/>
        <v>1E-3</v>
      </c>
      <c r="Y27" s="1662">
        <f t="shared" si="13"/>
        <v>1E-3</v>
      </c>
      <c r="Z27" s="1662">
        <f t="shared" si="13"/>
        <v>1E-3</v>
      </c>
      <c r="AA27" s="1662">
        <f t="shared" si="13"/>
        <v>1E-3</v>
      </c>
      <c r="AB27" s="1662">
        <f t="shared" si="13"/>
        <v>1E-3</v>
      </c>
      <c r="AC27" s="1662">
        <f t="shared" si="13"/>
        <v>1E-3</v>
      </c>
      <c r="AD27" s="1662">
        <f t="shared" si="13"/>
        <v>1E-3</v>
      </c>
      <c r="AE27" s="1662">
        <f t="shared" si="13"/>
        <v>1E-3</v>
      </c>
      <c r="AF27" s="1662">
        <f t="shared" si="13"/>
        <v>1E-3</v>
      </c>
      <c r="AG27" s="1662">
        <f t="shared" si="13"/>
        <v>1E-3</v>
      </c>
      <c r="AH27" s="195"/>
      <c r="AI27" s="70" t="s">
        <v>1053</v>
      </c>
    </row>
    <row r="28" spans="3:35">
      <c r="C28" s="192"/>
      <c r="D28" s="74"/>
      <c r="E28" s="347" t="s">
        <v>10</v>
      </c>
      <c r="F28" s="348"/>
      <c r="G28" s="352"/>
      <c r="H28" s="74"/>
      <c r="I28" s="74"/>
      <c r="J28" s="74"/>
      <c r="K28" s="353">
        <f t="shared" ref="K28:AG28" si="14">K61+K72+K83+K94+K104</f>
        <v>0</v>
      </c>
      <c r="L28" s="353">
        <f t="shared" si="14"/>
        <v>0</v>
      </c>
      <c r="M28" s="353">
        <f t="shared" si="14"/>
        <v>0</v>
      </c>
      <c r="N28" s="353">
        <f t="shared" si="14"/>
        <v>0</v>
      </c>
      <c r="O28" s="353">
        <f t="shared" si="14"/>
        <v>18.988770135746606</v>
      </c>
      <c r="P28" s="353">
        <f t="shared" si="14"/>
        <v>19.02448934280639</v>
      </c>
      <c r="Q28" s="353">
        <f t="shared" si="14"/>
        <v>19.463705521472392</v>
      </c>
      <c r="R28" s="1662">
        <f t="shared" si="14"/>
        <v>19.340819897084046</v>
      </c>
      <c r="S28" s="1662">
        <f t="shared" si="14"/>
        <v>21.706465648854962</v>
      </c>
      <c r="T28" s="1662">
        <f t="shared" si="14"/>
        <v>22.590355932203387</v>
      </c>
      <c r="U28" s="1662">
        <f t="shared" si="14"/>
        <v>23.956138009049774</v>
      </c>
      <c r="V28" s="1662">
        <f t="shared" si="14"/>
        <v>24.448417030567683</v>
      </c>
      <c r="W28" s="1662">
        <f t="shared" si="14"/>
        <v>23.152999999999999</v>
      </c>
      <c r="X28" s="1662">
        <f t="shared" si="14"/>
        <v>24.967820000000003</v>
      </c>
      <c r="Y28" s="1662">
        <f t="shared" si="14"/>
        <v>25.814454000000001</v>
      </c>
      <c r="Z28" s="1662">
        <f t="shared" si="14"/>
        <v>25.082000999999998</v>
      </c>
      <c r="AA28" s="1662">
        <f t="shared" si="14"/>
        <v>25.644151000000001</v>
      </c>
      <c r="AB28" s="1662">
        <f t="shared" si="14"/>
        <v>25.393926999999998</v>
      </c>
      <c r="AC28" s="1662">
        <f t="shared" si="14"/>
        <v>26.249215</v>
      </c>
      <c r="AD28" s="1662">
        <f t="shared" si="14"/>
        <v>27.117055000000001</v>
      </c>
      <c r="AE28" s="1662">
        <f t="shared" si="14"/>
        <v>27.997453</v>
      </c>
      <c r="AF28" s="1662">
        <f t="shared" si="14"/>
        <v>28.890695000000001</v>
      </c>
      <c r="AG28" s="1662">
        <f t="shared" si="14"/>
        <v>29.797085000000003</v>
      </c>
      <c r="AH28" s="195"/>
      <c r="AI28" s="70" t="s">
        <v>1053</v>
      </c>
    </row>
    <row r="29" spans="3:35">
      <c r="C29" s="192"/>
      <c r="D29" s="74"/>
      <c r="E29" s="347" t="s">
        <v>11</v>
      </c>
      <c r="F29" s="348"/>
      <c r="G29" s="352"/>
      <c r="H29" s="74"/>
      <c r="I29" s="74"/>
      <c r="J29" s="74"/>
      <c r="K29" s="354">
        <f t="shared" ref="K29:AG29" si="15">K62+K73+K84+K95+K105</f>
        <v>0</v>
      </c>
      <c r="L29" s="354">
        <f t="shared" si="15"/>
        <v>0</v>
      </c>
      <c r="M29" s="354">
        <f t="shared" si="15"/>
        <v>0</v>
      </c>
      <c r="N29" s="354">
        <f t="shared" si="15"/>
        <v>0</v>
      </c>
      <c r="O29" s="354">
        <f t="shared" si="15"/>
        <v>0</v>
      </c>
      <c r="P29" s="354">
        <f t="shared" si="15"/>
        <v>0</v>
      </c>
      <c r="Q29" s="354">
        <f t="shared" si="15"/>
        <v>0</v>
      </c>
      <c r="R29" s="1663">
        <f t="shared" si="15"/>
        <v>0</v>
      </c>
      <c r="S29" s="1663">
        <f t="shared" si="15"/>
        <v>0</v>
      </c>
      <c r="T29" s="1663">
        <f t="shared" si="15"/>
        <v>0</v>
      </c>
      <c r="U29" s="1663">
        <f t="shared" si="15"/>
        <v>0</v>
      </c>
      <c r="V29" s="1663">
        <f t="shared" si="15"/>
        <v>0</v>
      </c>
      <c r="W29" s="1663">
        <f t="shared" si="15"/>
        <v>0</v>
      </c>
      <c r="X29" s="1663">
        <f t="shared" si="15"/>
        <v>0</v>
      </c>
      <c r="Y29" s="1663">
        <f t="shared" si="15"/>
        <v>0</v>
      </c>
      <c r="Z29" s="1663">
        <f t="shared" si="15"/>
        <v>0</v>
      </c>
      <c r="AA29" s="1663">
        <f t="shared" si="15"/>
        <v>0</v>
      </c>
      <c r="AB29" s="1663">
        <f t="shared" si="15"/>
        <v>0</v>
      </c>
      <c r="AC29" s="1663">
        <f t="shared" si="15"/>
        <v>0</v>
      </c>
      <c r="AD29" s="1663">
        <f t="shared" si="15"/>
        <v>0</v>
      </c>
      <c r="AE29" s="1663">
        <f t="shared" si="15"/>
        <v>0</v>
      </c>
      <c r="AF29" s="1663">
        <f t="shared" si="15"/>
        <v>0</v>
      </c>
      <c r="AG29" s="1663">
        <f t="shared" si="15"/>
        <v>0</v>
      </c>
      <c r="AH29" s="195"/>
      <c r="AI29" s="70" t="s">
        <v>1053</v>
      </c>
    </row>
    <row r="30" spans="3:35" ht="12.75" thickBot="1">
      <c r="C30" s="192"/>
      <c r="D30" s="74"/>
      <c r="E30" s="112" t="s">
        <v>482</v>
      </c>
      <c r="F30" s="348"/>
      <c r="G30" s="352"/>
      <c r="H30" s="74"/>
      <c r="I30" s="74"/>
      <c r="J30" s="74"/>
      <c r="K30" s="355">
        <f>SUM(K24:K29)</f>
        <v>0</v>
      </c>
      <c r="L30" s="355">
        <f t="shared" ref="L30:AG30" si="16">SUM(L24:L29)</f>
        <v>0</v>
      </c>
      <c r="M30" s="355">
        <f t="shared" si="16"/>
        <v>0</v>
      </c>
      <c r="N30" s="355">
        <f t="shared" si="16"/>
        <v>0</v>
      </c>
      <c r="O30" s="1989">
        <f>SUM(O24:O29)</f>
        <v>49.884198190045247</v>
      </c>
      <c r="P30" s="355">
        <f t="shared" si="16"/>
        <v>48.04167761989342</v>
      </c>
      <c r="Q30" s="355">
        <f t="shared" si="16"/>
        <v>53.262533742331293</v>
      </c>
      <c r="R30" s="1664">
        <f t="shared" si="16"/>
        <v>50.409455403087478</v>
      </c>
      <c r="S30" s="1664">
        <f t="shared" si="16"/>
        <v>52.173564885496184</v>
      </c>
      <c r="T30" s="1664">
        <f t="shared" si="16"/>
        <v>58.135559322033892</v>
      </c>
      <c r="U30" s="1664">
        <f t="shared" si="16"/>
        <v>57.475843891402711</v>
      </c>
      <c r="V30" s="1664">
        <f t="shared" si="16"/>
        <v>57.607126637554579</v>
      </c>
      <c r="W30" s="1988">
        <f t="shared" si="16"/>
        <v>54.994</v>
      </c>
      <c r="X30" s="1664">
        <f t="shared" si="16"/>
        <v>56.927501659388653</v>
      </c>
      <c r="Y30" s="1664">
        <f t="shared" si="16"/>
        <v>57.746535659388648</v>
      </c>
      <c r="Z30" s="1664">
        <f t="shared" si="16"/>
        <v>57.222382659388643</v>
      </c>
      <c r="AA30" s="1664">
        <f t="shared" si="16"/>
        <v>58.098912659388645</v>
      </c>
      <c r="AB30" s="1988">
        <f t="shared" si="16"/>
        <v>58.181688659388641</v>
      </c>
      <c r="AC30" s="1664">
        <f t="shared" si="16"/>
        <v>59.036976659388642</v>
      </c>
      <c r="AD30" s="1664">
        <f t="shared" si="16"/>
        <v>59.904816659388644</v>
      </c>
      <c r="AE30" s="1664">
        <f t="shared" si="16"/>
        <v>60.785214659388643</v>
      </c>
      <c r="AF30" s="1664">
        <f t="shared" si="16"/>
        <v>61.678456659388644</v>
      </c>
      <c r="AG30" s="1664">
        <f t="shared" si="16"/>
        <v>62.584846659388646</v>
      </c>
      <c r="AH30" s="195"/>
      <c r="AI30" s="70" t="s">
        <v>1053</v>
      </c>
    </row>
    <row r="31" spans="3:35">
      <c r="C31" s="192"/>
      <c r="D31" s="74"/>
      <c r="E31" s="356"/>
      <c r="F31" s="348"/>
      <c r="G31" s="352"/>
      <c r="H31" s="74"/>
      <c r="I31" s="74"/>
      <c r="J31" s="74"/>
      <c r="K31" s="357"/>
      <c r="L31" s="357"/>
      <c r="M31" s="357"/>
      <c r="N31" s="357"/>
      <c r="O31" s="1781">
        <f>IF(ROUND(O30,2)=ROUND(O17,2),0,1)</f>
        <v>0</v>
      </c>
      <c r="P31" s="1781">
        <f t="shared" ref="P31:AG31" si="17">IF(ROUND(P30,2)=ROUND(P17,2),0,1)</f>
        <v>0</v>
      </c>
      <c r="Q31" s="1781">
        <f t="shared" si="17"/>
        <v>0</v>
      </c>
      <c r="R31" s="1781">
        <f t="shared" si="17"/>
        <v>0</v>
      </c>
      <c r="S31" s="1781">
        <f t="shared" si="17"/>
        <v>0</v>
      </c>
      <c r="T31" s="1781">
        <f t="shared" si="17"/>
        <v>0</v>
      </c>
      <c r="U31" s="1781">
        <f t="shared" si="17"/>
        <v>0</v>
      </c>
      <c r="V31" s="1781">
        <f t="shared" si="17"/>
        <v>0</v>
      </c>
      <c r="W31" s="1781">
        <f t="shared" si="17"/>
        <v>0</v>
      </c>
      <c r="X31" s="1781">
        <f t="shared" si="17"/>
        <v>0</v>
      </c>
      <c r="Y31" s="1781">
        <f t="shared" si="17"/>
        <v>0</v>
      </c>
      <c r="Z31" s="1781">
        <f t="shared" si="17"/>
        <v>0</v>
      </c>
      <c r="AA31" s="1781">
        <f t="shared" si="17"/>
        <v>0</v>
      </c>
      <c r="AB31" s="1781">
        <f t="shared" si="17"/>
        <v>0</v>
      </c>
      <c r="AC31" s="1781">
        <f t="shared" si="17"/>
        <v>0</v>
      </c>
      <c r="AD31" s="1781">
        <f t="shared" si="17"/>
        <v>0</v>
      </c>
      <c r="AE31" s="1781">
        <f t="shared" si="17"/>
        <v>0</v>
      </c>
      <c r="AF31" s="1781">
        <f t="shared" si="17"/>
        <v>0</v>
      </c>
      <c r="AG31" s="1781">
        <f t="shared" si="17"/>
        <v>0</v>
      </c>
      <c r="AH31" s="195"/>
    </row>
    <row r="32" spans="3:35">
      <c r="C32" s="192"/>
      <c r="D32" s="74"/>
      <c r="E32" s="359"/>
      <c r="F32" s="112"/>
      <c r="G32" s="112"/>
      <c r="H32" s="112"/>
      <c r="I32" s="74"/>
      <c r="J32" s="74"/>
      <c r="K32" s="74"/>
      <c r="L32" s="74"/>
      <c r="M32" s="74"/>
      <c r="N32" s="349"/>
      <c r="O32" s="349"/>
      <c r="P32" s="349"/>
      <c r="Q32" s="349"/>
      <c r="R32" s="349"/>
      <c r="S32" s="349"/>
      <c r="T32" s="360"/>
      <c r="U32" s="349"/>
      <c r="V32" s="349"/>
      <c r="W32" s="349"/>
      <c r="X32" s="349"/>
      <c r="Y32" s="349"/>
      <c r="Z32" s="349"/>
      <c r="AA32" s="349"/>
      <c r="AB32" s="349"/>
      <c r="AC32" s="349"/>
      <c r="AD32" s="349"/>
      <c r="AE32" s="349"/>
      <c r="AF32" s="349"/>
      <c r="AG32" s="349"/>
      <c r="AH32" s="195"/>
    </row>
    <row r="33" spans="3:34">
      <c r="C33" s="192"/>
      <c r="D33" s="74"/>
      <c r="E33" s="130" t="s">
        <v>390</v>
      </c>
      <c r="F33" s="74"/>
      <c r="G33" s="74"/>
      <c r="H33" s="74"/>
      <c r="I33" s="74"/>
      <c r="J33" s="74"/>
      <c r="K33" s="349">
        <f t="shared" ref="K33:W33" si="18">K56+K67+K78+K89</f>
        <v>0</v>
      </c>
      <c r="L33" s="349">
        <f t="shared" si="18"/>
        <v>0</v>
      </c>
      <c r="M33" s="349">
        <f t="shared" si="18"/>
        <v>0</v>
      </c>
      <c r="N33" s="349">
        <f t="shared" si="18"/>
        <v>0</v>
      </c>
      <c r="O33" s="349">
        <f>O56+O67+O78+O89</f>
        <v>1.0313755656108596</v>
      </c>
      <c r="P33" s="349">
        <f t="shared" si="18"/>
        <v>1.119602131438721</v>
      </c>
      <c r="Q33" s="349">
        <f t="shared" si="18"/>
        <v>1.1838036809815951</v>
      </c>
      <c r="R33" s="349">
        <f t="shared" si="18"/>
        <v>1.1572152658662092</v>
      </c>
      <c r="S33" s="349">
        <f t="shared" si="18"/>
        <v>1.1742900763358779</v>
      </c>
      <c r="T33" s="349">
        <f t="shared" si="18"/>
        <v>1.1378644067796608</v>
      </c>
      <c r="U33" s="349">
        <f t="shared" si="18"/>
        <v>1.1014072398190045</v>
      </c>
      <c r="V33" s="349">
        <f t="shared" si="18"/>
        <v>1.092626637554585</v>
      </c>
      <c r="W33" s="349">
        <f t="shared" si="18"/>
        <v>0.45500000000000002</v>
      </c>
      <c r="X33" s="349">
        <f>X56+X67+X78+X89</f>
        <v>0.45500000000000002</v>
      </c>
      <c r="Y33" s="349">
        <f t="shared" ref="Y33:AG33" si="19">Y56+Y67+Y78+Y89</f>
        <v>0.45500000000000002</v>
      </c>
      <c r="Z33" s="349">
        <f t="shared" si="19"/>
        <v>0.45500000000000002</v>
      </c>
      <c r="AA33" s="349">
        <f t="shared" si="19"/>
        <v>0.45500000000000002</v>
      </c>
      <c r="AB33" s="349">
        <f t="shared" si="19"/>
        <v>0.45500000000000002</v>
      </c>
      <c r="AC33" s="349">
        <f t="shared" si="19"/>
        <v>0.45500000000000002</v>
      </c>
      <c r="AD33" s="349">
        <f t="shared" si="19"/>
        <v>0.45500000000000002</v>
      </c>
      <c r="AE33" s="349">
        <f t="shared" si="19"/>
        <v>0.45500000000000002</v>
      </c>
      <c r="AF33" s="349">
        <f t="shared" si="19"/>
        <v>0.45500000000000002</v>
      </c>
      <c r="AG33" s="349">
        <f t="shared" si="19"/>
        <v>0.45500000000000002</v>
      </c>
      <c r="AH33" s="195"/>
    </row>
    <row r="34" spans="3:34">
      <c r="C34" s="192"/>
      <c r="D34" s="74"/>
      <c r="E34" s="130" t="s">
        <v>388</v>
      </c>
      <c r="F34" s="74"/>
      <c r="G34" s="74"/>
      <c r="H34" s="74"/>
      <c r="I34" s="74"/>
      <c r="J34" s="74"/>
      <c r="K34" s="349">
        <f t="shared" ref="K34:AG34" si="20">+K109</f>
        <v>0</v>
      </c>
      <c r="L34" s="349">
        <f t="shared" si="20"/>
        <v>0</v>
      </c>
      <c r="M34" s="349">
        <f t="shared" si="20"/>
        <v>0</v>
      </c>
      <c r="N34" s="349">
        <f t="shared" si="20"/>
        <v>0</v>
      </c>
      <c r="O34" s="349">
        <f t="shared" si="20"/>
        <v>0</v>
      </c>
      <c r="P34" s="349">
        <f t="shared" si="20"/>
        <v>0</v>
      </c>
      <c r="Q34" s="349">
        <f t="shared" si="20"/>
        <v>0</v>
      </c>
      <c r="R34" s="349">
        <f t="shared" si="20"/>
        <v>0</v>
      </c>
      <c r="S34" s="349">
        <f t="shared" si="20"/>
        <v>0</v>
      </c>
      <c r="T34" s="349">
        <f t="shared" si="20"/>
        <v>0</v>
      </c>
      <c r="U34" s="349">
        <f t="shared" si="20"/>
        <v>0</v>
      </c>
      <c r="V34" s="349">
        <f t="shared" si="20"/>
        <v>0</v>
      </c>
      <c r="W34" s="349">
        <f t="shared" si="20"/>
        <v>0</v>
      </c>
      <c r="X34" s="349">
        <f t="shared" si="20"/>
        <v>0</v>
      </c>
      <c r="Y34" s="349">
        <f t="shared" si="20"/>
        <v>0</v>
      </c>
      <c r="Z34" s="349">
        <f t="shared" si="20"/>
        <v>0</v>
      </c>
      <c r="AA34" s="349">
        <f t="shared" si="20"/>
        <v>0</v>
      </c>
      <c r="AB34" s="349">
        <f t="shared" si="20"/>
        <v>0</v>
      </c>
      <c r="AC34" s="349">
        <f t="shared" si="20"/>
        <v>0</v>
      </c>
      <c r="AD34" s="349">
        <f t="shared" si="20"/>
        <v>0</v>
      </c>
      <c r="AE34" s="349">
        <f t="shared" si="20"/>
        <v>0</v>
      </c>
      <c r="AF34" s="349">
        <f t="shared" si="20"/>
        <v>0</v>
      </c>
      <c r="AG34" s="349">
        <f t="shared" si="20"/>
        <v>0</v>
      </c>
      <c r="AH34" s="195"/>
    </row>
    <row r="35" spans="3:34">
      <c r="C35" s="192"/>
      <c r="D35" s="74"/>
      <c r="E35" s="130" t="s">
        <v>15</v>
      </c>
      <c r="F35" s="74"/>
      <c r="G35" s="74"/>
      <c r="H35" s="74"/>
      <c r="I35" s="74"/>
      <c r="J35" s="74"/>
      <c r="K35" s="349">
        <f t="shared" ref="K35:AG35" si="21">+K116</f>
        <v>0</v>
      </c>
      <c r="L35" s="349">
        <f t="shared" si="21"/>
        <v>0</v>
      </c>
      <c r="M35" s="349">
        <f t="shared" si="21"/>
        <v>0</v>
      </c>
      <c r="N35" s="349">
        <f t="shared" si="21"/>
        <v>0</v>
      </c>
      <c r="O35" s="349">
        <f t="shared" si="21"/>
        <v>0.25975384615384611</v>
      </c>
      <c r="P35" s="349">
        <f t="shared" si="21"/>
        <v>0.27365275310834813</v>
      </c>
      <c r="Q35" s="349">
        <f t="shared" si="21"/>
        <v>0.2589570552147239</v>
      </c>
      <c r="R35" s="349">
        <f t="shared" si="21"/>
        <v>0.2715051457975986</v>
      </c>
      <c r="S35" s="349">
        <f t="shared" si="21"/>
        <v>0.31863358778625955</v>
      </c>
      <c r="T35" s="349">
        <f t="shared" si="21"/>
        <v>0.20327118644067793</v>
      </c>
      <c r="U35" s="349">
        <f t="shared" si="21"/>
        <v>0.1994841628959276</v>
      </c>
      <c r="V35" s="349">
        <f t="shared" si="21"/>
        <v>0.28467685589519648</v>
      </c>
      <c r="W35" s="349">
        <f t="shared" si="21"/>
        <v>0.26400000000000001</v>
      </c>
      <c r="X35" s="349">
        <f t="shared" si="21"/>
        <v>0.26400000000000001</v>
      </c>
      <c r="Y35" s="349">
        <f t="shared" si="21"/>
        <v>0.26400000000000001</v>
      </c>
      <c r="Z35" s="349">
        <f t="shared" si="21"/>
        <v>0.26400000000000001</v>
      </c>
      <c r="AA35" s="349">
        <f t="shared" si="21"/>
        <v>0.26400000000000001</v>
      </c>
      <c r="AB35" s="349">
        <f t="shared" si="21"/>
        <v>0.26400000000000001</v>
      </c>
      <c r="AC35" s="349">
        <f t="shared" si="21"/>
        <v>0.26400000000000001</v>
      </c>
      <c r="AD35" s="349">
        <f t="shared" si="21"/>
        <v>0.26400000000000001</v>
      </c>
      <c r="AE35" s="349">
        <f t="shared" si="21"/>
        <v>0.26400000000000001</v>
      </c>
      <c r="AF35" s="349">
        <f t="shared" si="21"/>
        <v>0.26400000000000001</v>
      </c>
      <c r="AG35" s="349">
        <f t="shared" si="21"/>
        <v>0.26400000000000001</v>
      </c>
      <c r="AH35" s="195"/>
    </row>
    <row r="36" spans="3:34">
      <c r="C36" s="192"/>
      <c r="D36" s="74"/>
      <c r="E36" s="130" t="s">
        <v>327</v>
      </c>
      <c r="F36" s="74"/>
      <c r="G36" s="74"/>
      <c r="H36" s="74"/>
      <c r="I36" s="74"/>
      <c r="J36" s="74"/>
      <c r="K36" s="349">
        <f t="shared" ref="K36:AG36" si="22">K120</f>
        <v>0</v>
      </c>
      <c r="L36" s="349">
        <f t="shared" si="22"/>
        <v>0</v>
      </c>
      <c r="M36" s="349">
        <f t="shared" si="22"/>
        <v>0</v>
      </c>
      <c r="N36" s="349">
        <f t="shared" si="22"/>
        <v>0</v>
      </c>
      <c r="O36" s="349">
        <f t="shared" si="22"/>
        <v>2.6522904977375568</v>
      </c>
      <c r="P36" s="349">
        <f t="shared" si="22"/>
        <v>3.1538792184724689</v>
      </c>
      <c r="Q36" s="349">
        <f t="shared" si="22"/>
        <v>3.1124171779141103</v>
      </c>
      <c r="R36" s="349">
        <f t="shared" si="22"/>
        <v>3.6176552315608919</v>
      </c>
      <c r="S36" s="349">
        <f t="shared" si="22"/>
        <v>3.5777659033078884</v>
      </c>
      <c r="T36" s="349">
        <f t="shared" si="22"/>
        <v>3.404508474576271</v>
      </c>
      <c r="U36" s="349">
        <f t="shared" si="22"/>
        <v>3.1811357466063352</v>
      </c>
      <c r="V36" s="349">
        <f t="shared" si="22"/>
        <v>3.2717358078602614</v>
      </c>
      <c r="W36" s="349">
        <f t="shared" si="22"/>
        <v>3.1949999999999998</v>
      </c>
      <c r="X36" s="349">
        <f t="shared" si="22"/>
        <v>3.1049562682215743</v>
      </c>
      <c r="Y36" s="349">
        <f t="shared" si="22"/>
        <v>3.017450212071501</v>
      </c>
      <c r="Z36" s="349">
        <f t="shared" si="22"/>
        <v>2.9324103129946564</v>
      </c>
      <c r="AA36" s="349">
        <f t="shared" si="22"/>
        <v>2.8497670680220182</v>
      </c>
      <c r="AB36" s="349">
        <f t="shared" si="22"/>
        <v>2.7694529329660043</v>
      </c>
      <c r="AC36" s="349">
        <f t="shared" si="22"/>
        <v>2.6914022672167195</v>
      </c>
      <c r="AD36" s="349">
        <f t="shared" si="22"/>
        <v>2.6155512800939937</v>
      </c>
      <c r="AE36" s="349">
        <f t="shared" si="22"/>
        <v>2.5418379787113645</v>
      </c>
      <c r="AF36" s="349">
        <f t="shared" si="22"/>
        <v>2.4702021173093924</v>
      </c>
      <c r="AG36" s="349">
        <f t="shared" si="22"/>
        <v>2.4005851480169023</v>
      </c>
      <c r="AH36" s="195"/>
    </row>
    <row r="37" spans="3:34">
      <c r="C37" s="192"/>
      <c r="D37" s="74"/>
      <c r="E37" s="130" t="s">
        <v>484</v>
      </c>
      <c r="F37" s="74"/>
      <c r="G37" s="74"/>
      <c r="H37" s="74"/>
      <c r="I37" s="74"/>
      <c r="J37" s="74"/>
      <c r="K37" s="353">
        <f t="shared" ref="K37:AF37" si="23">+K134</f>
        <v>0</v>
      </c>
      <c r="L37" s="353">
        <f t="shared" si="23"/>
        <v>0</v>
      </c>
      <c r="M37" s="353">
        <f t="shared" si="23"/>
        <v>0</v>
      </c>
      <c r="N37" s="353">
        <f t="shared" si="23"/>
        <v>0</v>
      </c>
      <c r="O37" s="353">
        <f t="shared" si="23"/>
        <v>0.10059095022624434</v>
      </c>
      <c r="P37" s="353">
        <f t="shared" si="23"/>
        <v>0.10746181172291294</v>
      </c>
      <c r="Q37" s="353">
        <f t="shared" si="23"/>
        <v>0.1393435582822086</v>
      </c>
      <c r="R37" s="353">
        <f t="shared" si="23"/>
        <v>0.12428902229845624</v>
      </c>
      <c r="S37" s="353">
        <f t="shared" si="23"/>
        <v>7.3989821882951654E-2</v>
      </c>
      <c r="T37" s="353">
        <f t="shared" si="23"/>
        <v>9.0847457627118641E-2</v>
      </c>
      <c r="U37" s="353">
        <f t="shared" si="23"/>
        <v>8.4886877828054305E-2</v>
      </c>
      <c r="V37" s="353">
        <f t="shared" si="23"/>
        <v>8.192139737991265E-2</v>
      </c>
      <c r="W37" s="353">
        <f t="shared" si="23"/>
        <v>0.08</v>
      </c>
      <c r="X37" s="353">
        <f t="shared" si="23"/>
        <v>0.08</v>
      </c>
      <c r="Y37" s="353">
        <f t="shared" si="23"/>
        <v>0.08</v>
      </c>
      <c r="Z37" s="353">
        <f t="shared" si="23"/>
        <v>0.08</v>
      </c>
      <c r="AA37" s="353">
        <f t="shared" si="23"/>
        <v>0.08</v>
      </c>
      <c r="AB37" s="353">
        <f t="shared" si="23"/>
        <v>0.08</v>
      </c>
      <c r="AC37" s="353">
        <f t="shared" si="23"/>
        <v>0.08</v>
      </c>
      <c r="AD37" s="353">
        <f t="shared" si="23"/>
        <v>0.08</v>
      </c>
      <c r="AE37" s="353">
        <f t="shared" si="23"/>
        <v>0.08</v>
      </c>
      <c r="AF37" s="353">
        <f t="shared" si="23"/>
        <v>0.08</v>
      </c>
      <c r="AG37" s="353">
        <f>+AG134</f>
        <v>0.08</v>
      </c>
      <c r="AH37" s="195"/>
    </row>
    <row r="38" spans="3:34" ht="12.75" thickBot="1">
      <c r="C38" s="192"/>
      <c r="D38" s="74"/>
      <c r="E38" s="112" t="s">
        <v>485</v>
      </c>
      <c r="F38" s="74"/>
      <c r="G38" s="74"/>
      <c r="H38" s="74"/>
      <c r="I38" s="74"/>
      <c r="J38" s="74"/>
      <c r="K38" s="355">
        <f>SUM(K33:K37)</f>
        <v>0</v>
      </c>
      <c r="L38" s="355">
        <f t="shared" ref="L38:AG38" si="24">SUM(L33:L37)</f>
        <v>0</v>
      </c>
      <c r="M38" s="355">
        <f t="shared" si="24"/>
        <v>0</v>
      </c>
      <c r="N38" s="355">
        <f t="shared" si="24"/>
        <v>0</v>
      </c>
      <c r="O38" s="1989">
        <f t="shared" si="24"/>
        <v>4.0440108597285072</v>
      </c>
      <c r="P38" s="355">
        <f t="shared" si="24"/>
        <v>4.6545959147424503</v>
      </c>
      <c r="Q38" s="355">
        <f t="shared" si="24"/>
        <v>4.694521472392637</v>
      </c>
      <c r="R38" s="355">
        <f t="shared" si="24"/>
        <v>5.1706646655231561</v>
      </c>
      <c r="S38" s="355">
        <f t="shared" si="24"/>
        <v>5.1446793893129783</v>
      </c>
      <c r="T38" s="355">
        <f t="shared" si="24"/>
        <v>4.8364915254237282</v>
      </c>
      <c r="U38" s="355">
        <f t="shared" si="24"/>
        <v>4.5669140271493216</v>
      </c>
      <c r="V38" s="355">
        <f t="shared" si="24"/>
        <v>4.7309606986899553</v>
      </c>
      <c r="W38" s="1989">
        <f t="shared" si="24"/>
        <v>3.9939999999999998</v>
      </c>
      <c r="X38" s="355">
        <f t="shared" si="24"/>
        <v>3.9039562682215747</v>
      </c>
      <c r="Y38" s="355">
        <f t="shared" si="24"/>
        <v>3.8164502120715014</v>
      </c>
      <c r="Z38" s="355">
        <f t="shared" si="24"/>
        <v>3.7314103129946563</v>
      </c>
      <c r="AA38" s="355">
        <f t="shared" si="24"/>
        <v>3.6487670680220186</v>
      </c>
      <c r="AB38" s="1989">
        <f t="shared" si="24"/>
        <v>3.5684529329660046</v>
      </c>
      <c r="AC38" s="355">
        <f t="shared" si="24"/>
        <v>3.4904022672167194</v>
      </c>
      <c r="AD38" s="355">
        <f t="shared" si="24"/>
        <v>3.4145512800939937</v>
      </c>
      <c r="AE38" s="355">
        <f t="shared" si="24"/>
        <v>3.3408379787113649</v>
      </c>
      <c r="AF38" s="355">
        <f t="shared" si="24"/>
        <v>3.2692021173093924</v>
      </c>
      <c r="AG38" s="355">
        <f t="shared" si="24"/>
        <v>3.1995851480169026</v>
      </c>
      <c r="AH38" s="195"/>
    </row>
    <row r="39" spans="3:34">
      <c r="C39" s="192"/>
      <c r="D39" s="74"/>
      <c r="E39" s="112"/>
      <c r="F39" s="74"/>
      <c r="G39" s="74"/>
      <c r="H39" s="74"/>
      <c r="I39" s="74"/>
      <c r="J39" s="74"/>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20"/>
      <c r="AH39" s="195"/>
    </row>
    <row r="40" spans="3:34">
      <c r="C40" s="192"/>
      <c r="D40" s="74"/>
      <c r="E40" s="74"/>
      <c r="F40" s="74"/>
      <c r="G40" s="74"/>
      <c r="H40" s="74"/>
      <c r="I40" s="74"/>
      <c r="J40" s="74"/>
      <c r="K40" s="74"/>
      <c r="L40" s="74"/>
      <c r="M40" s="74"/>
      <c r="N40" s="74"/>
      <c r="O40" s="74"/>
      <c r="P40" s="74"/>
      <c r="Q40" s="74"/>
      <c r="R40" s="74"/>
      <c r="V40" s="1511"/>
      <c r="W40" s="1719">
        <f>SUM(P38:W38)</f>
        <v>37.792827693234223</v>
      </c>
      <c r="X40" s="1767"/>
      <c r="Y40" s="1767"/>
      <c r="Z40" s="1767"/>
      <c r="AA40" s="1767"/>
      <c r="AB40" s="1719">
        <f>SUM(X38:AB38)</f>
        <v>18.669036794275755</v>
      </c>
      <c r="AC40" s="1767"/>
      <c r="AD40" s="1767"/>
      <c r="AE40" s="1767"/>
      <c r="AF40" s="1767"/>
      <c r="AG40" s="1719">
        <f>SUM(AC38:AG38)</f>
        <v>16.714578791348373</v>
      </c>
      <c r="AH40" s="195"/>
    </row>
    <row r="41" spans="3:34">
      <c r="C41" s="192"/>
      <c r="D41" s="74"/>
      <c r="E41" s="74"/>
      <c r="F41" s="74"/>
      <c r="G41" s="74"/>
      <c r="H41" s="74"/>
      <c r="I41" s="74"/>
      <c r="J41" s="74"/>
      <c r="K41" s="74"/>
      <c r="L41" s="74"/>
      <c r="M41" s="74"/>
      <c r="N41" s="74"/>
      <c r="O41" s="74"/>
      <c r="P41" s="74"/>
      <c r="Q41" s="74"/>
      <c r="R41" s="74"/>
      <c r="V41" s="1513"/>
      <c r="W41" s="1513"/>
      <c r="X41" s="1513"/>
      <c r="Y41" s="1513"/>
      <c r="Z41" s="1513"/>
      <c r="AA41" s="1511"/>
      <c r="AB41" s="1661"/>
      <c r="AC41" s="1622"/>
      <c r="AE41" s="74"/>
      <c r="AF41" s="74"/>
      <c r="AG41" s="74"/>
      <c r="AH41" s="195"/>
    </row>
    <row r="42" spans="3:34" ht="12" customHeight="1" thickBot="1">
      <c r="C42" s="192"/>
      <c r="D42" s="74"/>
      <c r="E42" s="290" t="s">
        <v>483</v>
      </c>
      <c r="F42" s="112"/>
      <c r="G42" s="112"/>
      <c r="H42" s="112"/>
      <c r="I42" s="112"/>
      <c r="J42" s="112"/>
      <c r="K42" s="355">
        <f t="shared" ref="K42:AG42" si="25">+K38+K17</f>
        <v>0</v>
      </c>
      <c r="L42" s="355">
        <f t="shared" si="25"/>
        <v>0</v>
      </c>
      <c r="M42" s="355">
        <f t="shared" si="25"/>
        <v>0</v>
      </c>
      <c r="N42" s="355">
        <f t="shared" si="25"/>
        <v>0</v>
      </c>
      <c r="O42" s="1989">
        <f t="shared" si="25"/>
        <v>53.928209049773749</v>
      </c>
      <c r="P42" s="355">
        <f t="shared" si="25"/>
        <v>52.696273534635871</v>
      </c>
      <c r="Q42" s="355">
        <f t="shared" si="25"/>
        <v>57.95705521472393</v>
      </c>
      <c r="R42" s="355">
        <f t="shared" si="25"/>
        <v>55.580120068610633</v>
      </c>
      <c r="S42" s="355">
        <f t="shared" si="25"/>
        <v>57.318244274809153</v>
      </c>
      <c r="T42" s="355">
        <f t="shared" si="25"/>
        <v>62.972050847457623</v>
      </c>
      <c r="U42" s="355">
        <f t="shared" si="25"/>
        <v>62.042757918552034</v>
      </c>
      <c r="V42" s="355">
        <f t="shared" si="25"/>
        <v>62.338087336244527</v>
      </c>
      <c r="W42" s="1989">
        <f t="shared" si="25"/>
        <v>58.988000000000014</v>
      </c>
      <c r="X42" s="355">
        <f t="shared" si="25"/>
        <v>60.831457927610231</v>
      </c>
      <c r="Y42" s="355">
        <f t="shared" si="25"/>
        <v>61.562985871460157</v>
      </c>
      <c r="Z42" s="355">
        <f t="shared" si="25"/>
        <v>60.953792972383312</v>
      </c>
      <c r="AA42" s="355">
        <f t="shared" si="25"/>
        <v>61.74767972741067</v>
      </c>
      <c r="AB42" s="1989">
        <f t="shared" si="25"/>
        <v>61.750141592354659</v>
      </c>
      <c r="AC42" s="355">
        <f t="shared" si="25"/>
        <v>62.52737892660538</v>
      </c>
      <c r="AD42" s="355">
        <f t="shared" si="25"/>
        <v>63.319367939482653</v>
      </c>
      <c r="AE42" s="355">
        <f t="shared" si="25"/>
        <v>64.12605263810002</v>
      </c>
      <c r="AF42" s="355">
        <f t="shared" si="25"/>
        <v>64.947658776698049</v>
      </c>
      <c r="AG42" s="355">
        <f t="shared" si="25"/>
        <v>65.784431807405568</v>
      </c>
      <c r="AH42" s="195"/>
    </row>
    <row r="43" spans="3:34">
      <c r="C43" s="192"/>
      <c r="D43" s="74"/>
      <c r="E43" s="74"/>
      <c r="F43" s="74"/>
      <c r="G43" s="74"/>
      <c r="H43" s="74"/>
      <c r="I43" s="74"/>
      <c r="J43" s="74"/>
      <c r="K43" s="74"/>
      <c r="L43" s="74"/>
      <c r="M43" s="74"/>
      <c r="N43" s="74"/>
      <c r="O43" s="74"/>
      <c r="P43" s="74"/>
      <c r="Q43" s="74"/>
      <c r="R43" s="74"/>
      <c r="S43" s="74"/>
      <c r="V43" s="1511"/>
      <c r="W43" s="1660"/>
      <c r="X43" s="1513"/>
      <c r="Y43" s="1513"/>
      <c r="Z43" s="1513"/>
      <c r="AA43" s="1511"/>
      <c r="AB43" s="1660"/>
      <c r="AC43" s="1513"/>
      <c r="AD43" s="74"/>
      <c r="AE43" s="74"/>
      <c r="AF43" s="74"/>
      <c r="AG43" s="74"/>
      <c r="AH43" s="195"/>
    </row>
    <row r="44" spans="3:34">
      <c r="C44" s="192"/>
      <c r="D44" s="74"/>
      <c r="E44" s="74"/>
      <c r="F44" s="74"/>
      <c r="G44" s="74"/>
      <c r="H44" s="74"/>
      <c r="I44" s="74"/>
      <c r="J44" s="74"/>
      <c r="K44" s="74"/>
      <c r="L44" s="74"/>
      <c r="M44" s="74"/>
      <c r="N44" s="74"/>
      <c r="O44" s="74"/>
      <c r="P44" s="74"/>
      <c r="Q44" s="74"/>
      <c r="R44" s="74"/>
      <c r="S44" s="74"/>
      <c r="V44" s="1513"/>
      <c r="W44" s="1719">
        <f>SUM(P42:W42)</f>
        <v>469.89258919503379</v>
      </c>
      <c r="X44" s="1767"/>
      <c r="Y44" s="1767"/>
      <c r="Z44" s="1767"/>
      <c r="AA44" s="1767"/>
      <c r="AB44" s="1719">
        <f>SUM(X42:AB42)</f>
        <v>306.84605809121905</v>
      </c>
      <c r="AC44" s="1767"/>
      <c r="AD44" s="1767"/>
      <c r="AE44" s="1767"/>
      <c r="AF44" s="1767"/>
      <c r="AG44" s="1719">
        <f>SUM(AC42:AG42)</f>
        <v>320.70489008829168</v>
      </c>
      <c r="AH44" s="195"/>
    </row>
    <row r="45" spans="3:34">
      <c r="C45" s="192"/>
      <c r="D45" s="74"/>
      <c r="E45" s="74"/>
      <c r="F45" s="74"/>
      <c r="G45" s="74"/>
      <c r="H45" s="74"/>
      <c r="I45" s="74"/>
      <c r="J45" s="74"/>
      <c r="K45" s="74"/>
      <c r="L45" s="74"/>
      <c r="M45" s="74"/>
      <c r="N45" s="74"/>
      <c r="O45" s="74"/>
      <c r="P45" s="74"/>
      <c r="Q45" s="74"/>
      <c r="R45" s="74"/>
      <c r="S45" s="74"/>
      <c r="V45" s="1513"/>
      <c r="W45" s="1513"/>
      <c r="X45" s="1513"/>
      <c r="Y45" s="1513"/>
      <c r="Z45" s="1513"/>
      <c r="AA45" s="1511"/>
      <c r="AB45" s="1661"/>
      <c r="AC45" s="1622"/>
      <c r="AD45" s="74"/>
      <c r="AE45" s="74"/>
      <c r="AF45" s="74"/>
      <c r="AG45" s="74"/>
      <c r="AH45" s="195"/>
    </row>
    <row r="46" spans="3:34">
      <c r="C46" s="192"/>
      <c r="D46" s="74"/>
      <c r="E46" s="359"/>
      <c r="F46" s="112"/>
      <c r="G46" s="112"/>
      <c r="H46" s="112"/>
      <c r="I46" s="74"/>
      <c r="J46" s="74"/>
      <c r="K46" s="74"/>
      <c r="L46" s="74"/>
      <c r="M46" s="74"/>
      <c r="N46" s="353"/>
      <c r="O46" s="353"/>
      <c r="P46" s="353"/>
      <c r="Q46" s="353"/>
      <c r="R46" s="353"/>
      <c r="S46" s="353"/>
      <c r="T46" s="353"/>
      <c r="U46" s="353"/>
      <c r="W46" s="358" t="str">
        <f>"To reconcile to 'Opex_FO' tab row "&amp;ROW(Opex_FO!X124)&amp;"&gt;&gt;"</f>
        <v>To reconcile to 'Opex_FO' tab row 124&gt;&gt;</v>
      </c>
      <c r="X46" s="361">
        <f>+Opex_FO!X124</f>
        <v>60.831457455994489</v>
      </c>
      <c r="Y46" s="362">
        <f>+Opex_FO!Y124</f>
        <v>61.562985399844415</v>
      </c>
      <c r="Z46" s="362">
        <f>+Opex_FO!Z124</f>
        <v>60.953792500767563</v>
      </c>
      <c r="AA46" s="362">
        <f>+Opex_FO!AA124</f>
        <v>61.747679255794928</v>
      </c>
      <c r="AB46" s="363">
        <f>+Opex_FO!AB124</f>
        <v>61.750141120738917</v>
      </c>
      <c r="AC46" s="362">
        <f>+Opex_FO!AC124</f>
        <v>62.527376510216712</v>
      </c>
      <c r="AD46" s="362">
        <f>+Opex_FO!AD124</f>
        <v>63.319367578321057</v>
      </c>
      <c r="AE46" s="362">
        <f>+Opex_FO!AE124</f>
        <v>64.1260523321655</v>
      </c>
      <c r="AF46" s="362">
        <f>+Opex_FO!AF124</f>
        <v>64.947662525990609</v>
      </c>
      <c r="AG46" s="363">
        <f>+Opex_FO!AG124</f>
        <v>65.784431611925186</v>
      </c>
      <c r="AH46" s="195"/>
    </row>
    <row r="47" spans="3:34">
      <c r="C47" s="192"/>
      <c r="D47" s="74"/>
      <c r="E47" s="359"/>
      <c r="F47" s="112"/>
      <c r="G47" s="112"/>
      <c r="H47" s="112"/>
      <c r="I47" s="74"/>
      <c r="J47" s="74"/>
      <c r="K47" s="74"/>
      <c r="L47" s="74"/>
      <c r="M47" s="74"/>
      <c r="N47" s="353"/>
      <c r="O47" s="353"/>
      <c r="P47" s="353"/>
      <c r="Q47" s="353"/>
      <c r="R47" s="353"/>
      <c r="S47" s="353"/>
      <c r="T47" s="353"/>
      <c r="U47" s="353"/>
      <c r="W47" s="358" t="s">
        <v>469</v>
      </c>
      <c r="X47" s="364">
        <f t="shared" ref="X47:AG47" si="26">+X46-X42</f>
        <v>-4.7161574201481926E-7</v>
      </c>
      <c r="Y47" s="365">
        <f t="shared" si="26"/>
        <v>-4.7161574201481926E-7</v>
      </c>
      <c r="Z47" s="365">
        <f t="shared" si="26"/>
        <v>-4.7161574912024662E-7</v>
      </c>
      <c r="AA47" s="365">
        <f t="shared" si="26"/>
        <v>-4.7161574201481926E-7</v>
      </c>
      <c r="AB47" s="366">
        <f t="shared" si="26"/>
        <v>-4.7161574201481926E-7</v>
      </c>
      <c r="AC47" s="365">
        <f t="shared" si="26"/>
        <v>-2.4163886678252311E-6</v>
      </c>
      <c r="AD47" s="365">
        <f t="shared" si="26"/>
        <v>-3.6116159662924474E-7</v>
      </c>
      <c r="AE47" s="365">
        <f t="shared" si="26"/>
        <v>-3.059345203837438E-7</v>
      </c>
      <c r="AF47" s="365">
        <f t="shared" si="26"/>
        <v>3.7492925599735827E-6</v>
      </c>
      <c r="AG47" s="366">
        <f t="shared" si="26"/>
        <v>-1.9548038210359664E-7</v>
      </c>
      <c r="AH47" s="195"/>
    </row>
    <row r="48" spans="3:34" s="84" customFormat="1">
      <c r="C48" s="367"/>
      <c r="D48" s="359"/>
      <c r="E48" s="359"/>
      <c r="F48" s="359"/>
      <c r="G48" s="359"/>
      <c r="H48" s="359"/>
      <c r="I48" s="359"/>
      <c r="J48" s="359"/>
      <c r="K48" s="368"/>
      <c r="L48" s="368"/>
      <c r="M48" s="368"/>
      <c r="N48" s="369"/>
      <c r="O48" s="369"/>
      <c r="P48" s="369"/>
      <c r="Q48" s="369"/>
      <c r="R48" s="369"/>
      <c r="S48" s="369"/>
      <c r="T48" s="369"/>
      <c r="U48" s="369"/>
      <c r="W48" s="370" t="s">
        <v>481</v>
      </c>
      <c r="X48" s="1781">
        <f>IF(ROUND(X46,5)=ROUND(X42,5),0,1)</f>
        <v>0</v>
      </c>
      <c r="Y48" s="1781">
        <f t="shared" ref="Y48:AG48" si="27">IF(ROUND(Y46,5)=ROUND(Y42,5),0,1)</f>
        <v>0</v>
      </c>
      <c r="Z48" s="1781">
        <f t="shared" si="27"/>
        <v>0</v>
      </c>
      <c r="AA48" s="1781">
        <f t="shared" si="27"/>
        <v>0</v>
      </c>
      <c r="AB48" s="1781">
        <f t="shared" si="27"/>
        <v>0</v>
      </c>
      <c r="AC48" s="1781">
        <f t="shared" si="27"/>
        <v>0</v>
      </c>
      <c r="AD48" s="1781">
        <f t="shared" si="27"/>
        <v>0</v>
      </c>
      <c r="AE48" s="1781">
        <f t="shared" si="27"/>
        <v>0</v>
      </c>
      <c r="AF48" s="1781">
        <f t="shared" si="27"/>
        <v>0</v>
      </c>
      <c r="AG48" s="1781">
        <f t="shared" si="27"/>
        <v>0</v>
      </c>
      <c r="AH48" s="371"/>
    </row>
    <row r="49" spans="2:38" ht="12.75" thickBot="1">
      <c r="C49" s="198"/>
      <c r="D49" s="199"/>
      <c r="E49" s="372"/>
      <c r="F49" s="373"/>
      <c r="G49" s="373"/>
      <c r="H49" s="373"/>
      <c r="I49" s="199"/>
      <c r="J49" s="199"/>
      <c r="K49" s="374"/>
      <c r="L49" s="374"/>
      <c r="M49" s="374"/>
      <c r="N49" s="374"/>
      <c r="O49" s="374"/>
      <c r="P49" s="374"/>
      <c r="Q49" s="374"/>
      <c r="R49" s="374"/>
      <c r="S49" s="374"/>
      <c r="T49" s="374"/>
      <c r="U49" s="374"/>
      <c r="V49" s="374"/>
      <c r="W49" s="374"/>
      <c r="X49" s="374"/>
      <c r="Y49" s="374"/>
      <c r="Z49" s="374"/>
      <c r="AA49" s="374"/>
      <c r="AB49" s="374"/>
      <c r="AC49" s="374"/>
      <c r="AD49" s="374"/>
      <c r="AE49" s="374"/>
      <c r="AF49" s="374"/>
      <c r="AG49" s="374"/>
      <c r="AH49" s="201"/>
    </row>
    <row r="50" spans="2:38">
      <c r="K50" s="375"/>
      <c r="L50" s="375"/>
      <c r="M50" s="375"/>
      <c r="N50" s="375"/>
      <c r="O50" s="375"/>
      <c r="P50" s="375"/>
      <c r="Q50" s="375"/>
      <c r="R50" s="376"/>
      <c r="S50" s="375"/>
      <c r="T50" s="375"/>
      <c r="U50" s="375"/>
      <c r="V50" s="375"/>
      <c r="W50" s="375"/>
      <c r="X50" s="375"/>
      <c r="Y50" s="375"/>
      <c r="Z50" s="375"/>
      <c r="AA50" s="375"/>
      <c r="AB50" s="375"/>
    </row>
    <row r="51" spans="2:38">
      <c r="K51" s="375"/>
      <c r="L51" s="375"/>
      <c r="M51" s="375"/>
      <c r="N51" s="375"/>
      <c r="O51" s="375"/>
      <c r="P51" s="375"/>
      <c r="Q51" s="375"/>
      <c r="R51" s="375"/>
      <c r="S51" s="375"/>
      <c r="T51" s="375"/>
      <c r="U51" s="375"/>
      <c r="V51" s="375"/>
      <c r="W51" s="375"/>
      <c r="X51" s="375"/>
      <c r="Y51" s="375"/>
      <c r="Z51" s="375"/>
      <c r="AA51" s="375"/>
      <c r="AB51" s="375"/>
    </row>
    <row r="52" spans="2:38">
      <c r="B52" s="377" t="s">
        <v>571</v>
      </c>
      <c r="L52" s="378"/>
      <c r="M52" s="378"/>
      <c r="N52" s="378"/>
      <c r="O52" s="375"/>
      <c r="P52" s="375"/>
      <c r="Q52" s="375"/>
      <c r="R52" s="375"/>
      <c r="S52" s="375"/>
      <c r="T52" s="375"/>
      <c r="U52" s="375"/>
      <c r="V52" s="375"/>
      <c r="W52" s="375"/>
      <c r="X52" s="379"/>
      <c r="Y52" s="1770"/>
      <c r="Z52" s="1770"/>
      <c r="AA52" s="1770"/>
      <c r="AB52" s="1770"/>
      <c r="AC52" s="1770"/>
      <c r="AD52" s="1770"/>
      <c r="AE52" s="1770"/>
      <c r="AF52" s="1770"/>
      <c r="AG52" s="1770"/>
    </row>
    <row r="53" spans="2:38">
      <c r="K53" s="378"/>
      <c r="L53" s="378"/>
      <c r="M53" s="378"/>
      <c r="N53" s="378"/>
      <c r="O53" s="375"/>
      <c r="P53" s="375"/>
      <c r="Q53" s="375"/>
      <c r="R53" s="376"/>
      <c r="S53" s="375"/>
      <c r="T53" s="375"/>
      <c r="U53" s="375"/>
      <c r="V53" s="375"/>
      <c r="W53" s="375"/>
      <c r="X53" s="375"/>
      <c r="Y53" s="375"/>
      <c r="Z53" s="375"/>
      <c r="AA53" s="375"/>
      <c r="AB53" s="375"/>
    </row>
    <row r="54" spans="2:38">
      <c r="C54" s="380" t="s">
        <v>20</v>
      </c>
      <c r="K54" s="381"/>
      <c r="L54" s="381"/>
      <c r="M54" s="381"/>
      <c r="N54" s="382"/>
      <c r="O54" s="382"/>
      <c r="P54" s="382"/>
      <c r="Q54" s="382"/>
      <c r="R54" s="376"/>
      <c r="S54" s="382"/>
      <c r="T54" s="382"/>
      <c r="U54" s="382"/>
      <c r="V54" s="382"/>
      <c r="W54" s="382"/>
      <c r="X54" s="382"/>
      <c r="Y54" s="382"/>
      <c r="Z54" s="382"/>
      <c r="AA54" s="382"/>
      <c r="AB54" s="382"/>
      <c r="AC54" s="382"/>
      <c r="AD54" s="382"/>
      <c r="AE54" s="382"/>
      <c r="AF54" s="382"/>
      <c r="AG54" s="382"/>
    </row>
    <row r="55" spans="2:38">
      <c r="D55" s="383" t="s">
        <v>5</v>
      </c>
      <c r="K55" s="384"/>
      <c r="L55" s="385"/>
      <c r="M55" s="386"/>
      <c r="N55" s="1713"/>
      <c r="O55" s="592">
        <v>8.0485493212669681</v>
      </c>
      <c r="P55" s="429">
        <v>8.3707753108348122</v>
      </c>
      <c r="Q55" s="429">
        <v>8.4358343558282218</v>
      </c>
      <c r="R55" s="429">
        <v>7.9653576329331042</v>
      </c>
      <c r="S55" s="429">
        <v>7.9192977099236641</v>
      </c>
      <c r="T55" s="429">
        <v>9.5310338983050844</v>
      </c>
      <c r="U55" s="429">
        <v>9.7428914027149318</v>
      </c>
      <c r="V55" s="429">
        <v>9.4404170305676836</v>
      </c>
      <c r="W55" s="429">
        <v>8.6349999999999998</v>
      </c>
      <c r="X55" s="428">
        <v>7.9976816593886459</v>
      </c>
      <c r="Y55" s="429">
        <v>7.9460816593886454</v>
      </c>
      <c r="Z55" s="429">
        <v>8.1293816593886454</v>
      </c>
      <c r="AA55" s="429">
        <v>8.4187616593886467</v>
      </c>
      <c r="AB55" s="430">
        <v>8.7257616593886453</v>
      </c>
      <c r="AC55" s="429">
        <v>8.7257616593886453</v>
      </c>
      <c r="AD55" s="429">
        <v>8.7257616593886453</v>
      </c>
      <c r="AE55" s="429">
        <v>8.7257616593886453</v>
      </c>
      <c r="AF55" s="429">
        <v>8.7257616593886453</v>
      </c>
      <c r="AG55" s="430">
        <v>8.7257616593886453</v>
      </c>
    </row>
    <row r="56" spans="2:38">
      <c r="D56" s="383" t="s">
        <v>389</v>
      </c>
      <c r="K56" s="387"/>
      <c r="L56" s="349"/>
      <c r="M56" s="388"/>
      <c r="N56" s="400"/>
      <c r="O56" s="1771">
        <f>+O142</f>
        <v>1.0313755656108596</v>
      </c>
      <c r="P56" s="390">
        <f>+P142</f>
        <v>1.119602131438721</v>
      </c>
      <c r="Q56" s="390">
        <f>+Q142</f>
        <v>1.1838036809815951</v>
      </c>
      <c r="R56" s="390">
        <f>+R142</f>
        <v>1.1572152658662092</v>
      </c>
      <c r="S56" s="390">
        <f>+S142</f>
        <v>1.1742900763358779</v>
      </c>
      <c r="T56" s="390">
        <f t="shared" ref="T56:AG56" si="28">+T142</f>
        <v>1.1378644067796608</v>
      </c>
      <c r="U56" s="390">
        <f t="shared" si="28"/>
        <v>1.1014072398190045</v>
      </c>
      <c r="V56" s="390">
        <f t="shared" si="28"/>
        <v>1.092626637554585</v>
      </c>
      <c r="W56" s="390">
        <f t="shared" si="28"/>
        <v>0.45500000000000002</v>
      </c>
      <c r="X56" s="389">
        <f t="shared" si="28"/>
        <v>0.45500000000000002</v>
      </c>
      <c r="Y56" s="390">
        <f t="shared" si="28"/>
        <v>0.45500000000000002</v>
      </c>
      <c r="Z56" s="390">
        <f t="shared" si="28"/>
        <v>0.45500000000000002</v>
      </c>
      <c r="AA56" s="390">
        <f t="shared" si="28"/>
        <v>0.45500000000000002</v>
      </c>
      <c r="AB56" s="391">
        <f t="shared" si="28"/>
        <v>0.45500000000000002</v>
      </c>
      <c r="AC56" s="390">
        <f t="shared" si="28"/>
        <v>0.45500000000000002</v>
      </c>
      <c r="AD56" s="390">
        <f t="shared" si="28"/>
        <v>0.45500000000000002</v>
      </c>
      <c r="AE56" s="390">
        <f t="shared" si="28"/>
        <v>0.45500000000000002</v>
      </c>
      <c r="AF56" s="390">
        <f t="shared" si="28"/>
        <v>0.45500000000000002</v>
      </c>
      <c r="AG56" s="391">
        <f t="shared" si="28"/>
        <v>0.45500000000000002</v>
      </c>
      <c r="AH56" s="84" t="s">
        <v>513</v>
      </c>
    </row>
    <row r="57" spans="2:38">
      <c r="D57" s="383" t="s">
        <v>6</v>
      </c>
      <c r="K57" s="387"/>
      <c r="L57" s="349"/>
      <c r="M57" s="388"/>
      <c r="N57" s="1714"/>
      <c r="O57" s="593">
        <v>7.1699701357466061</v>
      </c>
      <c r="P57" s="432">
        <v>6.0640950266429829</v>
      </c>
      <c r="Q57" s="432">
        <v>6.4763926380368098</v>
      </c>
      <c r="R57" s="432">
        <v>6.4871629502572894</v>
      </c>
      <c r="S57" s="432">
        <v>6.6889185750636138</v>
      </c>
      <c r="T57" s="432">
        <v>7.4506271186440669</v>
      </c>
      <c r="U57" s="432">
        <v>6.7994389140271494</v>
      </c>
      <c r="V57" s="432">
        <v>7.0913209606986891</v>
      </c>
      <c r="W57" s="432">
        <v>6.9640000000000004</v>
      </c>
      <c r="X57" s="431">
        <v>6.9630000000000001</v>
      </c>
      <c r="Y57" s="432">
        <v>6.9770000000000003</v>
      </c>
      <c r="Z57" s="432">
        <v>6.9910000000000005</v>
      </c>
      <c r="AA57" s="432">
        <v>7.0050000000000008</v>
      </c>
      <c r="AB57" s="433">
        <v>7.0200000000000005</v>
      </c>
      <c r="AC57" s="432">
        <v>7.0200000000000005</v>
      </c>
      <c r="AD57" s="432">
        <v>7.0200000000000005</v>
      </c>
      <c r="AE57" s="432">
        <v>7.0200000000000005</v>
      </c>
      <c r="AF57" s="432">
        <v>7.0200000000000005</v>
      </c>
      <c r="AG57" s="433">
        <v>7.0200000000000005</v>
      </c>
    </row>
    <row r="58" spans="2:38">
      <c r="D58" s="383" t="s">
        <v>7</v>
      </c>
      <c r="K58" s="387"/>
      <c r="L58" s="349"/>
      <c r="M58" s="388"/>
      <c r="N58" s="1714"/>
      <c r="O58" s="593">
        <v>2.4001764705882351</v>
      </c>
      <c r="P58" s="432">
        <v>2.6440603907637654</v>
      </c>
      <c r="Q58" s="432">
        <v>2.654926380368098</v>
      </c>
      <c r="R58" s="432">
        <v>2.6993644939965695</v>
      </c>
      <c r="S58" s="432">
        <v>2.4679185750636128</v>
      </c>
      <c r="T58" s="432">
        <v>3.0490677966101694</v>
      </c>
      <c r="U58" s="432">
        <v>3.0219728506787331</v>
      </c>
      <c r="V58" s="432">
        <v>3.4069061135371177</v>
      </c>
      <c r="W58" s="432">
        <v>3.0259999999999998</v>
      </c>
      <c r="X58" s="431">
        <v>3.0259999999999998</v>
      </c>
      <c r="Y58" s="432">
        <v>3.0259999999999998</v>
      </c>
      <c r="Z58" s="432">
        <v>3.0259999999999998</v>
      </c>
      <c r="AA58" s="432">
        <v>3.0259999999999998</v>
      </c>
      <c r="AB58" s="433">
        <v>3.0259999999999998</v>
      </c>
      <c r="AC58" s="432">
        <v>3.0259999999999998</v>
      </c>
      <c r="AD58" s="432">
        <v>3.0259999999999998</v>
      </c>
      <c r="AE58" s="432">
        <v>3.0259999999999998</v>
      </c>
      <c r="AF58" s="432">
        <v>3.0259999999999998</v>
      </c>
      <c r="AG58" s="433">
        <v>3.0259999999999998</v>
      </c>
    </row>
    <row r="59" spans="2:38">
      <c r="D59" s="383" t="s">
        <v>8</v>
      </c>
      <c r="K59" s="387"/>
      <c r="L59" s="349"/>
      <c r="M59" s="388"/>
      <c r="N59" s="1714"/>
      <c r="O59" s="593">
        <v>0</v>
      </c>
      <c r="P59" s="432">
        <v>0</v>
      </c>
      <c r="Q59" s="432">
        <v>1.2331288343558281E-3</v>
      </c>
      <c r="R59" s="432">
        <v>0</v>
      </c>
      <c r="S59" s="432">
        <v>1.1933842239185751E-3</v>
      </c>
      <c r="T59" s="432">
        <v>0</v>
      </c>
      <c r="U59" s="432">
        <v>1.0610859728506787E-3</v>
      </c>
      <c r="V59" s="432">
        <v>0</v>
      </c>
      <c r="W59" s="432">
        <v>1E-3</v>
      </c>
      <c r="X59" s="431">
        <v>1E-3</v>
      </c>
      <c r="Y59" s="432">
        <v>1E-3</v>
      </c>
      <c r="Z59" s="432">
        <v>1E-3</v>
      </c>
      <c r="AA59" s="432">
        <v>1E-3</v>
      </c>
      <c r="AB59" s="433">
        <v>1E-3</v>
      </c>
      <c r="AC59" s="432">
        <v>1E-3</v>
      </c>
      <c r="AD59" s="432">
        <v>1E-3</v>
      </c>
      <c r="AE59" s="432">
        <v>1E-3</v>
      </c>
      <c r="AF59" s="432">
        <v>1E-3</v>
      </c>
      <c r="AG59" s="433">
        <v>1E-3</v>
      </c>
    </row>
    <row r="60" spans="2:38">
      <c r="D60" s="383" t="s">
        <v>9</v>
      </c>
      <c r="K60" s="387"/>
      <c r="L60" s="349"/>
      <c r="M60" s="388"/>
      <c r="N60" s="1714"/>
      <c r="O60" s="593">
        <v>0.14770316742081449</v>
      </c>
      <c r="P60" s="432">
        <v>0.16869005328596803</v>
      </c>
      <c r="Q60" s="432">
        <v>0.15414110429447853</v>
      </c>
      <c r="R60" s="432">
        <v>0.17255660377358487</v>
      </c>
      <c r="S60" s="432">
        <v>0.15155979643765902</v>
      </c>
      <c r="T60" s="432">
        <v>0.14422033898305084</v>
      </c>
      <c r="U60" s="432">
        <v>0.13581900452488688</v>
      </c>
      <c r="V60" s="432">
        <v>0.16486681222707422</v>
      </c>
      <c r="W60" s="432">
        <v>6.2E-2</v>
      </c>
      <c r="X60" s="431">
        <v>6.2E-2</v>
      </c>
      <c r="Y60" s="432">
        <v>6.2E-2</v>
      </c>
      <c r="Z60" s="432">
        <v>6.2E-2</v>
      </c>
      <c r="AA60" s="432">
        <v>6.2E-2</v>
      </c>
      <c r="AB60" s="433">
        <v>6.2E-2</v>
      </c>
      <c r="AC60" s="432">
        <v>6.2E-2</v>
      </c>
      <c r="AD60" s="432">
        <v>6.2E-2</v>
      </c>
      <c r="AE60" s="432">
        <v>6.2E-2</v>
      </c>
      <c r="AF60" s="432">
        <v>6.2E-2</v>
      </c>
      <c r="AG60" s="433">
        <v>6.2E-2</v>
      </c>
    </row>
    <row r="61" spans="2:38">
      <c r="D61" s="383" t="s">
        <v>10</v>
      </c>
      <c r="K61" s="387"/>
      <c r="L61" s="349"/>
      <c r="M61" s="388"/>
      <c r="N61" s="1714"/>
      <c r="O61" s="593">
        <v>11.196154751131219</v>
      </c>
      <c r="P61" s="432">
        <v>11.211015985790407</v>
      </c>
      <c r="Q61" s="432">
        <v>11.470564417177913</v>
      </c>
      <c r="R61" s="432">
        <v>11.397182675814751</v>
      </c>
      <c r="S61" s="432">
        <v>12.794272264631044</v>
      </c>
      <c r="T61" s="432">
        <v>13.502203389830507</v>
      </c>
      <c r="U61" s="432">
        <v>14.514595022624432</v>
      </c>
      <c r="V61" s="432">
        <v>14.545656113537115</v>
      </c>
      <c r="W61" s="432">
        <v>13.679</v>
      </c>
      <c r="X61" s="431">
        <f>15.489368+0.004452</f>
        <v>15.493820000000001</v>
      </c>
      <c r="Y61" s="432">
        <f>16.338002+0.002452</f>
        <v>16.340454000000001</v>
      </c>
      <c r="Z61" s="432">
        <f>15.605549+0.002452</f>
        <v>15.608001</v>
      </c>
      <c r="AA61" s="432">
        <f>16.169699+0.000452</f>
        <v>16.170151000000001</v>
      </c>
      <c r="AB61" s="433">
        <f>15.919475+0.000452</f>
        <v>15.919926999999999</v>
      </c>
      <c r="AC61" s="432">
        <f>16.379475-0.00426</f>
        <v>16.375215000000001</v>
      </c>
      <c r="AD61" s="432">
        <f>16.839475+0.00358</f>
        <v>16.843055</v>
      </c>
      <c r="AE61" s="432">
        <f>17.319475+0.003978</f>
        <v>17.323453000000001</v>
      </c>
      <c r="AF61" s="432">
        <f>17.819475-0.00278</f>
        <v>17.816694999999999</v>
      </c>
      <c r="AG61" s="433">
        <f>18.319475+0.00361</f>
        <v>18.323084999999999</v>
      </c>
      <c r="AJ61" s="128"/>
      <c r="AK61" s="128"/>
      <c r="AL61" s="128"/>
    </row>
    <row r="62" spans="2:38">
      <c r="D62" s="383" t="s">
        <v>11</v>
      </c>
      <c r="K62" s="392"/>
      <c r="L62" s="393"/>
      <c r="M62" s="394"/>
      <c r="N62" s="1715"/>
      <c r="O62" s="594">
        <v>0</v>
      </c>
      <c r="P62" s="435">
        <v>0</v>
      </c>
      <c r="Q62" s="435">
        <v>0</v>
      </c>
      <c r="R62" s="435">
        <v>0</v>
      </c>
      <c r="S62" s="435">
        <v>0</v>
      </c>
      <c r="T62" s="435">
        <v>0</v>
      </c>
      <c r="U62" s="435">
        <v>0</v>
      </c>
      <c r="V62" s="435">
        <v>0</v>
      </c>
      <c r="W62" s="435">
        <v>0</v>
      </c>
      <c r="X62" s="434"/>
      <c r="Y62" s="435"/>
      <c r="Z62" s="435"/>
      <c r="AA62" s="435"/>
      <c r="AB62" s="436"/>
      <c r="AC62" s="435"/>
      <c r="AD62" s="435"/>
      <c r="AE62" s="435"/>
      <c r="AF62" s="435"/>
      <c r="AG62" s="436"/>
    </row>
    <row r="63" spans="2:38">
      <c r="C63" s="380" t="str">
        <f>+CONCATENATE("Total ",C54)</f>
        <v>Total Water</v>
      </c>
      <c r="K63" s="349">
        <f>+SUM(K55:K62)</f>
        <v>0</v>
      </c>
      <c r="L63" s="349">
        <f t="shared" ref="L63:AB63" si="29">+SUM(L55:L62)</f>
        <v>0</v>
      </c>
      <c r="M63" s="349">
        <f t="shared" si="29"/>
        <v>0</v>
      </c>
      <c r="N63" s="378"/>
      <c r="O63" s="378">
        <f t="shared" si="29"/>
        <v>29.993929411764704</v>
      </c>
      <c r="P63" s="378">
        <f t="shared" si="29"/>
        <v>29.578238898756656</v>
      </c>
      <c r="Q63" s="378">
        <f t="shared" si="29"/>
        <v>30.376895705521477</v>
      </c>
      <c r="R63" s="378">
        <f t="shared" si="29"/>
        <v>29.878839622641511</v>
      </c>
      <c r="S63" s="378">
        <f t="shared" si="29"/>
        <v>31.197450381679388</v>
      </c>
      <c r="T63" s="378">
        <f t="shared" si="29"/>
        <v>34.815016949152543</v>
      </c>
      <c r="U63" s="378">
        <f t="shared" si="29"/>
        <v>35.317185520361988</v>
      </c>
      <c r="V63" s="378">
        <f t="shared" si="29"/>
        <v>35.741793668122263</v>
      </c>
      <c r="W63" s="378">
        <f t="shared" si="29"/>
        <v>32.822000000000003</v>
      </c>
      <c r="X63" s="378">
        <f t="shared" si="29"/>
        <v>33.998501659388651</v>
      </c>
      <c r="Y63" s="378">
        <f t="shared" si="29"/>
        <v>34.807535659388648</v>
      </c>
      <c r="Z63" s="378">
        <f t="shared" si="29"/>
        <v>34.272382659388647</v>
      </c>
      <c r="AA63" s="378">
        <f t="shared" si="29"/>
        <v>35.137912659388647</v>
      </c>
      <c r="AB63" s="378">
        <f t="shared" si="29"/>
        <v>35.209688659388647</v>
      </c>
      <c r="AC63" s="378">
        <f>+SUM(AC55:AC62)</f>
        <v>35.66497665938865</v>
      </c>
      <c r="AD63" s="378">
        <f>+SUM(AD55:AD62)</f>
        <v>36.132816659388652</v>
      </c>
      <c r="AE63" s="378">
        <f>+SUM(AE55:AE62)</f>
        <v>36.613214659388646</v>
      </c>
      <c r="AF63" s="378">
        <f>+SUM(AF55:AF62)</f>
        <v>37.106456659388648</v>
      </c>
      <c r="AG63" s="378">
        <f>+SUM(AG55:AG62)</f>
        <v>37.612846659388651</v>
      </c>
    </row>
    <row r="64" spans="2:38">
      <c r="K64" s="349"/>
      <c r="L64" s="349"/>
      <c r="M64" s="349"/>
      <c r="N64" s="378"/>
      <c r="O64" s="378"/>
      <c r="P64" s="378"/>
      <c r="Q64" s="378"/>
      <c r="R64" s="378"/>
      <c r="S64" s="378"/>
      <c r="T64" s="378"/>
      <c r="U64" s="378"/>
      <c r="V64" s="378"/>
      <c r="W64" s="1775">
        <f>SUM(P63:W63)</f>
        <v>259.72742074623579</v>
      </c>
      <c r="X64" s="1594"/>
      <c r="Y64" s="405"/>
      <c r="Z64" s="405"/>
      <c r="AA64" s="405"/>
      <c r="AB64" s="1775">
        <f>SUM(X63:AB63)</f>
        <v>173.42602129694325</v>
      </c>
      <c r="AC64" s="405"/>
      <c r="AD64" s="405"/>
      <c r="AE64" s="405"/>
      <c r="AF64" s="405"/>
      <c r="AG64" s="1775">
        <f>SUM(AC63:AG63)</f>
        <v>183.13031129694326</v>
      </c>
    </row>
    <row r="65" spans="3:34">
      <c r="C65" s="380" t="s">
        <v>21</v>
      </c>
      <c r="K65" s="349"/>
      <c r="L65" s="349"/>
      <c r="M65" s="349"/>
      <c r="N65" s="378"/>
      <c r="O65" s="378"/>
      <c r="P65" s="378"/>
      <c r="Q65" s="378"/>
      <c r="R65" s="378"/>
      <c r="S65" s="378"/>
      <c r="T65" s="378"/>
      <c r="U65" s="378"/>
      <c r="V65" s="378"/>
      <c r="W65" s="378"/>
      <c r="X65" s="378"/>
      <c r="Y65" s="378"/>
      <c r="Z65" s="378"/>
      <c r="AA65" s="378"/>
      <c r="AB65" s="378"/>
    </row>
    <row r="66" spans="3:34">
      <c r="D66" s="383" t="str">
        <f>+D55</f>
        <v>Operations &amp; Maintenance</v>
      </c>
      <c r="K66" s="384"/>
      <c r="L66" s="385"/>
      <c r="M66" s="386"/>
      <c r="N66" s="385"/>
      <c r="O66" s="592">
        <v>5.0091746606334837</v>
      </c>
      <c r="P66" s="429">
        <v>4.0310674955595021</v>
      </c>
      <c r="Q66" s="429">
        <v>3.965742331288344</v>
      </c>
      <c r="R66" s="429">
        <v>4.2041063464837043</v>
      </c>
      <c r="S66" s="429">
        <v>4.3105038167938927</v>
      </c>
      <c r="T66" s="429">
        <v>4.2664237288135594</v>
      </c>
      <c r="U66" s="429">
        <v>4.3133144796380094</v>
      </c>
      <c r="V66" s="429">
        <v>3.8666899563318777</v>
      </c>
      <c r="W66" s="429">
        <v>3.9049999999999998</v>
      </c>
      <c r="X66" s="428">
        <v>3.9049999999999998</v>
      </c>
      <c r="Y66" s="429">
        <v>3.9049999999999998</v>
      </c>
      <c r="Z66" s="429">
        <v>3.9049999999999998</v>
      </c>
      <c r="AA66" s="429">
        <v>3.9049999999999998</v>
      </c>
      <c r="AB66" s="430">
        <v>3.9049999999999998</v>
      </c>
      <c r="AC66" s="429">
        <v>3.9049999999999998</v>
      </c>
      <c r="AD66" s="429">
        <v>3.9049999999999998</v>
      </c>
      <c r="AE66" s="429">
        <v>3.9049999999999998</v>
      </c>
      <c r="AF66" s="429">
        <v>3.9049999999999998</v>
      </c>
      <c r="AG66" s="430">
        <v>3.9049999999999998</v>
      </c>
    </row>
    <row r="67" spans="3:34">
      <c r="D67" s="383" t="str">
        <f t="shared" ref="D67:D73" si="30">+D56</f>
        <v>External bulk charges (excl. temporary purchases)</v>
      </c>
      <c r="K67" s="387"/>
      <c r="L67" s="349"/>
      <c r="M67" s="388"/>
      <c r="N67" s="349"/>
      <c r="O67" s="1771">
        <f>+O143</f>
        <v>0</v>
      </c>
      <c r="P67" s="390">
        <f>+P143</f>
        <v>0</v>
      </c>
      <c r="Q67" s="390">
        <f>+Q143</f>
        <v>0</v>
      </c>
      <c r="R67" s="390">
        <f>+R143</f>
        <v>0</v>
      </c>
      <c r="S67" s="390">
        <f>+S143</f>
        <v>0</v>
      </c>
      <c r="T67" s="390">
        <f t="shared" ref="T67:AG67" si="31">+T143</f>
        <v>0</v>
      </c>
      <c r="U67" s="390">
        <f t="shared" si="31"/>
        <v>0</v>
      </c>
      <c r="V67" s="390">
        <f t="shared" si="31"/>
        <v>0</v>
      </c>
      <c r="W67" s="390">
        <f t="shared" si="31"/>
        <v>0</v>
      </c>
      <c r="X67" s="389">
        <f t="shared" si="31"/>
        <v>0</v>
      </c>
      <c r="Y67" s="390">
        <f t="shared" si="31"/>
        <v>0</v>
      </c>
      <c r="Z67" s="390">
        <f t="shared" si="31"/>
        <v>0</v>
      </c>
      <c r="AA67" s="390">
        <f t="shared" si="31"/>
        <v>0</v>
      </c>
      <c r="AB67" s="391">
        <f t="shared" si="31"/>
        <v>0</v>
      </c>
      <c r="AC67" s="390">
        <f t="shared" si="31"/>
        <v>0</v>
      </c>
      <c r="AD67" s="390">
        <f t="shared" si="31"/>
        <v>0</v>
      </c>
      <c r="AE67" s="390">
        <f t="shared" si="31"/>
        <v>0</v>
      </c>
      <c r="AF67" s="390">
        <f t="shared" si="31"/>
        <v>0</v>
      </c>
      <c r="AG67" s="391">
        <f t="shared" si="31"/>
        <v>0</v>
      </c>
      <c r="AH67" s="84" t="s">
        <v>513</v>
      </c>
    </row>
    <row r="68" spans="3:34">
      <c r="D68" s="383" t="str">
        <f t="shared" si="30"/>
        <v>Treatment</v>
      </c>
      <c r="K68" s="387"/>
      <c r="L68" s="349"/>
      <c r="M68" s="388"/>
      <c r="N68" s="349"/>
      <c r="O68" s="593">
        <v>6.3894352941176464</v>
      </c>
      <c r="P68" s="432">
        <v>5.9816243339253994</v>
      </c>
      <c r="Q68" s="432">
        <v>9.8083067484662578</v>
      </c>
      <c r="R68" s="432">
        <v>7.5140557461406514</v>
      </c>
      <c r="S68" s="432">
        <v>7.1185368956742998</v>
      </c>
      <c r="T68" s="432">
        <v>8.8156101694915243</v>
      </c>
      <c r="U68" s="432">
        <v>7.3925859728506786</v>
      </c>
      <c r="V68" s="432">
        <v>7.0431921397379904</v>
      </c>
      <c r="W68" s="432">
        <v>6.9859999999999998</v>
      </c>
      <c r="X68" s="431">
        <v>7.7430000000000003</v>
      </c>
      <c r="Y68" s="432">
        <v>7.7530000000000001</v>
      </c>
      <c r="Z68" s="432">
        <v>7.7640000000000002</v>
      </c>
      <c r="AA68" s="432">
        <v>7.7750000000000004</v>
      </c>
      <c r="AB68" s="433">
        <v>7.7860000000000005</v>
      </c>
      <c r="AC68" s="432">
        <v>7.7860000000000005</v>
      </c>
      <c r="AD68" s="432">
        <v>7.7860000000000005</v>
      </c>
      <c r="AE68" s="432">
        <v>7.7860000000000005</v>
      </c>
      <c r="AF68" s="432">
        <v>7.7860000000000005</v>
      </c>
      <c r="AG68" s="433">
        <v>7.7860000000000005</v>
      </c>
    </row>
    <row r="69" spans="3:34">
      <c r="D69" s="383" t="str">
        <f t="shared" si="30"/>
        <v>Customer Service and billing</v>
      </c>
      <c r="K69" s="387"/>
      <c r="L69" s="349"/>
      <c r="M69" s="388"/>
      <c r="N69" s="349"/>
      <c r="O69" s="593">
        <v>1.8781221719457013</v>
      </c>
      <c r="P69" s="432">
        <v>1.9255657193605682</v>
      </c>
      <c r="Q69" s="432">
        <v>2.4563926380368097</v>
      </c>
      <c r="R69" s="432">
        <v>2.1985883361921097</v>
      </c>
      <c r="S69" s="432">
        <v>1.9607302798982185</v>
      </c>
      <c r="T69" s="432">
        <v>2.4324406779661012</v>
      </c>
      <c r="U69" s="432">
        <v>2.2484411764705885</v>
      </c>
      <c r="V69" s="432">
        <v>2.3101834061135365</v>
      </c>
      <c r="W69" s="432">
        <v>2.3239999999999998</v>
      </c>
      <c r="X69" s="431">
        <v>2.3239999999999998</v>
      </c>
      <c r="Y69" s="432">
        <v>2.3239999999999998</v>
      </c>
      <c r="Z69" s="432">
        <v>2.3239999999999998</v>
      </c>
      <c r="AA69" s="432">
        <v>2.3239999999999998</v>
      </c>
      <c r="AB69" s="433">
        <v>2.3239999999999998</v>
      </c>
      <c r="AC69" s="432">
        <v>2.3239999999999998</v>
      </c>
      <c r="AD69" s="432">
        <v>2.3239999999999998</v>
      </c>
      <c r="AE69" s="432">
        <v>2.3239999999999998</v>
      </c>
      <c r="AF69" s="432">
        <v>2.3239999999999998</v>
      </c>
      <c r="AG69" s="433">
        <v>2.3239999999999998</v>
      </c>
    </row>
    <row r="70" spans="3:34">
      <c r="D70" s="383" t="str">
        <f t="shared" si="30"/>
        <v>GSL Payments</v>
      </c>
      <c r="K70" s="387"/>
      <c r="L70" s="349"/>
      <c r="M70" s="388"/>
      <c r="N70" s="349"/>
      <c r="O70" s="593">
        <v>0</v>
      </c>
      <c r="P70" s="432">
        <v>0</v>
      </c>
      <c r="Q70" s="432">
        <v>0</v>
      </c>
      <c r="R70" s="432">
        <v>0</v>
      </c>
      <c r="S70" s="432">
        <v>0</v>
      </c>
      <c r="T70" s="432">
        <v>0</v>
      </c>
      <c r="U70" s="432">
        <v>0</v>
      </c>
      <c r="V70" s="432">
        <v>0</v>
      </c>
      <c r="W70" s="432">
        <v>0</v>
      </c>
      <c r="X70" s="431">
        <v>0</v>
      </c>
      <c r="Y70" s="432">
        <v>0</v>
      </c>
      <c r="Z70" s="432">
        <v>0</v>
      </c>
      <c r="AA70" s="432">
        <v>0</v>
      </c>
      <c r="AB70" s="433">
        <v>0</v>
      </c>
      <c r="AC70" s="432">
        <v>0</v>
      </c>
      <c r="AD70" s="432">
        <v>0</v>
      </c>
      <c r="AE70" s="432">
        <v>0</v>
      </c>
      <c r="AF70" s="432">
        <v>0</v>
      </c>
      <c r="AG70" s="433">
        <v>0</v>
      </c>
    </row>
    <row r="71" spans="3:34">
      <c r="D71" s="383" t="str">
        <f t="shared" si="30"/>
        <v>Licence Fees</v>
      </c>
      <c r="K71" s="387"/>
      <c r="L71" s="349"/>
      <c r="M71" s="388"/>
      <c r="N71" s="349"/>
      <c r="O71" s="593">
        <v>0.20754841628959275</v>
      </c>
      <c r="P71" s="432">
        <v>0.21242451154529307</v>
      </c>
      <c r="Q71" s="432">
        <v>0.24415950920245399</v>
      </c>
      <c r="R71" s="432">
        <v>0.22323756432246997</v>
      </c>
      <c r="S71" s="432">
        <v>0.24106361323155218</v>
      </c>
      <c r="T71" s="432">
        <v>0.15671186440677964</v>
      </c>
      <c r="U71" s="432">
        <v>0.14961312217194569</v>
      </c>
      <c r="V71" s="432">
        <v>0.23757205240174673</v>
      </c>
      <c r="W71" s="432">
        <v>0.185</v>
      </c>
      <c r="X71" s="431">
        <v>0.185</v>
      </c>
      <c r="Y71" s="432">
        <v>0.185</v>
      </c>
      <c r="Z71" s="432">
        <v>0.185</v>
      </c>
      <c r="AA71" s="432">
        <v>0.185</v>
      </c>
      <c r="AB71" s="433">
        <v>0.185</v>
      </c>
      <c r="AC71" s="432">
        <v>0.185</v>
      </c>
      <c r="AD71" s="432">
        <v>0.185</v>
      </c>
      <c r="AE71" s="432">
        <v>0.185</v>
      </c>
      <c r="AF71" s="432">
        <v>0.185</v>
      </c>
      <c r="AG71" s="433">
        <v>0.185</v>
      </c>
    </row>
    <row r="72" spans="3:34">
      <c r="D72" s="383" t="str">
        <f t="shared" si="30"/>
        <v>Corporate</v>
      </c>
      <c r="K72" s="387"/>
      <c r="L72" s="349"/>
      <c r="M72" s="388"/>
      <c r="N72" s="349"/>
      <c r="O72" s="593">
        <v>7.7926153846153845</v>
      </c>
      <c r="P72" s="432">
        <v>7.8134733570159849</v>
      </c>
      <c r="Q72" s="432">
        <v>7.9931411042944784</v>
      </c>
      <c r="R72" s="432">
        <v>7.9436372212692961</v>
      </c>
      <c r="S72" s="432">
        <v>8.9121933842239187</v>
      </c>
      <c r="T72" s="432">
        <v>9.0881525423728799</v>
      </c>
      <c r="U72" s="432">
        <v>9.4415429864253397</v>
      </c>
      <c r="V72" s="432">
        <v>9.9027609170305677</v>
      </c>
      <c r="W72" s="432">
        <v>9.4740000000000002</v>
      </c>
      <c r="X72" s="431">
        <v>9.4740000000000002</v>
      </c>
      <c r="Y72" s="432">
        <v>9.4740000000000002</v>
      </c>
      <c r="Z72" s="432">
        <v>9.4740000000000002</v>
      </c>
      <c r="AA72" s="432">
        <v>9.4740000000000002</v>
      </c>
      <c r="AB72" s="433">
        <v>9.4740000000000002</v>
      </c>
      <c r="AC72" s="432">
        <v>9.8740000000000006</v>
      </c>
      <c r="AD72" s="432">
        <v>10.274000000000001</v>
      </c>
      <c r="AE72" s="432">
        <v>10.674000000000001</v>
      </c>
      <c r="AF72" s="432">
        <v>11.074000000000002</v>
      </c>
      <c r="AG72" s="433">
        <v>11.474000000000002</v>
      </c>
    </row>
    <row r="73" spans="3:34">
      <c r="D73" s="383" t="str">
        <f t="shared" si="30"/>
        <v>Other operating expenditure</v>
      </c>
      <c r="K73" s="392"/>
      <c r="L73" s="393"/>
      <c r="M73" s="394"/>
      <c r="N73" s="393"/>
      <c r="O73" s="594">
        <v>0</v>
      </c>
      <c r="P73" s="435">
        <v>0</v>
      </c>
      <c r="Q73" s="435">
        <v>0</v>
      </c>
      <c r="R73" s="435">
        <v>0</v>
      </c>
      <c r="S73" s="435">
        <v>0</v>
      </c>
      <c r="T73" s="435">
        <v>0</v>
      </c>
      <c r="U73" s="435">
        <v>0</v>
      </c>
      <c r="V73" s="435">
        <v>0</v>
      </c>
      <c r="W73" s="435">
        <v>0</v>
      </c>
      <c r="X73" s="434"/>
      <c r="Y73" s="435"/>
      <c r="Z73" s="435"/>
      <c r="AA73" s="435"/>
      <c r="AB73" s="436"/>
      <c r="AC73" s="435"/>
      <c r="AD73" s="435"/>
      <c r="AE73" s="435"/>
      <c r="AF73" s="435"/>
      <c r="AG73" s="436"/>
    </row>
    <row r="74" spans="3:34">
      <c r="C74" s="380" t="str">
        <f>+CONCATENATE("Total ",C65)</f>
        <v>Total Sewerage</v>
      </c>
      <c r="K74" s="349">
        <f t="shared" ref="K74:AB74" si="32">+SUM(K66:K73)</f>
        <v>0</v>
      </c>
      <c r="L74" s="349">
        <f t="shared" si="32"/>
        <v>0</v>
      </c>
      <c r="M74" s="349">
        <f t="shared" si="32"/>
        <v>0</v>
      </c>
      <c r="N74" s="378">
        <f t="shared" si="32"/>
        <v>0</v>
      </c>
      <c r="O74" s="378">
        <f>+SUM(O66:O73)</f>
        <v>21.276895927601807</v>
      </c>
      <c r="P74" s="378">
        <f t="shared" si="32"/>
        <v>19.964155417406747</v>
      </c>
      <c r="Q74" s="378">
        <f t="shared" si="32"/>
        <v>24.467742331288342</v>
      </c>
      <c r="R74" s="378">
        <f t="shared" si="32"/>
        <v>22.083625214408233</v>
      </c>
      <c r="S74" s="378">
        <f t="shared" si="32"/>
        <v>22.54302798982188</v>
      </c>
      <c r="T74" s="378">
        <f t="shared" si="32"/>
        <v>24.759338983050846</v>
      </c>
      <c r="U74" s="378">
        <f t="shared" si="32"/>
        <v>23.545497737556563</v>
      </c>
      <c r="V74" s="378">
        <f t="shared" si="32"/>
        <v>23.360398471615717</v>
      </c>
      <c r="W74" s="378">
        <f t="shared" si="32"/>
        <v>22.874000000000002</v>
      </c>
      <c r="X74" s="378">
        <f t="shared" si="32"/>
        <v>23.631</v>
      </c>
      <c r="Y74" s="378">
        <f t="shared" si="32"/>
        <v>23.640999999999998</v>
      </c>
      <c r="Z74" s="378">
        <f t="shared" si="32"/>
        <v>23.652000000000001</v>
      </c>
      <c r="AA74" s="378">
        <f t="shared" si="32"/>
        <v>23.663</v>
      </c>
      <c r="AB74" s="378">
        <f t="shared" si="32"/>
        <v>23.673999999999999</v>
      </c>
      <c r="AC74" s="378">
        <f>+SUM(AC66:AC73)</f>
        <v>24.074000000000002</v>
      </c>
      <c r="AD74" s="378">
        <f>+SUM(AD66:AD73)</f>
        <v>24.474000000000004</v>
      </c>
      <c r="AE74" s="378">
        <f>+SUM(AE66:AE73)</f>
        <v>24.874000000000002</v>
      </c>
      <c r="AF74" s="378">
        <f>+SUM(AF66:AF73)</f>
        <v>25.274000000000001</v>
      </c>
      <c r="AG74" s="378">
        <f>+SUM(AG66:AG73)</f>
        <v>25.674000000000003</v>
      </c>
    </row>
    <row r="75" spans="3:34">
      <c r="K75" s="349"/>
      <c r="L75" s="349"/>
      <c r="M75" s="349"/>
      <c r="N75" s="378"/>
      <c r="O75" s="378"/>
      <c r="P75" s="378"/>
      <c r="Q75" s="378"/>
      <c r="R75" s="378"/>
      <c r="S75" s="378"/>
      <c r="T75" s="378"/>
      <c r="U75" s="378"/>
      <c r="V75" s="378"/>
      <c r="W75" s="1775">
        <f>SUM(P74:W74)</f>
        <v>183.59778614514832</v>
      </c>
      <c r="X75" s="1594"/>
      <c r="Y75" s="405"/>
      <c r="Z75" s="405"/>
      <c r="AA75" s="405"/>
      <c r="AB75" s="1775">
        <f>SUM(X74:AB74)</f>
        <v>118.261</v>
      </c>
      <c r="AC75" s="405"/>
      <c r="AD75" s="405"/>
      <c r="AE75" s="405"/>
      <c r="AF75" s="405"/>
      <c r="AG75" s="1775">
        <f>SUM(AC74:AG74)</f>
        <v>124.37</v>
      </c>
    </row>
    <row r="76" spans="3:34">
      <c r="C76" s="380" t="s">
        <v>275</v>
      </c>
      <c r="K76" s="349"/>
      <c r="L76" s="349"/>
      <c r="M76" s="349"/>
      <c r="N76" s="378"/>
      <c r="O76" s="378"/>
      <c r="P76" s="378"/>
      <c r="Q76" s="378"/>
      <c r="R76" s="378"/>
      <c r="S76" s="378"/>
      <c r="T76" s="378"/>
      <c r="U76" s="378"/>
      <c r="V76" s="378"/>
      <c r="W76" s="378"/>
      <c r="X76" s="378"/>
      <c r="Y76" s="378"/>
      <c r="Z76" s="378"/>
      <c r="AA76" s="378"/>
      <c r="AB76" s="378"/>
    </row>
    <row r="77" spans="3:34">
      <c r="D77" s="383" t="str">
        <f>+D66</f>
        <v>Operations &amp; Maintenance</v>
      </c>
      <c r="K77" s="384"/>
      <c r="L77" s="385"/>
      <c r="M77" s="386"/>
      <c r="N77" s="385"/>
      <c r="O77" s="592"/>
      <c r="P77" s="429"/>
      <c r="Q77" s="429"/>
      <c r="R77" s="429"/>
      <c r="S77" s="429"/>
      <c r="T77" s="429"/>
      <c r="U77" s="429"/>
      <c r="V77" s="429"/>
      <c r="W77" s="429"/>
      <c r="X77" s="428"/>
      <c r="Y77" s="429"/>
      <c r="Z77" s="429"/>
      <c r="AA77" s="429"/>
      <c r="AB77" s="430"/>
      <c r="AC77" s="429"/>
      <c r="AD77" s="429"/>
      <c r="AE77" s="429"/>
      <c r="AF77" s="429"/>
      <c r="AG77" s="430"/>
    </row>
    <row r="78" spans="3:34">
      <c r="D78" s="383" t="str">
        <f t="shared" ref="D78:D84" si="33">+D67</f>
        <v>External bulk charges (excl. temporary purchases)</v>
      </c>
      <c r="K78" s="387"/>
      <c r="L78" s="349"/>
      <c r="M78" s="388"/>
      <c r="N78" s="349"/>
      <c r="O78" s="1771">
        <f>+O144</f>
        <v>0</v>
      </c>
      <c r="P78" s="390">
        <f>+P144</f>
        <v>0</v>
      </c>
      <c r="Q78" s="390">
        <f>+Q144</f>
        <v>0</v>
      </c>
      <c r="R78" s="390">
        <f>+R144</f>
        <v>0</v>
      </c>
      <c r="S78" s="390">
        <f>+S144</f>
        <v>0</v>
      </c>
      <c r="T78" s="390">
        <f t="shared" ref="T78:AG78" si="34">+T144</f>
        <v>0</v>
      </c>
      <c r="U78" s="390">
        <f t="shared" si="34"/>
        <v>0</v>
      </c>
      <c r="V78" s="390">
        <f t="shared" si="34"/>
        <v>0</v>
      </c>
      <c r="W78" s="390">
        <f t="shared" si="34"/>
        <v>0</v>
      </c>
      <c r="X78" s="389">
        <f t="shared" si="34"/>
        <v>0</v>
      </c>
      <c r="Y78" s="390">
        <f t="shared" si="34"/>
        <v>0</v>
      </c>
      <c r="Z78" s="390">
        <f t="shared" si="34"/>
        <v>0</v>
      </c>
      <c r="AA78" s="390">
        <f t="shared" si="34"/>
        <v>0</v>
      </c>
      <c r="AB78" s="391">
        <f t="shared" si="34"/>
        <v>0</v>
      </c>
      <c r="AC78" s="390">
        <f t="shared" si="34"/>
        <v>0</v>
      </c>
      <c r="AD78" s="390">
        <f t="shared" si="34"/>
        <v>0</v>
      </c>
      <c r="AE78" s="390">
        <f t="shared" si="34"/>
        <v>0</v>
      </c>
      <c r="AF78" s="390">
        <f t="shared" si="34"/>
        <v>0</v>
      </c>
      <c r="AG78" s="391">
        <f t="shared" si="34"/>
        <v>0</v>
      </c>
      <c r="AH78" s="84" t="s">
        <v>513</v>
      </c>
    </row>
    <row r="79" spans="3:34">
      <c r="D79" s="383" t="str">
        <f t="shared" si="33"/>
        <v>Treatment</v>
      </c>
      <c r="K79" s="387"/>
      <c r="L79" s="349"/>
      <c r="M79" s="388"/>
      <c r="N79" s="349"/>
      <c r="O79" s="593"/>
      <c r="P79" s="432"/>
      <c r="Q79" s="432"/>
      <c r="R79" s="432"/>
      <c r="S79" s="432"/>
      <c r="T79" s="432"/>
      <c r="U79" s="432"/>
      <c r="V79" s="432"/>
      <c r="W79" s="432"/>
      <c r="X79" s="431"/>
      <c r="Y79" s="432"/>
      <c r="Z79" s="432"/>
      <c r="AA79" s="432"/>
      <c r="AB79" s="433"/>
      <c r="AC79" s="432"/>
      <c r="AD79" s="432"/>
      <c r="AE79" s="432"/>
      <c r="AF79" s="432"/>
      <c r="AG79" s="433"/>
    </row>
    <row r="80" spans="3:34">
      <c r="D80" s="383" t="str">
        <f t="shared" si="33"/>
        <v>Customer Service and billing</v>
      </c>
      <c r="K80" s="387"/>
      <c r="L80" s="349"/>
      <c r="M80" s="388"/>
      <c r="N80" s="349"/>
      <c r="O80" s="593"/>
      <c r="P80" s="432"/>
      <c r="Q80" s="432"/>
      <c r="R80" s="432"/>
      <c r="S80" s="432"/>
      <c r="T80" s="432"/>
      <c r="U80" s="432"/>
      <c r="V80" s="432"/>
      <c r="W80" s="432"/>
      <c r="X80" s="431"/>
      <c r="Y80" s="432"/>
      <c r="Z80" s="432"/>
      <c r="AA80" s="432"/>
      <c r="AB80" s="433"/>
      <c r="AC80" s="432"/>
      <c r="AD80" s="432"/>
      <c r="AE80" s="432"/>
      <c r="AF80" s="432"/>
      <c r="AG80" s="433"/>
    </row>
    <row r="81" spans="3:34">
      <c r="D81" s="383" t="str">
        <f t="shared" si="33"/>
        <v>GSL Payments</v>
      </c>
      <c r="K81" s="387"/>
      <c r="L81" s="349"/>
      <c r="M81" s="388"/>
      <c r="N81" s="349"/>
      <c r="O81" s="593"/>
      <c r="P81" s="432"/>
      <c r="Q81" s="432"/>
      <c r="R81" s="432"/>
      <c r="S81" s="432"/>
      <c r="T81" s="432"/>
      <c r="U81" s="432"/>
      <c r="V81" s="432"/>
      <c r="W81" s="432"/>
      <c r="X81" s="431"/>
      <c r="Y81" s="432"/>
      <c r="Z81" s="432"/>
      <c r="AA81" s="432"/>
      <c r="AB81" s="433"/>
      <c r="AC81" s="432"/>
      <c r="AD81" s="432"/>
      <c r="AE81" s="432"/>
      <c r="AF81" s="432"/>
      <c r="AG81" s="433"/>
    </row>
    <row r="82" spans="3:34">
      <c r="D82" s="383" t="str">
        <f t="shared" si="33"/>
        <v>Licence Fees</v>
      </c>
      <c r="K82" s="387"/>
      <c r="L82" s="349"/>
      <c r="M82" s="388"/>
      <c r="N82" s="349"/>
      <c r="O82" s="593"/>
      <c r="P82" s="432"/>
      <c r="Q82" s="432"/>
      <c r="R82" s="432"/>
      <c r="S82" s="432"/>
      <c r="T82" s="432"/>
      <c r="U82" s="432"/>
      <c r="V82" s="432"/>
      <c r="W82" s="432"/>
      <c r="X82" s="431"/>
      <c r="Y82" s="432"/>
      <c r="Z82" s="432"/>
      <c r="AA82" s="432"/>
      <c r="AB82" s="433"/>
      <c r="AC82" s="432"/>
      <c r="AD82" s="432"/>
      <c r="AE82" s="432"/>
      <c r="AF82" s="432"/>
      <c r="AG82" s="433"/>
    </row>
    <row r="83" spans="3:34">
      <c r="D83" s="383" t="str">
        <f t="shared" si="33"/>
        <v>Corporate</v>
      </c>
      <c r="K83" s="387"/>
      <c r="L83" s="349"/>
      <c r="M83" s="388"/>
      <c r="N83" s="349"/>
      <c r="O83" s="593"/>
      <c r="P83" s="432"/>
      <c r="Q83" s="432"/>
      <c r="R83" s="432"/>
      <c r="S83" s="432"/>
      <c r="T83" s="432"/>
      <c r="U83" s="432"/>
      <c r="V83" s="432"/>
      <c r="W83" s="432"/>
      <c r="X83" s="431"/>
      <c r="Y83" s="432"/>
      <c r="Z83" s="432"/>
      <c r="AA83" s="432"/>
      <c r="AB83" s="433"/>
      <c r="AC83" s="432"/>
      <c r="AD83" s="432"/>
      <c r="AE83" s="432"/>
      <c r="AF83" s="432"/>
      <c r="AG83" s="433"/>
    </row>
    <row r="84" spans="3:34">
      <c r="D84" s="383" t="str">
        <f t="shared" si="33"/>
        <v>Other operating expenditure</v>
      </c>
      <c r="K84" s="392"/>
      <c r="L84" s="393"/>
      <c r="M84" s="394"/>
      <c r="N84" s="393"/>
      <c r="O84" s="594"/>
      <c r="P84" s="435"/>
      <c r="Q84" s="435"/>
      <c r="R84" s="435"/>
      <c r="S84" s="435"/>
      <c r="T84" s="435"/>
      <c r="U84" s="435"/>
      <c r="V84" s="435"/>
      <c r="W84" s="435"/>
      <c r="X84" s="434"/>
      <c r="Y84" s="435"/>
      <c r="Z84" s="435"/>
      <c r="AA84" s="435"/>
      <c r="AB84" s="436"/>
      <c r="AC84" s="435"/>
      <c r="AD84" s="435"/>
      <c r="AE84" s="435"/>
      <c r="AF84" s="435"/>
      <c r="AG84" s="436"/>
    </row>
    <row r="85" spans="3:34">
      <c r="C85" s="380" t="str">
        <f>+CONCATENATE("Total ",C76)</f>
        <v>Total Recycled Water</v>
      </c>
      <c r="K85" s="349">
        <f>+SUM(K77:K84)</f>
        <v>0</v>
      </c>
      <c r="L85" s="349">
        <f>+SUM(L77:L84)</f>
        <v>0</v>
      </c>
      <c r="M85" s="349">
        <f>+SUM(M77:M84)</f>
        <v>0</v>
      </c>
      <c r="N85" s="378">
        <f t="shared" ref="N85:W85" si="35">+SUM(N77:N84)</f>
        <v>0</v>
      </c>
      <c r="O85" s="378">
        <f t="shared" si="35"/>
        <v>0</v>
      </c>
      <c r="P85" s="378">
        <f t="shared" si="35"/>
        <v>0</v>
      </c>
      <c r="Q85" s="378">
        <f t="shared" si="35"/>
        <v>0</v>
      </c>
      <c r="R85" s="378">
        <f t="shared" si="35"/>
        <v>0</v>
      </c>
      <c r="S85" s="378">
        <f t="shared" si="35"/>
        <v>0</v>
      </c>
      <c r="T85" s="378">
        <f t="shared" si="35"/>
        <v>0</v>
      </c>
      <c r="U85" s="378">
        <f t="shared" si="35"/>
        <v>0</v>
      </c>
      <c r="V85" s="378">
        <f t="shared" si="35"/>
        <v>0</v>
      </c>
      <c r="W85" s="378">
        <f t="shared" si="35"/>
        <v>0</v>
      </c>
      <c r="X85" s="378">
        <f t="shared" ref="X85:AG85" si="36">+SUM(X77:X84)</f>
        <v>0</v>
      </c>
      <c r="Y85" s="378">
        <f t="shared" si="36"/>
        <v>0</v>
      </c>
      <c r="Z85" s="378">
        <f t="shared" si="36"/>
        <v>0</v>
      </c>
      <c r="AA85" s="378">
        <f t="shared" si="36"/>
        <v>0</v>
      </c>
      <c r="AB85" s="378">
        <f t="shared" si="36"/>
        <v>0</v>
      </c>
      <c r="AC85" s="378">
        <f t="shared" si="36"/>
        <v>0</v>
      </c>
      <c r="AD85" s="378">
        <f t="shared" si="36"/>
        <v>0</v>
      </c>
      <c r="AE85" s="378">
        <f t="shared" si="36"/>
        <v>0</v>
      </c>
      <c r="AF85" s="378">
        <f t="shared" si="36"/>
        <v>0</v>
      </c>
      <c r="AG85" s="378">
        <f t="shared" si="36"/>
        <v>0</v>
      </c>
    </row>
    <row r="86" spans="3:34">
      <c r="C86" s="395"/>
      <c r="K86" s="349"/>
      <c r="L86" s="349"/>
      <c r="M86" s="349"/>
      <c r="N86" s="378"/>
      <c r="O86" s="378"/>
      <c r="P86" s="378"/>
      <c r="Q86" s="378"/>
      <c r="R86" s="378"/>
      <c r="S86" s="378"/>
      <c r="T86" s="378"/>
      <c r="U86" s="378"/>
      <c r="V86" s="378"/>
      <c r="W86" s="1775">
        <f>SUM(P85:W85)</f>
        <v>0</v>
      </c>
      <c r="X86" s="1594"/>
      <c r="Y86" s="405"/>
      <c r="Z86" s="405"/>
      <c r="AA86" s="405"/>
      <c r="AB86" s="1775">
        <f>SUM(X85:AB85)</f>
        <v>0</v>
      </c>
      <c r="AC86" s="405"/>
      <c r="AD86" s="405"/>
      <c r="AE86" s="405"/>
      <c r="AF86" s="405"/>
      <c r="AG86" s="1775">
        <f>SUM(AC85:AG85)</f>
        <v>0</v>
      </c>
    </row>
    <row r="87" spans="3:34">
      <c r="C87" s="396" t="s">
        <v>350</v>
      </c>
      <c r="D87" s="74"/>
      <c r="E87" s="74"/>
      <c r="F87" s="74"/>
      <c r="G87" s="74"/>
      <c r="H87" s="74"/>
      <c r="I87" s="74"/>
      <c r="J87" s="74"/>
      <c r="K87" s="349"/>
      <c r="L87" s="349"/>
      <c r="M87" s="349"/>
      <c r="N87" s="378"/>
      <c r="O87" s="378"/>
      <c r="P87" s="378"/>
      <c r="Q87" s="378"/>
      <c r="R87" s="378"/>
      <c r="S87" s="378"/>
      <c r="T87" s="378"/>
      <c r="U87" s="378"/>
      <c r="V87" s="378"/>
      <c r="W87" s="378"/>
      <c r="X87" s="378"/>
      <c r="Y87" s="378"/>
      <c r="Z87" s="378"/>
      <c r="AA87" s="378"/>
      <c r="AB87" s="378"/>
    </row>
    <row r="88" spans="3:34">
      <c r="C88" s="74"/>
      <c r="D88" s="397" t="str">
        <f>+D66</f>
        <v>Operations &amp; Maintenance</v>
      </c>
      <c r="E88" s="74"/>
      <c r="F88" s="74"/>
      <c r="G88" s="74"/>
      <c r="H88" s="74"/>
      <c r="I88" s="74"/>
      <c r="J88" s="74"/>
      <c r="K88" s="384"/>
      <c r="L88" s="385"/>
      <c r="M88" s="386"/>
      <c r="N88" s="385"/>
      <c r="O88" s="592"/>
      <c r="P88" s="429"/>
      <c r="Q88" s="429"/>
      <c r="R88" s="429"/>
      <c r="S88" s="429"/>
      <c r="T88" s="429"/>
      <c r="U88" s="429"/>
      <c r="V88" s="429"/>
      <c r="W88" s="429"/>
      <c r="X88" s="428"/>
      <c r="Y88" s="429"/>
      <c r="Z88" s="429"/>
      <c r="AA88" s="429"/>
      <c r="AB88" s="430"/>
      <c r="AC88" s="429"/>
      <c r="AD88" s="429"/>
      <c r="AE88" s="429"/>
      <c r="AF88" s="429"/>
      <c r="AG88" s="430"/>
    </row>
    <row r="89" spans="3:34">
      <c r="C89" s="74"/>
      <c r="D89" s="397" t="str">
        <f t="shared" ref="D89:D95" si="37">+D67</f>
        <v>External bulk charges (excl. temporary purchases)</v>
      </c>
      <c r="E89" s="74"/>
      <c r="F89" s="74"/>
      <c r="G89" s="74"/>
      <c r="H89" s="74"/>
      <c r="I89" s="74"/>
      <c r="J89" s="74"/>
      <c r="K89" s="387"/>
      <c r="L89" s="349"/>
      <c r="M89" s="388"/>
      <c r="N89" s="349"/>
      <c r="O89" s="1771">
        <f>+O145</f>
        <v>0</v>
      </c>
      <c r="P89" s="390">
        <f>+P145</f>
        <v>0</v>
      </c>
      <c r="Q89" s="390">
        <f>+Q145</f>
        <v>0</v>
      </c>
      <c r="R89" s="390">
        <f>+R145</f>
        <v>0</v>
      </c>
      <c r="S89" s="390">
        <f>+S145</f>
        <v>0</v>
      </c>
      <c r="T89" s="390">
        <f t="shared" ref="T89:AG89" si="38">+T145</f>
        <v>0</v>
      </c>
      <c r="U89" s="390">
        <f t="shared" si="38"/>
        <v>0</v>
      </c>
      <c r="V89" s="390">
        <f t="shared" si="38"/>
        <v>0</v>
      </c>
      <c r="W89" s="390">
        <f t="shared" si="38"/>
        <v>0</v>
      </c>
      <c r="X89" s="389">
        <f t="shared" si="38"/>
        <v>0</v>
      </c>
      <c r="Y89" s="390">
        <f t="shared" si="38"/>
        <v>0</v>
      </c>
      <c r="Z89" s="390">
        <f t="shared" si="38"/>
        <v>0</v>
      </c>
      <c r="AA89" s="390">
        <f t="shared" si="38"/>
        <v>0</v>
      </c>
      <c r="AB89" s="391">
        <f t="shared" si="38"/>
        <v>0</v>
      </c>
      <c r="AC89" s="390">
        <f t="shared" si="38"/>
        <v>0</v>
      </c>
      <c r="AD89" s="390">
        <f t="shared" si="38"/>
        <v>0</v>
      </c>
      <c r="AE89" s="390">
        <f t="shared" si="38"/>
        <v>0</v>
      </c>
      <c r="AF89" s="390">
        <f t="shared" si="38"/>
        <v>0</v>
      </c>
      <c r="AG89" s="391">
        <f t="shared" si="38"/>
        <v>0</v>
      </c>
      <c r="AH89" s="84" t="s">
        <v>513</v>
      </c>
    </row>
    <row r="90" spans="3:34">
      <c r="C90" s="74"/>
      <c r="D90" s="397" t="str">
        <f t="shared" si="37"/>
        <v>Treatment</v>
      </c>
      <c r="E90" s="74"/>
      <c r="F90" s="74"/>
      <c r="G90" s="74"/>
      <c r="H90" s="74"/>
      <c r="I90" s="74"/>
      <c r="J90" s="74"/>
      <c r="K90" s="387"/>
      <c r="L90" s="349"/>
      <c r="M90" s="388"/>
      <c r="N90" s="349"/>
      <c r="O90" s="593"/>
      <c r="P90" s="432"/>
      <c r="Q90" s="432"/>
      <c r="R90" s="432"/>
      <c r="S90" s="432"/>
      <c r="T90" s="432"/>
      <c r="U90" s="432"/>
      <c r="V90" s="432"/>
      <c r="W90" s="432"/>
      <c r="X90" s="431"/>
      <c r="Y90" s="432"/>
      <c r="Z90" s="432"/>
      <c r="AA90" s="432"/>
      <c r="AB90" s="433"/>
      <c r="AC90" s="432"/>
      <c r="AD90" s="432"/>
      <c r="AE90" s="432"/>
      <c r="AF90" s="432"/>
      <c r="AG90" s="433"/>
    </row>
    <row r="91" spans="3:34">
      <c r="C91" s="74"/>
      <c r="D91" s="397" t="str">
        <f t="shared" si="37"/>
        <v>Customer Service and billing</v>
      </c>
      <c r="E91" s="74"/>
      <c r="F91" s="74"/>
      <c r="G91" s="74"/>
      <c r="H91" s="74"/>
      <c r="I91" s="74"/>
      <c r="J91" s="74"/>
      <c r="K91" s="387"/>
      <c r="L91" s="349"/>
      <c r="M91" s="388"/>
      <c r="N91" s="349"/>
      <c r="O91" s="593"/>
      <c r="P91" s="432"/>
      <c r="Q91" s="432"/>
      <c r="R91" s="432"/>
      <c r="S91" s="432"/>
      <c r="T91" s="432"/>
      <c r="U91" s="432"/>
      <c r="V91" s="432"/>
      <c r="W91" s="432"/>
      <c r="X91" s="431"/>
      <c r="Y91" s="432"/>
      <c r="Z91" s="432"/>
      <c r="AA91" s="432"/>
      <c r="AB91" s="433"/>
      <c r="AC91" s="432"/>
      <c r="AD91" s="432"/>
      <c r="AE91" s="432"/>
      <c r="AF91" s="432"/>
      <c r="AG91" s="433"/>
    </row>
    <row r="92" spans="3:34">
      <c r="C92" s="74"/>
      <c r="D92" s="397" t="str">
        <f t="shared" si="37"/>
        <v>GSL Payments</v>
      </c>
      <c r="E92" s="74"/>
      <c r="F92" s="74"/>
      <c r="G92" s="74"/>
      <c r="H92" s="74"/>
      <c r="I92" s="74"/>
      <c r="J92" s="74"/>
      <c r="K92" s="387"/>
      <c r="L92" s="349"/>
      <c r="M92" s="388"/>
      <c r="N92" s="349"/>
      <c r="O92" s="593"/>
      <c r="P92" s="432"/>
      <c r="Q92" s="432"/>
      <c r="R92" s="432"/>
      <c r="S92" s="432"/>
      <c r="T92" s="432"/>
      <c r="U92" s="432"/>
      <c r="V92" s="432"/>
      <c r="W92" s="432"/>
      <c r="X92" s="431"/>
      <c r="Y92" s="432"/>
      <c r="Z92" s="432"/>
      <c r="AA92" s="432"/>
      <c r="AB92" s="433"/>
      <c r="AC92" s="432"/>
      <c r="AD92" s="432"/>
      <c r="AE92" s="432"/>
      <c r="AF92" s="432"/>
      <c r="AG92" s="433"/>
    </row>
    <row r="93" spans="3:34">
      <c r="C93" s="74"/>
      <c r="D93" s="397" t="str">
        <f t="shared" si="37"/>
        <v>Licence Fees</v>
      </c>
      <c r="E93" s="74"/>
      <c r="F93" s="74"/>
      <c r="G93" s="74"/>
      <c r="H93" s="74"/>
      <c r="I93" s="74"/>
      <c r="J93" s="74"/>
      <c r="K93" s="387"/>
      <c r="L93" s="349"/>
      <c r="M93" s="388"/>
      <c r="N93" s="349"/>
      <c r="O93" s="593"/>
      <c r="P93" s="432"/>
      <c r="Q93" s="432"/>
      <c r="R93" s="432"/>
      <c r="S93" s="432"/>
      <c r="T93" s="432"/>
      <c r="U93" s="432"/>
      <c r="V93" s="432"/>
      <c r="W93" s="432"/>
      <c r="X93" s="431"/>
      <c r="Y93" s="432"/>
      <c r="Z93" s="432"/>
      <c r="AA93" s="432"/>
      <c r="AB93" s="433"/>
      <c r="AC93" s="432"/>
      <c r="AD93" s="432"/>
      <c r="AE93" s="432"/>
      <c r="AF93" s="432"/>
      <c r="AG93" s="433"/>
    </row>
    <row r="94" spans="3:34">
      <c r="C94" s="74"/>
      <c r="D94" s="397" t="str">
        <f t="shared" si="37"/>
        <v>Corporate</v>
      </c>
      <c r="E94" s="74"/>
      <c r="F94" s="74"/>
      <c r="G94" s="74"/>
      <c r="H94" s="74"/>
      <c r="I94" s="74"/>
      <c r="J94" s="74"/>
      <c r="K94" s="387"/>
      <c r="L94" s="349"/>
      <c r="M94" s="388"/>
      <c r="N94" s="349"/>
      <c r="O94" s="593"/>
      <c r="P94" s="432"/>
      <c r="Q94" s="432"/>
      <c r="R94" s="432"/>
      <c r="S94" s="432"/>
      <c r="T94" s="432"/>
      <c r="U94" s="432"/>
      <c r="V94" s="432"/>
      <c r="W94" s="432"/>
      <c r="X94" s="431"/>
      <c r="Y94" s="432"/>
      <c r="Z94" s="432"/>
      <c r="AA94" s="432"/>
      <c r="AB94" s="433"/>
      <c r="AC94" s="432"/>
      <c r="AD94" s="432"/>
      <c r="AE94" s="432"/>
      <c r="AF94" s="432"/>
      <c r="AG94" s="433"/>
    </row>
    <row r="95" spans="3:34">
      <c r="C95" s="74"/>
      <c r="D95" s="397" t="str">
        <f t="shared" si="37"/>
        <v>Other operating expenditure</v>
      </c>
      <c r="E95" s="74"/>
      <c r="F95" s="74"/>
      <c r="G95" s="74"/>
      <c r="H95" s="74"/>
      <c r="I95" s="74"/>
      <c r="J95" s="74"/>
      <c r="K95" s="392"/>
      <c r="L95" s="393"/>
      <c r="M95" s="394"/>
      <c r="N95" s="393"/>
      <c r="O95" s="594"/>
      <c r="P95" s="435"/>
      <c r="Q95" s="435"/>
      <c r="R95" s="435"/>
      <c r="S95" s="435"/>
      <c r="T95" s="435"/>
      <c r="U95" s="435"/>
      <c r="V95" s="435"/>
      <c r="W95" s="435"/>
      <c r="X95" s="434"/>
      <c r="Y95" s="435"/>
      <c r="Z95" s="435"/>
      <c r="AA95" s="435"/>
      <c r="AB95" s="436"/>
      <c r="AC95" s="435"/>
      <c r="AD95" s="435"/>
      <c r="AE95" s="435"/>
      <c r="AF95" s="435"/>
      <c r="AG95" s="436"/>
    </row>
    <row r="96" spans="3:34">
      <c r="C96" s="396" t="str">
        <f>+CONCATENATE("Total ",C87)</f>
        <v>Total Rural Water</v>
      </c>
      <c r="D96" s="74"/>
      <c r="E96" s="74"/>
      <c r="F96" s="74"/>
      <c r="G96" s="74"/>
      <c r="H96" s="74"/>
      <c r="I96" s="74"/>
      <c r="J96" s="74"/>
      <c r="K96" s="349">
        <f t="shared" ref="K96:W96" si="39">+SUM(K88:K95)</f>
        <v>0</v>
      </c>
      <c r="L96" s="349">
        <f t="shared" si="39"/>
        <v>0</v>
      </c>
      <c r="M96" s="349">
        <f t="shared" si="39"/>
        <v>0</v>
      </c>
      <c r="N96" s="378">
        <f t="shared" si="39"/>
        <v>0</v>
      </c>
      <c r="O96" s="378">
        <f t="shared" si="39"/>
        <v>0</v>
      </c>
      <c r="P96" s="378">
        <f t="shared" si="39"/>
        <v>0</v>
      </c>
      <c r="Q96" s="378">
        <f t="shared" si="39"/>
        <v>0</v>
      </c>
      <c r="R96" s="378">
        <f t="shared" si="39"/>
        <v>0</v>
      </c>
      <c r="S96" s="378">
        <f t="shared" si="39"/>
        <v>0</v>
      </c>
      <c r="T96" s="378">
        <f t="shared" si="39"/>
        <v>0</v>
      </c>
      <c r="U96" s="378">
        <f t="shared" si="39"/>
        <v>0</v>
      </c>
      <c r="V96" s="378">
        <f t="shared" si="39"/>
        <v>0</v>
      </c>
      <c r="W96" s="378">
        <f t="shared" si="39"/>
        <v>0</v>
      </c>
      <c r="X96" s="378">
        <f t="shared" ref="X96:AG96" si="40">+SUM(X88:X95)</f>
        <v>0</v>
      </c>
      <c r="Y96" s="378">
        <f t="shared" si="40"/>
        <v>0</v>
      </c>
      <c r="Z96" s="378">
        <f t="shared" si="40"/>
        <v>0</v>
      </c>
      <c r="AA96" s="378">
        <f t="shared" si="40"/>
        <v>0</v>
      </c>
      <c r="AB96" s="378">
        <f t="shared" si="40"/>
        <v>0</v>
      </c>
      <c r="AC96" s="378">
        <f t="shared" si="40"/>
        <v>0</v>
      </c>
      <c r="AD96" s="378">
        <f t="shared" si="40"/>
        <v>0</v>
      </c>
      <c r="AE96" s="378">
        <f t="shared" si="40"/>
        <v>0</v>
      </c>
      <c r="AF96" s="378">
        <f t="shared" si="40"/>
        <v>0</v>
      </c>
      <c r="AG96" s="378">
        <f t="shared" si="40"/>
        <v>0</v>
      </c>
    </row>
    <row r="97" spans="3:47">
      <c r="C97" s="398"/>
      <c r="D97" s="74"/>
      <c r="E97" s="74"/>
      <c r="F97" s="74"/>
      <c r="G97" s="74"/>
      <c r="H97" s="74"/>
      <c r="K97" s="349"/>
      <c r="L97" s="349"/>
      <c r="M97" s="349"/>
      <c r="N97" s="378"/>
      <c r="O97" s="378"/>
      <c r="P97" s="378"/>
      <c r="Q97" s="378"/>
      <c r="R97" s="378"/>
      <c r="S97" s="378"/>
      <c r="T97" s="378"/>
      <c r="U97" s="378"/>
      <c r="V97" s="378"/>
      <c r="W97" s="1775">
        <f>SUM(P96:W96)</f>
        <v>0</v>
      </c>
      <c r="X97" s="1594"/>
      <c r="Y97" s="405"/>
      <c r="Z97" s="405"/>
      <c r="AA97" s="405"/>
      <c r="AB97" s="1775">
        <f>SUM(X96:AB96)</f>
        <v>0</v>
      </c>
      <c r="AC97" s="405"/>
      <c r="AD97" s="405"/>
      <c r="AE97" s="405"/>
      <c r="AF97" s="405"/>
      <c r="AG97" s="1775">
        <f>SUM(AC96:AG96)</f>
        <v>0</v>
      </c>
    </row>
    <row r="98" spans="3:47">
      <c r="C98" s="380" t="s">
        <v>704</v>
      </c>
      <c r="I98" s="232"/>
      <c r="J98" s="232"/>
      <c r="K98" s="349"/>
      <c r="L98" s="349"/>
      <c r="M98" s="349"/>
      <c r="N98" s="378"/>
      <c r="O98" s="378"/>
      <c r="P98" s="378"/>
      <c r="Q98" s="378"/>
      <c r="R98" s="378"/>
      <c r="S98" s="378"/>
      <c r="T98" s="378"/>
      <c r="U98" s="378"/>
      <c r="V98" s="378"/>
      <c r="W98" s="378"/>
      <c r="X98" s="378"/>
      <c r="Y98" s="378"/>
      <c r="Z98" s="378"/>
      <c r="AA98" s="378"/>
      <c r="AB98" s="378"/>
      <c r="AC98" s="378"/>
      <c r="AD98" s="378"/>
      <c r="AE98" s="378"/>
      <c r="AF98" s="378"/>
      <c r="AG98" s="378"/>
    </row>
    <row r="99" spans="3:47">
      <c r="D99" s="70" t="s">
        <v>5</v>
      </c>
      <c r="I99" s="232"/>
      <c r="J99" s="232"/>
      <c r="K99" s="384"/>
      <c r="L99" s="385"/>
      <c r="M99" s="386"/>
      <c r="N99" s="385"/>
      <c r="O99" s="592"/>
      <c r="P99" s="429"/>
      <c r="Q99" s="429"/>
      <c r="R99" s="429"/>
      <c r="S99" s="429"/>
      <c r="T99" s="429"/>
      <c r="U99" s="429"/>
      <c r="V99" s="429"/>
      <c r="W99" s="429"/>
      <c r="X99" s="428"/>
      <c r="Y99" s="429"/>
      <c r="Z99" s="429"/>
      <c r="AA99" s="429"/>
      <c r="AB99" s="430"/>
      <c r="AC99" s="429"/>
      <c r="AD99" s="429"/>
      <c r="AE99" s="429"/>
      <c r="AF99" s="429"/>
      <c r="AG99" s="430"/>
    </row>
    <row r="100" spans="3:47">
      <c r="D100" s="70" t="s">
        <v>6</v>
      </c>
      <c r="I100" s="232"/>
      <c r="J100" s="232"/>
      <c r="K100" s="387"/>
      <c r="L100" s="349"/>
      <c r="M100" s="388"/>
      <c r="N100" s="349"/>
      <c r="O100" s="593"/>
      <c r="P100" s="432"/>
      <c r="Q100" s="432"/>
      <c r="R100" s="432"/>
      <c r="S100" s="432"/>
      <c r="T100" s="432"/>
      <c r="U100" s="432"/>
      <c r="V100" s="432"/>
      <c r="W100" s="432"/>
      <c r="X100" s="431"/>
      <c r="Y100" s="432"/>
      <c r="Z100" s="432"/>
      <c r="AA100" s="432"/>
      <c r="AB100" s="433"/>
      <c r="AC100" s="432"/>
      <c r="AD100" s="432"/>
      <c r="AE100" s="432"/>
      <c r="AF100" s="432"/>
      <c r="AG100" s="433"/>
    </row>
    <row r="101" spans="3:47">
      <c r="D101" s="70" t="s">
        <v>7</v>
      </c>
      <c r="I101" s="232"/>
      <c r="J101" s="232"/>
      <c r="K101" s="387"/>
      <c r="L101" s="349"/>
      <c r="M101" s="388"/>
      <c r="N101" s="349"/>
      <c r="O101" s="593"/>
      <c r="P101" s="432"/>
      <c r="Q101" s="432"/>
      <c r="R101" s="432"/>
      <c r="S101" s="432"/>
      <c r="T101" s="432"/>
      <c r="U101" s="432"/>
      <c r="V101" s="432"/>
      <c r="W101" s="432"/>
      <c r="X101" s="431"/>
      <c r="Y101" s="432"/>
      <c r="Z101" s="432"/>
      <c r="AA101" s="432"/>
      <c r="AB101" s="433"/>
      <c r="AC101" s="432"/>
      <c r="AD101" s="432"/>
      <c r="AE101" s="432"/>
      <c r="AF101" s="432"/>
      <c r="AG101" s="433"/>
    </row>
    <row r="102" spans="3:47">
      <c r="D102" s="70" t="s">
        <v>8</v>
      </c>
      <c r="I102" s="232"/>
      <c r="J102" s="232"/>
      <c r="K102" s="387"/>
      <c r="L102" s="349"/>
      <c r="M102" s="388"/>
      <c r="N102" s="349"/>
      <c r="O102" s="593"/>
      <c r="P102" s="432"/>
      <c r="Q102" s="432"/>
      <c r="R102" s="432"/>
      <c r="S102" s="432"/>
      <c r="T102" s="432"/>
      <c r="U102" s="432"/>
      <c r="V102" s="432"/>
      <c r="W102" s="432"/>
      <c r="X102" s="431"/>
      <c r="Y102" s="432"/>
      <c r="Z102" s="432"/>
      <c r="AA102" s="432"/>
      <c r="AB102" s="433"/>
      <c r="AC102" s="432"/>
      <c r="AD102" s="432"/>
      <c r="AE102" s="432"/>
      <c r="AF102" s="432"/>
      <c r="AG102" s="433"/>
    </row>
    <row r="103" spans="3:47">
      <c r="D103" s="70" t="s">
        <v>9</v>
      </c>
      <c r="I103" s="232"/>
      <c r="J103" s="232"/>
      <c r="K103" s="387"/>
      <c r="L103" s="349"/>
      <c r="M103" s="388"/>
      <c r="N103" s="349"/>
      <c r="O103" s="593"/>
      <c r="P103" s="432"/>
      <c r="Q103" s="432"/>
      <c r="R103" s="432"/>
      <c r="S103" s="432"/>
      <c r="T103" s="432"/>
      <c r="U103" s="432"/>
      <c r="V103" s="432"/>
      <c r="W103" s="432"/>
      <c r="X103" s="431"/>
      <c r="Y103" s="432"/>
      <c r="Z103" s="432"/>
      <c r="AA103" s="432"/>
      <c r="AB103" s="433"/>
      <c r="AC103" s="432"/>
      <c r="AD103" s="432"/>
      <c r="AE103" s="432"/>
      <c r="AF103" s="432"/>
      <c r="AG103" s="433"/>
    </row>
    <row r="104" spans="3:47">
      <c r="D104" s="70" t="s">
        <v>10</v>
      </c>
      <c r="I104" s="232"/>
      <c r="J104" s="232"/>
      <c r="K104" s="387"/>
      <c r="L104" s="349"/>
      <c r="M104" s="388"/>
      <c r="N104" s="349"/>
      <c r="O104" s="593"/>
      <c r="P104" s="432"/>
      <c r="Q104" s="432"/>
      <c r="R104" s="432"/>
      <c r="S104" s="432"/>
      <c r="T104" s="432"/>
      <c r="U104" s="432"/>
      <c r="V104" s="432"/>
      <c r="W104" s="432"/>
      <c r="X104" s="431"/>
      <c r="Y104" s="432"/>
      <c r="Z104" s="432"/>
      <c r="AA104" s="432"/>
      <c r="AB104" s="433"/>
      <c r="AC104" s="432"/>
      <c r="AD104" s="432"/>
      <c r="AE104" s="432"/>
      <c r="AF104" s="432"/>
      <c r="AG104" s="433"/>
    </row>
    <row r="105" spans="3:47">
      <c r="D105" s="70" t="s">
        <v>11</v>
      </c>
      <c r="I105" s="232"/>
      <c r="J105" s="232"/>
      <c r="K105" s="392"/>
      <c r="L105" s="393"/>
      <c r="M105" s="394"/>
      <c r="N105" s="393"/>
      <c r="O105" s="594"/>
      <c r="P105" s="435"/>
      <c r="Q105" s="435"/>
      <c r="R105" s="435"/>
      <c r="S105" s="435"/>
      <c r="T105" s="435"/>
      <c r="U105" s="435"/>
      <c r="V105" s="435"/>
      <c r="W105" s="435"/>
      <c r="X105" s="434"/>
      <c r="Y105" s="435"/>
      <c r="Z105" s="435"/>
      <c r="AA105" s="435"/>
      <c r="AB105" s="436"/>
      <c r="AC105" s="435"/>
      <c r="AD105" s="435"/>
      <c r="AE105" s="435"/>
      <c r="AF105" s="435"/>
      <c r="AG105" s="436"/>
    </row>
    <row r="106" spans="3:47" s="232" customFormat="1">
      <c r="C106" s="380" t="s">
        <v>352</v>
      </c>
      <c r="D106" s="70"/>
      <c r="E106" s="70"/>
      <c r="F106" s="70"/>
      <c r="G106" s="70"/>
      <c r="H106" s="70"/>
      <c r="K106" s="349">
        <f t="shared" ref="K106:AB106" si="41">+SUM(K99:K105)</f>
        <v>0</v>
      </c>
      <c r="L106" s="349">
        <f t="shared" si="41"/>
        <v>0</v>
      </c>
      <c r="M106" s="349">
        <f t="shared" si="41"/>
        <v>0</v>
      </c>
      <c r="N106" s="399">
        <f t="shared" si="41"/>
        <v>0</v>
      </c>
      <c r="O106" s="399">
        <f t="shared" si="41"/>
        <v>0</v>
      </c>
      <c r="P106" s="399">
        <f t="shared" si="41"/>
        <v>0</v>
      </c>
      <c r="Q106" s="399">
        <f t="shared" si="41"/>
        <v>0</v>
      </c>
      <c r="R106" s="399">
        <f t="shared" si="41"/>
        <v>0</v>
      </c>
      <c r="S106" s="399">
        <f t="shared" si="41"/>
        <v>0</v>
      </c>
      <c r="T106" s="399">
        <f t="shared" si="41"/>
        <v>0</v>
      </c>
      <c r="U106" s="399">
        <f t="shared" si="41"/>
        <v>0</v>
      </c>
      <c r="V106" s="399">
        <f t="shared" si="41"/>
        <v>0</v>
      </c>
      <c r="W106" s="399">
        <f t="shared" si="41"/>
        <v>0</v>
      </c>
      <c r="X106" s="399">
        <f t="shared" si="41"/>
        <v>0</v>
      </c>
      <c r="Y106" s="399">
        <f t="shared" si="41"/>
        <v>0</v>
      </c>
      <c r="Z106" s="399">
        <f t="shared" si="41"/>
        <v>0</v>
      </c>
      <c r="AA106" s="399">
        <f t="shared" si="41"/>
        <v>0</v>
      </c>
      <c r="AB106" s="399">
        <f t="shared" si="41"/>
        <v>0</v>
      </c>
      <c r="AC106" s="399">
        <f>+SUM(AC99:AC105)</f>
        <v>0</v>
      </c>
      <c r="AD106" s="399">
        <f>+SUM(AD99:AD105)</f>
        <v>0</v>
      </c>
      <c r="AE106" s="399">
        <f>+SUM(AE99:AE105)</f>
        <v>0</v>
      </c>
      <c r="AF106" s="399">
        <f>+SUM(AF99:AF105)</f>
        <v>0</v>
      </c>
      <c r="AG106" s="399">
        <f>+SUM(AG99:AG105)</f>
        <v>0</v>
      </c>
      <c r="AI106" s="70"/>
      <c r="AJ106" s="70"/>
      <c r="AK106" s="70"/>
      <c r="AL106" s="70"/>
      <c r="AM106" s="70"/>
      <c r="AN106" s="70"/>
      <c r="AO106" s="70"/>
      <c r="AP106" s="70"/>
      <c r="AQ106" s="70"/>
      <c r="AR106" s="70"/>
      <c r="AS106" s="70"/>
      <c r="AT106" s="70"/>
      <c r="AU106" s="70"/>
    </row>
    <row r="107" spans="3:47">
      <c r="K107" s="349"/>
      <c r="L107" s="349"/>
      <c r="M107" s="349"/>
      <c r="N107" s="378"/>
      <c r="O107" s="378"/>
      <c r="P107" s="378"/>
      <c r="Q107" s="378"/>
      <c r="R107" s="378"/>
      <c r="S107" s="378"/>
      <c r="T107" s="378"/>
      <c r="U107" s="378"/>
      <c r="V107" s="378"/>
      <c r="W107" s="1775">
        <f>SUM(P106:W106)</f>
        <v>0</v>
      </c>
      <c r="X107" s="1594"/>
      <c r="Y107" s="405"/>
      <c r="Z107" s="405"/>
      <c r="AA107" s="405"/>
      <c r="AB107" s="1775">
        <f>SUM(X106:AB106)</f>
        <v>0</v>
      </c>
      <c r="AC107" s="405"/>
      <c r="AD107" s="405"/>
      <c r="AE107" s="405"/>
      <c r="AF107" s="405"/>
      <c r="AG107" s="1775">
        <f>SUM(AC106:AG106)</f>
        <v>0</v>
      </c>
    </row>
    <row r="108" spans="3:47">
      <c r="K108" s="349"/>
      <c r="L108" s="349"/>
      <c r="M108" s="349"/>
      <c r="N108" s="378"/>
      <c r="O108" s="378"/>
      <c r="P108" s="378"/>
      <c r="Q108" s="378"/>
      <c r="R108" s="378"/>
      <c r="S108" s="378"/>
      <c r="T108" s="378"/>
      <c r="U108" s="378"/>
      <c r="V108" s="378"/>
      <c r="W108" s="1980"/>
      <c r="X108" s="1594"/>
      <c r="Y108" s="405"/>
      <c r="Z108" s="405"/>
      <c r="AA108" s="405"/>
      <c r="AB108" s="1981"/>
      <c r="AC108" s="405"/>
      <c r="AD108" s="405"/>
      <c r="AE108" s="405"/>
      <c r="AF108" s="405"/>
      <c r="AG108" s="405"/>
    </row>
    <row r="109" spans="3:47">
      <c r="C109" s="380" t="s">
        <v>388</v>
      </c>
      <c r="K109" s="400"/>
      <c r="L109" s="401"/>
      <c r="M109" s="402"/>
      <c r="N109" s="400"/>
      <c r="O109" s="440"/>
      <c r="P109" s="438"/>
      <c r="Q109" s="438"/>
      <c r="R109" s="438"/>
      <c r="S109" s="438"/>
      <c r="T109" s="438"/>
      <c r="U109" s="438"/>
      <c r="V109" s="438"/>
      <c r="W109" s="438"/>
      <c r="X109" s="437"/>
      <c r="Y109" s="438"/>
      <c r="Z109" s="438"/>
      <c r="AA109" s="438"/>
      <c r="AB109" s="439"/>
      <c r="AC109" s="438"/>
      <c r="AD109" s="438"/>
      <c r="AE109" s="438"/>
      <c r="AF109" s="438"/>
      <c r="AG109" s="439"/>
    </row>
    <row r="110" spans="3:47">
      <c r="K110" s="349"/>
      <c r="L110" s="349"/>
      <c r="M110" s="349"/>
      <c r="N110" s="349"/>
      <c r="O110" s="349"/>
      <c r="P110" s="349"/>
      <c r="Q110" s="349"/>
      <c r="R110" s="378"/>
      <c r="S110" s="378"/>
      <c r="T110" s="378"/>
      <c r="U110" s="378"/>
      <c r="V110" s="378"/>
      <c r="W110" s="378"/>
      <c r="X110" s="378"/>
      <c r="Y110" s="378"/>
      <c r="Z110" s="378"/>
      <c r="AA110" s="378"/>
      <c r="AB110" s="378"/>
      <c r="AC110" s="378"/>
      <c r="AD110" s="378"/>
      <c r="AE110" s="378"/>
      <c r="AF110" s="378"/>
      <c r="AG110" s="378"/>
    </row>
    <row r="111" spans="3:47">
      <c r="C111" s="395"/>
      <c r="K111" s="349"/>
      <c r="L111" s="349"/>
      <c r="M111" s="349"/>
      <c r="N111" s="349"/>
      <c r="O111" s="349"/>
      <c r="P111" s="349"/>
      <c r="Q111" s="349"/>
      <c r="R111" s="378"/>
      <c r="S111" s="378"/>
      <c r="T111" s="378"/>
      <c r="U111" s="378"/>
      <c r="V111" s="378"/>
      <c r="W111" s="1775">
        <f>SUM(P109:W109)</f>
        <v>0</v>
      </c>
      <c r="X111" s="1594"/>
      <c r="Y111" s="405"/>
      <c r="Z111" s="405"/>
      <c r="AA111" s="405"/>
      <c r="AB111" s="1775">
        <f>SUM(X109:AB109)</f>
        <v>0</v>
      </c>
      <c r="AC111" s="405"/>
      <c r="AD111" s="405"/>
      <c r="AE111" s="405"/>
      <c r="AF111" s="405"/>
      <c r="AG111" s="1775">
        <f>SUM(AC109:AG109)</f>
        <v>0</v>
      </c>
      <c r="AH111" s="378"/>
      <c r="AI111" s="378"/>
    </row>
    <row r="112" spans="3:47">
      <c r="C112" s="380" t="s">
        <v>15</v>
      </c>
      <c r="K112" s="349"/>
      <c r="L112" s="349"/>
      <c r="M112" s="349"/>
      <c r="N112" s="393"/>
      <c r="O112" s="349"/>
      <c r="P112" s="349"/>
      <c r="Q112" s="349"/>
      <c r="R112" s="378"/>
      <c r="S112" s="378"/>
      <c r="T112" s="378"/>
      <c r="U112" s="378"/>
      <c r="V112" s="378"/>
      <c r="W112" s="378"/>
      <c r="X112" s="378"/>
      <c r="Y112" s="378"/>
      <c r="Z112" s="378"/>
      <c r="AA112" s="378"/>
      <c r="AB112" s="378"/>
      <c r="AC112" s="378"/>
      <c r="AD112" s="378"/>
      <c r="AE112" s="378"/>
      <c r="AF112" s="378"/>
      <c r="AG112" s="378"/>
    </row>
    <row r="113" spans="3:47">
      <c r="C113" s="395"/>
      <c r="D113" s="383" t="s">
        <v>4</v>
      </c>
      <c r="K113" s="384"/>
      <c r="L113" s="385"/>
      <c r="M113" s="386"/>
      <c r="N113" s="384"/>
      <c r="O113" s="592">
        <v>4.2019004524886876E-2</v>
      </c>
      <c r="P113" s="429">
        <v>5.7479573712255767E-2</v>
      </c>
      <c r="Q113" s="429">
        <v>3.452760736196319E-2</v>
      </c>
      <c r="R113" s="429">
        <v>5.0680960548885073E-2</v>
      </c>
      <c r="S113" s="429">
        <v>9.9050890585241733E-2</v>
      </c>
      <c r="T113" s="429">
        <v>4.9966101694915242E-2</v>
      </c>
      <c r="U113" s="429">
        <v>4.9871040723981901E-2</v>
      </c>
      <c r="V113" s="429">
        <v>4.9152838427947591E-2</v>
      </c>
      <c r="W113" s="1778">
        <v>6.6000000000000003E-2</v>
      </c>
      <c r="X113" s="428">
        <v>6.6000000000000003E-2</v>
      </c>
      <c r="Y113" s="429">
        <v>6.6000000000000003E-2</v>
      </c>
      <c r="Z113" s="429">
        <v>6.6000000000000003E-2</v>
      </c>
      <c r="AA113" s="429">
        <v>6.6000000000000003E-2</v>
      </c>
      <c r="AB113" s="430">
        <v>6.6000000000000003E-2</v>
      </c>
      <c r="AC113" s="429">
        <v>6.6000000000000003E-2</v>
      </c>
      <c r="AD113" s="429">
        <v>6.6000000000000003E-2</v>
      </c>
      <c r="AE113" s="429">
        <v>6.6000000000000003E-2</v>
      </c>
      <c r="AF113" s="429">
        <v>6.6000000000000003E-2</v>
      </c>
      <c r="AG113" s="430">
        <v>6.6000000000000003E-2</v>
      </c>
    </row>
    <row r="114" spans="3:47">
      <c r="C114" s="395"/>
      <c r="D114" s="383" t="s">
        <v>1103</v>
      </c>
      <c r="K114" s="387"/>
      <c r="L114" s="349"/>
      <c r="M114" s="388"/>
      <c r="N114" s="387"/>
      <c r="O114" s="593">
        <v>3.0559276018099546E-2</v>
      </c>
      <c r="P114" s="432">
        <v>3.1238898756660746E-2</v>
      </c>
      <c r="Q114" s="432">
        <v>3.0828220858895708E-2</v>
      </c>
      <c r="R114" s="432">
        <v>3.01672384219554E-2</v>
      </c>
      <c r="S114" s="432">
        <v>2.7447837150127226E-2</v>
      </c>
      <c r="T114" s="432">
        <v>2.9525423728813553E-2</v>
      </c>
      <c r="U114" s="432">
        <v>3.0771493212669684E-2</v>
      </c>
      <c r="V114" s="432">
        <v>2.9696506550218341E-2</v>
      </c>
      <c r="W114" s="1779">
        <v>3.3000000000000002E-2</v>
      </c>
      <c r="X114" s="431">
        <v>3.3000000000000002E-2</v>
      </c>
      <c r="Y114" s="432">
        <v>3.3000000000000002E-2</v>
      </c>
      <c r="Z114" s="432">
        <v>3.3000000000000002E-2</v>
      </c>
      <c r="AA114" s="432">
        <v>3.3000000000000002E-2</v>
      </c>
      <c r="AB114" s="433">
        <v>3.3000000000000002E-2</v>
      </c>
      <c r="AC114" s="432">
        <v>3.3000000000000002E-2</v>
      </c>
      <c r="AD114" s="432">
        <v>3.3000000000000002E-2</v>
      </c>
      <c r="AE114" s="432">
        <v>3.3000000000000002E-2</v>
      </c>
      <c r="AF114" s="432">
        <v>3.3000000000000002E-2</v>
      </c>
      <c r="AG114" s="433">
        <v>3.3000000000000002E-2</v>
      </c>
      <c r="AI114" s="232"/>
      <c r="AJ114" s="232"/>
      <c r="AK114" s="232"/>
      <c r="AL114" s="232"/>
      <c r="AM114" s="232"/>
      <c r="AN114" s="232"/>
      <c r="AO114" s="232"/>
      <c r="AP114" s="232"/>
      <c r="AQ114" s="232"/>
      <c r="AR114" s="232"/>
      <c r="AS114" s="232"/>
      <c r="AT114" s="232"/>
      <c r="AU114" s="232"/>
    </row>
    <row r="115" spans="3:47">
      <c r="C115" s="395"/>
      <c r="D115" s="383" t="s">
        <v>16</v>
      </c>
      <c r="K115" s="392"/>
      <c r="L115" s="393"/>
      <c r="M115" s="394"/>
      <c r="N115" s="392"/>
      <c r="O115" s="594">
        <v>0.18717556561085971</v>
      </c>
      <c r="P115" s="435">
        <v>0.1849342806394316</v>
      </c>
      <c r="Q115" s="435">
        <v>0.19360122699386503</v>
      </c>
      <c r="R115" s="435">
        <v>0.19065694682675813</v>
      </c>
      <c r="S115" s="435">
        <v>0.19213486005089059</v>
      </c>
      <c r="T115" s="435">
        <v>0.12377966101694914</v>
      </c>
      <c r="U115" s="435">
        <v>0.11884162895927602</v>
      </c>
      <c r="V115" s="435">
        <v>0.20582751091703055</v>
      </c>
      <c r="W115" s="1780">
        <v>0.16500000000000001</v>
      </c>
      <c r="X115" s="434">
        <v>0.16500000000000001</v>
      </c>
      <c r="Y115" s="435">
        <v>0.16500000000000001</v>
      </c>
      <c r="Z115" s="435">
        <v>0.16500000000000001</v>
      </c>
      <c r="AA115" s="435">
        <v>0.16500000000000001</v>
      </c>
      <c r="AB115" s="436">
        <v>0.16500000000000001</v>
      </c>
      <c r="AC115" s="435">
        <v>0.16500000000000001</v>
      </c>
      <c r="AD115" s="435">
        <v>0.16500000000000001</v>
      </c>
      <c r="AE115" s="435">
        <v>0.16500000000000001</v>
      </c>
      <c r="AF115" s="435">
        <v>0.16500000000000001</v>
      </c>
      <c r="AG115" s="436">
        <v>0.16500000000000001</v>
      </c>
    </row>
    <row r="116" spans="3:47">
      <c r="C116" s="380" t="str">
        <f>+CONCATENATE("Total ",C112)</f>
        <v>Total Licence fees</v>
      </c>
      <c r="D116" s="403"/>
      <c r="K116" s="349">
        <f>+SUM(K113:K115)</f>
        <v>0</v>
      </c>
      <c r="L116" s="349">
        <f t="shared" ref="L116:W116" si="42">+SUM(L113:L115)</f>
        <v>0</v>
      </c>
      <c r="M116" s="349">
        <f t="shared" si="42"/>
        <v>0</v>
      </c>
      <c r="N116" s="349">
        <f t="shared" si="42"/>
        <v>0</v>
      </c>
      <c r="O116" s="349">
        <f>+SUM(O113:O115)</f>
        <v>0.25975384615384611</v>
      </c>
      <c r="P116" s="378">
        <f>+SUM(P113:P115)</f>
        <v>0.27365275310834813</v>
      </c>
      <c r="Q116" s="378">
        <f>+SUM(Q113:Q115)</f>
        <v>0.2589570552147239</v>
      </c>
      <c r="R116" s="378">
        <f t="shared" si="42"/>
        <v>0.2715051457975986</v>
      </c>
      <c r="S116" s="378">
        <f t="shared" si="42"/>
        <v>0.31863358778625955</v>
      </c>
      <c r="T116" s="378">
        <f t="shared" si="42"/>
        <v>0.20327118644067793</v>
      </c>
      <c r="U116" s="378">
        <f t="shared" si="42"/>
        <v>0.1994841628959276</v>
      </c>
      <c r="V116" s="378">
        <f t="shared" si="42"/>
        <v>0.28467685589519648</v>
      </c>
      <c r="W116" s="378">
        <f t="shared" si="42"/>
        <v>0.26400000000000001</v>
      </c>
      <c r="X116" s="378">
        <f t="shared" ref="X116:AG116" si="43">+SUM(X113:X115)</f>
        <v>0.26400000000000001</v>
      </c>
      <c r="Y116" s="378">
        <f t="shared" si="43"/>
        <v>0.26400000000000001</v>
      </c>
      <c r="Z116" s="378">
        <f t="shared" si="43"/>
        <v>0.26400000000000001</v>
      </c>
      <c r="AA116" s="378">
        <f t="shared" si="43"/>
        <v>0.26400000000000001</v>
      </c>
      <c r="AB116" s="378">
        <f t="shared" si="43"/>
        <v>0.26400000000000001</v>
      </c>
      <c r="AC116" s="378">
        <f t="shared" si="43"/>
        <v>0.26400000000000001</v>
      </c>
      <c r="AD116" s="378">
        <f t="shared" si="43"/>
        <v>0.26400000000000001</v>
      </c>
      <c r="AE116" s="378">
        <f t="shared" si="43"/>
        <v>0.26400000000000001</v>
      </c>
      <c r="AF116" s="378">
        <f t="shared" si="43"/>
        <v>0.26400000000000001</v>
      </c>
      <c r="AG116" s="378">
        <f t="shared" si="43"/>
        <v>0.26400000000000001</v>
      </c>
    </row>
    <row r="117" spans="3:47">
      <c r="C117" s="380"/>
      <c r="D117" s="403"/>
      <c r="K117" s="349"/>
      <c r="L117" s="349"/>
      <c r="M117" s="349"/>
      <c r="N117" s="349"/>
      <c r="O117" s="349"/>
      <c r="P117" s="378"/>
      <c r="Q117" s="378"/>
      <c r="R117" s="378"/>
      <c r="S117" s="378"/>
      <c r="T117" s="378"/>
      <c r="U117" s="378"/>
      <c r="V117" s="378"/>
      <c r="W117" s="378"/>
      <c r="X117" s="378"/>
      <c r="Y117" s="378"/>
      <c r="Z117" s="378"/>
      <c r="AA117" s="378"/>
      <c r="AB117" s="378"/>
      <c r="AC117" s="378"/>
      <c r="AD117" s="378"/>
      <c r="AE117" s="378"/>
      <c r="AF117" s="378"/>
      <c r="AG117" s="378"/>
    </row>
    <row r="118" spans="3:47">
      <c r="C118" s="380"/>
      <c r="D118" s="403"/>
      <c r="K118" s="349"/>
      <c r="L118" s="349"/>
      <c r="M118" s="349"/>
      <c r="N118" s="349"/>
      <c r="O118" s="349"/>
      <c r="P118" s="378"/>
      <c r="Q118" s="378"/>
      <c r="R118" s="378"/>
      <c r="S118" s="378"/>
      <c r="T118" s="378"/>
      <c r="U118" s="378"/>
      <c r="V118" s="378"/>
      <c r="W118" s="1776">
        <f>SUM(P116:W116)</f>
        <v>2.0741807471387324</v>
      </c>
      <c r="X118" s="378"/>
      <c r="Y118" s="378"/>
      <c r="Z118" s="378"/>
      <c r="AA118" s="378"/>
      <c r="AB118" s="1775">
        <f>SUM(X116:AB116)</f>
        <v>1.32</v>
      </c>
      <c r="AC118" s="378"/>
      <c r="AD118" s="378"/>
      <c r="AE118" s="378"/>
      <c r="AF118" s="378"/>
      <c r="AG118" s="1775">
        <f>SUM(AC116:AG116)</f>
        <v>1.32</v>
      </c>
    </row>
    <row r="119" spans="3:47">
      <c r="K119" s="404"/>
      <c r="L119" s="404"/>
      <c r="M119" s="404"/>
      <c r="N119" s="404"/>
      <c r="O119" s="404"/>
      <c r="P119" s="405"/>
      <c r="Q119" s="405"/>
      <c r="R119" s="405"/>
      <c r="S119" s="180"/>
      <c r="T119" s="405"/>
      <c r="U119" s="405"/>
      <c r="V119" s="405"/>
      <c r="W119" s="405"/>
      <c r="X119" s="405"/>
      <c r="Y119" s="405"/>
      <c r="Z119" s="405"/>
      <c r="AA119" s="405"/>
      <c r="AB119" s="180"/>
      <c r="AC119" s="180"/>
      <c r="AD119" s="180"/>
      <c r="AE119" s="180"/>
      <c r="AF119" s="180"/>
      <c r="AG119" s="180"/>
    </row>
    <row r="120" spans="3:47">
      <c r="C120" s="380" t="s">
        <v>327</v>
      </c>
      <c r="K120" s="400"/>
      <c r="L120" s="401"/>
      <c r="M120" s="402"/>
      <c r="N120" s="400"/>
      <c r="O120" s="440">
        <v>2.6522904977375568</v>
      </c>
      <c r="P120" s="438">
        <v>3.1538792184724689</v>
      </c>
      <c r="Q120" s="438">
        <v>3.1124171779141103</v>
      </c>
      <c r="R120" s="438">
        <v>3.6176552315608919</v>
      </c>
      <c r="S120" s="438">
        <v>3.5777659033078884</v>
      </c>
      <c r="T120" s="438">
        <v>3.404508474576271</v>
      </c>
      <c r="U120" s="438">
        <v>3.1811357466063352</v>
      </c>
      <c r="V120" s="438">
        <v>3.2717358078602614</v>
      </c>
      <c r="W120" s="1777">
        <v>3.1949999999999998</v>
      </c>
      <c r="X120" s="437">
        <v>3.1049562682215743</v>
      </c>
      <c r="Y120" s="438">
        <v>3.017450212071501</v>
      </c>
      <c r="Z120" s="438">
        <v>2.9324103129946564</v>
      </c>
      <c r="AA120" s="438">
        <v>2.8497670680220182</v>
      </c>
      <c r="AB120" s="439">
        <v>2.7694529329660043</v>
      </c>
      <c r="AC120" s="437">
        <v>2.6914022672167195</v>
      </c>
      <c r="AD120" s="438">
        <v>2.6155512800939937</v>
      </c>
      <c r="AE120" s="438">
        <v>2.5418379787113645</v>
      </c>
      <c r="AF120" s="438">
        <v>2.4702021173093924</v>
      </c>
      <c r="AG120" s="439">
        <v>2.4005851480169023</v>
      </c>
    </row>
    <row r="121" spans="3:47">
      <c r="C121" s="380"/>
      <c r="K121" s="378"/>
      <c r="L121" s="378"/>
      <c r="M121" s="378"/>
      <c r="N121" s="378"/>
      <c r="O121" s="378"/>
      <c r="P121" s="378"/>
      <c r="Q121" s="378"/>
      <c r="R121" s="835"/>
      <c r="S121" s="835"/>
      <c r="T121" s="835"/>
      <c r="U121" s="835"/>
      <c r="V121" s="835"/>
      <c r="W121" s="835"/>
      <c r="X121" s="835"/>
      <c r="Y121" s="835"/>
      <c r="Z121" s="835"/>
      <c r="AA121" s="835"/>
      <c r="AB121" s="835"/>
      <c r="AC121" s="835"/>
      <c r="AD121" s="835"/>
      <c r="AE121" s="835"/>
      <c r="AF121" s="835"/>
      <c r="AG121" s="835"/>
    </row>
    <row r="122" spans="3:47">
      <c r="K122" s="404"/>
      <c r="L122" s="404"/>
      <c r="M122" s="404"/>
      <c r="N122" s="405"/>
      <c r="O122" s="405"/>
      <c r="P122" s="405"/>
      <c r="Q122" s="405"/>
      <c r="R122" s="405"/>
      <c r="S122" s="180"/>
      <c r="T122" s="405"/>
      <c r="U122" s="405"/>
      <c r="V122" s="405"/>
      <c r="W122" s="1775">
        <f>SUM(P120:W120)</f>
        <v>26.514097560298225</v>
      </c>
      <c r="X122" s="1594"/>
      <c r="Y122" s="405"/>
      <c r="Z122" s="405"/>
      <c r="AA122" s="405"/>
      <c r="AB122" s="1775">
        <f>SUM(X120:AB120)</f>
        <v>14.674036794275754</v>
      </c>
      <c r="AC122" s="405"/>
      <c r="AD122" s="405"/>
      <c r="AE122" s="405"/>
      <c r="AF122" s="405"/>
      <c r="AG122" s="1775">
        <f>SUM(AC120:AG120)</f>
        <v>12.719578791348372</v>
      </c>
      <c r="AH122" s="405"/>
    </row>
    <row r="123" spans="3:47">
      <c r="C123" s="396" t="s">
        <v>484</v>
      </c>
      <c r="D123" s="74"/>
      <c r="E123" s="74"/>
      <c r="F123" s="74"/>
      <c r="G123" s="74"/>
      <c r="H123" s="74"/>
      <c r="K123" s="156"/>
      <c r="L123" s="156"/>
      <c r="M123" s="156"/>
    </row>
    <row r="124" spans="3:47">
      <c r="D124" s="2218" t="s">
        <v>1289</v>
      </c>
      <c r="E124" s="2218"/>
      <c r="F124" s="2218"/>
      <c r="G124" s="2218"/>
      <c r="H124" s="2218"/>
      <c r="I124" s="2218"/>
      <c r="J124" s="2218"/>
      <c r="K124" s="441"/>
      <c r="L124" s="441"/>
      <c r="M124" s="442"/>
      <c r="N124" s="443"/>
      <c r="O124" s="1772">
        <v>0.10059095022624434</v>
      </c>
      <c r="P124" s="958">
        <v>0.10746181172291294</v>
      </c>
      <c r="Q124" s="958">
        <v>0.1393435582822086</v>
      </c>
      <c r="R124" s="445">
        <v>0.12428902229845624</v>
      </c>
      <c r="S124" s="445">
        <v>7.3989821882951654E-2</v>
      </c>
      <c r="T124" s="445">
        <v>9.0847457627118641E-2</v>
      </c>
      <c r="U124" s="445">
        <v>8.4886877828054305E-2</v>
      </c>
      <c r="V124" s="445">
        <v>8.192139737991265E-2</v>
      </c>
      <c r="W124" s="445">
        <v>0.08</v>
      </c>
      <c r="X124" s="444">
        <v>0.08</v>
      </c>
      <c r="Y124" s="445">
        <v>0.08</v>
      </c>
      <c r="Z124" s="445">
        <v>0.08</v>
      </c>
      <c r="AA124" s="445">
        <v>0.08</v>
      </c>
      <c r="AB124" s="446">
        <v>0.08</v>
      </c>
      <c r="AC124" s="445">
        <v>0.08</v>
      </c>
      <c r="AD124" s="445">
        <v>0.08</v>
      </c>
      <c r="AE124" s="445">
        <v>0.08</v>
      </c>
      <c r="AF124" s="445">
        <v>0.08</v>
      </c>
      <c r="AG124" s="446">
        <v>0.08</v>
      </c>
    </row>
    <row r="125" spans="3:47">
      <c r="D125" s="2218" t="s">
        <v>486</v>
      </c>
      <c r="E125" s="2218"/>
      <c r="F125" s="2218"/>
      <c r="G125" s="2218"/>
      <c r="H125" s="2218"/>
      <c r="I125" s="2218"/>
      <c r="J125" s="2218"/>
      <c r="K125" s="447"/>
      <c r="L125" s="447"/>
      <c r="M125" s="448"/>
      <c r="N125" s="449"/>
      <c r="O125" s="1773"/>
      <c r="P125" s="962"/>
      <c r="Q125" s="962"/>
      <c r="R125" s="451"/>
      <c r="S125" s="451"/>
      <c r="T125" s="451"/>
      <c r="U125" s="451"/>
      <c r="V125" s="451"/>
      <c r="W125" s="451"/>
      <c r="X125" s="450"/>
      <c r="Y125" s="451"/>
      <c r="Z125" s="451"/>
      <c r="AA125" s="451"/>
      <c r="AB125" s="452"/>
      <c r="AC125" s="451"/>
      <c r="AD125" s="451"/>
      <c r="AE125" s="451"/>
      <c r="AF125" s="451"/>
      <c r="AG125" s="452"/>
    </row>
    <row r="126" spans="3:47">
      <c r="D126" s="2218" t="s">
        <v>487</v>
      </c>
      <c r="E126" s="2218"/>
      <c r="F126" s="2218"/>
      <c r="G126" s="2218"/>
      <c r="H126" s="2218"/>
      <c r="I126" s="2218"/>
      <c r="J126" s="2218"/>
      <c r="K126" s="447"/>
      <c r="L126" s="447"/>
      <c r="M126" s="448"/>
      <c r="N126" s="449"/>
      <c r="O126" s="1773"/>
      <c r="P126" s="962"/>
      <c r="Q126" s="962"/>
      <c r="R126" s="451"/>
      <c r="S126" s="451"/>
      <c r="T126" s="451"/>
      <c r="U126" s="451"/>
      <c r="V126" s="451"/>
      <c r="W126" s="451"/>
      <c r="X126" s="450"/>
      <c r="Y126" s="451"/>
      <c r="Z126" s="451"/>
      <c r="AA126" s="451"/>
      <c r="AB126" s="452"/>
      <c r="AC126" s="451"/>
      <c r="AD126" s="451"/>
      <c r="AE126" s="451"/>
      <c r="AF126" s="451"/>
      <c r="AG126" s="452"/>
    </row>
    <row r="127" spans="3:47">
      <c r="D127" s="2218" t="s">
        <v>488</v>
      </c>
      <c r="E127" s="2218"/>
      <c r="F127" s="2218"/>
      <c r="G127" s="2218"/>
      <c r="H127" s="2218"/>
      <c r="I127" s="2218"/>
      <c r="J127" s="2218"/>
      <c r="K127" s="447"/>
      <c r="L127" s="447"/>
      <c r="M127" s="448"/>
      <c r="N127" s="449"/>
      <c r="O127" s="1773"/>
      <c r="P127" s="962"/>
      <c r="Q127" s="962"/>
      <c r="R127" s="451"/>
      <c r="S127" s="451"/>
      <c r="T127" s="451"/>
      <c r="U127" s="451"/>
      <c r="V127" s="451"/>
      <c r="W127" s="451"/>
      <c r="X127" s="450"/>
      <c r="Y127" s="451"/>
      <c r="Z127" s="451"/>
      <c r="AA127" s="451"/>
      <c r="AB127" s="452"/>
      <c r="AC127" s="451"/>
      <c r="AD127" s="451"/>
      <c r="AE127" s="451"/>
      <c r="AF127" s="451"/>
      <c r="AG127" s="452"/>
    </row>
    <row r="128" spans="3:47">
      <c r="D128" s="2218" t="s">
        <v>489</v>
      </c>
      <c r="E128" s="2218"/>
      <c r="F128" s="2218"/>
      <c r="G128" s="2218"/>
      <c r="H128" s="2218"/>
      <c r="I128" s="2218"/>
      <c r="J128" s="2218"/>
      <c r="K128" s="447"/>
      <c r="L128" s="447"/>
      <c r="M128" s="448"/>
      <c r="N128" s="449"/>
      <c r="O128" s="1773"/>
      <c r="P128" s="962"/>
      <c r="Q128" s="962"/>
      <c r="R128" s="451"/>
      <c r="S128" s="451"/>
      <c r="T128" s="451"/>
      <c r="U128" s="451"/>
      <c r="V128" s="451"/>
      <c r="W128" s="451"/>
      <c r="X128" s="450"/>
      <c r="Y128" s="451"/>
      <c r="Z128" s="451"/>
      <c r="AA128" s="451"/>
      <c r="AB128" s="452"/>
      <c r="AC128" s="451"/>
      <c r="AD128" s="451"/>
      <c r="AE128" s="451"/>
      <c r="AF128" s="451"/>
      <c r="AG128" s="452"/>
    </row>
    <row r="129" spans="2:34">
      <c r="D129" s="2218" t="s">
        <v>490</v>
      </c>
      <c r="E129" s="2218"/>
      <c r="F129" s="2218"/>
      <c r="G129" s="2218"/>
      <c r="H129" s="2218"/>
      <c r="I129" s="2218"/>
      <c r="J129" s="2218"/>
      <c r="K129" s="447"/>
      <c r="L129" s="447"/>
      <c r="M129" s="448"/>
      <c r="N129" s="449"/>
      <c r="O129" s="1773"/>
      <c r="P129" s="962"/>
      <c r="Q129" s="962"/>
      <c r="R129" s="451"/>
      <c r="S129" s="451"/>
      <c r="T129" s="451"/>
      <c r="U129" s="451"/>
      <c r="V129" s="451"/>
      <c r="W129" s="451"/>
      <c r="X129" s="450"/>
      <c r="Y129" s="451"/>
      <c r="Z129" s="451"/>
      <c r="AA129" s="451"/>
      <c r="AB129" s="452"/>
      <c r="AC129" s="451"/>
      <c r="AD129" s="451"/>
      <c r="AE129" s="451"/>
      <c r="AF129" s="451"/>
      <c r="AG129" s="452"/>
    </row>
    <row r="130" spans="2:34">
      <c r="D130" s="2218" t="s">
        <v>491</v>
      </c>
      <c r="E130" s="2218"/>
      <c r="F130" s="2218"/>
      <c r="G130" s="2218"/>
      <c r="H130" s="2218"/>
      <c r="I130" s="2218"/>
      <c r="J130" s="2218"/>
      <c r="K130" s="447"/>
      <c r="L130" s="447"/>
      <c r="M130" s="448"/>
      <c r="N130" s="449"/>
      <c r="O130" s="1773"/>
      <c r="P130" s="962"/>
      <c r="Q130" s="962"/>
      <c r="R130" s="451"/>
      <c r="S130" s="451"/>
      <c r="T130" s="451"/>
      <c r="U130" s="451"/>
      <c r="V130" s="451"/>
      <c r="W130" s="451"/>
      <c r="X130" s="450"/>
      <c r="Y130" s="451"/>
      <c r="Z130" s="451"/>
      <c r="AA130" s="451"/>
      <c r="AB130" s="452"/>
      <c r="AC130" s="451"/>
      <c r="AD130" s="451"/>
      <c r="AE130" s="451"/>
      <c r="AF130" s="451"/>
      <c r="AG130" s="452"/>
    </row>
    <row r="131" spans="2:34">
      <c r="D131" s="2218" t="s">
        <v>492</v>
      </c>
      <c r="E131" s="2218"/>
      <c r="F131" s="2218"/>
      <c r="G131" s="2218"/>
      <c r="H131" s="2218"/>
      <c r="I131" s="2218"/>
      <c r="J131" s="2218"/>
      <c r="K131" s="447"/>
      <c r="L131" s="447"/>
      <c r="M131" s="448"/>
      <c r="N131" s="449"/>
      <c r="O131" s="1773"/>
      <c r="P131" s="962"/>
      <c r="Q131" s="962"/>
      <c r="R131" s="451"/>
      <c r="S131" s="451"/>
      <c r="T131" s="451"/>
      <c r="U131" s="451"/>
      <c r="V131" s="451"/>
      <c r="W131" s="451"/>
      <c r="X131" s="450"/>
      <c r="Y131" s="451"/>
      <c r="Z131" s="451"/>
      <c r="AA131" s="451"/>
      <c r="AB131" s="452"/>
      <c r="AC131" s="451"/>
      <c r="AD131" s="451"/>
      <c r="AE131" s="451"/>
      <c r="AF131" s="451"/>
      <c r="AG131" s="452"/>
    </row>
    <row r="132" spans="2:34">
      <c r="D132" s="2218" t="s">
        <v>493</v>
      </c>
      <c r="E132" s="2218"/>
      <c r="F132" s="2218"/>
      <c r="G132" s="2218"/>
      <c r="H132" s="2218"/>
      <c r="I132" s="2218"/>
      <c r="J132" s="2218"/>
      <c r="K132" s="447"/>
      <c r="L132" s="447"/>
      <c r="M132" s="448"/>
      <c r="N132" s="449"/>
      <c r="O132" s="1773"/>
      <c r="P132" s="962"/>
      <c r="Q132" s="962"/>
      <c r="R132" s="451"/>
      <c r="S132" s="451"/>
      <c r="T132" s="451"/>
      <c r="U132" s="451"/>
      <c r="V132" s="451"/>
      <c r="W132" s="451"/>
      <c r="X132" s="450"/>
      <c r="Y132" s="451"/>
      <c r="Z132" s="451"/>
      <c r="AA132" s="451"/>
      <c r="AB132" s="452"/>
      <c r="AC132" s="451"/>
      <c r="AD132" s="451"/>
      <c r="AE132" s="451"/>
      <c r="AF132" s="451"/>
      <c r="AG132" s="452"/>
    </row>
    <row r="133" spans="2:34">
      <c r="D133" s="2218" t="s">
        <v>494</v>
      </c>
      <c r="E133" s="2218"/>
      <c r="F133" s="2218"/>
      <c r="G133" s="2218"/>
      <c r="H133" s="2218"/>
      <c r="I133" s="2218"/>
      <c r="J133" s="2218"/>
      <c r="K133" s="453"/>
      <c r="L133" s="453"/>
      <c r="M133" s="454"/>
      <c r="N133" s="455"/>
      <c r="O133" s="1774"/>
      <c r="P133" s="965"/>
      <c r="Q133" s="965"/>
      <c r="R133" s="457"/>
      <c r="S133" s="457"/>
      <c r="T133" s="457"/>
      <c r="U133" s="457"/>
      <c r="V133" s="457"/>
      <c r="W133" s="457"/>
      <c r="X133" s="456"/>
      <c r="Y133" s="457"/>
      <c r="Z133" s="457"/>
      <c r="AA133" s="457"/>
      <c r="AB133" s="458"/>
      <c r="AC133" s="457"/>
      <c r="AD133" s="457"/>
      <c r="AE133" s="457"/>
      <c r="AF133" s="457"/>
      <c r="AG133" s="458"/>
    </row>
    <row r="134" spans="2:34">
      <c r="K134" s="349">
        <f t="shared" ref="K134:AG134" si="44">SUM(K124:K133)</f>
        <v>0</v>
      </c>
      <c r="L134" s="349">
        <f t="shared" si="44"/>
        <v>0</v>
      </c>
      <c r="M134" s="349">
        <f t="shared" si="44"/>
        <v>0</v>
      </c>
      <c r="N134" s="349">
        <f t="shared" si="44"/>
        <v>0</v>
      </c>
      <c r="O134" s="349">
        <f>SUM(O124:O133)</f>
        <v>0.10059095022624434</v>
      </c>
      <c r="P134" s="349">
        <f>SUM(P124:P133)</f>
        <v>0.10746181172291294</v>
      </c>
      <c r="Q134" s="349">
        <f t="shared" si="44"/>
        <v>0.1393435582822086</v>
      </c>
      <c r="R134" s="349">
        <f t="shared" si="44"/>
        <v>0.12428902229845624</v>
      </c>
      <c r="S134" s="378">
        <f t="shared" si="44"/>
        <v>7.3989821882951654E-2</v>
      </c>
      <c r="T134" s="378">
        <f t="shared" si="44"/>
        <v>9.0847457627118641E-2</v>
      </c>
      <c r="U134" s="378">
        <f t="shared" si="44"/>
        <v>8.4886877828054305E-2</v>
      </c>
      <c r="V134" s="378">
        <f t="shared" si="44"/>
        <v>8.192139737991265E-2</v>
      </c>
      <c r="W134" s="378">
        <f t="shared" si="44"/>
        <v>0.08</v>
      </c>
      <c r="X134" s="378">
        <f t="shared" si="44"/>
        <v>0.08</v>
      </c>
      <c r="Y134" s="378">
        <f t="shared" si="44"/>
        <v>0.08</v>
      </c>
      <c r="Z134" s="378">
        <f t="shared" si="44"/>
        <v>0.08</v>
      </c>
      <c r="AA134" s="378">
        <f t="shared" si="44"/>
        <v>0.08</v>
      </c>
      <c r="AB134" s="378">
        <f t="shared" si="44"/>
        <v>0.08</v>
      </c>
      <c r="AC134" s="378">
        <f t="shared" si="44"/>
        <v>0.08</v>
      </c>
      <c r="AD134" s="378">
        <f t="shared" si="44"/>
        <v>0.08</v>
      </c>
      <c r="AE134" s="378">
        <f t="shared" si="44"/>
        <v>0.08</v>
      </c>
      <c r="AF134" s="378">
        <f t="shared" si="44"/>
        <v>0.08</v>
      </c>
      <c r="AG134" s="378">
        <f t="shared" si="44"/>
        <v>0.08</v>
      </c>
    </row>
    <row r="135" spans="2:34">
      <c r="K135" s="349"/>
      <c r="L135" s="349"/>
      <c r="M135" s="349"/>
      <c r="N135" s="349"/>
      <c r="O135" s="349"/>
      <c r="P135" s="349"/>
      <c r="Q135" s="349"/>
      <c r="R135" s="349"/>
      <c r="S135" s="378"/>
      <c r="T135" s="378"/>
      <c r="U135" s="378"/>
      <c r="V135" s="378"/>
      <c r="W135" s="1775">
        <f>SUM(P134:W134)</f>
        <v>0.78273994702161498</v>
      </c>
      <c r="X135" s="1594"/>
      <c r="Y135" s="405"/>
      <c r="Z135" s="405"/>
      <c r="AA135" s="405"/>
      <c r="AB135" s="1775">
        <f>SUM(X134:AB134)</f>
        <v>0.4</v>
      </c>
      <c r="AC135" s="405"/>
      <c r="AD135" s="405"/>
      <c r="AE135" s="405"/>
      <c r="AF135" s="405"/>
      <c r="AG135" s="1775">
        <f>SUM(AC134:AG134)</f>
        <v>0.4</v>
      </c>
    </row>
    <row r="136" spans="2:34" ht="12.75" thickBot="1"/>
    <row r="137" spans="2:34">
      <c r="B137" s="343"/>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292"/>
      <c r="AE137" s="292"/>
      <c r="AF137" s="292"/>
      <c r="AG137" s="292"/>
      <c r="AH137" s="344"/>
    </row>
    <row r="138" spans="2:34">
      <c r="B138" s="192"/>
      <c r="C138" s="345" t="s">
        <v>593</v>
      </c>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195"/>
    </row>
    <row r="139" spans="2:34">
      <c r="B139" s="192"/>
      <c r="C139" s="409" t="s">
        <v>511</v>
      </c>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195"/>
    </row>
    <row r="140" spans="2:34">
      <c r="B140" s="192"/>
      <c r="C140" s="409"/>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195"/>
    </row>
    <row r="141" spans="2:34">
      <c r="B141" s="192"/>
      <c r="C141" s="112" t="s">
        <v>40</v>
      </c>
      <c r="D141" s="74"/>
      <c r="E141" s="74"/>
      <c r="F141" s="74"/>
      <c r="G141" s="74"/>
      <c r="H141" s="74"/>
      <c r="I141" s="74"/>
      <c r="J141" s="112"/>
      <c r="K141" s="112"/>
      <c r="L141" s="112"/>
      <c r="M141" s="112"/>
      <c r="N141" s="112"/>
      <c r="O141" s="410" t="str">
        <f t="shared" ref="O141:AG141" si="45">+O7</f>
        <v>2017-18</v>
      </c>
      <c r="P141" s="410" t="str">
        <f t="shared" si="45"/>
        <v>2018-19</v>
      </c>
      <c r="Q141" s="410" t="str">
        <f t="shared" si="45"/>
        <v>2019-20</v>
      </c>
      <c r="R141" s="410" t="str">
        <f t="shared" si="45"/>
        <v>2020-21</v>
      </c>
      <c r="S141" s="410" t="str">
        <f t="shared" si="45"/>
        <v>2021-22</v>
      </c>
      <c r="T141" s="410" t="str">
        <f t="shared" si="45"/>
        <v>2022-23</v>
      </c>
      <c r="U141" s="410" t="str">
        <f t="shared" si="45"/>
        <v>2023-24</v>
      </c>
      <c r="V141" s="410" t="str">
        <f t="shared" si="45"/>
        <v>2024-25</v>
      </c>
      <c r="W141" s="410" t="str">
        <f t="shared" si="45"/>
        <v>2025-26</v>
      </c>
      <c r="X141" s="410" t="str">
        <f t="shared" si="45"/>
        <v>2026-27</v>
      </c>
      <c r="Y141" s="410" t="str">
        <f t="shared" si="45"/>
        <v>2027-28</v>
      </c>
      <c r="Z141" s="410" t="str">
        <f t="shared" si="45"/>
        <v>2028-29</v>
      </c>
      <c r="AA141" s="410" t="str">
        <f t="shared" si="45"/>
        <v>2029-30</v>
      </c>
      <c r="AB141" s="410" t="str">
        <f t="shared" si="45"/>
        <v>2030-31</v>
      </c>
      <c r="AC141" s="410" t="str">
        <f t="shared" si="45"/>
        <v>2031-32</v>
      </c>
      <c r="AD141" s="410" t="str">
        <f t="shared" si="45"/>
        <v>2032-33</v>
      </c>
      <c r="AE141" s="410" t="str">
        <f t="shared" si="45"/>
        <v>2033-34</v>
      </c>
      <c r="AF141" s="410" t="str">
        <f t="shared" si="45"/>
        <v>2034-35</v>
      </c>
      <c r="AG141" s="410" t="str">
        <f t="shared" si="45"/>
        <v>2035-36</v>
      </c>
      <c r="AH141" s="195"/>
    </row>
    <row r="142" spans="2:34">
      <c r="B142" s="192"/>
      <c r="C142" s="74"/>
      <c r="D142" s="74" t="s">
        <v>20</v>
      </c>
      <c r="E142" s="74"/>
      <c r="F142" s="74"/>
      <c r="G142" s="74"/>
      <c r="H142" s="74"/>
      <c r="I142" s="74"/>
      <c r="J142" s="112"/>
      <c r="K142" s="74"/>
      <c r="L142" s="74"/>
      <c r="M142" s="74"/>
      <c r="N142" s="74"/>
      <c r="O142" s="411">
        <f>+SUMIF($I$149:$I$190,$D$142,O$149:O$190)</f>
        <v>1.0313755656108596</v>
      </c>
      <c r="P142" s="411">
        <f>+SUMIF($I$149:$I$190,$D$142,P$149:P$190)</f>
        <v>1.119602131438721</v>
      </c>
      <c r="Q142" s="412">
        <f>+SUMIF($I$149:$I$190,$D$142,Q$149:Q$190)</f>
        <v>1.1838036809815951</v>
      </c>
      <c r="R142" s="412">
        <f t="shared" ref="R142:AG142" si="46">+SUMIF($I$149:$I$190,$D$142,R$149:R$190)</f>
        <v>1.1572152658662092</v>
      </c>
      <c r="S142" s="412">
        <f t="shared" si="46"/>
        <v>1.1742900763358779</v>
      </c>
      <c r="T142" s="412">
        <f t="shared" si="46"/>
        <v>1.1378644067796608</v>
      </c>
      <c r="U142" s="412">
        <f t="shared" si="46"/>
        <v>1.1014072398190045</v>
      </c>
      <c r="V142" s="412">
        <f t="shared" si="46"/>
        <v>1.092626637554585</v>
      </c>
      <c r="W142" s="412">
        <f t="shared" si="46"/>
        <v>0.45500000000000002</v>
      </c>
      <c r="X142" s="411">
        <f t="shared" si="46"/>
        <v>0.45500000000000002</v>
      </c>
      <c r="Y142" s="412">
        <f t="shared" si="46"/>
        <v>0.45500000000000002</v>
      </c>
      <c r="Z142" s="412">
        <f t="shared" si="46"/>
        <v>0.45500000000000002</v>
      </c>
      <c r="AA142" s="412">
        <f t="shared" si="46"/>
        <v>0.45500000000000002</v>
      </c>
      <c r="AB142" s="413">
        <f t="shared" si="46"/>
        <v>0.45500000000000002</v>
      </c>
      <c r="AC142" s="412">
        <f t="shared" si="46"/>
        <v>0.45500000000000002</v>
      </c>
      <c r="AD142" s="412">
        <f t="shared" si="46"/>
        <v>0.45500000000000002</v>
      </c>
      <c r="AE142" s="412">
        <f t="shared" si="46"/>
        <v>0.45500000000000002</v>
      </c>
      <c r="AF142" s="412">
        <f t="shared" si="46"/>
        <v>0.45500000000000002</v>
      </c>
      <c r="AG142" s="413">
        <f t="shared" si="46"/>
        <v>0.45500000000000002</v>
      </c>
      <c r="AH142" s="195"/>
    </row>
    <row r="143" spans="2:34">
      <c r="B143" s="192"/>
      <c r="C143" s="74"/>
      <c r="D143" s="74" t="s">
        <v>21</v>
      </c>
      <c r="E143" s="74"/>
      <c r="F143" s="74"/>
      <c r="G143" s="74"/>
      <c r="H143" s="74"/>
      <c r="I143" s="74"/>
      <c r="J143" s="112"/>
      <c r="K143" s="74"/>
      <c r="L143" s="74"/>
      <c r="M143" s="74"/>
      <c r="N143" s="74"/>
      <c r="O143" s="415">
        <f>+SUMIF($I$149:$I$190,$D$143,O$149:O$190)</f>
        <v>0</v>
      </c>
      <c r="P143" s="415">
        <f>+SUMIF($I$149:$I$190,$D$143,P$149:P$190)</f>
        <v>0</v>
      </c>
      <c r="Q143" s="103">
        <f>+SUMIF($I$149:$I$190,$D$143,Q$149:Q$190)</f>
        <v>0</v>
      </c>
      <c r="R143" s="103">
        <f t="shared" ref="R143:AG143" si="47">+SUMIF($I$149:$I$190,$D$143,R$149:R$190)</f>
        <v>0</v>
      </c>
      <c r="S143" s="103">
        <f t="shared" si="47"/>
        <v>0</v>
      </c>
      <c r="T143" s="103">
        <f t="shared" si="47"/>
        <v>0</v>
      </c>
      <c r="U143" s="103">
        <f t="shared" si="47"/>
        <v>0</v>
      </c>
      <c r="V143" s="103">
        <f t="shared" si="47"/>
        <v>0</v>
      </c>
      <c r="W143" s="103">
        <f t="shared" si="47"/>
        <v>0</v>
      </c>
      <c r="X143" s="415">
        <f t="shared" si="47"/>
        <v>0</v>
      </c>
      <c r="Y143" s="103">
        <f t="shared" si="47"/>
        <v>0</v>
      </c>
      <c r="Z143" s="103">
        <f t="shared" si="47"/>
        <v>0</v>
      </c>
      <c r="AA143" s="103">
        <f t="shared" si="47"/>
        <v>0</v>
      </c>
      <c r="AB143" s="416">
        <f t="shared" si="47"/>
        <v>0</v>
      </c>
      <c r="AC143" s="103">
        <f t="shared" si="47"/>
        <v>0</v>
      </c>
      <c r="AD143" s="103">
        <f t="shared" si="47"/>
        <v>0</v>
      </c>
      <c r="AE143" s="103">
        <f t="shared" si="47"/>
        <v>0</v>
      </c>
      <c r="AF143" s="103">
        <f t="shared" si="47"/>
        <v>0</v>
      </c>
      <c r="AG143" s="416">
        <f t="shared" si="47"/>
        <v>0</v>
      </c>
      <c r="AH143" s="195"/>
    </row>
    <row r="144" spans="2:34">
      <c r="B144" s="192"/>
      <c r="C144" s="74"/>
      <c r="D144" s="74" t="s">
        <v>275</v>
      </c>
      <c r="E144" s="74"/>
      <c r="F144" s="74"/>
      <c r="G144" s="74"/>
      <c r="H144" s="74"/>
      <c r="I144" s="74"/>
      <c r="J144" s="112"/>
      <c r="K144" s="74"/>
      <c r="L144" s="74"/>
      <c r="M144" s="74"/>
      <c r="N144" s="74"/>
      <c r="O144" s="415">
        <f>+SUMIF($I$149:$I$190,$D$144,O$149:O$190)</f>
        <v>0</v>
      </c>
      <c r="P144" s="415">
        <f>+SUMIF($I$149:$I$190,$D$144,P$149:P$190)</f>
        <v>0</v>
      </c>
      <c r="Q144" s="103">
        <f>+SUMIF($I$149:$I$190,$D$144,Q$149:Q$190)</f>
        <v>0</v>
      </c>
      <c r="R144" s="103">
        <f t="shared" ref="R144:AG144" si="48">+SUMIF($I$149:$I$190,$D$144,R$149:R$190)</f>
        <v>0</v>
      </c>
      <c r="S144" s="103">
        <f t="shared" si="48"/>
        <v>0</v>
      </c>
      <c r="T144" s="103">
        <f t="shared" si="48"/>
        <v>0</v>
      </c>
      <c r="U144" s="103">
        <f t="shared" si="48"/>
        <v>0</v>
      </c>
      <c r="V144" s="103">
        <f t="shared" si="48"/>
        <v>0</v>
      </c>
      <c r="W144" s="103">
        <f t="shared" si="48"/>
        <v>0</v>
      </c>
      <c r="X144" s="415">
        <f t="shared" si="48"/>
        <v>0</v>
      </c>
      <c r="Y144" s="103">
        <f t="shared" si="48"/>
        <v>0</v>
      </c>
      <c r="Z144" s="103">
        <f t="shared" si="48"/>
        <v>0</v>
      </c>
      <c r="AA144" s="103">
        <f t="shared" si="48"/>
        <v>0</v>
      </c>
      <c r="AB144" s="416">
        <f t="shared" si="48"/>
        <v>0</v>
      </c>
      <c r="AC144" s="103">
        <f t="shared" si="48"/>
        <v>0</v>
      </c>
      <c r="AD144" s="103">
        <f t="shared" si="48"/>
        <v>0</v>
      </c>
      <c r="AE144" s="103">
        <f t="shared" si="48"/>
        <v>0</v>
      </c>
      <c r="AF144" s="103">
        <f t="shared" si="48"/>
        <v>0</v>
      </c>
      <c r="AG144" s="416">
        <f t="shared" si="48"/>
        <v>0</v>
      </c>
      <c r="AH144" s="195"/>
    </row>
    <row r="145" spans="2:38">
      <c r="B145" s="192"/>
      <c r="C145" s="74"/>
      <c r="D145" s="74" t="s">
        <v>350</v>
      </c>
      <c r="E145" s="74"/>
      <c r="F145" s="74"/>
      <c r="G145" s="74"/>
      <c r="H145" s="74"/>
      <c r="I145" s="74"/>
      <c r="J145" s="112"/>
      <c r="K145" s="74"/>
      <c r="L145" s="74"/>
      <c r="M145" s="74"/>
      <c r="N145" s="74"/>
      <c r="O145" s="417">
        <f>+SUMIF($I$149:$I$190,$D$145,O$149:O$190)</f>
        <v>0</v>
      </c>
      <c r="P145" s="417">
        <f>+SUMIF($I$149:$I$190,$D$145,P$149:P$190)</f>
        <v>0</v>
      </c>
      <c r="Q145" s="418">
        <f>+SUMIF($I$149:$I$190,$D$145,Q$149:Q$190)</f>
        <v>0</v>
      </c>
      <c r="R145" s="418">
        <f t="shared" ref="R145:AG145" si="49">+SUMIF($I$149:$I$190,$D$145,R$149:R$190)</f>
        <v>0</v>
      </c>
      <c r="S145" s="418">
        <f t="shared" si="49"/>
        <v>0</v>
      </c>
      <c r="T145" s="418">
        <f t="shared" si="49"/>
        <v>0</v>
      </c>
      <c r="U145" s="418">
        <f t="shared" si="49"/>
        <v>0</v>
      </c>
      <c r="V145" s="418">
        <f t="shared" si="49"/>
        <v>0</v>
      </c>
      <c r="W145" s="418">
        <f t="shared" si="49"/>
        <v>0</v>
      </c>
      <c r="X145" s="417">
        <f t="shared" si="49"/>
        <v>0</v>
      </c>
      <c r="Y145" s="418">
        <f t="shared" si="49"/>
        <v>0</v>
      </c>
      <c r="Z145" s="418">
        <f t="shared" si="49"/>
        <v>0</v>
      </c>
      <c r="AA145" s="418">
        <f t="shared" si="49"/>
        <v>0</v>
      </c>
      <c r="AB145" s="419">
        <f t="shared" si="49"/>
        <v>0</v>
      </c>
      <c r="AC145" s="418">
        <f t="shared" si="49"/>
        <v>0</v>
      </c>
      <c r="AD145" s="418">
        <f t="shared" si="49"/>
        <v>0</v>
      </c>
      <c r="AE145" s="418">
        <f t="shared" si="49"/>
        <v>0</v>
      </c>
      <c r="AF145" s="418">
        <f t="shared" si="49"/>
        <v>0</v>
      </c>
      <c r="AG145" s="419">
        <f t="shared" si="49"/>
        <v>0</v>
      </c>
      <c r="AH145" s="195"/>
    </row>
    <row r="146" spans="2:38">
      <c r="B146" s="192"/>
      <c r="C146" s="112" t="s">
        <v>553</v>
      </c>
      <c r="D146" s="74"/>
      <c r="E146" s="74"/>
      <c r="F146" s="74"/>
      <c r="G146" s="74"/>
      <c r="H146" s="74"/>
      <c r="I146" s="74"/>
      <c r="J146" s="112"/>
      <c r="K146" s="74"/>
      <c r="L146" s="74"/>
      <c r="M146" s="74"/>
      <c r="N146" s="74"/>
      <c r="O146" s="420">
        <f>SUM(O142:O145)</f>
        <v>1.0313755656108596</v>
      </c>
      <c r="P146" s="420">
        <f>SUM(P142:P145)</f>
        <v>1.119602131438721</v>
      </c>
      <c r="Q146" s="420">
        <f>SUM(Q142:Q145)</f>
        <v>1.1838036809815951</v>
      </c>
      <c r="R146" s="420">
        <f>SUM(R142:R145)</f>
        <v>1.1572152658662092</v>
      </c>
      <c r="S146" s="420">
        <f>SUM(S142:S145)</f>
        <v>1.1742900763358779</v>
      </c>
      <c r="T146" s="420">
        <f t="shared" ref="T146:AG146" si="50">SUM(T142:T145)</f>
        <v>1.1378644067796608</v>
      </c>
      <c r="U146" s="420">
        <f t="shared" si="50"/>
        <v>1.1014072398190045</v>
      </c>
      <c r="V146" s="420">
        <f t="shared" si="50"/>
        <v>1.092626637554585</v>
      </c>
      <c r="W146" s="420">
        <f t="shared" si="50"/>
        <v>0.45500000000000002</v>
      </c>
      <c r="X146" s="420">
        <f t="shared" si="50"/>
        <v>0.45500000000000002</v>
      </c>
      <c r="Y146" s="420">
        <f t="shared" si="50"/>
        <v>0.45500000000000002</v>
      </c>
      <c r="Z146" s="420">
        <f t="shared" si="50"/>
        <v>0.45500000000000002</v>
      </c>
      <c r="AA146" s="420">
        <f t="shared" si="50"/>
        <v>0.45500000000000002</v>
      </c>
      <c r="AB146" s="420">
        <f t="shared" si="50"/>
        <v>0.45500000000000002</v>
      </c>
      <c r="AC146" s="420">
        <f t="shared" si="50"/>
        <v>0.45500000000000002</v>
      </c>
      <c r="AD146" s="420">
        <f t="shared" si="50"/>
        <v>0.45500000000000002</v>
      </c>
      <c r="AE146" s="420">
        <f t="shared" si="50"/>
        <v>0.45500000000000002</v>
      </c>
      <c r="AF146" s="420">
        <f t="shared" si="50"/>
        <v>0.45500000000000002</v>
      </c>
      <c r="AG146" s="420">
        <f t="shared" si="50"/>
        <v>0.45500000000000002</v>
      </c>
      <c r="AH146" s="195"/>
    </row>
    <row r="147" spans="2:38">
      <c r="B147" s="192"/>
      <c r="C147" s="409"/>
      <c r="D147" s="74"/>
      <c r="E147" s="74"/>
      <c r="F147" s="74"/>
      <c r="G147" s="74"/>
      <c r="H147" s="74"/>
      <c r="I147" s="112"/>
      <c r="J147" s="112"/>
      <c r="K147" s="74"/>
      <c r="L147" s="74"/>
      <c r="M147" s="74"/>
      <c r="N147" s="74"/>
      <c r="O147" s="74"/>
      <c r="P147" s="74"/>
      <c r="Q147" s="74"/>
      <c r="R147" s="74"/>
      <c r="S147" s="74"/>
      <c r="T147" s="74"/>
      <c r="U147" s="74"/>
      <c r="V147" s="74"/>
      <c r="W147" s="1775">
        <f>SUM(P146:W146)</f>
        <v>8.4218094387756537</v>
      </c>
      <c r="X147" s="1594"/>
      <c r="Y147" s="405"/>
      <c r="Z147" s="405"/>
      <c r="AA147" s="405"/>
      <c r="AB147" s="1775">
        <f>SUM(X146:AB146)</f>
        <v>2.2749999999999999</v>
      </c>
      <c r="AC147" s="405"/>
      <c r="AD147" s="405"/>
      <c r="AE147" s="405"/>
      <c r="AF147" s="405"/>
      <c r="AG147" s="1775">
        <f>SUM(AC146:AG146)</f>
        <v>2.2749999999999999</v>
      </c>
      <c r="AH147" s="195"/>
    </row>
    <row r="148" spans="2:38">
      <c r="B148" s="192"/>
      <c r="C148" s="112" t="s">
        <v>514</v>
      </c>
      <c r="D148" s="74"/>
      <c r="E148" s="112"/>
      <c r="F148" s="112"/>
      <c r="G148" s="112"/>
      <c r="H148" s="421" t="s">
        <v>551</v>
      </c>
      <c r="I148" s="422" t="s">
        <v>40</v>
      </c>
      <c r="J148" s="422" t="s">
        <v>44</v>
      </c>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195"/>
    </row>
    <row r="149" spans="2:38">
      <c r="B149" s="192">
        <v>1</v>
      </c>
      <c r="C149" s="2218" t="s">
        <v>1290</v>
      </c>
      <c r="D149" s="2218"/>
      <c r="E149" s="2218"/>
      <c r="F149" s="2218"/>
      <c r="G149" s="2218"/>
      <c r="H149" s="459" t="s">
        <v>602</v>
      </c>
      <c r="I149" s="460" t="s">
        <v>20</v>
      </c>
      <c r="J149" s="460" t="s">
        <v>319</v>
      </c>
      <c r="K149" s="461"/>
      <c r="L149" s="462"/>
      <c r="M149" s="462"/>
      <c r="N149" s="462"/>
      <c r="O149" s="1524">
        <v>1.0313755656108596</v>
      </c>
      <c r="P149" s="1524">
        <v>1.119602131438721</v>
      </c>
      <c r="Q149" s="1524">
        <v>1.1838036809815951</v>
      </c>
      <c r="R149" s="1524">
        <v>1.1572152658662092</v>
      </c>
      <c r="S149" s="1524">
        <v>1.1742900763358779</v>
      </c>
      <c r="T149" s="1524">
        <v>1.1378644067796608</v>
      </c>
      <c r="U149" s="1524">
        <v>1.1014072398190045</v>
      </c>
      <c r="V149" s="1524">
        <v>1.092626637554585</v>
      </c>
      <c r="W149" s="1525">
        <v>0.45500000000000002</v>
      </c>
      <c r="X149" s="1523">
        <v>0.45500000000000002</v>
      </c>
      <c r="Y149" s="1524">
        <v>0.45500000000000002</v>
      </c>
      <c r="Z149" s="1524">
        <v>0.45500000000000002</v>
      </c>
      <c r="AA149" s="1524">
        <v>0.45500000000000002</v>
      </c>
      <c r="AB149" s="1525">
        <v>0.45500000000000002</v>
      </c>
      <c r="AC149" s="1523">
        <v>0.45500000000000002</v>
      </c>
      <c r="AD149" s="1524">
        <v>0.45500000000000002</v>
      </c>
      <c r="AE149" s="1524">
        <v>0.45500000000000002</v>
      </c>
      <c r="AF149" s="1524">
        <v>0.45500000000000002</v>
      </c>
      <c r="AG149" s="1525">
        <v>0.45500000000000002</v>
      </c>
      <c r="AH149" s="195"/>
      <c r="AJ149" s="252" t="s">
        <v>444</v>
      </c>
      <c r="AK149" s="423"/>
      <c r="AL149" s="423"/>
    </row>
    <row r="150" spans="2:38">
      <c r="B150" s="192">
        <v>2</v>
      </c>
      <c r="C150" s="2218"/>
      <c r="D150" s="2218"/>
      <c r="E150" s="2218"/>
      <c r="F150" s="2218"/>
      <c r="G150" s="2218"/>
      <c r="H150" s="459" t="s">
        <v>552</v>
      </c>
      <c r="I150" s="460" t="s">
        <v>27</v>
      </c>
      <c r="J150" s="460" t="s">
        <v>318</v>
      </c>
      <c r="K150" s="463"/>
      <c r="L150" s="464"/>
      <c r="M150" s="464"/>
      <c r="N150" s="464"/>
      <c r="O150" s="961"/>
      <c r="P150" s="962"/>
      <c r="Q150" s="962"/>
      <c r="R150" s="451"/>
      <c r="S150" s="451"/>
      <c r="T150" s="451"/>
      <c r="U150" s="451"/>
      <c r="V150" s="451"/>
      <c r="W150" s="452"/>
      <c r="X150" s="450"/>
      <c r="Y150" s="451"/>
      <c r="Z150" s="451"/>
      <c r="AA150" s="451"/>
      <c r="AB150" s="452"/>
      <c r="AC150" s="450"/>
      <c r="AD150" s="451"/>
      <c r="AE150" s="451"/>
      <c r="AF150" s="451"/>
      <c r="AG150" s="452"/>
      <c r="AH150" s="195"/>
      <c r="AJ150" s="423"/>
      <c r="AK150" s="423"/>
      <c r="AL150" s="423"/>
    </row>
    <row r="151" spans="2:38">
      <c r="B151" s="192">
        <v>3</v>
      </c>
      <c r="C151" s="2218"/>
      <c r="D151" s="2218"/>
      <c r="E151" s="2218"/>
      <c r="F151" s="2218"/>
      <c r="G151" s="2218"/>
      <c r="H151" s="459" t="s">
        <v>552</v>
      </c>
      <c r="I151" s="460" t="s">
        <v>27</v>
      </c>
      <c r="J151" s="460" t="s">
        <v>318</v>
      </c>
      <c r="K151" s="463"/>
      <c r="L151" s="464"/>
      <c r="M151" s="464"/>
      <c r="N151" s="464"/>
      <c r="O151" s="961"/>
      <c r="P151" s="962"/>
      <c r="Q151" s="962"/>
      <c r="R151" s="451"/>
      <c r="S151" s="451"/>
      <c r="T151" s="451"/>
      <c r="U151" s="451"/>
      <c r="V151" s="451"/>
      <c r="W151" s="452"/>
      <c r="X151" s="450"/>
      <c r="Y151" s="451"/>
      <c r="Z151" s="451"/>
      <c r="AA151" s="451"/>
      <c r="AB151" s="452"/>
      <c r="AC151" s="450"/>
      <c r="AD151" s="451"/>
      <c r="AE151" s="451"/>
      <c r="AF151" s="451"/>
      <c r="AG151" s="452"/>
      <c r="AH151" s="195"/>
      <c r="AJ151" s="424" t="s">
        <v>27</v>
      </c>
      <c r="AK151" s="423"/>
      <c r="AL151" s="423"/>
    </row>
    <row r="152" spans="2:38">
      <c r="B152" s="192">
        <v>4</v>
      </c>
      <c r="C152" s="2218"/>
      <c r="D152" s="2218"/>
      <c r="E152" s="2218"/>
      <c r="F152" s="2218"/>
      <c r="G152" s="2218"/>
      <c r="H152" s="459" t="s">
        <v>552</v>
      </c>
      <c r="I152" s="460" t="s">
        <v>27</v>
      </c>
      <c r="J152" s="460" t="s">
        <v>318</v>
      </c>
      <c r="K152" s="463"/>
      <c r="L152" s="464"/>
      <c r="M152" s="464"/>
      <c r="N152" s="464"/>
      <c r="O152" s="961"/>
      <c r="P152" s="962"/>
      <c r="Q152" s="962"/>
      <c r="R152" s="451"/>
      <c r="S152" s="451"/>
      <c r="T152" s="451"/>
      <c r="U152" s="451"/>
      <c r="V152" s="451"/>
      <c r="W152" s="452"/>
      <c r="X152" s="450"/>
      <c r="Y152" s="451"/>
      <c r="Z152" s="451"/>
      <c r="AA152" s="451"/>
      <c r="AB152" s="452"/>
      <c r="AC152" s="450"/>
      <c r="AD152" s="451"/>
      <c r="AE152" s="451"/>
      <c r="AF152" s="451"/>
      <c r="AG152" s="452"/>
      <c r="AH152" s="195"/>
      <c r="AJ152" s="425" t="s">
        <v>20</v>
      </c>
      <c r="AK152" s="423"/>
      <c r="AL152" s="423"/>
    </row>
    <row r="153" spans="2:38">
      <c r="B153" s="192">
        <v>5</v>
      </c>
      <c r="C153" s="2218"/>
      <c r="D153" s="2218"/>
      <c r="E153" s="2218"/>
      <c r="F153" s="2218"/>
      <c r="G153" s="2218"/>
      <c r="H153" s="459" t="s">
        <v>552</v>
      </c>
      <c r="I153" s="460" t="s">
        <v>27</v>
      </c>
      <c r="J153" s="460" t="s">
        <v>318</v>
      </c>
      <c r="K153" s="463"/>
      <c r="L153" s="464"/>
      <c r="M153" s="464"/>
      <c r="N153" s="464"/>
      <c r="O153" s="961"/>
      <c r="P153" s="962"/>
      <c r="Q153" s="962"/>
      <c r="R153" s="451"/>
      <c r="S153" s="451"/>
      <c r="T153" s="451"/>
      <c r="U153" s="451"/>
      <c r="V153" s="451"/>
      <c r="W153" s="452"/>
      <c r="X153" s="450"/>
      <c r="Y153" s="451"/>
      <c r="Z153" s="451"/>
      <c r="AA153" s="451"/>
      <c r="AB153" s="452"/>
      <c r="AC153" s="450"/>
      <c r="AD153" s="451"/>
      <c r="AE153" s="451"/>
      <c r="AF153" s="451"/>
      <c r="AG153" s="452"/>
      <c r="AH153" s="195"/>
      <c r="AJ153" s="425" t="s">
        <v>21</v>
      </c>
      <c r="AK153" s="423"/>
      <c r="AL153" s="423"/>
    </row>
    <row r="154" spans="2:38">
      <c r="B154" s="192">
        <v>6</v>
      </c>
      <c r="C154" s="2218"/>
      <c r="D154" s="2218"/>
      <c r="E154" s="2218"/>
      <c r="F154" s="2218"/>
      <c r="G154" s="2218"/>
      <c r="H154" s="459" t="s">
        <v>552</v>
      </c>
      <c r="I154" s="460" t="s">
        <v>27</v>
      </c>
      <c r="J154" s="460" t="s">
        <v>318</v>
      </c>
      <c r="K154" s="463"/>
      <c r="L154" s="464"/>
      <c r="M154" s="464"/>
      <c r="N154" s="464"/>
      <c r="O154" s="961"/>
      <c r="P154" s="962"/>
      <c r="Q154" s="962"/>
      <c r="R154" s="451"/>
      <c r="S154" s="451"/>
      <c r="T154" s="451"/>
      <c r="U154" s="451"/>
      <c r="V154" s="451"/>
      <c r="W154" s="452"/>
      <c r="X154" s="450"/>
      <c r="Y154" s="451"/>
      <c r="Z154" s="451"/>
      <c r="AA154" s="451"/>
      <c r="AB154" s="452"/>
      <c r="AC154" s="450"/>
      <c r="AD154" s="451"/>
      <c r="AE154" s="451"/>
      <c r="AF154" s="451"/>
      <c r="AG154" s="452"/>
      <c r="AH154" s="195"/>
      <c r="AJ154" s="425" t="s">
        <v>275</v>
      </c>
      <c r="AK154" s="423"/>
      <c r="AL154" s="423"/>
    </row>
    <row r="155" spans="2:38">
      <c r="B155" s="192">
        <v>7</v>
      </c>
      <c r="C155" s="2218"/>
      <c r="D155" s="2218"/>
      <c r="E155" s="2218"/>
      <c r="F155" s="2218"/>
      <c r="G155" s="2218"/>
      <c r="H155" s="459" t="s">
        <v>552</v>
      </c>
      <c r="I155" s="460" t="s">
        <v>27</v>
      </c>
      <c r="J155" s="460" t="s">
        <v>318</v>
      </c>
      <c r="K155" s="463"/>
      <c r="L155" s="464"/>
      <c r="M155" s="464"/>
      <c r="N155" s="464"/>
      <c r="O155" s="961"/>
      <c r="P155" s="962"/>
      <c r="Q155" s="962"/>
      <c r="R155" s="451"/>
      <c r="S155" s="451"/>
      <c r="T155" s="451"/>
      <c r="U155" s="451"/>
      <c r="V155" s="451"/>
      <c r="W155" s="452"/>
      <c r="X155" s="450"/>
      <c r="Y155" s="451"/>
      <c r="Z155" s="451"/>
      <c r="AA155" s="451"/>
      <c r="AB155" s="452"/>
      <c r="AC155" s="450"/>
      <c r="AD155" s="451"/>
      <c r="AE155" s="451"/>
      <c r="AF155" s="451"/>
      <c r="AG155" s="452"/>
      <c r="AH155" s="195"/>
      <c r="AJ155" s="425" t="s">
        <v>350</v>
      </c>
      <c r="AK155" s="423"/>
      <c r="AL155" s="423"/>
    </row>
    <row r="156" spans="2:38">
      <c r="B156" s="192">
        <v>8</v>
      </c>
      <c r="C156" s="2218"/>
      <c r="D156" s="2218"/>
      <c r="E156" s="2218"/>
      <c r="F156" s="2218"/>
      <c r="G156" s="2218"/>
      <c r="H156" s="459" t="s">
        <v>552</v>
      </c>
      <c r="I156" s="460" t="s">
        <v>27</v>
      </c>
      <c r="J156" s="460" t="s">
        <v>318</v>
      </c>
      <c r="K156" s="463"/>
      <c r="L156" s="464"/>
      <c r="M156" s="464"/>
      <c r="N156" s="464"/>
      <c r="O156" s="961"/>
      <c r="P156" s="962"/>
      <c r="Q156" s="962"/>
      <c r="R156" s="451"/>
      <c r="S156" s="451"/>
      <c r="T156" s="451"/>
      <c r="U156" s="451"/>
      <c r="V156" s="451"/>
      <c r="W156" s="452"/>
      <c r="X156" s="450"/>
      <c r="Y156" s="451"/>
      <c r="Z156" s="451"/>
      <c r="AA156" s="451"/>
      <c r="AB156" s="452"/>
      <c r="AC156" s="450"/>
      <c r="AD156" s="451"/>
      <c r="AE156" s="451"/>
      <c r="AF156" s="451"/>
      <c r="AG156" s="452"/>
      <c r="AH156" s="195"/>
      <c r="AJ156" s="425"/>
      <c r="AK156" s="423"/>
      <c r="AL156" s="423"/>
    </row>
    <row r="157" spans="2:38">
      <c r="B157" s="192">
        <v>9</v>
      </c>
      <c r="C157" s="2218"/>
      <c r="D157" s="2218"/>
      <c r="E157" s="2218"/>
      <c r="F157" s="2218"/>
      <c r="G157" s="2218"/>
      <c r="H157" s="459" t="s">
        <v>552</v>
      </c>
      <c r="I157" s="460" t="s">
        <v>27</v>
      </c>
      <c r="J157" s="460" t="s">
        <v>318</v>
      </c>
      <c r="K157" s="463"/>
      <c r="L157" s="464"/>
      <c r="M157" s="464"/>
      <c r="N157" s="464"/>
      <c r="O157" s="961"/>
      <c r="P157" s="962"/>
      <c r="Q157" s="962"/>
      <c r="R157" s="451"/>
      <c r="S157" s="451"/>
      <c r="T157" s="451"/>
      <c r="U157" s="451"/>
      <c r="V157" s="451"/>
      <c r="W157" s="452"/>
      <c r="X157" s="450"/>
      <c r="Y157" s="451"/>
      <c r="Z157" s="451"/>
      <c r="AA157" s="451"/>
      <c r="AB157" s="452"/>
      <c r="AC157" s="450"/>
      <c r="AD157" s="451"/>
      <c r="AE157" s="451"/>
      <c r="AF157" s="451"/>
      <c r="AG157" s="452"/>
      <c r="AH157" s="195"/>
      <c r="AJ157" s="424" t="s">
        <v>552</v>
      </c>
      <c r="AK157" s="423"/>
      <c r="AL157" s="423"/>
    </row>
    <row r="158" spans="2:38">
      <c r="B158" s="192">
        <v>10</v>
      </c>
      <c r="C158" s="2218"/>
      <c r="D158" s="2218"/>
      <c r="E158" s="2218"/>
      <c r="F158" s="2218"/>
      <c r="G158" s="2218"/>
      <c r="H158" s="459" t="s">
        <v>552</v>
      </c>
      <c r="I158" s="460" t="s">
        <v>27</v>
      </c>
      <c r="J158" s="460" t="s">
        <v>318</v>
      </c>
      <c r="K158" s="463"/>
      <c r="L158" s="464"/>
      <c r="M158" s="464"/>
      <c r="N158" s="464"/>
      <c r="O158" s="961"/>
      <c r="P158" s="962"/>
      <c r="Q158" s="962"/>
      <c r="R158" s="451"/>
      <c r="S158" s="451"/>
      <c r="T158" s="451"/>
      <c r="U158" s="451"/>
      <c r="V158" s="451"/>
      <c r="W158" s="452"/>
      <c r="X158" s="450"/>
      <c r="Y158" s="451"/>
      <c r="Z158" s="451"/>
      <c r="AA158" s="451"/>
      <c r="AB158" s="452"/>
      <c r="AC158" s="450"/>
      <c r="AD158" s="451"/>
      <c r="AE158" s="451"/>
      <c r="AF158" s="451"/>
      <c r="AG158" s="452"/>
      <c r="AH158" s="195"/>
      <c r="AJ158" s="425" t="s">
        <v>243</v>
      </c>
      <c r="AK158" s="423"/>
      <c r="AL158" s="423"/>
    </row>
    <row r="159" spans="2:38">
      <c r="B159" s="192">
        <v>11</v>
      </c>
      <c r="C159" s="2218"/>
      <c r="D159" s="2218"/>
      <c r="E159" s="2218"/>
      <c r="F159" s="2218"/>
      <c r="G159" s="2218"/>
      <c r="H159" s="459" t="s">
        <v>552</v>
      </c>
      <c r="I159" s="460" t="s">
        <v>27</v>
      </c>
      <c r="J159" s="460" t="s">
        <v>318</v>
      </c>
      <c r="K159" s="463"/>
      <c r="L159" s="464"/>
      <c r="M159" s="464"/>
      <c r="N159" s="464"/>
      <c r="O159" s="961"/>
      <c r="P159" s="962"/>
      <c r="Q159" s="962"/>
      <c r="R159" s="451"/>
      <c r="S159" s="451"/>
      <c r="T159" s="451"/>
      <c r="U159" s="451"/>
      <c r="V159" s="451"/>
      <c r="W159" s="452"/>
      <c r="X159" s="450"/>
      <c r="Y159" s="451"/>
      <c r="Z159" s="451"/>
      <c r="AA159" s="451"/>
      <c r="AB159" s="452"/>
      <c r="AC159" s="450"/>
      <c r="AD159" s="451"/>
      <c r="AE159" s="451"/>
      <c r="AF159" s="451"/>
      <c r="AG159" s="452"/>
      <c r="AH159" s="195"/>
      <c r="AJ159" s="425" t="s">
        <v>602</v>
      </c>
      <c r="AK159" s="423"/>
      <c r="AL159" s="423"/>
    </row>
    <row r="160" spans="2:38">
      <c r="B160" s="192">
        <v>12</v>
      </c>
      <c r="C160" s="2218"/>
      <c r="D160" s="2218"/>
      <c r="E160" s="2218"/>
      <c r="F160" s="2218"/>
      <c r="G160" s="2218"/>
      <c r="H160" s="459" t="s">
        <v>552</v>
      </c>
      <c r="I160" s="460" t="s">
        <v>27</v>
      </c>
      <c r="J160" s="460" t="s">
        <v>318</v>
      </c>
      <c r="K160" s="463"/>
      <c r="L160" s="464"/>
      <c r="M160" s="464"/>
      <c r="N160" s="464"/>
      <c r="O160" s="961"/>
      <c r="P160" s="962"/>
      <c r="Q160" s="962"/>
      <c r="R160" s="451"/>
      <c r="S160" s="451"/>
      <c r="T160" s="451"/>
      <c r="U160" s="451"/>
      <c r="V160" s="451"/>
      <c r="W160" s="452"/>
      <c r="X160" s="450"/>
      <c r="Y160" s="451"/>
      <c r="Z160" s="451"/>
      <c r="AA160" s="451"/>
      <c r="AB160" s="452"/>
      <c r="AC160" s="450"/>
      <c r="AD160" s="451"/>
      <c r="AE160" s="451"/>
      <c r="AF160" s="451"/>
      <c r="AG160" s="452"/>
      <c r="AH160" s="195"/>
      <c r="AJ160" s="425" t="s">
        <v>512</v>
      </c>
      <c r="AK160" s="423"/>
      <c r="AL160" s="423"/>
    </row>
    <row r="161" spans="2:34">
      <c r="B161" s="192">
        <v>13</v>
      </c>
      <c r="C161" s="2218"/>
      <c r="D161" s="2218"/>
      <c r="E161" s="2218"/>
      <c r="F161" s="2218"/>
      <c r="G161" s="2218"/>
      <c r="H161" s="459" t="s">
        <v>552</v>
      </c>
      <c r="I161" s="460" t="s">
        <v>27</v>
      </c>
      <c r="J161" s="460" t="s">
        <v>318</v>
      </c>
      <c r="K161" s="463"/>
      <c r="L161" s="464"/>
      <c r="M161" s="464"/>
      <c r="N161" s="464"/>
      <c r="O161" s="961"/>
      <c r="P161" s="962"/>
      <c r="Q161" s="962"/>
      <c r="R161" s="451"/>
      <c r="S161" s="451"/>
      <c r="T161" s="451"/>
      <c r="U161" s="451"/>
      <c r="V161" s="451"/>
      <c r="W161" s="452"/>
      <c r="X161" s="450"/>
      <c r="Y161" s="451"/>
      <c r="Z161" s="451"/>
      <c r="AA161" s="451"/>
      <c r="AB161" s="452"/>
      <c r="AC161" s="450"/>
      <c r="AD161" s="451"/>
      <c r="AE161" s="451"/>
      <c r="AF161" s="451"/>
      <c r="AG161" s="452"/>
      <c r="AH161" s="195"/>
    </row>
    <row r="162" spans="2:34">
      <c r="B162" s="192">
        <v>14</v>
      </c>
      <c r="C162" s="2218"/>
      <c r="D162" s="2218"/>
      <c r="E162" s="2218"/>
      <c r="F162" s="2218"/>
      <c r="G162" s="2218"/>
      <c r="H162" s="459" t="s">
        <v>552</v>
      </c>
      <c r="I162" s="460" t="s">
        <v>27</v>
      </c>
      <c r="J162" s="460" t="s">
        <v>318</v>
      </c>
      <c r="K162" s="463"/>
      <c r="L162" s="464"/>
      <c r="M162" s="464"/>
      <c r="N162" s="464"/>
      <c r="O162" s="961"/>
      <c r="P162" s="962"/>
      <c r="Q162" s="962"/>
      <c r="R162" s="451"/>
      <c r="S162" s="451"/>
      <c r="T162" s="451"/>
      <c r="U162" s="451"/>
      <c r="V162" s="451"/>
      <c r="W162" s="452"/>
      <c r="X162" s="450"/>
      <c r="Y162" s="451"/>
      <c r="Z162" s="451"/>
      <c r="AA162" s="451"/>
      <c r="AB162" s="452"/>
      <c r="AC162" s="450"/>
      <c r="AD162" s="451"/>
      <c r="AE162" s="451"/>
      <c r="AF162" s="451"/>
      <c r="AG162" s="452"/>
      <c r="AH162" s="195"/>
    </row>
    <row r="163" spans="2:34">
      <c r="B163" s="192">
        <v>15</v>
      </c>
      <c r="C163" s="2218"/>
      <c r="D163" s="2218"/>
      <c r="E163" s="2218"/>
      <c r="F163" s="2218"/>
      <c r="G163" s="2218"/>
      <c r="H163" s="459" t="s">
        <v>552</v>
      </c>
      <c r="I163" s="460" t="s">
        <v>27</v>
      </c>
      <c r="J163" s="460" t="s">
        <v>318</v>
      </c>
      <c r="K163" s="463"/>
      <c r="L163" s="464"/>
      <c r="M163" s="464"/>
      <c r="N163" s="464"/>
      <c r="O163" s="961"/>
      <c r="P163" s="962"/>
      <c r="Q163" s="962"/>
      <c r="R163" s="451"/>
      <c r="S163" s="451"/>
      <c r="T163" s="451"/>
      <c r="U163" s="451"/>
      <c r="V163" s="451"/>
      <c r="W163" s="452"/>
      <c r="X163" s="450"/>
      <c r="Y163" s="451"/>
      <c r="Z163" s="451"/>
      <c r="AA163" s="451"/>
      <c r="AB163" s="452"/>
      <c r="AC163" s="450"/>
      <c r="AD163" s="451"/>
      <c r="AE163" s="451"/>
      <c r="AF163" s="451"/>
      <c r="AG163" s="452"/>
      <c r="AH163" s="195"/>
    </row>
    <row r="164" spans="2:34">
      <c r="B164" s="192">
        <v>16</v>
      </c>
      <c r="C164" s="2218"/>
      <c r="D164" s="2218"/>
      <c r="E164" s="2218"/>
      <c r="F164" s="2218"/>
      <c r="G164" s="2218"/>
      <c r="H164" s="459" t="s">
        <v>552</v>
      </c>
      <c r="I164" s="460" t="s">
        <v>27</v>
      </c>
      <c r="J164" s="460" t="s">
        <v>318</v>
      </c>
      <c r="K164" s="463"/>
      <c r="L164" s="464"/>
      <c r="M164" s="464"/>
      <c r="N164" s="464"/>
      <c r="O164" s="961"/>
      <c r="P164" s="962"/>
      <c r="Q164" s="962"/>
      <c r="R164" s="451"/>
      <c r="S164" s="451"/>
      <c r="T164" s="451"/>
      <c r="U164" s="451"/>
      <c r="V164" s="451"/>
      <c r="W164" s="452"/>
      <c r="X164" s="450"/>
      <c r="Y164" s="451"/>
      <c r="Z164" s="451"/>
      <c r="AA164" s="451"/>
      <c r="AB164" s="452"/>
      <c r="AC164" s="450"/>
      <c r="AD164" s="451"/>
      <c r="AE164" s="451"/>
      <c r="AF164" s="451"/>
      <c r="AG164" s="452"/>
      <c r="AH164" s="195"/>
    </row>
    <row r="165" spans="2:34">
      <c r="B165" s="192">
        <v>17</v>
      </c>
      <c r="C165" s="2218"/>
      <c r="D165" s="2218"/>
      <c r="E165" s="2218"/>
      <c r="F165" s="2218"/>
      <c r="G165" s="2218"/>
      <c r="H165" s="459" t="s">
        <v>552</v>
      </c>
      <c r="I165" s="460" t="s">
        <v>27</v>
      </c>
      <c r="J165" s="460" t="s">
        <v>318</v>
      </c>
      <c r="K165" s="463"/>
      <c r="L165" s="464"/>
      <c r="M165" s="464"/>
      <c r="N165" s="464"/>
      <c r="O165" s="961"/>
      <c r="P165" s="962"/>
      <c r="Q165" s="962"/>
      <c r="R165" s="451"/>
      <c r="S165" s="451"/>
      <c r="T165" s="451"/>
      <c r="U165" s="451"/>
      <c r="V165" s="451"/>
      <c r="W165" s="452"/>
      <c r="X165" s="450"/>
      <c r="Y165" s="451"/>
      <c r="Z165" s="451"/>
      <c r="AA165" s="451"/>
      <c r="AB165" s="452"/>
      <c r="AC165" s="450"/>
      <c r="AD165" s="451"/>
      <c r="AE165" s="451"/>
      <c r="AF165" s="451"/>
      <c r="AG165" s="452"/>
      <c r="AH165" s="195"/>
    </row>
    <row r="166" spans="2:34">
      <c r="B166" s="192">
        <v>18</v>
      </c>
      <c r="C166" s="2218"/>
      <c r="D166" s="2218"/>
      <c r="E166" s="2218"/>
      <c r="F166" s="2218"/>
      <c r="G166" s="2218"/>
      <c r="H166" s="459" t="s">
        <v>552</v>
      </c>
      <c r="I166" s="460" t="s">
        <v>27</v>
      </c>
      <c r="J166" s="460" t="s">
        <v>318</v>
      </c>
      <c r="K166" s="463"/>
      <c r="L166" s="464"/>
      <c r="M166" s="464"/>
      <c r="N166" s="464"/>
      <c r="O166" s="961"/>
      <c r="P166" s="962"/>
      <c r="Q166" s="962"/>
      <c r="R166" s="451"/>
      <c r="S166" s="451"/>
      <c r="T166" s="451"/>
      <c r="U166" s="451"/>
      <c r="V166" s="451"/>
      <c r="W166" s="452"/>
      <c r="X166" s="450"/>
      <c r="Y166" s="451"/>
      <c r="Z166" s="451"/>
      <c r="AA166" s="451"/>
      <c r="AB166" s="452"/>
      <c r="AC166" s="450"/>
      <c r="AD166" s="451"/>
      <c r="AE166" s="451"/>
      <c r="AF166" s="451"/>
      <c r="AG166" s="452"/>
      <c r="AH166" s="195"/>
    </row>
    <row r="167" spans="2:34">
      <c r="B167" s="192">
        <v>19</v>
      </c>
      <c r="C167" s="2218"/>
      <c r="D167" s="2218"/>
      <c r="E167" s="2218"/>
      <c r="F167" s="2218"/>
      <c r="G167" s="2218"/>
      <c r="H167" s="459" t="s">
        <v>552</v>
      </c>
      <c r="I167" s="460" t="s">
        <v>27</v>
      </c>
      <c r="J167" s="460" t="s">
        <v>318</v>
      </c>
      <c r="K167" s="463"/>
      <c r="L167" s="464"/>
      <c r="M167" s="464"/>
      <c r="N167" s="464"/>
      <c r="O167" s="961"/>
      <c r="P167" s="962"/>
      <c r="Q167" s="962"/>
      <c r="R167" s="451"/>
      <c r="S167" s="451"/>
      <c r="T167" s="451"/>
      <c r="U167" s="451"/>
      <c r="V167" s="451"/>
      <c r="W167" s="452"/>
      <c r="X167" s="450"/>
      <c r="Y167" s="451"/>
      <c r="Z167" s="451"/>
      <c r="AA167" s="451"/>
      <c r="AB167" s="452"/>
      <c r="AC167" s="450"/>
      <c r="AD167" s="451"/>
      <c r="AE167" s="451"/>
      <c r="AF167" s="451"/>
      <c r="AG167" s="452"/>
      <c r="AH167" s="195"/>
    </row>
    <row r="168" spans="2:34">
      <c r="B168" s="192">
        <v>20</v>
      </c>
      <c r="C168" s="2218"/>
      <c r="D168" s="2218"/>
      <c r="E168" s="2218"/>
      <c r="F168" s="2218"/>
      <c r="G168" s="2218"/>
      <c r="H168" s="459" t="s">
        <v>552</v>
      </c>
      <c r="I168" s="460" t="s">
        <v>27</v>
      </c>
      <c r="J168" s="460" t="s">
        <v>318</v>
      </c>
      <c r="K168" s="463"/>
      <c r="L168" s="464"/>
      <c r="M168" s="464"/>
      <c r="N168" s="464"/>
      <c r="O168" s="961"/>
      <c r="P168" s="962"/>
      <c r="Q168" s="962"/>
      <c r="R168" s="451"/>
      <c r="S168" s="451"/>
      <c r="T168" s="451"/>
      <c r="U168" s="451"/>
      <c r="V168" s="451"/>
      <c r="W168" s="452"/>
      <c r="X168" s="450"/>
      <c r="Y168" s="451"/>
      <c r="Z168" s="451"/>
      <c r="AA168" s="451"/>
      <c r="AB168" s="452"/>
      <c r="AC168" s="450"/>
      <c r="AD168" s="451"/>
      <c r="AE168" s="451"/>
      <c r="AF168" s="451"/>
      <c r="AG168" s="452"/>
      <c r="AH168" s="195"/>
    </row>
    <row r="169" spans="2:34">
      <c r="B169" s="192">
        <v>21</v>
      </c>
      <c r="C169" s="2218"/>
      <c r="D169" s="2218"/>
      <c r="E169" s="2218"/>
      <c r="F169" s="2218"/>
      <c r="G169" s="2218"/>
      <c r="H169" s="459" t="s">
        <v>552</v>
      </c>
      <c r="I169" s="460" t="s">
        <v>27</v>
      </c>
      <c r="J169" s="460" t="s">
        <v>318</v>
      </c>
      <c r="K169" s="463"/>
      <c r="L169" s="464"/>
      <c r="M169" s="464"/>
      <c r="N169" s="464"/>
      <c r="O169" s="961"/>
      <c r="P169" s="962"/>
      <c r="Q169" s="962"/>
      <c r="R169" s="451"/>
      <c r="S169" s="451"/>
      <c r="T169" s="451"/>
      <c r="U169" s="451"/>
      <c r="V169" s="451"/>
      <c r="W169" s="452"/>
      <c r="X169" s="450"/>
      <c r="Y169" s="451"/>
      <c r="Z169" s="451"/>
      <c r="AA169" s="451"/>
      <c r="AB169" s="452"/>
      <c r="AC169" s="450"/>
      <c r="AD169" s="451"/>
      <c r="AE169" s="451"/>
      <c r="AF169" s="451"/>
      <c r="AG169" s="452"/>
      <c r="AH169" s="195"/>
    </row>
    <row r="170" spans="2:34">
      <c r="B170" s="192">
        <v>22</v>
      </c>
      <c r="C170" s="2218"/>
      <c r="D170" s="2218"/>
      <c r="E170" s="2218"/>
      <c r="F170" s="2218"/>
      <c r="G170" s="2218"/>
      <c r="H170" s="459" t="s">
        <v>552</v>
      </c>
      <c r="I170" s="460" t="s">
        <v>27</v>
      </c>
      <c r="J170" s="460" t="s">
        <v>318</v>
      </c>
      <c r="K170" s="463"/>
      <c r="L170" s="464"/>
      <c r="M170" s="464"/>
      <c r="N170" s="464"/>
      <c r="O170" s="961"/>
      <c r="P170" s="962"/>
      <c r="Q170" s="962"/>
      <c r="R170" s="451"/>
      <c r="S170" s="451"/>
      <c r="T170" s="451"/>
      <c r="U170" s="451"/>
      <c r="V170" s="451"/>
      <c r="W170" s="452"/>
      <c r="X170" s="450"/>
      <c r="Y170" s="451"/>
      <c r="Z170" s="451"/>
      <c r="AA170" s="451"/>
      <c r="AB170" s="452"/>
      <c r="AC170" s="450"/>
      <c r="AD170" s="451"/>
      <c r="AE170" s="451"/>
      <c r="AF170" s="451"/>
      <c r="AG170" s="452"/>
      <c r="AH170" s="195"/>
    </row>
    <row r="171" spans="2:34">
      <c r="B171" s="192">
        <v>23</v>
      </c>
      <c r="C171" s="2218"/>
      <c r="D171" s="2218"/>
      <c r="E171" s="2218"/>
      <c r="F171" s="2218"/>
      <c r="G171" s="2218"/>
      <c r="H171" s="459" t="s">
        <v>552</v>
      </c>
      <c r="I171" s="460" t="s">
        <v>27</v>
      </c>
      <c r="J171" s="460" t="s">
        <v>318</v>
      </c>
      <c r="K171" s="463"/>
      <c r="L171" s="464"/>
      <c r="M171" s="464"/>
      <c r="N171" s="464"/>
      <c r="O171" s="961"/>
      <c r="P171" s="962"/>
      <c r="Q171" s="962"/>
      <c r="R171" s="451"/>
      <c r="S171" s="451"/>
      <c r="T171" s="451"/>
      <c r="U171" s="451"/>
      <c r="V171" s="451"/>
      <c r="W171" s="452"/>
      <c r="X171" s="450"/>
      <c r="Y171" s="451"/>
      <c r="Z171" s="451"/>
      <c r="AA171" s="451"/>
      <c r="AB171" s="452"/>
      <c r="AC171" s="450"/>
      <c r="AD171" s="451"/>
      <c r="AE171" s="451"/>
      <c r="AF171" s="451"/>
      <c r="AG171" s="452"/>
      <c r="AH171" s="195"/>
    </row>
    <row r="172" spans="2:34">
      <c r="B172" s="192">
        <v>24</v>
      </c>
      <c r="C172" s="2218"/>
      <c r="D172" s="2218"/>
      <c r="E172" s="2218"/>
      <c r="F172" s="2218"/>
      <c r="G172" s="2218"/>
      <c r="H172" s="459" t="s">
        <v>552</v>
      </c>
      <c r="I172" s="460" t="s">
        <v>27</v>
      </c>
      <c r="J172" s="460" t="s">
        <v>318</v>
      </c>
      <c r="K172" s="463"/>
      <c r="L172" s="464"/>
      <c r="M172" s="464"/>
      <c r="N172" s="464"/>
      <c r="O172" s="961"/>
      <c r="P172" s="962"/>
      <c r="Q172" s="962"/>
      <c r="R172" s="451"/>
      <c r="S172" s="451"/>
      <c r="T172" s="451"/>
      <c r="U172" s="451"/>
      <c r="V172" s="451"/>
      <c r="W172" s="452"/>
      <c r="X172" s="450"/>
      <c r="Y172" s="451"/>
      <c r="Z172" s="451"/>
      <c r="AA172" s="451"/>
      <c r="AB172" s="452"/>
      <c r="AC172" s="450"/>
      <c r="AD172" s="451"/>
      <c r="AE172" s="451"/>
      <c r="AF172" s="451"/>
      <c r="AG172" s="452"/>
      <c r="AH172" s="195"/>
    </row>
    <row r="173" spans="2:34">
      <c r="B173" s="192">
        <v>25</v>
      </c>
      <c r="C173" s="2218"/>
      <c r="D173" s="2218"/>
      <c r="E173" s="2218"/>
      <c r="F173" s="2218"/>
      <c r="G173" s="2218"/>
      <c r="H173" s="459" t="s">
        <v>552</v>
      </c>
      <c r="I173" s="460" t="s">
        <v>27</v>
      </c>
      <c r="J173" s="460" t="s">
        <v>318</v>
      </c>
      <c r="K173" s="463"/>
      <c r="L173" s="464"/>
      <c r="M173" s="464"/>
      <c r="N173" s="464"/>
      <c r="O173" s="961"/>
      <c r="P173" s="962"/>
      <c r="Q173" s="962"/>
      <c r="R173" s="451"/>
      <c r="S173" s="451"/>
      <c r="T173" s="451"/>
      <c r="U173" s="451"/>
      <c r="V173" s="451"/>
      <c r="W173" s="452"/>
      <c r="X173" s="450"/>
      <c r="Y173" s="451"/>
      <c r="Z173" s="451"/>
      <c r="AA173" s="451"/>
      <c r="AB173" s="452"/>
      <c r="AC173" s="450"/>
      <c r="AD173" s="451"/>
      <c r="AE173" s="451"/>
      <c r="AF173" s="451"/>
      <c r="AG173" s="452"/>
      <c r="AH173" s="195"/>
    </row>
    <row r="174" spans="2:34">
      <c r="B174" s="192">
        <v>26</v>
      </c>
      <c r="C174" s="2218"/>
      <c r="D174" s="2218"/>
      <c r="E174" s="2218"/>
      <c r="F174" s="2218"/>
      <c r="G174" s="2218"/>
      <c r="H174" s="459" t="s">
        <v>552</v>
      </c>
      <c r="I174" s="460" t="s">
        <v>27</v>
      </c>
      <c r="J174" s="460" t="s">
        <v>318</v>
      </c>
      <c r="K174" s="463"/>
      <c r="L174" s="464"/>
      <c r="M174" s="464"/>
      <c r="N174" s="464"/>
      <c r="O174" s="961"/>
      <c r="P174" s="962"/>
      <c r="Q174" s="962"/>
      <c r="R174" s="451"/>
      <c r="S174" s="451"/>
      <c r="T174" s="451"/>
      <c r="U174" s="451"/>
      <c r="V174" s="451"/>
      <c r="W174" s="452"/>
      <c r="X174" s="450"/>
      <c r="Y174" s="451"/>
      <c r="Z174" s="451"/>
      <c r="AA174" s="451"/>
      <c r="AB174" s="452"/>
      <c r="AC174" s="450"/>
      <c r="AD174" s="451"/>
      <c r="AE174" s="451"/>
      <c r="AF174" s="451"/>
      <c r="AG174" s="452"/>
      <c r="AH174" s="195"/>
    </row>
    <row r="175" spans="2:34">
      <c r="B175" s="192">
        <v>27</v>
      </c>
      <c r="C175" s="2218"/>
      <c r="D175" s="2218"/>
      <c r="E175" s="2218"/>
      <c r="F175" s="2218"/>
      <c r="G175" s="2218"/>
      <c r="H175" s="459" t="s">
        <v>552</v>
      </c>
      <c r="I175" s="460" t="s">
        <v>27</v>
      </c>
      <c r="J175" s="460" t="s">
        <v>318</v>
      </c>
      <c r="K175" s="463"/>
      <c r="L175" s="464"/>
      <c r="M175" s="464"/>
      <c r="N175" s="464"/>
      <c r="O175" s="961"/>
      <c r="P175" s="962"/>
      <c r="Q175" s="962"/>
      <c r="R175" s="451"/>
      <c r="S175" s="451"/>
      <c r="T175" s="451"/>
      <c r="U175" s="451"/>
      <c r="V175" s="451"/>
      <c r="W175" s="452"/>
      <c r="X175" s="450"/>
      <c r="Y175" s="451"/>
      <c r="Z175" s="451"/>
      <c r="AA175" s="451"/>
      <c r="AB175" s="452"/>
      <c r="AC175" s="450"/>
      <c r="AD175" s="451"/>
      <c r="AE175" s="451"/>
      <c r="AF175" s="451"/>
      <c r="AG175" s="452"/>
      <c r="AH175" s="195"/>
    </row>
    <row r="176" spans="2:34">
      <c r="B176" s="192">
        <v>28</v>
      </c>
      <c r="C176" s="2218"/>
      <c r="D176" s="2218"/>
      <c r="E176" s="2218"/>
      <c r="F176" s="2218"/>
      <c r="G176" s="2218"/>
      <c r="H176" s="459" t="s">
        <v>552</v>
      </c>
      <c r="I176" s="460" t="s">
        <v>27</v>
      </c>
      <c r="J176" s="460" t="s">
        <v>318</v>
      </c>
      <c r="K176" s="464"/>
      <c r="L176" s="464"/>
      <c r="M176" s="464"/>
      <c r="N176" s="464"/>
      <c r="O176" s="961"/>
      <c r="P176" s="962"/>
      <c r="Q176" s="962"/>
      <c r="R176" s="451"/>
      <c r="S176" s="451"/>
      <c r="T176" s="451"/>
      <c r="U176" s="451"/>
      <c r="V176" s="451"/>
      <c r="W176" s="452"/>
      <c r="X176" s="450"/>
      <c r="Y176" s="451"/>
      <c r="Z176" s="451"/>
      <c r="AA176" s="451"/>
      <c r="AB176" s="452"/>
      <c r="AC176" s="450"/>
      <c r="AD176" s="451"/>
      <c r="AE176" s="451"/>
      <c r="AF176" s="451"/>
      <c r="AG176" s="452"/>
      <c r="AH176" s="195"/>
    </row>
    <row r="177" spans="2:35">
      <c r="B177" s="192">
        <v>29</v>
      </c>
      <c r="C177" s="2218"/>
      <c r="D177" s="2218"/>
      <c r="E177" s="2218"/>
      <c r="F177" s="2218"/>
      <c r="G177" s="2218"/>
      <c r="H177" s="459" t="s">
        <v>552</v>
      </c>
      <c r="I177" s="460" t="s">
        <v>27</v>
      </c>
      <c r="J177" s="460" t="s">
        <v>318</v>
      </c>
      <c r="K177" s="464"/>
      <c r="L177" s="464"/>
      <c r="M177" s="464"/>
      <c r="N177" s="464"/>
      <c r="O177" s="961"/>
      <c r="P177" s="962"/>
      <c r="Q177" s="962"/>
      <c r="R177" s="451"/>
      <c r="S177" s="451"/>
      <c r="T177" s="451"/>
      <c r="U177" s="451"/>
      <c r="V177" s="451"/>
      <c r="W177" s="452"/>
      <c r="X177" s="450"/>
      <c r="Y177" s="451"/>
      <c r="Z177" s="451"/>
      <c r="AA177" s="451"/>
      <c r="AB177" s="452"/>
      <c r="AC177" s="450"/>
      <c r="AD177" s="451"/>
      <c r="AE177" s="451"/>
      <c r="AF177" s="451"/>
      <c r="AG177" s="452"/>
      <c r="AH177" s="195"/>
    </row>
    <row r="178" spans="2:35">
      <c r="B178" s="192">
        <v>30</v>
      </c>
      <c r="C178" s="2218"/>
      <c r="D178" s="2218"/>
      <c r="E178" s="2218"/>
      <c r="F178" s="2218"/>
      <c r="G178" s="2218"/>
      <c r="H178" s="459" t="s">
        <v>552</v>
      </c>
      <c r="I178" s="460" t="s">
        <v>27</v>
      </c>
      <c r="J178" s="460" t="s">
        <v>318</v>
      </c>
      <c r="K178" s="464"/>
      <c r="L178" s="464"/>
      <c r="M178" s="464"/>
      <c r="N178" s="464"/>
      <c r="O178" s="961"/>
      <c r="P178" s="962"/>
      <c r="Q178" s="962"/>
      <c r="R178" s="451"/>
      <c r="S178" s="451"/>
      <c r="T178" s="451"/>
      <c r="U178" s="451"/>
      <c r="V178" s="451"/>
      <c r="W178" s="452"/>
      <c r="X178" s="450"/>
      <c r="Y178" s="451"/>
      <c r="Z178" s="451"/>
      <c r="AA178" s="451"/>
      <c r="AB178" s="452"/>
      <c r="AC178" s="450"/>
      <c r="AD178" s="451"/>
      <c r="AE178" s="451"/>
      <c r="AF178" s="451"/>
      <c r="AG178" s="452"/>
      <c r="AH178" s="195"/>
    </row>
    <row r="179" spans="2:35">
      <c r="B179" s="192">
        <v>31</v>
      </c>
      <c r="C179" s="2218"/>
      <c r="D179" s="2218"/>
      <c r="E179" s="2218"/>
      <c r="F179" s="2218"/>
      <c r="G179" s="2218"/>
      <c r="H179" s="459" t="s">
        <v>552</v>
      </c>
      <c r="I179" s="460" t="s">
        <v>27</v>
      </c>
      <c r="J179" s="460" t="s">
        <v>318</v>
      </c>
      <c r="K179" s="464"/>
      <c r="L179" s="464"/>
      <c r="M179" s="464"/>
      <c r="N179" s="464"/>
      <c r="O179" s="961"/>
      <c r="P179" s="962"/>
      <c r="Q179" s="962"/>
      <c r="R179" s="451"/>
      <c r="S179" s="451"/>
      <c r="T179" s="451"/>
      <c r="U179" s="451"/>
      <c r="V179" s="451"/>
      <c r="W179" s="452"/>
      <c r="X179" s="450"/>
      <c r="Y179" s="451"/>
      <c r="Z179" s="451"/>
      <c r="AA179" s="451"/>
      <c r="AB179" s="452"/>
      <c r="AC179" s="450"/>
      <c r="AD179" s="451"/>
      <c r="AE179" s="451"/>
      <c r="AF179" s="451"/>
      <c r="AG179" s="452"/>
      <c r="AH179" s="195"/>
    </row>
    <row r="180" spans="2:35">
      <c r="B180" s="192">
        <v>32</v>
      </c>
      <c r="C180" s="2218"/>
      <c r="D180" s="2218"/>
      <c r="E180" s="2218"/>
      <c r="F180" s="2218"/>
      <c r="G180" s="2218"/>
      <c r="H180" s="459" t="s">
        <v>552</v>
      </c>
      <c r="I180" s="460" t="s">
        <v>27</v>
      </c>
      <c r="J180" s="460" t="s">
        <v>318</v>
      </c>
      <c r="K180" s="464"/>
      <c r="L180" s="464"/>
      <c r="M180" s="464"/>
      <c r="N180" s="464"/>
      <c r="O180" s="961"/>
      <c r="P180" s="962"/>
      <c r="Q180" s="962"/>
      <c r="R180" s="451"/>
      <c r="S180" s="451"/>
      <c r="T180" s="451"/>
      <c r="U180" s="451"/>
      <c r="V180" s="451"/>
      <c r="W180" s="452"/>
      <c r="X180" s="450"/>
      <c r="Y180" s="451"/>
      <c r="Z180" s="451"/>
      <c r="AA180" s="451"/>
      <c r="AB180" s="452"/>
      <c r="AC180" s="450"/>
      <c r="AD180" s="451"/>
      <c r="AE180" s="451"/>
      <c r="AF180" s="451"/>
      <c r="AG180" s="452"/>
      <c r="AH180" s="195"/>
    </row>
    <row r="181" spans="2:35">
      <c r="B181" s="192">
        <v>33</v>
      </c>
      <c r="C181" s="2218"/>
      <c r="D181" s="2218"/>
      <c r="E181" s="2218"/>
      <c r="F181" s="2218"/>
      <c r="G181" s="2218"/>
      <c r="H181" s="459" t="s">
        <v>552</v>
      </c>
      <c r="I181" s="460" t="s">
        <v>27</v>
      </c>
      <c r="J181" s="460" t="s">
        <v>318</v>
      </c>
      <c r="K181" s="464"/>
      <c r="L181" s="464"/>
      <c r="M181" s="464"/>
      <c r="N181" s="464"/>
      <c r="O181" s="961"/>
      <c r="P181" s="962"/>
      <c r="Q181" s="962"/>
      <c r="R181" s="451"/>
      <c r="S181" s="451"/>
      <c r="T181" s="451"/>
      <c r="U181" s="451"/>
      <c r="V181" s="451"/>
      <c r="W181" s="452"/>
      <c r="X181" s="450"/>
      <c r="Y181" s="451"/>
      <c r="Z181" s="451"/>
      <c r="AA181" s="451"/>
      <c r="AB181" s="452"/>
      <c r="AC181" s="450"/>
      <c r="AD181" s="451"/>
      <c r="AE181" s="451"/>
      <c r="AF181" s="451"/>
      <c r="AG181" s="452"/>
      <c r="AH181" s="195"/>
    </row>
    <row r="182" spans="2:35">
      <c r="B182" s="192">
        <v>34</v>
      </c>
      <c r="C182" s="2218"/>
      <c r="D182" s="2218"/>
      <c r="E182" s="2218"/>
      <c r="F182" s="2218"/>
      <c r="G182" s="2218"/>
      <c r="H182" s="459" t="s">
        <v>552</v>
      </c>
      <c r="I182" s="460" t="s">
        <v>27</v>
      </c>
      <c r="J182" s="460" t="s">
        <v>318</v>
      </c>
      <c r="K182" s="464"/>
      <c r="L182" s="464"/>
      <c r="M182" s="464"/>
      <c r="N182" s="464"/>
      <c r="O182" s="961"/>
      <c r="P182" s="962"/>
      <c r="Q182" s="962"/>
      <c r="R182" s="451"/>
      <c r="S182" s="451"/>
      <c r="T182" s="451"/>
      <c r="U182" s="451"/>
      <c r="V182" s="451"/>
      <c r="W182" s="452"/>
      <c r="X182" s="450"/>
      <c r="Y182" s="451"/>
      <c r="Z182" s="451"/>
      <c r="AA182" s="451"/>
      <c r="AB182" s="452"/>
      <c r="AC182" s="450"/>
      <c r="AD182" s="451"/>
      <c r="AE182" s="451"/>
      <c r="AF182" s="451"/>
      <c r="AG182" s="452"/>
      <c r="AH182" s="195"/>
    </row>
    <row r="183" spans="2:35">
      <c r="B183" s="192">
        <v>35</v>
      </c>
      <c r="C183" s="2218"/>
      <c r="D183" s="2218"/>
      <c r="E183" s="2218"/>
      <c r="F183" s="2218"/>
      <c r="G183" s="2218"/>
      <c r="H183" s="459" t="s">
        <v>552</v>
      </c>
      <c r="I183" s="460" t="s">
        <v>27</v>
      </c>
      <c r="J183" s="460" t="s">
        <v>318</v>
      </c>
      <c r="K183" s="464"/>
      <c r="L183" s="464"/>
      <c r="M183" s="464"/>
      <c r="N183" s="464"/>
      <c r="O183" s="961"/>
      <c r="P183" s="962"/>
      <c r="Q183" s="962"/>
      <c r="R183" s="451"/>
      <c r="S183" s="451"/>
      <c r="T183" s="451"/>
      <c r="U183" s="451"/>
      <c r="V183" s="451"/>
      <c r="W183" s="452"/>
      <c r="X183" s="450"/>
      <c r="Y183" s="451"/>
      <c r="Z183" s="451"/>
      <c r="AA183" s="451"/>
      <c r="AB183" s="452"/>
      <c r="AC183" s="450"/>
      <c r="AD183" s="451"/>
      <c r="AE183" s="451"/>
      <c r="AF183" s="451"/>
      <c r="AG183" s="452"/>
      <c r="AH183" s="195"/>
    </row>
    <row r="184" spans="2:35">
      <c r="B184" s="192">
        <v>36</v>
      </c>
      <c r="C184" s="2218"/>
      <c r="D184" s="2218"/>
      <c r="E184" s="2218"/>
      <c r="F184" s="2218"/>
      <c r="G184" s="2218"/>
      <c r="H184" s="459" t="s">
        <v>552</v>
      </c>
      <c r="I184" s="460" t="s">
        <v>27</v>
      </c>
      <c r="J184" s="460" t="s">
        <v>318</v>
      </c>
      <c r="K184" s="464"/>
      <c r="L184" s="464"/>
      <c r="M184" s="464"/>
      <c r="N184" s="464"/>
      <c r="O184" s="961"/>
      <c r="P184" s="962"/>
      <c r="Q184" s="962"/>
      <c r="R184" s="451"/>
      <c r="S184" s="451"/>
      <c r="T184" s="451"/>
      <c r="U184" s="451"/>
      <c r="V184" s="451"/>
      <c r="W184" s="452"/>
      <c r="X184" s="450"/>
      <c r="Y184" s="451"/>
      <c r="Z184" s="451"/>
      <c r="AA184" s="451"/>
      <c r="AB184" s="452"/>
      <c r="AC184" s="450"/>
      <c r="AD184" s="451"/>
      <c r="AE184" s="451"/>
      <c r="AF184" s="451"/>
      <c r="AG184" s="452"/>
      <c r="AH184" s="195"/>
    </row>
    <row r="185" spans="2:35">
      <c r="B185" s="192">
        <v>37</v>
      </c>
      <c r="C185" s="2218"/>
      <c r="D185" s="2218"/>
      <c r="E185" s="2218"/>
      <c r="F185" s="2218"/>
      <c r="G185" s="2218"/>
      <c r="H185" s="459" t="s">
        <v>552</v>
      </c>
      <c r="I185" s="460" t="s">
        <v>27</v>
      </c>
      <c r="J185" s="460" t="s">
        <v>318</v>
      </c>
      <c r="K185" s="464"/>
      <c r="L185" s="464"/>
      <c r="M185" s="464"/>
      <c r="N185" s="464"/>
      <c r="O185" s="961"/>
      <c r="P185" s="962"/>
      <c r="Q185" s="962"/>
      <c r="R185" s="451"/>
      <c r="S185" s="451"/>
      <c r="T185" s="451"/>
      <c r="U185" s="451"/>
      <c r="V185" s="451"/>
      <c r="W185" s="452"/>
      <c r="X185" s="450"/>
      <c r="Y185" s="451"/>
      <c r="Z185" s="451"/>
      <c r="AA185" s="451"/>
      <c r="AB185" s="452"/>
      <c r="AC185" s="450"/>
      <c r="AD185" s="451"/>
      <c r="AE185" s="451"/>
      <c r="AF185" s="451"/>
      <c r="AG185" s="452"/>
      <c r="AH185" s="195"/>
    </row>
    <row r="186" spans="2:35">
      <c r="B186" s="192">
        <v>38</v>
      </c>
      <c r="C186" s="2218"/>
      <c r="D186" s="2218"/>
      <c r="E186" s="2218"/>
      <c r="F186" s="2218"/>
      <c r="G186" s="2218"/>
      <c r="H186" s="459" t="s">
        <v>552</v>
      </c>
      <c r="I186" s="460" t="s">
        <v>27</v>
      </c>
      <c r="J186" s="460" t="s">
        <v>318</v>
      </c>
      <c r="K186" s="464"/>
      <c r="L186" s="464"/>
      <c r="M186" s="464"/>
      <c r="N186" s="464"/>
      <c r="O186" s="961"/>
      <c r="P186" s="962"/>
      <c r="Q186" s="962"/>
      <c r="R186" s="451"/>
      <c r="S186" s="451"/>
      <c r="T186" s="451"/>
      <c r="U186" s="451"/>
      <c r="V186" s="451"/>
      <c r="W186" s="452"/>
      <c r="X186" s="450"/>
      <c r="Y186" s="451"/>
      <c r="Z186" s="451"/>
      <c r="AA186" s="451"/>
      <c r="AB186" s="452"/>
      <c r="AC186" s="450"/>
      <c r="AD186" s="451"/>
      <c r="AE186" s="451"/>
      <c r="AF186" s="451"/>
      <c r="AG186" s="452"/>
      <c r="AH186" s="195"/>
    </row>
    <row r="187" spans="2:35">
      <c r="B187" s="192">
        <v>39</v>
      </c>
      <c r="C187" s="2218"/>
      <c r="D187" s="2218"/>
      <c r="E187" s="2218"/>
      <c r="F187" s="2218"/>
      <c r="G187" s="2218"/>
      <c r="H187" s="459" t="s">
        <v>552</v>
      </c>
      <c r="I187" s="460" t="s">
        <v>27</v>
      </c>
      <c r="J187" s="460" t="s">
        <v>318</v>
      </c>
      <c r="K187" s="464"/>
      <c r="L187" s="464"/>
      <c r="M187" s="464"/>
      <c r="N187" s="464"/>
      <c r="O187" s="961"/>
      <c r="P187" s="962"/>
      <c r="Q187" s="962"/>
      <c r="R187" s="451"/>
      <c r="S187" s="451"/>
      <c r="T187" s="451"/>
      <c r="U187" s="451"/>
      <c r="V187" s="451"/>
      <c r="W187" s="452"/>
      <c r="X187" s="450"/>
      <c r="Y187" s="451"/>
      <c r="Z187" s="451"/>
      <c r="AA187" s="451"/>
      <c r="AB187" s="452"/>
      <c r="AC187" s="450"/>
      <c r="AD187" s="451"/>
      <c r="AE187" s="451"/>
      <c r="AF187" s="451"/>
      <c r="AG187" s="452"/>
      <c r="AH187" s="195"/>
    </row>
    <row r="188" spans="2:35">
      <c r="B188" s="192">
        <v>40</v>
      </c>
      <c r="C188" s="2218"/>
      <c r="D188" s="2218"/>
      <c r="E188" s="2218"/>
      <c r="F188" s="2218"/>
      <c r="G188" s="2218"/>
      <c r="H188" s="459" t="s">
        <v>552</v>
      </c>
      <c r="I188" s="465" t="s">
        <v>27</v>
      </c>
      <c r="J188" s="465" t="s">
        <v>318</v>
      </c>
      <c r="K188" s="466"/>
      <c r="L188" s="466"/>
      <c r="M188" s="466"/>
      <c r="N188" s="466"/>
      <c r="O188" s="964"/>
      <c r="P188" s="965"/>
      <c r="Q188" s="965"/>
      <c r="R188" s="457"/>
      <c r="S188" s="457"/>
      <c r="T188" s="457"/>
      <c r="U188" s="457"/>
      <c r="V188" s="457"/>
      <c r="W188" s="458"/>
      <c r="X188" s="456"/>
      <c r="Y188" s="457"/>
      <c r="Z188" s="457"/>
      <c r="AA188" s="457"/>
      <c r="AB188" s="458"/>
      <c r="AC188" s="456"/>
      <c r="AD188" s="457"/>
      <c r="AE188" s="457"/>
      <c r="AF188" s="457"/>
      <c r="AG188" s="458"/>
      <c r="AH188" s="195"/>
    </row>
    <row r="189" spans="2:35">
      <c r="B189" s="192"/>
      <c r="C189" s="86"/>
      <c r="D189" s="86"/>
      <c r="E189" s="86"/>
      <c r="F189" s="86"/>
      <c r="G189" s="86"/>
      <c r="H189" s="427"/>
      <c r="I189" s="427"/>
      <c r="J189" s="427"/>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195"/>
      <c r="AI189" s="74"/>
    </row>
    <row r="190" spans="2:35" ht="12.75" thickBot="1">
      <c r="B190" s="198"/>
      <c r="C190" s="199"/>
      <c r="D190" s="199"/>
      <c r="E190" s="199"/>
      <c r="F190" s="199"/>
      <c r="G190" s="199"/>
      <c r="H190" s="199"/>
      <c r="I190" s="199"/>
      <c r="J190" s="199"/>
      <c r="K190" s="199"/>
      <c r="L190" s="199"/>
      <c r="M190" s="199"/>
      <c r="N190" s="199"/>
      <c r="O190" s="199"/>
      <c r="P190" s="199"/>
      <c r="Q190" s="199"/>
      <c r="R190" s="199"/>
      <c r="S190" s="199"/>
      <c r="T190" s="199"/>
      <c r="U190" s="199"/>
      <c r="V190" s="199"/>
      <c r="W190" s="199"/>
      <c r="X190" s="199"/>
      <c r="Y190" s="199"/>
      <c r="Z190" s="199"/>
      <c r="AA190" s="199"/>
      <c r="AB190" s="199"/>
      <c r="AC190" s="199"/>
      <c r="AD190" s="199"/>
      <c r="AE190" s="199"/>
      <c r="AF190" s="199"/>
      <c r="AG190" s="199"/>
      <c r="AH190" s="201"/>
      <c r="AI190" s="74"/>
    </row>
    <row r="191" spans="2:35">
      <c r="B191" s="74"/>
    </row>
    <row r="192" spans="2:35">
      <c r="B192" s="74"/>
    </row>
  </sheetData>
  <sheetProtection algorithmName="SHA-512" hashValue="To6mQ1BTEmjCzyJWIqNbaEoigmAL2vDW/pSz7R7MnI9UYGnqRloHh+Ogu3dKHulXJM94IJcf1o+x1UAYk9SR0g==" saltValue="Iie+tmv7KjKaKdKvX1Uwrw==" spinCount="100000" sheet="1" objects="1" scenarios="1"/>
  <mergeCells count="51">
    <mergeCell ref="C169:G169"/>
    <mergeCell ref="C170:G170"/>
    <mergeCell ref="C180:G180"/>
    <mergeCell ref="C174:G174"/>
    <mergeCell ref="C175:G175"/>
    <mergeCell ref="C176:G176"/>
    <mergeCell ref="C177:G177"/>
    <mergeCell ref="C187:G187"/>
    <mergeCell ref="C188:G188"/>
    <mergeCell ref="C149:G149"/>
    <mergeCell ref="C182:G182"/>
    <mergeCell ref="C183:G183"/>
    <mergeCell ref="C184:G184"/>
    <mergeCell ref="C185:G185"/>
    <mergeCell ref="C153:G153"/>
    <mergeCell ref="C154:G154"/>
    <mergeCell ref="C155:G155"/>
    <mergeCell ref="C156:G156"/>
    <mergeCell ref="C157:G157"/>
    <mergeCell ref="C158:G158"/>
    <mergeCell ref="C159:G159"/>
    <mergeCell ref="C171:G171"/>
    <mergeCell ref="C160:G160"/>
    <mergeCell ref="C151:G151"/>
    <mergeCell ref="C152:G152"/>
    <mergeCell ref="C186:G186"/>
    <mergeCell ref="C178:G178"/>
    <mergeCell ref="C179:G179"/>
    <mergeCell ref="C161:G161"/>
    <mergeCell ref="C162:G162"/>
    <mergeCell ref="C163:G163"/>
    <mergeCell ref="C164:G164"/>
    <mergeCell ref="C165:G165"/>
    <mergeCell ref="C181:G181"/>
    <mergeCell ref="C172:G172"/>
    <mergeCell ref="C173:G173"/>
    <mergeCell ref="C166:G166"/>
    <mergeCell ref="C167:G167"/>
    <mergeCell ref="C168:G168"/>
    <mergeCell ref="B3:F3"/>
    <mergeCell ref="D132:J132"/>
    <mergeCell ref="D133:J133"/>
    <mergeCell ref="C150:G150"/>
    <mergeCell ref="D124:J124"/>
    <mergeCell ref="D125:J125"/>
    <mergeCell ref="D126:J126"/>
    <mergeCell ref="D127:J127"/>
    <mergeCell ref="D128:J128"/>
    <mergeCell ref="D129:J129"/>
    <mergeCell ref="D130:J130"/>
    <mergeCell ref="D131:J131"/>
  </mergeCells>
  <phoneticPr fontId="0" type="noConversion"/>
  <conditionalFormatting sqref="H149:H189">
    <cfRule type="containsText" dxfId="91" priority="7" stopIfTrue="1" operator="containsText" text="[Source]">
      <formula>NOT(ISERROR(SEARCH("[Source]",H149)))</formula>
    </cfRule>
  </conditionalFormatting>
  <conditionalFormatting sqref="I149:I189">
    <cfRule type="containsText" dxfId="90" priority="16" stopIfTrue="1" operator="containsText" text="[Service]">
      <formula>NOT(ISERROR(SEARCH("[Service]",I149)))</formula>
    </cfRule>
  </conditionalFormatting>
  <conditionalFormatting sqref="J149:J189">
    <cfRule type="containsText" dxfId="89" priority="14" stopIfTrue="1" operator="containsText" text="[Price]">
      <formula>NOT(ISERROR(SEARCH("[Price]",J149)))</formula>
    </cfRule>
  </conditionalFormatting>
  <conditionalFormatting sqref="O31:AG31">
    <cfRule type="cellIs" dxfId="88" priority="3" operator="equal">
      <formula>0</formula>
    </cfRule>
  </conditionalFormatting>
  <conditionalFormatting sqref="X48:AG48">
    <cfRule type="cellIs" dxfId="87" priority="1" operator="equal">
      <formula>0</formula>
    </cfRule>
  </conditionalFormatting>
  <dataValidations count="4">
    <dataValidation type="list" allowBlank="1" showInputMessage="1" showErrorMessage="1" sqref="J149:J188" xr:uid="{00000000-0002-0000-0500-000000000000}">
      <formula1>Fixed_or_Var</formula1>
    </dataValidation>
    <dataValidation type="list" allowBlank="1" showInputMessage="1" showErrorMessage="1" sqref="J189" xr:uid="{00000000-0002-0000-0500-000001000000}">
      <formula1>#REF!</formula1>
    </dataValidation>
    <dataValidation type="list" allowBlank="1" showInputMessage="1" showErrorMessage="1" sqref="I149:I189" xr:uid="{00000000-0002-0000-0500-000002000000}">
      <formula1>$AJ$151:$AJ$155</formula1>
    </dataValidation>
    <dataValidation type="list" allowBlank="1" showInputMessage="1" showErrorMessage="1" sqref="H149:H189" xr:uid="{00000000-0002-0000-0500-000003000000}">
      <formula1>$AJ$157:$AJ$160</formula1>
    </dataValidation>
  </dataValidations>
  <hyperlinks>
    <hyperlink ref="B3" location="HL_Home" tooltip="Go to Table of Contents" display="HL_Home" xr:uid="{00000000-0004-0000-0500-000000000000}"/>
  </hyperlinks>
  <pageMargins left="0.39370078740157499" right="0.39370078740157499" top="0.59055118110236249" bottom="0.98425196850393748" header="0" footer="0.31496062992125973"/>
  <pageSetup paperSize="9" scale="53" orientation="landscape" r:id="rId1"/>
  <headerFooter alignWithMargins="0">
    <oddHeader>&amp;C&amp;"Calibri"&amp;12&amp;KFF0000 OFFICIAL&amp;1#_x000D_&amp;"Arial"&amp;8&amp;K000000&amp;B&amp;"Arial"&amp;12&amp;Kff0000​‌OFFICIAL‌​</oddHeader>
    <oddFooter>&amp;C&amp;"Arial,Bold"&amp;8Sheet c.
Page &amp;P of &amp;N&amp;L&amp;"Arial,Bold"&amp;7&amp;F
&amp;A
Printed: &amp;T on &amp;D</oddFooter>
  </headerFooter>
  <rowBreaks count="1" manualBreakCount="1">
    <brk id="75" min="1" max="23" man="1"/>
  </rowBreaks>
  <ignoredErrors>
    <ignoredError sqref="X122:AG122" formulaRange="1"/>
    <ignoredError sqref="W116:W119"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783CC83A055DE4E917D95BB64041E8F" ma:contentTypeVersion="7" ma:contentTypeDescription="Create a new document." ma:contentTypeScope="" ma:versionID="007babe8c00d0a5a376e663e16ddb67b">
  <xsd:schema xmlns:xsd="http://www.w3.org/2001/XMLSchema" xmlns:xs="http://www.w3.org/2001/XMLSchema" xmlns:p="http://schemas.microsoft.com/office/2006/metadata/properties" xmlns:ns2="86e0caa9-3a79-419b-8f64-ea96de106f67" targetNamespace="http://schemas.microsoft.com/office/2006/metadata/properties" ma:root="true" ma:fieldsID="6f001ab0c607676267b54e062daa3834" ns2:_="">
    <xsd:import namespace="86e0caa9-3a79-419b-8f64-ea96de106f6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e0caa9-3a79-419b-8f64-ea96de106f6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4DFB924-B704-4FF8-B1F5-B6D90D04F8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e0caa9-3a79-419b-8f64-ea96de106f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B1AED6D-F812-46EE-8292-634E5CA25A33}">
  <ds:schemaRefs>
    <ds:schemaRef ds:uri="http://schemas.microsoft.com/sharepoint/v3/contenttype/forms"/>
  </ds:schemaRefs>
</ds:datastoreItem>
</file>

<file path=customXml/itemProps3.xml><?xml version="1.0" encoding="utf-8"?>
<ds:datastoreItem xmlns:ds="http://schemas.openxmlformats.org/officeDocument/2006/customXml" ds:itemID="{59E6F6D9-92A2-4404-8970-E48A34AFA9F6}">
  <ds:schemaRefs>
    <ds:schemaRef ds:uri="http://schemas.microsoft.com/office/2006/documentManagement/types"/>
    <ds:schemaRef ds:uri="http://www.w3.org/XML/1998/namespace"/>
    <ds:schemaRef ds:uri="http://schemas.microsoft.com/office/infopath/2007/PartnerControls"/>
    <ds:schemaRef ds:uri="http://purl.org/dc/terms/"/>
    <ds:schemaRef ds:uri="http://schemas.microsoft.com/office/2006/metadata/properties"/>
    <ds:schemaRef ds:uri="http://purl.org/dc/dcmitype/"/>
    <ds:schemaRef ds:uri="http://purl.org/dc/elements/1.1/"/>
    <ds:schemaRef ds:uri="http://schemas.openxmlformats.org/package/2006/metadata/core-properties"/>
    <ds:schemaRef ds:uri="86e0caa9-3a79-419b-8f64-ea96de106f6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20</vt:i4>
      </vt:variant>
    </vt:vector>
  </HeadingPairs>
  <TitlesOfParts>
    <vt:vector size="49" baseType="lpstr">
      <vt:lpstr>Contents</vt:lpstr>
      <vt:lpstr>ESC Adjustments log</vt:lpstr>
      <vt:lpstr>NEW Adjustments log</vt:lpstr>
      <vt:lpstr>Model Quality Check</vt:lpstr>
      <vt:lpstr>KeyAssumptionsPriceControl_FO</vt:lpstr>
      <vt:lpstr>Summary_FO</vt:lpstr>
      <vt:lpstr>Expenditure_Detail</vt:lpstr>
      <vt:lpstr>Opex_FO</vt:lpstr>
      <vt:lpstr>Opex_Breakdown</vt:lpstr>
      <vt:lpstr>Capex_FO input</vt:lpstr>
      <vt:lpstr>Capex_FO_AC</vt:lpstr>
      <vt:lpstr>RollForward_FO</vt:lpstr>
      <vt:lpstr>PrevPerAdj_FO</vt:lpstr>
      <vt:lpstr>RevenuePriceCap_FO</vt:lpstr>
      <vt:lpstr>RevenueTariffBasket_FO</vt:lpstr>
      <vt:lpstr>Rev&amp;RAV_FO</vt:lpstr>
      <vt:lpstr>NotPres_FO</vt:lpstr>
      <vt:lpstr>Finance&amp;Tax_FO</vt:lpstr>
      <vt:lpstr>Indicators_FO</vt:lpstr>
      <vt:lpstr>Outcomes</vt:lpstr>
      <vt:lpstr>Schedule 2</vt:lpstr>
      <vt:lpstr>Household Bill</vt:lpstr>
      <vt:lpstr>GSL</vt:lpstr>
      <vt:lpstr>Dashboard data</vt:lpstr>
      <vt:lpstr>Dashboard - Pricing</vt:lpstr>
      <vt:lpstr>Dashboard - Opex</vt:lpstr>
      <vt:lpstr>Dashboard - Capex</vt:lpstr>
      <vt:lpstr>Determination Lookup</vt:lpstr>
      <vt:lpstr>General_BL</vt:lpstr>
      <vt:lpstr>Asset_category</vt:lpstr>
      <vt:lpstr>Asset_Class</vt:lpstr>
      <vt:lpstr>Capital_Type</vt:lpstr>
      <vt:lpstr>Cost_Driver</vt:lpstr>
      <vt:lpstr>Depr_Deferral</vt:lpstr>
      <vt:lpstr>Depreciation_Method</vt:lpstr>
      <vt:lpstr>Fixed_or_Var</vt:lpstr>
      <vt:lpstr>HL_Home</vt:lpstr>
      <vt:lpstr>Hybrid_Price</vt:lpstr>
      <vt:lpstr>kk</vt:lpstr>
      <vt:lpstr>Model_Name</vt:lpstr>
      <vt:lpstr>Pre_RP_Estimate</vt:lpstr>
      <vt:lpstr>Price_Asset_Class</vt:lpstr>
      <vt:lpstr>Price_Control</vt:lpstr>
      <vt:lpstr>Pricing_Unit</vt:lpstr>
      <vt:lpstr>RRR</vt:lpstr>
      <vt:lpstr>Service</vt:lpstr>
      <vt:lpstr>wacc</vt:lpstr>
      <vt:lpstr>wacc_1stper</vt:lpstr>
      <vt:lpstr>wacc_2ndper</vt:lpstr>
    </vt:vector>
  </TitlesOfParts>
  <Company>Essential Services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ESC</dc:creator>
  <cp:keywords>[SEC=OFFICIAL]</cp:keywords>
  <cp:lastModifiedBy>Oscar Burns (ESC)</cp:lastModifiedBy>
  <cp:lastPrinted>2018-03-22T04:19:09Z</cp:lastPrinted>
  <dcterms:created xsi:type="dcterms:W3CDTF">2006-06-27T05:28:24Z</dcterms:created>
  <dcterms:modified xsi:type="dcterms:W3CDTF">2025-10-01T23:15:51Z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Image_Header">
    <vt:lpwstr>C:\Program Files\Common Files\janusNET Shared\janusSEAL\Images\DocumentSlashBlue.png</vt:lpwstr>
  </property>
  <property fmtid="{D5CDD505-2E9C-101B-9397-08002B2CF9AE}" pid="3" name="PM_Caveats_Count">
    <vt:lpwstr>0</vt:lpwstr>
  </property>
  <property fmtid="{D5CDD505-2E9C-101B-9397-08002B2CF9AE}" pid="4" name="PM_DisplayValueSecClassificationWithQualifier">
    <vt:lpwstr>OFFICIAL</vt:lpwstr>
  </property>
  <property fmtid="{D5CDD505-2E9C-101B-9397-08002B2CF9AE}" pid="5" name="PM_Qualifier">
    <vt:lpwstr/>
  </property>
  <property fmtid="{D5CDD505-2E9C-101B-9397-08002B2CF9AE}" pid="6" name="PM_SecurityClassification">
    <vt:lpwstr>OFFICIAL</vt:lpwstr>
  </property>
  <property fmtid="{D5CDD505-2E9C-101B-9397-08002B2CF9AE}" pid="7" name="PM_InsertionValue">
    <vt:lpwstr>OFFICIAL</vt:lpwstr>
  </property>
  <property fmtid="{D5CDD505-2E9C-101B-9397-08002B2CF9AE}" pid="8" name="PM_Originating_FileId">
    <vt:lpwstr>41539D6E69B6470A9EF9C84379B46B7B</vt:lpwstr>
  </property>
  <property fmtid="{D5CDD505-2E9C-101B-9397-08002B2CF9AE}" pid="9" name="PM_ProtectiveMarkingValue_Footer">
    <vt:lpwstr>OFFICIAL</vt:lpwstr>
  </property>
  <property fmtid="{D5CDD505-2E9C-101B-9397-08002B2CF9AE}" pid="10" name="PM_Originator_Hash_SHA1">
    <vt:lpwstr>EB658D731633868028F83D2AE08D738BFFC4DDE4</vt:lpwstr>
  </property>
  <property fmtid="{D5CDD505-2E9C-101B-9397-08002B2CF9AE}" pid="11" name="PM_OriginationTimeStamp">
    <vt:lpwstr>2024-03-19T06:10:55Z</vt:lpwstr>
  </property>
  <property fmtid="{D5CDD505-2E9C-101B-9397-08002B2CF9AE}" pid="12" name="PM_ProtectiveMarkingValue_Header">
    <vt:lpwstr>OFFICIAL</vt:lpwstr>
  </property>
  <property fmtid="{D5CDD505-2E9C-101B-9397-08002B2CF9AE}" pid="13" name="PM_ProtectiveMarkingImage_Footer">
    <vt:lpwstr>C:\Program Files\Common Files\janusNET Shared\janusSEAL\Images\DocumentSlashBlue.png</vt:lpwstr>
  </property>
  <property fmtid="{D5CDD505-2E9C-101B-9397-08002B2CF9AE}" pid="14" name="PM_Namespace">
    <vt:lpwstr>2019.2.1.vic.gov.au</vt:lpwstr>
  </property>
  <property fmtid="{D5CDD505-2E9C-101B-9397-08002B2CF9AE}" pid="15" name="PM_Version">
    <vt:lpwstr>2018.4</vt:lpwstr>
  </property>
  <property fmtid="{D5CDD505-2E9C-101B-9397-08002B2CF9AE}" pid="16" name="PM_Note">
    <vt:lpwstr/>
  </property>
  <property fmtid="{D5CDD505-2E9C-101B-9397-08002B2CF9AE}" pid="17" name="PM_Markers">
    <vt:lpwstr/>
  </property>
  <property fmtid="{D5CDD505-2E9C-101B-9397-08002B2CF9AE}" pid="18" name="PM_Display">
    <vt:lpwstr>OFFICIAL</vt:lpwstr>
  </property>
  <property fmtid="{D5CDD505-2E9C-101B-9397-08002B2CF9AE}" pid="19" name="PMUuid">
    <vt:lpwstr>v=2022.2;d=vic.gov.au;g=0BC0AFEB-CD42-5391-A624-A890967918FF</vt:lpwstr>
  </property>
  <property fmtid="{D5CDD505-2E9C-101B-9397-08002B2CF9AE}" pid="20" name="PM_Hash_Version">
    <vt:lpwstr>2022.1</vt:lpwstr>
  </property>
  <property fmtid="{D5CDD505-2E9C-101B-9397-08002B2CF9AE}" pid="21" name="PM_Hash_Salt_Prev">
    <vt:lpwstr>91ECA7CA4E0A4C6E6672FDFDD22BF943</vt:lpwstr>
  </property>
  <property fmtid="{D5CDD505-2E9C-101B-9397-08002B2CF9AE}" pid="22" name="PM_Hash_Salt">
    <vt:lpwstr>7F972D04F152A28832FD9A611AC122A7</vt:lpwstr>
  </property>
  <property fmtid="{D5CDD505-2E9C-101B-9397-08002B2CF9AE}" pid="23" name="PM_Hash_SHA1">
    <vt:lpwstr>50228B0E78BB848DCC0BEADD53FAC7D2616A8937</vt:lpwstr>
  </property>
  <property fmtid="{D5CDD505-2E9C-101B-9397-08002B2CF9AE}" pid="24" name="PM_OriginatorUserAccountName_SHA256">
    <vt:lpwstr>A8DCD39D0A83021885848853903A2B01B9C867B61C49B9C107448DCB215B3265</vt:lpwstr>
  </property>
  <property fmtid="{D5CDD505-2E9C-101B-9397-08002B2CF9AE}" pid="25" name="PM_OriginatorDomainName_SHA256">
    <vt:lpwstr>9E5929A2B0C9364118E50F7972B6A4AA763F815A803675E11226272E392AE99C</vt:lpwstr>
  </property>
  <property fmtid="{D5CDD505-2E9C-101B-9397-08002B2CF9AE}" pid="26" name="PM_PrintOutPlacement_XLS">
    <vt:lpwstr>CenterHeader</vt:lpwstr>
  </property>
  <property fmtid="{D5CDD505-2E9C-101B-9397-08002B2CF9AE}" pid="27" name="PM_SecurityClassification_Prev">
    <vt:lpwstr>OFFICIAL</vt:lpwstr>
  </property>
  <property fmtid="{D5CDD505-2E9C-101B-9397-08002B2CF9AE}" pid="28" name="PM_Qualifier_Prev">
    <vt:lpwstr/>
  </property>
  <property fmtid="{D5CDD505-2E9C-101B-9397-08002B2CF9AE}" pid="29" name="PMHMAC">
    <vt:lpwstr>v=2022.1;a=SHA256;h=009DD9667C7BFEA3A371F358ED26400754E79268176B3EE81A3F08F1221B26A6</vt:lpwstr>
  </property>
  <property fmtid="{D5CDD505-2E9C-101B-9397-08002B2CF9AE}" pid="30" name="MSIP_Label_c62a3d98-e4c9-4917-991a-0f0276b71296_Enabled">
    <vt:lpwstr>true</vt:lpwstr>
  </property>
  <property fmtid="{D5CDD505-2E9C-101B-9397-08002B2CF9AE}" pid="31" name="MSIP_Label_c62a3d98-e4c9-4917-991a-0f0276b71296_SetDate">
    <vt:lpwstr>2025-04-02T22:58:43Z</vt:lpwstr>
  </property>
  <property fmtid="{D5CDD505-2E9C-101B-9397-08002B2CF9AE}" pid="32" name="MSIP_Label_c62a3d98-e4c9-4917-991a-0f0276b71296_Method">
    <vt:lpwstr>Standard</vt:lpwstr>
  </property>
  <property fmtid="{D5CDD505-2E9C-101B-9397-08002B2CF9AE}" pid="33" name="MSIP_Label_c62a3d98-e4c9-4917-991a-0f0276b71296_Name">
    <vt:lpwstr>OFFICIAL</vt:lpwstr>
  </property>
  <property fmtid="{D5CDD505-2E9C-101B-9397-08002B2CF9AE}" pid="34" name="MSIP_Label_c62a3d98-e4c9-4917-991a-0f0276b71296_SiteId">
    <vt:lpwstr>5f894de5-5651-487a-aaff-5a8c899b254d</vt:lpwstr>
  </property>
  <property fmtid="{D5CDD505-2E9C-101B-9397-08002B2CF9AE}" pid="35" name="MSIP_Label_c62a3d98-e4c9-4917-991a-0f0276b71296_ActionId">
    <vt:lpwstr>a527607d-b83d-42d8-8736-354761a59eb9</vt:lpwstr>
  </property>
  <property fmtid="{D5CDD505-2E9C-101B-9397-08002B2CF9AE}" pid="36" name="MSIP_Label_c62a3d98-e4c9-4917-991a-0f0276b71296_ContentBits">
    <vt:lpwstr>1</vt:lpwstr>
  </property>
  <property fmtid="{D5CDD505-2E9C-101B-9397-08002B2CF9AE}" pid="37" name="MSIP_Label_c62a3d98-e4c9-4917-991a-0f0276b71296_Tag">
    <vt:lpwstr>10, 3, 0, 1</vt:lpwstr>
  </property>
  <property fmtid="{D5CDD505-2E9C-101B-9397-08002B2CF9AE}" pid="38" name="ContentTypeId">
    <vt:lpwstr>0x0101001783CC83A055DE4E917D95BB64041E8F</vt:lpwstr>
  </property>
</Properties>
</file>